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drawings/drawing4.xml" ContentType="application/vnd.openxmlformats-officedocument.drawing+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drawings/drawing5.xml" ContentType="application/vnd.openxmlformats-officedocument.drawing+xml"/>
  <Override PartName="/xl/comments/comment10.xml" ContentType="application/vnd.openxmlformats-officedocument.spreadsheetml.comments+xml"/>
  <Override PartName="/xl/worksheets/sheet16.xml" ContentType="application/vnd.openxmlformats-officedocument.spreadsheetml.worksheet+xml"/>
  <Override PartName="/xl/drawings/drawing6.xml" ContentType="application/vnd.openxmlformats-officedocument.drawing+xml"/>
  <Override PartName="/xl/comments/comment11.xml" ContentType="application/vnd.openxmlformats-officedocument.spreadsheetml.comments+xml"/>
  <Override PartName="/xl/worksheets/sheet17.xml" ContentType="application/vnd.openxmlformats-officedocument.spreadsheetml.worksheet+xml"/>
  <Override PartName="/xl/drawings/drawing7.xml" ContentType="application/vnd.openxmlformats-officedocument.drawing+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drawings/drawing8.xml" ContentType="application/vnd.openxmlformats-officedocument.drawing+xml"/>
  <Override PartName="/xl/comments/comment14.xml" ContentType="application/vnd.openxmlformats-officedocument.spreadsheetml.comments+xml"/>
  <Override PartName="/xl/worksheets/sheet20.xml" ContentType="application/vnd.openxmlformats-officedocument.spreadsheetml.worksheet+xml"/>
  <Override PartName="/xl/drawings/drawing9.xml" ContentType="application/vnd.openxmlformats-officedocument.drawing+xml"/>
  <Override PartName="/xl/comments/comment15.xml" ContentType="application/vnd.openxmlformats-officedocument.spreadsheetml.comments+xml"/>
  <Override PartName="/xl/worksheets/sheet21.xml" ContentType="application/vnd.openxmlformats-officedocument.spreadsheetml.worksheet+xml"/>
  <Override PartName="/xl/drawings/drawing10.xml" ContentType="application/vnd.openxmlformats-officedocument.drawing+xml"/>
  <Override PartName="/xl/comments/comment16.xml" ContentType="application/vnd.openxmlformats-officedocument.spreadsheetml.comments+xml"/>
  <Override PartName="/xl/worksheets/sheet22.xml" ContentType="application/vnd.openxmlformats-officedocument.spreadsheetml.worksheet+xml"/>
  <Override PartName="/xl/drawings/drawing11.xml" ContentType="application/vnd.openxmlformats-officedocument.drawing+xml"/>
  <Override PartName="/xl/comments/comment17.xml" ContentType="application/vnd.openxmlformats-officedocument.spreadsheetml.comments+xml"/>
  <Override PartName="/xl/worksheets/sheet23.xml" ContentType="application/vnd.openxmlformats-officedocument.spreadsheetml.worksheet+xml"/>
  <Override PartName="/xl/drawings/drawing12.xml" ContentType="application/vnd.openxmlformats-officedocument.drawing+xml"/>
  <Override PartName="/xl/comments/comment18.xml" ContentType="application/vnd.openxmlformats-officedocument.spreadsheetml.comments+xml"/>
  <Override PartName="/xl/worksheets/sheet24.xml" ContentType="application/vnd.openxmlformats-officedocument.spreadsheetml.worksheet+xml"/>
  <Override PartName="/xl/comments/comment19.xml" ContentType="application/vnd.openxmlformats-officedocument.spreadsheetml.comments+xml"/>
  <Override PartName="/xl/worksheets/sheet25.xml" ContentType="application/vnd.openxmlformats-officedocument.spreadsheetml.worksheet+xml"/>
  <Override PartName="/xl/comments/comment20.xml" ContentType="application/vnd.openxmlformats-officedocument.spreadsheetml.comments+xml"/>
  <Override PartName="/xl/worksheets/sheet26.xml" ContentType="application/vnd.openxmlformats-officedocument.spreadsheetml.worksheet+xml"/>
  <Override PartName="/xl/comments/comment21.xml" ContentType="application/vnd.openxmlformats-officedocument.spreadsheetml.comments+xml"/>
  <Override PartName="/xl/worksheets/sheet27.xml" ContentType="application/vnd.openxmlformats-officedocument.spreadsheetml.worksheet+xml"/>
  <Override PartName="/xl/comments/comment22.xml" ContentType="application/vnd.openxmlformats-officedocument.spreadsheetml.comments+xml"/>
  <Override PartName="/xl/worksheets/sheet28.xml" ContentType="application/vnd.openxmlformats-officedocument.spreadsheetml.worksheet+xml"/>
  <Override PartName="/xl/comments/comment23.xml" ContentType="application/vnd.openxmlformats-officedocument.spreadsheetml.comments+xml"/>
  <Override PartName="/xl/worksheets/sheet29.xml" ContentType="application/vnd.openxmlformats-officedocument.spreadsheetml.worksheet+xml"/>
  <Override PartName="/xl/comments/comment24.xml" ContentType="application/vnd.openxmlformats-officedocument.spreadsheetml.comments+xml"/>
  <Override PartName="/xl/worksheets/sheet30.xml" ContentType="application/vnd.openxmlformats-officedocument.spreadsheetml.worksheet+xml"/>
  <Override PartName="/xl/comments/comment25.xml" ContentType="application/vnd.openxmlformats-officedocument.spreadsheetml.comments+xml"/>
  <Override PartName="/xl/worksheets/sheet31.xml" ContentType="application/vnd.openxmlformats-officedocument.spreadsheetml.worksheet+xml"/>
  <Override PartName="/xl/comments/comment26.xml" ContentType="application/vnd.openxmlformats-officedocument.spreadsheetml.comments+xml"/>
  <Override PartName="/xl/worksheets/sheet32.xml" ContentType="application/vnd.openxmlformats-officedocument.spreadsheetml.worksheet+xml"/>
  <Override PartName="/xl/comments/comment27.xml" ContentType="application/vnd.openxmlformats-officedocument.spreadsheetml.comments+xml"/>
  <Override PartName="/xl/worksheets/sheet33.xml" ContentType="application/vnd.openxmlformats-officedocument.spreadsheetml.worksheet+xml"/>
  <Override PartName="/xl/comments/comment28.xml" ContentType="application/vnd.openxmlformats-officedocument.spreadsheetml.comments+xml"/>
  <Override PartName="/xl/worksheets/sheet34.xml" ContentType="application/vnd.openxmlformats-officedocument.spreadsheetml.worksheet+xml"/>
  <Override PartName="/xl/comments/comment29.xml" ContentType="application/vnd.openxmlformats-officedocument.spreadsheetml.comments+xml"/>
  <Override PartName="/xl/worksheets/sheet35.xml" ContentType="application/vnd.openxmlformats-officedocument.spreadsheetml.worksheet+xml"/>
  <Override PartName="/xl/comments/comment30.xml" ContentType="application/vnd.openxmlformats-officedocument.spreadsheetml.comments+xml"/>
  <Override PartName="/xl/worksheets/sheet36.xml" ContentType="application/vnd.openxmlformats-officedocument.spreadsheetml.worksheet+xml"/>
  <Override PartName="/xl/comments/comment31.xml" ContentType="application/vnd.openxmlformats-officedocument.spreadsheetml.comments+xml"/>
  <Override PartName="/xl/worksheets/sheet37.xml" ContentType="application/vnd.openxmlformats-officedocument.spreadsheetml.worksheet+xml"/>
  <Override PartName="/xl/comments/comment32.xml" ContentType="application/vnd.openxmlformats-officedocument.spreadsheetml.comments+xml"/>
  <Override PartName="/xl/worksheets/sheet38.xml" ContentType="application/vnd.openxmlformats-officedocument.spreadsheetml.worksheet+xml"/>
  <Override PartName="/xl/comments/comment33.xml" ContentType="application/vnd.openxmlformats-officedocument.spreadsheetml.comments+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S Dashboard" sheetId="2" state="visible" r:id="rId2"/>
    <sheet xmlns:r="http://schemas.openxmlformats.org/officeDocument/2006/relationships" name="CA Dashboard" sheetId="3" state="visible" r:id="rId3"/>
    <sheet xmlns:r="http://schemas.openxmlformats.org/officeDocument/2006/relationships" name="Product Index" sheetId="4" state="visible" r:id="rId4"/>
    <sheet xmlns:r="http://schemas.openxmlformats.org/officeDocument/2006/relationships" name="BFCM Stock" sheetId="5" state="visible" r:id="rId5"/>
    <sheet xmlns:r="http://schemas.openxmlformats.org/officeDocument/2006/relationships" name="US DC B4" sheetId="6" state="visible" r:id="rId6"/>
    <sheet xmlns:r="http://schemas.openxmlformats.org/officeDocument/2006/relationships" name="US DC B6" sheetId="7" state="visible" r:id="rId7"/>
    <sheet xmlns:r="http://schemas.openxmlformats.org/officeDocument/2006/relationships" name="US SL B6" sheetId="8" state="visible" r:id="rId8"/>
    <sheet xmlns:r="http://schemas.openxmlformats.org/officeDocument/2006/relationships" name="US SL B4" sheetId="9" state="visible" r:id="rId9"/>
    <sheet xmlns:r="http://schemas.openxmlformats.org/officeDocument/2006/relationships" name="US DC Bamboo Fitted" sheetId="10" state="visible" r:id="rId10"/>
    <sheet xmlns:r="http://schemas.openxmlformats.org/officeDocument/2006/relationships" name="US SL Bamboo Pillowcase" sheetId="11" state="visible" r:id="rId11"/>
    <sheet xmlns:r="http://schemas.openxmlformats.org/officeDocument/2006/relationships" name="US DC S4" sheetId="12" state="visible" r:id="rId12"/>
    <sheet xmlns:r="http://schemas.openxmlformats.org/officeDocument/2006/relationships" name="US DC S6" sheetId="13" state="visible" r:id="rId13"/>
    <sheet xmlns:r="http://schemas.openxmlformats.org/officeDocument/2006/relationships" name="US SSS4" sheetId="14" state="visible" r:id="rId14"/>
    <sheet xmlns:r="http://schemas.openxmlformats.org/officeDocument/2006/relationships" name="US SL Satin 6pc" sheetId="15" state="visible" r:id="rId15"/>
    <sheet xmlns:r="http://schemas.openxmlformats.org/officeDocument/2006/relationships" name="US DC Satin Fitted" sheetId="16" state="visible" r:id="rId16"/>
    <sheet xmlns:r="http://schemas.openxmlformats.org/officeDocument/2006/relationships" name="US DC Silk Pillowcase" sheetId="17" state="visible" r:id="rId17"/>
    <sheet xmlns:r="http://schemas.openxmlformats.org/officeDocument/2006/relationships" name="US SL Mask Contoured" sheetId="18" state="visible" r:id="rId18"/>
    <sheet xmlns:r="http://schemas.openxmlformats.org/officeDocument/2006/relationships" name="US SL Mask Velcro" sheetId="19" state="visible" r:id="rId19"/>
    <sheet xmlns:r="http://schemas.openxmlformats.org/officeDocument/2006/relationships" name="US DC Cooling 4pc" sheetId="20" state="visible" r:id="rId20"/>
    <sheet xmlns:r="http://schemas.openxmlformats.org/officeDocument/2006/relationships" name="US SL Cooling 4pc" sheetId="21" state="visible" r:id="rId21"/>
    <sheet xmlns:r="http://schemas.openxmlformats.org/officeDocument/2006/relationships" name="US SL Cooling 6pc" sheetId="22" state="visible" r:id="rId22"/>
    <sheet xmlns:r="http://schemas.openxmlformats.org/officeDocument/2006/relationships" name="US CL Cooling Sheets" sheetId="23" state="visible" r:id="rId23"/>
    <sheet xmlns:r="http://schemas.openxmlformats.org/officeDocument/2006/relationships" name="US CL Pillowcases" sheetId="24" state="visible" r:id="rId24"/>
    <sheet xmlns:r="http://schemas.openxmlformats.org/officeDocument/2006/relationships" name="US SL Cooling Pillowcase" sheetId="25" state="visible" r:id="rId25"/>
    <sheet xmlns:r="http://schemas.openxmlformats.org/officeDocument/2006/relationships" name="US SL Cooling Comforter" sheetId="26" state="visible" r:id="rId26"/>
    <sheet xmlns:r="http://schemas.openxmlformats.org/officeDocument/2006/relationships" name="US SL Cooling Fitted" sheetId="27" state="visible" r:id="rId27"/>
    <sheet xmlns:r="http://schemas.openxmlformats.org/officeDocument/2006/relationships" name="US SL Quilt Set" sheetId="28" state="visible" r:id="rId28"/>
    <sheet xmlns:r="http://schemas.openxmlformats.org/officeDocument/2006/relationships" name="US DC Linen Curtains" sheetId="29" state="visible" r:id="rId29"/>
    <sheet xmlns:r="http://schemas.openxmlformats.org/officeDocument/2006/relationships" name="US DC Beach Towel" sheetId="30" state="visible" r:id="rId30"/>
    <sheet xmlns:r="http://schemas.openxmlformats.org/officeDocument/2006/relationships" name="US DC Welcome Sign" sheetId="31" state="visible" r:id="rId31"/>
    <sheet xmlns:r="http://schemas.openxmlformats.org/officeDocument/2006/relationships" name="US DC Chair Cover" sheetId="32" state="visible" r:id="rId32"/>
    <sheet xmlns:r="http://schemas.openxmlformats.org/officeDocument/2006/relationships" name="CA DC B4" sheetId="33" state="visible" r:id="rId33"/>
    <sheet xmlns:r="http://schemas.openxmlformats.org/officeDocument/2006/relationships" name="CA DC B6" sheetId="34" state="visible" r:id="rId34"/>
    <sheet xmlns:r="http://schemas.openxmlformats.org/officeDocument/2006/relationships" name="CA DC S4" sheetId="35" state="visible" r:id="rId35"/>
    <sheet xmlns:r="http://schemas.openxmlformats.org/officeDocument/2006/relationships" name="CA DC S6" sheetId="36" state="visible" r:id="rId36"/>
    <sheet xmlns:r="http://schemas.openxmlformats.org/officeDocument/2006/relationships" name="CA SSS4" sheetId="37" state="visible" r:id="rId37"/>
    <sheet xmlns:r="http://schemas.openxmlformats.org/officeDocument/2006/relationships" name="CA DC Satin Fitted" sheetId="38" state="visible" r:id="rId38"/>
    <sheet xmlns:r="http://schemas.openxmlformats.org/officeDocument/2006/relationships" name="Data Check" sheetId="39" state="visible" r:id="rId39"/>
    <sheet xmlns:r="http://schemas.openxmlformats.org/officeDocument/2006/relationships" name="Data Gaps" sheetId="40" state="visible" r:id="rId40"/>
    <sheet xmlns:r="http://schemas.openxmlformats.org/officeDocument/2006/relationships" name="Data" sheetId="41" state="hidden" r:id="rId41"/>
    <sheet xmlns:r="http://schemas.openxmlformats.org/officeDocument/2006/relationships" name="Lists" sheetId="42" state="hidden" r:id="rId42"/>
    <sheet xmlns:r="http://schemas.openxmlformats.org/officeDocument/2006/relationships" name="Lookup" sheetId="43" state="hidden" r:id="rId43"/>
  </sheets>
  <definedNames>
    <definedName name="Products_US">Lists!$A$1:$A$28</definedName>
    <definedName name="Products_CA">Lists!$B$1:$B$7</definedName>
    <definedName name="Brands">Lists!$C$1:$C$246</definedName>
    <definedName name="Tiers">Lists!$D$1:$D$5</definedName>
    <definedName name="Families">Lists!$E$1:$E$6</definedName>
    <definedName name="Types">Lists!$F$1:$F$6</definedName>
    <definedName name="_xlnm._FilterDatabase" localSheetId="4" hidden="1">'BFCM Stock'!$A$37:$T$1420</definedName>
    <definedName name="_xlnm._FilterDatabase" localSheetId="5" hidden="1">'US DC B4'!$B$124:$BK$185</definedName>
    <definedName name="_xlnm._FilterDatabase" localSheetId="6" hidden="1">'US DC B6'!$B$129:$BK$190</definedName>
    <definedName name="_xlnm._FilterDatabase" localSheetId="7" hidden="1">'US SL B6'!$B$125:$BK$155</definedName>
    <definedName name="_xlnm._FilterDatabase" localSheetId="8" hidden="1">'US SL B4'!$B$121:$BK$149</definedName>
    <definedName name="_xlnm._FilterDatabase" localSheetId="9" hidden="1">'US DC Bamboo Fitted'!$B$53:$BK$68</definedName>
    <definedName name="_xlnm._FilterDatabase" localSheetId="10" hidden="1">'US SL Bamboo Pillowcase'!$B$85:$BK$91</definedName>
    <definedName name="_xlnm._FilterDatabase" localSheetId="11" hidden="1">'US DC S4'!$B$161:$BK$187</definedName>
    <definedName name="_xlnm._FilterDatabase" localSheetId="12" hidden="1">'US DC S6'!$B$161:$BK$187</definedName>
    <definedName name="_xlnm._FilterDatabase" localSheetId="13" hidden="1">'US SSS4'!$B$158:$BK$187</definedName>
    <definedName name="_xlnm._FilterDatabase" localSheetId="14" hidden="1">'US SL Satin 6pc'!$B$147:$BK$174</definedName>
    <definedName name="_xlnm._FilterDatabase" localSheetId="15" hidden="1">'US DC Satin Fitted'!$B$111:$BK$125</definedName>
    <definedName name="_xlnm._FilterDatabase" localSheetId="16" hidden="1">'US DC Silk Pillowcase'!$B$60:$BK$89</definedName>
    <definedName name="_xlnm._FilterDatabase" localSheetId="17" hidden="1">'US SL Mask Contoured'!$B$43:$BK$70</definedName>
    <definedName name="_xlnm._FilterDatabase" localSheetId="18" hidden="1">'US SL Mask Velcro'!$B$43:$BK$58</definedName>
    <definedName name="_xlnm._FilterDatabase" localSheetId="19" hidden="1">'US DC Cooling 4pc'!$B$106:$BK$134</definedName>
    <definedName name="_xlnm._FilterDatabase" localSheetId="20" hidden="1">'US SL Cooling 4pc'!$B$102:$BK$138</definedName>
    <definedName name="_xlnm._FilterDatabase" localSheetId="21" hidden="1">'US SL Cooling 6pc'!$B$91:$BK$98</definedName>
    <definedName name="_xlnm._FilterDatabase" localSheetId="22" hidden="1">'US CL Cooling Sheets'!$B$92:$BK$130</definedName>
    <definedName name="_xlnm._FilterDatabase" localSheetId="23" hidden="1">'US CL Pillowcases'!$B$43:$BK$58</definedName>
    <definedName name="_xlnm._FilterDatabase" localSheetId="24" hidden="1">'US SL Cooling Pillowcase'!$B$52:$BK$73</definedName>
    <definedName name="_xlnm._FilterDatabase" localSheetId="25" hidden="1">'US SL Cooling Comforter'!$B$62:$BK$80</definedName>
    <definedName name="_xlnm._FilterDatabase" localSheetId="26" hidden="1">'US SL Cooling Fitted'!$B$106:$BK$117</definedName>
    <definedName name="_xlnm._FilterDatabase" localSheetId="27" hidden="1">'US SL Quilt Set'!$B$60:$BK$79</definedName>
    <definedName name="_xlnm._FilterDatabase" localSheetId="28" hidden="1">'US DC Linen Curtains'!$B$80:$BK$101</definedName>
    <definedName name="_xlnm._FilterDatabase" localSheetId="29" hidden="1">'US DC Beach Towel'!$B$52:$BK$65</definedName>
    <definedName name="_xlnm._FilterDatabase" localSheetId="30" hidden="1">'US DC Welcome Sign'!$B$46:$BK$63</definedName>
    <definedName name="_xlnm._FilterDatabase" localSheetId="31" hidden="1">'US DC Chair Cover'!$B$53:$BK$76</definedName>
    <definedName name="_xlnm._FilterDatabase" localSheetId="32" hidden="1">'CA DC B4'!$B$123:$BK$138</definedName>
    <definedName name="_xlnm._FilterDatabase" localSheetId="33" hidden="1">'CA DC B6'!$B$122:$BK$130</definedName>
    <definedName name="_xlnm._FilterDatabase" localSheetId="34" hidden="1">'CA DC S4'!$B$168:$BK$183</definedName>
    <definedName name="_xlnm._FilterDatabase" localSheetId="35" hidden="1">'CA DC S6'!$B$159:$BK$174</definedName>
    <definedName name="_xlnm._FilterDatabase" localSheetId="36" hidden="1">'CA SSS4'!$B$157:$BK$172</definedName>
    <definedName name="_xlnm._FilterDatabase" localSheetId="37" hidden="1">'CA DC Satin Fitted'!$B$109:$BK$124</definedName>
  </definedNames>
  <calcPr calcId="124519" fullCalcOnLoad="1"/>
</workbook>
</file>

<file path=xl/styles.xml><?xml version="1.0" encoding="utf-8"?>
<styleSheet xmlns="http://schemas.openxmlformats.org/spreadsheetml/2006/main">
  <numFmts count="15">
    <numFmt numFmtId="164" formatCode="$#,##0.00"/>
    <numFmt numFmtId="165" formatCode="0.0"/>
    <numFmt numFmtId="166" formatCode="$#,##0"/>
    <numFmt numFmtId="167" formatCode="0.0&quot;%&quot;"/>
    <numFmt numFmtId="168" formatCode="0.00&quot;%&quot;"/>
    <numFmt numFmtId="169" formatCode="0.0%"/>
    <numFmt numFmtId="170" formatCode="+0%;-0%;0%"/>
    <numFmt numFmtId="171" formatCode="yyyy-mm-dd"/>
    <numFmt numFmtId="172" formatCode="0.00&quot;x&quot;"/>
    <numFmt numFmtId="173" formatCode="0.0&quot;x&quot;"/>
    <numFmt numFmtId="174" formatCode="&quot;$&quot;#,##0.00"/>
    <numFmt numFmtId="175" formatCode="&quot;C$&quot;#,##0.00"/>
    <numFmt numFmtId="176" formatCode="#,##0.0"/>
    <numFmt numFmtId="177" formatCode="0.00x"/>
    <numFmt numFmtId="178" formatCode="mmm d"/>
  </numFmts>
  <fonts count="51">
    <font>
      <name val="Calibri"/>
      <family val="2"/>
      <color theme="1"/>
      <sz val="11"/>
      <scheme val="minor"/>
    </font>
    <font>
      <name val="Comfortaa"/>
      <b val="1"/>
      <color rgb="00FFFFFF"/>
      <sz val="14"/>
    </font>
    <font>
      <name val="Comfortaa"/>
      <color rgb="000563C1"/>
      <sz val="9"/>
      <u val="single"/>
    </font>
    <font>
      <name val="Comfortaa"/>
      <b val="1"/>
      <color rgb="001F3864"/>
      <sz val="11"/>
    </font>
    <font>
      <name val="Comfortaa"/>
      <b val="1"/>
      <color rgb="005B6B82"/>
      <sz val="8"/>
    </font>
    <font>
      <name val="Comfortaa"/>
      <b val="1"/>
      <sz val="9"/>
    </font>
    <font>
      <name val="Comfortaa"/>
      <sz val="9"/>
    </font>
    <font>
      <name val="Comfortaa"/>
      <b val="1"/>
      <color rgb="005B6B82"/>
      <sz val="7"/>
    </font>
    <font>
      <name val="Comfortaa"/>
      <b val="1"/>
      <color rgb="001B2A41"/>
      <sz val="16"/>
    </font>
    <font>
      <name val="Comfortaa"/>
      <color rgb="005B6B82"/>
      <sz val="7"/>
    </font>
    <font>
      <name val="Comfortaa"/>
      <i val="1"/>
      <color rgb="005B6B82"/>
      <sz val="8"/>
    </font>
    <font>
      <name val="Comfortaa"/>
      <b val="1"/>
      <color rgb="00FFFFFF"/>
      <sz val="8"/>
    </font>
    <font>
      <name val="Comfortaa"/>
      <color rgb="00808080"/>
      <sz val="9"/>
    </font>
    <font>
      <name val="Comfortaa"/>
      <b val="1"/>
      <color rgb="001B2A41"/>
      <sz val="8.5"/>
    </font>
    <font>
      <name val="Comfortaa"/>
      <b val="1"/>
      <color rgb="001F4E79"/>
      <sz val="8.5"/>
    </font>
    <font>
      <name val="Comfortaa"/>
      <color rgb="001F4E79"/>
      <sz val="8.5"/>
    </font>
    <font>
      <name val="Comfortaa"/>
      <b val="1"/>
      <color rgb="00C00000"/>
      <sz val="8.5"/>
    </font>
    <font>
      <name val="Comfortaa"/>
      <i val="1"/>
      <color rgb="007F6000"/>
      <sz val="8.5"/>
    </font>
    <font>
      <name val="Comfortaa"/>
      <b val="1"/>
      <color rgb="007F6000"/>
      <sz val="9"/>
    </font>
    <font>
      <name val="Comfortaa"/>
      <b val="1"/>
      <color rgb="007F6000"/>
      <sz val="10"/>
    </font>
    <font>
      <name val="Comfortaa"/>
      <b val="1"/>
      <color rgb="001F3864"/>
      <sz val="8"/>
    </font>
    <font>
      <name val="Comfortaa"/>
      <color rgb="000000FF"/>
      <sz val="9"/>
    </font>
    <font>
      <name val="Comfortaa"/>
      <color rgb="00808080"/>
      <sz val="6"/>
    </font>
    <font>
      <name val="Comfortaa"/>
      <b val="1"/>
      <color rgb="007030A0"/>
      <sz val="8.5"/>
    </font>
    <font>
      <name val="Comfortaa"/>
      <b val="1"/>
      <color rgb="00C00000"/>
      <sz val="9"/>
    </font>
    <font>
      <name val="Comfortaa"/>
      <i val="1"/>
      <color rgb="00C00000"/>
      <sz val="9"/>
    </font>
    <font>
      <name val="Comfortaa"/>
      <b val="1"/>
      <color rgb="00FFFFFF"/>
      <sz val="9"/>
    </font>
    <font>
      <name val="Comfortaa"/>
      <sz val="8"/>
    </font>
    <font>
      <name val="Comfortaa"/>
      <b val="1"/>
      <color rgb="00FFFFFF"/>
      <sz val="18"/>
    </font>
    <font>
      <name val="Comfortaa"/>
      <b val="1"/>
      <color rgb="001F3864"/>
      <sz val="9"/>
    </font>
    <font>
      <name val="Comfortaa"/>
      <i val="1"/>
      <color rgb="005B6B82"/>
      <sz val="9"/>
    </font>
    <font>
      <name val="Comfortaa"/>
      <b val="1"/>
      <color rgb="005B6B82"/>
      <sz val="9"/>
    </font>
    <font>
      <name val="Comfortaa"/>
      <b val="1"/>
      <color rgb="000000FF"/>
      <sz val="10"/>
    </font>
    <font>
      <name val="Comfortaa"/>
      <i val="1"/>
      <color rgb="00808080"/>
      <sz val="8"/>
    </font>
    <font>
      <name val="Comfortaa"/>
      <b val="1"/>
      <color rgb="001B2A41"/>
      <sz val="15"/>
    </font>
    <font>
      <name val="Comfortaa"/>
      <b val="1"/>
      <sz val="8"/>
    </font>
    <font>
      <name val="Comfortaa"/>
      <b val="1"/>
      <sz val="16"/>
    </font>
    <font>
      <name val="Comfortaa"/>
      <i val="1"/>
      <sz val="9"/>
    </font>
    <font>
      <name val="Comfortaa"/>
      <b val="1"/>
      <sz val="11"/>
    </font>
    <font>
      <name val="Comfortaa"/>
      <sz val="10"/>
    </font>
    <font>
      <name val="Comfortaa"/>
      <color rgb="00000000"/>
      <sz val="9"/>
    </font>
    <font>
      <name val="Comfortaa"/>
      <b val="1"/>
      <sz val="10"/>
    </font>
    <font>
      <name val="Comfortaa"/>
      <b val="1"/>
      <sz val="14"/>
    </font>
    <font>
      <name val="Comfortaa"/>
      <i val="1"/>
      <sz val="8"/>
    </font>
    <font>
      <name val="Comfortaa"/>
      <b val="1"/>
      <color rgb="001F3864"/>
      <sz val="13"/>
    </font>
    <font>
      <name val="Comfortaa"/>
      <i val="1"/>
      <sz val="8.5"/>
    </font>
    <font>
      <name val="Comfortaa"/>
      <sz val="8.5"/>
    </font>
    <font>
      <name val="Comfortaa"/>
      <b val="1"/>
      <color rgb="001F3864"/>
      <sz val="10"/>
    </font>
    <font>
      <name val="Comfortaa"/>
      <color rgb="00000000"/>
      <sz val="8.5"/>
    </font>
    <font>
      <name val="Comfortaa"/>
      <color rgb="000000FF"/>
      <sz val="8.5"/>
    </font>
    <font>
      <name val="Comfortaa"/>
      <b val="1"/>
      <color rgb="00C00000"/>
      <sz val="9"/>
      <u val="single"/>
    </font>
  </fonts>
  <fills count="18">
    <fill>
      <patternFill/>
    </fill>
    <fill>
      <patternFill patternType="gray125"/>
    </fill>
    <fill>
      <patternFill patternType="solid">
        <fgColor rgb="001F3864"/>
      </patternFill>
    </fill>
    <fill>
      <patternFill patternType="solid">
        <fgColor rgb="00E8EDF5"/>
      </patternFill>
    </fill>
    <fill>
      <patternFill patternType="solid">
        <fgColor rgb="00F7F9FC"/>
      </patternFill>
    </fill>
    <fill>
      <patternFill patternType="solid">
        <fgColor rgb="00F8CBAD"/>
      </patternFill>
    </fill>
    <fill>
      <patternFill patternType="solid">
        <fgColor rgb="00FFF2CC"/>
      </patternFill>
    </fill>
    <fill>
      <patternFill patternType="solid">
        <fgColor rgb="00F2F2F2"/>
      </patternFill>
    </fill>
    <fill>
      <patternFill patternType="solid">
        <fgColor rgb="00DDEBF7"/>
      </patternFill>
    </fill>
    <fill>
      <patternFill patternType="solid">
        <fgColor rgb="00EDE7F6"/>
      </patternFill>
    </fill>
    <fill>
      <patternFill patternType="solid">
        <fgColor rgb="00E2EFDA"/>
      </patternFill>
    </fill>
    <fill>
      <patternFill patternType="solid">
        <fgColor rgb="00FCE4D6"/>
      </patternFill>
    </fill>
    <fill>
      <patternFill patternType="solid">
        <fgColor rgb="00FFFF99"/>
      </patternFill>
    </fill>
    <fill>
      <patternFill patternType="solid">
        <fgColor rgb="00C6EFCE"/>
      </patternFill>
    </fill>
    <fill>
      <patternFill patternType="solid">
        <fgColor rgb="00FFEB9C"/>
      </patternFill>
    </fill>
    <fill>
      <patternFill patternType="solid">
        <fgColor rgb="00EDEDED"/>
      </patternFill>
    </fill>
    <fill>
      <patternFill patternType="solid">
        <fgColor rgb="00FFFFFF"/>
      </patternFill>
    </fill>
    <fill>
      <patternFill patternType="solid">
        <fgColor rgb="00D9D9D9"/>
      </patternFill>
    </fill>
  </fills>
  <borders count="6">
    <border>
      <left/>
      <right/>
      <top/>
      <bottom/>
      <diagonal/>
    </border>
    <border>
      <left style="thin">
        <color rgb="00C9D1DE"/>
      </left>
      <right style="thin">
        <color rgb="00C9D1DE"/>
      </right>
      <top style="thin">
        <color rgb="00C9D1DE"/>
      </top>
      <bottom style="thin">
        <color rgb="00C9D1DE"/>
      </bottom>
    </border>
    <border>
      <left/>
      <right/>
      <top style="thin">
        <color rgb="00C9D1DE"/>
      </top>
      <bottom/>
      <diagonal/>
    </border>
    <border>
      <left/>
      <right style="thin">
        <color rgb="00C9D1DE"/>
      </right>
      <top style="thin">
        <color rgb="00C9D1DE"/>
      </top>
      <bottom/>
      <diagonal/>
    </border>
    <border>
      <left/>
      <right/>
      <top style="thin">
        <color rgb="00C9D1DE"/>
      </top>
      <bottom style="thin">
        <color rgb="00C9D1DE"/>
      </bottom>
      <diagonal/>
    </border>
    <border>
      <left/>
      <right style="thin">
        <color rgb="00C9D1DE"/>
      </right>
      <top style="thin">
        <color rgb="00C9D1DE"/>
      </top>
      <bottom style="thin">
        <color rgb="00C9D1DE"/>
      </bottom>
      <diagonal/>
    </border>
  </borders>
  <cellStyleXfs count="1">
    <xf numFmtId="0" fontId="0" fillId="0" borderId="0"/>
  </cellStyleXfs>
  <cellXfs count="150">
    <xf numFmtId="0" fontId="0" fillId="0" borderId="0" pivotButton="0" quotePrefix="0" xfId="0"/>
    <xf numFmtId="0" fontId="36" fillId="0" borderId="0" applyAlignment="1" pivotButton="0" quotePrefix="0" xfId="0">
      <alignment vertical="top" wrapText="1"/>
    </xf>
    <xf numFmtId="0" fontId="37" fillId="0" borderId="0" applyAlignment="1" pivotButton="0" quotePrefix="0" xfId="0">
      <alignment vertical="top" wrapText="1"/>
    </xf>
    <xf numFmtId="0" fontId="0"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28" fillId="2" borderId="0" applyAlignment="1" pivotButton="0" quotePrefix="0" xfId="0">
      <alignment vertical="center" indent="1"/>
    </xf>
    <xf numFmtId="0" fontId="30" fillId="0" borderId="0" pivotButton="0" quotePrefix="0" xfId="0"/>
    <xf numFmtId="0" fontId="29" fillId="0" borderId="0" pivotButton="0" quotePrefix="0" xfId="0"/>
    <xf numFmtId="0" fontId="31" fillId="0" borderId="0" pivotButton="0" quotePrefix="0" xfId="0"/>
    <xf numFmtId="0" fontId="32" fillId="12" borderId="1" pivotButton="0" quotePrefix="0" xfId="0"/>
    <xf numFmtId="0" fontId="33" fillId="0" borderId="0" pivotButton="0" quotePrefix="0" xfId="0"/>
    <xf numFmtId="0" fontId="0" fillId="0" borderId="1"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center" wrapText="1"/>
    </xf>
    <xf numFmtId="0" fontId="7" fillId="4" borderId="0" applyAlignment="1" pivotButton="0" quotePrefix="0" xfId="0">
      <alignment horizontal="center" vertical="center" wrapText="1"/>
    </xf>
    <xf numFmtId="0" fontId="6" fillId="0" borderId="0" applyAlignment="1" pivotButton="0" quotePrefix="0" xfId="0">
      <alignment vertical="center" wrapText="1"/>
    </xf>
    <xf numFmtId="3" fontId="34" fillId="4" borderId="0" applyAlignment="1" pivotButton="0" quotePrefix="0" xfId="0">
      <alignment horizontal="center" vertical="center" wrapText="1"/>
    </xf>
    <xf numFmtId="0" fontId="34" fillId="4" borderId="0" applyAlignment="1" pivotButton="0" quotePrefix="0" xfId="0">
      <alignment horizontal="center" vertical="center" wrapText="1"/>
    </xf>
    <xf numFmtId="174" fontId="6" fillId="0" borderId="0" applyAlignment="1" pivotButton="0" quotePrefix="0" xfId="0">
      <alignment vertical="center" wrapText="1"/>
    </xf>
    <xf numFmtId="3" fontId="6" fillId="0" borderId="0" applyAlignment="1" pivotButton="0" quotePrefix="0" xfId="0">
      <alignment vertical="center" wrapText="1"/>
    </xf>
    <xf numFmtId="174" fontId="34" fillId="4" borderId="0" applyAlignment="1" pivotButton="0" quotePrefix="0" xfId="0">
      <alignment horizontal="center" vertical="center" wrapText="1"/>
    </xf>
    <xf numFmtId="169" fontId="34" fillId="4" borderId="0" applyAlignment="1" pivotButton="0" quotePrefix="0" xfId="0">
      <alignment horizontal="center" vertical="center" wrapText="1"/>
    </xf>
    <xf numFmtId="0" fontId="2" fillId="0" borderId="0" pivotButton="0" quotePrefix="0" xfId="0"/>
    <xf numFmtId="172" fontId="6" fillId="0" borderId="0" applyAlignment="1" pivotButton="0" quotePrefix="0" xfId="0">
      <alignment vertical="center" wrapText="1"/>
    </xf>
    <xf numFmtId="0" fontId="3" fillId="3" borderId="0" pivotButton="0" quotePrefix="0" xfId="0"/>
    <xf numFmtId="0" fontId="11" fillId="2" borderId="1" applyAlignment="1" pivotButton="0" quotePrefix="0" xfId="0">
      <alignment horizontal="center" vertical="center" wrapText="1"/>
    </xf>
    <xf numFmtId="0" fontId="27" fillId="0" borderId="1" applyAlignment="1" pivotButton="0" quotePrefix="0" xfId="0">
      <alignment vertical="top" wrapText="1"/>
    </xf>
    <xf numFmtId="0" fontId="27" fillId="0" borderId="1" applyAlignment="1" pivotButton="0" quotePrefix="0" xfId="0">
      <alignment horizontal="center" vertical="center" wrapText="1"/>
    </xf>
    <xf numFmtId="0" fontId="35" fillId="0" borderId="1" applyAlignment="1" pivotButton="0" quotePrefix="0" xfId="0">
      <alignment vertical="top" wrapText="1"/>
    </xf>
    <xf numFmtId="174" fontId="27" fillId="0" borderId="1" applyAlignment="1" pivotButton="0" quotePrefix="0" xfId="0">
      <alignment vertical="top" wrapText="1"/>
    </xf>
    <xf numFmtId="9" fontId="27" fillId="0" borderId="1" applyAlignment="1" pivotButton="0" quotePrefix="0" xfId="0">
      <alignment vertical="top" wrapText="1"/>
    </xf>
    <xf numFmtId="170" fontId="27" fillId="0" borderId="1" applyAlignment="1" pivotButton="0" quotePrefix="0" xfId="0">
      <alignment vertical="top" wrapText="1"/>
    </xf>
    <xf numFmtId="3" fontId="27" fillId="0" borderId="1" applyAlignment="1" pivotButton="0" quotePrefix="0" xfId="0">
      <alignment vertical="top" wrapText="1"/>
    </xf>
    <xf numFmtId="165" fontId="27" fillId="0" borderId="1" applyAlignment="1" pivotButton="0" quotePrefix="0" xfId="0">
      <alignment vertical="top" wrapText="1"/>
    </xf>
    <xf numFmtId="175" fontId="6" fillId="0" borderId="0" applyAlignment="1" pivotButton="0" quotePrefix="0" xfId="0">
      <alignment vertical="center" wrapText="1"/>
    </xf>
    <xf numFmtId="175" fontId="34" fillId="4" borderId="0" applyAlignment="1" pivotButton="0" quotePrefix="0" xfId="0">
      <alignment horizontal="center" vertical="center" wrapText="1"/>
    </xf>
    <xf numFmtId="175" fontId="27" fillId="0" borderId="1" applyAlignment="1" pivotButton="0" quotePrefix="0" xfId="0">
      <alignment vertical="top" wrapText="1"/>
    </xf>
    <xf numFmtId="0" fontId="2" fillId="0" borderId="1" applyAlignment="1" pivotButton="0" quotePrefix="0" xfId="0">
      <alignment vertical="top" wrapText="1"/>
    </xf>
    <xf numFmtId="0" fontId="6" fillId="0" borderId="1" applyAlignment="1" pivotButton="0" quotePrefix="0" xfId="0">
      <alignment vertical="top" wrapText="1"/>
    </xf>
    <xf numFmtId="164" fontId="6" fillId="0" borderId="1" applyAlignment="1" pivotButton="0" quotePrefix="0" xfId="0">
      <alignment vertical="top" wrapText="1"/>
    </xf>
    <xf numFmtId="172" fontId="6" fillId="0" borderId="1" applyAlignment="1" pivotButton="0" quotePrefix="0" xfId="0">
      <alignment vertical="top" wrapText="1"/>
    </xf>
    <xf numFmtId="169" fontId="6" fillId="0" borderId="1" applyAlignment="1" pivotButton="0" quotePrefix="0" xfId="0">
      <alignment vertical="top" wrapText="1"/>
    </xf>
    <xf numFmtId="0" fontId="6" fillId="13" borderId="1" applyAlignment="1" pivotButton="0" quotePrefix="0" xfId="0">
      <alignment vertical="top" wrapText="1"/>
    </xf>
    <xf numFmtId="0" fontId="6" fillId="17" borderId="1" applyAlignment="1" pivotButton="0" quotePrefix="0" xfId="0">
      <alignment vertical="top" wrapText="1"/>
    </xf>
    <xf numFmtId="0" fontId="22" fillId="0" borderId="1" applyAlignment="1" pivotButton="0" quotePrefix="0" xfId="0">
      <alignment horizontal="center" vertical="center" wrapText="1"/>
    </xf>
    <xf numFmtId="0" fontId="6" fillId="16" borderId="1" applyAlignment="1" pivotButton="0" quotePrefix="0" xfId="0">
      <alignment vertical="top" wrapText="1"/>
    </xf>
    <xf numFmtId="0" fontId="44" fillId="0" borderId="0" pivotButton="0" quotePrefix="0" xfId="0"/>
    <xf numFmtId="0" fontId="45" fillId="0" borderId="0" applyAlignment="1" pivotButton="0" quotePrefix="0" xfId="0">
      <alignment vertical="top" wrapText="1"/>
    </xf>
    <xf numFmtId="0" fontId="46" fillId="0" borderId="1" pivotButton="0" quotePrefix="0" xfId="0"/>
    <xf numFmtId="3" fontId="46" fillId="0" borderId="1" pivotButton="0" quotePrefix="0" xfId="0"/>
    <xf numFmtId="176" fontId="46" fillId="0" borderId="1" pivotButton="0" quotePrefix="0" xfId="0"/>
    <xf numFmtId="177" fontId="46" fillId="0" borderId="1" pivotButton="0" quotePrefix="0" xfId="0"/>
    <xf numFmtId="0" fontId="47" fillId="0" borderId="0" pivotButton="0" quotePrefix="0" xfId="0"/>
    <xf numFmtId="0" fontId="48" fillId="0" borderId="1" pivotButton="0" quotePrefix="0" xfId="0"/>
    <xf numFmtId="3" fontId="49" fillId="0" borderId="1" pivotButton="0" quotePrefix="0" xfId="0"/>
    <xf numFmtId="0" fontId="48" fillId="0" borderId="1" applyAlignment="1" pivotButton="0" quotePrefix="0" xfId="0">
      <alignment vertical="top" wrapText="1"/>
    </xf>
    <xf numFmtId="4" fontId="49" fillId="0" borderId="1" pivotButton="0" quotePrefix="0" xfId="0"/>
    <xf numFmtId="177" fontId="49" fillId="0" borderId="1" pivotButton="0" quotePrefix="0" xfId="0"/>
    <xf numFmtId="3" fontId="48" fillId="0" borderId="1" pivotButton="0" quotePrefix="0" xfId="0"/>
    <xf numFmtId="178" fontId="48" fillId="0" borderId="1" pivotButton="0" quotePrefix="0" xfId="0"/>
    <xf numFmtId="0" fontId="1" fillId="2" borderId="0" applyAlignment="1" pivotButton="0" quotePrefix="0" xfId="0">
      <alignment horizontal="center" vertical="center"/>
    </xf>
    <xf numFmtId="0" fontId="1" fillId="2" borderId="0" applyAlignment="1" pivotButton="0" quotePrefix="0" xfId="0">
      <alignment vertical="center"/>
    </xf>
    <xf numFmtId="0" fontId="0" fillId="2" borderId="0" pivotButton="0" quotePrefix="0" xfId="0"/>
    <xf numFmtId="0" fontId="50" fillId="0" borderId="0" pivotButton="0" quotePrefix="0" xfId="0"/>
    <xf numFmtId="0" fontId="3" fillId="3" borderId="0" applyAlignment="1" pivotButton="0" quotePrefix="0" xfId="0">
      <alignment horizontal="center" vertical="center"/>
    </xf>
    <xf numFmtId="0" fontId="3" fillId="3" borderId="0" applyAlignment="1" pivotButton="0" quotePrefix="0" xfId="0">
      <alignment vertical="center"/>
    </xf>
    <xf numFmtId="0" fontId="0" fillId="3" borderId="0" pivotButton="0" quotePrefix="0" xfId="0"/>
    <xf numFmtId="0" fontId="6" fillId="0" borderId="0" applyAlignment="1" pivotButton="0" quotePrefix="0" xfId="0">
      <alignment vertical="center"/>
    </xf>
    <xf numFmtId="0" fontId="7" fillId="4" borderId="0" pivotButton="0" quotePrefix="0" xfId="0"/>
    <xf numFmtId="0" fontId="8" fillId="4" borderId="0" pivotButton="0" quotePrefix="0" xfId="0"/>
    <xf numFmtId="0" fontId="9" fillId="4" borderId="0" pivotButton="0" quotePrefix="0" xfId="0"/>
    <xf numFmtId="0" fontId="10" fillId="0" borderId="0" applyAlignment="1" pivotButton="0" quotePrefix="0" xfId="0">
      <alignment vertical="center"/>
    </xf>
    <xf numFmtId="164" fontId="5" fillId="0" borderId="1" applyAlignment="1" pivotButton="0" quotePrefix="0" xfId="0">
      <alignment vertical="top" wrapText="1"/>
    </xf>
    <xf numFmtId="164" fontId="12" fillId="0" borderId="1" applyAlignment="1" pivotButton="0" quotePrefix="0" xfId="0">
      <alignment vertical="top" wrapText="1"/>
    </xf>
    <xf numFmtId="0" fontId="12" fillId="0" borderId="1" applyAlignment="1" pivotButton="0" quotePrefix="0" xfId="0">
      <alignment vertical="top" wrapText="1"/>
    </xf>
    <xf numFmtId="9" fontId="6" fillId="0" borderId="1" applyAlignment="1" pivotButton="0" quotePrefix="0" xfId="0">
      <alignment vertical="top" wrapText="1"/>
    </xf>
    <xf numFmtId="3" fontId="6" fillId="0" borderId="1" applyAlignment="1" pivotButton="0" quotePrefix="0" xfId="0">
      <alignment vertical="top" wrapText="1"/>
    </xf>
    <xf numFmtId="165" fontId="6" fillId="0" borderId="1" applyAlignment="1" pivotButton="0" quotePrefix="0" xfId="0">
      <alignment vertical="top" wrapText="1"/>
    </xf>
    <xf numFmtId="0" fontId="5" fillId="5" borderId="1" applyAlignment="1" pivotButton="0" quotePrefix="0" xfId="0">
      <alignment vertical="top" wrapText="1"/>
    </xf>
    <xf numFmtId="0" fontId="11" fillId="2" borderId="1" pivotButton="0" quotePrefix="0" xfId="0"/>
    <xf numFmtId="0" fontId="0" fillId="0" borderId="4" pivotButton="0" quotePrefix="0" xfId="0"/>
    <xf numFmtId="0" fontId="0" fillId="0" borderId="5" pivotButton="0" quotePrefix="0" xfId="0"/>
    <xf numFmtId="49" fontId="6" fillId="0" borderId="1" pivotButton="0" quotePrefix="0" xfId="0"/>
    <xf numFmtId="166" fontId="6" fillId="0" borderId="1" pivotButton="0" quotePrefix="0" xfId="0"/>
    <xf numFmtId="167" fontId="6" fillId="0" borderId="1" pivotButton="0" quotePrefix="0" xfId="0"/>
    <xf numFmtId="3" fontId="6" fillId="0" borderId="1" pivotButton="0" quotePrefix="0" xfId="0"/>
    <xf numFmtId="168" fontId="6" fillId="0" borderId="1" pivotButton="0" quotePrefix="0" xfId="0"/>
    <xf numFmtId="169" fontId="6" fillId="0" borderId="1" pivotButton="0" quotePrefix="0" xfId="0"/>
    <xf numFmtId="164" fontId="6" fillId="0" borderId="1" pivotButton="0" quotePrefix="0" xfId="0"/>
    <xf numFmtId="0" fontId="10" fillId="0"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9" fillId="6" borderId="0" applyAlignment="1" pivotButton="0" quotePrefix="0" xfId="0">
      <alignment horizontal="center" vertical="center"/>
    </xf>
    <xf numFmtId="0" fontId="18" fillId="6" borderId="0" applyAlignment="1" pivotButton="0" quotePrefix="0" xfId="0">
      <alignment vertical="center"/>
    </xf>
    <xf numFmtId="0" fontId="0" fillId="6" borderId="0" pivotButton="0" quotePrefix="0" xfId="0"/>
    <xf numFmtId="0" fontId="20" fillId="7" borderId="0" applyAlignment="1" pivotButton="0" quotePrefix="0" xfId="0">
      <alignment horizontal="center" vertical="center" wrapText="1"/>
    </xf>
    <xf numFmtId="0" fontId="20" fillId="8" borderId="0" applyAlignment="1" pivotButton="0" quotePrefix="0" xfId="0">
      <alignment horizontal="center" vertical="center" wrapText="1"/>
    </xf>
    <xf numFmtId="0" fontId="20" fillId="9" borderId="0" applyAlignment="1" pivotButton="0" quotePrefix="0" xfId="0">
      <alignment horizontal="center" vertical="center" wrapText="1"/>
    </xf>
    <xf numFmtId="0" fontId="20" fillId="10" borderId="0" applyAlignment="1" pivotButton="0" quotePrefix="0" xfId="0">
      <alignment horizontal="center" vertical="center" wrapText="1"/>
    </xf>
    <xf numFmtId="0" fontId="20" fillId="6" borderId="0" applyAlignment="1" pivotButton="0" quotePrefix="0" xfId="0">
      <alignment horizontal="center" vertical="center" wrapText="1"/>
    </xf>
    <xf numFmtId="0" fontId="20" fillId="11" borderId="0" applyAlignment="1" pivotButton="0" quotePrefix="0" xfId="0">
      <alignment horizontal="center" vertical="center" wrapText="1"/>
    </xf>
    <xf numFmtId="0" fontId="6" fillId="0" borderId="1" applyAlignment="1" pivotButton="0" quotePrefix="0" xfId="0">
      <alignment vertical="top"/>
    </xf>
    <xf numFmtId="0" fontId="5" fillId="13" borderId="1" applyAlignment="1" pivotButton="0" quotePrefix="0" xfId="0">
      <alignment vertical="top"/>
    </xf>
    <xf numFmtId="0" fontId="2" fillId="0" borderId="1" applyAlignment="1" pivotButton="0" quotePrefix="0" xfId="0">
      <alignment vertical="top"/>
    </xf>
    <xf numFmtId="3" fontId="6" fillId="0" borderId="1" applyAlignment="1" pivotButton="0" quotePrefix="0" xfId="0">
      <alignment vertical="top"/>
    </xf>
    <xf numFmtId="164" fontId="6" fillId="0" borderId="1" applyAlignment="1" pivotButton="0" quotePrefix="0" xfId="0">
      <alignment vertical="top"/>
    </xf>
    <xf numFmtId="169" fontId="6" fillId="7" borderId="1" applyAlignment="1" pivotButton="0" quotePrefix="0" xfId="0">
      <alignment vertical="top"/>
    </xf>
    <xf numFmtId="0" fontId="6" fillId="7" borderId="1" applyAlignment="1" pivotButton="0" quotePrefix="0" xfId="0">
      <alignment vertical="top"/>
    </xf>
    <xf numFmtId="170" fontId="6" fillId="7" borderId="1" applyAlignment="1" pivotButton="0" quotePrefix="0" xfId="0">
      <alignment vertical="top"/>
    </xf>
    <xf numFmtId="166" fontId="6" fillId="7" borderId="1" applyAlignment="1" pivotButton="0" quotePrefix="0" xfId="0">
      <alignment vertical="top"/>
    </xf>
    <xf numFmtId="165" fontId="6" fillId="0" borderId="1" applyAlignment="1" pivotButton="0" quotePrefix="0" xfId="0">
      <alignment vertical="top"/>
    </xf>
    <xf numFmtId="171" fontId="6" fillId="0" borderId="1" applyAlignment="1" pivotButton="0" quotePrefix="0" xfId="0">
      <alignment vertical="top"/>
    </xf>
    <xf numFmtId="9" fontId="6" fillId="0" borderId="1" applyAlignment="1" pivotButton="0" quotePrefix="0" xfId="0">
      <alignment vertical="top"/>
    </xf>
    <xf numFmtId="172" fontId="6" fillId="7" borderId="1" applyAlignment="1" pivotButton="0" quotePrefix="0" xfId="0">
      <alignment vertical="top"/>
    </xf>
    <xf numFmtId="0" fontId="6" fillId="6" borderId="1" applyAlignment="1" pivotButton="0" quotePrefix="0" xfId="0">
      <alignment vertical="top"/>
    </xf>
    <xf numFmtId="164" fontId="6" fillId="6" borderId="1" applyAlignment="1" pivotButton="0" quotePrefix="0" xfId="0">
      <alignment vertical="top"/>
    </xf>
    <xf numFmtId="0" fontId="6" fillId="11" borderId="1" applyAlignment="1" pivotButton="0" quotePrefix="0" xfId="0">
      <alignment vertical="top"/>
    </xf>
    <xf numFmtId="164" fontId="6" fillId="11" borderId="1" applyAlignment="1" pivotButton="0" quotePrefix="0" xfId="0">
      <alignment vertical="top"/>
    </xf>
    <xf numFmtId="3" fontId="6" fillId="11" borderId="1" applyAlignment="1" pivotButton="0" quotePrefix="0" xfId="0">
      <alignment vertical="top"/>
    </xf>
    <xf numFmtId="173" fontId="6" fillId="7" borderId="1" applyAlignment="1" pivotButton="0" quotePrefix="0" xfId="0">
      <alignment vertical="top"/>
    </xf>
    <xf numFmtId="164" fontId="21" fillId="12" borderId="1" applyAlignment="1" pivotButton="0" quotePrefix="0" xfId="0">
      <alignment vertical="top"/>
    </xf>
    <xf numFmtId="0" fontId="21" fillId="12" borderId="1" applyAlignment="1" pivotButton="0" quotePrefix="0" xfId="0">
      <alignment vertical="top"/>
    </xf>
    <xf numFmtId="3" fontId="21" fillId="12" borderId="1" applyAlignment="1" pivotButton="0" quotePrefix="0" xfId="0">
      <alignment vertical="top"/>
    </xf>
    <xf numFmtId="0" fontId="6" fillId="14" borderId="1" applyAlignment="1" pivotButton="0" quotePrefix="0" xfId="0">
      <alignment vertical="top"/>
    </xf>
    <xf numFmtId="0" fontId="6" fillId="8" borderId="1" applyAlignment="1" pivotButton="0" quotePrefix="0" xfId="0">
      <alignment vertical="top"/>
    </xf>
    <xf numFmtId="0" fontId="6" fillId="0" borderId="0" applyAlignment="1" pivotButton="0" quotePrefix="0" xfId="0">
      <alignment vertical="top" wrapText="1"/>
    </xf>
    <xf numFmtId="0" fontId="23" fillId="0" borderId="0" applyAlignment="1" pivotButton="0" quotePrefix="0" xfId="0">
      <alignment vertical="top" wrapText="1"/>
    </xf>
    <xf numFmtId="0" fontId="24" fillId="5" borderId="0" pivotButton="0" quotePrefix="0" xfId="0"/>
    <xf numFmtId="0" fontId="25" fillId="0" borderId="0" pivotButton="0" quotePrefix="0" xfId="0"/>
    <xf numFmtId="0" fontId="6" fillId="15" borderId="1" applyAlignment="1" pivotButton="0" quotePrefix="0" xfId="0">
      <alignment vertical="top"/>
    </xf>
    <xf numFmtId="0" fontId="6" fillId="16" borderId="1" applyAlignment="1" pivotButton="0" quotePrefix="0" xfId="0">
      <alignment vertical="top"/>
    </xf>
    <xf numFmtId="0" fontId="42" fillId="0" borderId="0" pivotButton="0" quotePrefix="0" xfId="0"/>
    <xf numFmtId="0" fontId="37" fillId="0" borderId="0" pivotButton="0" quotePrefix="0" xfId="0"/>
    <xf numFmtId="0" fontId="26" fillId="2" borderId="1" applyAlignment="1" pivotButton="0" quotePrefix="0" xfId="0">
      <alignment vertical="top" wrapText="1"/>
    </xf>
    <xf numFmtId="0" fontId="40" fillId="0" borderId="1" applyAlignment="1" pivotButton="0" quotePrefix="0" xfId="0">
      <alignment vertical="top" wrapText="1"/>
    </xf>
    <xf numFmtId="0" fontId="40" fillId="13" borderId="1" applyAlignment="1" pivotButton="0" quotePrefix="0" xfId="0">
      <alignment vertical="top" wrapText="1"/>
    </xf>
    <xf numFmtId="0" fontId="40" fillId="14" borderId="1" applyAlignment="1" pivotButton="0" quotePrefix="0" xfId="0">
      <alignment vertical="top" wrapText="1"/>
    </xf>
    <xf numFmtId="0" fontId="40" fillId="5" borderId="1" applyAlignment="1" pivotButton="0" quotePrefix="0" xfId="0">
      <alignment vertical="top" wrapText="1"/>
    </xf>
    <xf numFmtId="0" fontId="38" fillId="0" borderId="0" pivotButton="0" quotePrefix="0" xfId="0"/>
    <xf numFmtId="164" fontId="40" fillId="0" borderId="1" applyAlignment="1" pivotButton="0" quotePrefix="0" xfId="0">
      <alignment vertical="top" wrapText="1"/>
    </xf>
    <xf numFmtId="0" fontId="43" fillId="0" borderId="0" pivotButton="0" quotePrefix="0" xfId="0"/>
    <xf numFmtId="0" fontId="41" fillId="0" borderId="0" pivotButton="0" quotePrefix="0" xfId="0"/>
    <xf numFmtId="0" fontId="6" fillId="0" borderId="0" pivotButton="0" quotePrefix="0" xfId="0"/>
    <xf numFmtId="0" fontId="26" fillId="2" borderId="0" pivotButton="0" quotePrefix="0" xfId="0"/>
    <xf numFmtId="0" fontId="27" fillId="0" borderId="0" pivotButton="0" quotePrefix="0" xfId="0"/>
    <xf numFmtId="0" fontId="5" fillId="0" borderId="0" pivotButton="0" quotePrefix="0" xfId="0"/>
  </cellXfs>
  <cellStyles count="1">
    <cellStyle name="Normal" xfId="0" builtinId="0" hidden="0"/>
  </cellStyles>
  <dxfs count="6">
    <dxf>
      <fill>
        <patternFill patternType="solid">
          <fgColor rgb="00F8CBAD"/>
        </patternFill>
      </fill>
    </dxf>
    <dxf>
      <fill>
        <patternFill patternType="solid">
          <fgColor rgb="00C6EFCE"/>
        </patternFill>
      </fill>
    </dxf>
    <dxf>
      <fill>
        <patternFill patternType="solid">
          <fgColor rgb="00DDEBF7"/>
        </patternFill>
      </fill>
    </dxf>
    <dxf>
      <fill>
        <patternFill patternType="solid">
          <fgColor rgb="00FFEB9C"/>
        </patternFill>
      </fill>
    </dxf>
    <dxf>
      <fill>
        <patternFill patternType="solid">
          <fgColor rgb="00EDEDED"/>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comments/comment1.xml><?xml version="1.0" encoding="utf-8"?>
<comments xmlns="http://schemas.openxmlformats.org/spreadsheetml/2006/main">
  <authors>
    <author>Tracker</author>
  </authors>
  <commentList>
    <comment ref="A86" authorId="0" shapeId="0">
      <text>
        <t>Photo from Amazon.ca: same ASIN B0CRHYS5KT, same listing in both marketplaces.</t>
      </text>
    </comment>
    <comment ref="A88" authorId="0" shapeId="0">
      <text>
        <t>Photo from Amazon.ca: same ASIN B08KQJBRKM, same listing in both marketplaces.</t>
      </text>
    </comment>
    <comment ref="A124" authorId="0" shapeId="0">
      <text>
        <t>Live product image (Excel 365 / Google Sheets IMAGE). 'COMING SOON' picture = no verified image yet; see Data Gaps.</t>
      </text>
    </comment>
    <comment ref="D124" authorId="0" shapeId="0">
      <text>
        <t>market data mapping tier against this product.</t>
      </text>
    </comment>
    <comment ref="E124"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4" authorId="0" shapeId="0">
      <text>
        <t>Material family from the competitor's product page where checked, else its title.</t>
      </text>
    </comment>
    <comment ref="J124" authorId="0" shapeId="0">
      <text>
        <t>From the competitor's Amazon page (variation attributes, Oct 14, 2026) where captured; otherwise parsed from the title.</t>
      </text>
    </comment>
    <comment ref="K124" authorId="0" shapeId="0">
      <text>
        <t>From the competitor's Amazon page (variation attributes, Oct 14, 2026) where captured; otherwise parsed from the title.</t>
      </text>
    </comment>
    <comment ref="L124" authorId="0" shapeId="0">
      <text>
        <t>Variation count: catalog data family count, else search data child-ASIN count.</t>
      </text>
    </comment>
    <comment ref="M124" authorId="0" shapeId="0">
      <text>
        <t>The fewest child ASINs carrying 80% of this competitor's search data impressions.</t>
      </text>
    </comment>
    <comment ref="N124" authorId="0" shapeId="0">
      <text>
        <t>Newest price for this exact ASIN: Amazon page (Oct 13-14, 2026) where checked, otherwise the market data snapshot. A cell comment gives the older market data price when they differ.</t>
      </text>
    </comment>
    <comment ref="Q124" authorId="0" shapeId="0">
      <text>
        <t>How far List Price sits above price. Oct 13 page check of 154 core rivals: strikethrough shown on 2 of 3 at &lt;=12%, 13 of 13 at 12-25%, 11 of 13 above 25% - the size of the gap does not stop Amazon showing it.</t>
      </text>
    </comment>
    <comment ref="Z124" authorId="0" shapeId="0">
      <text>
        <t>Date the market data last captured this competitor's price, BSR and reviews. Orange = older than 7 days before the build.</t>
      </text>
    </comment>
    <comment ref="AD124" authorId="0" shapeId="0">
      <text>
        <t>Impression-like 7-day figure, not clicks or sales. Blank = unmeasured.</t>
      </text>
    </comment>
    <comment ref="AI124" authorId="0" shapeId="0">
      <text>
        <t>Share of their traffic on keywords where they hold a Sponsored Products placement.</t>
      </text>
    </comment>
    <comment ref="AM124" authorId="0" shapeId="0">
      <text>
        <t>Keywords both they and we rank on (our latest search data export).</t>
      </text>
    </comment>
    <comment ref="AS124" authorId="0" shapeId="0">
      <text>
        <t>Organic visibility score Jun 23-26 vs Jun 1-20, 2026 (baseline score 5+).</t>
      </text>
    </comment>
    <comment ref="AU124" authorId="0" shapeId="0">
      <text>
        <t>From the Amazon page check (str_check_&lt;date&gt;.csv). Blank = not checked yet (P2 rows).</t>
      </text>
    </comment>
    <comment ref="BD124" authorId="0" shapeId="0">
      <text>
        <t>price history: median daily lowest price (Buy Box, Lightning Deal or Prime Exclusive), Nov 1-19, 2025, end-of-day state - same basis as the BFCM low.</t>
      </text>
    </comment>
    <comment ref="BE124" authorId="0" shapeId="0">
      <text>
        <t>price history: lowest of Buy Box, Lightning Deal and Prime Exclusive price, Nov 20 - Dec 1, 2025. Coupons not netted (see Notes).</t>
      </text>
    </comment>
    <comment ref="BG124" authorId="0" shapeId="0">
      <text>
        <t>price history: median daily sales rank, Nov 1-19, 2025.</t>
      </text>
    </comment>
    <comment ref="BH124" authorId="0" shapeId="0">
      <text>
        <t>price history: median daily sales rank, Nov 20 - Dec 1, 2025. BSR lift = pre / BFCM (above 1 = sold faster).</t>
      </text>
    </comment>
    <comment ref="N129" authorId="0" shapeId="0">
      <text>
        <t>Amazon page 2026-10-14. The market data snapshot (2026-10-12) has $84.99.</t>
      </text>
    </comment>
    <comment ref="N130" authorId="0" shapeId="0">
      <text>
        <t>Amazon page 2026-10-14. The market data snapshot (2026-10-12) has $114.99.</t>
      </text>
    </comment>
    <comment ref="N134" authorId="0" shapeId="0">
      <text>
        <t>Amazon page 2026-10-14. The market data snapshot (2026-10-12) has $134.99.</t>
      </text>
    </comment>
    <comment ref="H145" authorId="0" shapeId="0">
      <text>
        <t>Amazon page, Oct 14, 2026. The market data still lists B0FH2WGKJV.</t>
      </text>
    </comment>
    <comment ref="H146" authorId="0" shapeId="0">
      <text>
        <t>Amazon page, Oct 14, 2026. The market data still lists B0GKBNZ8TC.</t>
      </text>
    </comment>
    <comment ref="N146" authorId="0" shapeId="0">
      <text>
        <t>Amazon page 2026-10-14. The market data snapshot (2026-07-20) has $129.99.</t>
      </text>
    </comment>
    <comment ref="H148" authorId="0" shapeId="0">
      <text>
        <t>Amazon page, Oct 14, 2026. The market data still lists B0HHRR4XGX.</t>
      </text>
    </comment>
    <comment ref="H151" authorId="0" shapeId="0">
      <text>
        <t>Amazon page, Oct 14, 2026. The market data still lists B0H3KP6R9B.</t>
      </text>
    </comment>
    <comment ref="H156" authorId="0" shapeId="0">
      <text>
        <t>Amazon page, Oct 14, 2026. The market data still lists B09PYKYCCF.</t>
      </text>
    </comment>
    <comment ref="N159" authorId="0" shapeId="0">
      <text>
        <t>Amazon page 2026-10-14. The market data snapshot (2026-10-12) has $76.99.</t>
      </text>
    </comment>
    <comment ref="H161" authorId="0" shapeId="0">
      <text>
        <t>Amazon page, Oct 14, 2026. The market data still lists B0F2TBWTZR.</t>
      </text>
    </comment>
    <comment ref="H166" authorId="0" shapeId="0">
      <text>
        <t>Amazon page, Oct 14, 2026. The market data still lists B0GKFHP6L6.</t>
      </text>
    </comment>
    <comment ref="N174" authorId="0" shapeId="0">
      <text>
        <t>Amazon page 2026-10-13. The market data snapshot (2026-10-12) has $84.99.</t>
      </text>
    </comment>
    <comment ref="N182" authorId="0" shapeId="0">
      <text>
        <t>Amazon page 2026-10-14. The market data snapshot (2026-10-12) has $99.00.</t>
      </text>
    </comment>
  </commentList>
</comments>
</file>

<file path=xl/comments/comment2.xml><?xml version="1.0" encoding="utf-8"?>
<comments xmlns="http://schemas.openxmlformats.org/spreadsheetml/2006/main">
  <authors>
    <author>Tracker</author>
  </authors>
  <commentList>
    <comment ref="A129" authorId="0" shapeId="0">
      <text>
        <t>Live product image (Excel 365 / Google Sheets IMAGE). 'COMING SOON' picture = no verified image yet; see Data Gaps.</t>
      </text>
    </comment>
    <comment ref="D129" authorId="0" shapeId="0">
      <text>
        <t>market data mapping tier against this product.</t>
      </text>
    </comment>
    <comment ref="E129"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9" authorId="0" shapeId="0">
      <text>
        <t>Material family from the competitor's product page where checked, else its title.</t>
      </text>
    </comment>
    <comment ref="J129" authorId="0" shapeId="0">
      <text>
        <t>From the competitor's Amazon page (variation attributes, Oct 14, 2026) where captured; otherwise parsed from the title.</t>
      </text>
    </comment>
    <comment ref="K129" authorId="0" shapeId="0">
      <text>
        <t>From the competitor's Amazon page (variation attributes, Oct 14, 2026) where captured; otherwise parsed from the title.</t>
      </text>
    </comment>
    <comment ref="L129" authorId="0" shapeId="0">
      <text>
        <t>Variation count: catalog data family count, else search data child-ASIN count.</t>
      </text>
    </comment>
    <comment ref="M129" authorId="0" shapeId="0">
      <text>
        <t>The fewest child ASINs carrying 80% of this competitor's search data impressions.</t>
      </text>
    </comment>
    <comment ref="N129" authorId="0" shapeId="0">
      <text>
        <t>Newest price for this exact ASIN: Amazon page (Oct 13-14, 2026) where checked, otherwise the market data snapshot. A cell comment gives the older market data price when they differ.</t>
      </text>
    </comment>
    <comment ref="Q129" authorId="0" shapeId="0">
      <text>
        <t>How far List Price sits above price. Oct 13 page check of 154 core rivals: strikethrough shown on 2 of 3 at &lt;=12%, 13 of 13 at 12-25%, 11 of 13 above 25% - the size of the gap does not stop Amazon showing it.</t>
      </text>
    </comment>
    <comment ref="Z129" authorId="0" shapeId="0">
      <text>
        <t>Date the market data last captured this competitor's price, BSR and reviews. Orange = older than 7 days before the build.</t>
      </text>
    </comment>
    <comment ref="AD129" authorId="0" shapeId="0">
      <text>
        <t>Impression-like 7-day figure, not clicks or sales. Blank = unmeasured.</t>
      </text>
    </comment>
    <comment ref="AI129" authorId="0" shapeId="0">
      <text>
        <t>Share of their traffic on keywords where they hold a Sponsored Products placement.</t>
      </text>
    </comment>
    <comment ref="AM129" authorId="0" shapeId="0">
      <text>
        <t>Keywords both they and we rank on (our latest search data export).</t>
      </text>
    </comment>
    <comment ref="AS129" authorId="0" shapeId="0">
      <text>
        <t>Organic visibility score Jun 23-26 vs Jun 1-20, 2026 (baseline score 5+).</t>
      </text>
    </comment>
    <comment ref="AU129" authorId="0" shapeId="0">
      <text>
        <t>From the Amazon page check (str_check_&lt;date&gt;.csv). Blank = not checked yet (P2 rows).</t>
      </text>
    </comment>
    <comment ref="BD129" authorId="0" shapeId="0">
      <text>
        <t>price history: median daily lowest price (Buy Box, Lightning Deal or Prime Exclusive), Nov 1-19, 2025, end-of-day state - same basis as the BFCM low.</t>
      </text>
    </comment>
    <comment ref="BE129" authorId="0" shapeId="0">
      <text>
        <t>price history: lowest of Buy Box, Lightning Deal and Prime Exclusive price, Nov 20 - Dec 1, 2025. Coupons not netted (see Notes).</t>
      </text>
    </comment>
    <comment ref="BG129" authorId="0" shapeId="0">
      <text>
        <t>price history: median daily sales rank, Nov 1-19, 2025.</t>
      </text>
    </comment>
    <comment ref="BH129" authorId="0" shapeId="0">
      <text>
        <t>price history: median daily sales rank, Nov 20 - Dec 1, 2025. BSR lift = pre / BFCM (above 1 = sold faster).</t>
      </text>
    </comment>
    <comment ref="N134" authorId="0" shapeId="0">
      <text>
        <t>Amazon page 2026-10-14. The market data snapshot (2026-10-12) has $84.99.</t>
      </text>
    </comment>
    <comment ref="N135" authorId="0" shapeId="0">
      <text>
        <t>Amazon page 2026-10-14. The market data snapshot (2026-10-12) has $114.99.</t>
      </text>
    </comment>
    <comment ref="N139" authorId="0" shapeId="0">
      <text>
        <t>Amazon page 2026-10-14. The market data snapshot (2026-10-12) has $134.99.</t>
      </text>
    </comment>
    <comment ref="H150" authorId="0" shapeId="0">
      <text>
        <t>Amazon page, Oct 14, 2026. The market data still lists B0FH2WGKJV.</t>
      </text>
    </comment>
    <comment ref="H151" authorId="0" shapeId="0">
      <text>
        <t>Amazon page, Oct 14, 2026. The market data still lists B0GKBNZ8TC.</t>
      </text>
    </comment>
    <comment ref="N151" authorId="0" shapeId="0">
      <text>
        <t>Amazon page 2026-10-14. The market data snapshot (2026-07-20) has $129.99.</t>
      </text>
    </comment>
    <comment ref="H153" authorId="0" shapeId="0">
      <text>
        <t>Amazon page, Oct 14, 2026. The market data still lists B0HHRR4XGX.</t>
      </text>
    </comment>
    <comment ref="H156" authorId="0" shapeId="0">
      <text>
        <t>Amazon page, Oct 14, 2026. The market data still lists B0H3KP6R9B.</t>
      </text>
    </comment>
    <comment ref="H161" authorId="0" shapeId="0">
      <text>
        <t>Amazon page, Oct 14, 2026. The market data still lists B09PYKYCCF.</t>
      </text>
    </comment>
    <comment ref="N164" authorId="0" shapeId="0">
      <text>
        <t>Amazon page 2026-10-14. The market data snapshot (2026-10-12) has $76.99.</t>
      </text>
    </comment>
    <comment ref="H166" authorId="0" shapeId="0">
      <text>
        <t>Amazon page, Oct 14, 2026. The market data still lists B0F2TBWTZR.</t>
      </text>
    </comment>
    <comment ref="H170" authorId="0" shapeId="0">
      <text>
        <t>Amazon page, Oct 14, 2026. The market data still lists B0GKFHP6L6.</t>
      </text>
    </comment>
    <comment ref="N180" authorId="0" shapeId="0">
      <text>
        <t>Amazon page 2026-10-13. The market data snapshot (2026-10-12) has $84.99.</t>
      </text>
    </comment>
    <comment ref="N187" authorId="0" shapeId="0">
      <text>
        <t>Amazon page 2026-10-14. The market data snapshot (2026-10-12) has $99.00.</t>
      </text>
    </comment>
  </commentList>
</comments>
</file>

<file path=xl/comments/comment3.xml><?xml version="1.0" encoding="utf-8"?>
<comments xmlns="http://schemas.openxmlformats.org/spreadsheetml/2006/main">
  <authors>
    <author>Tracker</author>
  </authors>
  <commentList>
    <comment ref="A125" authorId="0" shapeId="0">
      <text>
        <t>Live product image (Excel 365 / Google Sheets IMAGE). 'COMING SOON' picture = no verified image yet; see Data Gaps.</t>
      </text>
    </comment>
    <comment ref="D125" authorId="0" shapeId="0">
      <text>
        <t>market data mapping tier against this product.</t>
      </text>
    </comment>
    <comment ref="E125"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5" authorId="0" shapeId="0">
      <text>
        <t>Material family from the competitor's product page where checked, else its title.</t>
      </text>
    </comment>
    <comment ref="J125" authorId="0" shapeId="0">
      <text>
        <t>From the competitor's Amazon page (variation attributes, Oct 14, 2026) where captured; otherwise parsed from the title.</t>
      </text>
    </comment>
    <comment ref="K125" authorId="0" shapeId="0">
      <text>
        <t>From the competitor's Amazon page (variation attributes, Oct 14, 2026) where captured; otherwise parsed from the title.</t>
      </text>
    </comment>
    <comment ref="L125" authorId="0" shapeId="0">
      <text>
        <t>Variation count: catalog data family count, else search data child-ASIN count.</t>
      </text>
    </comment>
    <comment ref="M125" authorId="0" shapeId="0">
      <text>
        <t>The fewest child ASINs carrying 80% of this competitor's search data impressions.</t>
      </text>
    </comment>
    <comment ref="N125" authorId="0" shapeId="0">
      <text>
        <t>Newest price for this exact ASIN: Amazon page (Oct 13-14, 2026) where checked, otherwise the market data snapshot. A cell comment gives the older market data price when they differ.</t>
      </text>
    </comment>
    <comment ref="Q125" authorId="0" shapeId="0">
      <text>
        <t>How far List Price sits above price. Oct 13 page check of 154 core rivals: strikethrough shown on 2 of 3 at &lt;=12%, 13 of 13 at 12-25%, 11 of 13 above 25% - the size of the gap does not stop Amazon showing it.</t>
      </text>
    </comment>
    <comment ref="Z125" authorId="0" shapeId="0">
      <text>
        <t>Date the market data last captured this competitor's price, BSR and reviews. Orange = older than 7 days before the build.</t>
      </text>
    </comment>
    <comment ref="AD125" authorId="0" shapeId="0">
      <text>
        <t>Impression-like 7-day figure, not clicks or sales. Blank = unmeasured.</t>
      </text>
    </comment>
    <comment ref="AI125" authorId="0" shapeId="0">
      <text>
        <t>Share of their traffic on keywords where they hold a Sponsored Products placement.</t>
      </text>
    </comment>
    <comment ref="AM125" authorId="0" shapeId="0">
      <text>
        <t>Keywords both they and we rank on (our latest search data export).</t>
      </text>
    </comment>
    <comment ref="AS125" authorId="0" shapeId="0">
      <text>
        <t>Organic visibility score Jun 23-26 vs Jun 1-20, 2026 (baseline score 5+).</t>
      </text>
    </comment>
    <comment ref="AU125" authorId="0" shapeId="0">
      <text>
        <t>From the Amazon page check (str_check_&lt;date&gt;.csv). Blank = not checked yet (P2 rows).</t>
      </text>
    </comment>
    <comment ref="BD125" authorId="0" shapeId="0">
      <text>
        <t>price history: median daily lowest price (Buy Box, Lightning Deal or Prime Exclusive), Nov 1-19, 2025, end-of-day state - same basis as the BFCM low.</t>
      </text>
    </comment>
    <comment ref="BE125" authorId="0" shapeId="0">
      <text>
        <t>price history: lowest of Buy Box, Lightning Deal and Prime Exclusive price, Nov 20 - Dec 1, 2025. Coupons not netted (see Notes).</t>
      </text>
    </comment>
    <comment ref="BG125" authorId="0" shapeId="0">
      <text>
        <t>price history: median daily sales rank, Nov 1-19, 2025.</t>
      </text>
    </comment>
    <comment ref="BH125" authorId="0" shapeId="0">
      <text>
        <t>price history: median daily sales rank, Nov 20 - Dec 1, 2025. BSR lift = pre / BFCM (above 1 = sold faster).</t>
      </text>
    </comment>
    <comment ref="H128" authorId="0" shapeId="0">
      <text>
        <t>Amazon page, Oct 14, 2026. The market data still lists B0FH2WGKJV.</t>
      </text>
    </comment>
    <comment ref="H129" authorId="0" shapeId="0">
      <text>
        <t>Amazon page, Oct 14, 2026. The market data still lists B0GKBNZ8TC.</t>
      </text>
    </comment>
    <comment ref="N129" authorId="0" shapeId="0">
      <text>
        <t>Amazon page 2026-10-14. The market data snapshot (2026-07-20) has $129.99.</t>
      </text>
    </comment>
    <comment ref="N130" authorId="0" shapeId="0">
      <text>
        <t>Amazon page 2026-10-14. The market data snapshot (2026-10-12) has $84.99.</t>
      </text>
    </comment>
    <comment ref="N134" authorId="0" shapeId="0">
      <text>
        <t>Amazon page 2026-10-14. The market data snapshot (2026-10-12) has $134.99.</t>
      </text>
    </comment>
    <comment ref="H138" authorId="0" shapeId="0">
      <text>
        <t>Amazon page, Oct 14, 2026. The market data still lists B0H3KP6R9B.</t>
      </text>
    </comment>
    <comment ref="H143" authorId="0" shapeId="0">
      <text>
        <t>Amazon page, Oct 14, 2026. The market data still lists B09PYKYCCF.</t>
      </text>
    </comment>
    <comment ref="N146" authorId="0" shapeId="0">
      <text>
        <t>Amazon page 2026-10-14. The market data snapshot (2026-10-12) has $76.99.</t>
      </text>
    </comment>
    <comment ref="H148" authorId="0" shapeId="0">
      <text>
        <t>Amazon page, Oct 14, 2026. The market data still lists B0F2TBWTZR.</t>
      </text>
    </comment>
    <comment ref="H153" authorId="0" shapeId="0">
      <text>
        <t>Amazon page, Oct 14, 2026. The market data still lists B0GKFHP6L6.</t>
      </text>
    </comment>
  </commentList>
</comments>
</file>

<file path=xl/comments/comment4.xml><?xml version="1.0" encoding="utf-8"?>
<comments xmlns="http://schemas.openxmlformats.org/spreadsheetml/2006/main">
  <authors>
    <author>Tracker</author>
  </authors>
  <commentList>
    <comment ref="A121" authorId="0" shapeId="0">
      <text>
        <t>Live product image (Excel 365 / Google Sheets IMAGE). 'COMING SOON' picture = no verified image yet; see Data Gaps.</t>
      </text>
    </comment>
    <comment ref="D121" authorId="0" shapeId="0">
      <text>
        <t>market data mapping tier against this product.</t>
      </text>
    </comment>
    <comment ref="E121"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1" authorId="0" shapeId="0">
      <text>
        <t>Material family from the competitor's product page where checked, else its title.</t>
      </text>
    </comment>
    <comment ref="J121" authorId="0" shapeId="0">
      <text>
        <t>From the competitor's Amazon page (variation attributes, Oct 14, 2026) where captured; otherwise parsed from the title.</t>
      </text>
    </comment>
    <comment ref="K121" authorId="0" shapeId="0">
      <text>
        <t>From the competitor's Amazon page (variation attributes, Oct 14, 2026) where captured; otherwise parsed from the title.</t>
      </text>
    </comment>
    <comment ref="L121" authorId="0" shapeId="0">
      <text>
        <t>Variation count: catalog data family count, else search data child-ASIN count.</t>
      </text>
    </comment>
    <comment ref="M121" authorId="0" shapeId="0">
      <text>
        <t>The fewest child ASINs carrying 80% of this competitor's search data impressions.</t>
      </text>
    </comment>
    <comment ref="N121" authorId="0" shapeId="0">
      <text>
        <t>Newest price for this exact ASIN: Amazon page (Oct 13-14, 2026) where checked, otherwise the market data snapshot. A cell comment gives the older market data price when they differ.</t>
      </text>
    </comment>
    <comment ref="Q121" authorId="0" shapeId="0">
      <text>
        <t>How far List Price sits above price. Oct 13 page check of 154 core rivals: strikethrough shown on 2 of 3 at &lt;=12%, 13 of 13 at 12-25%, 11 of 13 above 25% - the size of the gap does not stop Amazon showing it.</t>
      </text>
    </comment>
    <comment ref="Z121" authorId="0" shapeId="0">
      <text>
        <t>Date the market data last captured this competitor's price, BSR and reviews. Orange = older than 7 days before the build.</t>
      </text>
    </comment>
    <comment ref="AD121" authorId="0" shapeId="0">
      <text>
        <t>Impression-like 7-day figure, not clicks or sales. Blank = unmeasured.</t>
      </text>
    </comment>
    <comment ref="AI121" authorId="0" shapeId="0">
      <text>
        <t>Share of their traffic on keywords where they hold a Sponsored Products placement.</t>
      </text>
    </comment>
    <comment ref="AM121" authorId="0" shapeId="0">
      <text>
        <t>Keywords both they and we rank on (our latest search data export).</t>
      </text>
    </comment>
    <comment ref="AS121" authorId="0" shapeId="0">
      <text>
        <t>Organic visibility score Jun 23-26 vs Jun 1-20, 2026 (baseline score 5+).</t>
      </text>
    </comment>
    <comment ref="AU121" authorId="0" shapeId="0">
      <text>
        <t>From the Amazon page check (str_check_&lt;date&gt;.csv). Blank = not checked yet (P2 rows).</t>
      </text>
    </comment>
    <comment ref="BD121" authorId="0" shapeId="0">
      <text>
        <t>price history: median daily lowest price (Buy Box, Lightning Deal or Prime Exclusive), Nov 1-19, 2025, end-of-day state - same basis as the BFCM low.</t>
      </text>
    </comment>
    <comment ref="BE121" authorId="0" shapeId="0">
      <text>
        <t>price history: lowest of Buy Box, Lightning Deal and Prime Exclusive price, Nov 20 - Dec 1, 2025. Coupons not netted (see Notes).</t>
      </text>
    </comment>
    <comment ref="BG121" authorId="0" shapeId="0">
      <text>
        <t>price history: median daily sales rank, Nov 1-19, 2025.</t>
      </text>
    </comment>
    <comment ref="BH121" authorId="0" shapeId="0">
      <text>
        <t>price history: median daily sales rank, Nov 20 - Dec 1, 2025. BSR lift = pre / BFCM (above 1 = sold faster).</t>
      </text>
    </comment>
    <comment ref="N124" authorId="0" shapeId="0">
      <text>
        <t>Amazon page 2026-10-14. The market data snapshot (2026-10-12) has $84.99.</t>
      </text>
    </comment>
    <comment ref="N128" authorId="0" shapeId="0">
      <text>
        <t>Amazon page 2026-10-14. The market data snapshot (2026-10-12) has $134.99.</t>
      </text>
    </comment>
    <comment ref="H132" authorId="0" shapeId="0">
      <text>
        <t>Amazon page, Oct 14, 2026. The market data still lists B0H3KP6R9B.</t>
      </text>
    </comment>
    <comment ref="H137" authorId="0" shapeId="0">
      <text>
        <t>Amazon page, Oct 14, 2026. The market data still lists B09PYKYCCF.</t>
      </text>
    </comment>
    <comment ref="N140" authorId="0" shapeId="0">
      <text>
        <t>Amazon page 2026-10-14. The market data snapshot (2026-10-12) has $76.99.</t>
      </text>
    </comment>
    <comment ref="H142" authorId="0" shapeId="0">
      <text>
        <t>Amazon page, Oct 14, 2026. The market data still lists B0F2TBWTZR.</t>
      </text>
    </comment>
    <comment ref="H147" authorId="0" shapeId="0">
      <text>
        <t>Amazon page, Oct 14, 2026. The market data still lists B0GKFHP6L6.</t>
      </text>
    </comment>
  </commentList>
</comments>
</file>

<file path=xl/comments/comment5.xml><?xml version="1.0" encoding="utf-8"?>
<comments xmlns="http://schemas.openxmlformats.org/spreadsheetml/2006/main">
  <authors>
    <author>Tracker</author>
  </authors>
  <commentList>
    <comment ref="A53" authorId="0" shapeId="0">
      <text>
        <t>Live product image (Excel 365 / Google Sheets IMAGE). 'COMING SOON' picture = no verified image yet; see Data Gaps.</t>
      </text>
    </comment>
    <comment ref="D53" authorId="0" shapeId="0">
      <text>
        <t>market data mapping tier against this product.</t>
      </text>
    </comment>
    <comment ref="E5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53" authorId="0" shapeId="0">
      <text>
        <t>Material family from the competitor's product page where checked, else its title.</t>
      </text>
    </comment>
    <comment ref="J53" authorId="0" shapeId="0">
      <text>
        <t>From the competitor's Amazon page (variation attributes, Oct 14, 2026) where captured; otherwise parsed from the title.</t>
      </text>
    </comment>
    <comment ref="K53" authorId="0" shapeId="0">
      <text>
        <t>From the competitor's Amazon page (variation attributes, Oct 14, 2026) where captured; otherwise parsed from the title.</t>
      </text>
    </comment>
    <comment ref="L53" authorId="0" shapeId="0">
      <text>
        <t>Variation count: catalog data family count, else search data child-ASIN count.</t>
      </text>
    </comment>
    <comment ref="M53" authorId="0" shapeId="0">
      <text>
        <t>The fewest child ASINs carrying 80% of this competitor's search data impressions.</t>
      </text>
    </comment>
    <comment ref="N53" authorId="0" shapeId="0">
      <text>
        <t>Newest price for this exact ASIN: Amazon page (Oct 13-14, 2026) where checked, otherwise the market data snapshot. A cell comment gives the older market data price when they differ.</t>
      </text>
    </comment>
    <comment ref="Q53" authorId="0" shapeId="0">
      <text>
        <t>How far List Price sits above price. Oct 13 page check of 154 core rivals: strikethrough shown on 2 of 3 at &lt;=12%, 13 of 13 at 12-25%, 11 of 13 above 25% - the size of the gap does not stop Amazon showing it.</t>
      </text>
    </comment>
    <comment ref="Z53" authorId="0" shapeId="0">
      <text>
        <t>Date the market data last captured this competitor's price, BSR and reviews. Orange = older than 7 days before the build.</t>
      </text>
    </comment>
    <comment ref="AD53" authorId="0" shapeId="0">
      <text>
        <t>Impression-like 7-day figure, not clicks or sales. Blank = unmeasured.</t>
      </text>
    </comment>
    <comment ref="AI53" authorId="0" shapeId="0">
      <text>
        <t>Share of their traffic on keywords where they hold a Sponsored Products placement.</t>
      </text>
    </comment>
    <comment ref="AM53" authorId="0" shapeId="0">
      <text>
        <t>Keywords both they and we rank on (our latest search data export).</t>
      </text>
    </comment>
    <comment ref="AS53" authorId="0" shapeId="0">
      <text>
        <t>Organic visibility score Jun 23-26 vs Jun 1-20, 2026 (baseline score 5+).</t>
      </text>
    </comment>
    <comment ref="AU53" authorId="0" shapeId="0">
      <text>
        <t>From the Amazon page check (str_check_&lt;date&gt;.csv). Blank = not checked yet (P2 rows).</t>
      </text>
    </comment>
    <comment ref="BD53" authorId="0" shapeId="0">
      <text>
        <t>price history: median daily lowest price (Buy Box, Lightning Deal or Prime Exclusive), Nov 1-19, 2025, end-of-day state - same basis as the BFCM low.</t>
      </text>
    </comment>
    <comment ref="BE53" authorId="0" shapeId="0">
      <text>
        <t>price history: lowest of Buy Box, Lightning Deal and Prime Exclusive price, Nov 20 - Dec 1, 2025. Coupons not netted (see Notes).</t>
      </text>
    </comment>
    <comment ref="BG53" authorId="0" shapeId="0">
      <text>
        <t>price history: median daily sales rank, Nov 1-19, 2025.</t>
      </text>
    </comment>
    <comment ref="BH53" authorId="0" shapeId="0">
      <text>
        <t>price history: median daily sales rank, Nov 20 - Dec 1, 2025. BSR lift = pre / BFCM (above 1 = sold faster).</t>
      </text>
    </comment>
    <comment ref="H54" authorId="0" shapeId="0">
      <text>
        <t>Amazon page, Oct 14, 2026. The market data still lists B0B6NZ1H4L.</t>
      </text>
    </comment>
    <comment ref="N64" authorId="0" shapeId="0">
      <text>
        <t>Amazon page 2026-10-14. The market data snapshot (2026-10-12) has $134.99.</t>
      </text>
    </comment>
    <comment ref="N66" authorId="0" shapeId="0">
      <text>
        <t>Amazon page 2026-10-14. The market data snapshot (2026-10-12) has $76.99.</t>
      </text>
    </comment>
  </commentList>
</comments>
</file>

<file path=xl/comments/comment6.xml><?xml version="1.0" encoding="utf-8"?>
<comments xmlns="http://schemas.openxmlformats.org/spreadsheetml/2006/main">
  <authors>
    <author>Tracker</author>
  </authors>
  <commentList>
    <comment ref="A85" authorId="0" shapeId="0">
      <text>
        <t>Live product image (Excel 365 / Google Sheets IMAGE). 'COMING SOON' picture = no verified image yet; see Data Gaps.</t>
      </text>
    </comment>
    <comment ref="D85" authorId="0" shapeId="0">
      <text>
        <t>market data mapping tier against this product.</t>
      </text>
    </comment>
    <comment ref="E85"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85" authorId="0" shapeId="0">
      <text>
        <t>Material family from the competitor's product page where checked, else its title.</t>
      </text>
    </comment>
    <comment ref="J85" authorId="0" shapeId="0">
      <text>
        <t>From the competitor's Amazon page (variation attributes, Oct 14, 2026) where captured; otherwise parsed from the title.</t>
      </text>
    </comment>
    <comment ref="K85" authorId="0" shapeId="0">
      <text>
        <t>From the competitor's Amazon page (variation attributes, Oct 14, 2026) where captured; otherwise parsed from the title.</t>
      </text>
    </comment>
    <comment ref="L85" authorId="0" shapeId="0">
      <text>
        <t>Variation count: catalog data family count, else search data child-ASIN count.</t>
      </text>
    </comment>
    <comment ref="M85" authorId="0" shapeId="0">
      <text>
        <t>The fewest child ASINs carrying 80% of this competitor's search data impressions.</t>
      </text>
    </comment>
    <comment ref="N85" authorId="0" shapeId="0">
      <text>
        <t>Newest price for this exact ASIN: Amazon page (Oct 13-14, 2026) where checked, otherwise the market data snapshot. A cell comment gives the older market data price when they differ.</t>
      </text>
    </comment>
    <comment ref="Q85" authorId="0" shapeId="0">
      <text>
        <t>How far List Price sits above price. Oct 13 page check of 154 core rivals: strikethrough shown on 2 of 3 at &lt;=12%, 13 of 13 at 12-25%, 11 of 13 above 25% - the size of the gap does not stop Amazon showing it.</t>
      </text>
    </comment>
    <comment ref="Z85" authorId="0" shapeId="0">
      <text>
        <t>Date the market data last captured this competitor's price, BSR and reviews. Orange = older than 7 days before the build.</t>
      </text>
    </comment>
    <comment ref="AD85" authorId="0" shapeId="0">
      <text>
        <t>Impression-like 7-day figure, not clicks or sales. Blank = unmeasured.</t>
      </text>
    </comment>
    <comment ref="AI85" authorId="0" shapeId="0">
      <text>
        <t>Share of their traffic on keywords where they hold a Sponsored Products placement.</t>
      </text>
    </comment>
    <comment ref="AM85" authorId="0" shapeId="0">
      <text>
        <t>Keywords both they and we rank on (our latest search data export).</t>
      </text>
    </comment>
    <comment ref="AS85" authorId="0" shapeId="0">
      <text>
        <t>Organic visibility score Jun 23-26 vs Jun 1-20, 2026 (baseline score 5+).</t>
      </text>
    </comment>
    <comment ref="AU85" authorId="0" shapeId="0">
      <text>
        <t>From the Amazon page check (str_check_&lt;date&gt;.csv). Blank = not checked yet (P2 rows).</t>
      </text>
    </comment>
    <comment ref="BD85" authorId="0" shapeId="0">
      <text>
        <t>price history: median daily lowest price (Buy Box, Lightning Deal or Prime Exclusive), Nov 1-19, 2025, end-of-day state - same basis as the BFCM low.</t>
      </text>
    </comment>
    <comment ref="BE85" authorId="0" shapeId="0">
      <text>
        <t>price history: lowest of Buy Box, Lightning Deal and Prime Exclusive price, Nov 20 - Dec 1, 2025. Coupons not netted (see Notes).</t>
      </text>
    </comment>
    <comment ref="BG85" authorId="0" shapeId="0">
      <text>
        <t>price history: median daily sales rank, Nov 1-19, 2025.</t>
      </text>
    </comment>
    <comment ref="BH85" authorId="0" shapeId="0">
      <text>
        <t>price history: median daily sales rank, Nov 20 - Dec 1, 2025. BSR lift = pre / BFCM (above 1 = sold faster).</t>
      </text>
    </comment>
  </commentList>
</comments>
</file>

<file path=xl/comments/comment7.xml><?xml version="1.0" encoding="utf-8"?>
<comments xmlns="http://schemas.openxmlformats.org/spreadsheetml/2006/main">
  <authors>
    <author>Tracker</author>
  </authors>
  <commentList>
    <comment ref="A161" authorId="0" shapeId="0">
      <text>
        <t>Live product image (Excel 365 / Google Sheets IMAGE). 'COMING SOON' picture = no verified image yet; see Data Gaps.</t>
      </text>
    </comment>
    <comment ref="D161" authorId="0" shapeId="0">
      <text>
        <t>market data mapping tier against this product.</t>
      </text>
    </comment>
    <comment ref="E161"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61" authorId="0" shapeId="0">
      <text>
        <t>Material family from the competitor's product page where checked, else its title.</t>
      </text>
    </comment>
    <comment ref="J161" authorId="0" shapeId="0">
      <text>
        <t>From the competitor's Amazon page (variation attributes, Oct 14, 2026) where captured; otherwise parsed from the title.</t>
      </text>
    </comment>
    <comment ref="K161" authorId="0" shapeId="0">
      <text>
        <t>From the competitor's Amazon page (variation attributes, Oct 14, 2026) where captured; otherwise parsed from the title.</t>
      </text>
    </comment>
    <comment ref="L161" authorId="0" shapeId="0">
      <text>
        <t>Variation count: catalog data family count, else search data child-ASIN count.</t>
      </text>
    </comment>
    <comment ref="M161" authorId="0" shapeId="0">
      <text>
        <t>The fewest child ASINs carrying 80% of this competitor's search data impressions.</t>
      </text>
    </comment>
    <comment ref="N161" authorId="0" shapeId="0">
      <text>
        <t>Newest price for this exact ASIN: Amazon page (Oct 13-14, 2026) where checked, otherwise the market data snapshot. A cell comment gives the older market data price when they differ.</t>
      </text>
    </comment>
    <comment ref="Q161" authorId="0" shapeId="0">
      <text>
        <t>How far List Price sits above price. Oct 13 page check of 154 core rivals: strikethrough shown on 2 of 3 at &lt;=12%, 13 of 13 at 12-25%, 11 of 13 above 25% - the size of the gap does not stop Amazon showing it.</t>
      </text>
    </comment>
    <comment ref="Z161" authorId="0" shapeId="0">
      <text>
        <t>Date the market data last captured this competitor's price, BSR and reviews. Orange = older than 7 days before the build.</t>
      </text>
    </comment>
    <comment ref="AD161" authorId="0" shapeId="0">
      <text>
        <t>Impression-like 7-day figure, not clicks or sales. Blank = unmeasured.</t>
      </text>
    </comment>
    <comment ref="AI161" authorId="0" shapeId="0">
      <text>
        <t>Share of their traffic on keywords where they hold a Sponsored Products placement.</t>
      </text>
    </comment>
    <comment ref="AM161" authorId="0" shapeId="0">
      <text>
        <t>Keywords both they and we rank on (our latest search data export).</t>
      </text>
    </comment>
    <comment ref="AS161" authorId="0" shapeId="0">
      <text>
        <t>Organic visibility score Jun 23-26 vs Jun 1-20, 2026 (baseline score 5+).</t>
      </text>
    </comment>
    <comment ref="AU161" authorId="0" shapeId="0">
      <text>
        <t>From the Amazon page check (str_check_&lt;date&gt;.csv). Blank = not checked yet (P2 rows).</t>
      </text>
    </comment>
    <comment ref="BD161" authorId="0" shapeId="0">
      <text>
        <t>price history: median daily lowest price (Buy Box, Lightning Deal or Prime Exclusive), Nov 1-19, 2025, end-of-day state - same basis as the BFCM low.</t>
      </text>
    </comment>
    <comment ref="BE161" authorId="0" shapeId="0">
      <text>
        <t>price history: lowest of Buy Box, Lightning Deal and Prime Exclusive price, Nov 20 - Dec 1, 2025. Coupons not netted (see Notes).</t>
      </text>
    </comment>
    <comment ref="BG161" authorId="0" shapeId="0">
      <text>
        <t>price history: median daily sales rank, Nov 1-19, 2025.</t>
      </text>
    </comment>
    <comment ref="BH161" authorId="0" shapeId="0">
      <text>
        <t>price history: median daily sales rank, Nov 20 - Dec 1, 2025. BSR lift = pre / BFCM (above 1 = sold faster).</t>
      </text>
    </comment>
    <comment ref="N172" authorId="0" shapeId="0">
      <text>
        <t>Amazon page 2026-10-14. The market data snapshot (2026-10-12) has $21.99.</t>
      </text>
    </comment>
    <comment ref="N173" authorId="0" shapeId="0">
      <text>
        <t>Amazon page 2026-10-14. The market data snapshot (2026-10-12) has $28.99.</t>
      </text>
    </comment>
    <comment ref="N180" authorId="0" shapeId="0">
      <text>
        <t>Amazon page 2026-10-14. The market data snapshot (2026-10-12) has $27.99.</t>
      </text>
    </comment>
    <comment ref="N181" authorId="0" shapeId="0">
      <text>
        <t>Amazon page 2026-10-14. The market data snapshot (2026-10-12) has $25.99.</t>
      </text>
    </comment>
  </commentList>
</comments>
</file>

<file path=xl/comments/comment8.xml><?xml version="1.0" encoding="utf-8"?>
<comments xmlns="http://schemas.openxmlformats.org/spreadsheetml/2006/main">
  <authors>
    <author>Tracker</author>
  </authors>
  <commentList>
    <comment ref="A161" authorId="0" shapeId="0">
      <text>
        <t>Live product image (Excel 365 / Google Sheets IMAGE). 'COMING SOON' picture = no verified image yet; see Data Gaps.</t>
      </text>
    </comment>
    <comment ref="D161" authorId="0" shapeId="0">
      <text>
        <t>market data mapping tier against this product.</t>
      </text>
    </comment>
    <comment ref="E161"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61" authorId="0" shapeId="0">
      <text>
        <t>Material family from the competitor's product page where checked, else its title.</t>
      </text>
    </comment>
    <comment ref="J161" authorId="0" shapeId="0">
      <text>
        <t>From the competitor's Amazon page (variation attributes, Oct 14, 2026) where captured; otherwise parsed from the title.</t>
      </text>
    </comment>
    <comment ref="K161" authorId="0" shapeId="0">
      <text>
        <t>From the competitor's Amazon page (variation attributes, Oct 14, 2026) where captured; otherwise parsed from the title.</t>
      </text>
    </comment>
    <comment ref="L161" authorId="0" shapeId="0">
      <text>
        <t>Variation count: catalog data family count, else search data child-ASIN count.</t>
      </text>
    </comment>
    <comment ref="M161" authorId="0" shapeId="0">
      <text>
        <t>The fewest child ASINs carrying 80% of this competitor's search data impressions.</t>
      </text>
    </comment>
    <comment ref="N161" authorId="0" shapeId="0">
      <text>
        <t>Newest price for this exact ASIN: Amazon page (Oct 13-14, 2026) where checked, otherwise the market data snapshot. A cell comment gives the older market data price when they differ.</t>
      </text>
    </comment>
    <comment ref="Q161" authorId="0" shapeId="0">
      <text>
        <t>How far List Price sits above price. Oct 13 page check of 154 core rivals: strikethrough shown on 2 of 3 at &lt;=12%, 13 of 13 at 12-25%, 11 of 13 above 25% - the size of the gap does not stop Amazon showing it.</t>
      </text>
    </comment>
    <comment ref="Z161" authorId="0" shapeId="0">
      <text>
        <t>Date the market data last captured this competitor's price, BSR and reviews. Orange = older than 7 days before the build.</t>
      </text>
    </comment>
    <comment ref="AD161" authorId="0" shapeId="0">
      <text>
        <t>Impression-like 7-day figure, not clicks or sales. Blank = unmeasured.</t>
      </text>
    </comment>
    <comment ref="AI161" authorId="0" shapeId="0">
      <text>
        <t>Share of their traffic on keywords where they hold a Sponsored Products placement.</t>
      </text>
    </comment>
    <comment ref="AM161" authorId="0" shapeId="0">
      <text>
        <t>Keywords both they and we rank on (our latest search data export).</t>
      </text>
    </comment>
    <comment ref="AS161" authorId="0" shapeId="0">
      <text>
        <t>Organic visibility score Jun 23-26 vs Jun 1-20, 2026 (baseline score 5+).</t>
      </text>
    </comment>
    <comment ref="AU161" authorId="0" shapeId="0">
      <text>
        <t>From the Amazon page check (str_check_&lt;date&gt;.csv). Blank = not checked yet (P2 rows).</t>
      </text>
    </comment>
    <comment ref="BD161" authorId="0" shapeId="0">
      <text>
        <t>price history: median daily lowest price (Buy Box, Lightning Deal or Prime Exclusive), Nov 1-19, 2025, end-of-day state - same basis as the BFCM low.</t>
      </text>
    </comment>
    <comment ref="BE161" authorId="0" shapeId="0">
      <text>
        <t>price history: lowest of Buy Box, Lightning Deal and Prime Exclusive price, Nov 20 - Dec 1, 2025. Coupons not netted (see Notes).</t>
      </text>
    </comment>
    <comment ref="BG161" authorId="0" shapeId="0">
      <text>
        <t>price history: median daily sales rank, Nov 1-19, 2025.</t>
      </text>
    </comment>
    <comment ref="BH161" authorId="0" shapeId="0">
      <text>
        <t>price history: median daily sales rank, Nov 20 - Dec 1, 2025. BSR lift = pre / BFCM (above 1 = sold faster).</t>
      </text>
    </comment>
    <comment ref="N175" authorId="0" shapeId="0">
      <text>
        <t>Amazon page 2026-10-14. The market data snapshot (2026-10-12) has $21.99.</t>
      </text>
    </comment>
    <comment ref="N176" authorId="0" shapeId="0">
      <text>
        <t>Amazon page 2026-10-14. The market data snapshot (2026-10-12) has $28.99.</t>
      </text>
    </comment>
    <comment ref="N182" authorId="0" shapeId="0">
      <text>
        <t>Amazon page 2026-10-14. The market data snapshot (2026-10-12) has $27.99.</t>
      </text>
    </comment>
    <comment ref="N184" authorId="0" shapeId="0">
      <text>
        <t>Amazon page 2026-10-14. The market data snapshot (2026-10-12) has $25.99.</t>
      </text>
    </comment>
  </commentList>
</comments>
</file>

<file path=xl/comments/comment9.xml><?xml version="1.0" encoding="utf-8"?>
<comments xmlns="http://schemas.openxmlformats.org/spreadsheetml/2006/main">
  <authors>
    <author>Tracker</author>
  </authors>
  <commentList>
    <comment ref="A158" authorId="0" shapeId="0">
      <text>
        <t>Live product image (Excel 365 / Google Sheets IMAGE). 'COMING SOON' picture = no verified image yet; see Data Gaps.</t>
      </text>
    </comment>
    <comment ref="D158" authorId="0" shapeId="0">
      <text>
        <t>market data mapping tier against this product.</t>
      </text>
    </comment>
    <comment ref="E158"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58" authorId="0" shapeId="0">
      <text>
        <t>Material family from the competitor's product page where checked, else its title.</t>
      </text>
    </comment>
    <comment ref="J158" authorId="0" shapeId="0">
      <text>
        <t>From the competitor's Amazon page (variation attributes, Oct 14, 2026) where captured; otherwise parsed from the title.</t>
      </text>
    </comment>
    <comment ref="K158" authorId="0" shapeId="0">
      <text>
        <t>From the competitor's Amazon page (variation attributes, Oct 14, 2026) where captured; otherwise parsed from the title.</t>
      </text>
    </comment>
    <comment ref="L158" authorId="0" shapeId="0">
      <text>
        <t>Variation count: catalog data family count, else search data child-ASIN count.</t>
      </text>
    </comment>
    <comment ref="M158" authorId="0" shapeId="0">
      <text>
        <t>The fewest child ASINs carrying 80% of this competitor's search data impressions.</t>
      </text>
    </comment>
    <comment ref="N158" authorId="0" shapeId="0">
      <text>
        <t>Newest price for this exact ASIN: Amazon page (Oct 13-14, 2026) where checked, otherwise the market data snapshot. A cell comment gives the older market data price when they differ.</t>
      </text>
    </comment>
    <comment ref="Q158" authorId="0" shapeId="0">
      <text>
        <t>How far List Price sits above price. Oct 13 page check of 154 core rivals: strikethrough shown on 2 of 3 at &lt;=12%, 13 of 13 at 12-25%, 11 of 13 above 25% - the size of the gap does not stop Amazon showing it.</t>
      </text>
    </comment>
    <comment ref="Z158" authorId="0" shapeId="0">
      <text>
        <t>Date the market data last captured this competitor's price, BSR and reviews. Orange = older than 7 days before the build.</t>
      </text>
    </comment>
    <comment ref="AD158" authorId="0" shapeId="0">
      <text>
        <t>Impression-like 7-day figure, not clicks or sales. Blank = unmeasured.</t>
      </text>
    </comment>
    <comment ref="AI158" authorId="0" shapeId="0">
      <text>
        <t>Share of their traffic on keywords where they hold a Sponsored Products placement.</t>
      </text>
    </comment>
    <comment ref="AM158" authorId="0" shapeId="0">
      <text>
        <t>Keywords both they and we rank on (our latest search data export).</t>
      </text>
    </comment>
    <comment ref="AS158" authorId="0" shapeId="0">
      <text>
        <t>Organic visibility score Jun 23-26 vs Jun 1-20, 2026 (baseline score 5+).</t>
      </text>
    </comment>
    <comment ref="AU158" authorId="0" shapeId="0">
      <text>
        <t>From the Amazon page check (str_check_&lt;date&gt;.csv). Blank = not checked yet (P2 rows).</t>
      </text>
    </comment>
    <comment ref="BD158" authorId="0" shapeId="0">
      <text>
        <t>price history: median daily lowest price (Buy Box, Lightning Deal or Prime Exclusive), Nov 1-19, 2025, end-of-day state - same basis as the BFCM low.</t>
      </text>
    </comment>
    <comment ref="BE158" authorId="0" shapeId="0">
      <text>
        <t>price history: lowest of Buy Box, Lightning Deal and Prime Exclusive price, Nov 20 - Dec 1, 2025. Coupons not netted (see Notes).</t>
      </text>
    </comment>
    <comment ref="BG158" authorId="0" shapeId="0">
      <text>
        <t>price history: median daily sales rank, Nov 1-19, 2025.</t>
      </text>
    </comment>
    <comment ref="BH158" authorId="0" shapeId="0">
      <text>
        <t>price history: median daily sales rank, Nov 20 - Dec 1, 2025. BSR lift = pre / BFCM (above 1 = sold faster).</t>
      </text>
    </comment>
    <comment ref="N165" authorId="0" shapeId="0">
      <text>
        <t>Amazon page 2026-10-14. The market data snapshot (2026-10-12) has $21.99.</t>
      </text>
    </comment>
    <comment ref="N177" authorId="0" shapeId="0">
      <text>
        <t>Amazon page 2026-10-14. The market data snapshot (2026-10-12) has $28.99.</t>
      </text>
    </comment>
    <comment ref="N185" authorId="0" shapeId="0">
      <text>
        <t>Amazon page 2026-10-14. The market data snapshot (2026-10-12) has $27.99.</t>
      </text>
    </comment>
    <comment ref="N187" authorId="0" shapeId="0">
      <text>
        <t>Amazon page 2026-10-14. The market data snapshot (2026-10-12) has $25.99.</t>
      </text>
    </comment>
  </commentList>
</comments>
</file>

<file path=xl/comments/comment10.xml><?xml version="1.0" encoding="utf-8"?>
<comments xmlns="http://schemas.openxmlformats.org/spreadsheetml/2006/main">
  <authors>
    <author>Tracker</author>
  </authors>
  <commentList>
    <comment ref="A147" authorId="0" shapeId="0">
      <text>
        <t>Live product image (Excel 365 / Google Sheets IMAGE). 'COMING SOON' picture = no verified image yet; see Data Gaps.</t>
      </text>
    </comment>
    <comment ref="D147" authorId="0" shapeId="0">
      <text>
        <t>market data mapping tier against this product.</t>
      </text>
    </comment>
    <comment ref="E147"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47" authorId="0" shapeId="0">
      <text>
        <t>Material family from the competitor's product page where checked, else its title.</t>
      </text>
    </comment>
    <comment ref="J147" authorId="0" shapeId="0">
      <text>
        <t>From the competitor's Amazon page (variation attributes, Oct 14, 2026) where captured; otherwise parsed from the title.</t>
      </text>
    </comment>
    <comment ref="K147" authorId="0" shapeId="0">
      <text>
        <t>From the competitor's Amazon page (variation attributes, Oct 14, 2026) where captured; otherwise parsed from the title.</t>
      </text>
    </comment>
    <comment ref="L147" authorId="0" shapeId="0">
      <text>
        <t>Variation count: catalog data family count, else search data child-ASIN count.</t>
      </text>
    </comment>
    <comment ref="M147" authorId="0" shapeId="0">
      <text>
        <t>The fewest child ASINs carrying 80% of this competitor's search data impressions.</t>
      </text>
    </comment>
    <comment ref="N147" authorId="0" shapeId="0">
      <text>
        <t>Newest price for this exact ASIN: Amazon page (Oct 13-14, 2026) where checked, otherwise the market data snapshot. A cell comment gives the older market data price when they differ.</t>
      </text>
    </comment>
    <comment ref="Q147" authorId="0" shapeId="0">
      <text>
        <t>How far List Price sits above price. Oct 13 page check of 154 core rivals: strikethrough shown on 2 of 3 at &lt;=12%, 13 of 13 at 12-25%, 11 of 13 above 25% - the size of the gap does not stop Amazon showing it.</t>
      </text>
    </comment>
    <comment ref="Z147" authorId="0" shapeId="0">
      <text>
        <t>Date the market data last captured this competitor's price, BSR and reviews. Orange = older than 7 days before the build.</t>
      </text>
    </comment>
    <comment ref="AD147" authorId="0" shapeId="0">
      <text>
        <t>Impression-like 7-day figure, not clicks or sales. Blank = unmeasured.</t>
      </text>
    </comment>
    <comment ref="AI147" authorId="0" shapeId="0">
      <text>
        <t>Share of their traffic on keywords where they hold a Sponsored Products placement.</t>
      </text>
    </comment>
    <comment ref="AM147" authorId="0" shapeId="0">
      <text>
        <t>Keywords both they and we rank on (our latest search data export).</t>
      </text>
    </comment>
    <comment ref="AS147" authorId="0" shapeId="0">
      <text>
        <t>Organic visibility score Jun 23-26 vs Jun 1-20, 2026 (baseline score 5+).</t>
      </text>
    </comment>
    <comment ref="AU147" authorId="0" shapeId="0">
      <text>
        <t>From the Amazon page check (str_check_&lt;date&gt;.csv). Blank = not checked yet (P2 rows).</t>
      </text>
    </comment>
    <comment ref="BD147" authorId="0" shapeId="0">
      <text>
        <t>price history: median daily lowest price (Buy Box, Lightning Deal or Prime Exclusive), Nov 1-19, 2025, end-of-day state - same basis as the BFCM low.</t>
      </text>
    </comment>
    <comment ref="BE147" authorId="0" shapeId="0">
      <text>
        <t>price history: lowest of Buy Box, Lightning Deal and Prime Exclusive price, Nov 20 - Dec 1, 2025. Coupons not netted (see Notes).</t>
      </text>
    </comment>
    <comment ref="BG147" authorId="0" shapeId="0">
      <text>
        <t>price history: median daily sales rank, Nov 1-19, 2025.</t>
      </text>
    </comment>
    <comment ref="BH147" authorId="0" shapeId="0">
      <text>
        <t>price history: median daily sales rank, Nov 20 - Dec 1, 2025. BSR lift = pre / BFCM (above 1 = sold faster).</t>
      </text>
    </comment>
    <comment ref="N164" authorId="0" shapeId="0">
      <text>
        <t>Amazon page 2026-10-14. The market data snapshot (2026-10-12) has $21.99.</t>
      </text>
    </comment>
    <comment ref="N165" authorId="0" shapeId="0">
      <text>
        <t>Amazon page 2026-10-14. The market data snapshot (2026-10-12) has $28.99.</t>
      </text>
    </comment>
    <comment ref="N170" authorId="0" shapeId="0">
      <text>
        <t>Amazon page 2026-10-14. The market data snapshot (2026-10-12) has $27.99.</t>
      </text>
    </comment>
    <comment ref="N174" authorId="0" shapeId="0">
      <text>
        <t>Amazon page 2026-10-14. The market data snapshot (2026-10-12) has $25.99.</t>
      </text>
    </comment>
  </commentList>
</comments>
</file>

<file path=xl/comments/comment11.xml><?xml version="1.0" encoding="utf-8"?>
<comments xmlns="http://schemas.openxmlformats.org/spreadsheetml/2006/main">
  <authors>
    <author>Tracker</author>
  </authors>
  <commentList>
    <comment ref="A41" authorId="0" shapeId="0">
      <text>
        <t>Photo from Amazon.ca: same ASIN B0DBVY6P25, same listing in both marketplaces.</t>
      </text>
    </comment>
    <comment ref="A76" authorId="0" shapeId="0">
      <text>
        <t>Photo from Amazon.ca: same ASIN B0DBVZBSHL, same listing in both marketplaces.</t>
      </text>
    </comment>
    <comment ref="A80" authorId="0" shapeId="0">
      <text>
        <t>Photo from Amazon.ca: same ASIN B0DBVY2YWN, same listing in both marketplaces.</t>
      </text>
    </comment>
    <comment ref="A111" authorId="0" shapeId="0">
      <text>
        <t>Live product image (Excel 365 / Google Sheets IMAGE). 'COMING SOON' picture = no verified image yet; see Data Gaps.</t>
      </text>
    </comment>
    <comment ref="D111" authorId="0" shapeId="0">
      <text>
        <t>market data mapping tier against this product.</t>
      </text>
    </comment>
    <comment ref="E111"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11" authorId="0" shapeId="0">
      <text>
        <t>Material family from the competitor's product page where checked, else its title.</t>
      </text>
    </comment>
    <comment ref="J111" authorId="0" shapeId="0">
      <text>
        <t>From the competitor's Amazon page (variation attributes, Oct 14, 2026) where captured; otherwise parsed from the title.</t>
      </text>
    </comment>
    <comment ref="K111" authorId="0" shapeId="0">
      <text>
        <t>From the competitor's Amazon page (variation attributes, Oct 14, 2026) where captured; otherwise parsed from the title.</t>
      </text>
    </comment>
    <comment ref="L111" authorId="0" shapeId="0">
      <text>
        <t>Variation count: catalog data family count, else search data child-ASIN count.</t>
      </text>
    </comment>
    <comment ref="M111" authorId="0" shapeId="0">
      <text>
        <t>The fewest child ASINs carrying 80% of this competitor's search data impressions.</t>
      </text>
    </comment>
    <comment ref="N111" authorId="0" shapeId="0">
      <text>
        <t>Newest price for this exact ASIN: Amazon page (Oct 13-14, 2026) where checked, otherwise the market data snapshot. A cell comment gives the older market data price when they differ.</t>
      </text>
    </comment>
    <comment ref="Q111" authorId="0" shapeId="0">
      <text>
        <t>How far List Price sits above price. Oct 13 page check of 154 core rivals: strikethrough shown on 2 of 3 at &lt;=12%, 13 of 13 at 12-25%, 11 of 13 above 25% - the size of the gap does not stop Amazon showing it.</t>
      </text>
    </comment>
    <comment ref="Z111" authorId="0" shapeId="0">
      <text>
        <t>Date the market data last captured this competitor's price, BSR and reviews. Orange = older than 7 days before the build.</t>
      </text>
    </comment>
    <comment ref="AD111" authorId="0" shapeId="0">
      <text>
        <t>Impression-like 7-day figure, not clicks or sales. Blank = unmeasured.</t>
      </text>
    </comment>
    <comment ref="AI111" authorId="0" shapeId="0">
      <text>
        <t>Share of their traffic on keywords where they hold a Sponsored Products placement.</t>
      </text>
    </comment>
    <comment ref="AM111" authorId="0" shapeId="0">
      <text>
        <t>Keywords both they and we rank on (our latest search data export).</t>
      </text>
    </comment>
    <comment ref="AS111" authorId="0" shapeId="0">
      <text>
        <t>Organic visibility score Jun 23-26 vs Jun 1-20, 2026 (baseline score 5+).</t>
      </text>
    </comment>
    <comment ref="AU111" authorId="0" shapeId="0">
      <text>
        <t>From the Amazon page check (str_check_&lt;date&gt;.csv). Blank = not checked yet (P2 rows).</t>
      </text>
    </comment>
    <comment ref="BD111" authorId="0" shapeId="0">
      <text>
        <t>price history: median daily lowest price (Buy Box, Lightning Deal or Prime Exclusive), Nov 1-19, 2025, end-of-day state - same basis as the BFCM low.</t>
      </text>
    </comment>
    <comment ref="BE111" authorId="0" shapeId="0">
      <text>
        <t>price history: lowest of Buy Box, Lightning Deal and Prime Exclusive price, Nov 20 - Dec 1, 2025. Coupons not netted (see Notes).</t>
      </text>
    </comment>
    <comment ref="BG111" authorId="0" shapeId="0">
      <text>
        <t>price history: median daily sales rank, Nov 1-19, 2025.</t>
      </text>
    </comment>
    <comment ref="BH111" authorId="0" shapeId="0">
      <text>
        <t>price history: median daily sales rank, Nov 20 - Dec 1, 2025. BSR lift = pre / BFCM (above 1 = sold faster).</t>
      </text>
    </comment>
    <comment ref="H116" authorId="0" shapeId="0">
      <text>
        <t>Amazon page, Oct 14, 2026. The market data still lists B0BFB5DFVB.</t>
      </text>
    </comment>
  </commentList>
</comments>
</file>

<file path=xl/comments/comment12.xml><?xml version="1.0" encoding="utf-8"?>
<comments xmlns="http://schemas.openxmlformats.org/spreadsheetml/2006/main">
  <authors>
    <author>Tracker</author>
  </authors>
  <commentList>
    <comment ref="A60" authorId="0" shapeId="0">
      <text>
        <t>Live product image (Excel 365 / Google Sheets IMAGE). 'COMING SOON' picture = no verified image yet; see Data Gaps.</t>
      </text>
    </comment>
    <comment ref="D60" authorId="0" shapeId="0">
      <text>
        <t>market data mapping tier against this product.</t>
      </text>
    </comment>
    <comment ref="E60"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60" authorId="0" shapeId="0">
      <text>
        <t>Material family from the competitor's product page where checked, else its title.</t>
      </text>
    </comment>
    <comment ref="J60" authorId="0" shapeId="0">
      <text>
        <t>From the competitor's Amazon page (variation attributes, Oct 14, 2026) where captured; otherwise parsed from the title.</t>
      </text>
    </comment>
    <comment ref="K60" authorId="0" shapeId="0">
      <text>
        <t>From the competitor's Amazon page (variation attributes, Oct 14, 2026) where captured; otherwise parsed from the title.</t>
      </text>
    </comment>
    <comment ref="L60" authorId="0" shapeId="0">
      <text>
        <t>Variation count: catalog data family count, else search data child-ASIN count.</t>
      </text>
    </comment>
    <comment ref="M60" authorId="0" shapeId="0">
      <text>
        <t>The fewest child ASINs carrying 80% of this competitor's search data impressions.</t>
      </text>
    </comment>
    <comment ref="N60" authorId="0" shapeId="0">
      <text>
        <t>Newest price for this exact ASIN: Amazon page (Oct 13-14, 2026) where checked, otherwise the market data snapshot. A cell comment gives the older market data price when they differ.</t>
      </text>
    </comment>
    <comment ref="Q60" authorId="0" shapeId="0">
      <text>
        <t>How far List Price sits above price. Oct 13 page check of 154 core rivals: strikethrough shown on 2 of 3 at &lt;=12%, 13 of 13 at 12-25%, 11 of 13 above 25% - the size of the gap does not stop Amazon showing it.</t>
      </text>
    </comment>
    <comment ref="Z60" authorId="0" shapeId="0">
      <text>
        <t>Date the market data last captured this competitor's price, BSR and reviews. Orange = older than 7 days before the build.</t>
      </text>
    </comment>
    <comment ref="AD60" authorId="0" shapeId="0">
      <text>
        <t>Impression-like 7-day figure, not clicks or sales. Blank = unmeasured.</t>
      </text>
    </comment>
    <comment ref="AI60" authorId="0" shapeId="0">
      <text>
        <t>Share of their traffic on keywords where they hold a Sponsored Products placement.</t>
      </text>
    </comment>
    <comment ref="AM60" authorId="0" shapeId="0">
      <text>
        <t>Keywords both they and we rank on (our latest search data export).</t>
      </text>
    </comment>
    <comment ref="AS60" authorId="0" shapeId="0">
      <text>
        <t>Organic visibility score Jun 23-26 vs Jun 1-20, 2026 (baseline score 5+).</t>
      </text>
    </comment>
    <comment ref="AU60" authorId="0" shapeId="0">
      <text>
        <t>From the Amazon page check (str_check_&lt;date&gt;.csv). Blank = not checked yet (P2 rows).</t>
      </text>
    </comment>
    <comment ref="BD60" authorId="0" shapeId="0">
      <text>
        <t>price history: median daily lowest price (Buy Box, Lightning Deal or Prime Exclusive), Nov 1-19, 2025, end-of-day state - same basis as the BFCM low.</t>
      </text>
    </comment>
    <comment ref="BE60" authorId="0" shapeId="0">
      <text>
        <t>price history: lowest of Buy Box, Lightning Deal and Prime Exclusive price, Nov 20 - Dec 1, 2025. Coupons not netted (see Notes).</t>
      </text>
    </comment>
    <comment ref="BG60" authorId="0" shapeId="0">
      <text>
        <t>price history: median daily sales rank, Nov 1-19, 2025.</t>
      </text>
    </comment>
    <comment ref="BH60" authorId="0" shapeId="0">
      <text>
        <t>price history: median daily sales rank, Nov 20 - Dec 1, 2025. BSR lift = pre / BFCM (above 1 = sold faster).</t>
      </text>
    </comment>
    <comment ref="N75" authorId="0" shapeId="0">
      <text>
        <t>Amazon page 2026-10-14. The market data snapshot (2026-10-12) has $11.95.</t>
      </text>
    </comment>
    <comment ref="N89" authorId="0" shapeId="0">
      <text>
        <t>Amazon page 2026-10-14. The market data snapshot (2026-10-12) has $12.99.</t>
      </text>
    </comment>
  </commentList>
</comments>
</file>

<file path=xl/comments/comment13.xml><?xml version="1.0" encoding="utf-8"?>
<comments xmlns="http://schemas.openxmlformats.org/spreadsheetml/2006/main">
  <authors>
    <author>Tracker</author>
  </authors>
  <commentList>
    <comment ref="A43" authorId="0" shapeId="0">
      <text>
        <t>Live product image (Excel 365 / Google Sheets IMAGE). 'COMING SOON' picture = no verified image yet; see Data Gaps.</t>
      </text>
    </comment>
    <comment ref="D43" authorId="0" shapeId="0">
      <text>
        <t>market data mapping tier against this product.</t>
      </text>
    </comment>
    <comment ref="E4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43" authorId="0" shapeId="0">
      <text>
        <t>Material family from the competitor's product page where checked, else its title.</t>
      </text>
    </comment>
    <comment ref="J43" authorId="0" shapeId="0">
      <text>
        <t>From the competitor's Amazon page (variation attributes, Oct 14, 2026) where captured; otherwise parsed from the title.</t>
      </text>
    </comment>
    <comment ref="K43" authorId="0" shapeId="0">
      <text>
        <t>From the competitor's Amazon page (variation attributes, Oct 14, 2026) where captured; otherwise parsed from the title.</t>
      </text>
    </comment>
    <comment ref="L43" authorId="0" shapeId="0">
      <text>
        <t>Variation count: catalog data family count, else search data child-ASIN count.</t>
      </text>
    </comment>
    <comment ref="M43" authorId="0" shapeId="0">
      <text>
        <t>The fewest child ASINs carrying 80% of this competitor's search data impressions.</t>
      </text>
    </comment>
    <comment ref="N43" authorId="0" shapeId="0">
      <text>
        <t>Newest price for this exact ASIN: Amazon page (Oct 13-14, 2026) where checked, otherwise the market data snapshot. A cell comment gives the older market data price when they differ.</t>
      </text>
    </comment>
    <comment ref="Q43" authorId="0" shapeId="0">
      <text>
        <t>How far List Price sits above price. Oct 13 page check of 154 core rivals: strikethrough shown on 2 of 3 at &lt;=12%, 13 of 13 at 12-25%, 11 of 13 above 25% - the size of the gap does not stop Amazon showing it.</t>
      </text>
    </comment>
    <comment ref="Z43" authorId="0" shapeId="0">
      <text>
        <t>Date the market data last captured this competitor's price, BSR and reviews. Orange = older than 7 days before the build.</t>
      </text>
    </comment>
    <comment ref="AD43" authorId="0" shapeId="0">
      <text>
        <t>Impression-like 7-day figure, not clicks or sales. Blank = unmeasured.</t>
      </text>
    </comment>
    <comment ref="AI43" authorId="0" shapeId="0">
      <text>
        <t>Share of their traffic on keywords where they hold a Sponsored Products placement.</t>
      </text>
    </comment>
    <comment ref="AM43" authorId="0" shapeId="0">
      <text>
        <t>Keywords both they and we rank on (our latest search data export).</t>
      </text>
    </comment>
    <comment ref="AS43" authorId="0" shapeId="0">
      <text>
        <t>Organic visibility score Jun 23-26 vs Jun 1-20, 2026 (baseline score 5+).</t>
      </text>
    </comment>
    <comment ref="AU43" authorId="0" shapeId="0">
      <text>
        <t>From the Amazon page check (str_check_&lt;date&gt;.csv). Blank = not checked yet (P2 rows).</t>
      </text>
    </comment>
    <comment ref="BD43" authorId="0" shapeId="0">
      <text>
        <t>price history: median daily lowest price (Buy Box, Lightning Deal or Prime Exclusive), Nov 1-19, 2025, end-of-day state - same basis as the BFCM low.</t>
      </text>
    </comment>
    <comment ref="BE43" authorId="0" shapeId="0">
      <text>
        <t>price history: lowest of Buy Box, Lightning Deal and Prime Exclusive price, Nov 20 - Dec 1, 2025. Coupons not netted (see Notes).</t>
      </text>
    </comment>
    <comment ref="BG43" authorId="0" shapeId="0">
      <text>
        <t>price history: median daily sales rank, Nov 1-19, 2025.</t>
      </text>
    </comment>
    <comment ref="BH43" authorId="0" shapeId="0">
      <text>
        <t>price history: median daily sales rank, Nov 20 - Dec 1, 2025. BSR lift = pre / BFCM (above 1 = sold faster).</t>
      </text>
    </comment>
    <comment ref="N46" authorId="0" shapeId="0">
      <text>
        <t>Amazon page 2026-10-14. The market data snapshot (2026-10-12) has $17.99.</t>
      </text>
    </comment>
    <comment ref="N47" authorId="0" shapeId="0">
      <text>
        <t>Amazon page 2026-10-14. The market data snapshot (2026-10-12) has $16.99.</t>
      </text>
    </comment>
  </commentList>
</comments>
</file>

<file path=xl/comments/comment14.xml><?xml version="1.0" encoding="utf-8"?>
<comments xmlns="http://schemas.openxmlformats.org/spreadsheetml/2006/main">
  <authors>
    <author>Tracker</author>
  </authors>
  <commentList>
    <comment ref="A43" authorId="0" shapeId="0">
      <text>
        <t>Live product image (Excel 365 / Google Sheets IMAGE). 'COMING SOON' picture = no verified image yet; see Data Gaps.</t>
      </text>
    </comment>
    <comment ref="D43" authorId="0" shapeId="0">
      <text>
        <t>market data mapping tier against this product.</t>
      </text>
    </comment>
    <comment ref="E4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43" authorId="0" shapeId="0">
      <text>
        <t>Material family from the competitor's product page where checked, else its title.</t>
      </text>
    </comment>
    <comment ref="J43" authorId="0" shapeId="0">
      <text>
        <t>From the competitor's Amazon page (variation attributes, Oct 14, 2026) where captured; otherwise parsed from the title.</t>
      </text>
    </comment>
    <comment ref="K43" authorId="0" shapeId="0">
      <text>
        <t>From the competitor's Amazon page (variation attributes, Oct 14, 2026) where captured; otherwise parsed from the title.</t>
      </text>
    </comment>
    <comment ref="L43" authorId="0" shapeId="0">
      <text>
        <t>Variation count: catalog data family count, else search data child-ASIN count.</t>
      </text>
    </comment>
    <comment ref="M43" authorId="0" shapeId="0">
      <text>
        <t>The fewest child ASINs carrying 80% of this competitor's search data impressions.</t>
      </text>
    </comment>
    <comment ref="N43" authorId="0" shapeId="0">
      <text>
        <t>Newest price for this exact ASIN: Amazon page (Oct 13-14, 2026) where checked, otherwise the market data snapshot. A cell comment gives the older market data price when they differ.</t>
      </text>
    </comment>
    <comment ref="Q43" authorId="0" shapeId="0">
      <text>
        <t>How far List Price sits above price. Oct 13 page check of 154 core rivals: strikethrough shown on 2 of 3 at &lt;=12%, 13 of 13 at 12-25%, 11 of 13 above 25% - the size of the gap does not stop Amazon showing it.</t>
      </text>
    </comment>
    <comment ref="Z43" authorId="0" shapeId="0">
      <text>
        <t>Date the market data last captured this competitor's price, BSR and reviews. Orange = older than 7 days before the build.</t>
      </text>
    </comment>
    <comment ref="AD43" authorId="0" shapeId="0">
      <text>
        <t>Impression-like 7-day figure, not clicks or sales. Blank = unmeasured.</t>
      </text>
    </comment>
    <comment ref="AI43" authorId="0" shapeId="0">
      <text>
        <t>Share of their traffic on keywords where they hold a Sponsored Products placement.</t>
      </text>
    </comment>
    <comment ref="AM43" authorId="0" shapeId="0">
      <text>
        <t>Keywords both they and we rank on (our latest search data export).</t>
      </text>
    </comment>
    <comment ref="AS43" authorId="0" shapeId="0">
      <text>
        <t>Organic visibility score Jun 23-26 vs Jun 1-20, 2026 (baseline score 5+).</t>
      </text>
    </comment>
    <comment ref="AU43" authorId="0" shapeId="0">
      <text>
        <t>From the Amazon page check (str_check_&lt;date&gt;.csv). Blank = not checked yet (P2 rows).</t>
      </text>
    </comment>
    <comment ref="BD43" authorId="0" shapeId="0">
      <text>
        <t>price history: median daily lowest price (Buy Box, Lightning Deal or Prime Exclusive), Nov 1-19, 2025, end-of-day state - same basis as the BFCM low.</t>
      </text>
    </comment>
    <comment ref="BE43" authorId="0" shapeId="0">
      <text>
        <t>price history: lowest of Buy Box, Lightning Deal and Prime Exclusive price, Nov 20 - Dec 1, 2025. Coupons not netted (see Notes).</t>
      </text>
    </comment>
    <comment ref="BG43" authorId="0" shapeId="0">
      <text>
        <t>price history: median daily sales rank, Nov 1-19, 2025.</t>
      </text>
    </comment>
    <comment ref="BH43" authorId="0" shapeId="0">
      <text>
        <t>price history: median daily sales rank, Nov 20 - Dec 1, 2025. BSR lift = pre / BFCM (above 1 = sold faster).</t>
      </text>
    </comment>
    <comment ref="N56" authorId="0" shapeId="0">
      <text>
        <t>Amazon page 2026-10-14. The market data snapshot (2026-10-12) has $17.99.</t>
      </text>
    </comment>
  </commentList>
</comments>
</file>

<file path=xl/comments/comment15.xml><?xml version="1.0" encoding="utf-8"?>
<comments xmlns="http://schemas.openxmlformats.org/spreadsheetml/2006/main">
  <authors>
    <author>Tracker</author>
  </authors>
  <commentList>
    <comment ref="A106" authorId="0" shapeId="0">
      <text>
        <t>Live product image (Excel 365 / Google Sheets IMAGE). 'COMING SOON' picture = no verified image yet; see Data Gaps.</t>
      </text>
    </comment>
    <comment ref="D106" authorId="0" shapeId="0">
      <text>
        <t>market data mapping tier against this product.</t>
      </text>
    </comment>
    <comment ref="E106"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06" authorId="0" shapeId="0">
      <text>
        <t>Material family from the competitor's product page where checked, else its title.</t>
      </text>
    </comment>
    <comment ref="J106" authorId="0" shapeId="0">
      <text>
        <t>From the competitor's Amazon page (variation attributes, Oct 14, 2026) where captured; otherwise parsed from the title.</t>
      </text>
    </comment>
    <comment ref="K106" authorId="0" shapeId="0">
      <text>
        <t>From the competitor's Amazon page (variation attributes, Oct 14, 2026) where captured; otherwise parsed from the title.</t>
      </text>
    </comment>
    <comment ref="L106" authorId="0" shapeId="0">
      <text>
        <t>Variation count: catalog data family count, else search data child-ASIN count.</t>
      </text>
    </comment>
    <comment ref="M106" authorId="0" shapeId="0">
      <text>
        <t>The fewest child ASINs carrying 80% of this competitor's search data impressions.</t>
      </text>
    </comment>
    <comment ref="N106" authorId="0" shapeId="0">
      <text>
        <t>Newest price for this exact ASIN: Amazon page (Oct 13-14, 2026) where checked, otherwise the market data snapshot. A cell comment gives the older market data price when they differ.</t>
      </text>
    </comment>
    <comment ref="Q106" authorId="0" shapeId="0">
      <text>
        <t>How far List Price sits above price. Oct 13 page check of 154 core rivals: strikethrough shown on 2 of 3 at &lt;=12%, 13 of 13 at 12-25%, 11 of 13 above 25% - the size of the gap does not stop Amazon showing it.</t>
      </text>
    </comment>
    <comment ref="Z106" authorId="0" shapeId="0">
      <text>
        <t>Date the market data last captured this competitor's price, BSR and reviews. Orange = older than 7 days before the build.</t>
      </text>
    </comment>
    <comment ref="AD106" authorId="0" shapeId="0">
      <text>
        <t>Impression-like 7-day figure, not clicks or sales. Blank = unmeasured.</t>
      </text>
    </comment>
    <comment ref="AI106" authorId="0" shapeId="0">
      <text>
        <t>Share of their traffic on keywords where they hold a Sponsored Products placement.</t>
      </text>
    </comment>
    <comment ref="AM106" authorId="0" shapeId="0">
      <text>
        <t>Keywords both they and we rank on (our latest search data export).</t>
      </text>
    </comment>
    <comment ref="AS106" authorId="0" shapeId="0">
      <text>
        <t>Organic visibility score Jun 23-26 vs Jun 1-20, 2026 (baseline score 5+).</t>
      </text>
    </comment>
    <comment ref="AU106" authorId="0" shapeId="0">
      <text>
        <t>From the Amazon page check (str_check_&lt;date&gt;.csv). Blank = not checked yet (P2 rows).</t>
      </text>
    </comment>
    <comment ref="BD106" authorId="0" shapeId="0">
      <text>
        <t>price history: median daily lowest price (Buy Box, Lightning Deal or Prime Exclusive), Nov 1-19, 2025, end-of-day state - same basis as the BFCM low.</t>
      </text>
    </comment>
    <comment ref="BE106" authorId="0" shapeId="0">
      <text>
        <t>price history: lowest of Buy Box, Lightning Deal and Prime Exclusive price, Nov 20 - Dec 1, 2025. Coupons not netted (see Notes).</t>
      </text>
    </comment>
    <comment ref="BG106" authorId="0" shapeId="0">
      <text>
        <t>price history: median daily sales rank, Nov 1-19, 2025.</t>
      </text>
    </comment>
    <comment ref="BH106" authorId="0" shapeId="0">
      <text>
        <t>price history: median daily sales rank, Nov 20 - Dec 1, 2025. BSR lift = pre / BFCM (above 1 = sold faster).</t>
      </text>
    </comment>
    <comment ref="N107" authorId="0" shapeId="0">
      <text>
        <t>Amazon page 2026-10-14. The market data snapshot (2026-10-12) has $23.99.</t>
      </text>
    </comment>
    <comment ref="H115" authorId="0" shapeId="0">
      <text>
        <t>Amazon page, Oct 14, 2026. The market data still lists B0FH2WGKJV.</t>
      </text>
    </comment>
    <comment ref="N119" authorId="0" shapeId="0">
      <text>
        <t>Amazon page 2026-10-14. The market data snapshot (2026-10-12) has $134.99.</t>
      </text>
    </comment>
    <comment ref="H125" authorId="0" shapeId="0">
      <text>
        <t>Amazon page, Oct 14, 2026. The market data still lists B0C56VXVB3.</t>
      </text>
    </comment>
    <comment ref="H126" authorId="0" shapeId="0">
      <text>
        <t>Amazon page, Oct 14, 2026. The market data still lists B0F2TDDFGJ.</t>
      </text>
    </comment>
    <comment ref="H127" authorId="0" shapeId="0">
      <text>
        <t>Amazon page, Oct 14, 2026. The market data still lists B0GKBNZ8TC.</t>
      </text>
    </comment>
    <comment ref="N127" authorId="0" shapeId="0">
      <text>
        <t>Amazon page 2026-10-14. The market data snapshot (2026-07-20) has $129.99.</t>
      </text>
    </comment>
    <comment ref="H130" authorId="0" shapeId="0">
      <text>
        <t>Amazon page, Oct 14, 2026. The market data still lists B09PYQ2VQL.</t>
      </text>
    </comment>
  </commentList>
</comments>
</file>

<file path=xl/comments/comment16.xml><?xml version="1.0" encoding="utf-8"?>
<comments xmlns="http://schemas.openxmlformats.org/spreadsheetml/2006/main">
  <authors>
    <author>Tracker</author>
  </authors>
  <commentList>
    <comment ref="A102" authorId="0" shapeId="0">
      <text>
        <t>Live product image (Excel 365 / Google Sheets IMAGE). 'COMING SOON' picture = no verified image yet; see Data Gaps.</t>
      </text>
    </comment>
    <comment ref="D102" authorId="0" shapeId="0">
      <text>
        <t>market data mapping tier against this product.</t>
      </text>
    </comment>
    <comment ref="E10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02" authorId="0" shapeId="0">
      <text>
        <t>Material family from the competitor's product page where checked, else its title.</t>
      </text>
    </comment>
    <comment ref="J102" authorId="0" shapeId="0">
      <text>
        <t>From the competitor's Amazon page (variation attributes, Oct 14, 2026) where captured; otherwise parsed from the title.</t>
      </text>
    </comment>
    <comment ref="K102" authorId="0" shapeId="0">
      <text>
        <t>From the competitor's Amazon page (variation attributes, Oct 14, 2026) where captured; otherwise parsed from the title.</t>
      </text>
    </comment>
    <comment ref="L102" authorId="0" shapeId="0">
      <text>
        <t>Variation count: catalog data family count, else search data child-ASIN count.</t>
      </text>
    </comment>
    <comment ref="M102" authorId="0" shapeId="0">
      <text>
        <t>The fewest child ASINs carrying 80% of this competitor's search data impressions.</t>
      </text>
    </comment>
    <comment ref="N102" authorId="0" shapeId="0">
      <text>
        <t>Newest price for this exact ASIN: Amazon page (Oct 13-14, 2026) where checked, otherwise the market data snapshot. A cell comment gives the older market data price when they differ.</t>
      </text>
    </comment>
    <comment ref="Q102" authorId="0" shapeId="0">
      <text>
        <t>How far List Price sits above price. Oct 13 page check of 154 core rivals: strikethrough shown on 2 of 3 at &lt;=12%, 13 of 13 at 12-25%, 11 of 13 above 25% - the size of the gap does not stop Amazon showing it.</t>
      </text>
    </comment>
    <comment ref="Z102" authorId="0" shapeId="0">
      <text>
        <t>Date the market data last captured this competitor's price, BSR and reviews. Orange = older than 7 days before the build.</t>
      </text>
    </comment>
    <comment ref="AD102" authorId="0" shapeId="0">
      <text>
        <t>Impression-like 7-day figure, not clicks or sales. Blank = unmeasured.</t>
      </text>
    </comment>
    <comment ref="AI102" authorId="0" shapeId="0">
      <text>
        <t>Share of their traffic on keywords where they hold a Sponsored Products placement.</t>
      </text>
    </comment>
    <comment ref="AM102" authorId="0" shapeId="0">
      <text>
        <t>Keywords both they and we rank on (our latest search data export).</t>
      </text>
    </comment>
    <comment ref="AS102" authorId="0" shapeId="0">
      <text>
        <t>Organic visibility score Jun 23-26 vs Jun 1-20, 2026 (baseline score 5+).</t>
      </text>
    </comment>
    <comment ref="AU102" authorId="0" shapeId="0">
      <text>
        <t>From the Amazon page check (str_check_&lt;date&gt;.csv). Blank = not checked yet (P2 rows).</t>
      </text>
    </comment>
    <comment ref="BD102" authorId="0" shapeId="0">
      <text>
        <t>price history: median daily lowest price (Buy Box, Lightning Deal or Prime Exclusive), Nov 1-19, 2025, end-of-day state - same basis as the BFCM low.</t>
      </text>
    </comment>
    <comment ref="BE102" authorId="0" shapeId="0">
      <text>
        <t>price history: lowest of Buy Box, Lightning Deal and Prime Exclusive price, Nov 20 - Dec 1, 2025. Coupons not netted (see Notes).</t>
      </text>
    </comment>
    <comment ref="BG102" authorId="0" shapeId="0">
      <text>
        <t>price history: median daily sales rank, Nov 1-19, 2025.</t>
      </text>
    </comment>
    <comment ref="BH102" authorId="0" shapeId="0">
      <text>
        <t>price history: median daily sales rank, Nov 20 - Dec 1, 2025. BSR lift = pre / BFCM (above 1 = sold faster).</t>
      </text>
    </comment>
    <comment ref="H105" authorId="0" shapeId="0">
      <text>
        <t>Amazon page, Oct 14, 2026. The market data still lists B0C56VXVB3.</t>
      </text>
    </comment>
    <comment ref="N106" authorId="0" shapeId="0">
      <text>
        <t>Amazon page 2026-10-14. The market data snapshot (2026-10-12) has $209.30.</t>
      </text>
    </comment>
    <comment ref="N117" authorId="0" shapeId="0">
      <text>
        <t>Amazon page 2026-10-14. The market data snapshot (2026-10-12) has $84.99.</t>
      </text>
    </comment>
    <comment ref="N120" authorId="0" shapeId="0">
      <text>
        <t>Amazon page 2026-10-14. The market data snapshot (2026-10-12) has $134.99.</t>
      </text>
    </comment>
    <comment ref="N123" authorId="0" shapeId="0">
      <text>
        <t>Amazon page 2026-10-14. The market data snapshot (2026-10-12) has $76.99.</t>
      </text>
    </comment>
    <comment ref="N125" authorId="0" shapeId="0">
      <text>
        <t>Amazon page 2026-10-14. The market data snapshot (2026-10-12) has $114.99.</t>
      </text>
    </comment>
    <comment ref="N131" authorId="0" shapeId="0">
      <text>
        <t>Amazon page 2026-10-14. The market data snapshot (2026-10-12) has $99.00.</t>
      </text>
    </comment>
    <comment ref="H132" authorId="0" shapeId="0">
      <text>
        <t>Amazon page, Oct 14, 2026. The market data still lists B0F2TDDFGJ.</t>
      </text>
    </comment>
    <comment ref="H136" authorId="0" shapeId="0">
      <text>
        <t>Amazon page, Oct 14, 2026. The market data still lists B09PYQ2VQL.</t>
      </text>
    </comment>
    <comment ref="N138" authorId="0" shapeId="0">
      <text>
        <t>Amazon page 2026-10-14. The market data snapshot (2026-10-12) has $15.95.</t>
      </text>
    </comment>
  </commentList>
</comments>
</file>

<file path=xl/comments/comment17.xml><?xml version="1.0" encoding="utf-8"?>
<comments xmlns="http://schemas.openxmlformats.org/spreadsheetml/2006/main">
  <authors>
    <author>Tracker</author>
  </authors>
  <commentList>
    <comment ref="A91" authorId="0" shapeId="0">
      <text>
        <t>Live product image (Excel 365 / Google Sheets IMAGE). 'COMING SOON' picture = no verified image yet; see Data Gaps.</t>
      </text>
    </comment>
    <comment ref="D91" authorId="0" shapeId="0">
      <text>
        <t>market data mapping tier against this product.</t>
      </text>
    </comment>
    <comment ref="E91"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91" authorId="0" shapeId="0">
      <text>
        <t>Material family from the competitor's product page where checked, else its title.</t>
      </text>
    </comment>
    <comment ref="J91" authorId="0" shapeId="0">
      <text>
        <t>From the competitor's Amazon page (variation attributes, Oct 14, 2026) where captured; otherwise parsed from the title.</t>
      </text>
    </comment>
    <comment ref="K91" authorId="0" shapeId="0">
      <text>
        <t>From the competitor's Amazon page (variation attributes, Oct 14, 2026) where captured; otherwise parsed from the title.</t>
      </text>
    </comment>
    <comment ref="L91" authorId="0" shapeId="0">
      <text>
        <t>Variation count: catalog data family count, else search data child-ASIN count.</t>
      </text>
    </comment>
    <comment ref="M91" authorId="0" shapeId="0">
      <text>
        <t>The fewest child ASINs carrying 80% of this competitor's search data impressions.</t>
      </text>
    </comment>
    <comment ref="N91" authorId="0" shapeId="0">
      <text>
        <t>Newest price for this exact ASIN: Amazon page (Oct 13-14, 2026) where checked, otherwise the market data snapshot. A cell comment gives the older market data price when they differ.</t>
      </text>
    </comment>
    <comment ref="Q91" authorId="0" shapeId="0">
      <text>
        <t>How far List Price sits above price. Oct 13 page check of 154 core rivals: strikethrough shown on 2 of 3 at &lt;=12%, 13 of 13 at 12-25%, 11 of 13 above 25% - the size of the gap does not stop Amazon showing it.</t>
      </text>
    </comment>
    <comment ref="Z91" authorId="0" shapeId="0">
      <text>
        <t>Date the market data last captured this competitor's price, BSR and reviews. Orange = older than 7 days before the build.</t>
      </text>
    </comment>
    <comment ref="AD91" authorId="0" shapeId="0">
      <text>
        <t>Impression-like 7-day figure, not clicks or sales. Blank = unmeasured.</t>
      </text>
    </comment>
    <comment ref="AI91" authorId="0" shapeId="0">
      <text>
        <t>Share of their traffic on keywords where they hold a Sponsored Products placement.</t>
      </text>
    </comment>
    <comment ref="AM91" authorId="0" shapeId="0">
      <text>
        <t>Keywords both they and we rank on (our latest search data export).</t>
      </text>
    </comment>
    <comment ref="AS91" authorId="0" shapeId="0">
      <text>
        <t>Organic visibility score Jun 23-26 vs Jun 1-20, 2026 (baseline score 5+).</t>
      </text>
    </comment>
    <comment ref="AU91" authorId="0" shapeId="0">
      <text>
        <t>From the Amazon page check (str_check_&lt;date&gt;.csv). Blank = not checked yet (P2 rows).</t>
      </text>
    </comment>
    <comment ref="BD91" authorId="0" shapeId="0">
      <text>
        <t>price history: median daily lowest price (Buy Box, Lightning Deal or Prime Exclusive), Nov 1-19, 2025, end-of-day state - same basis as the BFCM low.</t>
      </text>
    </comment>
    <comment ref="BE91" authorId="0" shapeId="0">
      <text>
        <t>price history: lowest of Buy Box, Lightning Deal and Prime Exclusive price, Nov 20 - Dec 1, 2025. Coupons not netted (see Notes).</t>
      </text>
    </comment>
    <comment ref="BG91" authorId="0" shapeId="0">
      <text>
        <t>price history: median daily sales rank, Nov 1-19, 2025.</t>
      </text>
    </comment>
    <comment ref="BH91" authorId="0" shapeId="0">
      <text>
        <t>price history: median daily sales rank, Nov 20 - Dec 1, 2025. BSR lift = pre / BFCM (above 1 = sold faster).</t>
      </text>
    </comment>
  </commentList>
</comments>
</file>

<file path=xl/comments/comment18.xml><?xml version="1.0" encoding="utf-8"?>
<comments xmlns="http://schemas.openxmlformats.org/spreadsheetml/2006/main">
  <authors>
    <author>Tracker</author>
  </authors>
  <commentList>
    <comment ref="A92" authorId="0" shapeId="0">
      <text>
        <t>Live product image (Excel 365 / Google Sheets IMAGE). 'COMING SOON' picture = no verified image yet; see Data Gaps.</t>
      </text>
    </comment>
    <comment ref="D92" authorId="0" shapeId="0">
      <text>
        <t>market data mapping tier against this product.</t>
      </text>
    </comment>
    <comment ref="E9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92" authorId="0" shapeId="0">
      <text>
        <t>Material family from the competitor's product page where checked, else its title.</t>
      </text>
    </comment>
    <comment ref="J92" authorId="0" shapeId="0">
      <text>
        <t>From the competitor's Amazon page (variation attributes, Oct 14, 2026) where captured; otherwise parsed from the title.</t>
      </text>
    </comment>
    <comment ref="K92" authorId="0" shapeId="0">
      <text>
        <t>From the competitor's Amazon page (variation attributes, Oct 14, 2026) where captured; otherwise parsed from the title.</t>
      </text>
    </comment>
    <comment ref="L92" authorId="0" shapeId="0">
      <text>
        <t>Variation count: catalog data family count, else search data child-ASIN count.</t>
      </text>
    </comment>
    <comment ref="M92" authorId="0" shapeId="0">
      <text>
        <t>The fewest child ASINs carrying 80% of this competitor's search data impressions.</t>
      </text>
    </comment>
    <comment ref="N92" authorId="0" shapeId="0">
      <text>
        <t>Newest price for this exact ASIN: Amazon page (Oct 13-14, 2026) where checked, otherwise the market data snapshot. A cell comment gives the older market data price when they differ.</t>
      </text>
    </comment>
    <comment ref="Q92" authorId="0" shapeId="0">
      <text>
        <t>How far List Price sits above price. Oct 13 page check of 154 core rivals: strikethrough shown on 2 of 3 at &lt;=12%, 13 of 13 at 12-25%, 11 of 13 above 25% - the size of the gap does not stop Amazon showing it.</t>
      </text>
    </comment>
    <comment ref="Z92" authorId="0" shapeId="0">
      <text>
        <t>Date the market data last captured this competitor's price, BSR and reviews. Orange = older than 7 days before the build.</t>
      </text>
    </comment>
    <comment ref="AD92" authorId="0" shapeId="0">
      <text>
        <t>Impression-like 7-day figure, not clicks or sales. Blank = unmeasured.</t>
      </text>
    </comment>
    <comment ref="AI92" authorId="0" shapeId="0">
      <text>
        <t>Share of their traffic on keywords where they hold a Sponsored Products placement.</t>
      </text>
    </comment>
    <comment ref="AM92" authorId="0" shapeId="0">
      <text>
        <t>Keywords both they and we rank on (our latest search data export).</t>
      </text>
    </comment>
    <comment ref="AS92" authorId="0" shapeId="0">
      <text>
        <t>Organic visibility score Jun 23-26 vs Jun 1-20, 2026 (baseline score 5+).</t>
      </text>
    </comment>
    <comment ref="AU92" authorId="0" shapeId="0">
      <text>
        <t>From the Amazon page check (str_check_&lt;date&gt;.csv). Blank = not checked yet (P2 rows).</t>
      </text>
    </comment>
    <comment ref="BD92" authorId="0" shapeId="0">
      <text>
        <t>price history: median daily lowest price (Buy Box, Lightning Deal or Prime Exclusive), Nov 1-19, 2025, end-of-day state - same basis as the BFCM low.</t>
      </text>
    </comment>
    <comment ref="BE92" authorId="0" shapeId="0">
      <text>
        <t>price history: lowest of Buy Box, Lightning Deal and Prime Exclusive price, Nov 20 - Dec 1, 2025. Coupons not netted (see Notes).</t>
      </text>
    </comment>
    <comment ref="BG92" authorId="0" shapeId="0">
      <text>
        <t>price history: median daily sales rank, Nov 1-19, 2025.</t>
      </text>
    </comment>
    <comment ref="BH92" authorId="0" shapeId="0">
      <text>
        <t>price history: median daily sales rank, Nov 20 - Dec 1, 2025. BSR lift = pre / BFCM (above 1 = sold faster).</t>
      </text>
    </comment>
    <comment ref="H95" authorId="0" shapeId="0">
      <text>
        <t>Amazon page, Oct 14, 2026. The market data still lists B0C56VXVB3.</t>
      </text>
    </comment>
    <comment ref="N96" authorId="0" shapeId="0">
      <text>
        <t>Amazon page 2026-10-14. The market data snapshot (2026-10-12) has $209.30.</t>
      </text>
    </comment>
    <comment ref="H101" authorId="0" shapeId="0">
      <text>
        <t>Amazon page, Oct 14, 2026. The market data still lists B0DSPY326Y.</t>
      </text>
    </comment>
    <comment ref="H102" authorId="0" shapeId="0">
      <text>
        <t>Amazon page, Oct 14, 2026. The market data still lists B0H2797BXF.</t>
      </text>
    </comment>
    <comment ref="N102" authorId="0" shapeId="0">
      <text>
        <t>Amazon page 2026-10-13. The market data snapshot (2026-10-12) has $136.00.</t>
      </text>
    </comment>
    <comment ref="N109" authorId="0" shapeId="0">
      <text>
        <t>Amazon page 2026-10-14. The market data snapshot (2026-10-12) has $84.99.</t>
      </text>
    </comment>
    <comment ref="N112" authorId="0" shapeId="0">
      <text>
        <t>Amazon page 2026-10-14. The market data snapshot (2026-10-12) has $134.99.</t>
      </text>
    </comment>
    <comment ref="N115" authorId="0" shapeId="0">
      <text>
        <t>Amazon page 2026-10-14. The market data snapshot (2026-10-12) has $76.99.</t>
      </text>
    </comment>
    <comment ref="N117" authorId="0" shapeId="0">
      <text>
        <t>Amazon page 2026-10-14. The market data snapshot (2026-10-12) has $114.99.</t>
      </text>
    </comment>
    <comment ref="H122" authorId="0" shapeId="0">
      <text>
        <t>Amazon page, Oct 14, 2026. The market data still lists B0F2TDDFGJ.</t>
      </text>
    </comment>
    <comment ref="N124" authorId="0" shapeId="0">
      <text>
        <t>Amazon page 2026-10-14. The market data snapshot (2026-10-12) has $99.00.</t>
      </text>
    </comment>
    <comment ref="H127" authorId="0" shapeId="0">
      <text>
        <t>Amazon page, Oct 14, 2026. The market data still lists B09PYQ2VQL.</t>
      </text>
    </comment>
    <comment ref="N130" authorId="0" shapeId="0">
      <text>
        <t>Amazon page 2026-10-14. The market data snapshot (2026-10-12) has $15.95.</t>
      </text>
    </comment>
  </commentList>
</comments>
</file>

<file path=xl/comments/comment19.xml><?xml version="1.0" encoding="utf-8"?>
<comments xmlns="http://schemas.openxmlformats.org/spreadsheetml/2006/main">
  <authors>
    <author>Tracker</author>
  </authors>
  <commentList>
    <comment ref="A43" authorId="0" shapeId="0">
      <text>
        <t>Live product image (Excel 365 / Google Sheets IMAGE). 'COMING SOON' picture = no verified image yet; see Data Gaps.</t>
      </text>
    </comment>
    <comment ref="D43" authorId="0" shapeId="0">
      <text>
        <t>market data mapping tier against this product.</t>
      </text>
    </comment>
    <comment ref="E4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43" authorId="0" shapeId="0">
      <text>
        <t>Material family from the competitor's product page where checked, else its title.</t>
      </text>
    </comment>
    <comment ref="J43" authorId="0" shapeId="0">
      <text>
        <t>From the competitor's Amazon page (variation attributes, Oct 14, 2026) where captured; otherwise parsed from the title.</t>
      </text>
    </comment>
    <comment ref="K43" authorId="0" shapeId="0">
      <text>
        <t>From the competitor's Amazon page (variation attributes, Oct 14, 2026) where captured; otherwise parsed from the title.</t>
      </text>
    </comment>
    <comment ref="L43" authorId="0" shapeId="0">
      <text>
        <t>Variation count: catalog data family count, else search data child-ASIN count.</t>
      </text>
    </comment>
    <comment ref="M43" authorId="0" shapeId="0">
      <text>
        <t>The fewest child ASINs carrying 80% of this competitor's search data impressions.</t>
      </text>
    </comment>
    <comment ref="N43" authorId="0" shapeId="0">
      <text>
        <t>Newest price for this exact ASIN: Amazon page (Oct 13-14, 2026) where checked, otherwise the market data snapshot. A cell comment gives the older market data price when they differ.</t>
      </text>
    </comment>
    <comment ref="Q43" authorId="0" shapeId="0">
      <text>
        <t>How far List Price sits above price. Oct 13 page check of 154 core rivals: strikethrough shown on 2 of 3 at &lt;=12%, 13 of 13 at 12-25%, 11 of 13 above 25% - the size of the gap does not stop Amazon showing it.</t>
      </text>
    </comment>
    <comment ref="Z43" authorId="0" shapeId="0">
      <text>
        <t>Date the market data last captured this competitor's price, BSR and reviews. Orange = older than 7 days before the build.</t>
      </text>
    </comment>
    <comment ref="AD43" authorId="0" shapeId="0">
      <text>
        <t>Impression-like 7-day figure, not clicks or sales. Blank = unmeasured.</t>
      </text>
    </comment>
    <comment ref="AI43" authorId="0" shapeId="0">
      <text>
        <t>Share of their traffic on keywords where they hold a Sponsored Products placement.</t>
      </text>
    </comment>
    <comment ref="AM43" authorId="0" shapeId="0">
      <text>
        <t>Keywords both they and we rank on (our latest search data export).</t>
      </text>
    </comment>
    <comment ref="AS43" authorId="0" shapeId="0">
      <text>
        <t>Organic visibility score Jun 23-26 vs Jun 1-20, 2026 (baseline score 5+).</t>
      </text>
    </comment>
    <comment ref="AU43" authorId="0" shapeId="0">
      <text>
        <t>From the Amazon page check (str_check_&lt;date&gt;.csv). Blank = not checked yet (P2 rows).</t>
      </text>
    </comment>
    <comment ref="BD43" authorId="0" shapeId="0">
      <text>
        <t>price history: median daily lowest price (Buy Box, Lightning Deal or Prime Exclusive), Nov 1-19, 2025, end-of-day state - same basis as the BFCM low.</t>
      </text>
    </comment>
    <comment ref="BE43" authorId="0" shapeId="0">
      <text>
        <t>price history: lowest of Buy Box, Lightning Deal and Prime Exclusive price, Nov 20 - Dec 1, 2025. Coupons not netted (see Notes).</t>
      </text>
    </comment>
    <comment ref="BG43" authorId="0" shapeId="0">
      <text>
        <t>price history: median daily sales rank, Nov 1-19, 2025.</t>
      </text>
    </comment>
    <comment ref="BH43" authorId="0" shapeId="0">
      <text>
        <t>price history: median daily sales rank, Nov 20 - Dec 1, 2025. BSR lift = pre / BFCM (above 1 = sold faster).</t>
      </text>
    </comment>
    <comment ref="H44" authorId="0" shapeId="0">
      <text>
        <t>Amazon page, Oct 14, 2026. The market data still lists B0GRV9GZ9L.</t>
      </text>
    </comment>
    <comment ref="N44" authorId="0" shapeId="0">
      <text>
        <t>Amazon page 2026-10-13. The market data snapshot (2026-09-07) has $15.99.</t>
      </text>
    </comment>
    <comment ref="H46" authorId="0" shapeId="0">
      <text>
        <t>Amazon page, Oct 14, 2026. The market data still lists B0FRGBT861.</t>
      </text>
    </comment>
    <comment ref="N54" authorId="0" shapeId="0">
      <text>
        <t>Amazon page 2026-10-13. The market data snapshot (2026-10-12) has $11.99.</t>
      </text>
    </comment>
  </commentList>
</comments>
</file>

<file path=xl/comments/comment20.xml><?xml version="1.0" encoding="utf-8"?>
<comments xmlns="http://schemas.openxmlformats.org/spreadsheetml/2006/main">
  <authors>
    <author>Tracker</author>
  </authors>
  <commentList>
    <comment ref="A52" authorId="0" shapeId="0">
      <text>
        <t>Live product image (Excel 365 / Google Sheets IMAGE). 'COMING SOON' picture = no verified image yet; see Data Gaps.</t>
      </text>
    </comment>
    <comment ref="D52" authorId="0" shapeId="0">
      <text>
        <t>market data mapping tier against this product.</t>
      </text>
    </comment>
    <comment ref="E5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52" authorId="0" shapeId="0">
      <text>
        <t>Material family from the competitor's product page where checked, else its title.</t>
      </text>
    </comment>
    <comment ref="J52" authorId="0" shapeId="0">
      <text>
        <t>From the competitor's Amazon page (variation attributes, Oct 14, 2026) where captured; otherwise parsed from the title.</t>
      </text>
    </comment>
    <comment ref="K52" authorId="0" shapeId="0">
      <text>
        <t>From the competitor's Amazon page (variation attributes, Oct 14, 2026) where captured; otherwise parsed from the title.</t>
      </text>
    </comment>
    <comment ref="L52" authorId="0" shapeId="0">
      <text>
        <t>Variation count: catalog data family count, else search data child-ASIN count.</t>
      </text>
    </comment>
    <comment ref="M52" authorId="0" shapeId="0">
      <text>
        <t>The fewest child ASINs carrying 80% of this competitor's search data impressions.</t>
      </text>
    </comment>
    <comment ref="N52" authorId="0" shapeId="0">
      <text>
        <t>Newest price for this exact ASIN: Amazon page (Oct 13-14, 2026) where checked, otherwise the market data snapshot. A cell comment gives the older market data price when they differ.</t>
      </text>
    </comment>
    <comment ref="Q52" authorId="0" shapeId="0">
      <text>
        <t>How far List Price sits above price. Oct 13 page check of 154 core rivals: strikethrough shown on 2 of 3 at &lt;=12%, 13 of 13 at 12-25%, 11 of 13 above 25% - the size of the gap does not stop Amazon showing it.</t>
      </text>
    </comment>
    <comment ref="Z52" authorId="0" shapeId="0">
      <text>
        <t>Date the market data last captured this competitor's price, BSR and reviews. Orange = older than 7 days before the build.</t>
      </text>
    </comment>
    <comment ref="AD52" authorId="0" shapeId="0">
      <text>
        <t>Impression-like 7-day figure, not clicks or sales. Blank = unmeasured.</t>
      </text>
    </comment>
    <comment ref="AI52" authorId="0" shapeId="0">
      <text>
        <t>Share of their traffic on keywords where they hold a Sponsored Products placement.</t>
      </text>
    </comment>
    <comment ref="AM52" authorId="0" shapeId="0">
      <text>
        <t>Keywords both they and we rank on (our latest search data export).</t>
      </text>
    </comment>
    <comment ref="AS52" authorId="0" shapeId="0">
      <text>
        <t>Organic visibility score Jun 23-26 vs Jun 1-20, 2026 (baseline score 5+).</t>
      </text>
    </comment>
    <comment ref="AU52" authorId="0" shapeId="0">
      <text>
        <t>From the Amazon page check (str_check_&lt;date&gt;.csv). Blank = not checked yet (P2 rows).</t>
      </text>
    </comment>
    <comment ref="BD52" authorId="0" shapeId="0">
      <text>
        <t>price history: median daily lowest price (Buy Box, Lightning Deal or Prime Exclusive), Nov 1-19, 2025, end-of-day state - same basis as the BFCM low.</t>
      </text>
    </comment>
    <comment ref="BE52" authorId="0" shapeId="0">
      <text>
        <t>price history: lowest of Buy Box, Lightning Deal and Prime Exclusive price, Nov 20 - Dec 1, 2025. Coupons not netted (see Notes).</t>
      </text>
    </comment>
    <comment ref="BG52" authorId="0" shapeId="0">
      <text>
        <t>price history: median daily sales rank, Nov 1-19, 2025.</t>
      </text>
    </comment>
    <comment ref="BH52" authorId="0" shapeId="0">
      <text>
        <t>price history: median daily sales rank, Nov 20 - Dec 1, 2025. BSR lift = pre / BFCM (above 1 = sold faster).</t>
      </text>
    </comment>
    <comment ref="N53" authorId="0" shapeId="0">
      <text>
        <t>Amazon page 2026-10-14. The market data snapshot (2026-10-12) has $19.10.</t>
      </text>
    </comment>
    <comment ref="N54" authorId="0" shapeId="0">
      <text>
        <t>Amazon page 2026-10-13. The market data snapshot (2026-10-12) has $15.99.</t>
      </text>
    </comment>
    <comment ref="H56" authorId="0" shapeId="0">
      <text>
        <t>Amazon page, Oct 14, 2026. The market data still lists B0GRV9GZ9L.</t>
      </text>
    </comment>
    <comment ref="N56" authorId="0" shapeId="0">
      <text>
        <t>Amazon page 2026-10-13. The market data snapshot (2026-09-07) has $15.99.</t>
      </text>
    </comment>
    <comment ref="H65" authorId="0" shapeId="0">
      <text>
        <t>Amazon page, Oct 14, 2026. The market data still lists B0FRGBT861.</t>
      </text>
    </comment>
    <comment ref="N67" authorId="0" shapeId="0">
      <text>
        <t>Amazon page 2026-10-13. The market data snapshot (2026-10-12) has $11.99.</t>
      </text>
    </comment>
  </commentList>
</comments>
</file>

<file path=xl/comments/comment21.xml><?xml version="1.0" encoding="utf-8"?>
<comments xmlns="http://schemas.openxmlformats.org/spreadsheetml/2006/main">
  <authors>
    <author>Tracker</author>
  </authors>
  <commentList>
    <comment ref="A62" authorId="0" shapeId="0">
      <text>
        <t>Live product image (Excel 365 / Google Sheets IMAGE). 'COMING SOON' picture = no verified image yet; see Data Gaps.</t>
      </text>
    </comment>
    <comment ref="D62" authorId="0" shapeId="0">
      <text>
        <t>market data mapping tier against this product.</t>
      </text>
    </comment>
    <comment ref="E6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62" authorId="0" shapeId="0">
      <text>
        <t>Material family from the competitor's product page where checked, else its title.</t>
      </text>
    </comment>
    <comment ref="J62" authorId="0" shapeId="0">
      <text>
        <t>From the competitor's Amazon page (variation attributes, Oct 14, 2026) where captured; otherwise parsed from the title.</t>
      </text>
    </comment>
    <comment ref="K62" authorId="0" shapeId="0">
      <text>
        <t>From the competitor's Amazon page (variation attributes, Oct 14, 2026) where captured; otherwise parsed from the title.</t>
      </text>
    </comment>
    <comment ref="L62" authorId="0" shapeId="0">
      <text>
        <t>Variation count: catalog data family count, else search data child-ASIN count.</t>
      </text>
    </comment>
    <comment ref="M62" authorId="0" shapeId="0">
      <text>
        <t>The fewest child ASINs carrying 80% of this competitor's search data impressions.</t>
      </text>
    </comment>
    <comment ref="N62" authorId="0" shapeId="0">
      <text>
        <t>Newest price for this exact ASIN: Amazon page (Oct 13-14, 2026) where checked, otherwise the market data snapshot. A cell comment gives the older market data price when they differ.</t>
      </text>
    </comment>
    <comment ref="Q62" authorId="0" shapeId="0">
      <text>
        <t>How far List Price sits above price. Oct 13 page check of 154 core rivals: strikethrough shown on 2 of 3 at &lt;=12%, 13 of 13 at 12-25%, 11 of 13 above 25% - the size of the gap does not stop Amazon showing it.</t>
      </text>
    </comment>
    <comment ref="Z62" authorId="0" shapeId="0">
      <text>
        <t>Date the market data last captured this competitor's price, BSR and reviews. Orange = older than 7 days before the build.</t>
      </text>
    </comment>
    <comment ref="AD62" authorId="0" shapeId="0">
      <text>
        <t>Impression-like 7-day figure, not clicks or sales. Blank = unmeasured.</t>
      </text>
    </comment>
    <comment ref="AI62" authorId="0" shapeId="0">
      <text>
        <t>Share of their traffic on keywords where they hold a Sponsored Products placement.</t>
      </text>
    </comment>
    <comment ref="AM62" authorId="0" shapeId="0">
      <text>
        <t>Keywords both they and we rank on (our latest search data export).</t>
      </text>
    </comment>
    <comment ref="AS62" authorId="0" shapeId="0">
      <text>
        <t>Organic visibility score Jun 23-26 vs Jun 1-20, 2026 (baseline score 5+).</t>
      </text>
    </comment>
    <comment ref="AU62" authorId="0" shapeId="0">
      <text>
        <t>From the Amazon page check (str_check_&lt;date&gt;.csv). Blank = not checked yet (P2 rows).</t>
      </text>
    </comment>
    <comment ref="BD62" authorId="0" shapeId="0">
      <text>
        <t>price history: median daily lowest price (Buy Box, Lightning Deal or Prime Exclusive), Nov 1-19, 2025, end-of-day state - same basis as the BFCM low.</t>
      </text>
    </comment>
    <comment ref="BE62" authorId="0" shapeId="0">
      <text>
        <t>price history: lowest of Buy Box, Lightning Deal and Prime Exclusive price, Nov 20 - Dec 1, 2025. Coupons not netted (see Notes).</t>
      </text>
    </comment>
    <comment ref="BG62" authorId="0" shapeId="0">
      <text>
        <t>price history: median daily sales rank, Nov 1-19, 2025.</t>
      </text>
    </comment>
    <comment ref="BH62" authorId="0" shapeId="0">
      <text>
        <t>price history: median daily sales rank, Nov 20 - Dec 1, 2025. BSR lift = pre / BFCM (above 1 = sold faster).</t>
      </text>
    </comment>
    <comment ref="H66" authorId="0" shapeId="0">
      <text>
        <t>Amazon page, Oct 14, 2026. The market data still lists B0BQ6XYWKB.</t>
      </text>
    </comment>
    <comment ref="H68" authorId="0" shapeId="0">
      <text>
        <t>Amazon page, Oct 14, 2026. The market data still lists B0GJTG1NBW.</t>
      </text>
    </comment>
    <comment ref="N68" authorId="0" shapeId="0">
      <text>
        <t>Amazon page 2026-10-14. The market data snapshot (2026-10-12) has $59.99.</t>
      </text>
    </comment>
    <comment ref="N69" authorId="0" shapeId="0">
      <text>
        <t>Amazon page 2026-10-14. The market data snapshot (2026-10-12) has $51.43.</t>
      </text>
    </comment>
    <comment ref="N71" authorId="0" shapeId="0">
      <text>
        <t>Amazon page 2026-10-13. The market data snapshot (2026-10-12) has $59.99.</t>
      </text>
    </comment>
    <comment ref="H72" authorId="0" shapeId="0">
      <text>
        <t>Amazon page, Oct 14, 2026. The market data still lists B0F5WP36DB.</t>
      </text>
    </comment>
    <comment ref="N73" authorId="0" shapeId="0">
      <text>
        <t>Amazon page 2026-10-13. The market data snapshot (2026-10-12) has $23.99.</t>
      </text>
    </comment>
    <comment ref="N74" authorId="0" shapeId="0">
      <text>
        <t>Amazon page 2026-10-13. The market data snapshot (2026-10-12) has $28.99.</t>
      </text>
    </comment>
    <comment ref="H76" authorId="0" shapeId="0">
      <text>
        <t>Amazon page, Oct 14, 2026. The market data still lists B0FKTNLQHJ.</t>
      </text>
    </comment>
    <comment ref="H77" authorId="0" shapeId="0">
      <text>
        <t>Amazon page, Oct 14, 2026. The market data still lists B0GXZLZ3KB.</t>
      </text>
    </comment>
    <comment ref="H78" authorId="0" shapeId="0">
      <text>
        <t>Amazon page, Oct 14, 2026. The market data still lists B0BNT8CPJF.</t>
      </text>
    </comment>
    <comment ref="H80" authorId="0" shapeId="0">
      <text>
        <t>Amazon page, Oct 14, 2026. The market data still lists B099J44BKW.</t>
      </text>
    </comment>
    <comment ref="N80" authorId="0" shapeId="0">
      <text>
        <t>Amazon page 2026-10-14. The market data snapshot (2026-10-12) has $39.99.</t>
      </text>
    </comment>
  </commentList>
</comments>
</file>

<file path=xl/comments/comment22.xml><?xml version="1.0" encoding="utf-8"?>
<comments xmlns="http://schemas.openxmlformats.org/spreadsheetml/2006/main">
  <authors>
    <author>Tracker</author>
  </authors>
  <commentList>
    <comment ref="A106" authorId="0" shapeId="0">
      <text>
        <t>Live product image (Excel 365 / Google Sheets IMAGE). 'COMING SOON' picture = no verified image yet; see Data Gaps.</t>
      </text>
    </comment>
    <comment ref="D106" authorId="0" shapeId="0">
      <text>
        <t>market data mapping tier against this product.</t>
      </text>
    </comment>
    <comment ref="E106"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06" authorId="0" shapeId="0">
      <text>
        <t>Material family from the competitor's product page where checked, else its title.</t>
      </text>
    </comment>
    <comment ref="J106" authorId="0" shapeId="0">
      <text>
        <t>From the competitor's Amazon page (variation attributes, Oct 14, 2026) where captured; otherwise parsed from the title.</t>
      </text>
    </comment>
    <comment ref="K106" authorId="0" shapeId="0">
      <text>
        <t>From the competitor's Amazon page (variation attributes, Oct 14, 2026) where captured; otherwise parsed from the title.</t>
      </text>
    </comment>
    <comment ref="L106" authorId="0" shapeId="0">
      <text>
        <t>Variation count: catalog data family count, else search data child-ASIN count.</t>
      </text>
    </comment>
    <comment ref="M106" authorId="0" shapeId="0">
      <text>
        <t>The fewest child ASINs carrying 80% of this competitor's search data impressions.</t>
      </text>
    </comment>
    <comment ref="N106" authorId="0" shapeId="0">
      <text>
        <t>Newest price for this exact ASIN: Amazon page (Oct 13-14, 2026) where checked, otherwise the market data snapshot. A cell comment gives the older market data price when they differ.</t>
      </text>
    </comment>
    <comment ref="Q106" authorId="0" shapeId="0">
      <text>
        <t>How far List Price sits above price. Oct 13 page check of 154 core rivals: strikethrough shown on 2 of 3 at &lt;=12%, 13 of 13 at 12-25%, 11 of 13 above 25% - the size of the gap does not stop Amazon showing it.</t>
      </text>
    </comment>
    <comment ref="Z106" authorId="0" shapeId="0">
      <text>
        <t>Date the market data last captured this competitor's price, BSR and reviews. Orange = older than 7 days before the build.</t>
      </text>
    </comment>
    <comment ref="AD106" authorId="0" shapeId="0">
      <text>
        <t>Impression-like 7-day figure, not clicks or sales. Blank = unmeasured.</t>
      </text>
    </comment>
    <comment ref="AI106" authorId="0" shapeId="0">
      <text>
        <t>Share of their traffic on keywords where they hold a Sponsored Products placement.</t>
      </text>
    </comment>
    <comment ref="AM106" authorId="0" shapeId="0">
      <text>
        <t>Keywords both they and we rank on (our latest search data export).</t>
      </text>
    </comment>
    <comment ref="AS106" authorId="0" shapeId="0">
      <text>
        <t>Organic visibility score Jun 23-26 vs Jun 1-20, 2026 (baseline score 5+).</t>
      </text>
    </comment>
    <comment ref="AU106" authorId="0" shapeId="0">
      <text>
        <t>From the Amazon page check (str_check_&lt;date&gt;.csv). Blank = not checked yet (P2 rows).</t>
      </text>
    </comment>
    <comment ref="BD106" authorId="0" shapeId="0">
      <text>
        <t>price history: median daily lowest price (Buy Box, Lightning Deal or Prime Exclusive), Nov 1-19, 2025, end-of-day state - same basis as the BFCM low.</t>
      </text>
    </comment>
    <comment ref="BE106" authorId="0" shapeId="0">
      <text>
        <t>price history: lowest of Buy Box, Lightning Deal and Prime Exclusive price, Nov 20 - Dec 1, 2025. Coupons not netted (see Notes).</t>
      </text>
    </comment>
    <comment ref="BG106" authorId="0" shapeId="0">
      <text>
        <t>price history: median daily sales rank, Nov 1-19, 2025.</t>
      </text>
    </comment>
    <comment ref="BH106" authorId="0" shapeId="0">
      <text>
        <t>price history: median daily sales rank, Nov 20 - Dec 1, 2025. BSR lift = pre / BFCM (above 1 = sold faster).</t>
      </text>
    </comment>
  </commentList>
</comments>
</file>

<file path=xl/comments/comment23.xml><?xml version="1.0" encoding="utf-8"?>
<comments xmlns="http://schemas.openxmlformats.org/spreadsheetml/2006/main">
  <authors>
    <author>Tracker</author>
  </authors>
  <commentList>
    <comment ref="A60" authorId="0" shapeId="0">
      <text>
        <t>Live product image (Excel 365 / Google Sheets IMAGE). 'COMING SOON' picture = no verified image yet; see Data Gaps.</t>
      </text>
    </comment>
    <comment ref="D60" authorId="0" shapeId="0">
      <text>
        <t>market data mapping tier against this product.</t>
      </text>
    </comment>
    <comment ref="E60"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60" authorId="0" shapeId="0">
      <text>
        <t>Material family from the competitor's product page where checked, else its title.</t>
      </text>
    </comment>
    <comment ref="J60" authorId="0" shapeId="0">
      <text>
        <t>From the competitor's Amazon page (variation attributes, Oct 14, 2026) where captured; otherwise parsed from the title.</t>
      </text>
    </comment>
    <comment ref="K60" authorId="0" shapeId="0">
      <text>
        <t>From the competitor's Amazon page (variation attributes, Oct 14, 2026) where captured; otherwise parsed from the title.</t>
      </text>
    </comment>
    <comment ref="L60" authorId="0" shapeId="0">
      <text>
        <t>Variation count: catalog data family count, else search data child-ASIN count.</t>
      </text>
    </comment>
    <comment ref="M60" authorId="0" shapeId="0">
      <text>
        <t>The fewest child ASINs carrying 80% of this competitor's search data impressions.</t>
      </text>
    </comment>
    <comment ref="N60" authorId="0" shapeId="0">
      <text>
        <t>Newest price for this exact ASIN: Amazon page (Oct 13-14, 2026) where checked, otherwise the market data snapshot. A cell comment gives the older market data price when they differ.</t>
      </text>
    </comment>
    <comment ref="Q60" authorId="0" shapeId="0">
      <text>
        <t>How far List Price sits above price. Oct 13 page check of 154 core rivals: strikethrough shown on 2 of 3 at &lt;=12%, 13 of 13 at 12-25%, 11 of 13 above 25% - the size of the gap does not stop Amazon showing it.</t>
      </text>
    </comment>
    <comment ref="Z60" authorId="0" shapeId="0">
      <text>
        <t>Date the market data last captured this competitor's price, BSR and reviews. Orange = older than 7 days before the build.</t>
      </text>
    </comment>
    <comment ref="AD60" authorId="0" shapeId="0">
      <text>
        <t>Impression-like 7-day figure, not clicks or sales. Blank = unmeasured.</t>
      </text>
    </comment>
    <comment ref="AI60" authorId="0" shapeId="0">
      <text>
        <t>Share of their traffic on keywords where they hold a Sponsored Products placement.</t>
      </text>
    </comment>
    <comment ref="AM60" authorId="0" shapeId="0">
      <text>
        <t>Keywords both they and we rank on (our latest search data export).</t>
      </text>
    </comment>
    <comment ref="AS60" authorId="0" shapeId="0">
      <text>
        <t>Organic visibility score Jun 23-26 vs Jun 1-20, 2026 (baseline score 5+).</t>
      </text>
    </comment>
    <comment ref="AU60" authorId="0" shapeId="0">
      <text>
        <t>From the Amazon page check (str_check_&lt;date&gt;.csv). Blank = not checked yet (P2 rows).</t>
      </text>
    </comment>
    <comment ref="BD60" authorId="0" shapeId="0">
      <text>
        <t>price history: median daily lowest price (Buy Box, Lightning Deal or Prime Exclusive), Nov 1-19, 2025, end-of-day state - same basis as the BFCM low.</t>
      </text>
    </comment>
    <comment ref="BE60" authorId="0" shapeId="0">
      <text>
        <t>price history: lowest of Buy Box, Lightning Deal and Prime Exclusive price, Nov 20 - Dec 1, 2025. Coupons not netted (see Notes).</t>
      </text>
    </comment>
    <comment ref="BG60" authorId="0" shapeId="0">
      <text>
        <t>price history: median daily sales rank, Nov 1-19, 2025.</t>
      </text>
    </comment>
    <comment ref="BH60" authorId="0" shapeId="0">
      <text>
        <t>price history: median daily sales rank, Nov 20 - Dec 1, 2025. BSR lift = pre / BFCM (above 1 = sold faster).</t>
      </text>
    </comment>
    <comment ref="N78" authorId="0" shapeId="0">
      <text>
        <t>Amazon page 2026-10-14. The market data snapshot (2026-10-12) has $35.88.</t>
      </text>
    </comment>
    <comment ref="N79" authorId="0" shapeId="0">
      <text>
        <t>Amazon page 2026-10-14. The market data snapshot (2026-10-12) has $36.98.</t>
      </text>
    </comment>
  </commentList>
</comments>
</file>

<file path=xl/comments/comment24.xml><?xml version="1.0" encoding="utf-8"?>
<comments xmlns="http://schemas.openxmlformats.org/spreadsheetml/2006/main">
  <authors>
    <author>Tracker</author>
  </authors>
  <commentList>
    <comment ref="A80" authorId="0" shapeId="0">
      <text>
        <t>Live product image (Excel 365 / Google Sheets IMAGE). 'COMING SOON' picture = no verified image yet; see Data Gaps.</t>
      </text>
    </comment>
    <comment ref="D80" authorId="0" shapeId="0">
      <text>
        <t>market data mapping tier against this product.</t>
      </text>
    </comment>
    <comment ref="E80"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80" authorId="0" shapeId="0">
      <text>
        <t>Material family from the competitor's product page where checked, else its title.</t>
      </text>
    </comment>
    <comment ref="J80" authorId="0" shapeId="0">
      <text>
        <t>From the competitor's Amazon page (variation attributes, Oct 14, 2026) where captured; otherwise parsed from the title.</t>
      </text>
    </comment>
    <comment ref="K80" authorId="0" shapeId="0">
      <text>
        <t>From the competitor's Amazon page (variation attributes, Oct 14, 2026) where captured; otherwise parsed from the title.</t>
      </text>
    </comment>
    <comment ref="L80" authorId="0" shapeId="0">
      <text>
        <t>Variation count: catalog data family count, else search data child-ASIN count.</t>
      </text>
    </comment>
    <comment ref="M80" authorId="0" shapeId="0">
      <text>
        <t>The fewest child ASINs carrying 80% of this competitor's search data impressions.</t>
      </text>
    </comment>
    <comment ref="N80" authorId="0" shapeId="0">
      <text>
        <t>Newest price for this exact ASIN: Amazon page (Oct 13-14, 2026) where checked, otherwise the market data snapshot. A cell comment gives the older market data price when they differ.</t>
      </text>
    </comment>
    <comment ref="Q80" authorId="0" shapeId="0">
      <text>
        <t>How far List Price sits above price. Oct 13 page check of 154 core rivals: strikethrough shown on 2 of 3 at &lt;=12%, 13 of 13 at 12-25%, 11 of 13 above 25% - the size of the gap does not stop Amazon showing it.</t>
      </text>
    </comment>
    <comment ref="Z80" authorId="0" shapeId="0">
      <text>
        <t>Date the market data last captured this competitor's price, BSR and reviews. Orange = older than 7 days before the build.</t>
      </text>
    </comment>
    <comment ref="AD80" authorId="0" shapeId="0">
      <text>
        <t>Impression-like 7-day figure, not clicks or sales. Blank = unmeasured.</t>
      </text>
    </comment>
    <comment ref="AI80" authorId="0" shapeId="0">
      <text>
        <t>Share of their traffic on keywords where they hold a Sponsored Products placement.</t>
      </text>
    </comment>
    <comment ref="AM80" authorId="0" shapeId="0">
      <text>
        <t>Keywords both they and we rank on (our latest search data export).</t>
      </text>
    </comment>
    <comment ref="AS80" authorId="0" shapeId="0">
      <text>
        <t>Organic visibility score Jun 23-26 vs Jun 1-20, 2026 (baseline score 5+).</t>
      </text>
    </comment>
    <comment ref="AU80" authorId="0" shapeId="0">
      <text>
        <t>From the Amazon page check (str_check_&lt;date&gt;.csv). Blank = not checked yet (P2 rows).</t>
      </text>
    </comment>
    <comment ref="BD80" authorId="0" shapeId="0">
      <text>
        <t>price history: median daily lowest price (Buy Box, Lightning Deal or Prime Exclusive), Nov 1-19, 2025, end-of-day state - same basis as the BFCM low.</t>
      </text>
    </comment>
    <comment ref="BE80" authorId="0" shapeId="0">
      <text>
        <t>price history: lowest of Buy Box, Lightning Deal and Prime Exclusive price, Nov 20 - Dec 1, 2025. Coupons not netted (see Notes).</t>
      </text>
    </comment>
    <comment ref="BG80" authorId="0" shapeId="0">
      <text>
        <t>price history: median daily sales rank, Nov 1-19, 2025.</t>
      </text>
    </comment>
    <comment ref="BH80" authorId="0" shapeId="0">
      <text>
        <t>price history: median daily sales rank, Nov 20 - Dec 1, 2025. BSR lift = pre / BFCM (above 1 = sold faster).</t>
      </text>
    </comment>
    <comment ref="H101" authorId="0" shapeId="0">
      <text>
        <t>Amazon page, Oct 14, 2026. The market data still lists B0GMBGGXCX.</t>
      </text>
    </comment>
  </commentList>
</comments>
</file>

<file path=xl/comments/comment25.xml><?xml version="1.0" encoding="utf-8"?>
<comments xmlns="http://schemas.openxmlformats.org/spreadsheetml/2006/main">
  <authors>
    <author>Tracker</author>
  </authors>
  <commentList>
    <comment ref="A52" authorId="0" shapeId="0">
      <text>
        <t>Live product image (Excel 365 / Google Sheets IMAGE). 'COMING SOON' picture = no verified image yet; see Data Gaps.</t>
      </text>
    </comment>
    <comment ref="D52" authorId="0" shapeId="0">
      <text>
        <t>market data mapping tier against this product.</t>
      </text>
    </comment>
    <comment ref="E5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52" authorId="0" shapeId="0">
      <text>
        <t>Material family from the competitor's product page where checked, else its title.</t>
      </text>
    </comment>
    <comment ref="J52" authorId="0" shapeId="0">
      <text>
        <t>From the competitor's Amazon page (variation attributes, Oct 14, 2026) where captured; otherwise parsed from the title.</t>
      </text>
    </comment>
    <comment ref="K52" authorId="0" shapeId="0">
      <text>
        <t>From the competitor's Amazon page (variation attributes, Oct 14, 2026) where captured; otherwise parsed from the title.</t>
      </text>
    </comment>
    <comment ref="L52" authorId="0" shapeId="0">
      <text>
        <t>Variation count: catalog data family count, else search data child-ASIN count.</t>
      </text>
    </comment>
    <comment ref="M52" authorId="0" shapeId="0">
      <text>
        <t>The fewest child ASINs carrying 80% of this competitor's search data impressions.</t>
      </text>
    </comment>
    <comment ref="N52" authorId="0" shapeId="0">
      <text>
        <t>Newest price for this exact ASIN: Amazon page (Oct 13-14, 2026) where checked, otherwise the market data snapshot. A cell comment gives the older market data price when they differ.</t>
      </text>
    </comment>
    <comment ref="Q52" authorId="0" shapeId="0">
      <text>
        <t>How far List Price sits above price. Oct 13 page check of 154 core rivals: strikethrough shown on 2 of 3 at &lt;=12%, 13 of 13 at 12-25%, 11 of 13 above 25% - the size of the gap does not stop Amazon showing it.</t>
      </text>
    </comment>
    <comment ref="Z52" authorId="0" shapeId="0">
      <text>
        <t>Date the market data last captured this competitor's price, BSR and reviews. Orange = older than 7 days before the build.</t>
      </text>
    </comment>
    <comment ref="AD52" authorId="0" shapeId="0">
      <text>
        <t>Impression-like 7-day figure, not clicks or sales. Blank = unmeasured.</t>
      </text>
    </comment>
    <comment ref="AI52" authorId="0" shapeId="0">
      <text>
        <t>Share of their traffic on keywords where they hold a Sponsored Products placement.</t>
      </text>
    </comment>
    <comment ref="AM52" authorId="0" shapeId="0">
      <text>
        <t>Keywords both they and we rank on (our latest search data export).</t>
      </text>
    </comment>
    <comment ref="AS52" authorId="0" shapeId="0">
      <text>
        <t>Organic visibility score Jun 23-26 vs Jun 1-20, 2026 (baseline score 5+).</t>
      </text>
    </comment>
    <comment ref="AU52" authorId="0" shapeId="0">
      <text>
        <t>From the Amazon page check (str_check_&lt;date&gt;.csv). Blank = not checked yet (P2 rows).</t>
      </text>
    </comment>
    <comment ref="BD52" authorId="0" shapeId="0">
      <text>
        <t>price history: median daily lowest price (Buy Box, Lightning Deal or Prime Exclusive), Nov 1-19, 2025, end-of-day state - same basis as the BFCM low.</t>
      </text>
    </comment>
    <comment ref="BE52" authorId="0" shapeId="0">
      <text>
        <t>price history: lowest of Buy Box, Lightning Deal and Prime Exclusive price, Nov 20 - Dec 1, 2025. Coupons not netted (see Notes).</t>
      </text>
    </comment>
    <comment ref="BG52" authorId="0" shapeId="0">
      <text>
        <t>price history: median daily sales rank, Nov 1-19, 2025.</t>
      </text>
    </comment>
    <comment ref="BH52" authorId="0" shapeId="0">
      <text>
        <t>price history: median daily sales rank, Nov 20 - Dec 1, 2025. BSR lift = pre / BFCM (above 1 = sold faster).</t>
      </text>
    </comment>
    <comment ref="B53" authorId="0" shapeId="0">
      <text>
        <t>Amazon page, Oct 14, 2026. The market data still lists Chakir Turkish.</t>
      </text>
    </comment>
    <comment ref="N54" authorId="0" shapeId="0">
      <text>
        <t>Amazon page 2026-10-14. The market data snapshot (2026-10-12) has $19.99.</t>
      </text>
    </comment>
    <comment ref="N60" authorId="0" shapeId="0">
      <text>
        <t>Amazon page 2026-10-13. The market data snapshot (2026-10-12) has $14.99.</t>
      </text>
    </comment>
    <comment ref="N64" authorId="0" shapeId="0">
      <text>
        <t>Amazon page 2026-10-14. The market data snapshot (2026-10-12) has $24.95.</t>
      </text>
    </comment>
  </commentList>
</comments>
</file>

<file path=xl/comments/comment26.xml><?xml version="1.0" encoding="utf-8"?>
<comments xmlns="http://schemas.openxmlformats.org/spreadsheetml/2006/main">
  <authors>
    <author>Tracker</author>
  </authors>
  <commentList>
    <comment ref="A46" authorId="0" shapeId="0">
      <text>
        <t>Live product image (Excel 365 / Google Sheets IMAGE). 'COMING SOON' picture = no verified image yet; see Data Gaps.</t>
      </text>
    </comment>
    <comment ref="D46" authorId="0" shapeId="0">
      <text>
        <t>market data mapping tier against this product.</t>
      </text>
    </comment>
    <comment ref="E46"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46" authorId="0" shapeId="0">
      <text>
        <t>Material family from the competitor's product page where checked, else its title.</t>
      </text>
    </comment>
    <comment ref="J46" authorId="0" shapeId="0">
      <text>
        <t>From the competitor's Amazon page (variation attributes, Oct 14, 2026) where captured; otherwise parsed from the title.</t>
      </text>
    </comment>
    <comment ref="K46" authorId="0" shapeId="0">
      <text>
        <t>From the competitor's Amazon page (variation attributes, Oct 14, 2026) where captured; otherwise parsed from the title.</t>
      </text>
    </comment>
    <comment ref="L46" authorId="0" shapeId="0">
      <text>
        <t>Variation count: catalog data family count, else search data child-ASIN count.</t>
      </text>
    </comment>
    <comment ref="M46" authorId="0" shapeId="0">
      <text>
        <t>The fewest child ASINs carrying 80% of this competitor's search data impressions.</t>
      </text>
    </comment>
    <comment ref="N46" authorId="0" shapeId="0">
      <text>
        <t>Newest price for this exact ASIN: Amazon page (Oct 13-14, 2026) where checked, otherwise the market data snapshot. A cell comment gives the older market data price when they differ.</t>
      </text>
    </comment>
    <comment ref="Q46" authorId="0" shapeId="0">
      <text>
        <t>How far List Price sits above price. Oct 13 page check of 154 core rivals: strikethrough shown on 2 of 3 at &lt;=12%, 13 of 13 at 12-25%, 11 of 13 above 25% - the size of the gap does not stop Amazon showing it.</t>
      </text>
    </comment>
    <comment ref="Z46" authorId="0" shapeId="0">
      <text>
        <t>Date the market data last captured this competitor's price, BSR and reviews. Orange = older than 7 days before the build.</t>
      </text>
    </comment>
    <comment ref="AD46" authorId="0" shapeId="0">
      <text>
        <t>Impression-like 7-day figure, not clicks or sales. Blank = unmeasured.</t>
      </text>
    </comment>
    <comment ref="AI46" authorId="0" shapeId="0">
      <text>
        <t>Share of their traffic on keywords where they hold a Sponsored Products placement.</t>
      </text>
    </comment>
    <comment ref="AM46" authorId="0" shapeId="0">
      <text>
        <t>Keywords both they and we rank on (our latest search data export).</t>
      </text>
    </comment>
    <comment ref="AS46" authorId="0" shapeId="0">
      <text>
        <t>Organic visibility score Jun 23-26 vs Jun 1-20, 2026 (baseline score 5+).</t>
      </text>
    </comment>
    <comment ref="AU46" authorId="0" shapeId="0">
      <text>
        <t>From the Amazon page check (str_check_&lt;date&gt;.csv). Blank = not checked yet (P2 rows).</t>
      </text>
    </comment>
    <comment ref="BD46" authorId="0" shapeId="0">
      <text>
        <t>price history: median daily lowest price (Buy Box, Lightning Deal or Prime Exclusive), Nov 1-19, 2025, end-of-day state - same basis as the BFCM low.</t>
      </text>
    </comment>
    <comment ref="BE46" authorId="0" shapeId="0">
      <text>
        <t>price history: lowest of Buy Box, Lightning Deal and Prime Exclusive price, Nov 20 - Dec 1, 2025. Coupons not netted (see Notes).</t>
      </text>
    </comment>
    <comment ref="BG46" authorId="0" shapeId="0">
      <text>
        <t>price history: median daily sales rank, Nov 1-19, 2025.</t>
      </text>
    </comment>
    <comment ref="BH46" authorId="0" shapeId="0">
      <text>
        <t>price history: median daily sales rank, Nov 20 - Dec 1, 2025. BSR lift = pre / BFCM (above 1 = sold faster).</t>
      </text>
    </comment>
    <comment ref="H56" authorId="0" shapeId="0">
      <text>
        <t>Amazon page, Oct 14, 2026. The market data still lists B0HDS72F19.</t>
      </text>
    </comment>
    <comment ref="H63" authorId="0" shapeId="0">
      <text>
        <t>Amazon page, Oct 14, 2026. The market data still lists B0GPNMM78R.</t>
      </text>
    </comment>
  </commentList>
</comments>
</file>

<file path=xl/comments/comment27.xml><?xml version="1.0" encoding="utf-8"?>
<comments xmlns="http://schemas.openxmlformats.org/spreadsheetml/2006/main">
  <authors>
    <author>Tracker</author>
  </authors>
  <commentList>
    <comment ref="A53" authorId="0" shapeId="0">
      <text>
        <t>Live product image (Excel 365 / Google Sheets IMAGE). 'COMING SOON' picture = no verified image yet; see Data Gaps.</t>
      </text>
    </comment>
    <comment ref="D53" authorId="0" shapeId="0">
      <text>
        <t>market data mapping tier against this product.</t>
      </text>
    </comment>
    <comment ref="E5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53" authorId="0" shapeId="0">
      <text>
        <t>Material family from the competitor's product page where checked, else its title.</t>
      </text>
    </comment>
    <comment ref="J53" authorId="0" shapeId="0">
      <text>
        <t>From the competitor's Amazon page (variation attributes, Oct 14, 2026) where captured; otherwise parsed from the title.</t>
      </text>
    </comment>
    <comment ref="K53" authorId="0" shapeId="0">
      <text>
        <t>From the competitor's Amazon page (variation attributes, Oct 14, 2026) where captured; otherwise parsed from the title.</t>
      </text>
    </comment>
    <comment ref="L53" authorId="0" shapeId="0">
      <text>
        <t>Variation count: catalog data family count, else search data child-ASIN count.</t>
      </text>
    </comment>
    <comment ref="M53" authorId="0" shapeId="0">
      <text>
        <t>The fewest child ASINs carrying 80% of this competitor's search data impressions.</t>
      </text>
    </comment>
    <comment ref="N53" authorId="0" shapeId="0">
      <text>
        <t>Newest price for this exact ASIN: Amazon page (Oct 13-14, 2026) where checked, otherwise the market data snapshot. A cell comment gives the older market data price when they differ.</t>
      </text>
    </comment>
    <comment ref="Q53" authorId="0" shapeId="0">
      <text>
        <t>How far List Price sits above price. Oct 13 page check of 154 core rivals: strikethrough shown on 2 of 3 at &lt;=12%, 13 of 13 at 12-25%, 11 of 13 above 25% - the size of the gap does not stop Amazon showing it.</t>
      </text>
    </comment>
    <comment ref="Z53" authorId="0" shapeId="0">
      <text>
        <t>Date the market data last captured this competitor's price, BSR and reviews. Orange = older than 7 days before the build.</t>
      </text>
    </comment>
    <comment ref="AD53" authorId="0" shapeId="0">
      <text>
        <t>Impression-like 7-day figure, not clicks or sales. Blank = unmeasured.</t>
      </text>
    </comment>
    <comment ref="AI53" authorId="0" shapeId="0">
      <text>
        <t>Share of their traffic on keywords where they hold a Sponsored Products placement.</t>
      </text>
    </comment>
    <comment ref="AM53" authorId="0" shapeId="0">
      <text>
        <t>Keywords both they and we rank on (our latest search data export).</t>
      </text>
    </comment>
    <comment ref="AS53" authorId="0" shapeId="0">
      <text>
        <t>Organic visibility score Jun 23-26 vs Jun 1-20, 2026 (baseline score 5+).</t>
      </text>
    </comment>
    <comment ref="AU53" authorId="0" shapeId="0">
      <text>
        <t>From the Amazon page check (str_check_&lt;date&gt;.csv). Blank = not checked yet (P2 rows).</t>
      </text>
    </comment>
    <comment ref="BD53" authorId="0" shapeId="0">
      <text>
        <t>price history: median daily lowest price (Buy Box, Lightning Deal or Prime Exclusive), Nov 1-19, 2025, end-of-day state - same basis as the BFCM low.</t>
      </text>
    </comment>
    <comment ref="BE53" authorId="0" shapeId="0">
      <text>
        <t>price history: lowest of Buy Box, Lightning Deal and Prime Exclusive price, Nov 20 - Dec 1, 2025. Coupons not netted (see Notes).</t>
      </text>
    </comment>
    <comment ref="BG53" authorId="0" shapeId="0">
      <text>
        <t>price history: median daily sales rank, Nov 1-19, 2025.</t>
      </text>
    </comment>
    <comment ref="BH53" authorId="0" shapeId="0">
      <text>
        <t>price history: median daily sales rank, Nov 20 - Dec 1, 2025. BSR lift = pre / BFCM (above 1 = sold faster).</t>
      </text>
    </comment>
    <comment ref="H54" authorId="0" shapeId="0">
      <text>
        <t>Amazon page, Oct 14, 2026. The market data still lists B0D25V1C84.</t>
      </text>
    </comment>
    <comment ref="N55" authorId="0" shapeId="0">
      <text>
        <t>Amazon page 2026-10-14. The market data snapshot (2026-10-12) has $19.88.</t>
      </text>
    </comment>
    <comment ref="N59" authorId="0" shapeId="0">
      <text>
        <t>Amazon page 2026-10-14. The market data snapshot (2026-10-12) has $29.99.</t>
      </text>
    </comment>
    <comment ref="B71" authorId="0" shapeId="0">
      <text>
        <t>Amazon page, Oct 14, 2026. The market data still lists NORTHERN BROTHERS.</t>
      </text>
    </comment>
  </commentList>
</comments>
</file>

<file path=xl/comments/comment28.xml><?xml version="1.0" encoding="utf-8"?>
<comments xmlns="http://schemas.openxmlformats.org/spreadsheetml/2006/main">
  <authors>
    <author>Tracker</author>
  </authors>
  <commentList>
    <comment ref="A123" authorId="0" shapeId="0">
      <text>
        <t>Live product image (Excel 365 / Google Sheets IMAGE). 'COMING SOON' picture = no verified image yet; see Data Gaps.</t>
      </text>
    </comment>
    <comment ref="D123" authorId="0" shapeId="0">
      <text>
        <t>market data mapping tier against this product.</t>
      </text>
    </comment>
    <comment ref="E123"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3" authorId="0" shapeId="0">
      <text>
        <t>Material family from the competitor's product page where checked, else its title.</t>
      </text>
    </comment>
    <comment ref="J123" authorId="0" shapeId="0">
      <text>
        <t>From the competitor's Amazon page (variation attributes, Oct 14, 2026) where captured; otherwise parsed from the title.</t>
      </text>
    </comment>
    <comment ref="K123" authorId="0" shapeId="0">
      <text>
        <t>From the competitor's Amazon page (variation attributes, Oct 14, 2026) where captured; otherwise parsed from the title.</t>
      </text>
    </comment>
    <comment ref="L123" authorId="0" shapeId="0">
      <text>
        <t>Variation count: catalog data family count, else search data child-ASIN count.</t>
      </text>
    </comment>
    <comment ref="M123" authorId="0" shapeId="0">
      <text>
        <t>The fewest child ASINs carrying 80% of this competitor's search data impressions.</t>
      </text>
    </comment>
    <comment ref="N123" authorId="0" shapeId="0">
      <text>
        <t>Newest price for this exact ASIN: Amazon page (Oct 13-14, 2026) where checked, otherwise the market data snapshot. A cell comment gives the older market data price when they differ.</t>
      </text>
    </comment>
    <comment ref="Q123" authorId="0" shapeId="0">
      <text>
        <t>How far List Price sits above price. Oct 13 page check of 154 core rivals: strikethrough shown on 2 of 3 at &lt;=12%, 13 of 13 at 12-25%, 11 of 13 above 25% - the size of the gap does not stop Amazon showing it.</t>
      </text>
    </comment>
    <comment ref="Z123" authorId="0" shapeId="0">
      <text>
        <t>Date the market data last captured this competitor's price, BSR and reviews. Orange = older than 7 days before the build.</t>
      </text>
    </comment>
    <comment ref="AD123" authorId="0" shapeId="0">
      <text>
        <t>Impression-like 7-day figure, not clicks or sales. Blank = unmeasured.</t>
      </text>
    </comment>
    <comment ref="AI123" authorId="0" shapeId="0">
      <text>
        <t>Share of their traffic on keywords where they hold a Sponsored Products placement.</t>
      </text>
    </comment>
    <comment ref="AM123" authorId="0" shapeId="0">
      <text>
        <t>Keywords both they and we rank on (our latest search data export).</t>
      </text>
    </comment>
    <comment ref="AS123" authorId="0" shapeId="0">
      <text>
        <t>Organic visibility score Jun 23-26 vs Jun 1-20, 2026 (baseline score 5+).</t>
      </text>
    </comment>
    <comment ref="AU123" authorId="0" shapeId="0">
      <text>
        <t>From the Amazon page check (str_check_&lt;date&gt;.csv). Blank = not checked yet (P2 rows).</t>
      </text>
    </comment>
    <comment ref="BD123" authorId="0" shapeId="0">
      <text>
        <t>price history: median daily lowest price (Buy Box, Lightning Deal or Prime Exclusive), Nov 1-19, 2025, end-of-day state - same basis as the BFCM low.</t>
      </text>
    </comment>
    <comment ref="BE123" authorId="0" shapeId="0">
      <text>
        <t>price history: lowest of Buy Box, Lightning Deal and Prime Exclusive price, Nov 20 - Dec 1, 2025. Coupons not netted (see Notes).</t>
      </text>
    </comment>
    <comment ref="BG123" authorId="0" shapeId="0">
      <text>
        <t>price history: median daily sales rank, Nov 1-19, 2025.</t>
      </text>
    </comment>
    <comment ref="BH123" authorId="0" shapeId="0">
      <text>
        <t>price history: median daily sales rank, Nov 20 - Dec 1, 2025. BSR lift = pre / BFCM (above 1 = sold faster).</t>
      </text>
    </comment>
  </commentList>
</comments>
</file>

<file path=xl/comments/comment29.xml><?xml version="1.0" encoding="utf-8"?>
<comments xmlns="http://schemas.openxmlformats.org/spreadsheetml/2006/main">
  <authors>
    <author>Tracker</author>
  </authors>
  <commentList>
    <comment ref="A122" authorId="0" shapeId="0">
      <text>
        <t>Live product image (Excel 365 / Google Sheets IMAGE). 'COMING SOON' picture = no verified image yet; see Data Gaps.</t>
      </text>
    </comment>
    <comment ref="D122" authorId="0" shapeId="0">
      <text>
        <t>market data mapping tier against this product.</t>
      </text>
    </comment>
    <comment ref="E122"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22" authorId="0" shapeId="0">
      <text>
        <t>Material family from the competitor's product page where checked, else its title.</t>
      </text>
    </comment>
    <comment ref="J122" authorId="0" shapeId="0">
      <text>
        <t>From the competitor's Amazon page (variation attributes, Oct 14, 2026) where captured; otherwise parsed from the title.</t>
      </text>
    </comment>
    <comment ref="K122" authorId="0" shapeId="0">
      <text>
        <t>From the competitor's Amazon page (variation attributes, Oct 14, 2026) where captured; otherwise parsed from the title.</t>
      </text>
    </comment>
    <comment ref="L122" authorId="0" shapeId="0">
      <text>
        <t>Variation count: catalog data family count, else search data child-ASIN count.</t>
      </text>
    </comment>
    <comment ref="M122" authorId="0" shapeId="0">
      <text>
        <t>The fewest child ASINs carrying 80% of this competitor's search data impressions.</t>
      </text>
    </comment>
    <comment ref="N122" authorId="0" shapeId="0">
      <text>
        <t>Newest price for this exact ASIN: Amazon page (Oct 13-14, 2026) where checked, otherwise the market data snapshot. A cell comment gives the older market data price when they differ.</t>
      </text>
    </comment>
    <comment ref="Q122" authorId="0" shapeId="0">
      <text>
        <t>How far List Price sits above price. Oct 13 page check of 154 core rivals: strikethrough shown on 2 of 3 at &lt;=12%, 13 of 13 at 12-25%, 11 of 13 above 25% - the size of the gap does not stop Amazon showing it.</t>
      </text>
    </comment>
    <comment ref="Z122" authorId="0" shapeId="0">
      <text>
        <t>Date the market data last captured this competitor's price, BSR and reviews. Orange = older than 7 days before the build.</t>
      </text>
    </comment>
    <comment ref="AD122" authorId="0" shapeId="0">
      <text>
        <t>Impression-like 7-day figure, not clicks or sales. Blank = unmeasured.</t>
      </text>
    </comment>
    <comment ref="AI122" authorId="0" shapeId="0">
      <text>
        <t>Share of their traffic on keywords where they hold a Sponsored Products placement.</t>
      </text>
    </comment>
    <comment ref="AM122" authorId="0" shapeId="0">
      <text>
        <t>Keywords both they and we rank on (our latest search data export).</t>
      </text>
    </comment>
    <comment ref="AS122" authorId="0" shapeId="0">
      <text>
        <t>Organic visibility score Jun 23-26 vs Jun 1-20, 2026 (baseline score 5+).</t>
      </text>
    </comment>
    <comment ref="AU122" authorId="0" shapeId="0">
      <text>
        <t>From the Amazon page check (str_check_&lt;date&gt;.csv). Blank = not checked yet (P2 rows).</t>
      </text>
    </comment>
    <comment ref="BD122" authorId="0" shapeId="0">
      <text>
        <t>price history: median daily lowest price (Buy Box, Lightning Deal or Prime Exclusive), Nov 1-19, 2025, end-of-day state - same basis as the BFCM low.</t>
      </text>
    </comment>
    <comment ref="BE122" authorId="0" shapeId="0">
      <text>
        <t>price history: lowest of Buy Box, Lightning Deal and Prime Exclusive price, Nov 20 - Dec 1, 2025. Coupons not netted (see Notes).</t>
      </text>
    </comment>
    <comment ref="BG122" authorId="0" shapeId="0">
      <text>
        <t>price history: median daily sales rank, Nov 1-19, 2025.</t>
      </text>
    </comment>
    <comment ref="BH122" authorId="0" shapeId="0">
      <text>
        <t>price history: median daily sales rank, Nov 20 - Dec 1, 2025. BSR lift = pre / BFCM (above 1 = sold faster).</t>
      </text>
    </comment>
  </commentList>
</comments>
</file>

<file path=xl/comments/comment30.xml><?xml version="1.0" encoding="utf-8"?>
<comments xmlns="http://schemas.openxmlformats.org/spreadsheetml/2006/main">
  <authors>
    <author>Tracker</author>
  </authors>
  <commentList>
    <comment ref="A168" authorId="0" shapeId="0">
      <text>
        <t>Live product image (Excel 365 / Google Sheets IMAGE). 'COMING SOON' picture = no verified image yet; see Data Gaps.</t>
      </text>
    </comment>
    <comment ref="D168" authorId="0" shapeId="0">
      <text>
        <t>market data mapping tier against this product.</t>
      </text>
    </comment>
    <comment ref="E168"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68" authorId="0" shapeId="0">
      <text>
        <t>Material family from the competitor's product page where checked, else its title.</t>
      </text>
    </comment>
    <comment ref="J168" authorId="0" shapeId="0">
      <text>
        <t>From the competitor's Amazon page (variation attributes, Oct 14, 2026) where captured; otherwise parsed from the title.</t>
      </text>
    </comment>
    <comment ref="K168" authorId="0" shapeId="0">
      <text>
        <t>From the competitor's Amazon page (variation attributes, Oct 14, 2026) where captured; otherwise parsed from the title.</t>
      </text>
    </comment>
    <comment ref="L168" authorId="0" shapeId="0">
      <text>
        <t>Variation count: catalog data family count, else search data child-ASIN count.</t>
      </text>
    </comment>
    <comment ref="M168" authorId="0" shapeId="0">
      <text>
        <t>The fewest child ASINs carrying 80% of this competitor's search data impressions.</t>
      </text>
    </comment>
    <comment ref="N168" authorId="0" shapeId="0">
      <text>
        <t>Newest price for this exact ASIN: Amazon page (Oct 13-14, 2026) where checked, otherwise the market data snapshot. A cell comment gives the older market data price when they differ.</t>
      </text>
    </comment>
    <comment ref="Q168" authorId="0" shapeId="0">
      <text>
        <t>How far List Price sits above price. Oct 13 page check of 154 core rivals: strikethrough shown on 2 of 3 at &lt;=12%, 13 of 13 at 12-25%, 11 of 13 above 25% - the size of the gap does not stop Amazon showing it.</t>
      </text>
    </comment>
    <comment ref="Z168" authorId="0" shapeId="0">
      <text>
        <t>Date the market data last captured this competitor's price, BSR and reviews. Orange = older than 7 days before the build.</t>
      </text>
    </comment>
    <comment ref="AD168" authorId="0" shapeId="0">
      <text>
        <t>Impression-like 7-day figure, not clicks or sales. Blank = unmeasured.</t>
      </text>
    </comment>
    <comment ref="AI168" authorId="0" shapeId="0">
      <text>
        <t>Share of their traffic on keywords where they hold a Sponsored Products placement.</t>
      </text>
    </comment>
    <comment ref="AM168" authorId="0" shapeId="0">
      <text>
        <t>Keywords both they and we rank on (our latest search data export).</t>
      </text>
    </comment>
    <comment ref="AS168" authorId="0" shapeId="0">
      <text>
        <t>Organic visibility score Jun 23-26 vs Jun 1-20, 2026 (baseline score 5+).</t>
      </text>
    </comment>
    <comment ref="AU168" authorId="0" shapeId="0">
      <text>
        <t>From the Amazon page check (str_check_&lt;date&gt;.csv). Blank = not checked yet (P2 rows).</t>
      </text>
    </comment>
    <comment ref="BD168" authorId="0" shapeId="0">
      <text>
        <t>price history: median daily lowest price (Buy Box, Lightning Deal or Prime Exclusive), Nov 1-19, 2025, end-of-day state - same basis as the BFCM low.</t>
      </text>
    </comment>
    <comment ref="BE168" authorId="0" shapeId="0">
      <text>
        <t>price history: lowest of Buy Box, Lightning Deal and Prime Exclusive price, Nov 20 - Dec 1, 2025. Coupons not netted (see Notes).</t>
      </text>
    </comment>
    <comment ref="BG168" authorId="0" shapeId="0">
      <text>
        <t>price history: median daily sales rank, Nov 1-19, 2025.</t>
      </text>
    </comment>
    <comment ref="BH168" authorId="0" shapeId="0">
      <text>
        <t>price history: median daily sales rank, Nov 20 - Dec 1, 2025. BSR lift = pre / BFCM (above 1 = sold faster).</t>
      </text>
    </comment>
  </commentList>
</comments>
</file>

<file path=xl/comments/comment31.xml><?xml version="1.0" encoding="utf-8"?>
<comments xmlns="http://schemas.openxmlformats.org/spreadsheetml/2006/main">
  <authors>
    <author>Tracker</author>
  </authors>
  <commentList>
    <comment ref="A159" authorId="0" shapeId="0">
      <text>
        <t>Live product image (Excel 365 / Google Sheets IMAGE). 'COMING SOON' picture = no verified image yet; see Data Gaps.</t>
      </text>
    </comment>
    <comment ref="D159" authorId="0" shapeId="0">
      <text>
        <t>market data mapping tier against this product.</t>
      </text>
    </comment>
    <comment ref="E159"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59" authorId="0" shapeId="0">
      <text>
        <t>Material family from the competitor's product page where checked, else its title.</t>
      </text>
    </comment>
    <comment ref="J159" authorId="0" shapeId="0">
      <text>
        <t>From the competitor's Amazon page (variation attributes, Oct 14, 2026) where captured; otherwise parsed from the title.</t>
      </text>
    </comment>
    <comment ref="K159" authorId="0" shapeId="0">
      <text>
        <t>From the competitor's Amazon page (variation attributes, Oct 14, 2026) where captured; otherwise parsed from the title.</t>
      </text>
    </comment>
    <comment ref="L159" authorId="0" shapeId="0">
      <text>
        <t>Variation count: catalog data family count, else search data child-ASIN count.</t>
      </text>
    </comment>
    <comment ref="M159" authorId="0" shapeId="0">
      <text>
        <t>The fewest child ASINs carrying 80% of this competitor's search data impressions.</t>
      </text>
    </comment>
    <comment ref="N159" authorId="0" shapeId="0">
      <text>
        <t>Newest price for this exact ASIN: Amazon page (Oct 13-14, 2026) where checked, otherwise the market data snapshot. A cell comment gives the older market data price when they differ.</t>
      </text>
    </comment>
    <comment ref="Q159" authorId="0" shapeId="0">
      <text>
        <t>How far List Price sits above price. Oct 13 page check of 154 core rivals: strikethrough shown on 2 of 3 at &lt;=12%, 13 of 13 at 12-25%, 11 of 13 above 25% - the size of the gap does not stop Amazon showing it.</t>
      </text>
    </comment>
    <comment ref="Z159" authorId="0" shapeId="0">
      <text>
        <t>Date the market data last captured this competitor's price, BSR and reviews. Orange = older than 7 days before the build.</t>
      </text>
    </comment>
    <comment ref="AD159" authorId="0" shapeId="0">
      <text>
        <t>Impression-like 7-day figure, not clicks or sales. Blank = unmeasured.</t>
      </text>
    </comment>
    <comment ref="AI159" authorId="0" shapeId="0">
      <text>
        <t>Share of their traffic on keywords where they hold a Sponsored Products placement.</t>
      </text>
    </comment>
    <comment ref="AM159" authorId="0" shapeId="0">
      <text>
        <t>Keywords both they and we rank on (our latest search data export).</t>
      </text>
    </comment>
    <comment ref="AS159" authorId="0" shapeId="0">
      <text>
        <t>Organic visibility score Jun 23-26 vs Jun 1-20, 2026 (baseline score 5+).</t>
      </text>
    </comment>
    <comment ref="AU159" authorId="0" shapeId="0">
      <text>
        <t>From the Amazon page check (str_check_&lt;date&gt;.csv). Blank = not checked yet (P2 rows).</t>
      </text>
    </comment>
    <comment ref="BD159" authorId="0" shapeId="0">
      <text>
        <t>price history: median daily lowest price (Buy Box, Lightning Deal or Prime Exclusive), Nov 1-19, 2025, end-of-day state - same basis as the BFCM low.</t>
      </text>
    </comment>
    <comment ref="BE159" authorId="0" shapeId="0">
      <text>
        <t>price history: lowest of Buy Box, Lightning Deal and Prime Exclusive price, Nov 20 - Dec 1, 2025. Coupons not netted (see Notes).</t>
      </text>
    </comment>
    <comment ref="BG159" authorId="0" shapeId="0">
      <text>
        <t>price history: median daily sales rank, Nov 1-19, 2025.</t>
      </text>
    </comment>
    <comment ref="BH159" authorId="0" shapeId="0">
      <text>
        <t>price history: median daily sales rank, Nov 20 - Dec 1, 2025. BSR lift = pre / BFCM (above 1 = sold faster).</t>
      </text>
    </comment>
  </commentList>
</comments>
</file>

<file path=xl/comments/comment32.xml><?xml version="1.0" encoding="utf-8"?>
<comments xmlns="http://schemas.openxmlformats.org/spreadsheetml/2006/main">
  <authors>
    <author>Tracker</author>
  </authors>
  <commentList>
    <comment ref="A157" authorId="0" shapeId="0">
      <text>
        <t>Live product image (Excel 365 / Google Sheets IMAGE). 'COMING SOON' picture = no verified image yet; see Data Gaps.</t>
      </text>
    </comment>
    <comment ref="D157" authorId="0" shapeId="0">
      <text>
        <t>market data mapping tier against this product.</t>
      </text>
    </comment>
    <comment ref="E157"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57" authorId="0" shapeId="0">
      <text>
        <t>Material family from the competitor's product page where checked, else its title.</t>
      </text>
    </comment>
    <comment ref="J157" authorId="0" shapeId="0">
      <text>
        <t>From the competitor's Amazon page (variation attributes, Oct 14, 2026) where captured; otherwise parsed from the title.</t>
      </text>
    </comment>
    <comment ref="K157" authorId="0" shapeId="0">
      <text>
        <t>From the competitor's Amazon page (variation attributes, Oct 14, 2026) where captured; otherwise parsed from the title.</t>
      </text>
    </comment>
    <comment ref="L157" authorId="0" shapeId="0">
      <text>
        <t>Variation count: catalog data family count, else search data child-ASIN count.</t>
      </text>
    </comment>
    <comment ref="M157" authorId="0" shapeId="0">
      <text>
        <t>The fewest child ASINs carrying 80% of this competitor's search data impressions.</t>
      </text>
    </comment>
    <comment ref="N157" authorId="0" shapeId="0">
      <text>
        <t>Newest price for this exact ASIN: Amazon page (Oct 13-14, 2026) where checked, otherwise the market data snapshot. A cell comment gives the older market data price when they differ.</t>
      </text>
    </comment>
    <comment ref="Q157" authorId="0" shapeId="0">
      <text>
        <t>How far List Price sits above price. Oct 13 page check of 154 core rivals: strikethrough shown on 2 of 3 at &lt;=12%, 13 of 13 at 12-25%, 11 of 13 above 25% - the size of the gap does not stop Amazon showing it.</t>
      </text>
    </comment>
    <comment ref="Z157" authorId="0" shapeId="0">
      <text>
        <t>Date the market data last captured this competitor's price, BSR and reviews. Orange = older than 7 days before the build.</t>
      </text>
    </comment>
    <comment ref="AD157" authorId="0" shapeId="0">
      <text>
        <t>Impression-like 7-day figure, not clicks or sales. Blank = unmeasured.</t>
      </text>
    </comment>
    <comment ref="AI157" authorId="0" shapeId="0">
      <text>
        <t>Share of their traffic on keywords where they hold a Sponsored Products placement.</t>
      </text>
    </comment>
    <comment ref="AM157" authorId="0" shapeId="0">
      <text>
        <t>Keywords both they and we rank on (our latest search data export).</t>
      </text>
    </comment>
    <comment ref="AS157" authorId="0" shapeId="0">
      <text>
        <t>Organic visibility score Jun 23-26 vs Jun 1-20, 2026 (baseline score 5+).</t>
      </text>
    </comment>
    <comment ref="AU157" authorId="0" shapeId="0">
      <text>
        <t>From the Amazon page check (str_check_&lt;date&gt;.csv). Blank = not checked yet (P2 rows).</t>
      </text>
    </comment>
    <comment ref="BD157" authorId="0" shapeId="0">
      <text>
        <t>price history: median daily lowest price (Buy Box, Lightning Deal or Prime Exclusive), Nov 1-19, 2025, end-of-day state - same basis as the BFCM low.</t>
      </text>
    </comment>
    <comment ref="BE157" authorId="0" shapeId="0">
      <text>
        <t>price history: lowest of Buy Box, Lightning Deal and Prime Exclusive price, Nov 20 - Dec 1, 2025. Coupons not netted (see Notes).</t>
      </text>
    </comment>
    <comment ref="BG157" authorId="0" shapeId="0">
      <text>
        <t>price history: median daily sales rank, Nov 1-19, 2025.</t>
      </text>
    </comment>
    <comment ref="BH157" authorId="0" shapeId="0">
      <text>
        <t>price history: median daily sales rank, Nov 20 - Dec 1, 2025. BSR lift = pre / BFCM (above 1 = sold faster).</t>
      </text>
    </comment>
  </commentList>
</comments>
</file>

<file path=xl/comments/comment33.xml><?xml version="1.0" encoding="utf-8"?>
<comments xmlns="http://schemas.openxmlformats.org/spreadsheetml/2006/main">
  <authors>
    <author>Tracker</author>
  </authors>
  <commentList>
    <comment ref="A109" authorId="0" shapeId="0">
      <text>
        <t>Live product image (Excel 365 / Google Sheets IMAGE). 'COMING SOON' picture = no verified image yet; see Data Gaps.</t>
      </text>
    </comment>
    <comment ref="D109" authorId="0" shapeId="0">
      <text>
        <t>market data mapping tier against this product.</t>
      </text>
    </comment>
    <comment ref="E109" authorId="0" shapeId="0">
      <text>
        <t>Direct = same product type and same material family as ours. Alternative material = same product type, different material (cross-shopped, not like-for-like). Material not verified = no material on the page or title. Different product type = e.g. fitted sheet only vs our set.</t>
      </text>
    </comment>
    <comment ref="F109" authorId="0" shapeId="0">
      <text>
        <t>Material family from the competitor's product page where checked, else its title.</t>
      </text>
    </comment>
    <comment ref="J109" authorId="0" shapeId="0">
      <text>
        <t>From the competitor's Amazon page (variation attributes, Oct 14, 2026) where captured; otherwise parsed from the title.</t>
      </text>
    </comment>
    <comment ref="K109" authorId="0" shapeId="0">
      <text>
        <t>From the competitor's Amazon page (variation attributes, Oct 14, 2026) where captured; otherwise parsed from the title.</t>
      </text>
    </comment>
    <comment ref="L109" authorId="0" shapeId="0">
      <text>
        <t>Variation count: catalog data family count, else search data child-ASIN count.</t>
      </text>
    </comment>
    <comment ref="M109" authorId="0" shapeId="0">
      <text>
        <t>The fewest child ASINs carrying 80% of this competitor's search data impressions.</t>
      </text>
    </comment>
    <comment ref="N109" authorId="0" shapeId="0">
      <text>
        <t>Newest price for this exact ASIN: Amazon page (Oct 13-14, 2026) where checked, otherwise the market data snapshot. A cell comment gives the older market data price when they differ.</t>
      </text>
    </comment>
    <comment ref="Q109" authorId="0" shapeId="0">
      <text>
        <t>How far List Price sits above price. Oct 13 page check of 154 core rivals: strikethrough shown on 2 of 3 at &lt;=12%, 13 of 13 at 12-25%, 11 of 13 above 25% - the size of the gap does not stop Amazon showing it.</t>
      </text>
    </comment>
    <comment ref="Z109" authorId="0" shapeId="0">
      <text>
        <t>Date the market data last captured this competitor's price, BSR and reviews. Orange = older than 7 days before the build.</t>
      </text>
    </comment>
    <comment ref="AD109" authorId="0" shapeId="0">
      <text>
        <t>Impression-like 7-day figure, not clicks or sales. Blank = unmeasured.</t>
      </text>
    </comment>
    <comment ref="AI109" authorId="0" shapeId="0">
      <text>
        <t>Share of their traffic on keywords where they hold a Sponsored Products placement.</t>
      </text>
    </comment>
    <comment ref="AM109" authorId="0" shapeId="0">
      <text>
        <t>Keywords both they and we rank on (our latest search data export).</t>
      </text>
    </comment>
    <comment ref="AS109" authorId="0" shapeId="0">
      <text>
        <t>Organic visibility score Jun 23-26 vs Jun 1-20, 2026 (baseline score 5+).</t>
      </text>
    </comment>
    <comment ref="AU109" authorId="0" shapeId="0">
      <text>
        <t>From the Amazon page check (str_check_&lt;date&gt;.csv). Blank = not checked yet (P2 rows).</t>
      </text>
    </comment>
    <comment ref="BD109" authorId="0" shapeId="0">
      <text>
        <t>price history: median daily lowest price (Buy Box, Lightning Deal or Prime Exclusive), Nov 1-19, 2025, end-of-day state - same basis as the BFCM low.</t>
      </text>
    </comment>
    <comment ref="BE109" authorId="0" shapeId="0">
      <text>
        <t>price history: lowest of Buy Box, Lightning Deal and Prime Exclusive price, Nov 20 - Dec 1, 2025. Coupons not netted (see Notes).</t>
      </text>
    </comment>
    <comment ref="BG109" authorId="0" shapeId="0">
      <text>
        <t>price history: median daily sales rank, Nov 1-19, 2025.</t>
      </text>
    </comment>
    <comment ref="BH109" authorId="0" shapeId="0">
      <text>
        <t>price history: median daily sales rank, Nov 20 - Dec 1, 2025. BSR lift = pre / BFCM (above 1 = sold faster).</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_rels/drawing3.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jpeg" Id="rId2"/></Relationships>
</file>

<file path=xl/drawings/_rels/drawing4.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jpeg" Id="rId2"/><Relationship Type="http://schemas.openxmlformats.org/officeDocument/2006/relationships/image" Target="/xl/media/image10.jpeg" Id="rId3"/><Relationship Type="http://schemas.openxmlformats.org/officeDocument/2006/relationships/image" Target="/xl/media/image11.jpeg" Id="rId4"/><Relationship Type="http://schemas.openxmlformats.org/officeDocument/2006/relationships/image" Target="/xl/media/image12.jpeg" Id="rId5"/><Relationship Type="http://schemas.openxmlformats.org/officeDocument/2006/relationships/image" Target="/xl/media/image13.jpeg" Id="rId6"/><Relationship Type="http://schemas.openxmlformats.org/officeDocument/2006/relationships/image" Target="/xl/media/image14.jpeg" Id="rId7"/><Relationship Type="http://schemas.openxmlformats.org/officeDocument/2006/relationships/image" Target="/xl/media/image15.jpeg" Id="rId8"/><Relationship Type="http://schemas.openxmlformats.org/officeDocument/2006/relationships/image" Target="/xl/media/image16.jpeg" Id="rId9"/><Relationship Type="http://schemas.openxmlformats.org/officeDocument/2006/relationships/image" Target="/xl/media/image17.jpeg" Id="rId10"/><Relationship Type="http://schemas.openxmlformats.org/officeDocument/2006/relationships/image" Target="/xl/media/image18.jpeg" Id="rId11"/><Relationship Type="http://schemas.openxmlformats.org/officeDocument/2006/relationships/image" Target="/xl/media/image19.jpeg" Id="rId12"/><Relationship Type="http://schemas.openxmlformats.org/officeDocument/2006/relationships/image" Target="/xl/media/image20.jpeg" Id="rId13"/><Relationship Type="http://schemas.openxmlformats.org/officeDocument/2006/relationships/image" Target="/xl/media/image21.jpeg" Id="rId14"/><Relationship Type="http://schemas.openxmlformats.org/officeDocument/2006/relationships/image" Target="/xl/media/image22.jpeg" Id="rId15"/><Relationship Type="http://schemas.openxmlformats.org/officeDocument/2006/relationships/image" Target="/xl/media/image23.jpeg" Id="rId16"/><Relationship Type="http://schemas.openxmlformats.org/officeDocument/2006/relationships/image" Target="/xl/media/image24.jpeg" Id="rId17"/><Relationship Type="http://schemas.openxmlformats.org/officeDocument/2006/relationships/image" Target="/xl/media/image25.jpeg" Id="rId18"/><Relationship Type="http://schemas.openxmlformats.org/officeDocument/2006/relationships/image" Target="/xl/media/image26.jpeg" Id="rId19"/><Relationship Type="http://schemas.openxmlformats.org/officeDocument/2006/relationships/image" Target="/xl/media/image27.jpeg" Id="rId20"/><Relationship Type="http://schemas.openxmlformats.org/officeDocument/2006/relationships/image" Target="/xl/media/image28.jpeg" Id="rId21"/><Relationship Type="http://schemas.openxmlformats.org/officeDocument/2006/relationships/image" Target="/xl/media/image29.jpeg" Id="rId22"/><Relationship Type="http://schemas.openxmlformats.org/officeDocument/2006/relationships/image" Target="/xl/media/image30.jpeg" Id="rId23"/><Relationship Type="http://schemas.openxmlformats.org/officeDocument/2006/relationships/image" Target="/xl/media/image31.jpeg" Id="rId24"/><Relationship Type="http://schemas.openxmlformats.org/officeDocument/2006/relationships/image" Target="/xl/media/image32.jpeg" Id="rId25"/><Relationship Type="http://schemas.openxmlformats.org/officeDocument/2006/relationships/image" Target="/xl/media/image33.jpeg" Id="rId26"/><Relationship Type="http://schemas.openxmlformats.org/officeDocument/2006/relationships/image" Target="/xl/media/image34.jpeg" Id="rId27"/><Relationship Type="http://schemas.openxmlformats.org/officeDocument/2006/relationships/image" Target="/xl/media/image35.jpeg" Id="rId28"/><Relationship Type="http://schemas.openxmlformats.org/officeDocument/2006/relationships/image" Target="/xl/media/image36.jpeg" Id="rId29"/><Relationship Type="http://schemas.openxmlformats.org/officeDocument/2006/relationships/image" Target="/xl/media/image37.jpeg" Id="rId30"/><Relationship Type="http://schemas.openxmlformats.org/officeDocument/2006/relationships/image" Target="/xl/media/image38.jpeg" Id="rId31"/><Relationship Type="http://schemas.openxmlformats.org/officeDocument/2006/relationships/image" Target="/xl/media/image39.jpeg" Id="rId32"/><Relationship Type="http://schemas.openxmlformats.org/officeDocument/2006/relationships/image" Target="/xl/media/image40.jpeg" Id="rId33"/><Relationship Type="http://schemas.openxmlformats.org/officeDocument/2006/relationships/image" Target="/xl/media/image41.jpeg" Id="rId34"/><Relationship Type="http://schemas.openxmlformats.org/officeDocument/2006/relationships/image" Target="/xl/media/image42.jpeg" Id="rId35"/><Relationship Type="http://schemas.openxmlformats.org/officeDocument/2006/relationships/image" Target="/xl/media/image43.jpeg" Id="rId36"/><Relationship Type="http://schemas.openxmlformats.org/officeDocument/2006/relationships/image" Target="/xl/media/image44.jpeg" Id="rId37"/><Relationship Type="http://schemas.openxmlformats.org/officeDocument/2006/relationships/image" Target="/xl/media/image45.jpeg" Id="rId38"/><Relationship Type="http://schemas.openxmlformats.org/officeDocument/2006/relationships/image" Target="/xl/media/image46.jpeg" Id="rId39"/><Relationship Type="http://schemas.openxmlformats.org/officeDocument/2006/relationships/image" Target="/xl/media/image47.jpeg" Id="rId40"/><Relationship Type="http://schemas.openxmlformats.org/officeDocument/2006/relationships/image" Target="/xl/media/image48.jpeg" Id="rId41"/><Relationship Type="http://schemas.openxmlformats.org/officeDocument/2006/relationships/image" Target="/xl/media/image49.jpeg" Id="rId42"/><Relationship Type="http://schemas.openxmlformats.org/officeDocument/2006/relationships/image" Target="/xl/media/image50.jpeg" Id="rId43"/><Relationship Type="http://schemas.openxmlformats.org/officeDocument/2006/relationships/image" Target="/xl/media/image51.jpeg" Id="rId44"/><Relationship Type="http://schemas.openxmlformats.org/officeDocument/2006/relationships/image" Target="/xl/media/image52.jpeg" Id="rId45"/><Relationship Type="http://schemas.openxmlformats.org/officeDocument/2006/relationships/image" Target="/xl/media/image53.jpeg" Id="rId46"/><Relationship Type="http://schemas.openxmlformats.org/officeDocument/2006/relationships/image" Target="/xl/media/image54.jpeg" Id="rId47"/><Relationship Type="http://schemas.openxmlformats.org/officeDocument/2006/relationships/image" Target="/xl/media/image55.jpeg" Id="rId48"/><Relationship Type="http://schemas.openxmlformats.org/officeDocument/2006/relationships/image" Target="/xl/media/image56.jpeg" Id="rId49"/><Relationship Type="http://schemas.openxmlformats.org/officeDocument/2006/relationships/image" Target="/xl/media/image57.jpeg" Id="rId50"/><Relationship Type="http://schemas.openxmlformats.org/officeDocument/2006/relationships/image" Target="/xl/media/image58.jpeg" Id="rId51"/><Relationship Type="http://schemas.openxmlformats.org/officeDocument/2006/relationships/image" Target="/xl/media/image59.jpeg" Id="rId52"/><Relationship Type="http://schemas.openxmlformats.org/officeDocument/2006/relationships/image" Target="/xl/media/image60.jpeg" Id="rId53"/><Relationship Type="http://schemas.openxmlformats.org/officeDocument/2006/relationships/image" Target="/xl/media/image61.jpeg" Id="rId54"/><Relationship Type="http://schemas.openxmlformats.org/officeDocument/2006/relationships/image" Target="/xl/media/image62.jpeg" Id="rId55"/></Relationships>
</file>

<file path=xl/drawings/_rels/drawing5.xml.rels><Relationships xmlns="http://schemas.openxmlformats.org/package/2006/relationships"><Relationship Type="http://schemas.openxmlformats.org/officeDocument/2006/relationships/image" Target="/xl/media/image63.jpeg" Id="rId1"/><Relationship Type="http://schemas.openxmlformats.org/officeDocument/2006/relationships/image" Target="/xl/media/image64.jpeg" Id="rId2"/><Relationship Type="http://schemas.openxmlformats.org/officeDocument/2006/relationships/image" Target="/xl/media/image65.jpeg" Id="rId3"/><Relationship Type="http://schemas.openxmlformats.org/officeDocument/2006/relationships/image" Target="/xl/media/image66.jpeg" Id="rId4"/><Relationship Type="http://schemas.openxmlformats.org/officeDocument/2006/relationships/image" Target="/xl/media/image67.jpeg" Id="rId5"/><Relationship Type="http://schemas.openxmlformats.org/officeDocument/2006/relationships/image" Target="/xl/media/image68.jpeg" Id="rId6"/><Relationship Type="http://schemas.openxmlformats.org/officeDocument/2006/relationships/image" Target="/xl/media/image69.jpeg" Id="rId7"/><Relationship Type="http://schemas.openxmlformats.org/officeDocument/2006/relationships/image" Target="/xl/media/image70.jpeg" Id="rId8"/><Relationship Type="http://schemas.openxmlformats.org/officeDocument/2006/relationships/image" Target="/xl/media/image71.jpeg" Id="rId9"/><Relationship Type="http://schemas.openxmlformats.org/officeDocument/2006/relationships/image" Target="/xl/media/image72.jpeg" Id="rId10"/><Relationship Type="http://schemas.openxmlformats.org/officeDocument/2006/relationships/image" Target="/xl/media/image73.jpeg" Id="rId11"/><Relationship Type="http://schemas.openxmlformats.org/officeDocument/2006/relationships/image" Target="/xl/media/image74.jpeg" Id="rId12"/><Relationship Type="http://schemas.openxmlformats.org/officeDocument/2006/relationships/image" Target="/xl/media/image75.jpeg" Id="rId13"/><Relationship Type="http://schemas.openxmlformats.org/officeDocument/2006/relationships/image" Target="/xl/media/image76.jpeg" Id="rId14"/><Relationship Type="http://schemas.openxmlformats.org/officeDocument/2006/relationships/image" Target="/xl/media/image77.jpeg" Id="rId15"/><Relationship Type="http://schemas.openxmlformats.org/officeDocument/2006/relationships/image" Target="/xl/media/image78.jpeg" Id="rId16"/><Relationship Type="http://schemas.openxmlformats.org/officeDocument/2006/relationships/image" Target="/xl/media/image79.jpeg" Id="rId17"/><Relationship Type="http://schemas.openxmlformats.org/officeDocument/2006/relationships/image" Target="/xl/media/image80.jpeg" Id="rId18"/><Relationship Type="http://schemas.openxmlformats.org/officeDocument/2006/relationships/image" Target="/xl/media/image81.jpeg" Id="rId19"/><Relationship Type="http://schemas.openxmlformats.org/officeDocument/2006/relationships/image" Target="/xl/media/image82.jpeg" Id="rId20"/><Relationship Type="http://schemas.openxmlformats.org/officeDocument/2006/relationships/image" Target="/xl/media/image83.jpeg" Id="rId21"/><Relationship Type="http://schemas.openxmlformats.org/officeDocument/2006/relationships/image" Target="/xl/media/image84.jpeg" Id="rId22"/><Relationship Type="http://schemas.openxmlformats.org/officeDocument/2006/relationships/image" Target="/xl/media/image85.jpeg" Id="rId23"/><Relationship Type="http://schemas.openxmlformats.org/officeDocument/2006/relationships/image" Target="/xl/media/image86.jpeg" Id="rId24"/><Relationship Type="http://schemas.openxmlformats.org/officeDocument/2006/relationships/image" Target="/xl/media/image87.jpeg" Id="rId25"/><Relationship Type="http://schemas.openxmlformats.org/officeDocument/2006/relationships/image" Target="/xl/media/image88.jpeg" Id="rId26"/><Relationship Type="http://schemas.openxmlformats.org/officeDocument/2006/relationships/image" Target="/xl/media/image89.jpeg" Id="rId27"/><Relationship Type="http://schemas.openxmlformats.org/officeDocument/2006/relationships/image" Target="/xl/media/image90.jpeg" Id="rId28"/><Relationship Type="http://schemas.openxmlformats.org/officeDocument/2006/relationships/image" Target="/xl/media/image91.jpeg" Id="rId29"/><Relationship Type="http://schemas.openxmlformats.org/officeDocument/2006/relationships/image" Target="/xl/media/image92.jpeg" Id="rId30"/><Relationship Type="http://schemas.openxmlformats.org/officeDocument/2006/relationships/image" Target="/xl/media/image93.jpeg" Id="rId31"/><Relationship Type="http://schemas.openxmlformats.org/officeDocument/2006/relationships/image" Target="/xl/media/image94.jpeg" Id="rId32"/><Relationship Type="http://schemas.openxmlformats.org/officeDocument/2006/relationships/image" Target="/xl/media/image95.jpeg" Id="rId33"/><Relationship Type="http://schemas.openxmlformats.org/officeDocument/2006/relationships/image" Target="/xl/media/image96.jpeg" Id="rId34"/><Relationship Type="http://schemas.openxmlformats.org/officeDocument/2006/relationships/image" Target="/xl/media/image97.jpeg" Id="rId35"/><Relationship Type="http://schemas.openxmlformats.org/officeDocument/2006/relationships/image" Target="/xl/media/image98.jpeg" Id="rId36"/><Relationship Type="http://schemas.openxmlformats.org/officeDocument/2006/relationships/image" Target="/xl/media/image99.jpeg" Id="rId37"/><Relationship Type="http://schemas.openxmlformats.org/officeDocument/2006/relationships/image" Target="/xl/media/image100.jpeg" Id="rId38"/><Relationship Type="http://schemas.openxmlformats.org/officeDocument/2006/relationships/image" Target="/xl/media/image101.jpeg" Id="rId39"/><Relationship Type="http://schemas.openxmlformats.org/officeDocument/2006/relationships/image" Target="/xl/media/image102.jpeg" Id="rId40"/><Relationship Type="http://schemas.openxmlformats.org/officeDocument/2006/relationships/image" Target="/xl/media/image103.jpeg" Id="rId41"/><Relationship Type="http://schemas.openxmlformats.org/officeDocument/2006/relationships/image" Target="/xl/media/image104.jpeg" Id="rId42"/><Relationship Type="http://schemas.openxmlformats.org/officeDocument/2006/relationships/image" Target="/xl/media/image105.jpeg" Id="rId43"/><Relationship Type="http://schemas.openxmlformats.org/officeDocument/2006/relationships/image" Target="/xl/media/image106.jpeg" Id="rId44"/><Relationship Type="http://schemas.openxmlformats.org/officeDocument/2006/relationships/image" Target="/xl/media/image107.jpeg" Id="rId45"/><Relationship Type="http://schemas.openxmlformats.org/officeDocument/2006/relationships/image" Target="/xl/media/image108.jpeg" Id="rId46"/><Relationship Type="http://schemas.openxmlformats.org/officeDocument/2006/relationships/image" Target="/xl/media/image109.jpeg" Id="rId47"/><Relationship Type="http://schemas.openxmlformats.org/officeDocument/2006/relationships/image" Target="/xl/media/image110.jpeg" Id="rId48"/><Relationship Type="http://schemas.openxmlformats.org/officeDocument/2006/relationships/image" Target="/xl/media/image111.jpeg" Id="rId49"/><Relationship Type="http://schemas.openxmlformats.org/officeDocument/2006/relationships/image" Target="/xl/media/image112.jpeg" Id="rId50"/><Relationship Type="http://schemas.openxmlformats.org/officeDocument/2006/relationships/image" Target="/xl/media/image113.jpeg" Id="rId51"/><Relationship Type="http://schemas.openxmlformats.org/officeDocument/2006/relationships/image" Target="/xl/media/image114.jpeg" Id="rId52"/><Relationship Type="http://schemas.openxmlformats.org/officeDocument/2006/relationships/image" Target="/xl/media/image115.jpeg" Id="rId53"/><Relationship Type="http://schemas.openxmlformats.org/officeDocument/2006/relationships/image" Target="/xl/media/image116.jpeg" Id="rId54"/><Relationship Type="http://schemas.openxmlformats.org/officeDocument/2006/relationships/image" Target="/xl/media/image117.jpeg" Id="rId55"/><Relationship Type="http://schemas.openxmlformats.org/officeDocument/2006/relationships/image" Target="/xl/media/image118.jpeg" Id="rId56"/><Relationship Type="http://schemas.openxmlformats.org/officeDocument/2006/relationships/image" Target="/xl/media/image119.jpeg" Id="rId57"/><Relationship Type="http://schemas.openxmlformats.org/officeDocument/2006/relationships/image" Target="/xl/media/image120.jpeg" Id="rId58"/><Relationship Type="http://schemas.openxmlformats.org/officeDocument/2006/relationships/image" Target="/xl/media/image121.jpeg" Id="rId59"/><Relationship Type="http://schemas.openxmlformats.org/officeDocument/2006/relationships/image" Target="/xl/media/image122.jpeg" Id="rId60"/><Relationship Type="http://schemas.openxmlformats.org/officeDocument/2006/relationships/image" Target="/xl/media/image123.jpeg" Id="rId61"/><Relationship Type="http://schemas.openxmlformats.org/officeDocument/2006/relationships/image" Target="/xl/media/image124.jpeg" Id="rId62"/><Relationship Type="http://schemas.openxmlformats.org/officeDocument/2006/relationships/image" Target="/xl/media/image125.jpeg" Id="rId63"/><Relationship Type="http://schemas.openxmlformats.org/officeDocument/2006/relationships/image" Target="/xl/media/image126.jpeg" Id="rId64"/><Relationship Type="http://schemas.openxmlformats.org/officeDocument/2006/relationships/image" Target="/xl/media/image127.jpeg" Id="rId65"/><Relationship Type="http://schemas.openxmlformats.org/officeDocument/2006/relationships/image" Target="/xl/media/image128.jpeg" Id="rId66"/><Relationship Type="http://schemas.openxmlformats.org/officeDocument/2006/relationships/image" Target="/xl/media/image129.jpeg" Id="rId67"/><Relationship Type="http://schemas.openxmlformats.org/officeDocument/2006/relationships/image" Target="/xl/media/image130.jpeg" Id="rId68"/><Relationship Type="http://schemas.openxmlformats.org/officeDocument/2006/relationships/image" Target="/xl/media/image131.jpeg" Id="rId69"/><Relationship Type="http://schemas.openxmlformats.org/officeDocument/2006/relationships/image" Target="/xl/media/image132.jpeg" Id="rId70"/><Relationship Type="http://schemas.openxmlformats.org/officeDocument/2006/relationships/image" Target="/xl/media/image133.jpeg" Id="rId71"/><Relationship Type="http://schemas.openxmlformats.org/officeDocument/2006/relationships/image" Target="/xl/media/image134.jpeg" Id="rId72"/><Relationship Type="http://schemas.openxmlformats.org/officeDocument/2006/relationships/image" Target="/xl/media/image135.jpeg" Id="rId73"/><Relationship Type="http://schemas.openxmlformats.org/officeDocument/2006/relationships/image" Target="/xl/media/image136.jpeg" Id="rId74"/><Relationship Type="http://schemas.openxmlformats.org/officeDocument/2006/relationships/image" Target="/xl/media/image137.jpeg" Id="rId75"/><Relationship Type="http://schemas.openxmlformats.org/officeDocument/2006/relationships/image" Target="/xl/media/image138.jpeg" Id="rId76"/><Relationship Type="http://schemas.openxmlformats.org/officeDocument/2006/relationships/image" Target="/xl/media/image139.jpeg" Id="rId77"/><Relationship Type="http://schemas.openxmlformats.org/officeDocument/2006/relationships/image" Target="/xl/media/image140.jpeg" Id="rId78"/><Relationship Type="http://schemas.openxmlformats.org/officeDocument/2006/relationships/image" Target="/xl/media/image141.jpeg" Id="rId79"/><Relationship Type="http://schemas.openxmlformats.org/officeDocument/2006/relationships/image" Target="/xl/media/image142.jpeg" Id="rId80"/><Relationship Type="http://schemas.openxmlformats.org/officeDocument/2006/relationships/image" Target="/xl/media/image143.jpeg" Id="rId81"/><Relationship Type="http://schemas.openxmlformats.org/officeDocument/2006/relationships/image" Target="/xl/media/image144.jpeg" Id="rId82"/><Relationship Type="http://schemas.openxmlformats.org/officeDocument/2006/relationships/image" Target="/xl/media/image145.jpeg" Id="rId83"/><Relationship Type="http://schemas.openxmlformats.org/officeDocument/2006/relationships/image" Target="/xl/media/image146.jpeg" Id="rId84"/><Relationship Type="http://schemas.openxmlformats.org/officeDocument/2006/relationships/image" Target="/xl/media/image147.jpeg" Id="rId85"/><Relationship Type="http://schemas.openxmlformats.org/officeDocument/2006/relationships/image" Target="/xl/media/image148.jpeg" Id="rId86"/><Relationship Type="http://schemas.openxmlformats.org/officeDocument/2006/relationships/image" Target="/xl/media/image149.jpeg" Id="rId87"/><Relationship Type="http://schemas.openxmlformats.org/officeDocument/2006/relationships/image" Target="/xl/media/image150.jpeg" Id="rId88"/><Relationship Type="http://schemas.openxmlformats.org/officeDocument/2006/relationships/image" Target="/xl/media/image151.jpeg" Id="rId89"/><Relationship Type="http://schemas.openxmlformats.org/officeDocument/2006/relationships/image" Target="/xl/media/image152.jpeg" Id="rId90"/><Relationship Type="http://schemas.openxmlformats.org/officeDocument/2006/relationships/image" Target="/xl/media/image153.jpeg" Id="rId91"/><Relationship Type="http://schemas.openxmlformats.org/officeDocument/2006/relationships/image" Target="/xl/media/image154.jpeg" Id="rId92"/><Relationship Type="http://schemas.openxmlformats.org/officeDocument/2006/relationships/image" Target="/xl/media/image155.jpeg" Id="rId93"/><Relationship Type="http://schemas.openxmlformats.org/officeDocument/2006/relationships/image" Target="/xl/media/image156.jpeg" Id="rId94"/><Relationship Type="http://schemas.openxmlformats.org/officeDocument/2006/relationships/image" Target="/xl/media/image157.jpeg" Id="rId95"/><Relationship Type="http://schemas.openxmlformats.org/officeDocument/2006/relationships/image" Target="/xl/media/image158.jpeg" Id="rId96"/><Relationship Type="http://schemas.openxmlformats.org/officeDocument/2006/relationships/image" Target="/xl/media/image159.jpeg" Id="rId97"/><Relationship Type="http://schemas.openxmlformats.org/officeDocument/2006/relationships/image" Target="/xl/media/image160.jpeg" Id="rId98"/><Relationship Type="http://schemas.openxmlformats.org/officeDocument/2006/relationships/image" Target="/xl/media/image161.jpeg" Id="rId99"/><Relationship Type="http://schemas.openxmlformats.org/officeDocument/2006/relationships/image" Target="/xl/media/image162.jpeg" Id="rId100"/><Relationship Type="http://schemas.openxmlformats.org/officeDocument/2006/relationships/image" Target="/xl/media/image163.jpeg" Id="rId101"/><Relationship Type="http://schemas.openxmlformats.org/officeDocument/2006/relationships/image" Target="/xl/media/image164.jpeg" Id="rId102"/><Relationship Type="http://schemas.openxmlformats.org/officeDocument/2006/relationships/image" Target="/xl/media/image165.jpeg" Id="rId103"/><Relationship Type="http://schemas.openxmlformats.org/officeDocument/2006/relationships/image" Target="/xl/media/image166.jpeg" Id="rId104"/><Relationship Type="http://schemas.openxmlformats.org/officeDocument/2006/relationships/image" Target="/xl/media/image167.jpeg" Id="rId105"/><Relationship Type="http://schemas.openxmlformats.org/officeDocument/2006/relationships/image" Target="/xl/media/image168.jpeg" Id="rId106"/><Relationship Type="http://schemas.openxmlformats.org/officeDocument/2006/relationships/image" Target="/xl/media/image169.jpeg" Id="rId107"/><Relationship Type="http://schemas.openxmlformats.org/officeDocument/2006/relationships/image" Target="/xl/media/image170.jpeg" Id="rId108"/><Relationship Type="http://schemas.openxmlformats.org/officeDocument/2006/relationships/image" Target="/xl/media/image171.jpeg" Id="rId109"/><Relationship Type="http://schemas.openxmlformats.org/officeDocument/2006/relationships/image" Target="/xl/media/image172.jpeg" Id="rId110"/><Relationship Type="http://schemas.openxmlformats.org/officeDocument/2006/relationships/image" Target="/xl/media/image173.jpeg" Id="rId111"/><Relationship Type="http://schemas.openxmlformats.org/officeDocument/2006/relationships/image" Target="/xl/media/image174.jpeg" Id="rId112"/><Relationship Type="http://schemas.openxmlformats.org/officeDocument/2006/relationships/image" Target="/xl/media/image175.jpeg" Id="rId113"/><Relationship Type="http://schemas.openxmlformats.org/officeDocument/2006/relationships/image" Target="/xl/media/image176.jpeg" Id="rId114"/><Relationship Type="http://schemas.openxmlformats.org/officeDocument/2006/relationships/image" Target="/xl/media/image177.jpeg" Id="rId115"/><Relationship Type="http://schemas.openxmlformats.org/officeDocument/2006/relationships/image" Target="/xl/media/image178.jpeg" Id="rId116"/><Relationship Type="http://schemas.openxmlformats.org/officeDocument/2006/relationships/image" Target="/xl/media/image179.jpeg" Id="rId117"/></Relationships>
</file>

<file path=xl/drawings/_rels/drawing6.xml.rels><Relationships xmlns="http://schemas.openxmlformats.org/package/2006/relationships"><Relationship Type="http://schemas.openxmlformats.org/officeDocument/2006/relationships/image" Target="/xl/media/image180.jpeg" Id="rId1"/></Relationships>
</file>

<file path=xl/drawings/_rels/drawing7.xml.rels><Relationships xmlns="http://schemas.openxmlformats.org/package/2006/relationships"><Relationship Type="http://schemas.openxmlformats.org/officeDocument/2006/relationships/image" Target="/xl/media/image181.jpeg" Id="rId1"/></Relationships>
</file>

<file path=xl/drawings/_rels/drawing8.xml.rels><Relationships xmlns="http://schemas.openxmlformats.org/package/2006/relationships"><Relationship Type="http://schemas.openxmlformats.org/officeDocument/2006/relationships/image" Target="/xl/media/image182.jpeg" Id="rId1"/></Relationships>
</file>

<file path=xl/drawings/_rels/drawing9.xml.rels><Relationships xmlns="http://schemas.openxmlformats.org/package/2006/relationships"><Relationship Type="http://schemas.openxmlformats.org/officeDocument/2006/relationships/image" Target="/xl/media/image183.jpeg" Id="rId1"/></Relationships>
</file>

<file path=xl/drawings/_rels/drawing10.xml.rels><Relationships xmlns="http://schemas.openxmlformats.org/package/2006/relationships"><Relationship Type="http://schemas.openxmlformats.org/officeDocument/2006/relationships/image" Target="/xl/media/image184.jpeg" Id="rId1"/></Relationships>
</file>

<file path=xl/drawings/_rels/drawing11.xml.rels><Relationships xmlns="http://schemas.openxmlformats.org/package/2006/relationships"><Relationship Type="http://schemas.openxmlformats.org/officeDocument/2006/relationships/image" Target="/xl/media/image185.jpeg" Id="rId1"/><Relationship Type="http://schemas.openxmlformats.org/officeDocument/2006/relationships/image" Target="/xl/media/image186.jpeg" Id="rId2"/><Relationship Type="http://schemas.openxmlformats.org/officeDocument/2006/relationships/image" Target="/xl/media/image187.jpeg" Id="rId3"/><Relationship Type="http://schemas.openxmlformats.org/officeDocument/2006/relationships/image" Target="/xl/media/image188.jpeg" Id="rId4"/><Relationship Type="http://schemas.openxmlformats.org/officeDocument/2006/relationships/image" Target="/xl/media/image189.jpeg" Id="rId5"/><Relationship Type="http://schemas.openxmlformats.org/officeDocument/2006/relationships/image" Target="/xl/media/image190.jpeg" Id="rId6"/><Relationship Type="http://schemas.openxmlformats.org/officeDocument/2006/relationships/image" Target="/xl/media/image191.jpeg" Id="rId7"/><Relationship Type="http://schemas.openxmlformats.org/officeDocument/2006/relationships/image" Target="/xl/media/image192.jpeg" Id="rId8"/><Relationship Type="http://schemas.openxmlformats.org/officeDocument/2006/relationships/image" Target="/xl/media/image193.jpeg" Id="rId9"/><Relationship Type="http://schemas.openxmlformats.org/officeDocument/2006/relationships/image" Target="/xl/media/image194.jpeg" Id="rId10"/><Relationship Type="http://schemas.openxmlformats.org/officeDocument/2006/relationships/image" Target="/xl/media/image195.jpeg" Id="rId11"/><Relationship Type="http://schemas.openxmlformats.org/officeDocument/2006/relationships/image" Target="/xl/media/image196.jpeg" Id="rId12"/><Relationship Type="http://schemas.openxmlformats.org/officeDocument/2006/relationships/image" Target="/xl/media/image197.jpeg" Id="rId13"/><Relationship Type="http://schemas.openxmlformats.org/officeDocument/2006/relationships/image" Target="/xl/media/image198.jpeg" Id="rId14"/><Relationship Type="http://schemas.openxmlformats.org/officeDocument/2006/relationships/image" Target="/xl/media/image199.jpeg" Id="rId15"/><Relationship Type="http://schemas.openxmlformats.org/officeDocument/2006/relationships/image" Target="/xl/media/image200.jpeg" Id="rId16"/><Relationship Type="http://schemas.openxmlformats.org/officeDocument/2006/relationships/image" Target="/xl/media/image201.jpeg" Id="rId17"/><Relationship Type="http://schemas.openxmlformats.org/officeDocument/2006/relationships/image" Target="/xl/media/image202.jpeg" Id="rId18"/><Relationship Type="http://schemas.openxmlformats.org/officeDocument/2006/relationships/image" Target="/xl/media/image203.jpeg" Id="rId19"/><Relationship Type="http://schemas.openxmlformats.org/officeDocument/2006/relationships/image" Target="/xl/media/image204.jpeg" Id="rId20"/><Relationship Type="http://schemas.openxmlformats.org/officeDocument/2006/relationships/image" Target="/xl/media/image205.jpeg" Id="rId21"/><Relationship Type="http://schemas.openxmlformats.org/officeDocument/2006/relationships/image" Target="/xl/media/image206.jpeg" Id="rId22"/><Relationship Type="http://schemas.openxmlformats.org/officeDocument/2006/relationships/image" Target="/xl/media/image207.jpeg" Id="rId23"/><Relationship Type="http://schemas.openxmlformats.org/officeDocument/2006/relationships/image" Target="/xl/media/image208.jpeg" Id="rId24"/><Relationship Type="http://schemas.openxmlformats.org/officeDocument/2006/relationships/image" Target="/xl/media/image209.jpeg" Id="rId25"/><Relationship Type="http://schemas.openxmlformats.org/officeDocument/2006/relationships/image" Target="/xl/media/image210.jpeg" Id="rId26"/><Relationship Type="http://schemas.openxmlformats.org/officeDocument/2006/relationships/image" Target="/xl/media/image211.jpeg" Id="rId27"/><Relationship Type="http://schemas.openxmlformats.org/officeDocument/2006/relationships/image" Target="/xl/media/image212.jpeg" Id="rId28"/><Relationship Type="http://schemas.openxmlformats.org/officeDocument/2006/relationships/image" Target="/xl/media/image213.jpeg" Id="rId29"/><Relationship Type="http://schemas.openxmlformats.org/officeDocument/2006/relationships/image" Target="/xl/media/image214.jpeg" Id="rId30"/><Relationship Type="http://schemas.openxmlformats.org/officeDocument/2006/relationships/image" Target="/xl/media/image215.jpeg" Id="rId31"/><Relationship Type="http://schemas.openxmlformats.org/officeDocument/2006/relationships/image" Target="/xl/media/image216.jpeg" Id="rId32"/><Relationship Type="http://schemas.openxmlformats.org/officeDocument/2006/relationships/image" Target="/xl/media/image217.jpeg" Id="rId33"/><Relationship Type="http://schemas.openxmlformats.org/officeDocument/2006/relationships/image" Target="/xl/media/image218.jpeg" Id="rId34"/><Relationship Type="http://schemas.openxmlformats.org/officeDocument/2006/relationships/image" Target="/xl/media/image219.jpeg" Id="rId35"/><Relationship Type="http://schemas.openxmlformats.org/officeDocument/2006/relationships/image" Target="/xl/media/image220.jpeg" Id="rId36"/><Relationship Type="http://schemas.openxmlformats.org/officeDocument/2006/relationships/image" Target="/xl/media/image221.jpeg" Id="rId37"/><Relationship Type="http://schemas.openxmlformats.org/officeDocument/2006/relationships/image" Target="/xl/media/image222.jpeg" Id="rId38"/><Relationship Type="http://schemas.openxmlformats.org/officeDocument/2006/relationships/image" Target="/xl/media/image223.jpeg" Id="rId39"/><Relationship Type="http://schemas.openxmlformats.org/officeDocument/2006/relationships/image" Target="/xl/media/image224.jpeg" Id="rId40"/><Relationship Type="http://schemas.openxmlformats.org/officeDocument/2006/relationships/image" Target="/xl/media/image225.jpeg" Id="rId41"/><Relationship Type="http://schemas.openxmlformats.org/officeDocument/2006/relationships/image" Target="/xl/media/image226.jpeg" Id="rId42"/><Relationship Type="http://schemas.openxmlformats.org/officeDocument/2006/relationships/image" Target="/xl/media/image227.jpeg" Id="rId43"/><Relationship Type="http://schemas.openxmlformats.org/officeDocument/2006/relationships/image" Target="/xl/media/image228.jpeg" Id="rId44"/><Relationship Type="http://schemas.openxmlformats.org/officeDocument/2006/relationships/image" Target="/xl/media/image229.jpeg" Id="rId45"/><Relationship Type="http://schemas.openxmlformats.org/officeDocument/2006/relationships/image" Target="/xl/media/image230.jpeg" Id="rId46"/><Relationship Type="http://schemas.openxmlformats.org/officeDocument/2006/relationships/image" Target="/xl/media/image231.jpeg" Id="rId47"/><Relationship Type="http://schemas.openxmlformats.org/officeDocument/2006/relationships/image" Target="/xl/media/image232.jpeg" Id="rId48"/><Relationship Type="http://schemas.openxmlformats.org/officeDocument/2006/relationships/image" Target="/xl/media/image233.jpeg" Id="rId49"/><Relationship Type="http://schemas.openxmlformats.org/officeDocument/2006/relationships/image" Target="/xl/media/image234.jpeg" Id="rId50"/><Relationship Type="http://schemas.openxmlformats.org/officeDocument/2006/relationships/image" Target="/xl/media/image235.jpeg" Id="rId51"/><Relationship Type="http://schemas.openxmlformats.org/officeDocument/2006/relationships/image" Target="/xl/media/image236.jpeg" Id="rId52"/><Relationship Type="http://schemas.openxmlformats.org/officeDocument/2006/relationships/image" Target="/xl/media/image237.jpeg" Id="rId53"/><Relationship Type="http://schemas.openxmlformats.org/officeDocument/2006/relationships/image" Target="/xl/media/image238.jpeg" Id="rId54"/><Relationship Type="http://schemas.openxmlformats.org/officeDocument/2006/relationships/image" Target="/xl/media/image239.jpeg" Id="rId55"/><Relationship Type="http://schemas.openxmlformats.org/officeDocument/2006/relationships/image" Target="/xl/media/image240.jpeg" Id="rId56"/><Relationship Type="http://schemas.openxmlformats.org/officeDocument/2006/relationships/image" Target="/xl/media/image241.jpeg" Id="rId57"/><Relationship Type="http://schemas.openxmlformats.org/officeDocument/2006/relationships/image" Target="/xl/media/image242.jpeg" Id="rId58"/><Relationship Type="http://schemas.openxmlformats.org/officeDocument/2006/relationships/image" Target="/xl/media/image243.jpeg" Id="rId59"/><Relationship Type="http://schemas.openxmlformats.org/officeDocument/2006/relationships/image" Target="/xl/media/image244.jpeg" Id="rId60"/><Relationship Type="http://schemas.openxmlformats.org/officeDocument/2006/relationships/image" Target="/xl/media/image245.jpeg" Id="rId61"/><Relationship Type="http://schemas.openxmlformats.org/officeDocument/2006/relationships/image" Target="/xl/media/image246.jpeg" Id="rId62"/></Relationships>
</file>

<file path=xl/drawings/_rels/drawing12.xml.rels><Relationships xmlns="http://schemas.openxmlformats.org/package/2006/relationships"><Relationship Type="http://schemas.openxmlformats.org/officeDocument/2006/relationships/image" Target="/xl/media/image247.jpeg" Id="rId1"/><Relationship Type="http://schemas.openxmlformats.org/officeDocument/2006/relationships/image" Target="/xl/media/image248.jpeg" Id="rId2"/></Relationships>
</file>

<file path=xl/drawings/drawing1.xml><?xml version="1.0" encoding="utf-8"?>
<wsDr xmlns="http://schemas.openxmlformats.org/drawingml/2006/spreadsheetDrawing">
  <oneCellAnchor>
    <from>
      <col>0</col>
      <colOff>0</colOff>
      <row>8</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15</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148</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167</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153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172</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6858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6858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6858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685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685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6858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6858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6858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685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6858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685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6858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6858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685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685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6858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6858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6858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685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6858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685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685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6858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6858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6858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6858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6858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685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685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6858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6858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6858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685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6858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685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6858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6858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685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685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6858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6858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6858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685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6858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685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685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6858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6858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71</row>
      <rowOff>0</rowOff>
    </from>
    <ext cx="685800" cy="6858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72</row>
      <rowOff>0</rowOff>
    </from>
    <ext cx="685800" cy="6858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73</row>
      <rowOff>0</rowOff>
    </from>
    <ext cx="685800" cy="6858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74</row>
      <rowOff>0</rowOff>
    </from>
    <ext cx="685800" cy="6858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75</row>
      <rowOff>0</rowOff>
    </from>
    <ext cx="685800" cy="6858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76</row>
      <rowOff>0</rowOff>
    </from>
    <ext cx="685800" cy="6858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77</row>
      <rowOff>0</rowOff>
    </from>
    <ext cx="685800" cy="6858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78</row>
      <rowOff>0</rowOff>
    </from>
    <ext cx="685800" cy="6858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79</row>
      <rowOff>0</rowOff>
    </from>
    <ext cx="685800" cy="6858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80</row>
      <rowOff>0</rowOff>
    </from>
    <ext cx="685800" cy="6858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81</row>
      <rowOff>0</rowOff>
    </from>
    <ext cx="685800" cy="6858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82</row>
      <rowOff>0</rowOff>
    </from>
    <ext cx="685800" cy="6858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83</row>
      <rowOff>0</rowOff>
    </from>
    <ext cx="685800" cy="6858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84</row>
      <rowOff>0</rowOff>
    </from>
    <ext cx="685800" cy="6858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85</row>
      <rowOff>0</rowOff>
    </from>
    <ext cx="685800" cy="6858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86</row>
      <rowOff>0</rowOff>
    </from>
    <ext cx="685800" cy="6858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87</row>
      <rowOff>0</rowOff>
    </from>
    <ext cx="685800" cy="6858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88</row>
      <rowOff>0</rowOff>
    </from>
    <ext cx="685800" cy="6858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89</row>
      <rowOff>0</rowOff>
    </from>
    <ext cx="685800" cy="6858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90</row>
      <rowOff>0</rowOff>
    </from>
    <ext cx="685800" cy="6858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91</row>
      <rowOff>0</rowOff>
    </from>
    <ext cx="685800" cy="6858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92</row>
      <rowOff>0</rowOff>
    </from>
    <ext cx="685800" cy="6858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93</row>
      <rowOff>0</rowOff>
    </from>
    <ext cx="685800" cy="6858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94</row>
      <rowOff>0</rowOff>
    </from>
    <ext cx="685800" cy="6858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95</row>
      <rowOff>0</rowOff>
    </from>
    <ext cx="685800" cy="6858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96</row>
      <rowOff>0</rowOff>
    </from>
    <ext cx="685800" cy="6858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97</row>
      <rowOff>0</rowOff>
    </from>
    <ext cx="685800" cy="6858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98</row>
      <rowOff>0</rowOff>
    </from>
    <ext cx="685800" cy="6858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99</row>
      <rowOff>0</rowOff>
    </from>
    <ext cx="685800" cy="6858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100</row>
      <rowOff>0</rowOff>
    </from>
    <ext cx="685800" cy="6858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101</row>
      <rowOff>0</rowOff>
    </from>
    <ext cx="685800" cy="6858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102</row>
      <rowOff>0</rowOff>
    </from>
    <ext cx="685800" cy="6858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103</row>
      <rowOff>0</rowOff>
    </from>
    <ext cx="685800" cy="6858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104</row>
      <rowOff>0</rowOff>
    </from>
    <ext cx="685800" cy="6858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105</row>
      <rowOff>0</rowOff>
    </from>
    <ext cx="685800" cy="6858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106</row>
      <rowOff>0</rowOff>
    </from>
    <ext cx="685800" cy="6858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107</row>
      <rowOff>0</rowOff>
    </from>
    <ext cx="685800" cy="6858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108</row>
      <rowOff>0</rowOff>
    </from>
    <ext cx="685800" cy="6858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109</row>
      <rowOff>0</rowOff>
    </from>
    <ext cx="685800" cy="6858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110</row>
      <rowOff>0</rowOff>
    </from>
    <ext cx="685800" cy="6858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111</row>
      <rowOff>0</rowOff>
    </from>
    <ext cx="685800" cy="6858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112</row>
      <rowOff>0</rowOff>
    </from>
    <ext cx="685800" cy="6858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113</row>
      <rowOff>0</rowOff>
    </from>
    <ext cx="685800" cy="6858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114</row>
      <rowOff>0</rowOff>
    </from>
    <ext cx="685800" cy="6858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115</row>
      <rowOff>0</rowOff>
    </from>
    <ext cx="685800" cy="6858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116</row>
      <rowOff>0</rowOff>
    </from>
    <ext cx="685800" cy="6858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117</row>
      <rowOff>0</rowOff>
    </from>
    <ext cx="685800" cy="6858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118</row>
      <rowOff>0</rowOff>
    </from>
    <ext cx="685800" cy="6858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119</row>
      <rowOff>0</rowOff>
    </from>
    <ext cx="685800" cy="6858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120</row>
      <rowOff>0</rowOff>
    </from>
    <ext cx="685800" cy="6858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121</row>
      <rowOff>0</rowOff>
    </from>
    <ext cx="685800" cy="6858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122</row>
      <rowOff>0</rowOff>
    </from>
    <ext cx="685800" cy="6858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123</row>
      <rowOff>0</rowOff>
    </from>
    <ext cx="685800" cy="6858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124</row>
      <rowOff>0</rowOff>
    </from>
    <ext cx="685800" cy="6858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125</row>
      <rowOff>0</rowOff>
    </from>
    <ext cx="685800" cy="6858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126</row>
      <rowOff>0</rowOff>
    </from>
    <ext cx="685800" cy="6858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127</row>
      <rowOff>0</rowOff>
    </from>
    <ext cx="685800" cy="6858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128</row>
      <rowOff>0</rowOff>
    </from>
    <ext cx="685800" cy="6858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129</row>
      <rowOff>0</rowOff>
    </from>
    <ext cx="685800" cy="6858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130</row>
      <rowOff>0</rowOff>
    </from>
    <ext cx="685800" cy="6858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0</col>
      <colOff>0</colOff>
      <row>131</row>
      <rowOff>0</rowOff>
    </from>
    <ext cx="685800" cy="6858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132</row>
      <rowOff>0</rowOff>
    </from>
    <ext cx="685800" cy="6858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112</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70</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53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110</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112</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17</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18</row>
      <rowOff>0</rowOff>
    </from>
    <ext cx="685800" cy="6858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19</row>
      <rowOff>0</rowOff>
    </from>
    <ext cx="685800" cy="685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20</row>
      <rowOff>0</rowOff>
    </from>
    <ext cx="685800" cy="6858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21</row>
      <rowOff>0</rowOff>
    </from>
    <ext cx="685800" cy="685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22</row>
      <rowOff>0</rowOff>
    </from>
    <ext cx="685800" cy="685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23</row>
      <rowOff>0</rowOff>
    </from>
    <ext cx="685800" cy="685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24</row>
      <rowOff>0</rowOff>
    </from>
    <ext cx="685800" cy="6858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25</row>
      <rowOff>0</rowOff>
    </from>
    <ext cx="685800" cy="685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row>
      <rowOff>0</rowOff>
    </from>
    <ext cx="685800" cy="6858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27</row>
      <rowOff>0</rowOff>
    </from>
    <ext cx="685800" cy="685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28</row>
      <rowOff>0</rowOff>
    </from>
    <ext cx="685800" cy="685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29</row>
      <rowOff>0</rowOff>
    </from>
    <ext cx="685800" cy="6858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 cy="6858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31</row>
      <rowOff>0</rowOff>
    </from>
    <ext cx="685800" cy="6858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32</row>
      <rowOff>0</rowOff>
    </from>
    <ext cx="685800" cy="6858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33</row>
      <rowOff>0</rowOff>
    </from>
    <ext cx="685800" cy="6858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34</row>
      <rowOff>0</rowOff>
    </from>
    <ext cx="6858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35</row>
      <rowOff>0</rowOff>
    </from>
    <ext cx="685800" cy="6858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36</row>
      <rowOff>0</rowOff>
    </from>
    <ext cx="685800" cy="6858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37</row>
      <rowOff>0</rowOff>
    </from>
    <ext cx="685800" cy="6858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38</row>
      <rowOff>0</rowOff>
    </from>
    <ext cx="685800" cy="6858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39</row>
      <rowOff>0</rowOff>
    </from>
    <ext cx="685800" cy="6858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40</row>
      <rowOff>0</rowOff>
    </from>
    <ext cx="685800" cy="6858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41</row>
      <rowOff>0</rowOff>
    </from>
    <ext cx="685800" cy="6858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42</row>
      <rowOff>0</rowOff>
    </from>
    <ext cx="685800" cy="685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43</row>
      <rowOff>0</rowOff>
    </from>
    <ext cx="685800" cy="6858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44</row>
      <rowOff>0</rowOff>
    </from>
    <ext cx="685800" cy="6858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45</row>
      <rowOff>0</rowOff>
    </from>
    <ext cx="6858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46</row>
      <rowOff>0</rowOff>
    </from>
    <ext cx="685800" cy="6858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47</row>
      <rowOff>0</rowOff>
    </from>
    <ext cx="6858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48</row>
      <rowOff>0</rowOff>
    </from>
    <ext cx="685800" cy="6858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49</row>
      <rowOff>0</rowOff>
    </from>
    <ext cx="685800" cy="6858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50</row>
      <rowOff>0</rowOff>
    </from>
    <ext cx="685800" cy="685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51</row>
      <rowOff>0</rowOff>
    </from>
    <ext cx="685800" cy="685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52</row>
      <rowOff>0</rowOff>
    </from>
    <ext cx="685800" cy="6858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53</row>
      <rowOff>0</rowOff>
    </from>
    <ext cx="685800" cy="6858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54</row>
      <rowOff>0</rowOff>
    </from>
    <ext cx="685800" cy="6858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55</row>
      <rowOff>0</rowOff>
    </from>
    <ext cx="685800" cy="685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 cy="6858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57</row>
      <rowOff>0</rowOff>
    </from>
    <ext cx="685800" cy="685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58</row>
      <rowOff>0</rowOff>
    </from>
    <ext cx="685800" cy="6858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59</row>
      <rowOff>0</rowOff>
    </from>
    <ext cx="685800" cy="6858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60</row>
      <rowOff>0</rowOff>
    </from>
    <ext cx="685800" cy="685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61</row>
      <rowOff>0</rowOff>
    </from>
    <ext cx="685800" cy="685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62</row>
      <rowOff>0</rowOff>
    </from>
    <ext cx="685800" cy="6858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63</row>
      <rowOff>0</rowOff>
    </from>
    <ext cx="685800" cy="6858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64</row>
      <rowOff>0</rowOff>
    </from>
    <ext cx="685800" cy="6858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65</row>
      <rowOff>0</rowOff>
    </from>
    <ext cx="685800" cy="685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66</row>
      <rowOff>0</rowOff>
    </from>
    <ext cx="685800" cy="6858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67</row>
      <rowOff>0</rowOff>
    </from>
    <ext cx="685800" cy="685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68</row>
      <rowOff>0</rowOff>
    </from>
    <ext cx="685800" cy="685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69</row>
      <rowOff>0</rowOff>
    </from>
    <ext cx="685800" cy="6858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70</row>
      <rowOff>0</rowOff>
    </from>
    <ext cx="685800" cy="6858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71</row>
      <rowOff>0</rowOff>
    </from>
    <ext cx="685800" cy="6858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72</row>
      <rowOff>0</rowOff>
    </from>
    <ext cx="685800" cy="6858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73</row>
      <rowOff>0</rowOff>
    </from>
    <ext cx="685800" cy="6858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74</row>
      <rowOff>0</rowOff>
    </from>
    <ext cx="685800" cy="6858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75</row>
      <rowOff>0</rowOff>
    </from>
    <ext cx="685800" cy="6858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76</row>
      <rowOff>0</rowOff>
    </from>
    <ext cx="685800" cy="6858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95</row>
      <rowOff>0</rowOff>
    </from>
    <ext cx="685800" cy="6858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103</row>
      <rowOff>0</rowOff>
    </from>
    <ext cx="6858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104</row>
      <rowOff>0</rowOff>
    </from>
    <ext cx="685800" cy="6858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amazon.com/dp/B0BZ8T5BJ6" TargetMode="External" Id="rId1"/><Relationship Type="http://schemas.openxmlformats.org/officeDocument/2006/relationships/hyperlink" Target="https://www.amazon.com/dp/B07YK8VTJV" TargetMode="External" Id="rId2"/><Relationship Type="http://schemas.openxmlformats.org/officeDocument/2006/relationships/hyperlink" Target="https://www.amazon.com/dp/B0CZQ52MTQ" TargetMode="External" Id="rId3"/><Relationship Type="http://schemas.openxmlformats.org/officeDocument/2006/relationships/hyperlink" Target="https://www.amazon.com/dp/B07DZTQ4JC" TargetMode="External" Id="rId4"/><Relationship Type="http://schemas.openxmlformats.org/officeDocument/2006/relationships/hyperlink" Target="https://www.amazon.com/dp/B0G5N99X9R" TargetMode="External" Id="rId5"/><Relationship Type="http://schemas.openxmlformats.org/officeDocument/2006/relationships/hyperlink" Target="https://www.amazon.com/dp/B01N9L2O9P" TargetMode="External" Id="rId6"/><Relationship Type="http://schemas.openxmlformats.org/officeDocument/2006/relationships/hyperlink" Target="https://www.amazon.com/dp/B0DN1GGFL7" TargetMode="External" Id="rId7"/><Relationship Type="http://schemas.openxmlformats.org/officeDocument/2006/relationships/hyperlink" Target="https://www.amazon.com/dp/B0DN1DVKH5" TargetMode="External" Id="rId8"/><Relationship Type="http://schemas.openxmlformats.org/officeDocument/2006/relationships/hyperlink" Target="https://www.amazon.com/dp/B0FT7L9RSX" TargetMode="External" Id="rId9"/><Relationship Type="http://schemas.openxmlformats.org/officeDocument/2006/relationships/hyperlink" Target="https://www.amazon.com/dp/B0FT7LZ2CD" TargetMode="External" Id="rId10"/><Relationship Type="http://schemas.openxmlformats.org/officeDocument/2006/relationships/hyperlink" Target="https://www.amazon.com/dp/B0HHQ97HBL" TargetMode="External" Id="rId11"/><Relationship Type="http://schemas.openxmlformats.org/officeDocument/2006/relationships/hyperlink" Target="https://www.amazon.com/dp/B0HD7R5L1D" TargetMode="External" Id="rId12"/><Relationship Type="http://schemas.openxmlformats.org/officeDocument/2006/relationships/hyperlink" Target="https://www.amazon.com/dp/B07K6SYX8L" TargetMode="External" Id="rId13"/><Relationship Type="http://schemas.openxmlformats.org/officeDocument/2006/relationships/hyperlink" Target="https://www.amazon.com/dp/B0DR99Q37Y" TargetMode="External" Id="rId14"/><Relationship Type="http://schemas.openxmlformats.org/officeDocument/2006/relationships/hyperlink" Target="https://www.amazon.com/dp/B0FB8XS4D1" TargetMode="External" Id="rId15"/><Relationship Type="http://schemas.openxmlformats.org/officeDocument/2006/relationships/hyperlink" Target="https://www.amazon.com/dp/B0FB8XR43Q" TargetMode="External" Id="rId16"/><Relationship Type="http://schemas.openxmlformats.org/officeDocument/2006/relationships/hyperlink" Target="https://www.amazon.com/dp/B0F4852T9V" TargetMode="External" Id="rId17"/><Relationship Type="http://schemas.openxmlformats.org/officeDocument/2006/relationships/hyperlink" Target="https://www.amazon.com/dp/B0F4873G4H" TargetMode="External" Id="rId18"/><Relationship Type="http://schemas.openxmlformats.org/officeDocument/2006/relationships/hyperlink" Target="https://www.amazon.com/dp/B0H29V113N" TargetMode="External" Id="rId19"/><Relationship Type="http://schemas.openxmlformats.org/officeDocument/2006/relationships/hyperlink" Target="https://www.amazon.com/dp/B08L86VLZB" TargetMode="External" Id="rId20"/><Relationship Type="http://schemas.openxmlformats.org/officeDocument/2006/relationships/hyperlink" Target="https://www.amazon.com/dp/B0HC778XB4" TargetMode="External" Id="rId21"/><Relationship Type="http://schemas.openxmlformats.org/officeDocument/2006/relationships/hyperlink" Target="https://www.amazon.com/dp/B07XFP6BY2" TargetMode="External" Id="rId22"/><Relationship Type="http://schemas.openxmlformats.org/officeDocument/2006/relationships/hyperlink" Target="https://www.amazon.com/dp/B0GT98GVQN" TargetMode="External" Id="rId23"/><Relationship Type="http://schemas.openxmlformats.org/officeDocument/2006/relationships/hyperlink" Target="https://www.amazon.com/dp/B0GT8Z4X5D" TargetMode="External" Id="rId24"/><Relationship Type="http://schemas.openxmlformats.org/officeDocument/2006/relationships/hyperlink" Target="https://www.amazon.com/dp/B0F29FQLFD" TargetMode="External" Id="rId25"/><Relationship Type="http://schemas.openxmlformats.org/officeDocument/2006/relationships/hyperlink" Target="https://www.amazon.com/dp/B0F29F1JM5" TargetMode="External" Id="rId26"/><Relationship Type="http://schemas.openxmlformats.org/officeDocument/2006/relationships/hyperlink" Target="https://www.amazon.com/dp/B0HJZNMQ5G" TargetMode="External" Id="rId27"/><Relationship Type="http://schemas.openxmlformats.org/officeDocument/2006/relationships/hyperlink" Target="https://www.amazon.com/dp/B0GXJYQR7H" TargetMode="External" Id="rId28"/><Relationship Type="http://schemas.openxmlformats.org/officeDocument/2006/relationships/hyperlink" Target="https://www.amazon.com/dp/B0DCZGYVZ9" TargetMode="External" Id="rId29"/><Relationship Type="http://schemas.openxmlformats.org/officeDocument/2006/relationships/hyperlink" Target="https://www.amazon.com/dp/B0F24TRXCZ" TargetMode="External" Id="rId30"/><Relationship Type="http://schemas.openxmlformats.org/officeDocument/2006/relationships/hyperlink" Target="https://www.amazon.com/dp/B09WV7RN1V" TargetMode="External" Id="rId31"/><Relationship Type="http://schemas.openxmlformats.org/officeDocument/2006/relationships/hyperlink" Target="https://www.amazon.com/dp/B0BR53P7DY" TargetMode="External" Id="rId32"/><Relationship Type="http://schemas.openxmlformats.org/officeDocument/2006/relationships/hyperlink" Target="https://www.amazon.com/dp/B0GT172Y8L" TargetMode="External" Id="rId33"/><Relationship Type="http://schemas.openxmlformats.org/officeDocument/2006/relationships/hyperlink" Target="https://www.amazon.com/dp/B0G1CSCQTB" TargetMode="External" Id="rId34"/><Relationship Type="http://schemas.openxmlformats.org/officeDocument/2006/relationships/hyperlink" Target="https://www.amazon.com/dp/B0DLD8982V" TargetMode="External" Id="rId35"/><Relationship Type="http://schemas.openxmlformats.org/officeDocument/2006/relationships/hyperlink" Target="https://www.amazon.com/dp/B08M9QK14J" TargetMode="External" Id="rId36"/><Relationship Type="http://schemas.openxmlformats.org/officeDocument/2006/relationships/hyperlink" Target="https://www.amazon.com/dp/B0HFBJPD56" TargetMode="External" Id="rId37"/><Relationship Type="http://schemas.openxmlformats.org/officeDocument/2006/relationships/hyperlink" Target="https://www.amazon.com/dp/B0GWHPJ9SD" TargetMode="External" Id="rId38"/><Relationship Type="http://schemas.openxmlformats.org/officeDocument/2006/relationships/hyperlink" Target="https://www.amazon.com/dp/B0HHQG3RSW" TargetMode="External" Id="rId39"/><Relationship Type="http://schemas.openxmlformats.org/officeDocument/2006/relationships/hyperlink" Target="https://www.amazon.com/dp/B0G1N8QS55" TargetMode="External" Id="rId40"/><Relationship Type="http://schemas.openxmlformats.org/officeDocument/2006/relationships/hyperlink" Target="https://www.amazon.com/dp/B07XC2KVM7" TargetMode="External" Id="rId41"/><Relationship Type="http://schemas.openxmlformats.org/officeDocument/2006/relationships/hyperlink" Target="https://www.amazon.com/dp/B07XC2KVM7" TargetMode="External" Id="rId42"/><Relationship Type="http://schemas.openxmlformats.org/officeDocument/2006/relationships/hyperlink" Target="https://www.amazon.com/dp/B0H29V113N" TargetMode="External" Id="rId43"/><Relationship Type="http://schemas.openxmlformats.org/officeDocument/2006/relationships/hyperlink" Target="https://www.amazon.com/dp/B0G674ZDTV" TargetMode="External" Id="rId44"/><Relationship Type="http://schemas.openxmlformats.org/officeDocument/2006/relationships/hyperlink" Target="https://www.amazon.com/dp/B0D34K3FB9" TargetMode="External" Id="rId45"/><Relationship Type="http://schemas.openxmlformats.org/officeDocument/2006/relationships/hyperlink" Target="https://www.amazon.com/dp/B07YSVNCVT" TargetMode="External" Id="rId46"/><Relationship Type="http://schemas.openxmlformats.org/officeDocument/2006/relationships/hyperlink" Target="https://www.amazon.com/dp/B0HHQG3RSW" TargetMode="External" Id="rId47"/><Relationship Type="http://schemas.openxmlformats.org/officeDocument/2006/relationships/hyperlink" Target="https://www.amazon.com/dp/B0HHRR4XGX" TargetMode="External" Id="rId48"/><Relationship Type="http://schemas.openxmlformats.org/officeDocument/2006/relationships/hyperlink" Target="https://www.amazon.com/dp/B0DWXNH24Z" TargetMode="External" Id="rId49"/><Relationship Type="http://schemas.openxmlformats.org/officeDocument/2006/relationships/hyperlink" Target="https://www.amazon.com/dp/B07XBJY2JR" TargetMode="External" Id="rId50"/><Relationship Type="http://schemas.openxmlformats.org/officeDocument/2006/relationships/hyperlink" Target="https://www.amazon.com/dp/B0GX135KCN" TargetMode="External" Id="rId51"/><Relationship Type="http://schemas.openxmlformats.org/officeDocument/2006/relationships/hyperlink" Target="https://www.amazon.com/dp/B0GX15Y7TT" TargetMode="External" Id="rId52"/><Relationship Type="http://schemas.openxmlformats.org/officeDocument/2006/relationships/hyperlink" Target="https://www.amazon.com/dp/B0F89K7BXJ" TargetMode="External" Id="rId53"/><Relationship Type="http://schemas.openxmlformats.org/officeDocument/2006/relationships/hyperlink" Target="https://www.amazon.com/dp/B0DJV1K332" TargetMode="External" Id="rId54"/><Relationship Type="http://schemas.openxmlformats.org/officeDocument/2006/relationships/hyperlink" Target="https://www.amazon.com/dp/B0DSQ9V4ML" TargetMode="External" Id="rId55"/><Relationship Type="http://schemas.openxmlformats.org/officeDocument/2006/relationships/hyperlink" Target="https://www.amazon.com/dp/B0F22JR4S8" TargetMode="External" Id="rId56"/><Relationship Type="http://schemas.openxmlformats.org/officeDocument/2006/relationships/hyperlink" Target="https://www.amazon.com/dp/B0DVZFLVMG" TargetMode="External" Id="rId57"/><Relationship Type="http://schemas.openxmlformats.org/officeDocument/2006/relationships/hyperlink" Target="https://www.amazon.com/dp/B0CF2MND41" TargetMode="External" Id="rId58"/><Relationship Type="http://schemas.openxmlformats.org/officeDocument/2006/relationships/hyperlink" Target="https://www.amazon.com/dp/B0DM3GDCTR" TargetMode="External" Id="rId59"/><Relationship Type="http://schemas.openxmlformats.org/officeDocument/2006/relationships/hyperlink" Target="https://www.amazon.com/dp/B0D3XQM7DL" TargetMode="External" Id="rId60"/><Relationship Type="http://schemas.openxmlformats.org/officeDocument/2006/relationships/hyperlink" Target="https://www.amazon.com/dp/B0HK5V5KL1" TargetMode="External" Id="rId61"/><Relationship Type="http://schemas.openxmlformats.org/officeDocument/2006/relationships/hyperlink" Target="https://www.amazon.com/dp/B09PYKYCCF" TargetMode="External" Id="rId62"/><Relationship Type="http://schemas.openxmlformats.org/officeDocument/2006/relationships/hyperlink" Target="https://www.amazon.com/dp/B0CZHCZQZ3" TargetMode="External" Id="rId63"/><Relationship Type="http://schemas.openxmlformats.org/officeDocument/2006/relationships/hyperlink" Target="https://www.amazon.com/dp/B09TQ6ZVKZ" TargetMode="External" Id="rId64"/><Relationship Type="http://schemas.openxmlformats.org/officeDocument/2006/relationships/hyperlink" Target="https://www.amazon.com/dp/B0DTY15N29" TargetMode="External" Id="rId65"/><Relationship Type="http://schemas.openxmlformats.org/officeDocument/2006/relationships/hyperlink" Target="https://www.amazon.com/dp/B0DSZTLBV1" TargetMode="External" Id="rId66"/><Relationship Type="http://schemas.openxmlformats.org/officeDocument/2006/relationships/hyperlink" Target="https://www.amazon.com/dp/B0D4KS4MVX" TargetMode="External" Id="rId67"/><Relationship Type="http://schemas.openxmlformats.org/officeDocument/2006/relationships/hyperlink" Target="https://www.amazon.com/dp/B0CHN5ZPFH" TargetMode="External" Id="rId68"/><Relationship Type="http://schemas.openxmlformats.org/officeDocument/2006/relationships/hyperlink" Target="https://www.amazon.com/dp/B0D1HWHDL2" TargetMode="External" Id="rId69"/><Relationship Type="http://schemas.openxmlformats.org/officeDocument/2006/relationships/hyperlink" Target="https://www.amazon.com/dp/B0CH7N9WVC" TargetMode="External" Id="rId70"/><Relationship Type="http://schemas.openxmlformats.org/officeDocument/2006/relationships/hyperlink" Target="https://www.amazon.com/dp/B0HJVD7X1R" TargetMode="External" Id="rId71"/><Relationship Type="http://schemas.openxmlformats.org/officeDocument/2006/relationships/hyperlink" Target="https://www.amazon.com/dp/B0F2TBWTZR" TargetMode="External" Id="rId72"/><Relationship Type="http://schemas.openxmlformats.org/officeDocument/2006/relationships/hyperlink" Target="https://www.amazon.com/dp/B0DLF1SWJ5" TargetMode="External" Id="rId73"/><Relationship Type="http://schemas.openxmlformats.org/officeDocument/2006/relationships/hyperlink" Target="https://www.amazon.com/dp/B07TBHLZJM" TargetMode="External" Id="rId74"/><Relationship Type="http://schemas.openxmlformats.org/officeDocument/2006/relationships/hyperlink" Target="https://www.amazon.com/dp/B0F9FK3L6J" TargetMode="External" Id="rId75"/><Relationship Type="http://schemas.openxmlformats.org/officeDocument/2006/relationships/hyperlink" Target="https://www.amazon.com/dp/B0F9FK7SMW" TargetMode="External" Id="rId76"/><Relationship Type="http://schemas.openxmlformats.org/officeDocument/2006/relationships/hyperlink" Target="https://www.amazon.com/dp/B0GVP3B7LS" TargetMode="External" Id="rId77"/><Relationship Type="http://schemas.openxmlformats.org/officeDocument/2006/relationships/hyperlink" Target="https://www.amazon.com/dp/B0GVP3B7LS" TargetMode="External" Id="rId78"/><Relationship Type="http://schemas.openxmlformats.org/officeDocument/2006/relationships/hyperlink" Target="https://www.amazon.com/dp/B0DYT2QWLC" TargetMode="External" Id="rId79"/><Relationship Type="http://schemas.openxmlformats.org/officeDocument/2006/relationships/hyperlink" Target="https://www.amazon.com/dp/B0DYT2QWLC" TargetMode="External" Id="rId80"/><Relationship Type="http://schemas.openxmlformats.org/officeDocument/2006/relationships/hyperlink" Target="https://www.amazon.com/dp/B0GW7H7RHY" TargetMode="External" Id="rId81"/><Relationship Type="http://schemas.openxmlformats.org/officeDocument/2006/relationships/hyperlink" Target="https://www.amazon.com/dp/B0GW7H7RHY" TargetMode="External" Id="rId82"/><Relationship Type="http://schemas.openxmlformats.org/officeDocument/2006/relationships/hyperlink" Target="https://www.amazon.com/dp/B0CZRJY68B" TargetMode="External" Id="rId83"/><Relationship Type="http://schemas.openxmlformats.org/officeDocument/2006/relationships/hyperlink" Target="https://www.amazon.com/dp/B0DM214YG3" TargetMode="External" Id="rId84"/><Relationship Type="http://schemas.openxmlformats.org/officeDocument/2006/relationships/hyperlink" Target="https://www.amazon.com/dp/B0G1N59S1Q" TargetMode="External" Id="rId85"/><Relationship Type="http://schemas.openxmlformats.org/officeDocument/2006/relationships/hyperlink" Target="https://www.amazon.com/dp/B0GC2GQNMT" TargetMode="External" Id="rId86"/><Relationship Type="http://schemas.openxmlformats.org/officeDocument/2006/relationships/hyperlink" Target="https://www.amazon.com/dp/B0GC5CJGWC" TargetMode="External" Id="rId87"/><Relationship Type="http://schemas.openxmlformats.org/officeDocument/2006/relationships/hyperlink" Target="https://www.amazon.com/dp/B0F2GR2DKR" TargetMode="External" Id="rId88"/><Relationship Type="http://schemas.openxmlformats.org/officeDocument/2006/relationships/hyperlink" Target="https://www.amazon.com/dp/B0D429MCF7" TargetMode="External" Id="rId89"/><Relationship Type="http://schemas.openxmlformats.org/officeDocument/2006/relationships/hyperlink" Target="https://www.amazon.com/dp/B0CLBDW265" TargetMode="External" Id="rId90"/><Relationship Type="http://schemas.openxmlformats.org/officeDocument/2006/relationships/hyperlink" Target="https://www.amazon.com/dp/B0B4F4NTBL" TargetMode="External" Id="rId91"/><Relationship Type="http://schemas.openxmlformats.org/officeDocument/2006/relationships/hyperlink" Target="https://www.amazon.com/dp/B0DQDMN3WK" TargetMode="External" Id="rId92"/><Relationship Type="http://schemas.openxmlformats.org/officeDocument/2006/relationships/hyperlink" Target="https://www.amazon.com/dp/B0DL5NCTYF" TargetMode="External" Id="rId93"/><Relationship Type="http://schemas.openxmlformats.org/officeDocument/2006/relationships/hyperlink" Target="https://www.amazon.com/dp/B0HFVC6529" TargetMode="External" Id="rId94"/><Relationship Type="http://schemas.openxmlformats.org/officeDocument/2006/relationships/hyperlink" Target="https://www.amazon.com/dp/B0H1MNZ16Z" TargetMode="External" Id="rId95"/><Relationship Type="http://schemas.openxmlformats.org/officeDocument/2006/relationships/hyperlink" Target="https://www.amazon.com/dp/B0H29TVSQX" TargetMode="External" Id="rId96"/><Relationship Type="http://schemas.openxmlformats.org/officeDocument/2006/relationships/hyperlink" Target="https://www.amazon.com/dp/B0FQ8JCH46" TargetMode="External" Id="rId97"/><Relationship Type="http://schemas.openxmlformats.org/officeDocument/2006/relationships/hyperlink" Target="https://www.amazon.com/dp/B0GSXPDW9C" TargetMode="External" Id="rId98"/><Relationship Type="http://schemas.openxmlformats.org/officeDocument/2006/relationships/hyperlink" Target="https://www.amazon.com/dp/B0GSXRR9DN" TargetMode="External" Id="rId99"/><Relationship Type="http://schemas.openxmlformats.org/officeDocument/2006/relationships/hyperlink" Target="https://www.amazon.com/dp/B0FW51LMYP" TargetMode="External" Id="rId100"/><Relationship Type="http://schemas.openxmlformats.org/officeDocument/2006/relationships/hyperlink" Target="https://www.amazon.com/dp/B0DF7NK85K" TargetMode="External" Id="rId101"/><Relationship Type="http://schemas.openxmlformats.org/officeDocument/2006/relationships/hyperlink" Target="https://www.amazon.com/dp/B0GMGSMLQ1" TargetMode="External" Id="rId102"/><Relationship Type="http://schemas.openxmlformats.org/officeDocument/2006/relationships/hyperlink" Target="https://www.amazon.com/dp/B09PYB9C45" TargetMode="External" Id="rId103"/><Relationship Type="http://schemas.openxmlformats.org/officeDocument/2006/relationships/hyperlink" Target="https://www.amazon.com/dp/B0HJSVWNRS" TargetMode="External" Id="rId104"/><Relationship Type="http://schemas.openxmlformats.org/officeDocument/2006/relationships/hyperlink" Target="https://www.amazon.com/dp/B0FWY1TGFK" TargetMode="External" Id="rId105"/><Relationship Type="http://schemas.openxmlformats.org/officeDocument/2006/relationships/hyperlink" Target="https://www.amazon.com/dp/B098JT1RF2" TargetMode="External" Id="rId106"/><Relationship Type="http://schemas.openxmlformats.org/officeDocument/2006/relationships/hyperlink" Target="https://www.amazon.com/dp/B098JT1RF2" TargetMode="External" Id="rId107"/><Relationship Type="http://schemas.openxmlformats.org/officeDocument/2006/relationships/hyperlink" Target="https://www.amazon.com/dp/B0H1GGHHVN" TargetMode="External" Id="rId108"/><Relationship Type="http://schemas.openxmlformats.org/officeDocument/2006/relationships/hyperlink" Target="https://www.amazon.com/dp/B0HFZQRXXQ" TargetMode="External" Id="rId109"/><Relationship Type="http://schemas.openxmlformats.org/officeDocument/2006/relationships/hyperlink" Target="https://www.amazon.com/dp/B0HK71WHZW" TargetMode="External" Id="rId110"/><Relationship Type="http://schemas.openxmlformats.org/officeDocument/2006/relationships/hyperlink" Target="https://www.amazon.com/dp/B0H1BWY4MD" TargetMode="External" Id="rId111"/><Relationship Type="http://schemas.openxmlformats.org/officeDocument/2006/relationships/hyperlink" Target="https://www.amazon.com/dp/B0HJYG8V9Q" TargetMode="External" Id="rId112"/><Relationship Type="http://schemas.openxmlformats.org/officeDocument/2006/relationships/hyperlink" Target="https://www.amazon.com/dp/B0HJYG8V9Q" TargetMode="External" Id="rId113"/><Relationship Type="http://schemas.openxmlformats.org/officeDocument/2006/relationships/hyperlink" Target="https://www.amazon.com/dp/B0GZ243WW5" TargetMode="External" Id="rId114"/><Relationship Type="http://schemas.openxmlformats.org/officeDocument/2006/relationships/hyperlink" Target="https://www.amazon.com/dp/B0GFHP5V9H" TargetMode="External" Id="rId115"/><Relationship Type="http://schemas.openxmlformats.org/officeDocument/2006/relationships/hyperlink" Target="https://www.amazon.com/dp/B0GFHGS4DP" TargetMode="External" Id="rId116"/><Relationship Type="http://schemas.openxmlformats.org/officeDocument/2006/relationships/drawing" Target="/xl/drawings/drawing2.xml" Id="rId11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mazon.com/dp/B0BZ8T5BJ6" TargetMode="External" Id="rId1"/><Relationship Type="http://schemas.openxmlformats.org/officeDocument/2006/relationships/hyperlink" Target="https://www.amazon.com/dp/B07YK8VTJV" TargetMode="External" Id="rId2"/><Relationship Type="http://schemas.openxmlformats.org/officeDocument/2006/relationships/hyperlink" Target="https://www.amazon.com/dp/B0CZQ52MTQ" TargetMode="External" Id="rId3"/><Relationship Type="http://schemas.openxmlformats.org/officeDocument/2006/relationships/hyperlink" Target="https://www.amazon.com/dp/B07DZTQ4JC" TargetMode="External" Id="rId4"/><Relationship Type="http://schemas.openxmlformats.org/officeDocument/2006/relationships/hyperlink" Target="https://www.amazon.com/dp/B0G5N99X9R" TargetMode="External" Id="rId5"/><Relationship Type="http://schemas.openxmlformats.org/officeDocument/2006/relationships/hyperlink" Target="https://www.amazon.com/dp/B01N9L2O9P" TargetMode="External" Id="rId6"/><Relationship Type="http://schemas.openxmlformats.org/officeDocument/2006/relationships/hyperlink" Target="https://www.amazon.com/dp/B0DN1GGFL7" TargetMode="External" Id="rId7"/><Relationship Type="http://schemas.openxmlformats.org/officeDocument/2006/relationships/hyperlink" Target="https://www.amazon.com/dp/B0DN1DVKH5" TargetMode="External" Id="rId8"/><Relationship Type="http://schemas.openxmlformats.org/officeDocument/2006/relationships/hyperlink" Target="https://www.amazon.com/dp/B0FT7L9RSX" TargetMode="External" Id="rId9"/><Relationship Type="http://schemas.openxmlformats.org/officeDocument/2006/relationships/hyperlink" Target="https://www.amazon.com/dp/B0FT7LZ2CD" TargetMode="External" Id="rId10"/><Relationship Type="http://schemas.openxmlformats.org/officeDocument/2006/relationships/hyperlink" Target="https://www.amazon.com/dp/B0HHQ97HBL" TargetMode="External" Id="rId11"/><Relationship Type="http://schemas.openxmlformats.org/officeDocument/2006/relationships/hyperlink" Target="https://www.amazon.com/dp/B0HD7R5L1D" TargetMode="External" Id="rId12"/><Relationship Type="http://schemas.openxmlformats.org/officeDocument/2006/relationships/hyperlink" Target="https://www.amazon.com/dp/B07K6SYX8L" TargetMode="External" Id="rId13"/><Relationship Type="http://schemas.openxmlformats.org/officeDocument/2006/relationships/hyperlink" Target="https://www.amazon.com/dp/B0DR99Q37Y" TargetMode="External" Id="rId14"/><Relationship Type="http://schemas.openxmlformats.org/officeDocument/2006/relationships/hyperlink" Target="https://www.amazon.com/dp/B0FB8XS4D1" TargetMode="External" Id="rId15"/><Relationship Type="http://schemas.openxmlformats.org/officeDocument/2006/relationships/hyperlink" Target="https://www.amazon.com/dp/B0FB8XR43Q" TargetMode="External" Id="rId16"/><Relationship Type="http://schemas.openxmlformats.org/officeDocument/2006/relationships/hyperlink" Target="https://www.amazon.com/dp/B0F4852T9V" TargetMode="External" Id="rId17"/><Relationship Type="http://schemas.openxmlformats.org/officeDocument/2006/relationships/hyperlink" Target="https://www.amazon.com/dp/B0F4873G4H" TargetMode="External" Id="rId18"/><Relationship Type="http://schemas.openxmlformats.org/officeDocument/2006/relationships/hyperlink" Target="https://www.amazon.com/dp/B0H29V113N" TargetMode="External" Id="rId19"/><Relationship Type="http://schemas.openxmlformats.org/officeDocument/2006/relationships/hyperlink" Target="https://www.amazon.com/dp/B08L86VLZB" TargetMode="External" Id="rId20"/><Relationship Type="http://schemas.openxmlformats.org/officeDocument/2006/relationships/hyperlink" Target="https://www.amazon.com/dp/B0HC778XB4" TargetMode="External" Id="rId21"/><Relationship Type="http://schemas.openxmlformats.org/officeDocument/2006/relationships/hyperlink" Target="https://www.amazon.com/dp/B07XFP6BY2" TargetMode="External" Id="rId22"/><Relationship Type="http://schemas.openxmlformats.org/officeDocument/2006/relationships/hyperlink" Target="https://www.amazon.com/dp/B0GT98GVQN" TargetMode="External" Id="rId23"/><Relationship Type="http://schemas.openxmlformats.org/officeDocument/2006/relationships/hyperlink" Target="https://www.amazon.com/dp/B0GT8Z4X5D" TargetMode="External" Id="rId24"/><Relationship Type="http://schemas.openxmlformats.org/officeDocument/2006/relationships/hyperlink" Target="https://www.amazon.com/dp/B0F29FQLFD" TargetMode="External" Id="rId25"/><Relationship Type="http://schemas.openxmlformats.org/officeDocument/2006/relationships/hyperlink" Target="https://www.amazon.com/dp/B0F29F1JM5" TargetMode="External" Id="rId26"/><Relationship Type="http://schemas.openxmlformats.org/officeDocument/2006/relationships/hyperlink" Target="https://www.amazon.com/dp/B0HJZNMQ5G" TargetMode="External" Id="rId27"/><Relationship Type="http://schemas.openxmlformats.org/officeDocument/2006/relationships/hyperlink" Target="https://www.amazon.com/dp/B0GXJYQR7H" TargetMode="External" Id="rId28"/><Relationship Type="http://schemas.openxmlformats.org/officeDocument/2006/relationships/hyperlink" Target="https://www.amazon.com/dp/B0DCZGYVZ9" TargetMode="External" Id="rId29"/><Relationship Type="http://schemas.openxmlformats.org/officeDocument/2006/relationships/hyperlink" Target="https://www.amazon.com/dp/B0F24TRXCZ" TargetMode="External" Id="rId30"/><Relationship Type="http://schemas.openxmlformats.org/officeDocument/2006/relationships/hyperlink" Target="https://www.amazon.com/dp/B09WV7RN1V" TargetMode="External" Id="rId31"/><Relationship Type="http://schemas.openxmlformats.org/officeDocument/2006/relationships/hyperlink" Target="https://www.amazon.com/dp/B0BR53P7DY" TargetMode="External" Id="rId32"/><Relationship Type="http://schemas.openxmlformats.org/officeDocument/2006/relationships/hyperlink" Target="https://www.amazon.com/dp/B0GT172Y8L" TargetMode="External" Id="rId33"/><Relationship Type="http://schemas.openxmlformats.org/officeDocument/2006/relationships/hyperlink" Target="https://www.amazon.com/dp/B0G1CSCQTB" TargetMode="External" Id="rId34"/><Relationship Type="http://schemas.openxmlformats.org/officeDocument/2006/relationships/hyperlink" Target="https://www.amazon.com/dp/B0DLD8982V" TargetMode="External" Id="rId35"/><Relationship Type="http://schemas.openxmlformats.org/officeDocument/2006/relationships/hyperlink" Target="https://www.amazon.com/dp/B08M9QK14J" TargetMode="External" Id="rId36"/><Relationship Type="http://schemas.openxmlformats.org/officeDocument/2006/relationships/hyperlink" Target="https://www.amazon.com/dp/B0HFBJPD56" TargetMode="External" Id="rId37"/><Relationship Type="http://schemas.openxmlformats.org/officeDocument/2006/relationships/hyperlink" Target="https://www.amazon.com/dp/B0GWHPJ9SD" TargetMode="External" Id="rId38"/><Relationship Type="http://schemas.openxmlformats.org/officeDocument/2006/relationships/hyperlink" Target="https://www.amazon.com/dp/B0HHQG3RSW" TargetMode="External" Id="rId39"/><Relationship Type="http://schemas.openxmlformats.org/officeDocument/2006/relationships/hyperlink" Target="https://www.amazon.com/dp/B0G1N8QS55" TargetMode="External" Id="rId40"/><Relationship Type="http://schemas.openxmlformats.org/officeDocument/2006/relationships/hyperlink" Target="https://www.amazon.com/dp/B07XC2KVM7" TargetMode="External" Id="rId41"/><Relationship Type="http://schemas.openxmlformats.org/officeDocument/2006/relationships/hyperlink" Target="https://www.amazon.com/dp/B07XC2KVM7" TargetMode="External" Id="rId42"/><Relationship Type="http://schemas.openxmlformats.org/officeDocument/2006/relationships/hyperlink" Target="https://www.amazon.com/dp/B0H29V113N" TargetMode="External" Id="rId43"/><Relationship Type="http://schemas.openxmlformats.org/officeDocument/2006/relationships/hyperlink" Target="https://www.amazon.com/dp/B0G674ZDTV" TargetMode="External" Id="rId44"/><Relationship Type="http://schemas.openxmlformats.org/officeDocument/2006/relationships/hyperlink" Target="https://www.amazon.com/dp/B0D34K3FB9" TargetMode="External" Id="rId45"/><Relationship Type="http://schemas.openxmlformats.org/officeDocument/2006/relationships/hyperlink" Target="https://www.amazon.com/dp/B07YSVNCVT" TargetMode="External" Id="rId46"/><Relationship Type="http://schemas.openxmlformats.org/officeDocument/2006/relationships/hyperlink" Target="https://www.amazon.com/dp/B0HHQG3RSW" TargetMode="External" Id="rId47"/><Relationship Type="http://schemas.openxmlformats.org/officeDocument/2006/relationships/hyperlink" Target="https://www.amazon.com/dp/B0HHRR4XGX" TargetMode="External" Id="rId48"/><Relationship Type="http://schemas.openxmlformats.org/officeDocument/2006/relationships/hyperlink" Target="https://www.amazon.com/dp/B0DWXNH24Z" TargetMode="External" Id="rId49"/><Relationship Type="http://schemas.openxmlformats.org/officeDocument/2006/relationships/hyperlink" Target="https://www.amazon.com/dp/B07XBJY2JR" TargetMode="External" Id="rId50"/><Relationship Type="http://schemas.openxmlformats.org/officeDocument/2006/relationships/hyperlink" Target="https://www.amazon.com/dp/B0GX135KCN" TargetMode="External" Id="rId51"/><Relationship Type="http://schemas.openxmlformats.org/officeDocument/2006/relationships/hyperlink" Target="https://www.amazon.com/dp/B0GX15Y7TT" TargetMode="External" Id="rId52"/><Relationship Type="http://schemas.openxmlformats.org/officeDocument/2006/relationships/hyperlink" Target="https://www.amazon.com/dp/B0F89K7BXJ" TargetMode="External" Id="rId53"/><Relationship Type="http://schemas.openxmlformats.org/officeDocument/2006/relationships/hyperlink" Target="https://www.amazon.com/dp/B0DJV1K332" TargetMode="External" Id="rId54"/><Relationship Type="http://schemas.openxmlformats.org/officeDocument/2006/relationships/hyperlink" Target="https://www.amazon.com/dp/B0DSQ9V4ML" TargetMode="External" Id="rId55"/><Relationship Type="http://schemas.openxmlformats.org/officeDocument/2006/relationships/hyperlink" Target="https://www.amazon.com/dp/B0F22JR4S8" TargetMode="External" Id="rId56"/><Relationship Type="http://schemas.openxmlformats.org/officeDocument/2006/relationships/hyperlink" Target="https://www.amazon.com/dp/B0DVZFLVMG" TargetMode="External" Id="rId57"/><Relationship Type="http://schemas.openxmlformats.org/officeDocument/2006/relationships/hyperlink" Target="https://www.amazon.com/dp/B0CF2MND41" TargetMode="External" Id="rId58"/><Relationship Type="http://schemas.openxmlformats.org/officeDocument/2006/relationships/hyperlink" Target="https://www.amazon.com/dp/B0DM3GDCTR" TargetMode="External" Id="rId59"/><Relationship Type="http://schemas.openxmlformats.org/officeDocument/2006/relationships/hyperlink" Target="https://www.amazon.com/dp/B0D3XQM7DL" TargetMode="External" Id="rId60"/><Relationship Type="http://schemas.openxmlformats.org/officeDocument/2006/relationships/hyperlink" Target="https://www.amazon.com/dp/B0HK5V5KL1" TargetMode="External" Id="rId61"/><Relationship Type="http://schemas.openxmlformats.org/officeDocument/2006/relationships/hyperlink" Target="https://www.amazon.com/dp/B09PYKYCCF" TargetMode="External" Id="rId62"/><Relationship Type="http://schemas.openxmlformats.org/officeDocument/2006/relationships/hyperlink" Target="https://www.amazon.com/dp/B0CZHCZQZ3" TargetMode="External" Id="rId63"/><Relationship Type="http://schemas.openxmlformats.org/officeDocument/2006/relationships/hyperlink" Target="https://www.amazon.com/dp/B09TQ6ZVKZ" TargetMode="External" Id="rId64"/><Relationship Type="http://schemas.openxmlformats.org/officeDocument/2006/relationships/hyperlink" Target="https://www.amazon.com/dp/B0DTY15N29" TargetMode="External" Id="rId65"/><Relationship Type="http://schemas.openxmlformats.org/officeDocument/2006/relationships/hyperlink" Target="https://www.amazon.com/dp/B0DSZTLBV1" TargetMode="External" Id="rId66"/><Relationship Type="http://schemas.openxmlformats.org/officeDocument/2006/relationships/hyperlink" Target="https://www.amazon.com/dp/B0D4KS4MVX" TargetMode="External" Id="rId67"/><Relationship Type="http://schemas.openxmlformats.org/officeDocument/2006/relationships/hyperlink" Target="https://www.amazon.com/dp/B0CHN5ZPFH" TargetMode="External" Id="rId68"/><Relationship Type="http://schemas.openxmlformats.org/officeDocument/2006/relationships/hyperlink" Target="https://www.amazon.com/dp/B0D1HWHDL2" TargetMode="External" Id="rId69"/><Relationship Type="http://schemas.openxmlformats.org/officeDocument/2006/relationships/hyperlink" Target="https://www.amazon.com/dp/B0CH7N9WVC" TargetMode="External" Id="rId70"/><Relationship Type="http://schemas.openxmlformats.org/officeDocument/2006/relationships/hyperlink" Target="https://www.amazon.com/dp/B0HJVD7X1R" TargetMode="External" Id="rId71"/><Relationship Type="http://schemas.openxmlformats.org/officeDocument/2006/relationships/hyperlink" Target="https://www.amazon.com/dp/B0F2TBWTZR" TargetMode="External" Id="rId72"/><Relationship Type="http://schemas.openxmlformats.org/officeDocument/2006/relationships/hyperlink" Target="https://www.amazon.com/dp/B0DLF1SWJ5" TargetMode="External" Id="rId73"/><Relationship Type="http://schemas.openxmlformats.org/officeDocument/2006/relationships/hyperlink" Target="https://www.amazon.com/dp/B07TBHLZJM" TargetMode="External" Id="rId74"/><Relationship Type="http://schemas.openxmlformats.org/officeDocument/2006/relationships/hyperlink" Target="https://www.amazon.com/dp/B0F9FK3L6J" TargetMode="External" Id="rId75"/><Relationship Type="http://schemas.openxmlformats.org/officeDocument/2006/relationships/hyperlink" Target="https://www.amazon.com/dp/B0F9FK7SMW" TargetMode="External" Id="rId76"/><Relationship Type="http://schemas.openxmlformats.org/officeDocument/2006/relationships/hyperlink" Target="https://www.amazon.com/dp/B0GVP3B7LS" TargetMode="External" Id="rId77"/><Relationship Type="http://schemas.openxmlformats.org/officeDocument/2006/relationships/hyperlink" Target="https://www.amazon.com/dp/B0GVP3B7LS" TargetMode="External" Id="rId78"/><Relationship Type="http://schemas.openxmlformats.org/officeDocument/2006/relationships/hyperlink" Target="https://www.amazon.com/dp/B0GW7H7RHY" TargetMode="External" Id="rId79"/><Relationship Type="http://schemas.openxmlformats.org/officeDocument/2006/relationships/hyperlink" Target="https://www.amazon.com/dp/B0GW7H7RHY" TargetMode="External" Id="rId80"/><Relationship Type="http://schemas.openxmlformats.org/officeDocument/2006/relationships/hyperlink" Target="https://www.amazon.com/dp/B0DYT2QWLC" TargetMode="External" Id="rId81"/><Relationship Type="http://schemas.openxmlformats.org/officeDocument/2006/relationships/hyperlink" Target="https://www.amazon.com/dp/B0DYT2QWLC" TargetMode="External" Id="rId82"/><Relationship Type="http://schemas.openxmlformats.org/officeDocument/2006/relationships/hyperlink" Target="https://www.amazon.com/dp/B0CZRJY68B" TargetMode="External" Id="rId83"/><Relationship Type="http://schemas.openxmlformats.org/officeDocument/2006/relationships/hyperlink" Target="https://www.amazon.com/dp/B0DM214YG3" TargetMode="External" Id="rId84"/><Relationship Type="http://schemas.openxmlformats.org/officeDocument/2006/relationships/hyperlink" Target="https://www.amazon.com/dp/B0G1N59S1Q" TargetMode="External" Id="rId85"/><Relationship Type="http://schemas.openxmlformats.org/officeDocument/2006/relationships/hyperlink" Target="https://www.amazon.com/dp/B0GC2GQNMT" TargetMode="External" Id="rId86"/><Relationship Type="http://schemas.openxmlformats.org/officeDocument/2006/relationships/hyperlink" Target="https://www.amazon.com/dp/B0GC5CJGWC" TargetMode="External" Id="rId87"/><Relationship Type="http://schemas.openxmlformats.org/officeDocument/2006/relationships/hyperlink" Target="https://www.amazon.com/dp/B0F2GR2DKR" TargetMode="External" Id="rId88"/><Relationship Type="http://schemas.openxmlformats.org/officeDocument/2006/relationships/hyperlink" Target="https://www.amazon.com/dp/B0D429MCF7" TargetMode="External" Id="rId89"/><Relationship Type="http://schemas.openxmlformats.org/officeDocument/2006/relationships/hyperlink" Target="https://www.amazon.com/dp/B0DQDMN3WK" TargetMode="External" Id="rId90"/><Relationship Type="http://schemas.openxmlformats.org/officeDocument/2006/relationships/hyperlink" Target="https://www.amazon.com/dp/B0DL5NCTYF" TargetMode="External" Id="rId91"/><Relationship Type="http://schemas.openxmlformats.org/officeDocument/2006/relationships/hyperlink" Target="https://www.amazon.com/dp/B0CLBDW265" TargetMode="External" Id="rId92"/><Relationship Type="http://schemas.openxmlformats.org/officeDocument/2006/relationships/hyperlink" Target="https://www.amazon.com/dp/B0B4F4NTBL" TargetMode="External" Id="rId93"/><Relationship Type="http://schemas.openxmlformats.org/officeDocument/2006/relationships/hyperlink" Target="https://www.amazon.com/dp/B0HFVC6529" TargetMode="External" Id="rId94"/><Relationship Type="http://schemas.openxmlformats.org/officeDocument/2006/relationships/hyperlink" Target="https://www.amazon.com/dp/B0H1MNZ16Z" TargetMode="External" Id="rId95"/><Relationship Type="http://schemas.openxmlformats.org/officeDocument/2006/relationships/hyperlink" Target="https://www.amazon.com/dp/B0GSXPDW9C" TargetMode="External" Id="rId96"/><Relationship Type="http://schemas.openxmlformats.org/officeDocument/2006/relationships/hyperlink" Target="https://www.amazon.com/dp/B0GSXRR9DN" TargetMode="External" Id="rId97"/><Relationship Type="http://schemas.openxmlformats.org/officeDocument/2006/relationships/hyperlink" Target="https://www.amazon.com/dp/B0H29TVSQX" TargetMode="External" Id="rId98"/><Relationship Type="http://schemas.openxmlformats.org/officeDocument/2006/relationships/hyperlink" Target="https://www.amazon.com/dp/B0FQ8JCH46" TargetMode="External" Id="rId99"/><Relationship Type="http://schemas.openxmlformats.org/officeDocument/2006/relationships/hyperlink" Target="https://www.amazon.com/dp/B0FW51LMYP" TargetMode="External" Id="rId100"/><Relationship Type="http://schemas.openxmlformats.org/officeDocument/2006/relationships/hyperlink" Target="https://www.amazon.com/dp/B0DF7NK85K" TargetMode="External" Id="rId101"/><Relationship Type="http://schemas.openxmlformats.org/officeDocument/2006/relationships/hyperlink" Target="https://www.amazon.com/dp/B0GMGSMLQ1" TargetMode="External" Id="rId102"/><Relationship Type="http://schemas.openxmlformats.org/officeDocument/2006/relationships/hyperlink" Target="https://www.amazon.com/dp/B09PYB9C45" TargetMode="External" Id="rId103"/><Relationship Type="http://schemas.openxmlformats.org/officeDocument/2006/relationships/hyperlink" Target="https://www.amazon.com/dp/B0HJSVWNRS" TargetMode="External" Id="rId104"/><Relationship Type="http://schemas.openxmlformats.org/officeDocument/2006/relationships/hyperlink" Target="https://www.amazon.com/dp/B0FWY1TGFK" TargetMode="External" Id="rId105"/><Relationship Type="http://schemas.openxmlformats.org/officeDocument/2006/relationships/hyperlink" Target="https://www.amazon.com/dp/B098JT1RF2" TargetMode="External" Id="rId106"/><Relationship Type="http://schemas.openxmlformats.org/officeDocument/2006/relationships/hyperlink" Target="https://www.amazon.com/dp/B098JT1RF2" TargetMode="External" Id="rId107"/><Relationship Type="http://schemas.openxmlformats.org/officeDocument/2006/relationships/hyperlink" Target="https://www.amazon.com/dp/B0H1GGHHVN" TargetMode="External" Id="rId108"/><Relationship Type="http://schemas.openxmlformats.org/officeDocument/2006/relationships/hyperlink" Target="https://www.amazon.com/dp/B0HFZQRXXQ" TargetMode="External" Id="rId109"/><Relationship Type="http://schemas.openxmlformats.org/officeDocument/2006/relationships/hyperlink" Target="https://www.amazon.com/dp/B0HK71WHZW" TargetMode="External" Id="rId110"/><Relationship Type="http://schemas.openxmlformats.org/officeDocument/2006/relationships/hyperlink" Target="https://www.amazon.com/dp/B0H1BWY4MD" TargetMode="External" Id="rId111"/><Relationship Type="http://schemas.openxmlformats.org/officeDocument/2006/relationships/hyperlink" Target="https://www.amazon.com/dp/B0HJYG8V9Q" TargetMode="External" Id="rId112"/><Relationship Type="http://schemas.openxmlformats.org/officeDocument/2006/relationships/hyperlink" Target="https://www.amazon.com/dp/B0HJYG8V9Q" TargetMode="External" Id="rId113"/><Relationship Type="http://schemas.openxmlformats.org/officeDocument/2006/relationships/hyperlink" Target="https://www.amazon.com/dp/B0GZ243WW5" TargetMode="External" Id="rId114"/><Relationship Type="http://schemas.openxmlformats.org/officeDocument/2006/relationships/hyperlink" Target="https://www.amazon.com/dp/B0GFHP5V9H" TargetMode="External" Id="rId115"/><Relationship Type="http://schemas.openxmlformats.org/officeDocument/2006/relationships/hyperlink" Target="https://www.amazon.com/dp/B0GFHGS4DP" TargetMode="External" Id="rId116"/><Relationship Type="http://schemas.openxmlformats.org/officeDocument/2006/relationships/drawing" Target="/xl/drawings/drawing3.xml" Id="rId11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mazon.com/dp/B0CZQ52MTQ" TargetMode="External" Id="rId1"/><Relationship Type="http://schemas.openxmlformats.org/officeDocument/2006/relationships/hyperlink" Target="https://www.amazon.com/dp/B07DZTQ4JC" TargetMode="External" Id="rId2"/><Relationship Type="http://schemas.openxmlformats.org/officeDocument/2006/relationships/hyperlink" Target="https://www.amazon.com/dp/B0G5N99X9R" TargetMode="External" Id="rId3"/><Relationship Type="http://schemas.openxmlformats.org/officeDocument/2006/relationships/hyperlink" Target="https://www.amazon.com/dp/B01N9L2O9P" TargetMode="External" Id="rId4"/><Relationship Type="http://schemas.openxmlformats.org/officeDocument/2006/relationships/hyperlink" Target="https://www.amazon.com/dp/B07XC2KVM7" TargetMode="External" Id="rId5"/><Relationship Type="http://schemas.openxmlformats.org/officeDocument/2006/relationships/hyperlink" Target="https://www.amazon.com/dp/B07XC2KVM7" TargetMode="External" Id="rId6"/><Relationship Type="http://schemas.openxmlformats.org/officeDocument/2006/relationships/hyperlink" Target="https://www.amazon.com/dp/B0H29V113N" TargetMode="External" Id="rId7"/><Relationship Type="http://schemas.openxmlformats.org/officeDocument/2006/relationships/hyperlink" Target="https://www.amazon.com/dp/B0G674ZDTV" TargetMode="External" Id="rId8"/><Relationship Type="http://schemas.openxmlformats.org/officeDocument/2006/relationships/hyperlink" Target="https://www.amazon.com/dp/B0FT7L9RSX" TargetMode="External" Id="rId9"/><Relationship Type="http://schemas.openxmlformats.org/officeDocument/2006/relationships/hyperlink" Target="https://www.amazon.com/dp/B0FT7LZ2CD" TargetMode="External" Id="rId10"/><Relationship Type="http://schemas.openxmlformats.org/officeDocument/2006/relationships/hyperlink" Target="https://www.amazon.com/dp/B07K6SYX8L" TargetMode="External" Id="rId11"/><Relationship Type="http://schemas.openxmlformats.org/officeDocument/2006/relationships/hyperlink" Target="https://www.amazon.com/dp/B0DR99Q37Y" TargetMode="External" Id="rId12"/><Relationship Type="http://schemas.openxmlformats.org/officeDocument/2006/relationships/hyperlink" Target="https://www.amazon.com/dp/B0FB8XS4D1" TargetMode="External" Id="rId13"/><Relationship Type="http://schemas.openxmlformats.org/officeDocument/2006/relationships/hyperlink" Target="https://www.amazon.com/dp/B0FB8XR43Q" TargetMode="External" Id="rId14"/><Relationship Type="http://schemas.openxmlformats.org/officeDocument/2006/relationships/hyperlink" Target="https://www.amazon.com/dp/B0F4852T9V" TargetMode="External" Id="rId15"/><Relationship Type="http://schemas.openxmlformats.org/officeDocument/2006/relationships/hyperlink" Target="https://www.amazon.com/dp/B0F4873G4H" TargetMode="External" Id="rId16"/><Relationship Type="http://schemas.openxmlformats.org/officeDocument/2006/relationships/hyperlink" Target="https://www.amazon.com/dp/B0H29V113N" TargetMode="External" Id="rId17"/><Relationship Type="http://schemas.openxmlformats.org/officeDocument/2006/relationships/hyperlink" Target="https://www.amazon.com/dp/B08L86VLZB" TargetMode="External" Id="rId18"/><Relationship Type="http://schemas.openxmlformats.org/officeDocument/2006/relationships/hyperlink" Target="https://www.amazon.com/dp/B0HC778XB4" TargetMode="External" Id="rId19"/><Relationship Type="http://schemas.openxmlformats.org/officeDocument/2006/relationships/hyperlink" Target="https://www.amazon.com/dp/B07XFP6BY2" TargetMode="External" Id="rId20"/><Relationship Type="http://schemas.openxmlformats.org/officeDocument/2006/relationships/hyperlink" Target="https://www.amazon.com/dp/B0F29FQLFD" TargetMode="External" Id="rId21"/><Relationship Type="http://schemas.openxmlformats.org/officeDocument/2006/relationships/hyperlink" Target="https://www.amazon.com/dp/B0F29F1JM5" TargetMode="External" Id="rId22"/><Relationship Type="http://schemas.openxmlformats.org/officeDocument/2006/relationships/hyperlink" Target="https://www.amazon.com/dp/B0DCZGYVZ9" TargetMode="External" Id="rId23"/><Relationship Type="http://schemas.openxmlformats.org/officeDocument/2006/relationships/hyperlink" Target="https://www.amazon.com/dp/B0F24TRXCZ" TargetMode="External" Id="rId24"/><Relationship Type="http://schemas.openxmlformats.org/officeDocument/2006/relationships/hyperlink" Target="https://www.amazon.com/dp/B0GX135KCN" TargetMode="External" Id="rId25"/><Relationship Type="http://schemas.openxmlformats.org/officeDocument/2006/relationships/hyperlink" Target="https://www.amazon.com/dp/B0GX15Y7TT" TargetMode="External" Id="rId26"/><Relationship Type="http://schemas.openxmlformats.org/officeDocument/2006/relationships/hyperlink" Target="https://www.amazon.com/dp/B0F89K7BXJ" TargetMode="External" Id="rId27"/><Relationship Type="http://schemas.openxmlformats.org/officeDocument/2006/relationships/hyperlink" Target="https://www.amazon.com/dp/B0DJV1K332" TargetMode="External" Id="rId28"/><Relationship Type="http://schemas.openxmlformats.org/officeDocument/2006/relationships/hyperlink" Target="https://www.amazon.com/dp/B0DSQ9V4ML" TargetMode="External" Id="rId29"/><Relationship Type="http://schemas.openxmlformats.org/officeDocument/2006/relationships/hyperlink" Target="https://www.amazon.com/dp/B0F22JR4S8" TargetMode="External" Id="rId30"/><Relationship Type="http://schemas.openxmlformats.org/officeDocument/2006/relationships/hyperlink" Target="https://www.amazon.com/dp/B0DVZFLVMG" TargetMode="External" Id="rId31"/><Relationship Type="http://schemas.openxmlformats.org/officeDocument/2006/relationships/hyperlink" Target="https://www.amazon.com/dp/B0CF2MND41" TargetMode="External" Id="rId32"/><Relationship Type="http://schemas.openxmlformats.org/officeDocument/2006/relationships/hyperlink" Target="https://www.amazon.com/dp/B0DM3GDCTR" TargetMode="External" Id="rId33"/><Relationship Type="http://schemas.openxmlformats.org/officeDocument/2006/relationships/hyperlink" Target="https://www.amazon.com/dp/B0D3XQM7DL" TargetMode="External" Id="rId34"/><Relationship Type="http://schemas.openxmlformats.org/officeDocument/2006/relationships/hyperlink" Target="https://www.amazon.com/dp/B0HK5V5KL1" TargetMode="External" Id="rId35"/><Relationship Type="http://schemas.openxmlformats.org/officeDocument/2006/relationships/hyperlink" Target="https://www.amazon.com/dp/B09PYKYCCF" TargetMode="External" Id="rId36"/><Relationship Type="http://schemas.openxmlformats.org/officeDocument/2006/relationships/hyperlink" Target="https://www.amazon.com/dp/B0CZHCZQZ3" TargetMode="External" Id="rId37"/><Relationship Type="http://schemas.openxmlformats.org/officeDocument/2006/relationships/hyperlink" Target="https://www.amazon.com/dp/B09TQ6ZVKZ" TargetMode="External" Id="rId38"/><Relationship Type="http://schemas.openxmlformats.org/officeDocument/2006/relationships/hyperlink" Target="https://www.amazon.com/dp/B0DTY15N29" TargetMode="External" Id="rId39"/><Relationship Type="http://schemas.openxmlformats.org/officeDocument/2006/relationships/hyperlink" Target="https://www.amazon.com/dp/B0DSZTLBV1" TargetMode="External" Id="rId40"/><Relationship Type="http://schemas.openxmlformats.org/officeDocument/2006/relationships/hyperlink" Target="https://www.amazon.com/dp/B0D4KS4MVX" TargetMode="External" Id="rId41"/><Relationship Type="http://schemas.openxmlformats.org/officeDocument/2006/relationships/hyperlink" Target="https://www.amazon.com/dp/B0CHN5ZPFH" TargetMode="External" Id="rId42"/><Relationship Type="http://schemas.openxmlformats.org/officeDocument/2006/relationships/hyperlink" Target="https://www.amazon.com/dp/B0D1HWHDL2" TargetMode="External" Id="rId43"/><Relationship Type="http://schemas.openxmlformats.org/officeDocument/2006/relationships/hyperlink" Target="https://www.amazon.com/dp/B0CH7N9WVC" TargetMode="External" Id="rId44"/><Relationship Type="http://schemas.openxmlformats.org/officeDocument/2006/relationships/hyperlink" Target="https://www.amazon.com/dp/B0HJVD7X1R" TargetMode="External" Id="rId45"/><Relationship Type="http://schemas.openxmlformats.org/officeDocument/2006/relationships/hyperlink" Target="https://www.amazon.com/dp/B0F2TBWTZR" TargetMode="External" Id="rId46"/><Relationship Type="http://schemas.openxmlformats.org/officeDocument/2006/relationships/hyperlink" Target="https://www.amazon.com/dp/B0DLF1SWJ5" TargetMode="External" Id="rId47"/><Relationship Type="http://schemas.openxmlformats.org/officeDocument/2006/relationships/hyperlink" Target="https://www.amazon.com/dp/B07TBHLZJM" TargetMode="External" Id="rId48"/><Relationship Type="http://schemas.openxmlformats.org/officeDocument/2006/relationships/hyperlink" Target="https://www.amazon.com/dp/B0F9FK3L6J" TargetMode="External" Id="rId49"/><Relationship Type="http://schemas.openxmlformats.org/officeDocument/2006/relationships/hyperlink" Target="https://www.amazon.com/dp/B0F9FK7SMW" TargetMode="External" Id="rId50"/><Relationship Type="http://schemas.openxmlformats.org/officeDocument/2006/relationships/hyperlink" Target="https://www.amazon.com/dp/B0DYT2QWLC" TargetMode="External" Id="rId51"/><Relationship Type="http://schemas.openxmlformats.org/officeDocument/2006/relationships/hyperlink" Target="https://www.amazon.com/dp/B0DYT2QWLC" TargetMode="External" Id="rId52"/><Relationship Type="http://schemas.openxmlformats.org/officeDocument/2006/relationships/hyperlink" Target="https://www.amazon.com/dp/B0GVP3B7LS" TargetMode="External" Id="rId53"/><Relationship Type="http://schemas.openxmlformats.org/officeDocument/2006/relationships/hyperlink" Target="https://www.amazon.com/dp/B0GVP3B7LS" TargetMode="External" Id="rId54"/><Relationship Type="http://schemas.openxmlformats.org/officeDocument/2006/relationships/hyperlink" Target="https://www.amazon.com/dp/B0GW7H7RHY" TargetMode="External" Id="rId55"/><Relationship Type="http://schemas.openxmlformats.org/officeDocument/2006/relationships/hyperlink" Target="https://www.amazon.com/dp/B0GW7H7RHY" TargetMode="External" Id="rId56"/><Relationship Type="http://schemas.openxmlformats.org/officeDocument/2006/relationships/hyperlink" Target="https://www.amazon.com/dp/B0CZRJY68B" TargetMode="External" Id="rId57"/><Relationship Type="http://schemas.openxmlformats.org/officeDocument/2006/relationships/hyperlink" Target="https://www.amazon.com/dp/B0DM214YG3" TargetMode="External" Id="rId58"/><Relationship Type="http://schemas.openxmlformats.org/officeDocument/2006/relationships/hyperlink" Target="https://www.amazon.com/dp/B0GMGSMLQ1" TargetMode="External" Id="rId59"/><Relationship Type="http://schemas.openxmlformats.org/officeDocument/2006/relationships/hyperlink" Target="https://www.amazon.com/dp/B09PYB9C45" TargetMode="External" Id="rId60"/><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https://www.amazon.com/dp/B0CZQ52MTQ" TargetMode="External" Id="rId1"/><Relationship Type="http://schemas.openxmlformats.org/officeDocument/2006/relationships/hyperlink" Target="https://www.amazon.com/dp/B07DZTQ4JC" TargetMode="External" Id="rId2"/><Relationship Type="http://schemas.openxmlformats.org/officeDocument/2006/relationships/hyperlink" Target="https://www.amazon.com/dp/B0G5N99X9R" TargetMode="External" Id="rId3"/><Relationship Type="http://schemas.openxmlformats.org/officeDocument/2006/relationships/hyperlink" Target="https://www.amazon.com/dp/B01N9L2O9P" TargetMode="External" Id="rId4"/><Relationship Type="http://schemas.openxmlformats.org/officeDocument/2006/relationships/hyperlink" Target="https://www.amazon.com/dp/B0FT7L9RSX" TargetMode="External" Id="rId5"/><Relationship Type="http://schemas.openxmlformats.org/officeDocument/2006/relationships/hyperlink" Target="https://www.amazon.com/dp/B0FT7LZ2CD" TargetMode="External" Id="rId6"/><Relationship Type="http://schemas.openxmlformats.org/officeDocument/2006/relationships/hyperlink" Target="https://www.amazon.com/dp/B07K6SYX8L" TargetMode="External" Id="rId7"/><Relationship Type="http://schemas.openxmlformats.org/officeDocument/2006/relationships/hyperlink" Target="https://www.amazon.com/dp/B0DR99Q37Y" TargetMode="External" Id="rId8"/><Relationship Type="http://schemas.openxmlformats.org/officeDocument/2006/relationships/hyperlink" Target="https://www.amazon.com/dp/B0FB8XS4D1" TargetMode="External" Id="rId9"/><Relationship Type="http://schemas.openxmlformats.org/officeDocument/2006/relationships/hyperlink" Target="https://www.amazon.com/dp/B0FB8XR43Q" TargetMode="External" Id="rId10"/><Relationship Type="http://schemas.openxmlformats.org/officeDocument/2006/relationships/hyperlink" Target="https://www.amazon.com/dp/B0F4852T9V" TargetMode="External" Id="rId11"/><Relationship Type="http://schemas.openxmlformats.org/officeDocument/2006/relationships/hyperlink" Target="https://www.amazon.com/dp/B0F4873G4H" TargetMode="External" Id="rId12"/><Relationship Type="http://schemas.openxmlformats.org/officeDocument/2006/relationships/hyperlink" Target="https://www.amazon.com/dp/B0H29V113N" TargetMode="External" Id="rId13"/><Relationship Type="http://schemas.openxmlformats.org/officeDocument/2006/relationships/hyperlink" Target="https://www.amazon.com/dp/B08L86VLZB" TargetMode="External" Id="rId14"/><Relationship Type="http://schemas.openxmlformats.org/officeDocument/2006/relationships/hyperlink" Target="https://www.amazon.com/dp/B0HC778XB4" TargetMode="External" Id="rId15"/><Relationship Type="http://schemas.openxmlformats.org/officeDocument/2006/relationships/hyperlink" Target="https://www.amazon.com/dp/B07XFP6BY2" TargetMode="External" Id="rId16"/><Relationship Type="http://schemas.openxmlformats.org/officeDocument/2006/relationships/hyperlink" Target="https://www.amazon.com/dp/B0F29FQLFD" TargetMode="External" Id="rId17"/><Relationship Type="http://schemas.openxmlformats.org/officeDocument/2006/relationships/hyperlink" Target="https://www.amazon.com/dp/B0F29F1JM5" TargetMode="External" Id="rId18"/><Relationship Type="http://schemas.openxmlformats.org/officeDocument/2006/relationships/hyperlink" Target="https://www.amazon.com/dp/B0DCZGYVZ9" TargetMode="External" Id="rId19"/><Relationship Type="http://schemas.openxmlformats.org/officeDocument/2006/relationships/hyperlink" Target="https://www.amazon.com/dp/B0F24TRXCZ" TargetMode="External" Id="rId20"/><Relationship Type="http://schemas.openxmlformats.org/officeDocument/2006/relationships/hyperlink" Target="https://www.amazon.com/dp/B0GX135KCN" TargetMode="External" Id="rId21"/><Relationship Type="http://schemas.openxmlformats.org/officeDocument/2006/relationships/hyperlink" Target="https://www.amazon.com/dp/B0GX15Y7TT" TargetMode="External" Id="rId22"/><Relationship Type="http://schemas.openxmlformats.org/officeDocument/2006/relationships/hyperlink" Target="https://www.amazon.com/dp/B0F89K7BXJ" TargetMode="External" Id="rId23"/><Relationship Type="http://schemas.openxmlformats.org/officeDocument/2006/relationships/hyperlink" Target="https://www.amazon.com/dp/B0DJV1K332" TargetMode="External" Id="rId24"/><Relationship Type="http://schemas.openxmlformats.org/officeDocument/2006/relationships/hyperlink" Target="https://www.amazon.com/dp/B0DSQ9V4ML" TargetMode="External" Id="rId25"/><Relationship Type="http://schemas.openxmlformats.org/officeDocument/2006/relationships/hyperlink" Target="https://www.amazon.com/dp/B0F22JR4S8" TargetMode="External" Id="rId26"/><Relationship Type="http://schemas.openxmlformats.org/officeDocument/2006/relationships/hyperlink" Target="https://www.amazon.com/dp/B0DVZFLVMG" TargetMode="External" Id="rId27"/><Relationship Type="http://schemas.openxmlformats.org/officeDocument/2006/relationships/hyperlink" Target="https://www.amazon.com/dp/B0CF2MND41" TargetMode="External" Id="rId28"/><Relationship Type="http://schemas.openxmlformats.org/officeDocument/2006/relationships/hyperlink" Target="https://www.amazon.com/dp/B0DM3GDCTR" TargetMode="External" Id="rId29"/><Relationship Type="http://schemas.openxmlformats.org/officeDocument/2006/relationships/hyperlink" Target="https://www.amazon.com/dp/B0D3XQM7DL" TargetMode="External" Id="rId30"/><Relationship Type="http://schemas.openxmlformats.org/officeDocument/2006/relationships/hyperlink" Target="https://www.amazon.com/dp/B0HK5V5KL1" TargetMode="External" Id="rId31"/><Relationship Type="http://schemas.openxmlformats.org/officeDocument/2006/relationships/hyperlink" Target="https://www.amazon.com/dp/B09PYKYCCF" TargetMode="External" Id="rId32"/><Relationship Type="http://schemas.openxmlformats.org/officeDocument/2006/relationships/hyperlink" Target="https://www.amazon.com/dp/B0CZHCZQZ3" TargetMode="External" Id="rId33"/><Relationship Type="http://schemas.openxmlformats.org/officeDocument/2006/relationships/hyperlink" Target="https://www.amazon.com/dp/B09TQ6ZVKZ" TargetMode="External" Id="rId34"/><Relationship Type="http://schemas.openxmlformats.org/officeDocument/2006/relationships/hyperlink" Target="https://www.amazon.com/dp/B0DTY15N29" TargetMode="External" Id="rId35"/><Relationship Type="http://schemas.openxmlformats.org/officeDocument/2006/relationships/hyperlink" Target="https://www.amazon.com/dp/B0DSZTLBV1" TargetMode="External" Id="rId36"/><Relationship Type="http://schemas.openxmlformats.org/officeDocument/2006/relationships/hyperlink" Target="https://www.amazon.com/dp/B0D4KS4MVX" TargetMode="External" Id="rId37"/><Relationship Type="http://schemas.openxmlformats.org/officeDocument/2006/relationships/hyperlink" Target="https://www.amazon.com/dp/B0CHN5ZPFH" TargetMode="External" Id="rId38"/><Relationship Type="http://schemas.openxmlformats.org/officeDocument/2006/relationships/hyperlink" Target="https://www.amazon.com/dp/B0D1HWHDL2" TargetMode="External" Id="rId39"/><Relationship Type="http://schemas.openxmlformats.org/officeDocument/2006/relationships/hyperlink" Target="https://www.amazon.com/dp/B0CH7N9WVC" TargetMode="External" Id="rId40"/><Relationship Type="http://schemas.openxmlformats.org/officeDocument/2006/relationships/hyperlink" Target="https://www.amazon.com/dp/B0HJVD7X1R" TargetMode="External" Id="rId41"/><Relationship Type="http://schemas.openxmlformats.org/officeDocument/2006/relationships/hyperlink" Target="https://www.amazon.com/dp/B0F2TBWTZR" TargetMode="External" Id="rId42"/><Relationship Type="http://schemas.openxmlformats.org/officeDocument/2006/relationships/hyperlink" Target="https://www.amazon.com/dp/B0DLF1SWJ5" TargetMode="External" Id="rId43"/><Relationship Type="http://schemas.openxmlformats.org/officeDocument/2006/relationships/hyperlink" Target="https://www.amazon.com/dp/B07TBHLZJM" TargetMode="External" Id="rId44"/><Relationship Type="http://schemas.openxmlformats.org/officeDocument/2006/relationships/hyperlink" Target="https://www.amazon.com/dp/B0F9FK3L6J" TargetMode="External" Id="rId45"/><Relationship Type="http://schemas.openxmlformats.org/officeDocument/2006/relationships/hyperlink" Target="https://www.amazon.com/dp/B0F9FK7SMW" TargetMode="External" Id="rId46"/><Relationship Type="http://schemas.openxmlformats.org/officeDocument/2006/relationships/hyperlink" Target="https://www.amazon.com/dp/B0DYT2QWLC" TargetMode="External" Id="rId47"/><Relationship Type="http://schemas.openxmlformats.org/officeDocument/2006/relationships/hyperlink" Target="https://www.amazon.com/dp/B0DYT2QWLC" TargetMode="External" Id="rId48"/><Relationship Type="http://schemas.openxmlformats.org/officeDocument/2006/relationships/hyperlink" Target="https://www.amazon.com/dp/B0GVP3B7LS" TargetMode="External" Id="rId49"/><Relationship Type="http://schemas.openxmlformats.org/officeDocument/2006/relationships/hyperlink" Target="https://www.amazon.com/dp/B0GVP3B7LS" TargetMode="External" Id="rId50"/><Relationship Type="http://schemas.openxmlformats.org/officeDocument/2006/relationships/hyperlink" Target="https://www.amazon.com/dp/B0GW7H7RHY" TargetMode="External" Id="rId51"/><Relationship Type="http://schemas.openxmlformats.org/officeDocument/2006/relationships/hyperlink" Target="https://www.amazon.com/dp/B0GW7H7RHY" TargetMode="External" Id="rId52"/><Relationship Type="http://schemas.openxmlformats.org/officeDocument/2006/relationships/hyperlink" Target="https://www.amazon.com/dp/B0CZRJY68B" TargetMode="External" Id="rId53"/><Relationship Type="http://schemas.openxmlformats.org/officeDocument/2006/relationships/hyperlink" Target="https://www.amazon.com/dp/B0DM214YG3" TargetMode="External" Id="rId54"/><Relationship Type="http://schemas.openxmlformats.org/officeDocument/2006/relationships/hyperlink" Target="https://www.amazon.com/dp/B0GMGSMLQ1" TargetMode="External" Id="rId55"/><Relationship Type="http://schemas.openxmlformats.org/officeDocument/2006/relationships/hyperlink" Target="https://www.amazon.com/dp/B09PYB9C45" TargetMode="External" Id="rId56"/><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amazon.com/dp/B0HDZG2ZQG" TargetMode="External" Id="rId1"/><Relationship Type="http://schemas.openxmlformats.org/officeDocument/2006/relationships/hyperlink" Target="https://www.amazon.com/dp/B0B6P8YLQ7" TargetMode="External" Id="rId2"/><Relationship Type="http://schemas.openxmlformats.org/officeDocument/2006/relationships/hyperlink" Target="https://www.amazon.com/dp/B0CXPDKH51" TargetMode="External" Id="rId3"/><Relationship Type="http://schemas.openxmlformats.org/officeDocument/2006/relationships/hyperlink" Target="https://www.amazon.com/dp/B0CXPKK5DD" TargetMode="External" Id="rId4"/><Relationship Type="http://schemas.openxmlformats.org/officeDocument/2006/relationships/hyperlink" Target="https://www.amazon.com/dp/B0FW3SSM8K" TargetMode="External" Id="rId5"/><Relationship Type="http://schemas.openxmlformats.org/officeDocument/2006/relationships/hyperlink" Target="https://www.amazon.com/dp/B0FW38KM4S" TargetMode="External" Id="rId6"/><Relationship Type="http://schemas.openxmlformats.org/officeDocument/2006/relationships/hyperlink" Target="https://www.amazon.com/dp/B0FP7WBFNJ" TargetMode="External" Id="rId7"/><Relationship Type="http://schemas.openxmlformats.org/officeDocument/2006/relationships/hyperlink" Target="https://www.amazon.com/dp/B0CZXZCTJP" TargetMode="External" Id="rId8"/><Relationship Type="http://schemas.openxmlformats.org/officeDocument/2006/relationships/hyperlink" Target="https://www.amazon.com/dp/B0C14HFDS1" TargetMode="External" Id="rId9"/><Relationship Type="http://schemas.openxmlformats.org/officeDocument/2006/relationships/hyperlink" Target="https://www.amazon.com/dp/B0D4Y6RKLL" TargetMode="External" Id="rId10"/><Relationship Type="http://schemas.openxmlformats.org/officeDocument/2006/relationships/hyperlink" Target="https://www.amazon.com/dp/B0DT14Y4VJ" TargetMode="External" Id="rId11"/><Relationship Type="http://schemas.openxmlformats.org/officeDocument/2006/relationships/hyperlink" Target="https://www.amazon.com/dp/B0DMNMPVJP" TargetMode="External" Id="rId12"/><Relationship Type="http://schemas.openxmlformats.org/officeDocument/2006/relationships/hyperlink" Target="https://www.amazon.com/dp/B0CZQ52MTQ" TargetMode="External" Id="rId13"/><Relationship Type="http://schemas.openxmlformats.org/officeDocument/2006/relationships/hyperlink" Target="https://www.amazon.com/dp/B07DZTQ4JC" TargetMode="External" Id="rId14"/><Relationship Type="http://schemas.openxmlformats.org/officeDocument/2006/relationships/hyperlink" Target="https://www.amazon.com/dp/B07K6SYX8L" TargetMode="External" Id="rId15"/><Relationship Type="http://schemas.openxmlformats.org/officeDocument/2006/relationships/hyperlink" Target="https://www.amazon.com/dp/B0DR99Q37Y" TargetMode="External" Id="rId16"/><Relationship Type="http://schemas.openxmlformats.org/officeDocument/2006/relationships/hyperlink" Target="https://www.amazon.com/dp/B0FB8XS4D1" TargetMode="External" Id="rId17"/><Relationship Type="http://schemas.openxmlformats.org/officeDocument/2006/relationships/hyperlink" Target="https://www.amazon.com/dp/B0FB8XR43Q" TargetMode="External" Id="rId18"/><Relationship Type="http://schemas.openxmlformats.org/officeDocument/2006/relationships/hyperlink" Target="https://www.amazon.com/dp/B0F4852T9V" TargetMode="External" Id="rId19"/><Relationship Type="http://schemas.openxmlformats.org/officeDocument/2006/relationships/hyperlink" Target="https://www.amazon.com/dp/B0F4873G4H" TargetMode="External" Id="rId20"/><Relationship Type="http://schemas.openxmlformats.org/officeDocument/2006/relationships/hyperlink" Target="https://www.amazon.com/dp/B0H29V113N" TargetMode="External" Id="rId21"/><Relationship Type="http://schemas.openxmlformats.org/officeDocument/2006/relationships/hyperlink" Target="https://www.amazon.com/dp/B08L86VLZB" TargetMode="External" Id="rId22"/><Relationship Type="http://schemas.openxmlformats.org/officeDocument/2006/relationships/hyperlink" Target="https://www.amazon.com/dp/B0DCZGYVZ9" TargetMode="External" Id="rId23"/><Relationship Type="http://schemas.openxmlformats.org/officeDocument/2006/relationships/hyperlink" Target="https://www.amazon.com/dp/B0F24TRXCZ" TargetMode="External" Id="rId24"/><Relationship Type="http://schemas.openxmlformats.org/officeDocument/2006/relationships/hyperlink" Target="https://www.amazon.com/dp/B0D4KS4MVX" TargetMode="External" Id="rId25"/><Relationship Type="http://schemas.openxmlformats.org/officeDocument/2006/relationships/hyperlink" Target="https://www.amazon.com/dp/B0CHN5ZPFH" TargetMode="External" Id="rId26"/><Relationship Type="http://schemas.openxmlformats.org/officeDocument/2006/relationships/hyperlink" Target="https://www.amazon.com/dp/B0BZ8T5BJ6" TargetMode="External" Id="rId27"/><Relationship Type="http://schemas.openxmlformats.org/officeDocument/2006/relationships/hyperlink" Target="https://www.amazon.com/dp/B07YK8VTJV" TargetMode="External" Id="rId28"/><Relationship Type="http://schemas.openxmlformats.org/officeDocument/2006/relationships/hyperlink" Target="https://www.amazon.com/dp/B0HC778XB4" TargetMode="External" Id="rId29"/><Relationship Type="http://schemas.openxmlformats.org/officeDocument/2006/relationships/hyperlink" Target="https://www.amazon.com/dp/B07XFP6BY2" TargetMode="External" Id="rId30"/><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hyperlink" Target="https://www.amazon.com/dp/B0DCZYVLFC" TargetMode="External" Id="rId1"/><Relationship Type="http://schemas.openxmlformats.org/officeDocument/2006/relationships/hyperlink" Target="https://www.amazon.com/dp/B07JP2L1TG" TargetMode="External" Id="rId2"/><Relationship Type="http://schemas.openxmlformats.org/officeDocument/2006/relationships/hyperlink" Target="https://www.amazon.com/dp/B0BZ8RQ9RQ" TargetMode="External" Id="rId3"/><Relationship Type="http://schemas.openxmlformats.org/officeDocument/2006/relationships/hyperlink" Target="https://www.amazon.com/dp/B08GWQY7B3" TargetMode="External" Id="rId4"/><Relationship Type="http://schemas.openxmlformats.org/officeDocument/2006/relationships/hyperlink" Target="https://www.amazon.com/dp/B09BKQK7RZ" TargetMode="External" Id="rId5"/><Relationship Type="http://schemas.openxmlformats.org/officeDocument/2006/relationships/hyperlink" Target="https://www.amazon.com/dp/B09BL2SMVG" TargetMode="External" Id="rId6"/><Relationship Type="http://schemas.openxmlformats.org/officeDocument/2006/relationships/hyperlink" Target="https://www.amazon.com/dp/B0DD7BMGZ7" TargetMode="External" Id="rId7"/><Relationship Type="http://schemas.openxmlformats.org/officeDocument/2006/relationships/hyperlink" Target="https://www.amazon.com/dp/B0CRR369GQ" TargetMode="External" Id="rId8"/><Relationship Type="http://schemas.openxmlformats.org/officeDocument/2006/relationships/hyperlink" Target="https://www.amazon.com/dp/B0HGLD1P8V" TargetMode="External" Id="rId9"/><Relationship Type="http://schemas.openxmlformats.org/officeDocument/2006/relationships/hyperlink" Target="https://www.amazon.com/dp/B0CQK3KHHH" TargetMode="External" Id="rId10"/><Relationship Type="http://schemas.openxmlformats.org/officeDocument/2006/relationships/hyperlink" Target="https://www.amazon.com/dp/B0CZFCD9CJ" TargetMode="External" Id="rId11"/><Relationship Type="http://schemas.openxmlformats.org/officeDocument/2006/relationships/hyperlink" Target="https://www.amazon.com/dp/B0C2BNK3JD" TargetMode="External" Id="rId12"/><Relationship Type="http://schemas.openxmlformats.org/officeDocument/2006/relationships/drawing" Target="/xl/drawings/drawing4.xml" Id="rId13"/><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hyperlink" Target="https://www.amazon.com/dp/B0FNMNMZ9T" TargetMode="External" Id="rId1"/><Relationship Type="http://schemas.openxmlformats.org/officeDocument/2006/relationships/hyperlink" Target="https://www.amazon.com/dp/B0CSFTRP2X" TargetMode="External" Id="rId2"/><Relationship Type="http://schemas.openxmlformats.org/officeDocument/2006/relationships/hyperlink" Target="https://www.amazon.com/dp/B08DHTB63X" TargetMode="External" Id="rId3"/><Relationship Type="http://schemas.openxmlformats.org/officeDocument/2006/relationships/hyperlink" Target="https://www.amazon.com/dp/B0BNMC5G8R" TargetMode="External" Id="rId4"/><Relationship Type="http://schemas.openxmlformats.org/officeDocument/2006/relationships/hyperlink" Target="https://www.amazon.com/dp/B08NQ3W7PG" TargetMode="External" Id="rId5"/><Relationship Type="http://schemas.openxmlformats.org/officeDocument/2006/relationships/hyperlink" Target="https://www.amazon.com/dp/B08HM6WT6X" TargetMode="External" Id="rId6"/><Relationship Type="http://schemas.openxmlformats.org/officeDocument/2006/relationships/hyperlink" Target="https://www.amazon.com/dp/B0D9B18P6N" TargetMode="External" Id="rId7"/><Relationship Type="http://schemas.openxmlformats.org/officeDocument/2006/relationships/hyperlink" Target="https://www.amazon.com/dp/B0D9BD63QH" TargetMode="External" Id="rId8"/><Relationship Type="http://schemas.openxmlformats.org/officeDocument/2006/relationships/hyperlink" Target="https://www.amazon.com/dp/B0FMPQYB2J" TargetMode="External" Id="rId9"/><Relationship Type="http://schemas.openxmlformats.org/officeDocument/2006/relationships/hyperlink" Target="https://www.amazon.com/dp/B083G81VSH" TargetMode="External" Id="rId10"/><Relationship Type="http://schemas.openxmlformats.org/officeDocument/2006/relationships/hyperlink" Target="https://www.amazon.com/dp/B0DD37S32L" TargetMode="External" Id="rId11"/><Relationship Type="http://schemas.openxmlformats.org/officeDocument/2006/relationships/hyperlink" Target="https://www.amazon.com/dp/B08JP9DG5Z" TargetMode="External" Id="rId12"/><Relationship Type="http://schemas.openxmlformats.org/officeDocument/2006/relationships/hyperlink" Target="https://www.amazon.com/dp/B0B4MQCT87" TargetMode="External" Id="rId13"/><Relationship Type="http://schemas.openxmlformats.org/officeDocument/2006/relationships/hyperlink" Target="https://www.amazon.com/dp/B0B4MQ1PP1" TargetMode="External" Id="rId14"/><Relationship Type="http://schemas.openxmlformats.org/officeDocument/2006/relationships/hyperlink" Target="https://www.amazon.com/dp/B0C9T1VY8J" TargetMode="External" Id="rId15"/><Relationship Type="http://schemas.openxmlformats.org/officeDocument/2006/relationships/hyperlink" Target="https://www.amazon.com/dp/B0C1GJZB6F" TargetMode="External" Id="rId16"/><Relationship Type="http://schemas.openxmlformats.org/officeDocument/2006/relationships/hyperlink" Target="https://www.amazon.com/dp/B0DYJKM99H" TargetMode="External" Id="rId17"/><Relationship Type="http://schemas.openxmlformats.org/officeDocument/2006/relationships/hyperlink" Target="https://www.amazon.com/dp/B0DYJHHJQL" TargetMode="External" Id="rId18"/><Relationship Type="http://schemas.openxmlformats.org/officeDocument/2006/relationships/hyperlink" Target="https://www.amazon.com/dp/B0DBVYL693" TargetMode="External" Id="rId19"/><Relationship Type="http://schemas.openxmlformats.org/officeDocument/2006/relationships/hyperlink" Target="https://www.amazon.com/dp/B0DCC78S4N" TargetMode="External" Id="rId20"/><Relationship Type="http://schemas.openxmlformats.org/officeDocument/2006/relationships/hyperlink" Target="https://www.amazon.com/dp/B07XBR22W1" TargetMode="External" Id="rId21"/><Relationship Type="http://schemas.openxmlformats.org/officeDocument/2006/relationships/hyperlink" Target="https://www.amazon.com/dp/B0B5Z2B9NN" TargetMode="External" Id="rId22"/><Relationship Type="http://schemas.openxmlformats.org/officeDocument/2006/relationships/hyperlink" Target="https://www.amazon.com/dp/B09YQW7HBK" TargetMode="External" Id="rId23"/><Relationship Type="http://schemas.openxmlformats.org/officeDocument/2006/relationships/hyperlink" Target="https://www.amazon.com/dp/B09S5RNLN9" TargetMode="External" Id="rId24"/><Relationship Type="http://schemas.openxmlformats.org/officeDocument/2006/relationships/hyperlink" Target="https://www.amazon.com/dp/B096P2MYZQ" TargetMode="External" Id="rId25"/><Relationship Type="http://schemas.openxmlformats.org/officeDocument/2006/relationships/hyperlink" Target="https://www.amazon.com/dp/B08QMF6D5W" TargetMode="External" Id="rId26"/><Relationship Type="http://schemas.openxmlformats.org/officeDocument/2006/relationships/hyperlink" Target="https://www.amazon.com/dp/B0BJZT93SL" TargetMode="External" Id="rId27"/><Relationship Type="http://schemas.openxmlformats.org/officeDocument/2006/relationships/hyperlink" Target="https://www.amazon.com/dp/B09V52BVJB" TargetMode="External" Id="rId28"/><Relationship Type="http://schemas.openxmlformats.org/officeDocument/2006/relationships/hyperlink" Target="https://www.amazon.com/dp/B07H522QXD" TargetMode="External" Id="rId29"/><Relationship Type="http://schemas.openxmlformats.org/officeDocument/2006/relationships/hyperlink" Target="https://www.amazon.com/dp/B07FGFRZ94" TargetMode="External" Id="rId30"/><Relationship Type="http://schemas.openxmlformats.org/officeDocument/2006/relationships/hyperlink" Target="https://www.amazon.com/dp/B08RHZ9TMQ" TargetMode="External" Id="rId31"/><Relationship Type="http://schemas.openxmlformats.org/officeDocument/2006/relationships/hyperlink" Target="https://www.amazon.com/dp/B08JKWGXZ9" TargetMode="External" Id="rId32"/><Relationship Type="http://schemas.openxmlformats.org/officeDocument/2006/relationships/hyperlink" Target="https://www.amazon.com/dp/B08CQKS3KP" TargetMode="External" Id="rId33"/><Relationship Type="http://schemas.openxmlformats.org/officeDocument/2006/relationships/hyperlink" Target="https://www.amazon.com/dp/B08P16XLP2" TargetMode="External" Id="rId34"/><Relationship Type="http://schemas.openxmlformats.org/officeDocument/2006/relationships/hyperlink" Target="https://www.amazon.com/dp/B0DC3MX1DP" TargetMode="External" Id="rId35"/><Relationship Type="http://schemas.openxmlformats.org/officeDocument/2006/relationships/hyperlink" Target="https://www.amazon.com/dp/B082B5CY3D" TargetMode="External" Id="rId36"/><Relationship Type="http://schemas.openxmlformats.org/officeDocument/2006/relationships/hyperlink" Target="https://www.amazon.com/dp/B099PPQ7T3" TargetMode="External" Id="rId37"/><Relationship Type="http://schemas.openxmlformats.org/officeDocument/2006/relationships/hyperlink" Target="https://www.amazon.com/dp/B087CSRQQ4" TargetMode="External" Id="rId38"/><Relationship Type="http://schemas.openxmlformats.org/officeDocument/2006/relationships/hyperlink" Target="https://www.amazon.com/dp/B0DLGX8P9D" TargetMode="External" Id="rId39"/><Relationship Type="http://schemas.openxmlformats.org/officeDocument/2006/relationships/hyperlink" Target="https://www.amazon.com/dp/B07X49LFDC" TargetMode="External" Id="rId40"/><Relationship Type="http://schemas.openxmlformats.org/officeDocument/2006/relationships/hyperlink" Target="https://www.amazon.com/dp/B0DCZYNBYS" TargetMode="External" Id="rId41"/><Relationship Type="http://schemas.openxmlformats.org/officeDocument/2006/relationships/hyperlink" Target="https://www.amazon.com/dp/B0CJ8RYNTS" TargetMode="External" Id="rId42"/><Relationship Type="http://schemas.openxmlformats.org/officeDocument/2006/relationships/hyperlink" Target="https://www.amazon.com/dp/B0B1Q2JG5X" TargetMode="External" Id="rId43"/><Relationship Type="http://schemas.openxmlformats.org/officeDocument/2006/relationships/hyperlink" Target="https://www.amazon.com/dp/B09G17SQXF" TargetMode="External" Id="rId44"/><Relationship Type="http://schemas.openxmlformats.org/officeDocument/2006/relationships/hyperlink" Target="https://www.amazon.com/dp/B0BDDJM9RW" TargetMode="External" Id="rId45"/><Relationship Type="http://schemas.openxmlformats.org/officeDocument/2006/relationships/hyperlink" Target="https://www.amazon.com/dp/B0BDDGJ38X" TargetMode="External" Id="rId46"/><Relationship Type="http://schemas.openxmlformats.org/officeDocument/2006/relationships/hyperlink" Target="https://www.amazon.com/dp/B0DJ2HJ9M4" TargetMode="External" Id="rId47"/><Relationship Type="http://schemas.openxmlformats.org/officeDocument/2006/relationships/hyperlink" Target="https://www.amazon.com/dp/B09HVCPNLX" TargetMode="External" Id="rId48"/><Relationship Type="http://schemas.openxmlformats.org/officeDocument/2006/relationships/hyperlink" Target="https://www.amazon.com/dp/B0FB47M9WR" TargetMode="External" Id="rId49"/><Relationship Type="http://schemas.openxmlformats.org/officeDocument/2006/relationships/hyperlink" Target="https://www.amazon.com/dp/B0BK1WH383" TargetMode="External" Id="rId50"/><Relationship Type="http://schemas.openxmlformats.org/officeDocument/2006/relationships/hyperlink" Target="https://www.amazon.com/dp/B0F2H9HX69" TargetMode="External" Id="rId51"/><Relationship Type="http://schemas.openxmlformats.org/officeDocument/2006/relationships/hyperlink" Target="https://www.amazon.com/dp/B0F2H8LPB3" TargetMode="External" Id="rId52"/><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hyperlink" Target="https://www.amazon.com/dp/B0FNMNMZ9T" TargetMode="External" Id="rId1"/><Relationship Type="http://schemas.openxmlformats.org/officeDocument/2006/relationships/hyperlink" Target="https://www.amazon.com/dp/B0CSFTRP2X" TargetMode="External" Id="rId2"/><Relationship Type="http://schemas.openxmlformats.org/officeDocument/2006/relationships/hyperlink" Target="https://www.amazon.com/dp/B08DHTB63X" TargetMode="External" Id="rId3"/><Relationship Type="http://schemas.openxmlformats.org/officeDocument/2006/relationships/hyperlink" Target="https://www.amazon.com/dp/B0BNMC5G8R" TargetMode="External" Id="rId4"/><Relationship Type="http://schemas.openxmlformats.org/officeDocument/2006/relationships/hyperlink" Target="https://www.amazon.com/dp/B08NQ3W7PG" TargetMode="External" Id="rId5"/><Relationship Type="http://schemas.openxmlformats.org/officeDocument/2006/relationships/hyperlink" Target="https://www.amazon.com/dp/B08HM6WT6X" TargetMode="External" Id="rId6"/><Relationship Type="http://schemas.openxmlformats.org/officeDocument/2006/relationships/hyperlink" Target="https://www.amazon.com/dp/B0FMPQYB2J" TargetMode="External" Id="rId7"/><Relationship Type="http://schemas.openxmlformats.org/officeDocument/2006/relationships/hyperlink" Target="https://www.amazon.com/dp/B083G81VSH" TargetMode="External" Id="rId8"/><Relationship Type="http://schemas.openxmlformats.org/officeDocument/2006/relationships/hyperlink" Target="https://www.amazon.com/dp/B0D9B18P6N" TargetMode="External" Id="rId9"/><Relationship Type="http://schemas.openxmlformats.org/officeDocument/2006/relationships/hyperlink" Target="https://www.amazon.com/dp/B0D9BD63QH" TargetMode="External" Id="rId10"/><Relationship Type="http://schemas.openxmlformats.org/officeDocument/2006/relationships/hyperlink" Target="https://www.amazon.com/dp/B096P2MYZQ" TargetMode="External" Id="rId11"/><Relationship Type="http://schemas.openxmlformats.org/officeDocument/2006/relationships/hyperlink" Target="https://www.amazon.com/dp/B08QMF6D5W" TargetMode="External" Id="rId12"/><Relationship Type="http://schemas.openxmlformats.org/officeDocument/2006/relationships/hyperlink" Target="https://www.amazon.com/dp/B0DD37S32L" TargetMode="External" Id="rId13"/><Relationship Type="http://schemas.openxmlformats.org/officeDocument/2006/relationships/hyperlink" Target="https://www.amazon.com/dp/B08JP9DG5Z" TargetMode="External" Id="rId14"/><Relationship Type="http://schemas.openxmlformats.org/officeDocument/2006/relationships/hyperlink" Target="https://www.amazon.com/dp/B0B4MQCT87" TargetMode="External" Id="rId15"/><Relationship Type="http://schemas.openxmlformats.org/officeDocument/2006/relationships/hyperlink" Target="https://www.amazon.com/dp/B0B4MQ1PP1" TargetMode="External" Id="rId16"/><Relationship Type="http://schemas.openxmlformats.org/officeDocument/2006/relationships/hyperlink" Target="https://www.amazon.com/dp/B0C9T1VY8J" TargetMode="External" Id="rId17"/><Relationship Type="http://schemas.openxmlformats.org/officeDocument/2006/relationships/hyperlink" Target="https://www.amazon.com/dp/B0C1GJZB6F" TargetMode="External" Id="rId18"/><Relationship Type="http://schemas.openxmlformats.org/officeDocument/2006/relationships/hyperlink" Target="https://www.amazon.com/dp/B0DYJKM99H" TargetMode="External" Id="rId19"/><Relationship Type="http://schemas.openxmlformats.org/officeDocument/2006/relationships/hyperlink" Target="https://www.amazon.com/dp/B0DYJHHJQL" TargetMode="External" Id="rId20"/><Relationship Type="http://schemas.openxmlformats.org/officeDocument/2006/relationships/hyperlink" Target="https://www.amazon.com/dp/B0BJZT93SL" TargetMode="External" Id="rId21"/><Relationship Type="http://schemas.openxmlformats.org/officeDocument/2006/relationships/hyperlink" Target="https://www.amazon.com/dp/B09V52BVJB" TargetMode="External" Id="rId22"/><Relationship Type="http://schemas.openxmlformats.org/officeDocument/2006/relationships/hyperlink" Target="https://www.amazon.com/dp/B0DBVYL693" TargetMode="External" Id="rId23"/><Relationship Type="http://schemas.openxmlformats.org/officeDocument/2006/relationships/hyperlink" Target="https://www.amazon.com/dp/B0DCC78S4N" TargetMode="External" Id="rId24"/><Relationship Type="http://schemas.openxmlformats.org/officeDocument/2006/relationships/hyperlink" Target="https://www.amazon.com/dp/B07H522QXD" TargetMode="External" Id="rId25"/><Relationship Type="http://schemas.openxmlformats.org/officeDocument/2006/relationships/hyperlink" Target="https://www.amazon.com/dp/B07FGFRZ94" TargetMode="External" Id="rId26"/><Relationship Type="http://schemas.openxmlformats.org/officeDocument/2006/relationships/hyperlink" Target="https://www.amazon.com/dp/B07XBR22W1" TargetMode="External" Id="rId27"/><Relationship Type="http://schemas.openxmlformats.org/officeDocument/2006/relationships/hyperlink" Target="https://www.amazon.com/dp/B0B5Z2B9NN" TargetMode="External" Id="rId28"/><Relationship Type="http://schemas.openxmlformats.org/officeDocument/2006/relationships/hyperlink" Target="https://www.amazon.com/dp/B09YQW7HBK" TargetMode="External" Id="rId29"/><Relationship Type="http://schemas.openxmlformats.org/officeDocument/2006/relationships/hyperlink" Target="https://www.amazon.com/dp/B09S5RNLN9" TargetMode="External" Id="rId30"/><Relationship Type="http://schemas.openxmlformats.org/officeDocument/2006/relationships/hyperlink" Target="https://www.amazon.com/dp/B08RHZ9TMQ" TargetMode="External" Id="rId31"/><Relationship Type="http://schemas.openxmlformats.org/officeDocument/2006/relationships/hyperlink" Target="https://www.amazon.com/dp/B08JKWGXZ9" TargetMode="External" Id="rId32"/><Relationship Type="http://schemas.openxmlformats.org/officeDocument/2006/relationships/hyperlink" Target="https://www.amazon.com/dp/B08CQKS3KP" TargetMode="External" Id="rId33"/><Relationship Type="http://schemas.openxmlformats.org/officeDocument/2006/relationships/hyperlink" Target="https://www.amazon.com/dp/B08P16XLP2" TargetMode="External" Id="rId34"/><Relationship Type="http://schemas.openxmlformats.org/officeDocument/2006/relationships/hyperlink" Target="https://www.amazon.com/dp/B0DC3MX1DP" TargetMode="External" Id="rId35"/><Relationship Type="http://schemas.openxmlformats.org/officeDocument/2006/relationships/hyperlink" Target="https://www.amazon.com/dp/B082B5CY3D" TargetMode="External" Id="rId36"/><Relationship Type="http://schemas.openxmlformats.org/officeDocument/2006/relationships/hyperlink" Target="https://www.amazon.com/dp/B0DCZYNBYS" TargetMode="External" Id="rId37"/><Relationship Type="http://schemas.openxmlformats.org/officeDocument/2006/relationships/hyperlink" Target="https://www.amazon.com/dp/B0CJ8RYNTS" TargetMode="External" Id="rId38"/><Relationship Type="http://schemas.openxmlformats.org/officeDocument/2006/relationships/hyperlink" Target="https://www.amazon.com/dp/B0B1Q2JG5X" TargetMode="External" Id="rId39"/><Relationship Type="http://schemas.openxmlformats.org/officeDocument/2006/relationships/hyperlink" Target="https://www.amazon.com/dp/B09G17SQXF" TargetMode="External" Id="rId40"/><Relationship Type="http://schemas.openxmlformats.org/officeDocument/2006/relationships/hyperlink" Target="https://www.amazon.com/dp/B099PPQ7T3" TargetMode="External" Id="rId41"/><Relationship Type="http://schemas.openxmlformats.org/officeDocument/2006/relationships/hyperlink" Target="https://www.amazon.com/dp/B087CSRQQ4" TargetMode="External" Id="rId42"/><Relationship Type="http://schemas.openxmlformats.org/officeDocument/2006/relationships/hyperlink" Target="https://www.amazon.com/dp/B0DJ2HJ9M4" TargetMode="External" Id="rId43"/><Relationship Type="http://schemas.openxmlformats.org/officeDocument/2006/relationships/hyperlink" Target="https://www.amazon.com/dp/B09HVCPNLX" TargetMode="External" Id="rId44"/><Relationship Type="http://schemas.openxmlformats.org/officeDocument/2006/relationships/hyperlink" Target="https://www.amazon.com/dp/B0DLGX8P9D" TargetMode="External" Id="rId45"/><Relationship Type="http://schemas.openxmlformats.org/officeDocument/2006/relationships/hyperlink" Target="https://www.amazon.com/dp/B07X49LFDC" TargetMode="External" Id="rId46"/><Relationship Type="http://schemas.openxmlformats.org/officeDocument/2006/relationships/hyperlink" Target="https://www.amazon.com/dp/B0BDDJM9RW" TargetMode="External" Id="rId47"/><Relationship Type="http://schemas.openxmlformats.org/officeDocument/2006/relationships/hyperlink" Target="https://www.amazon.com/dp/B0BDDGJ38X" TargetMode="External" Id="rId48"/><Relationship Type="http://schemas.openxmlformats.org/officeDocument/2006/relationships/hyperlink" Target="https://www.amazon.com/dp/B0FB47M9WR" TargetMode="External" Id="rId49"/><Relationship Type="http://schemas.openxmlformats.org/officeDocument/2006/relationships/hyperlink" Target="https://www.amazon.com/dp/B0BK1WH383" TargetMode="External" Id="rId50"/><Relationship Type="http://schemas.openxmlformats.org/officeDocument/2006/relationships/hyperlink" Target="https://www.amazon.com/dp/B0F2H9HX69" TargetMode="External" Id="rId51"/><Relationship Type="http://schemas.openxmlformats.org/officeDocument/2006/relationships/hyperlink" Target="https://www.amazon.com/dp/B0F2H8LPB3" TargetMode="External" Id="rId52"/><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hyperlink" Target="https://www.amazon.com/dp/B0FNMNMZ9T" TargetMode="External" Id="rId1"/><Relationship Type="http://schemas.openxmlformats.org/officeDocument/2006/relationships/hyperlink" Target="https://www.amazon.com/dp/B0CSFTRP2X" TargetMode="External" Id="rId2"/><Relationship Type="http://schemas.openxmlformats.org/officeDocument/2006/relationships/hyperlink" Target="https://www.amazon.com/dp/B08DHTB63X" TargetMode="External" Id="rId3"/><Relationship Type="http://schemas.openxmlformats.org/officeDocument/2006/relationships/hyperlink" Target="https://www.amazon.com/dp/B0BNMC5G8R" TargetMode="External" Id="rId4"/><Relationship Type="http://schemas.openxmlformats.org/officeDocument/2006/relationships/hyperlink" Target="https://www.amazon.com/dp/B08NQ3W7PG" TargetMode="External" Id="rId5"/><Relationship Type="http://schemas.openxmlformats.org/officeDocument/2006/relationships/hyperlink" Target="https://www.amazon.com/dp/B08HM6WT6X" TargetMode="External" Id="rId6"/><Relationship Type="http://schemas.openxmlformats.org/officeDocument/2006/relationships/hyperlink" Target="https://www.amazon.com/dp/B0FPCM7DL3" TargetMode="External" Id="rId7"/><Relationship Type="http://schemas.openxmlformats.org/officeDocument/2006/relationships/hyperlink" Target="https://www.amazon.com/dp/B0CSFV4FXW" TargetMode="External" Id="rId8"/><Relationship Type="http://schemas.openxmlformats.org/officeDocument/2006/relationships/hyperlink" Target="https://www.amazon.com/dp/B0DD37S32L" TargetMode="External" Id="rId9"/><Relationship Type="http://schemas.openxmlformats.org/officeDocument/2006/relationships/hyperlink" Target="https://www.amazon.com/dp/B08JP9DG5Z" TargetMode="External" Id="rId10"/><Relationship Type="http://schemas.openxmlformats.org/officeDocument/2006/relationships/hyperlink" Target="https://www.amazon.com/dp/B0DBVYL693" TargetMode="External" Id="rId11"/><Relationship Type="http://schemas.openxmlformats.org/officeDocument/2006/relationships/hyperlink" Target="https://www.amazon.com/dp/B0DCC78S4N" TargetMode="External" Id="rId12"/><Relationship Type="http://schemas.openxmlformats.org/officeDocument/2006/relationships/hyperlink" Target="https://www.amazon.com/dp/B07XBR22W1" TargetMode="External" Id="rId13"/><Relationship Type="http://schemas.openxmlformats.org/officeDocument/2006/relationships/hyperlink" Target="https://www.amazon.com/dp/B0B5Z2B9NN" TargetMode="External" Id="rId14"/><Relationship Type="http://schemas.openxmlformats.org/officeDocument/2006/relationships/hyperlink" Target="https://www.amazon.com/dp/B0D9B18P6N" TargetMode="External" Id="rId15"/><Relationship Type="http://schemas.openxmlformats.org/officeDocument/2006/relationships/hyperlink" Target="https://www.amazon.com/dp/B0D9BD63QH" TargetMode="External" Id="rId16"/><Relationship Type="http://schemas.openxmlformats.org/officeDocument/2006/relationships/hyperlink" Target="https://www.amazon.com/dp/B096P2MYZQ" TargetMode="External" Id="rId17"/><Relationship Type="http://schemas.openxmlformats.org/officeDocument/2006/relationships/hyperlink" Target="https://www.amazon.com/dp/B08QMF6D5W" TargetMode="External" Id="rId18"/><Relationship Type="http://schemas.openxmlformats.org/officeDocument/2006/relationships/hyperlink" Target="https://www.amazon.com/dp/B0FMPQYB2J" TargetMode="External" Id="rId19"/><Relationship Type="http://schemas.openxmlformats.org/officeDocument/2006/relationships/hyperlink" Target="https://www.amazon.com/dp/B083G81VSH" TargetMode="External" Id="rId20"/><Relationship Type="http://schemas.openxmlformats.org/officeDocument/2006/relationships/hyperlink" Target="https://www.amazon.com/dp/B0BWJ4PYLN" TargetMode="External" Id="rId21"/><Relationship Type="http://schemas.openxmlformats.org/officeDocument/2006/relationships/hyperlink" Target="https://www.amazon.com/dp/B0BWJ4MLLZ" TargetMode="External" Id="rId22"/><Relationship Type="http://schemas.openxmlformats.org/officeDocument/2006/relationships/hyperlink" Target="https://www.amazon.com/dp/B0B4MQCT87" TargetMode="External" Id="rId23"/><Relationship Type="http://schemas.openxmlformats.org/officeDocument/2006/relationships/hyperlink" Target="https://www.amazon.com/dp/B0B4MQ1PP1" TargetMode="External" Id="rId24"/><Relationship Type="http://schemas.openxmlformats.org/officeDocument/2006/relationships/hyperlink" Target="https://www.amazon.com/dp/B0C9T1VY8J" TargetMode="External" Id="rId25"/><Relationship Type="http://schemas.openxmlformats.org/officeDocument/2006/relationships/hyperlink" Target="https://www.amazon.com/dp/B0C1GJZB6F" TargetMode="External" Id="rId26"/><Relationship Type="http://schemas.openxmlformats.org/officeDocument/2006/relationships/hyperlink" Target="https://www.amazon.com/dp/B0DYJKM99H" TargetMode="External" Id="rId27"/><Relationship Type="http://schemas.openxmlformats.org/officeDocument/2006/relationships/hyperlink" Target="https://www.amazon.com/dp/B0DYJHHJQL" TargetMode="External" Id="rId28"/><Relationship Type="http://schemas.openxmlformats.org/officeDocument/2006/relationships/hyperlink" Target="https://www.amazon.com/dp/B0BJZT93SL" TargetMode="External" Id="rId29"/><Relationship Type="http://schemas.openxmlformats.org/officeDocument/2006/relationships/hyperlink" Target="https://www.amazon.com/dp/B09V52BVJB" TargetMode="External" Id="rId30"/><Relationship Type="http://schemas.openxmlformats.org/officeDocument/2006/relationships/hyperlink" Target="https://www.amazon.com/dp/B07H522QXD" TargetMode="External" Id="rId31"/><Relationship Type="http://schemas.openxmlformats.org/officeDocument/2006/relationships/hyperlink" Target="https://www.amazon.com/dp/B07FGFRZ94" TargetMode="External" Id="rId32"/><Relationship Type="http://schemas.openxmlformats.org/officeDocument/2006/relationships/hyperlink" Target="https://www.amazon.com/dp/B0F7XQDVJY" TargetMode="External" Id="rId33"/><Relationship Type="http://schemas.openxmlformats.org/officeDocument/2006/relationships/hyperlink" Target="https://www.amazon.com/dp/B0F7XRNKQY" TargetMode="External" Id="rId34"/><Relationship Type="http://schemas.openxmlformats.org/officeDocument/2006/relationships/hyperlink" Target="https://www.amazon.com/dp/B08RHZ9TMQ" TargetMode="External" Id="rId35"/><Relationship Type="http://schemas.openxmlformats.org/officeDocument/2006/relationships/hyperlink" Target="https://www.amazon.com/dp/B08JKWGXZ9" TargetMode="External" Id="rId36"/><Relationship Type="http://schemas.openxmlformats.org/officeDocument/2006/relationships/hyperlink" Target="https://www.amazon.com/dp/B09YQW7HBK" TargetMode="External" Id="rId37"/><Relationship Type="http://schemas.openxmlformats.org/officeDocument/2006/relationships/hyperlink" Target="https://www.amazon.com/dp/B09S5RNLN9" TargetMode="External" Id="rId38"/><Relationship Type="http://schemas.openxmlformats.org/officeDocument/2006/relationships/hyperlink" Target="https://www.amazon.com/dp/B08CQKS3KP" TargetMode="External" Id="rId39"/><Relationship Type="http://schemas.openxmlformats.org/officeDocument/2006/relationships/hyperlink" Target="https://www.amazon.com/dp/B08P16XLP2" TargetMode="External" Id="rId40"/><Relationship Type="http://schemas.openxmlformats.org/officeDocument/2006/relationships/hyperlink" Target="https://www.amazon.com/dp/B0DC3MX1DP" TargetMode="External" Id="rId41"/><Relationship Type="http://schemas.openxmlformats.org/officeDocument/2006/relationships/hyperlink" Target="https://www.amazon.com/dp/B082B5CY3D" TargetMode="External" Id="rId42"/><Relationship Type="http://schemas.openxmlformats.org/officeDocument/2006/relationships/hyperlink" Target="https://www.amazon.com/dp/B0DCZYNBYS" TargetMode="External" Id="rId43"/><Relationship Type="http://schemas.openxmlformats.org/officeDocument/2006/relationships/hyperlink" Target="https://www.amazon.com/dp/B0CJ8RYNTS" TargetMode="External" Id="rId44"/><Relationship Type="http://schemas.openxmlformats.org/officeDocument/2006/relationships/hyperlink" Target="https://www.amazon.com/dp/B0F2H9HX69" TargetMode="External" Id="rId45"/><Relationship Type="http://schemas.openxmlformats.org/officeDocument/2006/relationships/hyperlink" Target="https://www.amazon.com/dp/B0F2H8LPB3" TargetMode="External" Id="rId46"/><Relationship Type="http://schemas.openxmlformats.org/officeDocument/2006/relationships/hyperlink" Target="https://www.amazon.com/dp/B0DJ2HJ9M4" TargetMode="External" Id="rId47"/><Relationship Type="http://schemas.openxmlformats.org/officeDocument/2006/relationships/hyperlink" Target="https://www.amazon.com/dp/B09HVCPNLX" TargetMode="External" Id="rId48"/><Relationship Type="http://schemas.openxmlformats.org/officeDocument/2006/relationships/hyperlink" Target="https://www.amazon.com/dp/B0FB47M9WR" TargetMode="External" Id="rId49"/><Relationship Type="http://schemas.openxmlformats.org/officeDocument/2006/relationships/hyperlink" Target="https://www.amazon.com/dp/B0BK1WH383" TargetMode="External" Id="rId50"/><Relationship Type="http://schemas.openxmlformats.org/officeDocument/2006/relationships/hyperlink" Target="https://www.amazon.com/dp/B0B1Q2JG5X" TargetMode="External" Id="rId51"/><Relationship Type="http://schemas.openxmlformats.org/officeDocument/2006/relationships/hyperlink" Target="https://www.amazon.com/dp/B09G17SQXF" TargetMode="External" Id="rId52"/><Relationship Type="http://schemas.openxmlformats.org/officeDocument/2006/relationships/hyperlink" Target="https://www.amazon.com/dp/B099PPQ7T3" TargetMode="External" Id="rId53"/><Relationship Type="http://schemas.openxmlformats.org/officeDocument/2006/relationships/hyperlink" Target="https://www.amazon.com/dp/B087CSRQQ4" TargetMode="External" Id="rId54"/><Relationship Type="http://schemas.openxmlformats.org/officeDocument/2006/relationships/hyperlink" Target="https://www.amazon.com/dp/B0BDDJM9RW" TargetMode="External" Id="rId55"/><Relationship Type="http://schemas.openxmlformats.org/officeDocument/2006/relationships/hyperlink" Target="https://www.amazon.com/dp/B0BDDGJ38X" TargetMode="External" Id="rId56"/><Relationship Type="http://schemas.openxmlformats.org/officeDocument/2006/relationships/hyperlink" Target="https://www.amazon.com/dp/B0DLGX8P9D" TargetMode="External" Id="rId57"/><Relationship Type="http://schemas.openxmlformats.org/officeDocument/2006/relationships/hyperlink" Target="https://www.amazon.com/dp/B07X49LFDC" TargetMode="External" Id="rId58"/><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hyperlink" Target="https://www.amazon.com/dp/B0FNMNMZ9T" TargetMode="External" Id="rId1"/><Relationship Type="http://schemas.openxmlformats.org/officeDocument/2006/relationships/hyperlink" Target="https://www.amazon.com/dp/B0CSFTRP2X" TargetMode="External" Id="rId2"/><Relationship Type="http://schemas.openxmlformats.org/officeDocument/2006/relationships/hyperlink" Target="https://www.amazon.com/dp/B08DHTB63X" TargetMode="External" Id="rId3"/><Relationship Type="http://schemas.openxmlformats.org/officeDocument/2006/relationships/hyperlink" Target="https://www.amazon.com/dp/B0BNMC5G8R" TargetMode="External" Id="rId4"/><Relationship Type="http://schemas.openxmlformats.org/officeDocument/2006/relationships/hyperlink" Target="https://www.amazon.com/dp/B08NQ3W7PG" TargetMode="External" Id="rId5"/><Relationship Type="http://schemas.openxmlformats.org/officeDocument/2006/relationships/hyperlink" Target="https://www.amazon.com/dp/B08HM6WT6X" TargetMode="External" Id="rId6"/><Relationship Type="http://schemas.openxmlformats.org/officeDocument/2006/relationships/hyperlink" Target="https://www.amazon.com/dp/B0FPCM7DL3" TargetMode="External" Id="rId7"/><Relationship Type="http://schemas.openxmlformats.org/officeDocument/2006/relationships/hyperlink" Target="https://www.amazon.com/dp/B0CSFV4FXW" TargetMode="External" Id="rId8"/><Relationship Type="http://schemas.openxmlformats.org/officeDocument/2006/relationships/hyperlink" Target="https://www.amazon.com/dp/B0D9B18P6N" TargetMode="External" Id="rId9"/><Relationship Type="http://schemas.openxmlformats.org/officeDocument/2006/relationships/hyperlink" Target="https://www.amazon.com/dp/B0D9BD63QH" TargetMode="External" Id="rId10"/><Relationship Type="http://schemas.openxmlformats.org/officeDocument/2006/relationships/hyperlink" Target="https://www.amazon.com/dp/B096P2MYZQ" TargetMode="External" Id="rId11"/><Relationship Type="http://schemas.openxmlformats.org/officeDocument/2006/relationships/hyperlink" Target="https://www.amazon.com/dp/B08QMF6D5W" TargetMode="External" Id="rId12"/><Relationship Type="http://schemas.openxmlformats.org/officeDocument/2006/relationships/hyperlink" Target="https://www.amazon.com/dp/B0FMPQYB2J" TargetMode="External" Id="rId13"/><Relationship Type="http://schemas.openxmlformats.org/officeDocument/2006/relationships/hyperlink" Target="https://www.amazon.com/dp/B083G81VSH" TargetMode="External" Id="rId14"/><Relationship Type="http://schemas.openxmlformats.org/officeDocument/2006/relationships/hyperlink" Target="https://www.amazon.com/dp/B0DD37S32L" TargetMode="External" Id="rId15"/><Relationship Type="http://schemas.openxmlformats.org/officeDocument/2006/relationships/hyperlink" Target="https://www.amazon.com/dp/B08JP9DG5Z" TargetMode="External" Id="rId16"/><Relationship Type="http://schemas.openxmlformats.org/officeDocument/2006/relationships/hyperlink" Target="https://www.amazon.com/dp/B0BWJ4PYLN" TargetMode="External" Id="rId17"/><Relationship Type="http://schemas.openxmlformats.org/officeDocument/2006/relationships/hyperlink" Target="https://www.amazon.com/dp/B0BWJ4MLLZ" TargetMode="External" Id="rId18"/><Relationship Type="http://schemas.openxmlformats.org/officeDocument/2006/relationships/hyperlink" Target="https://www.amazon.com/dp/B0B4MQCT87" TargetMode="External" Id="rId19"/><Relationship Type="http://schemas.openxmlformats.org/officeDocument/2006/relationships/hyperlink" Target="https://www.amazon.com/dp/B0B4MQ1PP1" TargetMode="External" Id="rId20"/><Relationship Type="http://schemas.openxmlformats.org/officeDocument/2006/relationships/hyperlink" Target="https://www.amazon.com/dp/B0C9T1VY8J" TargetMode="External" Id="rId21"/><Relationship Type="http://schemas.openxmlformats.org/officeDocument/2006/relationships/hyperlink" Target="https://www.amazon.com/dp/B0C1GJZB6F" TargetMode="External" Id="rId22"/><Relationship Type="http://schemas.openxmlformats.org/officeDocument/2006/relationships/hyperlink" Target="https://www.amazon.com/dp/B0DYJKM99H" TargetMode="External" Id="rId23"/><Relationship Type="http://schemas.openxmlformats.org/officeDocument/2006/relationships/hyperlink" Target="https://www.amazon.com/dp/B0DYJHHJQL" TargetMode="External" Id="rId24"/><Relationship Type="http://schemas.openxmlformats.org/officeDocument/2006/relationships/hyperlink" Target="https://www.amazon.com/dp/B0BJZT93SL" TargetMode="External" Id="rId25"/><Relationship Type="http://schemas.openxmlformats.org/officeDocument/2006/relationships/hyperlink" Target="https://www.amazon.com/dp/B09V52BVJB" TargetMode="External" Id="rId26"/><Relationship Type="http://schemas.openxmlformats.org/officeDocument/2006/relationships/hyperlink" Target="https://www.amazon.com/dp/B07H522QXD" TargetMode="External" Id="rId27"/><Relationship Type="http://schemas.openxmlformats.org/officeDocument/2006/relationships/hyperlink" Target="https://www.amazon.com/dp/B07FGFRZ94" TargetMode="External" Id="rId28"/><Relationship Type="http://schemas.openxmlformats.org/officeDocument/2006/relationships/hyperlink" Target="https://www.amazon.com/dp/B0F7XQDVJY" TargetMode="External" Id="rId29"/><Relationship Type="http://schemas.openxmlformats.org/officeDocument/2006/relationships/hyperlink" Target="https://www.amazon.com/dp/B0F7XRNKQY" TargetMode="External" Id="rId30"/><Relationship Type="http://schemas.openxmlformats.org/officeDocument/2006/relationships/hyperlink" Target="https://www.amazon.com/dp/B08RHZ9TMQ" TargetMode="External" Id="rId31"/><Relationship Type="http://schemas.openxmlformats.org/officeDocument/2006/relationships/hyperlink" Target="https://www.amazon.com/dp/B08JKWGXZ9" TargetMode="External" Id="rId32"/><Relationship Type="http://schemas.openxmlformats.org/officeDocument/2006/relationships/hyperlink" Target="https://www.amazon.com/dp/B07XBR22W1" TargetMode="External" Id="rId33"/><Relationship Type="http://schemas.openxmlformats.org/officeDocument/2006/relationships/hyperlink" Target="https://www.amazon.com/dp/B0B5Z2B9NN" TargetMode="External" Id="rId34"/><Relationship Type="http://schemas.openxmlformats.org/officeDocument/2006/relationships/hyperlink" Target="https://www.amazon.com/dp/B09YQW7HBK" TargetMode="External" Id="rId35"/><Relationship Type="http://schemas.openxmlformats.org/officeDocument/2006/relationships/hyperlink" Target="https://www.amazon.com/dp/B09S5RNLN9" TargetMode="External" Id="rId36"/><Relationship Type="http://schemas.openxmlformats.org/officeDocument/2006/relationships/hyperlink" Target="https://www.amazon.com/dp/B08CQKS3KP" TargetMode="External" Id="rId37"/><Relationship Type="http://schemas.openxmlformats.org/officeDocument/2006/relationships/hyperlink" Target="https://www.amazon.com/dp/B08P16XLP2" TargetMode="External" Id="rId38"/><Relationship Type="http://schemas.openxmlformats.org/officeDocument/2006/relationships/hyperlink" Target="https://www.amazon.com/dp/B0DC3MX1DP" TargetMode="External" Id="rId39"/><Relationship Type="http://schemas.openxmlformats.org/officeDocument/2006/relationships/hyperlink" Target="https://www.amazon.com/dp/B082B5CY3D" TargetMode="External" Id="rId40"/><Relationship Type="http://schemas.openxmlformats.org/officeDocument/2006/relationships/hyperlink" Target="https://www.amazon.com/dp/B0DCZYNBYS" TargetMode="External" Id="rId41"/><Relationship Type="http://schemas.openxmlformats.org/officeDocument/2006/relationships/hyperlink" Target="https://www.amazon.com/dp/B0CJ8RYNTS" TargetMode="External" Id="rId42"/><Relationship Type="http://schemas.openxmlformats.org/officeDocument/2006/relationships/hyperlink" Target="https://www.amazon.com/dp/B0B1Q2JG5X" TargetMode="External" Id="rId43"/><Relationship Type="http://schemas.openxmlformats.org/officeDocument/2006/relationships/hyperlink" Target="https://www.amazon.com/dp/B09G17SQXF" TargetMode="External" Id="rId44"/><Relationship Type="http://schemas.openxmlformats.org/officeDocument/2006/relationships/hyperlink" Target="https://www.amazon.com/dp/B099PPQ7T3" TargetMode="External" Id="rId45"/><Relationship Type="http://schemas.openxmlformats.org/officeDocument/2006/relationships/hyperlink" Target="https://www.amazon.com/dp/B087CSRQQ4" TargetMode="External" Id="rId46"/><Relationship Type="http://schemas.openxmlformats.org/officeDocument/2006/relationships/hyperlink" Target="https://www.amazon.com/dp/B0F2H9HX69" TargetMode="External" Id="rId47"/><Relationship Type="http://schemas.openxmlformats.org/officeDocument/2006/relationships/hyperlink" Target="https://www.amazon.com/dp/B0F2H8LPB3" TargetMode="External" Id="rId48"/><Relationship Type="http://schemas.openxmlformats.org/officeDocument/2006/relationships/hyperlink" Target="https://www.amazon.com/dp/B0BDDJM9RW" TargetMode="External" Id="rId49"/><Relationship Type="http://schemas.openxmlformats.org/officeDocument/2006/relationships/hyperlink" Target="https://www.amazon.com/dp/B0BDDGJ38X" TargetMode="External" Id="rId50"/><Relationship Type="http://schemas.openxmlformats.org/officeDocument/2006/relationships/hyperlink" Target="https://www.amazon.com/dp/B0DJ2HJ9M4" TargetMode="External" Id="rId51"/><Relationship Type="http://schemas.openxmlformats.org/officeDocument/2006/relationships/hyperlink" Target="https://www.amazon.com/dp/B09HVCPNLX" TargetMode="External" Id="rId52"/><Relationship Type="http://schemas.openxmlformats.org/officeDocument/2006/relationships/hyperlink" Target="https://www.amazon.com/dp/B0DLGX8P9D" TargetMode="External" Id="rId53"/><Relationship Type="http://schemas.openxmlformats.org/officeDocument/2006/relationships/hyperlink" Target="https://www.amazon.com/dp/B07X49LFDC" TargetMode="External" Id="rId54"/><Relationship Type="http://schemas.openxmlformats.org/officeDocument/2006/relationships/drawing" Target="/xl/drawings/drawing5.xml" Id="rId55"/><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hyperlink" Target="https://www.amazon.com/dp/B0FNMFHHW7" TargetMode="External" Id="rId1"/><Relationship Type="http://schemas.openxmlformats.org/officeDocument/2006/relationships/hyperlink" Target="https://www.amazon.com/dp/B0FL2BK9CR" TargetMode="External" Id="rId2"/><Relationship Type="http://schemas.openxmlformats.org/officeDocument/2006/relationships/hyperlink" Target="https://www.amazon.com/dp/B0DG238XCM" TargetMode="External" Id="rId3"/><Relationship Type="http://schemas.openxmlformats.org/officeDocument/2006/relationships/hyperlink" Target="https://www.amazon.com/dp/B0DG2HRZKK" TargetMode="External" Id="rId4"/><Relationship Type="http://schemas.openxmlformats.org/officeDocument/2006/relationships/hyperlink" Target="https://www.amazon.com/dp/B0D62YKYKZ" TargetMode="External" Id="rId5"/><Relationship Type="http://schemas.openxmlformats.org/officeDocument/2006/relationships/hyperlink" Target="https://www.amazon.com/dp/B0D62TQYPX" TargetMode="External" Id="rId6"/><Relationship Type="http://schemas.openxmlformats.org/officeDocument/2006/relationships/hyperlink" Target="https://www.amazon.com/dp/B0DWSHT8CF" TargetMode="External" Id="rId7"/><Relationship Type="http://schemas.openxmlformats.org/officeDocument/2006/relationships/hyperlink" Target="https://www.amazon.com/dp/B0DWSK45RC" TargetMode="External" Id="rId8"/><Relationship Type="http://schemas.openxmlformats.org/officeDocument/2006/relationships/hyperlink" Target="https://www.amazon.com/dp/B09W5W7VCC" TargetMode="External" Id="rId9"/><Relationship Type="http://schemas.openxmlformats.org/officeDocument/2006/relationships/hyperlink" Target="https://www.amazon.com/dp/B09W5W7VCC" TargetMode="External" Id="rId10"/><Relationship Type="http://schemas.openxmlformats.org/officeDocument/2006/relationships/hyperlink" Target="https://www.amazon.com/dp/B09WGRB6MD" TargetMode="External" Id="rId11"/><Relationship Type="http://schemas.openxmlformats.org/officeDocument/2006/relationships/hyperlink" Target="https://www.amazon.com/dp/B09WHDR231" TargetMode="External" Id="rId12"/><Relationship Type="http://schemas.openxmlformats.org/officeDocument/2006/relationships/hyperlink" Target="https://www.amazon.com/dp/B0BV1JFXC4" TargetMode="External" Id="rId13"/><Relationship Type="http://schemas.openxmlformats.org/officeDocument/2006/relationships/hyperlink" Target="https://www.amazon.com/dp/B0BV1HW54C" TargetMode="External" Id="rId14"/><Relationship Type="http://schemas.openxmlformats.org/officeDocument/2006/relationships/hyperlink" Target="https://www.amazon.com/dp/B0B1DX9FRV" TargetMode="External" Id="rId15"/><Relationship Type="http://schemas.openxmlformats.org/officeDocument/2006/relationships/hyperlink" Target="https://www.amazon.com/dp/B0B1DVKHSJ" TargetMode="External" Id="rId16"/><Relationship Type="http://schemas.openxmlformats.org/officeDocument/2006/relationships/hyperlink" Target="https://www.amazon.com/dp/B0FPCM7DL3" TargetMode="External" Id="rId17"/><Relationship Type="http://schemas.openxmlformats.org/officeDocument/2006/relationships/hyperlink" Target="https://www.amazon.com/dp/B0CSFV4FXW" TargetMode="External" Id="rId18"/><Relationship Type="http://schemas.openxmlformats.org/officeDocument/2006/relationships/hyperlink" Target="https://www.amazon.com/dp/B0BWJ4PYLN" TargetMode="External" Id="rId19"/><Relationship Type="http://schemas.openxmlformats.org/officeDocument/2006/relationships/hyperlink" Target="https://www.amazon.com/dp/B0BWJ4MLLZ" TargetMode="External" Id="rId20"/><Relationship Type="http://schemas.openxmlformats.org/officeDocument/2006/relationships/hyperlink" Target="https://www.amazon.com/dp/B0F7XQDVJY" TargetMode="External" Id="rId21"/><Relationship Type="http://schemas.openxmlformats.org/officeDocument/2006/relationships/hyperlink" Target="https://www.amazon.com/dp/B0F7XRNKQY" TargetMode="External" Id="rId22"/><Relationship Type="http://schemas.openxmlformats.org/officeDocument/2006/relationships/hyperlink" Target="https://www.amazon.com/dp/B0FNMNMZ9T" TargetMode="External" Id="rId23"/><Relationship Type="http://schemas.openxmlformats.org/officeDocument/2006/relationships/hyperlink" Target="https://www.amazon.com/dp/B0CSFTRP2X" TargetMode="External" Id="rId24"/><Relationship Type="http://schemas.openxmlformats.org/officeDocument/2006/relationships/hyperlink" Target="https://www.amazon.com/dp/B08DHTB63X" TargetMode="External" Id="rId25"/><Relationship Type="http://schemas.openxmlformats.org/officeDocument/2006/relationships/hyperlink" Target="https://www.amazon.com/dp/B0BNMC5G8R" TargetMode="External" Id="rId26"/><Relationship Type="http://schemas.openxmlformats.org/officeDocument/2006/relationships/hyperlink" Target="https://www.amazon.com/dp/B08NQ3W7PG" TargetMode="External" Id="rId27"/><Relationship Type="http://schemas.openxmlformats.org/officeDocument/2006/relationships/hyperlink" Target="https://www.amazon.com/dp/B08HM6WT6X" TargetMode="External" Id="rId28"/><Relationship Type="http://schemas.openxmlformats.org/officeDocument/2006/relationships/drawing" Target="/xl/drawings/drawing6.xml" Id="rId29"/><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hyperlink" Target="https://www.amazon.com/dp/B0D9FCH7Q5" TargetMode="External" Id="rId1"/><Relationship Type="http://schemas.openxmlformats.org/officeDocument/2006/relationships/hyperlink" Target="https://www.amazon.com/dp/B0BBSSRNHM" TargetMode="External" Id="rId2"/><Relationship Type="http://schemas.openxmlformats.org/officeDocument/2006/relationships/hyperlink" Target="https://www.amazon.com/dp/B01LVZC25I" TargetMode="External" Id="rId3"/><Relationship Type="http://schemas.openxmlformats.org/officeDocument/2006/relationships/hyperlink" Target="https://www.amazon.com/dp/B01LVU7THF" TargetMode="External" Id="rId4"/><Relationship Type="http://schemas.openxmlformats.org/officeDocument/2006/relationships/hyperlink" Target="https://www.amazon.com/dp/B0HCMWNG9W" TargetMode="External" Id="rId5"/><Relationship Type="http://schemas.openxmlformats.org/officeDocument/2006/relationships/hyperlink" Target="https://www.amazon.com/dp/B0B4RH938T" TargetMode="External" Id="rId6"/><Relationship Type="http://schemas.openxmlformats.org/officeDocument/2006/relationships/hyperlink" Target="https://www.amazon.com/dp/B01KFPFUAE" TargetMode="External" Id="rId7"/><Relationship Type="http://schemas.openxmlformats.org/officeDocument/2006/relationships/hyperlink" Target="https://www.amazon.com/dp/B00KDL108M" TargetMode="External" Id="rId8"/><Relationship Type="http://schemas.openxmlformats.org/officeDocument/2006/relationships/hyperlink" Target="https://www.amazon.com/dp/B0FKC1MD24" TargetMode="External" Id="rId9"/><Relationship Type="http://schemas.openxmlformats.org/officeDocument/2006/relationships/hyperlink" Target="https://www.amazon.com/dp/B00FWZW55Q" TargetMode="External" Id="rId10"/><Relationship Type="http://schemas.openxmlformats.org/officeDocument/2006/relationships/hyperlink" Target="https://www.amazon.com/dp/B0GXDFM5TS" TargetMode="External" Id="rId11"/><Relationship Type="http://schemas.openxmlformats.org/officeDocument/2006/relationships/hyperlink" Target="https://www.amazon.com/dp/B094XT94FC" TargetMode="External" Id="rId12"/><Relationship Type="http://schemas.openxmlformats.org/officeDocument/2006/relationships/hyperlink" Target="https://www.amazon.com/dp/B09ZRJBNY5" TargetMode="External" Id="rId13"/><Relationship Type="http://schemas.openxmlformats.org/officeDocument/2006/relationships/hyperlink" Target="https://www.amazon.com/dp/B09NVRZBDJ" TargetMode="External" Id="rId14"/><Relationship Type="http://schemas.openxmlformats.org/officeDocument/2006/relationships/hyperlink" Target="https://www.amazon.com/dp/B0CTCZGGHP" TargetMode="External" Id="rId15"/><Relationship Type="http://schemas.openxmlformats.org/officeDocument/2006/relationships/hyperlink" Target="https://www.amazon.com/dp/B081CTM1T8" TargetMode="External" Id="rId16"/><Relationship Type="http://schemas.openxmlformats.org/officeDocument/2006/relationships/hyperlink" Target="https://www.amazon.com/dp/B01MQIYMW3" TargetMode="External" Id="rId17"/><Relationship Type="http://schemas.openxmlformats.org/officeDocument/2006/relationships/hyperlink" Target="https://www.amazon.com/dp/B01M1CKVJU" TargetMode="External" Id="rId18"/><Relationship Type="http://schemas.openxmlformats.org/officeDocument/2006/relationships/hyperlink" Target="https://www.amazon.com/dp/B0BXBPNMVW" TargetMode="External" Id="rId19"/><Relationship Type="http://schemas.openxmlformats.org/officeDocument/2006/relationships/hyperlink" Target="https://www.amazon.com/dp/B0BXBN7JMP" TargetMode="External" Id="rId20"/><Relationship Type="http://schemas.openxmlformats.org/officeDocument/2006/relationships/hyperlink" Target="https://www.amazon.com/dp/B09G8P3X6L" TargetMode="External" Id="rId21"/><Relationship Type="http://schemas.openxmlformats.org/officeDocument/2006/relationships/hyperlink" Target="https://www.amazon.com/dp/B09G8P3X6L" TargetMode="External" Id="rId22"/><Relationship Type="http://schemas.openxmlformats.org/officeDocument/2006/relationships/hyperlink" Target="https://www.amazon.com/dp/B0DVCCDL65" TargetMode="External" Id="rId23"/><Relationship Type="http://schemas.openxmlformats.org/officeDocument/2006/relationships/hyperlink" Target="https://www.amazon.com/dp/B09NP72NNZ" TargetMode="External" Id="rId24"/><Relationship Type="http://schemas.openxmlformats.org/officeDocument/2006/relationships/hyperlink" Target="https://www.amazon.com/dp/B0CKPNR7DW" TargetMode="External" Id="rId25"/><Relationship Type="http://schemas.openxmlformats.org/officeDocument/2006/relationships/hyperlink" Target="https://www.amazon.com/dp/B0CKPKG71N" TargetMode="External" Id="rId26"/><Relationship Type="http://schemas.openxmlformats.org/officeDocument/2006/relationships/hyperlink" Target="https://www.amazon.com/dp/B0DK5G1ZJP" TargetMode="External" Id="rId27"/><Relationship Type="http://schemas.openxmlformats.org/officeDocument/2006/relationships/hyperlink" Target="https://www.amazon.com/dp/B0CGLG8CDW" TargetMode="External" Id="rId28"/><Relationship Type="http://schemas.openxmlformats.org/officeDocument/2006/relationships/hyperlink" Target="https://www.amazon.com/dp/B0B5WGXZTH" TargetMode="External" Id="rId29"/><Relationship Type="http://schemas.openxmlformats.org/officeDocument/2006/relationships/hyperlink" Target="https://www.amazon.com/dp/B0B8DXN3K2" TargetMode="External" Id="rId30"/><Relationship Type="http://schemas.openxmlformats.org/officeDocument/2006/relationships/hyperlink" Target="https://www.amazon.com/dp/B09HZYQK2C" TargetMode="External" Id="rId31"/><Relationship Type="http://schemas.openxmlformats.org/officeDocument/2006/relationships/hyperlink" Target="https://www.amazon.com/dp/B09BFQG17F" TargetMode="External" Id="rId32"/><Relationship Type="http://schemas.openxmlformats.org/officeDocument/2006/relationships/hyperlink" Target="https://www.amazon.com/dp/B09V4R7MMZ" TargetMode="External" Id="rId33"/><Relationship Type="http://schemas.openxmlformats.org/officeDocument/2006/relationships/hyperlink" Target="https://www.amazon.com/dp/B0BXP2FQYZ" TargetMode="External" Id="rId34"/><Relationship Type="http://schemas.openxmlformats.org/officeDocument/2006/relationships/hyperlink" Target="https://www.amazon.com/dp/B07XD9468J" TargetMode="External" Id="rId35"/><Relationship Type="http://schemas.openxmlformats.org/officeDocument/2006/relationships/hyperlink" Target="https://www.amazon.com/dp/B07VKRTKRM" TargetMode="External" Id="rId36"/><Relationship Type="http://schemas.openxmlformats.org/officeDocument/2006/relationships/hyperlink" Target="https://www.amazon.com/dp/B0DS1T8ZR7" TargetMode="External" Id="rId37"/><Relationship Type="http://schemas.openxmlformats.org/officeDocument/2006/relationships/hyperlink" Target="https://www.amazon.com/dp/B07RGFS927" TargetMode="External" Id="rId38"/><Relationship Type="http://schemas.openxmlformats.org/officeDocument/2006/relationships/hyperlink" Target="https://www.amazon.com/dp/B0H9S9ZNL2" TargetMode="External" Id="rId39"/><Relationship Type="http://schemas.openxmlformats.org/officeDocument/2006/relationships/hyperlink" Target="https://www.amazon.com/dp/B07KJYP1VC" TargetMode="External" Id="rId40"/><Relationship Type="http://schemas.openxmlformats.org/officeDocument/2006/relationships/hyperlink" Target="https://www.amazon.com/dp/B0BCGZVPCM" TargetMode="External" Id="rId41"/><Relationship Type="http://schemas.openxmlformats.org/officeDocument/2006/relationships/hyperlink" Target="https://www.amazon.com/dp/B089SJQP45" TargetMode="External" Id="rId42"/><Relationship Type="http://schemas.openxmlformats.org/officeDocument/2006/relationships/hyperlink" Target="https://www.amazon.com/dp/B0C395RDGT" TargetMode="External" Id="rId43"/><Relationship Type="http://schemas.openxmlformats.org/officeDocument/2006/relationships/hyperlink" Target="https://www.amazon.com/dp/B0BBC1GN6H" TargetMode="External" Id="rId44"/><Relationship Type="http://schemas.openxmlformats.org/officeDocument/2006/relationships/hyperlink" Target="https://www.amazon.com/dp/B0CZF5V1W7" TargetMode="External" Id="rId45"/><Relationship Type="http://schemas.openxmlformats.org/officeDocument/2006/relationships/hyperlink" Target="https://www.amazon.com/dp/B09T6DV8BB" TargetMode="External" Id="rId46"/><Relationship Type="http://schemas.openxmlformats.org/officeDocument/2006/relationships/hyperlink" Target="https://www.amazon.com/dp/B0CM16H4RY" TargetMode="External" Id="rId47"/><Relationship Type="http://schemas.openxmlformats.org/officeDocument/2006/relationships/hyperlink" Target="https://www.amazon.com/dp/B0CKLCLQ62" TargetMode="External" Id="rId48"/><Relationship Type="http://schemas.openxmlformats.org/officeDocument/2006/relationships/hyperlink" Target="https://www.amazon.com/dp/B08BFG7CNK" TargetMode="External" Id="rId49"/><Relationship Type="http://schemas.openxmlformats.org/officeDocument/2006/relationships/hyperlink" Target="https://www.amazon.com/dp/B07JLLJSK5" TargetMode="External" Id="rId50"/><Relationship Type="http://schemas.openxmlformats.org/officeDocument/2006/relationships/hyperlink" Target="https://www.amazon.com/dp/B094NS7KFX" TargetMode="External" Id="rId51"/><Relationship Type="http://schemas.openxmlformats.org/officeDocument/2006/relationships/hyperlink" Target="https://www.amazon.com/dp/B07S2XV3TG" TargetMode="External" Id="rId52"/><Relationship Type="http://schemas.openxmlformats.org/officeDocument/2006/relationships/hyperlink" Target="https://www.amazon.com/dp/B0CM9LCN75" TargetMode="External" Id="rId53"/><Relationship Type="http://schemas.openxmlformats.org/officeDocument/2006/relationships/hyperlink" Target="https://www.amazon.com/dp/B0CM9N244T" TargetMode="External" Id="rId54"/><Relationship Type="http://schemas.openxmlformats.org/officeDocument/2006/relationships/hyperlink" Target="https://www.amazon.com/dp/B075CNDRFJ" TargetMode="External" Id="rId55"/><Relationship Type="http://schemas.openxmlformats.org/officeDocument/2006/relationships/hyperlink" Target="https://www.amazon.com/dp/B07TV3NVNX" TargetMode="External" Id="rId56"/><Relationship Type="http://schemas.openxmlformats.org/officeDocument/2006/relationships/hyperlink" Target="https://www.amazon.com/dp/B0FXBTQ86V" TargetMode="External" Id="rId57"/><Relationship Type="http://schemas.openxmlformats.org/officeDocument/2006/relationships/hyperlink" Target="https://www.amazon.com/dp/B01N0Z6HVO" TargetMode="External" Id="rId58"/><Relationship Type="http://schemas.openxmlformats.org/officeDocument/2006/relationships/drawing" Target="/xl/drawings/drawing7.xml" Id="rId59"/><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hyperlink" Target="https://www.amazon.com/dp/B0BQD58J7V" TargetMode="External" Id="rId1"/><Relationship Type="http://schemas.openxmlformats.org/officeDocument/2006/relationships/hyperlink" Target="https://www.amazon.com/dp/B07KC5DWCC" TargetMode="External" Id="rId2"/><Relationship Type="http://schemas.openxmlformats.org/officeDocument/2006/relationships/hyperlink" Target="https://www.amazon.com/dp/B09YQ2GFGB" TargetMode="External" Id="rId3"/><Relationship Type="http://schemas.openxmlformats.org/officeDocument/2006/relationships/hyperlink" Target="https://www.amazon.com/dp/B09H7FZ5JM" TargetMode="External" Id="rId4"/><Relationship Type="http://schemas.openxmlformats.org/officeDocument/2006/relationships/hyperlink" Target="https://www.amazon.com/dp/B0FNPM9ZM4" TargetMode="External" Id="rId5"/><Relationship Type="http://schemas.openxmlformats.org/officeDocument/2006/relationships/hyperlink" Target="https://www.amazon.com/dp/B09GYPT47K" TargetMode="External" Id="rId6"/><Relationship Type="http://schemas.openxmlformats.org/officeDocument/2006/relationships/hyperlink" Target="https://www.amazon.com/dp/B0F1MYF2WL" TargetMode="External" Id="rId7"/><Relationship Type="http://schemas.openxmlformats.org/officeDocument/2006/relationships/hyperlink" Target="https://www.amazon.com/dp/B09C5PD9VD" TargetMode="External" Id="rId8"/><Relationship Type="http://schemas.openxmlformats.org/officeDocument/2006/relationships/hyperlink" Target="https://www.amazon.com/dp/B09YRXKX5Z" TargetMode="External" Id="rId9"/><Relationship Type="http://schemas.openxmlformats.org/officeDocument/2006/relationships/hyperlink" Target="https://www.amazon.com/dp/B09YRX2F83" TargetMode="External" Id="rId10"/><Relationship Type="http://schemas.openxmlformats.org/officeDocument/2006/relationships/hyperlink" Target="https://www.amazon.com/dp/B074TBH52S" TargetMode="External" Id="rId11"/><Relationship Type="http://schemas.openxmlformats.org/officeDocument/2006/relationships/hyperlink" Target="https://www.amazon.com/dp/B074TBYWGS" TargetMode="External" Id="rId12"/><Relationship Type="http://schemas.openxmlformats.org/officeDocument/2006/relationships/hyperlink" Target="https://www.amazon.com/dp/B0H5JPNHHN" TargetMode="External" Id="rId13"/><Relationship Type="http://schemas.openxmlformats.org/officeDocument/2006/relationships/hyperlink" Target="https://www.amazon.com/dp/B0C1YYKVDQ" TargetMode="External" Id="rId14"/><Relationship Type="http://schemas.openxmlformats.org/officeDocument/2006/relationships/hyperlink" Target="https://www.amazon.com/dp/B0B5K41YD7" TargetMode="External" Id="rId15"/><Relationship Type="http://schemas.openxmlformats.org/officeDocument/2006/relationships/hyperlink" Target="https://www.amazon.com/dp/B07V5BCQFW" TargetMode="External" Id="rId16"/><Relationship Type="http://schemas.openxmlformats.org/officeDocument/2006/relationships/hyperlink" Target="https://www.amazon.com/dp/B0D4MHYD6C" TargetMode="External" Id="rId17"/><Relationship Type="http://schemas.openxmlformats.org/officeDocument/2006/relationships/hyperlink" Target="https://www.amazon.com/dp/B014VYD7NW" TargetMode="External" Id="rId18"/><Relationship Type="http://schemas.openxmlformats.org/officeDocument/2006/relationships/hyperlink" Target="https://www.amazon.com/dp/B0FBWPMZHX" TargetMode="External" Id="rId19"/><Relationship Type="http://schemas.openxmlformats.org/officeDocument/2006/relationships/hyperlink" Target="https://www.amazon.com/dp/B0F7R9NPSW" TargetMode="External" Id="rId20"/><Relationship Type="http://schemas.openxmlformats.org/officeDocument/2006/relationships/hyperlink" Target="https://www.amazon.com/dp/B0CNX9RTK8" TargetMode="External" Id="rId21"/><Relationship Type="http://schemas.openxmlformats.org/officeDocument/2006/relationships/hyperlink" Target="https://www.amazon.com/dp/B0BN559GVG" TargetMode="External" Id="rId22"/><Relationship Type="http://schemas.openxmlformats.org/officeDocument/2006/relationships/hyperlink" Target="https://www.amazon.com/dp/B0CWRWR64G" TargetMode="External" Id="rId23"/><Relationship Type="http://schemas.openxmlformats.org/officeDocument/2006/relationships/hyperlink" Target="https://www.amazon.com/dp/B0BFDGC7CC" TargetMode="External" Id="rId24"/><Relationship Type="http://schemas.openxmlformats.org/officeDocument/2006/relationships/hyperlink" Target="https://www.amazon.com/dp/B0BBN7XTW5" TargetMode="External" Id="rId25"/><Relationship Type="http://schemas.openxmlformats.org/officeDocument/2006/relationships/hyperlink" Target="https://www.amazon.com/dp/B0BBN627MK" TargetMode="External" Id="rId26"/><Relationship Type="http://schemas.openxmlformats.org/officeDocument/2006/relationships/hyperlink" Target="https://www.amazon.com/dp/B0C6DZRBWV" TargetMode="External" Id="rId27"/><Relationship Type="http://schemas.openxmlformats.org/officeDocument/2006/relationships/hyperlink" Target="https://www.amazon.com/dp/B0C6DYG511" TargetMode="External" Id="rId28"/><Relationship Type="http://schemas.openxmlformats.org/officeDocument/2006/relationships/hyperlink" Target="https://www.amazon.com/dp/B0GQZL7XLN" TargetMode="External" Id="rId29"/><Relationship Type="http://schemas.openxmlformats.org/officeDocument/2006/relationships/hyperlink" Target="https://www.amazon.com/dp/B08NHHDLT6" TargetMode="External" Id="rId30"/><Relationship Type="http://schemas.openxmlformats.org/officeDocument/2006/relationships/hyperlink" Target="https://www.amazon.com/dp/B0DFJDJLDB" TargetMode="External" Id="rId31"/><Relationship Type="http://schemas.openxmlformats.org/officeDocument/2006/relationships/hyperlink" Target="https://www.amazon.com/dp/B0D8M5MDCS" TargetMode="External" Id="rId32"/><Relationship Type="http://schemas.openxmlformats.org/officeDocument/2006/relationships/hyperlink" Target="https://www.amazon.com/dp/B07C7VH6CQ" TargetMode="External" Id="rId33"/><Relationship Type="http://schemas.openxmlformats.org/officeDocument/2006/relationships/hyperlink" Target="https://www.amazon.com/dp/B07C7Y8QSW" TargetMode="External" Id="rId34"/><Relationship Type="http://schemas.openxmlformats.org/officeDocument/2006/relationships/hyperlink" Target="https://www.amazon.com/dp/B0CJMDTVS2" TargetMode="External" Id="rId35"/><Relationship Type="http://schemas.openxmlformats.org/officeDocument/2006/relationships/hyperlink" Target="https://www.amazon.com/dp/B0CJMHPKKC" TargetMode="External" Id="rId36"/><Relationship Type="http://schemas.openxmlformats.org/officeDocument/2006/relationships/hyperlink" Target="https://www.amazon.com/dp/B0FV2TSFBG" TargetMode="External" Id="rId37"/><Relationship Type="http://schemas.openxmlformats.org/officeDocument/2006/relationships/hyperlink" Target="https://www.amazon.com/dp/B0CZPYKHQW" TargetMode="External" Id="rId38"/><Relationship Type="http://schemas.openxmlformats.org/officeDocument/2006/relationships/hyperlink" Target="https://www.amazon.com/dp/B0DFGZZ7F1" TargetMode="External" Id="rId39"/><Relationship Type="http://schemas.openxmlformats.org/officeDocument/2006/relationships/hyperlink" Target="https://www.amazon.com/dp/B0DFGZPP7K" TargetMode="External" Id="rId40"/><Relationship Type="http://schemas.openxmlformats.org/officeDocument/2006/relationships/hyperlink" Target="https://www.amazon.com/dp/B0D94T2PG7" TargetMode="External" Id="rId41"/><Relationship Type="http://schemas.openxmlformats.org/officeDocument/2006/relationships/hyperlink" Target="https://www.amazon.com/dp/B09CLHKX26" TargetMode="External" Id="rId42"/><Relationship Type="http://schemas.openxmlformats.org/officeDocument/2006/relationships/hyperlink" Target="https://www.amazon.com/dp/B0GY143VLB" TargetMode="External" Id="rId43"/><Relationship Type="http://schemas.openxmlformats.org/officeDocument/2006/relationships/hyperlink" Target="https://www.amazon.com/dp/B0G49VVD1Z" TargetMode="External" Id="rId44"/><Relationship Type="http://schemas.openxmlformats.org/officeDocument/2006/relationships/hyperlink" Target="https://www.amazon.com/dp/B07KPF57S3" TargetMode="External" Id="rId45"/><Relationship Type="http://schemas.openxmlformats.org/officeDocument/2006/relationships/hyperlink" Target="https://www.amazon.com/dp/B0BZRCV4BM" TargetMode="External" Id="rId46"/><Relationship Type="http://schemas.openxmlformats.org/officeDocument/2006/relationships/hyperlink" Target="https://www.amazon.com/dp/B0D5R7CCZ2" TargetMode="External" Id="rId47"/><Relationship Type="http://schemas.openxmlformats.org/officeDocument/2006/relationships/hyperlink" Target="https://www.amazon.com/dp/B0FDB7XXSL" TargetMode="External" Id="rId48"/><Relationship Type="http://schemas.openxmlformats.org/officeDocument/2006/relationships/hyperlink" Target="https://www.amazon.com/dp/B0F9STVX64" TargetMode="External" Id="rId49"/><Relationship Type="http://schemas.openxmlformats.org/officeDocument/2006/relationships/hyperlink" Target="https://www.amazon.com/dp/B0DSYXFT4M" TargetMode="External" Id="rId50"/><Relationship Type="http://schemas.openxmlformats.org/officeDocument/2006/relationships/hyperlink" Target="https://www.amazon.com/dp/B0FSG756Y3" TargetMode="External" Id="rId51"/><Relationship Type="http://schemas.openxmlformats.org/officeDocument/2006/relationships/hyperlink" Target="https://www.amazon.com/dp/B0DMFYTLQR" TargetMode="External" Id="rId52"/><Relationship Type="http://schemas.openxmlformats.org/officeDocument/2006/relationships/hyperlink" Target="https://www.amazon.com/dp/B0H9RJ7HSY" TargetMode="External" Id="rId53"/><Relationship Type="http://schemas.openxmlformats.org/officeDocument/2006/relationships/hyperlink" Target="https://www.amazon.com/dp/B07J41LJJZ" TargetMode="External" Id="rId54"/><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hyperlink" Target="https://www.amazon.com/dp/B0CNX9RTK8" TargetMode="External" Id="rId1"/><Relationship Type="http://schemas.openxmlformats.org/officeDocument/2006/relationships/hyperlink" Target="https://www.amazon.com/dp/B0BN559GVG" TargetMode="External" Id="rId2"/><Relationship Type="http://schemas.openxmlformats.org/officeDocument/2006/relationships/hyperlink" Target="https://www.amazon.com/dp/B074TBH52S" TargetMode="External" Id="rId3"/><Relationship Type="http://schemas.openxmlformats.org/officeDocument/2006/relationships/hyperlink" Target="https://www.amazon.com/dp/B074TBYWGS" TargetMode="External" Id="rId4"/><Relationship Type="http://schemas.openxmlformats.org/officeDocument/2006/relationships/hyperlink" Target="https://www.amazon.com/dp/B0BBN7XTW5" TargetMode="External" Id="rId5"/><Relationship Type="http://schemas.openxmlformats.org/officeDocument/2006/relationships/hyperlink" Target="https://www.amazon.com/dp/B0BBN627MK" TargetMode="External" Id="rId6"/><Relationship Type="http://schemas.openxmlformats.org/officeDocument/2006/relationships/hyperlink" Target="https://www.amazon.com/dp/B0B5K41YD7" TargetMode="External" Id="rId7"/><Relationship Type="http://schemas.openxmlformats.org/officeDocument/2006/relationships/hyperlink" Target="https://www.amazon.com/dp/B07V5BCQFW" TargetMode="External" Id="rId8"/><Relationship Type="http://schemas.openxmlformats.org/officeDocument/2006/relationships/hyperlink" Target="https://www.amazon.com/dp/B0GQZL7XLN" TargetMode="External" Id="rId9"/><Relationship Type="http://schemas.openxmlformats.org/officeDocument/2006/relationships/hyperlink" Target="https://www.amazon.com/dp/B08NHHDLT6" TargetMode="External" Id="rId10"/><Relationship Type="http://schemas.openxmlformats.org/officeDocument/2006/relationships/hyperlink" Target="https://www.amazon.com/dp/B07C7VH6CQ" TargetMode="External" Id="rId11"/><Relationship Type="http://schemas.openxmlformats.org/officeDocument/2006/relationships/hyperlink" Target="https://www.amazon.com/dp/B07C7Y8QSW" TargetMode="External" Id="rId12"/><Relationship Type="http://schemas.openxmlformats.org/officeDocument/2006/relationships/hyperlink" Target="https://www.amazon.com/dp/B0CWRWR64G" TargetMode="External" Id="rId13"/><Relationship Type="http://schemas.openxmlformats.org/officeDocument/2006/relationships/hyperlink" Target="https://www.amazon.com/dp/B0BFDGC7CC" TargetMode="External" Id="rId14"/><Relationship Type="http://schemas.openxmlformats.org/officeDocument/2006/relationships/hyperlink" Target="https://www.amazon.com/dp/B0C6DZRBWV" TargetMode="External" Id="rId15"/><Relationship Type="http://schemas.openxmlformats.org/officeDocument/2006/relationships/hyperlink" Target="https://www.amazon.com/dp/B0C6DYG511" TargetMode="External" Id="rId16"/><Relationship Type="http://schemas.openxmlformats.org/officeDocument/2006/relationships/hyperlink" Target="https://www.amazon.com/dp/B0FBWPMZHX" TargetMode="External" Id="rId17"/><Relationship Type="http://schemas.openxmlformats.org/officeDocument/2006/relationships/hyperlink" Target="https://www.amazon.com/dp/B0F7R9NPSW" TargetMode="External" Id="rId18"/><Relationship Type="http://schemas.openxmlformats.org/officeDocument/2006/relationships/hyperlink" Target="https://www.amazon.com/dp/B0DFGZZ7F1" TargetMode="External" Id="rId19"/><Relationship Type="http://schemas.openxmlformats.org/officeDocument/2006/relationships/hyperlink" Target="https://www.amazon.com/dp/B0DFGZPP7K" TargetMode="External" Id="rId20"/><Relationship Type="http://schemas.openxmlformats.org/officeDocument/2006/relationships/hyperlink" Target="https://www.amazon.com/dp/B0D4Q3KB7S" TargetMode="External" Id="rId21"/><Relationship Type="http://schemas.openxmlformats.org/officeDocument/2006/relationships/hyperlink" Target="https://www.amazon.com/dp/B0D4PKVNWB" TargetMode="External" Id="rId22"/><Relationship Type="http://schemas.openxmlformats.org/officeDocument/2006/relationships/hyperlink" Target="https://www.amazon.com/dp/B09YQ2GFGB" TargetMode="External" Id="rId23"/><Relationship Type="http://schemas.openxmlformats.org/officeDocument/2006/relationships/hyperlink" Target="https://www.amazon.com/dp/B09H7FZ5JM" TargetMode="External" Id="rId24"/><Relationship Type="http://schemas.openxmlformats.org/officeDocument/2006/relationships/hyperlink" Target="https://www.amazon.com/dp/B0FNPM9ZM4" TargetMode="External" Id="rId25"/><Relationship Type="http://schemas.openxmlformats.org/officeDocument/2006/relationships/hyperlink" Target="https://www.amazon.com/dp/B09GYPT47K" TargetMode="External" Id="rId26"/><Relationship Type="http://schemas.openxmlformats.org/officeDocument/2006/relationships/hyperlink" Target="https://www.amazon.com/dp/B0H9RJ7HSY" TargetMode="External" Id="rId27"/><Relationship Type="http://schemas.openxmlformats.org/officeDocument/2006/relationships/hyperlink" Target="https://www.amazon.com/dp/B07J41LJJZ" TargetMode="External" Id="rId28"/><Relationship Type="http://schemas.openxmlformats.org/officeDocument/2006/relationships/hyperlink" Target="https://www.amazon.com/dp/B0D4MHYD6C" TargetMode="External" Id="rId29"/><Relationship Type="http://schemas.openxmlformats.org/officeDocument/2006/relationships/hyperlink" Target="https://www.amazon.com/dp/B014VYD7NW" TargetMode="External" Id="rId30"/><Relationship Type="http://schemas.openxmlformats.org/officeDocument/2006/relationships/drawing" Target="/xl/drawings/drawing8.xml" Id="rId3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hyperlink" Target="https://www.amazon.com/dp/B0957W6SPP" TargetMode="External" Id="rId1"/><Relationship Type="http://schemas.openxmlformats.org/officeDocument/2006/relationships/hyperlink" Target="https://www.amazon.com/dp/B0894QH86C" TargetMode="External" Id="rId2"/><Relationship Type="http://schemas.openxmlformats.org/officeDocument/2006/relationships/hyperlink" Target="https://www.amazon.com/dp/B0HDC7BMTC" TargetMode="External" Id="rId3"/><Relationship Type="http://schemas.openxmlformats.org/officeDocument/2006/relationships/hyperlink" Target="https://www.amazon.com/dp/B0FX8K1CG9" TargetMode="External" Id="rId4"/><Relationship Type="http://schemas.openxmlformats.org/officeDocument/2006/relationships/hyperlink" Target="https://www.amazon.com/dp/B098JT1RF2" TargetMode="External" Id="rId5"/><Relationship Type="http://schemas.openxmlformats.org/officeDocument/2006/relationships/hyperlink" Target="https://www.amazon.com/dp/B098JT1RF2" TargetMode="External" Id="rId6"/><Relationship Type="http://schemas.openxmlformats.org/officeDocument/2006/relationships/hyperlink" Target="https://www.amazon.com/dp/B0CPDTJ5NN" TargetMode="External" Id="rId7"/><Relationship Type="http://schemas.openxmlformats.org/officeDocument/2006/relationships/hyperlink" Target="https://www.amazon.com/dp/B0CPDR5DDM" TargetMode="External" Id="rId8"/><Relationship Type="http://schemas.openxmlformats.org/officeDocument/2006/relationships/hyperlink" Target="https://www.amazon.com/dp/B0D1SRR2H4" TargetMode="External" Id="rId9"/><Relationship Type="http://schemas.openxmlformats.org/officeDocument/2006/relationships/hyperlink" Target="https://www.amazon.com/dp/B0D1RBXBNG" TargetMode="External" Id="rId10"/><Relationship Type="http://schemas.openxmlformats.org/officeDocument/2006/relationships/hyperlink" Target="https://www.amazon.com/dp/B0CZQ52MTQ" TargetMode="External" Id="rId11"/><Relationship Type="http://schemas.openxmlformats.org/officeDocument/2006/relationships/hyperlink" Target="https://www.amazon.com/dp/B07DZTQ4JC" TargetMode="External" Id="rId12"/><Relationship Type="http://schemas.openxmlformats.org/officeDocument/2006/relationships/hyperlink" Target="https://www.amazon.com/dp/B0G5N99X9R" TargetMode="External" Id="rId13"/><Relationship Type="http://schemas.openxmlformats.org/officeDocument/2006/relationships/hyperlink" Target="https://www.amazon.com/dp/B01N9L2O9P" TargetMode="External" Id="rId14"/><Relationship Type="http://schemas.openxmlformats.org/officeDocument/2006/relationships/hyperlink" Target="https://www.amazon.com/dp/B0HC778XB4" TargetMode="External" Id="rId15"/><Relationship Type="http://schemas.openxmlformats.org/officeDocument/2006/relationships/hyperlink" Target="https://www.amazon.com/dp/B07XFP6BY2" TargetMode="External" Id="rId16"/><Relationship Type="http://schemas.openxmlformats.org/officeDocument/2006/relationships/hyperlink" Target="https://www.amazon.com/dp/B07XC2KVM7" TargetMode="External" Id="rId17"/><Relationship Type="http://schemas.openxmlformats.org/officeDocument/2006/relationships/hyperlink" Target="https://www.amazon.com/dp/B07XC2KVM7" TargetMode="External" Id="rId18"/><Relationship Type="http://schemas.openxmlformats.org/officeDocument/2006/relationships/hyperlink" Target="https://www.amazon.com/dp/B07K6SYX8L" TargetMode="External" Id="rId19"/><Relationship Type="http://schemas.openxmlformats.org/officeDocument/2006/relationships/hyperlink" Target="https://www.amazon.com/dp/B0DR99Q37Y" TargetMode="External" Id="rId20"/><Relationship Type="http://schemas.openxmlformats.org/officeDocument/2006/relationships/hyperlink" Target="https://www.amazon.com/dp/B0FB8XS4D1" TargetMode="External" Id="rId21"/><Relationship Type="http://schemas.openxmlformats.org/officeDocument/2006/relationships/hyperlink" Target="https://www.amazon.com/dp/B0FB8XR43Q" TargetMode="External" Id="rId22"/><Relationship Type="http://schemas.openxmlformats.org/officeDocument/2006/relationships/hyperlink" Target="https://www.amazon.com/dp/B0F4852T9V" TargetMode="External" Id="rId23"/><Relationship Type="http://schemas.openxmlformats.org/officeDocument/2006/relationships/hyperlink" Target="https://www.amazon.com/dp/B0F4873G4H" TargetMode="External" Id="rId24"/><Relationship Type="http://schemas.openxmlformats.org/officeDocument/2006/relationships/hyperlink" Target="https://www.amazon.com/dp/B0H29V113N" TargetMode="External" Id="rId25"/><Relationship Type="http://schemas.openxmlformats.org/officeDocument/2006/relationships/hyperlink" Target="https://www.amazon.com/dp/B08L86VLZB" TargetMode="External" Id="rId26"/><Relationship Type="http://schemas.openxmlformats.org/officeDocument/2006/relationships/hyperlink" Target="https://www.amazon.com/dp/B0HC6866B7" TargetMode="External" Id="rId27"/><Relationship Type="http://schemas.openxmlformats.org/officeDocument/2006/relationships/hyperlink" Target="https://www.amazon.com/dp/B0D9JHBBCZ" TargetMode="External" Id="rId28"/><Relationship Type="http://schemas.openxmlformats.org/officeDocument/2006/relationships/hyperlink" Target="https://www.amazon.com/dp/B0F29FQLFD" TargetMode="External" Id="rId29"/><Relationship Type="http://schemas.openxmlformats.org/officeDocument/2006/relationships/hyperlink" Target="https://www.amazon.com/dp/B0F29F1JM5" TargetMode="External" Id="rId30"/><Relationship Type="http://schemas.openxmlformats.org/officeDocument/2006/relationships/hyperlink" Target="https://www.amazon.com/dp/B0H41M1N4B" TargetMode="External" Id="rId31"/><Relationship Type="http://schemas.openxmlformats.org/officeDocument/2006/relationships/hyperlink" Target="https://www.amazon.com/dp/B0DSPZJKTB" TargetMode="External" Id="rId32"/><Relationship Type="http://schemas.openxmlformats.org/officeDocument/2006/relationships/hyperlink" Target="https://www.amazon.com/dp/B0DCZGYVZ9" TargetMode="External" Id="rId33"/><Relationship Type="http://schemas.openxmlformats.org/officeDocument/2006/relationships/hyperlink" Target="https://www.amazon.com/dp/B0F24TRXCZ" TargetMode="External" Id="rId34"/><Relationship Type="http://schemas.openxmlformats.org/officeDocument/2006/relationships/hyperlink" Target="https://www.amazon.com/dp/B09WV7RN1V" TargetMode="External" Id="rId35"/><Relationship Type="http://schemas.openxmlformats.org/officeDocument/2006/relationships/hyperlink" Target="https://www.amazon.com/dp/B0BR53P7DY" TargetMode="External" Id="rId36"/><Relationship Type="http://schemas.openxmlformats.org/officeDocument/2006/relationships/hyperlink" Target="https://www.amazon.com/dp/B0HC6866B7" TargetMode="External" Id="rId37"/><Relationship Type="http://schemas.openxmlformats.org/officeDocument/2006/relationships/hyperlink" Target="https://www.amazon.com/dp/B0D25LDRPS" TargetMode="External" Id="rId38"/><Relationship Type="http://schemas.openxmlformats.org/officeDocument/2006/relationships/hyperlink" Target="https://www.amazon.com/dp/B0HJVD7X1R" TargetMode="External" Id="rId39"/><Relationship Type="http://schemas.openxmlformats.org/officeDocument/2006/relationships/hyperlink" Target="https://www.amazon.com/dp/B0F2TDDFGJ" TargetMode="External" Id="rId40"/><Relationship Type="http://schemas.openxmlformats.org/officeDocument/2006/relationships/hyperlink" Target="https://www.amazon.com/dp/B0H29V113N" TargetMode="External" Id="rId41"/><Relationship Type="http://schemas.openxmlformats.org/officeDocument/2006/relationships/hyperlink" Target="https://www.amazon.com/dp/B0G674ZDTV" TargetMode="External" Id="rId42"/><Relationship Type="http://schemas.openxmlformats.org/officeDocument/2006/relationships/hyperlink" Target="https://www.amazon.com/dp/B0F93XRVSZ" TargetMode="External" Id="rId43"/><Relationship Type="http://schemas.openxmlformats.org/officeDocument/2006/relationships/hyperlink" Target="https://www.amazon.com/dp/B0F93XRVSZ" TargetMode="External" Id="rId44"/><Relationship Type="http://schemas.openxmlformats.org/officeDocument/2006/relationships/hyperlink" Target="https://www.amazon.com/dp/B0H7YWGBW3" TargetMode="External" Id="rId45"/><Relationship Type="http://schemas.openxmlformats.org/officeDocument/2006/relationships/hyperlink" Target="https://www.amazon.com/dp/B0GCGXW1WT" TargetMode="External" Id="rId46"/><Relationship Type="http://schemas.openxmlformats.org/officeDocument/2006/relationships/hyperlink" Target="https://www.amazon.com/dp/B0HK5V5KL1" TargetMode="External" Id="rId47"/><Relationship Type="http://schemas.openxmlformats.org/officeDocument/2006/relationships/hyperlink" Target="https://www.amazon.com/dp/B09PYQ2VQL" TargetMode="External" Id="rId48"/><Relationship Type="http://schemas.openxmlformats.org/officeDocument/2006/relationships/hyperlink" Target="https://www.amazon.com/dp/B0FLDYD61P" TargetMode="External" Id="rId49"/><Relationship Type="http://schemas.openxmlformats.org/officeDocument/2006/relationships/hyperlink" Target="https://www.amazon.com/dp/B0FLDYD61P" TargetMode="External" Id="rId50"/><Relationship Type="http://schemas.openxmlformats.org/officeDocument/2006/relationships/hyperlink" Target="https://www.amazon.com/dp/B0DYT2QWLC" TargetMode="External" Id="rId51"/><Relationship Type="http://schemas.openxmlformats.org/officeDocument/2006/relationships/hyperlink" Target="https://www.amazon.com/dp/B0DYT2QWLC" TargetMode="External" Id="rId52"/><Relationship Type="http://schemas.openxmlformats.org/officeDocument/2006/relationships/hyperlink" Target="https://www.amazon.com/dp/B0BZ8T5BJ6" TargetMode="External" Id="rId53"/><Relationship Type="http://schemas.openxmlformats.org/officeDocument/2006/relationships/hyperlink" Target="https://www.amazon.com/dp/B07YK8VTJV" TargetMode="External" Id="rId54"/><Relationship Type="http://schemas.openxmlformats.org/officeDocument/2006/relationships/hyperlink" Target="https://www.amazon.com/dp/B0GT172Y8L" TargetMode="External" Id="rId55"/><Relationship Type="http://schemas.openxmlformats.org/officeDocument/2006/relationships/hyperlink" Target="https://www.amazon.com/dp/B0G1CSCQTB" TargetMode="External" Id="rId56"/><Relationship Type="http://schemas.openxmlformats.org/officeDocument/2006/relationships/drawing" Target="/xl/drawings/drawing9.xml" Id="rId57"/><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1.xml.rels><Relationships xmlns="http://schemas.openxmlformats.org/package/2006/relationships"><Relationship Type="http://schemas.openxmlformats.org/officeDocument/2006/relationships/hyperlink" Target="https://www.amazon.com/dp/B0HC6866B7" TargetMode="External" Id="rId1"/><Relationship Type="http://schemas.openxmlformats.org/officeDocument/2006/relationships/hyperlink" Target="https://www.amazon.com/dp/B0D9JHBBCZ" TargetMode="External" Id="rId2"/><Relationship Type="http://schemas.openxmlformats.org/officeDocument/2006/relationships/hyperlink" Target="https://www.amazon.com/dp/B0H41M1N4B" TargetMode="External" Id="rId3"/><Relationship Type="http://schemas.openxmlformats.org/officeDocument/2006/relationships/hyperlink" Target="https://www.amazon.com/dp/B0DSPZJKTB" TargetMode="External" Id="rId4"/><Relationship Type="http://schemas.openxmlformats.org/officeDocument/2006/relationships/hyperlink" Target="https://www.amazon.com/dp/B0HC6866B7" TargetMode="External" Id="rId5"/><Relationship Type="http://schemas.openxmlformats.org/officeDocument/2006/relationships/hyperlink" Target="https://www.amazon.com/dp/B0D25LDRPS" TargetMode="External" Id="rId6"/><Relationship Type="http://schemas.openxmlformats.org/officeDocument/2006/relationships/hyperlink" Target="https://www.amazon.com/dp/B081KX96XD" TargetMode="External" Id="rId7"/><Relationship Type="http://schemas.openxmlformats.org/officeDocument/2006/relationships/hyperlink" Target="https://www.amazon.com/dp/B00EWJHJU4" TargetMode="External" Id="rId8"/><Relationship Type="http://schemas.openxmlformats.org/officeDocument/2006/relationships/hyperlink" Target="https://www.amazon.com/dp/B0FT4VV426" TargetMode="External" Id="rId9"/><Relationship Type="http://schemas.openxmlformats.org/officeDocument/2006/relationships/hyperlink" Target="https://www.amazon.com/dp/B0FT4TC7NV" TargetMode="External" Id="rId10"/><Relationship Type="http://schemas.openxmlformats.org/officeDocument/2006/relationships/hyperlink" Target="https://www.amazon.com/dp/B0F93XRVSZ" TargetMode="External" Id="rId11"/><Relationship Type="http://schemas.openxmlformats.org/officeDocument/2006/relationships/hyperlink" Target="https://www.amazon.com/dp/B0F93XRVSZ" TargetMode="External" Id="rId12"/><Relationship Type="http://schemas.openxmlformats.org/officeDocument/2006/relationships/hyperlink" Target="https://www.amazon.com/dp/B0H7YWGBW3" TargetMode="External" Id="rId13"/><Relationship Type="http://schemas.openxmlformats.org/officeDocument/2006/relationships/hyperlink" Target="https://www.amazon.com/dp/B0GCGXW1WT" TargetMode="External" Id="rId14"/><Relationship Type="http://schemas.openxmlformats.org/officeDocument/2006/relationships/hyperlink" Target="https://www.amazon.com/dp/B0DXT68BBR" TargetMode="External" Id="rId15"/><Relationship Type="http://schemas.openxmlformats.org/officeDocument/2006/relationships/hyperlink" Target="https://www.amazon.com/dp/B08YS6WZRR" TargetMode="External" Id="rId16"/><Relationship Type="http://schemas.openxmlformats.org/officeDocument/2006/relationships/hyperlink" Target="https://www.amazon.com/dp/B0CPDTJ5NN" TargetMode="External" Id="rId17"/><Relationship Type="http://schemas.openxmlformats.org/officeDocument/2006/relationships/hyperlink" Target="https://www.amazon.com/dp/B0CPDR5DDM" TargetMode="External" Id="rId18"/><Relationship Type="http://schemas.openxmlformats.org/officeDocument/2006/relationships/hyperlink" Target="https://www.amazon.com/dp/B0HJSVWNRS" TargetMode="External" Id="rId19"/><Relationship Type="http://schemas.openxmlformats.org/officeDocument/2006/relationships/hyperlink" Target="https://www.amazon.com/dp/B0FWY1TGFK" TargetMode="External" Id="rId20"/><Relationship Type="http://schemas.openxmlformats.org/officeDocument/2006/relationships/hyperlink" Target="https://www.amazon.com/dp/B0D1SRR2H4" TargetMode="External" Id="rId21"/><Relationship Type="http://schemas.openxmlformats.org/officeDocument/2006/relationships/hyperlink" Target="https://www.amazon.com/dp/B0D1RBXBNG" TargetMode="External" Id="rId22"/><Relationship Type="http://schemas.openxmlformats.org/officeDocument/2006/relationships/hyperlink" Target="https://www.amazon.com/dp/B0CZQ52MTQ" TargetMode="External" Id="rId23"/><Relationship Type="http://schemas.openxmlformats.org/officeDocument/2006/relationships/hyperlink" Target="https://www.amazon.com/dp/B07DZTQ4JC" TargetMode="External" Id="rId24"/><Relationship Type="http://schemas.openxmlformats.org/officeDocument/2006/relationships/hyperlink" Target="https://www.amazon.com/dp/B0G5N99X9R" TargetMode="External" Id="rId25"/><Relationship Type="http://schemas.openxmlformats.org/officeDocument/2006/relationships/hyperlink" Target="https://www.amazon.com/dp/B01N9L2O9P" TargetMode="External" Id="rId26"/><Relationship Type="http://schemas.openxmlformats.org/officeDocument/2006/relationships/hyperlink" Target="https://www.amazon.com/dp/B0BZ8T5BJ6" TargetMode="External" Id="rId27"/><Relationship Type="http://schemas.openxmlformats.org/officeDocument/2006/relationships/hyperlink" Target="https://www.amazon.com/dp/B07YK8VTJV" TargetMode="External" Id="rId28"/><Relationship Type="http://schemas.openxmlformats.org/officeDocument/2006/relationships/hyperlink" Target="https://www.amazon.com/dp/B0FT7L9RSX" TargetMode="External" Id="rId29"/><Relationship Type="http://schemas.openxmlformats.org/officeDocument/2006/relationships/hyperlink" Target="https://www.amazon.com/dp/B0FT7LZ2CD" TargetMode="External" Id="rId30"/><Relationship Type="http://schemas.openxmlformats.org/officeDocument/2006/relationships/hyperlink" Target="https://www.amazon.com/dp/B07K6SYX8L" TargetMode="External" Id="rId31"/><Relationship Type="http://schemas.openxmlformats.org/officeDocument/2006/relationships/hyperlink" Target="https://www.amazon.com/dp/B0DR99Q37Y" TargetMode="External" Id="rId32"/><Relationship Type="http://schemas.openxmlformats.org/officeDocument/2006/relationships/hyperlink" Target="https://www.amazon.com/dp/B0F4852T9V" TargetMode="External" Id="rId33"/><Relationship Type="http://schemas.openxmlformats.org/officeDocument/2006/relationships/hyperlink" Target="https://www.amazon.com/dp/B0F4873G4H" TargetMode="External" Id="rId34"/><Relationship Type="http://schemas.openxmlformats.org/officeDocument/2006/relationships/hyperlink" Target="https://www.amazon.com/dp/B0H29V113N" TargetMode="External" Id="rId35"/><Relationship Type="http://schemas.openxmlformats.org/officeDocument/2006/relationships/hyperlink" Target="https://www.amazon.com/dp/B08L86VLZB" TargetMode="External" Id="rId36"/><Relationship Type="http://schemas.openxmlformats.org/officeDocument/2006/relationships/hyperlink" Target="https://www.amazon.com/dp/B0F29FQLFD" TargetMode="External" Id="rId37"/><Relationship Type="http://schemas.openxmlformats.org/officeDocument/2006/relationships/hyperlink" Target="https://www.amazon.com/dp/B0F29F1JM5" TargetMode="External" Id="rId38"/><Relationship Type="http://schemas.openxmlformats.org/officeDocument/2006/relationships/hyperlink" Target="https://www.amazon.com/dp/B0DCZGYVZ9" TargetMode="External" Id="rId39"/><Relationship Type="http://schemas.openxmlformats.org/officeDocument/2006/relationships/hyperlink" Target="https://www.amazon.com/dp/B0F24TRXCZ" TargetMode="External" Id="rId40"/><Relationship Type="http://schemas.openxmlformats.org/officeDocument/2006/relationships/hyperlink" Target="https://www.amazon.com/dp/B0D4KS4MVX" TargetMode="External" Id="rId41"/><Relationship Type="http://schemas.openxmlformats.org/officeDocument/2006/relationships/hyperlink" Target="https://www.amazon.com/dp/B0CHN5ZPFH" TargetMode="External" Id="rId42"/><Relationship Type="http://schemas.openxmlformats.org/officeDocument/2006/relationships/hyperlink" Target="https://www.amazon.com/dp/B0DN1GGFL7" TargetMode="External" Id="rId43"/><Relationship Type="http://schemas.openxmlformats.org/officeDocument/2006/relationships/hyperlink" Target="https://www.amazon.com/dp/B0DN1DVKH5" TargetMode="External" Id="rId44"/><Relationship Type="http://schemas.openxmlformats.org/officeDocument/2006/relationships/hyperlink" Target="https://www.amazon.com/dp/B0HHQ97HBL" TargetMode="External" Id="rId45"/><Relationship Type="http://schemas.openxmlformats.org/officeDocument/2006/relationships/hyperlink" Target="https://www.amazon.com/dp/B0HD7R5L1D" TargetMode="External" Id="rId46"/><Relationship Type="http://schemas.openxmlformats.org/officeDocument/2006/relationships/hyperlink" Target="https://www.amazon.com/dp/B0GT98GVQN" TargetMode="External" Id="rId47"/><Relationship Type="http://schemas.openxmlformats.org/officeDocument/2006/relationships/hyperlink" Target="https://www.amazon.com/dp/B0GT8Z4X5D" TargetMode="External" Id="rId48"/><Relationship Type="http://schemas.openxmlformats.org/officeDocument/2006/relationships/hyperlink" Target="https://www.amazon.com/dp/B0HJZNMQ5G" TargetMode="External" Id="rId49"/><Relationship Type="http://schemas.openxmlformats.org/officeDocument/2006/relationships/hyperlink" Target="https://www.amazon.com/dp/B0GXJYQR7H" TargetMode="External" Id="rId50"/><Relationship Type="http://schemas.openxmlformats.org/officeDocument/2006/relationships/hyperlink" Target="https://www.amazon.com/dp/B0GT172Y8L" TargetMode="External" Id="rId51"/><Relationship Type="http://schemas.openxmlformats.org/officeDocument/2006/relationships/hyperlink" Target="https://www.amazon.com/dp/B0G1CSCQTB" TargetMode="External" Id="rId52"/><Relationship Type="http://schemas.openxmlformats.org/officeDocument/2006/relationships/hyperlink" Target="https://www.amazon.com/dp/B0H1GGHHVN" TargetMode="External" Id="rId53"/><Relationship Type="http://schemas.openxmlformats.org/officeDocument/2006/relationships/hyperlink" Target="https://www.amazon.com/dp/B0HFZQRXXQ" TargetMode="External" Id="rId54"/><Relationship Type="http://schemas.openxmlformats.org/officeDocument/2006/relationships/hyperlink" Target="https://www.amazon.com/dp/B0HFBJPD56" TargetMode="External" Id="rId55"/><Relationship Type="http://schemas.openxmlformats.org/officeDocument/2006/relationships/hyperlink" Target="https://www.amazon.com/dp/B0GWHPJ9SD" TargetMode="External" Id="rId56"/><Relationship Type="http://schemas.openxmlformats.org/officeDocument/2006/relationships/hyperlink" Target="https://www.amazon.com/dp/B0HK71WHZW" TargetMode="External" Id="rId57"/><Relationship Type="http://schemas.openxmlformats.org/officeDocument/2006/relationships/hyperlink" Target="https://www.amazon.com/dp/B0H1BWY4MD" TargetMode="External" Id="rId58"/><Relationship Type="http://schemas.openxmlformats.org/officeDocument/2006/relationships/hyperlink" Target="https://www.amazon.com/dp/B0HJVD7X1R" TargetMode="External" Id="rId59"/><Relationship Type="http://schemas.openxmlformats.org/officeDocument/2006/relationships/hyperlink" Target="https://www.amazon.com/dp/B0F2TDDFGJ" TargetMode="External" Id="rId60"/><Relationship Type="http://schemas.openxmlformats.org/officeDocument/2006/relationships/hyperlink" Target="https://www.amazon.com/dp/B0HHQG3RSW" TargetMode="External" Id="rId61"/><Relationship Type="http://schemas.openxmlformats.org/officeDocument/2006/relationships/hyperlink" Target="https://www.amazon.com/dp/B0G1N8QS55" TargetMode="External" Id="rId62"/><Relationship Type="http://schemas.openxmlformats.org/officeDocument/2006/relationships/hyperlink" Target="https://www.amazon.com/dp/B0HDC7BMTC" TargetMode="External" Id="rId63"/><Relationship Type="http://schemas.openxmlformats.org/officeDocument/2006/relationships/hyperlink" Target="https://www.amazon.com/dp/B0FX8K1CG9" TargetMode="External" Id="rId64"/><Relationship Type="http://schemas.openxmlformats.org/officeDocument/2006/relationships/hyperlink" Target="https://www.amazon.com/dp/B0HJYG8V9Q" TargetMode="External" Id="rId65"/><Relationship Type="http://schemas.openxmlformats.org/officeDocument/2006/relationships/hyperlink" Target="https://www.amazon.com/dp/B0HJYG8V9Q" TargetMode="External" Id="rId66"/><Relationship Type="http://schemas.openxmlformats.org/officeDocument/2006/relationships/hyperlink" Target="https://www.amazon.com/dp/B0HK5V5KL1" TargetMode="External" Id="rId67"/><Relationship Type="http://schemas.openxmlformats.org/officeDocument/2006/relationships/hyperlink" Target="https://www.amazon.com/dp/B09PYQ2VQL" TargetMode="External" Id="rId68"/><Relationship Type="http://schemas.openxmlformats.org/officeDocument/2006/relationships/hyperlink" Target="https://www.amazon.com/dp/B0CXB579TZ" TargetMode="External" Id="rId69"/><Relationship Type="http://schemas.openxmlformats.org/officeDocument/2006/relationships/hyperlink" Target="https://www.amazon.com/dp/B0CTKM53QJ" TargetMode="External" Id="rId70"/><Relationship Type="http://schemas.openxmlformats.org/officeDocument/2006/relationships/hyperlink" Target="https://www.amazon.com/dp/B0DCGL5646" TargetMode="External" Id="rId71"/><Relationship Type="http://schemas.openxmlformats.org/officeDocument/2006/relationships/hyperlink" Target="https://www.amazon.com/dp/B09GV8SK79" TargetMode="External" Id="rId72"/><Relationship Type="http://schemas.openxmlformats.org/officeDocument/2006/relationships/drawing" Target="/xl/drawings/drawing10.xml" Id="rId73"/><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2.xml.rels><Relationships xmlns="http://schemas.openxmlformats.org/package/2006/relationships"><Relationship Type="http://schemas.openxmlformats.org/officeDocument/2006/relationships/hyperlink" Target="https://www.amazon.com/dp/B0HC6866B7" TargetMode="External" Id="rId1"/><Relationship Type="http://schemas.openxmlformats.org/officeDocument/2006/relationships/hyperlink" Target="https://www.amazon.com/dp/B0D9JHBBCZ" TargetMode="External" Id="rId2"/><Relationship Type="http://schemas.openxmlformats.org/officeDocument/2006/relationships/hyperlink" Target="https://www.amazon.com/dp/B0H41M1N4B" TargetMode="External" Id="rId3"/><Relationship Type="http://schemas.openxmlformats.org/officeDocument/2006/relationships/hyperlink" Target="https://www.amazon.com/dp/B0DSPZJKTB" TargetMode="External" Id="rId4"/><Relationship Type="http://schemas.openxmlformats.org/officeDocument/2006/relationships/hyperlink" Target="https://www.amazon.com/dp/B0F93XRVSZ" TargetMode="External" Id="rId5"/><Relationship Type="http://schemas.openxmlformats.org/officeDocument/2006/relationships/hyperlink" Target="https://www.amazon.com/dp/B0F93XRVSZ" TargetMode="External" Id="rId6"/><Relationship Type="http://schemas.openxmlformats.org/officeDocument/2006/relationships/hyperlink" Target="https://www.amazon.com/dp/B0CPDTJ5NN" TargetMode="External" Id="rId7"/><Relationship Type="http://schemas.openxmlformats.org/officeDocument/2006/relationships/hyperlink" Target="https://www.amazon.com/dp/B0CPDR5DDM" TargetMode="External" Id="rId8"/><Relationship Type="http://schemas.openxmlformats.org/officeDocument/2006/relationships/hyperlink" Target="https://www.amazon.com/dp/B0D1SRR2H4" TargetMode="External" Id="rId9"/><Relationship Type="http://schemas.openxmlformats.org/officeDocument/2006/relationships/hyperlink" Target="https://www.amazon.com/dp/B0D1RBXBNG" TargetMode="External" Id="rId10"/><Relationship Type="http://schemas.openxmlformats.org/officeDocument/2006/relationships/hyperlink" Target="https://www.amazon.com/dp/B0BZ8T5BJ6" TargetMode="External" Id="rId11"/><Relationship Type="http://schemas.openxmlformats.org/officeDocument/2006/relationships/hyperlink" Target="https://www.amazon.com/dp/B07YK8VTJV" TargetMode="External" Id="rId12"/><Relationship Type="http://schemas.openxmlformats.org/officeDocument/2006/relationships/hyperlink" Target="https://www.amazon.com/dp/B0HDC7BMTC" TargetMode="External" Id="rId13"/><Relationship Type="http://schemas.openxmlformats.org/officeDocument/2006/relationships/hyperlink" Target="https://www.amazon.com/dp/B0FX8K1CG9" TargetMode="External" Id="rId14"/><Relationship Type="http://schemas.openxmlformats.org/officeDocument/2006/relationships/drawing" Target="/xl/drawings/drawing11.xml" Id="rId15"/><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3.xml.rels><Relationships xmlns="http://schemas.openxmlformats.org/package/2006/relationships"><Relationship Type="http://schemas.openxmlformats.org/officeDocument/2006/relationships/hyperlink" Target="https://www.amazon.com/dp/B0HC6866B7" TargetMode="External" Id="rId1"/><Relationship Type="http://schemas.openxmlformats.org/officeDocument/2006/relationships/hyperlink" Target="https://www.amazon.com/dp/B0D9JHBBCZ" TargetMode="External" Id="rId2"/><Relationship Type="http://schemas.openxmlformats.org/officeDocument/2006/relationships/hyperlink" Target="https://www.amazon.com/dp/B0H41M1N4B" TargetMode="External" Id="rId3"/><Relationship Type="http://schemas.openxmlformats.org/officeDocument/2006/relationships/hyperlink" Target="https://www.amazon.com/dp/B0DSPZJKTB" TargetMode="External" Id="rId4"/><Relationship Type="http://schemas.openxmlformats.org/officeDocument/2006/relationships/hyperlink" Target="https://www.amazon.com/dp/B0HC6866B7" TargetMode="External" Id="rId5"/><Relationship Type="http://schemas.openxmlformats.org/officeDocument/2006/relationships/hyperlink" Target="https://www.amazon.com/dp/B0D25LDRPS" TargetMode="External" Id="rId6"/><Relationship Type="http://schemas.openxmlformats.org/officeDocument/2006/relationships/hyperlink" Target="https://www.amazon.com/dp/B081KX96XD" TargetMode="External" Id="rId7"/><Relationship Type="http://schemas.openxmlformats.org/officeDocument/2006/relationships/hyperlink" Target="https://www.amazon.com/dp/B00EWJHJU4" TargetMode="External" Id="rId8"/><Relationship Type="http://schemas.openxmlformats.org/officeDocument/2006/relationships/hyperlink" Target="https://www.amazon.com/dp/B0FT4VV426" TargetMode="External" Id="rId9"/><Relationship Type="http://schemas.openxmlformats.org/officeDocument/2006/relationships/hyperlink" Target="https://www.amazon.com/dp/B0FT4TC7NV" TargetMode="External" Id="rId10"/><Relationship Type="http://schemas.openxmlformats.org/officeDocument/2006/relationships/hyperlink" Target="https://www.amazon.com/dp/B0F93XRVSZ" TargetMode="External" Id="rId11"/><Relationship Type="http://schemas.openxmlformats.org/officeDocument/2006/relationships/hyperlink" Target="https://www.amazon.com/dp/B0F93XRVSZ" TargetMode="External" Id="rId12"/><Relationship Type="http://schemas.openxmlformats.org/officeDocument/2006/relationships/hyperlink" Target="https://www.amazon.com/dp/B0H7YWGBW3" TargetMode="External" Id="rId13"/><Relationship Type="http://schemas.openxmlformats.org/officeDocument/2006/relationships/hyperlink" Target="https://www.amazon.com/dp/B0GCGXW1WT" TargetMode="External" Id="rId14"/><Relationship Type="http://schemas.openxmlformats.org/officeDocument/2006/relationships/hyperlink" Target="https://www.amazon.com/dp/B0DXT68BBR" TargetMode="External" Id="rId15"/><Relationship Type="http://schemas.openxmlformats.org/officeDocument/2006/relationships/hyperlink" Target="https://www.amazon.com/dp/B08YS6WZRR" TargetMode="External" Id="rId16"/><Relationship Type="http://schemas.openxmlformats.org/officeDocument/2006/relationships/hyperlink" Target="https://www.amazon.com/dp/B0HG4D2KWC" TargetMode="External" Id="rId17"/><Relationship Type="http://schemas.openxmlformats.org/officeDocument/2006/relationships/hyperlink" Target="https://www.amazon.com/dp/B0DSPYXPSP" TargetMode="External" Id="rId18"/><Relationship Type="http://schemas.openxmlformats.org/officeDocument/2006/relationships/hyperlink" Target="https://www.amazon.com/dp/B0HG4D2KWC" TargetMode="External" Id="rId19"/><Relationship Type="http://schemas.openxmlformats.org/officeDocument/2006/relationships/hyperlink" Target="https://www.amazon.com/dp/B0DSQ26RH3" TargetMode="External" Id="rId20"/><Relationship Type="http://schemas.openxmlformats.org/officeDocument/2006/relationships/hyperlink" Target="https://www.amazon.com/dp/B0CPDTJ5NN" TargetMode="External" Id="rId21"/><Relationship Type="http://schemas.openxmlformats.org/officeDocument/2006/relationships/hyperlink" Target="https://www.amazon.com/dp/B0CPDR5DDM" TargetMode="External" Id="rId22"/><Relationship Type="http://schemas.openxmlformats.org/officeDocument/2006/relationships/hyperlink" Target="https://www.amazon.com/dp/B0HJSVWNRS" TargetMode="External" Id="rId23"/><Relationship Type="http://schemas.openxmlformats.org/officeDocument/2006/relationships/hyperlink" Target="https://www.amazon.com/dp/B0FWY1TGFK" TargetMode="External" Id="rId24"/><Relationship Type="http://schemas.openxmlformats.org/officeDocument/2006/relationships/hyperlink" Target="https://www.amazon.com/dp/B0D1SRR2H4" TargetMode="External" Id="rId25"/><Relationship Type="http://schemas.openxmlformats.org/officeDocument/2006/relationships/hyperlink" Target="https://www.amazon.com/dp/B0D1RBXBNG" TargetMode="External" Id="rId26"/><Relationship Type="http://schemas.openxmlformats.org/officeDocument/2006/relationships/hyperlink" Target="https://www.amazon.com/dp/B0CZQ52MTQ" TargetMode="External" Id="rId27"/><Relationship Type="http://schemas.openxmlformats.org/officeDocument/2006/relationships/hyperlink" Target="https://www.amazon.com/dp/B07DZTQ4JC" TargetMode="External" Id="rId28"/><Relationship Type="http://schemas.openxmlformats.org/officeDocument/2006/relationships/hyperlink" Target="https://www.amazon.com/dp/B0G5N99X9R" TargetMode="External" Id="rId29"/><Relationship Type="http://schemas.openxmlformats.org/officeDocument/2006/relationships/hyperlink" Target="https://www.amazon.com/dp/B01N9L2O9P" TargetMode="External" Id="rId30"/><Relationship Type="http://schemas.openxmlformats.org/officeDocument/2006/relationships/hyperlink" Target="https://www.amazon.com/dp/B0BZ8T5BJ6" TargetMode="External" Id="rId31"/><Relationship Type="http://schemas.openxmlformats.org/officeDocument/2006/relationships/hyperlink" Target="https://www.amazon.com/dp/B07YK8VTJV" TargetMode="External" Id="rId32"/><Relationship Type="http://schemas.openxmlformats.org/officeDocument/2006/relationships/hyperlink" Target="https://www.amazon.com/dp/B0FT7L9RSX" TargetMode="External" Id="rId33"/><Relationship Type="http://schemas.openxmlformats.org/officeDocument/2006/relationships/hyperlink" Target="https://www.amazon.com/dp/B0FT7LZ2CD" TargetMode="External" Id="rId34"/><Relationship Type="http://schemas.openxmlformats.org/officeDocument/2006/relationships/hyperlink" Target="https://www.amazon.com/dp/B07K6SYX8L" TargetMode="External" Id="rId35"/><Relationship Type="http://schemas.openxmlformats.org/officeDocument/2006/relationships/hyperlink" Target="https://www.amazon.com/dp/B0DR99Q37Y" TargetMode="External" Id="rId36"/><Relationship Type="http://schemas.openxmlformats.org/officeDocument/2006/relationships/hyperlink" Target="https://www.amazon.com/dp/B0F4852T9V" TargetMode="External" Id="rId37"/><Relationship Type="http://schemas.openxmlformats.org/officeDocument/2006/relationships/hyperlink" Target="https://www.amazon.com/dp/B0F4873G4H" TargetMode="External" Id="rId38"/><Relationship Type="http://schemas.openxmlformats.org/officeDocument/2006/relationships/hyperlink" Target="https://www.amazon.com/dp/B0H29V113N" TargetMode="External" Id="rId39"/><Relationship Type="http://schemas.openxmlformats.org/officeDocument/2006/relationships/hyperlink" Target="https://www.amazon.com/dp/B08L86VLZB" TargetMode="External" Id="rId40"/><Relationship Type="http://schemas.openxmlformats.org/officeDocument/2006/relationships/hyperlink" Target="https://www.amazon.com/dp/B0F29FQLFD" TargetMode="External" Id="rId41"/><Relationship Type="http://schemas.openxmlformats.org/officeDocument/2006/relationships/hyperlink" Target="https://www.amazon.com/dp/B0F29F1JM5" TargetMode="External" Id="rId42"/><Relationship Type="http://schemas.openxmlformats.org/officeDocument/2006/relationships/hyperlink" Target="https://www.amazon.com/dp/B0DCZGYVZ9" TargetMode="External" Id="rId43"/><Relationship Type="http://schemas.openxmlformats.org/officeDocument/2006/relationships/hyperlink" Target="https://www.amazon.com/dp/B0F24TRXCZ" TargetMode="External" Id="rId44"/><Relationship Type="http://schemas.openxmlformats.org/officeDocument/2006/relationships/hyperlink" Target="https://www.amazon.com/dp/B0D4KS4MVX" TargetMode="External" Id="rId45"/><Relationship Type="http://schemas.openxmlformats.org/officeDocument/2006/relationships/hyperlink" Target="https://www.amazon.com/dp/B0CHN5ZPFH" TargetMode="External" Id="rId46"/><Relationship Type="http://schemas.openxmlformats.org/officeDocument/2006/relationships/hyperlink" Target="https://www.amazon.com/dp/B0DN1GGFL7" TargetMode="External" Id="rId47"/><Relationship Type="http://schemas.openxmlformats.org/officeDocument/2006/relationships/hyperlink" Target="https://www.amazon.com/dp/B0DN1DVKH5" TargetMode="External" Id="rId48"/><Relationship Type="http://schemas.openxmlformats.org/officeDocument/2006/relationships/hyperlink" Target="https://www.amazon.com/dp/B0HHQ97HBL" TargetMode="External" Id="rId49"/><Relationship Type="http://schemas.openxmlformats.org/officeDocument/2006/relationships/hyperlink" Target="https://www.amazon.com/dp/B0HD7R5L1D" TargetMode="External" Id="rId50"/><Relationship Type="http://schemas.openxmlformats.org/officeDocument/2006/relationships/hyperlink" Target="https://www.amazon.com/dp/B0GT98GVQN" TargetMode="External" Id="rId51"/><Relationship Type="http://schemas.openxmlformats.org/officeDocument/2006/relationships/hyperlink" Target="https://www.amazon.com/dp/B0GT8Z4X5D" TargetMode="External" Id="rId52"/><Relationship Type="http://schemas.openxmlformats.org/officeDocument/2006/relationships/hyperlink" Target="https://www.amazon.com/dp/B0GT172Y8L" TargetMode="External" Id="rId53"/><Relationship Type="http://schemas.openxmlformats.org/officeDocument/2006/relationships/hyperlink" Target="https://www.amazon.com/dp/B0G1CSCQTB" TargetMode="External" Id="rId54"/><Relationship Type="http://schemas.openxmlformats.org/officeDocument/2006/relationships/hyperlink" Target="https://www.amazon.com/dp/B0H1GGHHVN" TargetMode="External" Id="rId55"/><Relationship Type="http://schemas.openxmlformats.org/officeDocument/2006/relationships/hyperlink" Target="https://www.amazon.com/dp/B0HFZQRXXQ" TargetMode="External" Id="rId56"/><Relationship Type="http://schemas.openxmlformats.org/officeDocument/2006/relationships/hyperlink" Target="https://www.amazon.com/dp/B0HJZNMQ5G" TargetMode="External" Id="rId57"/><Relationship Type="http://schemas.openxmlformats.org/officeDocument/2006/relationships/hyperlink" Target="https://www.amazon.com/dp/B0GXJYQR7H" TargetMode="External" Id="rId58"/><Relationship Type="http://schemas.openxmlformats.org/officeDocument/2006/relationships/hyperlink" Target="https://www.amazon.com/dp/B0HJVD7X1R" TargetMode="External" Id="rId59"/><Relationship Type="http://schemas.openxmlformats.org/officeDocument/2006/relationships/hyperlink" Target="https://www.amazon.com/dp/B0F2TDDFGJ" TargetMode="External" Id="rId60"/><Relationship Type="http://schemas.openxmlformats.org/officeDocument/2006/relationships/hyperlink" Target="https://www.amazon.com/dp/B0HHQG3RSW" TargetMode="External" Id="rId61"/><Relationship Type="http://schemas.openxmlformats.org/officeDocument/2006/relationships/hyperlink" Target="https://www.amazon.com/dp/B0G1N8QS55" TargetMode="External" Id="rId62"/><Relationship Type="http://schemas.openxmlformats.org/officeDocument/2006/relationships/hyperlink" Target="https://www.amazon.com/dp/B0HK71WHZW" TargetMode="External" Id="rId63"/><Relationship Type="http://schemas.openxmlformats.org/officeDocument/2006/relationships/hyperlink" Target="https://www.amazon.com/dp/B0H1BWY4MD" TargetMode="External" Id="rId64"/><Relationship Type="http://schemas.openxmlformats.org/officeDocument/2006/relationships/hyperlink" Target="https://www.amazon.com/dp/B0HFBJPD56" TargetMode="External" Id="rId65"/><Relationship Type="http://schemas.openxmlformats.org/officeDocument/2006/relationships/hyperlink" Target="https://www.amazon.com/dp/B0GWHPJ9SD" TargetMode="External" Id="rId66"/><Relationship Type="http://schemas.openxmlformats.org/officeDocument/2006/relationships/hyperlink" Target="https://www.amazon.com/dp/B0HDC7BMTC" TargetMode="External" Id="rId67"/><Relationship Type="http://schemas.openxmlformats.org/officeDocument/2006/relationships/hyperlink" Target="https://www.amazon.com/dp/B0FX8K1CG9" TargetMode="External" Id="rId68"/><Relationship Type="http://schemas.openxmlformats.org/officeDocument/2006/relationships/hyperlink" Target="https://www.amazon.com/dp/B0HK5V5KL1" TargetMode="External" Id="rId69"/><Relationship Type="http://schemas.openxmlformats.org/officeDocument/2006/relationships/hyperlink" Target="https://www.amazon.com/dp/B09PYQ2VQL" TargetMode="External" Id="rId70"/><Relationship Type="http://schemas.openxmlformats.org/officeDocument/2006/relationships/hyperlink" Target="https://www.amazon.com/dp/B0HJYG8V9Q" TargetMode="External" Id="rId71"/><Relationship Type="http://schemas.openxmlformats.org/officeDocument/2006/relationships/hyperlink" Target="https://www.amazon.com/dp/B0HJYG8V9Q" TargetMode="External" Id="rId72"/><Relationship Type="http://schemas.openxmlformats.org/officeDocument/2006/relationships/hyperlink" Target="https://www.amazon.com/dp/B0CXB579TZ" TargetMode="External" Id="rId73"/><Relationship Type="http://schemas.openxmlformats.org/officeDocument/2006/relationships/hyperlink" Target="https://www.amazon.com/dp/B0CTKM53QJ" TargetMode="External" Id="rId74"/><Relationship Type="http://schemas.openxmlformats.org/officeDocument/2006/relationships/hyperlink" Target="https://www.amazon.com/dp/B0DCGL5646" TargetMode="External" Id="rId75"/><Relationship Type="http://schemas.openxmlformats.org/officeDocument/2006/relationships/hyperlink" Target="https://www.amazon.com/dp/B09GV8SK79" TargetMode="External" Id="rId76"/><Relationship Type="http://schemas.openxmlformats.org/officeDocument/2006/relationships/drawing" Target="/xl/drawings/drawing12.xml" Id="rId77"/><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4.xml.rels><Relationships xmlns="http://schemas.openxmlformats.org/package/2006/relationships"><Relationship Type="http://schemas.openxmlformats.org/officeDocument/2006/relationships/hyperlink" Target="https://www.amazon.com/dp/B0H3PX4VQC" TargetMode="External" Id="rId1"/><Relationship Type="http://schemas.openxmlformats.org/officeDocument/2006/relationships/hyperlink" Target="https://www.amazon.com/dp/B08TBL21VT" TargetMode="External" Id="rId2"/><Relationship Type="http://schemas.openxmlformats.org/officeDocument/2006/relationships/hyperlink" Target="https://www.amazon.com/dp/B0HFSJ3HLW" TargetMode="External" Id="rId3"/><Relationship Type="http://schemas.openxmlformats.org/officeDocument/2006/relationships/hyperlink" Target="https://www.amazon.com/dp/B07TMF54XC" TargetMode="External" Id="rId4"/><Relationship Type="http://schemas.openxmlformats.org/officeDocument/2006/relationships/hyperlink" Target="https://www.amazon.com/dp/B0H8YXSQ1P" TargetMode="External" Id="rId5"/><Relationship Type="http://schemas.openxmlformats.org/officeDocument/2006/relationships/hyperlink" Target="https://www.amazon.com/dp/B07V6SKZ7V" TargetMode="External" Id="rId6"/><Relationship Type="http://schemas.openxmlformats.org/officeDocument/2006/relationships/hyperlink" Target="https://www.amazon.com/dp/B0B75178W1" TargetMode="External" Id="rId7"/><Relationship Type="http://schemas.openxmlformats.org/officeDocument/2006/relationships/hyperlink" Target="https://www.amazon.com/dp/B08X2KBD67" TargetMode="External" Id="rId8"/><Relationship Type="http://schemas.openxmlformats.org/officeDocument/2006/relationships/hyperlink" Target="https://www.amazon.com/dp/B0DL5R7SSB" TargetMode="External" Id="rId9"/><Relationship Type="http://schemas.openxmlformats.org/officeDocument/2006/relationships/hyperlink" Target="https://www.amazon.com/dp/B0DLB4PQS8" TargetMode="External" Id="rId10"/><Relationship Type="http://schemas.openxmlformats.org/officeDocument/2006/relationships/hyperlink" Target="https://www.amazon.com/dp/B0F53TNFSX" TargetMode="External" Id="rId11"/><Relationship Type="http://schemas.openxmlformats.org/officeDocument/2006/relationships/hyperlink" Target="https://www.amazon.com/dp/B0DSQ12L6F" TargetMode="External" Id="rId12"/><Relationship Type="http://schemas.openxmlformats.org/officeDocument/2006/relationships/hyperlink" Target="https://www.amazon.com/dp/B099JMGRBY" TargetMode="External" Id="rId13"/><Relationship Type="http://schemas.openxmlformats.org/officeDocument/2006/relationships/hyperlink" Target="https://www.amazon.com/dp/B099J7KMK5" TargetMode="External" Id="rId14"/><Relationship Type="http://schemas.openxmlformats.org/officeDocument/2006/relationships/hyperlink" Target="https://www.amazon.com/dp/B0BR9J5DGW" TargetMode="External" Id="rId15"/><Relationship Type="http://schemas.openxmlformats.org/officeDocument/2006/relationships/hyperlink" Target="https://www.amazon.com/dp/B0BR9J5DGW" TargetMode="External" Id="rId16"/><Relationship Type="http://schemas.openxmlformats.org/officeDocument/2006/relationships/hyperlink" Target="https://www.amazon.com/dp/B0CZB5B67X" TargetMode="External" Id="rId17"/><Relationship Type="http://schemas.openxmlformats.org/officeDocument/2006/relationships/hyperlink" Target="https://www.amazon.com/dp/B0CZB5B67X" TargetMode="External" Id="rId18"/><Relationship Type="http://schemas.openxmlformats.org/officeDocument/2006/relationships/hyperlink" Target="https://www.amazon.com/dp/B0C13Y18JW" TargetMode="External" Id="rId19"/><Relationship Type="http://schemas.openxmlformats.org/officeDocument/2006/relationships/hyperlink" Target="https://www.amazon.com/dp/B0C141VGM6" TargetMode="External" Id="rId20"/><Relationship Type="http://schemas.openxmlformats.org/officeDocument/2006/relationships/hyperlink" Target="https://www.amazon.com/dp/B0CN6YFBVJ" TargetMode="External" Id="rId21"/><Relationship Type="http://schemas.openxmlformats.org/officeDocument/2006/relationships/hyperlink" Target="https://www.amazon.com/dp/B0BLT2MCT6" TargetMode="External" Id="rId22"/><Relationship Type="http://schemas.openxmlformats.org/officeDocument/2006/relationships/hyperlink" Target="https://www.amazon.com/dp/B0GS2D7MBT" TargetMode="External" Id="rId23"/><Relationship Type="http://schemas.openxmlformats.org/officeDocument/2006/relationships/hyperlink" Target="https://www.amazon.com/dp/B0CP3NX181" TargetMode="External" Id="rId24"/><Relationship Type="http://schemas.openxmlformats.org/officeDocument/2006/relationships/hyperlink" Target="https://www.amazon.com/dp/B0DGH3JKZ5" TargetMode="External" Id="rId25"/><Relationship Type="http://schemas.openxmlformats.org/officeDocument/2006/relationships/hyperlink" Target="https://www.amazon.com/dp/B08B448344" TargetMode="External" Id="rId26"/><Relationship Type="http://schemas.openxmlformats.org/officeDocument/2006/relationships/hyperlink" Target="https://www.amazon.com/dp/B0CFY7SVV7" TargetMode="External" Id="rId27"/><Relationship Type="http://schemas.openxmlformats.org/officeDocument/2006/relationships/hyperlink" Target="https://www.amazon.com/dp/B095GTMX4Y" TargetMode="External" Id="rId28"/><Relationship Type="http://schemas.openxmlformats.org/officeDocument/2006/relationships/hyperlink" Target="https://www.amazon.com/dp/B0DJ933TY2" TargetMode="External" Id="rId29"/><Relationship Type="http://schemas.openxmlformats.org/officeDocument/2006/relationships/hyperlink" Target="https://www.amazon.com/dp/B0DJ933TY2" TargetMode="External" Id="rId30"/><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5.xml.rels><Relationships xmlns="http://schemas.openxmlformats.org/package/2006/relationships"><Relationship Type="http://schemas.openxmlformats.org/officeDocument/2006/relationships/hyperlink" Target="https://www.amazon.com/dp/B0D15BSQCT" TargetMode="External" Id="rId1"/><Relationship Type="http://schemas.openxmlformats.org/officeDocument/2006/relationships/hyperlink" Target="https://www.amazon.com/dp/B098TRFLHZ" TargetMode="External" Id="rId2"/><Relationship Type="http://schemas.openxmlformats.org/officeDocument/2006/relationships/hyperlink" Target="https://www.amazon.com/dp/B0H3PX4VQC" TargetMode="External" Id="rId3"/><Relationship Type="http://schemas.openxmlformats.org/officeDocument/2006/relationships/hyperlink" Target="https://www.amazon.com/dp/B08TBL21VT" TargetMode="External" Id="rId4"/><Relationship Type="http://schemas.openxmlformats.org/officeDocument/2006/relationships/hyperlink" Target="https://www.amazon.com/dp/B0HFSJ3HLW" TargetMode="External" Id="rId5"/><Relationship Type="http://schemas.openxmlformats.org/officeDocument/2006/relationships/hyperlink" Target="https://www.amazon.com/dp/B07TMF54XC" TargetMode="External" Id="rId6"/><Relationship Type="http://schemas.openxmlformats.org/officeDocument/2006/relationships/hyperlink" Target="https://www.amazon.com/dp/B0H3PX4VQC" TargetMode="External" Id="rId7"/><Relationship Type="http://schemas.openxmlformats.org/officeDocument/2006/relationships/hyperlink" Target="https://www.amazon.com/dp/B08TBL21VT" TargetMode="External" Id="rId8"/><Relationship Type="http://schemas.openxmlformats.org/officeDocument/2006/relationships/hyperlink" Target="https://www.amazon.com/dp/B0B75178W1" TargetMode="External" Id="rId9"/><Relationship Type="http://schemas.openxmlformats.org/officeDocument/2006/relationships/hyperlink" Target="https://www.amazon.com/dp/B08X2KBD67" TargetMode="External" Id="rId10"/><Relationship Type="http://schemas.openxmlformats.org/officeDocument/2006/relationships/hyperlink" Target="https://www.amazon.com/dp/B0D4BZDBY7" TargetMode="External" Id="rId11"/><Relationship Type="http://schemas.openxmlformats.org/officeDocument/2006/relationships/hyperlink" Target="https://www.amazon.com/dp/B0GKDH5DJ9" TargetMode="External" Id="rId12"/><Relationship Type="http://schemas.openxmlformats.org/officeDocument/2006/relationships/hyperlink" Target="https://www.amazon.com/dp/B0CP7J6RB8" TargetMode="External" Id="rId13"/><Relationship Type="http://schemas.openxmlformats.org/officeDocument/2006/relationships/hyperlink" Target="https://www.amazon.com/dp/B0CH8B5HZB" TargetMode="External" Id="rId14"/><Relationship Type="http://schemas.openxmlformats.org/officeDocument/2006/relationships/hyperlink" Target="https://www.amazon.com/dp/B0DL5R7SSB" TargetMode="External" Id="rId15"/><Relationship Type="http://schemas.openxmlformats.org/officeDocument/2006/relationships/hyperlink" Target="https://www.amazon.com/dp/B0DLB4PQS8" TargetMode="External" Id="rId16"/><Relationship Type="http://schemas.openxmlformats.org/officeDocument/2006/relationships/hyperlink" Target="https://www.amazon.com/dp/B0F53TNFSX" TargetMode="External" Id="rId17"/><Relationship Type="http://schemas.openxmlformats.org/officeDocument/2006/relationships/hyperlink" Target="https://www.amazon.com/dp/B0DSQ12L6F" TargetMode="External" Id="rId18"/><Relationship Type="http://schemas.openxmlformats.org/officeDocument/2006/relationships/hyperlink" Target="https://www.amazon.com/dp/B099JMGRBY" TargetMode="External" Id="rId19"/><Relationship Type="http://schemas.openxmlformats.org/officeDocument/2006/relationships/hyperlink" Target="https://www.amazon.com/dp/B099J7KMK5" TargetMode="External" Id="rId20"/><Relationship Type="http://schemas.openxmlformats.org/officeDocument/2006/relationships/hyperlink" Target="https://www.amazon.com/dp/B0CZB5B67X" TargetMode="External" Id="rId21"/><Relationship Type="http://schemas.openxmlformats.org/officeDocument/2006/relationships/hyperlink" Target="https://www.amazon.com/dp/B0CZB5B67X" TargetMode="External" Id="rId22"/><Relationship Type="http://schemas.openxmlformats.org/officeDocument/2006/relationships/hyperlink" Target="https://www.amazon.com/dp/B0BR9J5DGW" TargetMode="External" Id="rId23"/><Relationship Type="http://schemas.openxmlformats.org/officeDocument/2006/relationships/hyperlink" Target="https://www.amazon.com/dp/B0BR9J5DGW" TargetMode="External" Id="rId24"/><Relationship Type="http://schemas.openxmlformats.org/officeDocument/2006/relationships/hyperlink" Target="https://www.amazon.com/dp/B0H8YXSQ1P" TargetMode="External" Id="rId25"/><Relationship Type="http://schemas.openxmlformats.org/officeDocument/2006/relationships/hyperlink" Target="https://www.amazon.com/dp/B07V6SKZ7V" TargetMode="External" Id="rId26"/><Relationship Type="http://schemas.openxmlformats.org/officeDocument/2006/relationships/hyperlink" Target="https://www.amazon.com/dp/B0C13Y18JW" TargetMode="External" Id="rId27"/><Relationship Type="http://schemas.openxmlformats.org/officeDocument/2006/relationships/hyperlink" Target="https://www.amazon.com/dp/B0C141VGM6" TargetMode="External" Id="rId28"/><Relationship Type="http://schemas.openxmlformats.org/officeDocument/2006/relationships/hyperlink" Target="https://www.amazon.com/dp/B0CN6YFBVJ" TargetMode="External" Id="rId29"/><Relationship Type="http://schemas.openxmlformats.org/officeDocument/2006/relationships/hyperlink" Target="https://www.amazon.com/dp/B0BLT2MCT6" TargetMode="External" Id="rId30"/><Relationship Type="http://schemas.openxmlformats.org/officeDocument/2006/relationships/hyperlink" Target="https://www.amazon.com/dp/B0GS2D7MBT" TargetMode="External" Id="rId31"/><Relationship Type="http://schemas.openxmlformats.org/officeDocument/2006/relationships/hyperlink" Target="https://www.amazon.com/dp/B0CP3NX181" TargetMode="External" Id="rId32"/><Relationship Type="http://schemas.openxmlformats.org/officeDocument/2006/relationships/hyperlink" Target="https://www.amazon.com/dp/B0DGH3JKZ5" TargetMode="External" Id="rId33"/><Relationship Type="http://schemas.openxmlformats.org/officeDocument/2006/relationships/hyperlink" Target="https://www.amazon.com/dp/B08B448344" TargetMode="External" Id="rId34"/><Relationship Type="http://schemas.openxmlformats.org/officeDocument/2006/relationships/hyperlink" Target="https://www.amazon.com/dp/B09BKQK7RZ" TargetMode="External" Id="rId35"/><Relationship Type="http://schemas.openxmlformats.org/officeDocument/2006/relationships/hyperlink" Target="https://www.amazon.com/dp/B09BL2SMVG" TargetMode="External" Id="rId36"/><Relationship Type="http://schemas.openxmlformats.org/officeDocument/2006/relationships/hyperlink" Target="https://www.amazon.com/dp/B0HGLD1P8V" TargetMode="External" Id="rId37"/><Relationship Type="http://schemas.openxmlformats.org/officeDocument/2006/relationships/hyperlink" Target="https://www.amazon.com/dp/B0CQK3KHHH" TargetMode="External" Id="rId38"/><Relationship Type="http://schemas.openxmlformats.org/officeDocument/2006/relationships/hyperlink" Target="https://www.amazon.com/dp/B0CFY7SVV7" TargetMode="External" Id="rId39"/><Relationship Type="http://schemas.openxmlformats.org/officeDocument/2006/relationships/hyperlink" Target="https://www.amazon.com/dp/B095GTMX4Y" TargetMode="External" Id="rId40"/><Relationship Type="http://schemas.openxmlformats.org/officeDocument/2006/relationships/hyperlink" Target="https://www.amazon.com/dp/B0DJ933TY2" TargetMode="External" Id="rId41"/><Relationship Type="http://schemas.openxmlformats.org/officeDocument/2006/relationships/hyperlink" Target="https://www.amazon.com/dp/B0DJ933TY2" TargetMode="External" Id="rId42"/><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6.xml.rels><Relationships xmlns="http://schemas.openxmlformats.org/package/2006/relationships"><Relationship Type="http://schemas.openxmlformats.org/officeDocument/2006/relationships/hyperlink" Target="https://www.amazon.com/dp/B0BVQMYKYS" TargetMode="External" Id="rId1"/><Relationship Type="http://schemas.openxmlformats.org/officeDocument/2006/relationships/hyperlink" Target="https://www.amazon.com/dp/B0BVQMB99W" TargetMode="External" Id="rId2"/><Relationship Type="http://schemas.openxmlformats.org/officeDocument/2006/relationships/hyperlink" Target="https://www.amazon.com/dp/B0G3WWQ7DL" TargetMode="External" Id="rId3"/><Relationship Type="http://schemas.openxmlformats.org/officeDocument/2006/relationships/hyperlink" Target="https://www.amazon.com/dp/B0G3W85TSH" TargetMode="External" Id="rId4"/><Relationship Type="http://schemas.openxmlformats.org/officeDocument/2006/relationships/hyperlink" Target="https://www.amazon.com/dp/B0DWNGWXVQ" TargetMode="External" Id="rId5"/><Relationship Type="http://schemas.openxmlformats.org/officeDocument/2006/relationships/hyperlink" Target="https://www.amazon.com/dp/B0DWNFHNXL" TargetMode="External" Id="rId6"/><Relationship Type="http://schemas.openxmlformats.org/officeDocument/2006/relationships/hyperlink" Target="https://www.amazon.com/dp/B0HFJBMMDZ" TargetMode="External" Id="rId7"/><Relationship Type="http://schemas.openxmlformats.org/officeDocument/2006/relationships/hyperlink" Target="https://www.amazon.com/dp/B0BQ6YY21S" TargetMode="External" Id="rId8"/><Relationship Type="http://schemas.openxmlformats.org/officeDocument/2006/relationships/hyperlink" Target="https://www.amazon.com/dp/B0D4J5Q1TK" TargetMode="External" Id="rId9"/><Relationship Type="http://schemas.openxmlformats.org/officeDocument/2006/relationships/hyperlink" Target="https://www.amazon.com/dp/B094C72SZ4" TargetMode="External" Id="rId10"/><Relationship Type="http://schemas.openxmlformats.org/officeDocument/2006/relationships/hyperlink" Target="https://www.amazon.com/dp/B0GKFXT56N" TargetMode="External" Id="rId11"/><Relationship Type="http://schemas.openxmlformats.org/officeDocument/2006/relationships/hyperlink" Target="https://www.amazon.com/dp/B0GKHZKQ9W" TargetMode="External" Id="rId12"/><Relationship Type="http://schemas.openxmlformats.org/officeDocument/2006/relationships/hyperlink" Target="https://www.amazon.com/dp/B0GVYJX6MB" TargetMode="External" Id="rId13"/><Relationship Type="http://schemas.openxmlformats.org/officeDocument/2006/relationships/hyperlink" Target="https://www.amazon.com/dp/B0GK9776YF" TargetMode="External" Id="rId14"/><Relationship Type="http://schemas.openxmlformats.org/officeDocument/2006/relationships/hyperlink" Target="https://www.amazon.com/dp/B0F38CR981" TargetMode="External" Id="rId15"/><Relationship Type="http://schemas.openxmlformats.org/officeDocument/2006/relationships/hyperlink" Target="https://www.amazon.com/dp/B0DSPZQ9JG" TargetMode="External" Id="rId16"/><Relationship Type="http://schemas.openxmlformats.org/officeDocument/2006/relationships/hyperlink" Target="https://www.amazon.com/dp/B0DYZMVM53" TargetMode="External" Id="rId17"/><Relationship Type="http://schemas.openxmlformats.org/officeDocument/2006/relationships/hyperlink" Target="https://www.amazon.com/dp/B0DFW11ZMW" TargetMode="External" Id="rId18"/><Relationship Type="http://schemas.openxmlformats.org/officeDocument/2006/relationships/hyperlink" Target="https://www.amazon.com/dp/B0H71QH7J8" TargetMode="External" Id="rId19"/><Relationship Type="http://schemas.openxmlformats.org/officeDocument/2006/relationships/hyperlink" Target="https://www.amazon.com/dp/B0G7YZWPHK" TargetMode="External" Id="rId20"/><Relationship Type="http://schemas.openxmlformats.org/officeDocument/2006/relationships/hyperlink" Target="https://www.amazon.com/dp/B0GBWB3NSS" TargetMode="External" Id="rId21"/><Relationship Type="http://schemas.openxmlformats.org/officeDocument/2006/relationships/hyperlink" Target="https://www.amazon.com/dp/B0GBV12MKL" TargetMode="External" Id="rId22"/><Relationship Type="http://schemas.openxmlformats.org/officeDocument/2006/relationships/hyperlink" Target="https://www.amazon.com/dp/B0FDWBSS6T" TargetMode="External" Id="rId23"/><Relationship Type="http://schemas.openxmlformats.org/officeDocument/2006/relationships/hyperlink" Target="https://www.amazon.com/dp/B0DYNVCJG9" TargetMode="External" Id="rId24"/><Relationship Type="http://schemas.openxmlformats.org/officeDocument/2006/relationships/hyperlink" Target="https://www.amazon.com/dp/B0B5TLCZ4X" TargetMode="External" Id="rId25"/><Relationship Type="http://schemas.openxmlformats.org/officeDocument/2006/relationships/hyperlink" Target="https://www.amazon.com/dp/B0B5TG8ZVW" TargetMode="External" Id="rId26"/><Relationship Type="http://schemas.openxmlformats.org/officeDocument/2006/relationships/hyperlink" Target="https://www.amazon.com/dp/B0F7GKNYTQ" TargetMode="External" Id="rId27"/><Relationship Type="http://schemas.openxmlformats.org/officeDocument/2006/relationships/hyperlink" Target="https://www.amazon.com/dp/B0F7GKNYTQ" TargetMode="External" Id="rId28"/><Relationship Type="http://schemas.openxmlformats.org/officeDocument/2006/relationships/hyperlink" Target="https://www.amazon.com/dp/B0GR4L84HS" TargetMode="External" Id="rId29"/><Relationship Type="http://schemas.openxmlformats.org/officeDocument/2006/relationships/hyperlink" Target="https://www.amazon.com/dp/B0GR4L84HS" TargetMode="External" Id="rId30"/><Relationship Type="http://schemas.openxmlformats.org/officeDocument/2006/relationships/hyperlink" Target="https://www.amazon.com/dp/B0HCMWRT6G" TargetMode="External" Id="rId31"/><Relationship Type="http://schemas.openxmlformats.org/officeDocument/2006/relationships/hyperlink" Target="https://www.amazon.com/dp/B0C3RB67HV" TargetMode="External" Id="rId32"/><Relationship Type="http://schemas.openxmlformats.org/officeDocument/2006/relationships/hyperlink" Target="https://www.amazon.com/dp/B0DVSHCVND" TargetMode="External" Id="rId33"/><Relationship Type="http://schemas.openxmlformats.org/officeDocument/2006/relationships/hyperlink" Target="https://www.amazon.com/dp/B0DMCWVMVH" TargetMode="External" Id="rId34"/><Relationship Type="http://schemas.openxmlformats.org/officeDocument/2006/relationships/hyperlink" Target="https://www.amazon.com/dp/B0H9S19J4V" TargetMode="External" Id="rId35"/><Relationship Type="http://schemas.openxmlformats.org/officeDocument/2006/relationships/hyperlink" Target="https://www.amazon.com/dp/B0BN5TKJ8D" TargetMode="External" Id="rId36"/><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7.xml.rels><Relationships xmlns="http://schemas.openxmlformats.org/package/2006/relationships"><Relationship Type="http://schemas.openxmlformats.org/officeDocument/2006/relationships/hyperlink" Target="https://www.amazon.com/dp/B0C14HFDS1" TargetMode="External" Id="rId1"/><Relationship Type="http://schemas.openxmlformats.org/officeDocument/2006/relationships/hyperlink" Target="https://www.amazon.com/dp/B0D4Y6RKLL" TargetMode="External" Id="rId2"/><Relationship Type="http://schemas.openxmlformats.org/officeDocument/2006/relationships/hyperlink" Target="https://www.amazon.com/dp/B0DT14Y4VJ" TargetMode="External" Id="rId3"/><Relationship Type="http://schemas.openxmlformats.org/officeDocument/2006/relationships/hyperlink" Target="https://www.amazon.com/dp/B0DMNMPVJP" TargetMode="External" Id="rId4"/><Relationship Type="http://schemas.openxmlformats.org/officeDocument/2006/relationships/hyperlink" Target="https://www.amazon.com/dp/B0GNMKSLRZ" TargetMode="External" Id="rId5"/><Relationship Type="http://schemas.openxmlformats.org/officeDocument/2006/relationships/hyperlink" Target="https://www.amazon.com/dp/B0FQPCYCVQ" TargetMode="External" Id="rId6"/><Relationship Type="http://schemas.openxmlformats.org/officeDocument/2006/relationships/hyperlink" Target="https://www.amazon.com/dp/B0CXPDKH51" TargetMode="External" Id="rId7"/><Relationship Type="http://schemas.openxmlformats.org/officeDocument/2006/relationships/hyperlink" Target="https://www.amazon.com/dp/B0CXPKK5DD" TargetMode="External" Id="rId8"/><Relationship Type="http://schemas.openxmlformats.org/officeDocument/2006/relationships/hyperlink" Target="https://www.amazon.com/dp/B0FW3SSM8K" TargetMode="External" Id="rId9"/><Relationship Type="http://schemas.openxmlformats.org/officeDocument/2006/relationships/hyperlink" Target="https://www.amazon.com/dp/B0FW38KM4S" TargetMode="External" Id="rId10"/><Relationship Type="http://schemas.openxmlformats.org/officeDocument/2006/relationships/hyperlink" Target="https://www.amazon.com/dp/B0FP7WBFNJ" TargetMode="External" Id="rId11"/><Relationship Type="http://schemas.openxmlformats.org/officeDocument/2006/relationships/hyperlink" Target="https://www.amazon.com/dp/B0CZXZCTJP" TargetMode="External" Id="rId12"/><Relationship Type="http://schemas.openxmlformats.org/officeDocument/2006/relationships/hyperlink" Target="https://www.amazon.com/dp/B0CZQ52MTQ" TargetMode="External" Id="rId13"/><Relationship Type="http://schemas.openxmlformats.org/officeDocument/2006/relationships/hyperlink" Target="https://www.amazon.com/dp/B07DZTQ4JC" TargetMode="External" Id="rId14"/><Relationship Type="http://schemas.openxmlformats.org/officeDocument/2006/relationships/hyperlink" Target="https://www.amazon.com/dp/B0FB8XS4D1" TargetMode="External" Id="rId15"/><Relationship Type="http://schemas.openxmlformats.org/officeDocument/2006/relationships/hyperlink" Target="https://www.amazon.com/dp/B0FB8XR43Q" TargetMode="External" Id="rId16"/><Relationship Type="http://schemas.openxmlformats.org/officeDocument/2006/relationships/hyperlink" Target="https://www.amazon.com/dp/B0HDC7BMTC" TargetMode="External" Id="rId17"/><Relationship Type="http://schemas.openxmlformats.org/officeDocument/2006/relationships/hyperlink" Target="https://www.amazon.com/dp/B0FX8K1CG9" TargetMode="External" Id="rId18"/><Relationship Type="http://schemas.openxmlformats.org/officeDocument/2006/relationships/hyperlink" Target="https://www.amazon.com/dp/B0BZ8T5BJ6" TargetMode="External" Id="rId19"/><Relationship Type="http://schemas.openxmlformats.org/officeDocument/2006/relationships/hyperlink" Target="https://www.amazon.com/dp/B07YK8VTJV" TargetMode="External" Id="rId20"/><Relationship Type="http://schemas.openxmlformats.org/officeDocument/2006/relationships/hyperlink" Target="https://www.amazon.com/dp/B0HC6866B7" TargetMode="External" Id="rId21"/><Relationship Type="http://schemas.openxmlformats.org/officeDocument/2006/relationships/hyperlink" Target="https://www.amazon.com/dp/B0D9JHBBCZ" TargetMode="External" Id="rId22"/><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8.xml.rels><Relationships xmlns="http://schemas.openxmlformats.org/package/2006/relationships"><Relationship Type="http://schemas.openxmlformats.org/officeDocument/2006/relationships/hyperlink" Target="https://www.amazon.com/dp/B0859YNTXN" TargetMode="External" Id="rId1"/><Relationship Type="http://schemas.openxmlformats.org/officeDocument/2006/relationships/hyperlink" Target="https://www.amazon.com/dp/B08LDD8HBW" TargetMode="External" Id="rId2"/><Relationship Type="http://schemas.openxmlformats.org/officeDocument/2006/relationships/hyperlink" Target="https://www.amazon.com/dp/B0DS2L4CG2" TargetMode="External" Id="rId3"/><Relationship Type="http://schemas.openxmlformats.org/officeDocument/2006/relationships/hyperlink" Target="https://www.amazon.com/dp/B0D8JF6DDS" TargetMode="External" Id="rId4"/><Relationship Type="http://schemas.openxmlformats.org/officeDocument/2006/relationships/hyperlink" Target="https://www.amazon.com/dp/B0BS5MVH9Q" TargetMode="External" Id="rId5"/><Relationship Type="http://schemas.openxmlformats.org/officeDocument/2006/relationships/hyperlink" Target="https://www.amazon.com/dp/B085DLHZQ1" TargetMode="External" Id="rId6"/><Relationship Type="http://schemas.openxmlformats.org/officeDocument/2006/relationships/hyperlink" Target="https://www.amazon.com/dp/B07TZHQQ2L" TargetMode="External" Id="rId7"/><Relationship Type="http://schemas.openxmlformats.org/officeDocument/2006/relationships/hyperlink" Target="https://www.amazon.com/dp/B07S6N5C5P" TargetMode="External" Id="rId8"/><Relationship Type="http://schemas.openxmlformats.org/officeDocument/2006/relationships/hyperlink" Target="https://www.amazon.com/dp/B09HGJGKYD" TargetMode="External" Id="rId9"/><Relationship Type="http://schemas.openxmlformats.org/officeDocument/2006/relationships/hyperlink" Target="https://www.amazon.com/dp/B09P3NKL53" TargetMode="External" Id="rId10"/><Relationship Type="http://schemas.openxmlformats.org/officeDocument/2006/relationships/hyperlink" Target="https://www.amazon.com/dp/B0B4JBJGT9" TargetMode="External" Id="rId11"/><Relationship Type="http://schemas.openxmlformats.org/officeDocument/2006/relationships/hyperlink" Target="https://www.amazon.com/dp/B0BGS9VP2S" TargetMode="External" Id="rId12"/><Relationship Type="http://schemas.openxmlformats.org/officeDocument/2006/relationships/hyperlink" Target="https://www.amazon.com/dp/B089VRY7KD" TargetMode="External" Id="rId13"/><Relationship Type="http://schemas.openxmlformats.org/officeDocument/2006/relationships/hyperlink" Target="https://www.amazon.com/dp/B089VT34WN" TargetMode="External" Id="rId14"/><Relationship Type="http://schemas.openxmlformats.org/officeDocument/2006/relationships/hyperlink" Target="https://www.amazon.com/dp/B0D7V5YL6V" TargetMode="External" Id="rId15"/><Relationship Type="http://schemas.openxmlformats.org/officeDocument/2006/relationships/hyperlink" Target="https://www.amazon.com/dp/B0CRPTW9GV" TargetMode="External" Id="rId16"/><Relationship Type="http://schemas.openxmlformats.org/officeDocument/2006/relationships/hyperlink" Target="https://www.amazon.com/dp/B0CRH88PXZ" TargetMode="External" Id="rId17"/><Relationship Type="http://schemas.openxmlformats.org/officeDocument/2006/relationships/hyperlink" Target="https://www.amazon.com/dp/B0DJ6XGCFD" TargetMode="External" Id="rId18"/><Relationship Type="http://schemas.openxmlformats.org/officeDocument/2006/relationships/hyperlink" Target="https://www.amazon.com/dp/B0CQSZMYXD" TargetMode="External" Id="rId19"/><Relationship Type="http://schemas.openxmlformats.org/officeDocument/2006/relationships/hyperlink" Target="https://www.amazon.com/dp/B0CQT8LKMK" TargetMode="External" Id="rId20"/><Relationship Type="http://schemas.openxmlformats.org/officeDocument/2006/relationships/hyperlink" Target="https://www.amazon.com/dp/B0DKDSQXBH" TargetMode="External" Id="rId21"/><Relationship Type="http://schemas.openxmlformats.org/officeDocument/2006/relationships/hyperlink" Target="https://www.amazon.com/dp/B0DD3YKGCZ" TargetMode="External" Id="rId22"/><Relationship Type="http://schemas.openxmlformats.org/officeDocument/2006/relationships/hyperlink" Target="https://www.amazon.com/dp/B0C4L25XW9" TargetMode="External" Id="rId23"/><Relationship Type="http://schemas.openxmlformats.org/officeDocument/2006/relationships/hyperlink" Target="https://www.amazon.com/dp/B0D14LPTLP" TargetMode="External" Id="rId24"/><Relationship Type="http://schemas.openxmlformats.org/officeDocument/2006/relationships/hyperlink" Target="https://www.amazon.com/dp/B0D14LL4GY" TargetMode="External" Id="rId25"/><Relationship Type="http://schemas.openxmlformats.org/officeDocument/2006/relationships/hyperlink" Target="https://www.amazon.com/dp/B0FH51CVXT" TargetMode="External" Id="rId26"/><Relationship Type="http://schemas.openxmlformats.org/officeDocument/2006/relationships/hyperlink" Target="https://www.amazon.com/dp/B0D1KPS93N" TargetMode="External" Id="rId27"/><Relationship Type="http://schemas.openxmlformats.org/officeDocument/2006/relationships/hyperlink" Target="https://www.amazon.com/dp/B0D1KHV9TM" TargetMode="External" Id="rId28"/><Relationship Type="http://schemas.openxmlformats.org/officeDocument/2006/relationships/hyperlink" Target="https://www.amazon.com/dp/B0CY5H7RHH" TargetMode="External" Id="rId29"/><Relationship Type="http://schemas.openxmlformats.org/officeDocument/2006/relationships/hyperlink" Target="https://www.amazon.com/dp/B0CY5BYX7W" TargetMode="External" Id="rId30"/><Relationship Type="http://schemas.openxmlformats.org/officeDocument/2006/relationships/hyperlink" Target="https://www.amazon.com/dp/B0GDXK4KHR" TargetMode="External" Id="rId31"/><Relationship Type="http://schemas.openxmlformats.org/officeDocument/2006/relationships/hyperlink" Target="https://www.amazon.com/dp/B0FWQB61X1" TargetMode="External" Id="rId32"/><Relationship Type="http://schemas.openxmlformats.org/officeDocument/2006/relationships/hyperlink" Target="https://www.amazon.com/dp/B08MX8D8KK" TargetMode="External" Id="rId33"/><Relationship Type="http://schemas.openxmlformats.org/officeDocument/2006/relationships/hyperlink" Target="https://www.amazon.com/dp/B0FC6F4RYY" TargetMode="External" Id="rId34"/><Relationship Type="http://schemas.openxmlformats.org/officeDocument/2006/relationships/hyperlink" Target="https://www.amazon.com/dp/B0F82F4MD4" TargetMode="External" Id="rId35"/><Relationship Type="http://schemas.openxmlformats.org/officeDocument/2006/relationships/hyperlink" Target="https://www.amazon.com/dp/B0F8N6XCJ5" TargetMode="External" Id="rId36"/><Relationship Type="http://schemas.openxmlformats.org/officeDocument/2006/relationships/hyperlink" Target="https://www.amazon.com/dp/B0DHCGW8HR" TargetMode="External" Id="rId37"/><Relationship Type="http://schemas.openxmlformats.org/officeDocument/2006/relationships/hyperlink" Target="https://www.amazon.com/dp/B0DHCG7VDK" TargetMode="External" Id="rId38"/><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9.xml.rels><Relationships xmlns="http://schemas.openxmlformats.org/package/2006/relationships"><Relationship Type="http://schemas.openxmlformats.org/officeDocument/2006/relationships/hyperlink" Target="https://www.amazon.com/dp/B0H7XKHWFT" TargetMode="External" Id="rId1"/><Relationship Type="http://schemas.openxmlformats.org/officeDocument/2006/relationships/hyperlink" Target="https://www.amazon.com/dp/B08SBYPF14" TargetMode="External" Id="rId2"/><Relationship Type="http://schemas.openxmlformats.org/officeDocument/2006/relationships/hyperlink" Target="https://www.amazon.com/dp/B0D6GLVXHM" TargetMode="External" Id="rId3"/><Relationship Type="http://schemas.openxmlformats.org/officeDocument/2006/relationships/hyperlink" Target="https://www.amazon.com/dp/B0BR3STN87" TargetMode="External" Id="rId4"/><Relationship Type="http://schemas.openxmlformats.org/officeDocument/2006/relationships/hyperlink" Target="https://www.amazon.com/dp/B0BWJC73QX" TargetMode="External" Id="rId5"/><Relationship Type="http://schemas.openxmlformats.org/officeDocument/2006/relationships/hyperlink" Target="https://www.amazon.com/dp/B0BWJDW3BX" TargetMode="External" Id="rId6"/><Relationship Type="http://schemas.openxmlformats.org/officeDocument/2006/relationships/hyperlink" Target="https://www.amazon.com/dp/B0FGK6NVTC" TargetMode="External" Id="rId7"/><Relationship Type="http://schemas.openxmlformats.org/officeDocument/2006/relationships/hyperlink" Target="https://www.amazon.com/dp/B07C9HL1G1" TargetMode="External" Id="rId8"/><Relationship Type="http://schemas.openxmlformats.org/officeDocument/2006/relationships/hyperlink" Target="https://www.amazon.com/dp/B09MT5BQHW" TargetMode="External" Id="rId9"/><Relationship Type="http://schemas.openxmlformats.org/officeDocument/2006/relationships/hyperlink" Target="https://www.amazon.com/dp/B09MT485FQ" TargetMode="External" Id="rId10"/><Relationship Type="http://schemas.openxmlformats.org/officeDocument/2006/relationships/hyperlink" Target="https://www.amazon.com/dp/B0D3XTPMX3" TargetMode="External" Id="rId11"/><Relationship Type="http://schemas.openxmlformats.org/officeDocument/2006/relationships/hyperlink" Target="https://www.amazon.com/dp/B0B7DX7C51" TargetMode="External" Id="rId12"/><Relationship Type="http://schemas.openxmlformats.org/officeDocument/2006/relationships/hyperlink" Target="https://www.amazon.com/dp/B0CRVBZ5GJ" TargetMode="External" Id="rId13"/><Relationship Type="http://schemas.openxmlformats.org/officeDocument/2006/relationships/hyperlink" Target="https://www.amazon.com/dp/B0CRTM5ZDN" TargetMode="External" Id="rId14"/><Relationship Type="http://schemas.openxmlformats.org/officeDocument/2006/relationships/hyperlink" Target="https://www.amazon.com/dp/B0CYLVSHZV" TargetMode="External" Id="rId15"/><Relationship Type="http://schemas.openxmlformats.org/officeDocument/2006/relationships/hyperlink" Target="https://www.amazon.com/dp/B0CYLS2C62" TargetMode="External" Id="rId16"/><Relationship Type="http://schemas.openxmlformats.org/officeDocument/2006/relationships/hyperlink" Target="https://www.amazon.com/dp/B0CJHW1J7V" TargetMode="External" Id="rId17"/><Relationship Type="http://schemas.openxmlformats.org/officeDocument/2006/relationships/hyperlink" Target="https://www.amazon.com/dp/B0CJHZYHGB" TargetMode="External" Id="rId18"/><Relationship Type="http://schemas.openxmlformats.org/officeDocument/2006/relationships/hyperlink" Target="https://www.amazon.com/dp/B0DG84J1H5" TargetMode="External" Id="rId19"/><Relationship Type="http://schemas.openxmlformats.org/officeDocument/2006/relationships/hyperlink" Target="https://www.amazon.com/dp/B0DG84XRDW" TargetMode="External" Id="rId20"/><Relationship Type="http://schemas.openxmlformats.org/officeDocument/2006/relationships/hyperlink" Target="https://www.amazon.com/dp/B0F6YR5VMZ" TargetMode="External" Id="rId21"/><Relationship Type="http://schemas.openxmlformats.org/officeDocument/2006/relationships/hyperlink" Target="https://www.amazon.com/dp/B0DFWPKBG1" TargetMode="External" Id="rId22"/><Relationship Type="http://schemas.openxmlformats.org/officeDocument/2006/relationships/hyperlink" Target="https://www.amazon.com/dp/B0B5684GHJ" TargetMode="External" Id="rId23"/><Relationship Type="http://schemas.openxmlformats.org/officeDocument/2006/relationships/hyperlink" Target="https://www.amazon.com/dp/B09Q2YTRL3" TargetMode="External" Id="rId24"/><Relationship Type="http://schemas.openxmlformats.org/officeDocument/2006/relationships/hyperlink" Target="https://www.amazon.com/dp/B0D7MDYKGV" TargetMode="External" Id="rId25"/><Relationship Type="http://schemas.openxmlformats.org/officeDocument/2006/relationships/hyperlink" Target="https://www.amazon.com/dp/B08V8HD2WT" TargetMode="External" Id="rId26"/><Relationship Type="http://schemas.openxmlformats.org/officeDocument/2006/relationships/hyperlink" Target="https://www.amazon.com/dp/B0CX3LSG5D" TargetMode="External" Id="rId27"/><Relationship Type="http://schemas.openxmlformats.org/officeDocument/2006/relationships/hyperlink" Target="https://www.amazon.com/dp/B0CX47TFJ4" TargetMode="External" Id="rId28"/><Relationship Type="http://schemas.openxmlformats.org/officeDocument/2006/relationships/hyperlink" Target="https://www.amazon.com/dp/B0H8T2BYZK" TargetMode="External" Id="rId29"/><Relationship Type="http://schemas.openxmlformats.org/officeDocument/2006/relationships/hyperlink" Target="https://www.amazon.com/dp/B08N891RBV" TargetMode="External" Id="rId30"/><Relationship Type="http://schemas.openxmlformats.org/officeDocument/2006/relationships/hyperlink" Target="https://www.amazon.com/dp/B0DBM44C7Y" TargetMode="External" Id="rId31"/><Relationship Type="http://schemas.openxmlformats.org/officeDocument/2006/relationships/hyperlink" Target="https://www.amazon.com/dp/B0BYD1BPNB" TargetMode="External" Id="rId32"/><Relationship Type="http://schemas.openxmlformats.org/officeDocument/2006/relationships/hyperlink" Target="https://www.amazon.com/dp/B0C7GWSQ7G" TargetMode="External" Id="rId33"/><Relationship Type="http://schemas.openxmlformats.org/officeDocument/2006/relationships/hyperlink" Target="https://www.amazon.com/dp/B0C7GTHJP6" TargetMode="External" Id="rId34"/><Relationship Type="http://schemas.openxmlformats.org/officeDocument/2006/relationships/hyperlink" Target="https://www.amazon.com/dp/B0CX1RMCK5" TargetMode="External" Id="rId35"/><Relationship Type="http://schemas.openxmlformats.org/officeDocument/2006/relationships/hyperlink" Target="https://www.amazon.com/dp/B0CWWWFZ16" TargetMode="External" Id="rId36"/><Relationship Type="http://schemas.openxmlformats.org/officeDocument/2006/relationships/hyperlink" Target="https://www.amazon.com/dp/B0GYNL4FXW" TargetMode="External" Id="rId37"/><Relationship Type="http://schemas.openxmlformats.org/officeDocument/2006/relationships/hyperlink" Target="https://www.amazon.com/dp/B0F538X5VQ" TargetMode="External" Id="rId38"/><Relationship Type="http://schemas.openxmlformats.org/officeDocument/2006/relationships/hyperlink" Target="https://www.amazon.com/dp/B0DT64LH8Q" TargetMode="External" Id="rId39"/><Relationship Type="http://schemas.openxmlformats.org/officeDocument/2006/relationships/hyperlink" Target="https://www.amazon.com/dp/B0DT5T2BXX" TargetMode="External" Id="rId40"/><Relationship Type="http://schemas.openxmlformats.org/officeDocument/2006/relationships/hyperlink" Target="https://www.amazon.com/dp/B0F534LNF4" TargetMode="External" Id="rId41"/><Relationship Type="http://schemas.openxmlformats.org/officeDocument/2006/relationships/hyperlink" Target="https://www.amazon.com/dp/B0F534LNF4" TargetMode="External" Id="rId42"/><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0.xml.rels><Relationships xmlns="http://schemas.openxmlformats.org/package/2006/relationships"><Relationship Type="http://schemas.openxmlformats.org/officeDocument/2006/relationships/hyperlink" Target="https://www.amazon.com/dp/B0DCV7WBJM" TargetMode="External" Id="rId1"/><Relationship Type="http://schemas.openxmlformats.org/officeDocument/2006/relationships/hyperlink" Target="https://www.amazon.com/dp/B07M67HRKS" TargetMode="External" Id="rId2"/><Relationship Type="http://schemas.openxmlformats.org/officeDocument/2006/relationships/hyperlink" Target="https://www.amazon.com/dp/B07GFB5R1G" TargetMode="External" Id="rId3"/><Relationship Type="http://schemas.openxmlformats.org/officeDocument/2006/relationships/hyperlink" Target="https://www.amazon.com/dp/B09WDMDJCH" TargetMode="External" Id="rId4"/><Relationship Type="http://schemas.openxmlformats.org/officeDocument/2006/relationships/hyperlink" Target="https://www.amazon.com/dp/B00JQFVKUO" TargetMode="External" Id="rId5"/><Relationship Type="http://schemas.openxmlformats.org/officeDocument/2006/relationships/hyperlink" Target="https://www.amazon.com/dp/B017NZZG12" TargetMode="External" Id="rId6"/><Relationship Type="http://schemas.openxmlformats.org/officeDocument/2006/relationships/hyperlink" Target="https://www.amazon.com/dp/B0D8ZW2F3C" TargetMode="External" Id="rId7"/><Relationship Type="http://schemas.openxmlformats.org/officeDocument/2006/relationships/hyperlink" Target="https://www.amazon.com/dp/B0DQKM17ZF" TargetMode="External" Id="rId8"/><Relationship Type="http://schemas.openxmlformats.org/officeDocument/2006/relationships/hyperlink" Target="https://www.amazon.com/dp/B0DGJ9RS81" TargetMode="External" Id="rId9"/><Relationship Type="http://schemas.openxmlformats.org/officeDocument/2006/relationships/hyperlink" Target="https://www.amazon.com/dp/B0CNV2LF3N" TargetMode="External" Id="rId10"/><Relationship Type="http://schemas.openxmlformats.org/officeDocument/2006/relationships/hyperlink" Target="https://www.amazon.com/dp/B0C37T2QLC" TargetMode="External" Id="rId11"/><Relationship Type="http://schemas.openxmlformats.org/officeDocument/2006/relationships/hyperlink" Target="https://www.amazon.com/dp/B0BT9RNGDQ" TargetMode="External" Id="rId12"/><Relationship Type="http://schemas.openxmlformats.org/officeDocument/2006/relationships/hyperlink" Target="https://www.amazon.com/dp/B0CCFV2DPC" TargetMode="External" Id="rId13"/><Relationship Type="http://schemas.openxmlformats.org/officeDocument/2006/relationships/hyperlink" Target="https://www.amazon.com/dp/B0B2KVR9RB" TargetMode="External" Id="rId14"/><Relationship Type="http://schemas.openxmlformats.org/officeDocument/2006/relationships/hyperlink" Target="https://www.amazon.com/dp/B0CX5JQN29" TargetMode="External" Id="rId15"/><Relationship Type="http://schemas.openxmlformats.org/officeDocument/2006/relationships/hyperlink" Target="https://www.amazon.com/dp/B08WS5MYK8" TargetMode="External" Id="rId16"/><Relationship Type="http://schemas.openxmlformats.org/officeDocument/2006/relationships/hyperlink" Target="https://www.amazon.com/dp/B095ZRFXH5" TargetMode="External" Id="rId17"/><Relationship Type="http://schemas.openxmlformats.org/officeDocument/2006/relationships/hyperlink" Target="https://www.amazon.com/dp/B0961CH4WH" TargetMode="External" Id="rId18"/><Relationship Type="http://schemas.openxmlformats.org/officeDocument/2006/relationships/hyperlink" Target="https://www.amazon.com/dp/B0DTSTCQF8" TargetMode="External" Id="rId19"/><Relationship Type="http://schemas.openxmlformats.org/officeDocument/2006/relationships/hyperlink" Target="https://www.amazon.com/dp/B0BN99CBK2" TargetMode="External" Id="rId20"/><Relationship Type="http://schemas.openxmlformats.org/officeDocument/2006/relationships/hyperlink" Target="https://www.amazon.com/dp/B0B3DGBF86" TargetMode="External" Id="rId21"/><Relationship Type="http://schemas.openxmlformats.org/officeDocument/2006/relationships/hyperlink" Target="https://www.amazon.com/dp/B09VC8ZM91" TargetMode="External" Id="rId22"/><Relationship Type="http://schemas.openxmlformats.org/officeDocument/2006/relationships/hyperlink" Target="https://www.amazon.com/dp/B0GTL61VXL" TargetMode="External" Id="rId23"/><Relationship Type="http://schemas.openxmlformats.org/officeDocument/2006/relationships/hyperlink" Target="https://www.amazon.com/dp/B0F3X5N9F3" TargetMode="External" Id="rId24"/><Relationship Type="http://schemas.openxmlformats.org/officeDocument/2006/relationships/hyperlink" Target="https://www.amazon.com/dp/B0CBMMBZ67" TargetMode="External" Id="rId25"/><Relationship Type="http://schemas.openxmlformats.org/officeDocument/2006/relationships/hyperlink" Target="https://www.amazon.com/dp/B085Y7YSVZ" TargetMode="External" Id="rId26"/><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1.xml.rels><Relationships xmlns="http://schemas.openxmlformats.org/package/2006/relationships"><Relationship Type="http://schemas.openxmlformats.org/officeDocument/2006/relationships/hyperlink" Target="https://www.amazon.com/dp/B0CBV2JW6G" TargetMode="External" Id="rId1"/><Relationship Type="http://schemas.openxmlformats.org/officeDocument/2006/relationships/hyperlink" Target="https://www.amazon.com/dp/B09P4228F4" TargetMode="External" Id="rId2"/><Relationship Type="http://schemas.openxmlformats.org/officeDocument/2006/relationships/hyperlink" Target="https://www.amazon.com/dp/B0BBQDKL36" TargetMode="External" Id="rId3"/><Relationship Type="http://schemas.openxmlformats.org/officeDocument/2006/relationships/hyperlink" Target="https://www.amazon.com/dp/B0BBQ84DMS" TargetMode="External" Id="rId4"/><Relationship Type="http://schemas.openxmlformats.org/officeDocument/2006/relationships/hyperlink" Target="https://www.amazon.com/dp/B0GLG3DN2P" TargetMode="External" Id="rId5"/><Relationship Type="http://schemas.openxmlformats.org/officeDocument/2006/relationships/hyperlink" Target="https://www.amazon.com/dp/B0CL5YGW86" TargetMode="External" Id="rId6"/><Relationship Type="http://schemas.openxmlformats.org/officeDocument/2006/relationships/hyperlink" Target="https://www.amazon.com/dp/B0DK6WGD3R" TargetMode="External" Id="rId7"/><Relationship Type="http://schemas.openxmlformats.org/officeDocument/2006/relationships/hyperlink" Target="https://www.amazon.com/dp/B0D4Q71SDC" TargetMode="External" Id="rId8"/><Relationship Type="http://schemas.openxmlformats.org/officeDocument/2006/relationships/hyperlink" Target="https://www.amazon.com/dp/B0FSZBDYV5" TargetMode="External" Id="rId9"/><Relationship Type="http://schemas.openxmlformats.org/officeDocument/2006/relationships/hyperlink" Target="https://www.amazon.com/dp/B0FSZ8GX57" TargetMode="External" Id="rId10"/><Relationship Type="http://schemas.openxmlformats.org/officeDocument/2006/relationships/hyperlink" Target="https://www.amazon.com/dp/B0D2XCKW3D" TargetMode="External" Id="rId11"/><Relationship Type="http://schemas.openxmlformats.org/officeDocument/2006/relationships/hyperlink" Target="https://www.amazon.com/dp/B0D2X1FT1X" TargetMode="External" Id="rId12"/><Relationship Type="http://schemas.openxmlformats.org/officeDocument/2006/relationships/hyperlink" Target="https://www.amazon.com/dp/B0CLV68M42" TargetMode="External" Id="rId13"/><Relationship Type="http://schemas.openxmlformats.org/officeDocument/2006/relationships/hyperlink" Target="https://www.amazon.com/dp/B0CLV2KQ6T" TargetMode="External" Id="rId14"/><Relationship Type="http://schemas.openxmlformats.org/officeDocument/2006/relationships/hyperlink" Target="https://www.amazon.com/dp/B0FSCRCQQR" TargetMode="External" Id="rId15"/><Relationship Type="http://schemas.openxmlformats.org/officeDocument/2006/relationships/hyperlink" Target="https://www.amazon.com/dp/B0FSD5K63B" TargetMode="External" Id="rId16"/><Relationship Type="http://schemas.openxmlformats.org/officeDocument/2006/relationships/hyperlink" Target="https://www.amazon.com/dp/B0BTW5F4LQ" TargetMode="External" Id="rId17"/><Relationship Type="http://schemas.openxmlformats.org/officeDocument/2006/relationships/hyperlink" Target="https://www.amazon.com/dp/B0DM8RQ2MV" TargetMode="External" Id="rId18"/><Relationship Type="http://schemas.openxmlformats.org/officeDocument/2006/relationships/hyperlink" Target="https://www.amazon.com/dp/B0HHR2H9D1" TargetMode="External" Id="rId19"/><Relationship Type="http://schemas.openxmlformats.org/officeDocument/2006/relationships/hyperlink" Target="https://www.amazon.com/dp/B0FLPZN8VF" TargetMode="External" Id="rId20"/><Relationship Type="http://schemas.openxmlformats.org/officeDocument/2006/relationships/hyperlink" Target="https://www.amazon.com/dp/B0FCS2QVKW" TargetMode="External" Id="rId21"/><Relationship Type="http://schemas.openxmlformats.org/officeDocument/2006/relationships/hyperlink" Target="https://www.amazon.com/dp/B0FCRYV96S" TargetMode="External" Id="rId22"/><Relationship Type="http://schemas.openxmlformats.org/officeDocument/2006/relationships/hyperlink" Target="https://www.amazon.com/dp/B0CKVSC1SZ" TargetMode="External" Id="rId23"/><Relationship Type="http://schemas.openxmlformats.org/officeDocument/2006/relationships/hyperlink" Target="https://www.amazon.com/dp/B0CKVPXJ8Z" TargetMode="External" Id="rId24"/><Relationship Type="http://schemas.openxmlformats.org/officeDocument/2006/relationships/hyperlink" Target="https://www.amazon.com/dp/B0GMWJVN14" TargetMode="External" Id="rId25"/><Relationship Type="http://schemas.openxmlformats.org/officeDocument/2006/relationships/hyperlink" Target="https://www.amazon.com/dp/B0D5HJM483" TargetMode="External" Id="rId26"/><Relationship Type="http://schemas.openxmlformats.org/officeDocument/2006/relationships/hyperlink" Target="https://www.amazon.com/dp/B0FHWJW2GJ" TargetMode="External" Id="rId27"/><Relationship Type="http://schemas.openxmlformats.org/officeDocument/2006/relationships/hyperlink" Target="https://www.amazon.com/dp/B0FHWKTVFW" TargetMode="External" Id="rId28"/><Relationship Type="http://schemas.openxmlformats.org/officeDocument/2006/relationships/hyperlink" Target="https://www.amazon.com/dp/B0G2XD3DW6" TargetMode="External" Id="rId29"/><Relationship Type="http://schemas.openxmlformats.org/officeDocument/2006/relationships/hyperlink" Target="https://www.amazon.com/dp/B0FWC4V93F" TargetMode="External" Id="rId30"/><Relationship Type="http://schemas.openxmlformats.org/officeDocument/2006/relationships/hyperlink" Target="https://www.amazon.com/dp/B0D1VHD6PY" TargetMode="External" Id="rId31"/><Relationship Type="http://schemas.openxmlformats.org/officeDocument/2006/relationships/hyperlink" Target="https://www.amazon.com/dp/B0DG2RHFFV" TargetMode="External" Id="rId32"/><Relationship Type="http://schemas.openxmlformats.org/officeDocument/2006/relationships/hyperlink" Target="https://www.amazon.com/dp/B0G82967V2" TargetMode="External" Id="rId33"/><Relationship Type="http://schemas.openxmlformats.org/officeDocument/2006/relationships/hyperlink" Target="https://www.amazon.com/dp/B0G82967V2" TargetMode="External" Id="rId34"/><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2.xml.rels><Relationships xmlns="http://schemas.openxmlformats.org/package/2006/relationships"><Relationship Type="http://schemas.openxmlformats.org/officeDocument/2006/relationships/hyperlink" Target="https://www.amazon.com/dp/B0HG11YYNY" TargetMode="External" Id="rId1"/><Relationship Type="http://schemas.openxmlformats.org/officeDocument/2006/relationships/hyperlink" Target="https://www.amazon.com/dp/B0DGGSVWZQ" TargetMode="External" Id="rId2"/><Relationship Type="http://schemas.openxmlformats.org/officeDocument/2006/relationships/hyperlink" Target="https://www.amazon.com/dp/B0D6R57FVR" TargetMode="External" Id="rId3"/><Relationship Type="http://schemas.openxmlformats.org/officeDocument/2006/relationships/hyperlink" Target="https://www.amazon.com/dp/B0CQ7YQJ5H" TargetMode="External" Id="rId4"/><Relationship Type="http://schemas.openxmlformats.org/officeDocument/2006/relationships/hyperlink" Target="https://www.amazon.com/dp/B0B136S1FV" TargetMode="External" Id="rId5"/><Relationship Type="http://schemas.openxmlformats.org/officeDocument/2006/relationships/hyperlink" Target="https://www.amazon.com/dp/B0B136JQD1" TargetMode="External" Id="rId6"/><Relationship Type="http://schemas.openxmlformats.org/officeDocument/2006/relationships/hyperlink" Target="https://www.amazon.com/dp/B0FSDPTLPL" TargetMode="External" Id="rId7"/><Relationship Type="http://schemas.openxmlformats.org/officeDocument/2006/relationships/hyperlink" Target="https://www.amazon.com/dp/B08T761T9S" TargetMode="External" Id="rId8"/><Relationship Type="http://schemas.openxmlformats.org/officeDocument/2006/relationships/hyperlink" Target="https://www.amazon.com/dp/B0D56RHFVV" TargetMode="External" Id="rId9"/><Relationship Type="http://schemas.openxmlformats.org/officeDocument/2006/relationships/hyperlink" Target="https://www.amazon.com/dp/B08TT88SXY" TargetMode="External" Id="rId10"/><Relationship Type="http://schemas.openxmlformats.org/officeDocument/2006/relationships/hyperlink" Target="https://www.amazon.com/dp/B0CD2CC5XV" TargetMode="External" Id="rId11"/><Relationship Type="http://schemas.openxmlformats.org/officeDocument/2006/relationships/hyperlink" Target="https://www.amazon.com/dp/B095H7XNTP" TargetMode="External" Id="rId12"/><Relationship Type="http://schemas.openxmlformats.org/officeDocument/2006/relationships/hyperlink" Target="https://www.amazon.com/dp/B0DC3S5WV2" TargetMode="External" Id="rId13"/><Relationship Type="http://schemas.openxmlformats.org/officeDocument/2006/relationships/hyperlink" Target="https://www.amazon.com/dp/B09FL11K2J" TargetMode="External" Id="rId14"/><Relationship Type="http://schemas.openxmlformats.org/officeDocument/2006/relationships/hyperlink" Target="https://www.amazon.com/dp/B0BYZ5J2G2" TargetMode="External" Id="rId15"/><Relationship Type="http://schemas.openxmlformats.org/officeDocument/2006/relationships/hyperlink" Target="https://www.amazon.com/dp/B0B12QRW73" TargetMode="External" Id="rId16"/><Relationship Type="http://schemas.openxmlformats.org/officeDocument/2006/relationships/hyperlink" Target="https://www.amazon.com/dp/B0HCPK37ZX" TargetMode="External" Id="rId17"/><Relationship Type="http://schemas.openxmlformats.org/officeDocument/2006/relationships/hyperlink" Target="https://www.amazon.com/dp/B08Z3KC7KL" TargetMode="External" Id="rId18"/><Relationship Type="http://schemas.openxmlformats.org/officeDocument/2006/relationships/hyperlink" Target="https://www.amazon.com/dp/B093Q37D94" TargetMode="External" Id="rId19"/><Relationship Type="http://schemas.openxmlformats.org/officeDocument/2006/relationships/hyperlink" Target="https://www.amazon.com/dp/B07TKS5LN7" TargetMode="External" Id="rId20"/><Relationship Type="http://schemas.openxmlformats.org/officeDocument/2006/relationships/hyperlink" Target="https://www.amazon.com/dp/B0DHVVZF9Q" TargetMode="External" Id="rId21"/><Relationship Type="http://schemas.openxmlformats.org/officeDocument/2006/relationships/hyperlink" Target="https://www.amazon.com/dp/B09GPP8TRT" TargetMode="External" Id="rId22"/><Relationship Type="http://schemas.openxmlformats.org/officeDocument/2006/relationships/hyperlink" Target="https://www.amazon.com/dp/B0CJTP9JFK" TargetMode="External" Id="rId23"/><Relationship Type="http://schemas.openxmlformats.org/officeDocument/2006/relationships/hyperlink" Target="https://www.amazon.com/dp/B0BYCSLWR6" TargetMode="External" Id="rId24"/><Relationship Type="http://schemas.openxmlformats.org/officeDocument/2006/relationships/hyperlink" Target="https://www.amazon.com/dp/B09645XQZT" TargetMode="External" Id="rId25"/><Relationship Type="http://schemas.openxmlformats.org/officeDocument/2006/relationships/hyperlink" Target="https://www.amazon.com/dp/B08GCF617Q" TargetMode="External" Id="rId26"/><Relationship Type="http://schemas.openxmlformats.org/officeDocument/2006/relationships/hyperlink" Target="https://www.amazon.com/dp/B0C53PPZMS" TargetMode="External" Id="rId27"/><Relationship Type="http://schemas.openxmlformats.org/officeDocument/2006/relationships/hyperlink" Target="https://www.amazon.com/dp/B08FSDPZZP" TargetMode="External" Id="rId28"/><Relationship Type="http://schemas.openxmlformats.org/officeDocument/2006/relationships/hyperlink" Target="https://www.amazon.com/dp/B09GY7YG2P" TargetMode="External" Id="rId29"/><Relationship Type="http://schemas.openxmlformats.org/officeDocument/2006/relationships/hyperlink" Target="https://www.amazon.com/dp/B081GQBPRT" TargetMode="External" Id="rId30"/><Relationship Type="http://schemas.openxmlformats.org/officeDocument/2006/relationships/hyperlink" Target="https://www.amazon.com/dp/B0D4ZNRN1P" TargetMode="External" Id="rId31"/><Relationship Type="http://schemas.openxmlformats.org/officeDocument/2006/relationships/hyperlink" Target="https://www.amazon.com/dp/B077XWCV6D" TargetMode="External" Id="rId32"/><Relationship Type="http://schemas.openxmlformats.org/officeDocument/2006/relationships/hyperlink" Target="https://www.amazon.com/dp/B08K7PDZ1F" TargetMode="External" Id="rId33"/><Relationship Type="http://schemas.openxmlformats.org/officeDocument/2006/relationships/hyperlink" Target="https://www.amazon.com/dp/B08K7LPC9L" TargetMode="External" Id="rId34"/><Relationship Type="http://schemas.openxmlformats.org/officeDocument/2006/relationships/hyperlink" Target="https://www.amazon.com/dp/B0DFY9MKGZ" TargetMode="External" Id="rId35"/><Relationship Type="http://schemas.openxmlformats.org/officeDocument/2006/relationships/hyperlink" Target="https://www.amazon.com/dp/B0D59BMBK7" TargetMode="External" Id="rId36"/><Relationship Type="http://schemas.openxmlformats.org/officeDocument/2006/relationships/hyperlink" Target="https://www.amazon.com/dp/B0BNHBKDGJ" TargetMode="External" Id="rId37"/><Relationship Type="http://schemas.openxmlformats.org/officeDocument/2006/relationships/hyperlink" Target="https://www.amazon.com/dp/B0BNHCYG6Z" TargetMode="External" Id="rId38"/><Relationship Type="http://schemas.openxmlformats.org/officeDocument/2006/relationships/hyperlink" Target="https://www.amazon.com/dp/B0BLMYTK9C" TargetMode="External" Id="rId39"/><Relationship Type="http://schemas.openxmlformats.org/officeDocument/2006/relationships/hyperlink" Target="https://www.amazon.com/dp/B0BLN1DSXW" TargetMode="External" Id="rId40"/><Relationship Type="http://schemas.openxmlformats.org/officeDocument/2006/relationships/hyperlink" Target="https://www.amazon.com/dp/B0DM8Y65RT" TargetMode="External" Id="rId41"/><Relationship Type="http://schemas.openxmlformats.org/officeDocument/2006/relationships/hyperlink" Target="https://www.amazon.com/dp/B0895VM7KG" TargetMode="External" Id="rId42"/><Relationship Type="http://schemas.openxmlformats.org/officeDocument/2006/relationships/hyperlink" Target="https://www.amazon.com/dp/B07YDFJ5K2" TargetMode="External" Id="rId43"/><Relationship Type="http://schemas.openxmlformats.org/officeDocument/2006/relationships/hyperlink" Target="https://www.amazon.com/dp/B0DD37H251" TargetMode="External" Id="rId44"/><Relationship Type="http://schemas.openxmlformats.org/officeDocument/2006/relationships/hyperlink" Target="https://www.amazon.com/dp/B0DNTT71SM" TargetMode="External" Id="rId45"/><Relationship Type="http://schemas.openxmlformats.org/officeDocument/2006/relationships/hyperlink" Target="https://www.amazon.com/dp/B0CYSX48KJ" TargetMode="External" Id="rId46"/><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3.xml.rels><Relationships xmlns="http://schemas.openxmlformats.org/package/2006/relationships"><Relationship Type="http://schemas.openxmlformats.org/officeDocument/2006/relationships/hyperlink" Target="https://www.amazon.ca/dp/B086R38NZ6" TargetMode="External" Id="rId1"/><Relationship Type="http://schemas.openxmlformats.org/officeDocument/2006/relationships/hyperlink" Target="https://www.amazon.ca/dp/B07YKCZHGK" TargetMode="External" Id="rId2"/><Relationship Type="http://schemas.openxmlformats.org/officeDocument/2006/relationships/hyperlink" Target="https://www.amazon.ca/dp/B0HHZYV9G4" TargetMode="External" Id="rId3"/><Relationship Type="http://schemas.openxmlformats.org/officeDocument/2006/relationships/hyperlink" Target="https://www.amazon.ca/dp/B07X8FPWJH" TargetMode="External" Id="rId4"/><Relationship Type="http://schemas.openxmlformats.org/officeDocument/2006/relationships/hyperlink" Target="https://www.amazon.ca/dp/B0H9R791B2" TargetMode="External" Id="rId5"/><Relationship Type="http://schemas.openxmlformats.org/officeDocument/2006/relationships/hyperlink" Target="https://www.amazon.ca/dp/B0H9QD7RD5" TargetMode="External" Id="rId6"/><Relationship Type="http://schemas.openxmlformats.org/officeDocument/2006/relationships/hyperlink" Target="https://www.amazon.ca/dp/B0CMV6MR96" TargetMode="External" Id="rId7"/><Relationship Type="http://schemas.openxmlformats.org/officeDocument/2006/relationships/hyperlink" Target="https://www.amazon.ca/dp/B0CWK92XQD" TargetMode="External" Id="rId8"/><Relationship Type="http://schemas.openxmlformats.org/officeDocument/2006/relationships/hyperlink" Target="https://www.amazon.ca/dp/B0DK51QCDN" TargetMode="External" Id="rId9"/><Relationship Type="http://schemas.openxmlformats.org/officeDocument/2006/relationships/hyperlink" Target="https://www.amazon.ca/dp/B0BKLHTWGS" TargetMode="External" Id="rId10"/><Relationship Type="http://schemas.openxmlformats.org/officeDocument/2006/relationships/hyperlink" Target="https://www.amazon.ca/dp/B0FXVJLRTW" TargetMode="External" Id="rId11"/><Relationship Type="http://schemas.openxmlformats.org/officeDocument/2006/relationships/hyperlink" Target="https://www.amazon.ca/dp/B0FT7LV7PP" TargetMode="External" Id="rId12"/><Relationship Type="http://schemas.openxmlformats.org/officeDocument/2006/relationships/hyperlink" Target="https://www.amazon.ca/dp/B0CDCNVNPR" TargetMode="External" Id="rId13"/><Relationship Type="http://schemas.openxmlformats.org/officeDocument/2006/relationships/hyperlink" Target="https://www.amazon.ca/dp/B0C8CXS58F" TargetMode="External" Id="rId14"/><Relationship Type="http://schemas.openxmlformats.org/officeDocument/2006/relationships/hyperlink" Target="https://www.amazon.ca/dp/B0H4LQ1XJH" TargetMode="External" Id="rId15"/><Relationship Type="http://schemas.openxmlformats.org/officeDocument/2006/relationships/hyperlink" Target="https://www.amazon.ca/dp/B0H4LHZTBY" TargetMode="External" Id="rId16"/><Relationship Type="http://schemas.openxmlformats.org/officeDocument/2006/relationships/hyperlink" Target="https://www.amazon.ca/dp/B07K6SYX8L" TargetMode="External" Id="rId17"/><Relationship Type="http://schemas.openxmlformats.org/officeDocument/2006/relationships/hyperlink" Target="https://www.amazon.ca/dp/B0DR99Q37Y" TargetMode="External" Id="rId18"/><Relationship Type="http://schemas.openxmlformats.org/officeDocument/2006/relationships/hyperlink" Target="https://www.amazon.ca/dp/B09WY1GFH8" TargetMode="External" Id="rId19"/><Relationship Type="http://schemas.openxmlformats.org/officeDocument/2006/relationships/hyperlink" Target="https://www.amazon.ca/dp/B08F3HFQ6X" TargetMode="External" Id="rId20"/><Relationship Type="http://schemas.openxmlformats.org/officeDocument/2006/relationships/hyperlink" Target="https://www.amazon.ca/dp/B0F24WLDTG" TargetMode="External" Id="rId21"/><Relationship Type="http://schemas.openxmlformats.org/officeDocument/2006/relationships/hyperlink" Target="https://www.amazon.ca/dp/B0H8S57BK7" TargetMode="External" Id="rId22"/><Relationship Type="http://schemas.openxmlformats.org/officeDocument/2006/relationships/hyperlink" Target="https://www.amazon.ca/dp/B0DPLJ4BN4" TargetMode="External" Id="rId23"/><Relationship Type="http://schemas.openxmlformats.org/officeDocument/2006/relationships/hyperlink" Target="https://www.amazon.ca/dp/B0FXWJD1B1" TargetMode="External" Id="rId24"/><Relationship Type="http://schemas.openxmlformats.org/officeDocument/2006/relationships/hyperlink" Target="https://www.amazon.ca/dp/B091Z7KM7B" TargetMode="External" Id="rId25"/><Relationship Type="http://schemas.openxmlformats.org/officeDocument/2006/relationships/hyperlink" Target="https://www.amazon.ca/dp/B0CNRQXKYR" TargetMode="External" Id="rId26"/><Relationship Type="http://schemas.openxmlformats.org/officeDocument/2006/relationships/hyperlink" Target="https://www.amazon.ca/dp/B095L9VFG4" TargetMode="External" Id="rId27"/><Relationship Type="http://schemas.openxmlformats.org/officeDocument/2006/relationships/hyperlink" Target="https://www.amazon.ca/dp/B08XK2ZFTL" TargetMode="External" Id="rId28"/><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4.xml.rels><Relationships xmlns="http://schemas.openxmlformats.org/package/2006/relationships"><Relationship Type="http://schemas.openxmlformats.org/officeDocument/2006/relationships/hyperlink" Target="https://www.amazon.ca/dp/B09WY1GFH8" TargetMode="External" Id="rId1"/><Relationship Type="http://schemas.openxmlformats.org/officeDocument/2006/relationships/hyperlink" Target="https://www.amazon.ca/dp/B0BYMKZ5ZC" TargetMode="External" Id="rId2"/><Relationship Type="http://schemas.openxmlformats.org/officeDocument/2006/relationships/hyperlink" Target="https://www.amazon.ca/dp/B0DWH7649Z" TargetMode="External" Id="rId3"/><Relationship Type="http://schemas.openxmlformats.org/officeDocument/2006/relationships/hyperlink" Target="https://www.amazon.ca/dp/B0GGGRH6PC" TargetMode="External" Id="rId4"/><Relationship Type="http://schemas.openxmlformats.org/officeDocument/2006/relationships/hyperlink" Target="https://www.amazon.ca/dp/B06Y46YNR8" TargetMode="External" Id="rId5"/><Relationship Type="http://schemas.openxmlformats.org/officeDocument/2006/relationships/hyperlink" Target="https://www.amazon.ca/dp/B08G4PP8H1" TargetMode="External" Id="rId6"/><Relationship Type="http://schemas.openxmlformats.org/officeDocument/2006/relationships/hyperlink" Target="https://www.amazon.ca/dp/B0CLQ1F333" TargetMode="External" Id="rId7"/><Relationship Type="http://schemas.openxmlformats.org/officeDocument/2006/relationships/hyperlink" Target="https://www.amazon.ca/dp/B0CCRKZ8G2" TargetMode="External" Id="rId8"/><Relationship Type="http://schemas.openxmlformats.org/officeDocument/2006/relationships/hyperlink" Target="https://www.amazon.ca/dp/B07K6SYX8L" TargetMode="External" Id="rId9"/><Relationship Type="http://schemas.openxmlformats.org/officeDocument/2006/relationships/hyperlink" Target="https://www.amazon.ca/dp/B0DR9BMSW2" TargetMode="External" Id="rId10"/><Relationship Type="http://schemas.openxmlformats.org/officeDocument/2006/relationships/hyperlink" Target="https://www.amazon.ca/dp/B0777SFXZK" TargetMode="External" Id="rId11"/><Relationship Type="http://schemas.openxmlformats.org/officeDocument/2006/relationships/hyperlink" Target="https://www.amazon.ca/dp/B08P97YSMW" TargetMode="External" Id="rId12"/><Relationship Type="http://schemas.openxmlformats.org/officeDocument/2006/relationships/hyperlink" Target="https://www.amazon.ca/dp/B0GTWJ29LG" TargetMode="External" Id="rId13"/><Relationship Type="http://schemas.openxmlformats.org/officeDocument/2006/relationships/hyperlink" Target="https://www.amazon.ca/dp/B07PS657BP" TargetMode="External" Id="rId14"/><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5.xml.rels><Relationships xmlns="http://schemas.openxmlformats.org/package/2006/relationships"><Relationship Type="http://schemas.openxmlformats.org/officeDocument/2006/relationships/hyperlink" Target="https://www.amazon.ca/dp/B08NPFTQWB" TargetMode="External" Id="rId1"/><Relationship Type="http://schemas.openxmlformats.org/officeDocument/2006/relationships/hyperlink" Target="https://www.amazon.ca/dp/B08HM6WT6X" TargetMode="External" Id="rId2"/><Relationship Type="http://schemas.openxmlformats.org/officeDocument/2006/relationships/hyperlink" Target="https://www.amazon.ca/dp/B0GJC51929" TargetMode="External" Id="rId3"/><Relationship Type="http://schemas.openxmlformats.org/officeDocument/2006/relationships/hyperlink" Target="https://www.amazon.ca/dp/B0GJCBX6CJ" TargetMode="External" Id="rId4"/><Relationship Type="http://schemas.openxmlformats.org/officeDocument/2006/relationships/hyperlink" Target="https://www.amazon.ca/dp/B0B1DDMNRF" TargetMode="External" Id="rId5"/><Relationship Type="http://schemas.openxmlformats.org/officeDocument/2006/relationships/hyperlink" Target="https://www.amazon.ca/dp/B0BYC3HK7X" TargetMode="External" Id="rId6"/><Relationship Type="http://schemas.openxmlformats.org/officeDocument/2006/relationships/hyperlink" Target="https://www.amazon.ca/dp/B09JB7K1PP" TargetMode="External" Id="rId7"/><Relationship Type="http://schemas.openxmlformats.org/officeDocument/2006/relationships/hyperlink" Target="https://www.amazon.ca/dp/B09G17XZC5" TargetMode="External" Id="rId8"/><Relationship Type="http://schemas.openxmlformats.org/officeDocument/2006/relationships/hyperlink" Target="https://www.amazon.ca/dp/B0HHQTDM9B" TargetMode="External" Id="rId9"/><Relationship Type="http://schemas.openxmlformats.org/officeDocument/2006/relationships/hyperlink" Target="https://www.amazon.ca/dp/B0CSFTRP2X" TargetMode="External" Id="rId10"/><Relationship Type="http://schemas.openxmlformats.org/officeDocument/2006/relationships/hyperlink" Target="https://www.amazon.ca/dp/B07N6326HL" TargetMode="External" Id="rId11"/><Relationship Type="http://schemas.openxmlformats.org/officeDocument/2006/relationships/hyperlink" Target="https://www.amazon.ca/dp/B083G81VSH" TargetMode="External" Id="rId12"/><Relationship Type="http://schemas.openxmlformats.org/officeDocument/2006/relationships/hyperlink" Target="https://www.amazon.ca/dp/B0G3QQZTY9" TargetMode="External" Id="rId13"/><Relationship Type="http://schemas.openxmlformats.org/officeDocument/2006/relationships/hyperlink" Target="https://www.amazon.ca/dp/B0G3C5G8FR" TargetMode="External" Id="rId14"/><Relationship Type="http://schemas.openxmlformats.org/officeDocument/2006/relationships/hyperlink" Target="https://www.amazon.ca/dp/B0FMPR6QQ3" TargetMode="External" Id="rId15"/><Relationship Type="http://schemas.openxmlformats.org/officeDocument/2006/relationships/hyperlink" Target="https://www.amazon.ca/dp/B0FVJG1KD3" TargetMode="External" Id="rId16"/><Relationship Type="http://schemas.openxmlformats.org/officeDocument/2006/relationships/hyperlink" Target="https://www.amazon.ca/dp/B0GWPG1CXG" TargetMode="External" Id="rId17"/><Relationship Type="http://schemas.openxmlformats.org/officeDocument/2006/relationships/hyperlink" Target="https://www.amazon.ca/dp/B0GWPMHSL9" TargetMode="External" Id="rId18"/><Relationship Type="http://schemas.openxmlformats.org/officeDocument/2006/relationships/hyperlink" Target="https://www.amazon.ca/dp/B07XTX3G7J" TargetMode="External" Id="rId19"/><Relationship Type="http://schemas.openxmlformats.org/officeDocument/2006/relationships/hyperlink" Target="https://www.amazon.ca/dp/B07X5DPMJ9" TargetMode="External" Id="rId20"/><Relationship Type="http://schemas.openxmlformats.org/officeDocument/2006/relationships/hyperlink" Target="https://www.amazon.ca/dp/B077NL4NZK" TargetMode="External" Id="rId21"/><Relationship Type="http://schemas.openxmlformats.org/officeDocument/2006/relationships/hyperlink" Target="https://www.amazon.ca/dp/B0721C4SD3" TargetMode="External" Id="rId22"/><Relationship Type="http://schemas.openxmlformats.org/officeDocument/2006/relationships/hyperlink" Target="https://www.amazon.ca/dp/B0F2HNJ52T" TargetMode="External" Id="rId23"/><Relationship Type="http://schemas.openxmlformats.org/officeDocument/2006/relationships/hyperlink" Target="https://www.amazon.ca/dp/B0F2H8LPB3" TargetMode="External" Id="rId24"/><Relationship Type="http://schemas.openxmlformats.org/officeDocument/2006/relationships/hyperlink" Target="https://www.amazon.ca/dp/B0DJXBHN44" TargetMode="External" Id="rId25"/><Relationship Type="http://schemas.openxmlformats.org/officeDocument/2006/relationships/hyperlink" Target="https://www.amazon.ca/dp/B0DCC37WB3" TargetMode="External" Id="rId26"/><Relationship Type="http://schemas.openxmlformats.org/officeDocument/2006/relationships/hyperlink" Target="https://www.amazon.ca/dp/B07WD4MJHW" TargetMode="External" Id="rId27"/><Relationship Type="http://schemas.openxmlformats.org/officeDocument/2006/relationships/hyperlink" Target="https://www.amazon.ca/dp/B07VWFV7MB" TargetMode="External" Id="rId28"/><Relationship Type="http://schemas.openxmlformats.org/officeDocument/2006/relationships/hyperlink" Target="https://www.amazon.ca/dp/B0DJHFP2WL" TargetMode="External" Id="rId29"/><Relationship Type="http://schemas.openxmlformats.org/officeDocument/2006/relationships/hyperlink" Target="https://www.amazon.ca/dp/B0DJDXH65M" TargetMode="External" Id="rId30"/><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6.xml.rels><Relationships xmlns="http://schemas.openxmlformats.org/package/2006/relationships"><Relationship Type="http://schemas.openxmlformats.org/officeDocument/2006/relationships/hyperlink" Target="https://www.amazon.ca/dp/B0FNQY65MC" TargetMode="External" Id="rId1"/><Relationship Type="http://schemas.openxmlformats.org/officeDocument/2006/relationships/hyperlink" Target="https://www.amazon.ca/dp/B0FNR1QR4J" TargetMode="External" Id="rId2"/><Relationship Type="http://schemas.openxmlformats.org/officeDocument/2006/relationships/hyperlink" Target="https://www.amazon.ca/dp/B08PZKGSSN" TargetMode="External" Id="rId3"/><Relationship Type="http://schemas.openxmlformats.org/officeDocument/2006/relationships/hyperlink" Target="https://www.amazon.ca/dp/B0H756Q1V9" TargetMode="External" Id="rId4"/><Relationship Type="http://schemas.openxmlformats.org/officeDocument/2006/relationships/hyperlink" Target="https://www.amazon.ca/dp/B08T9NBQ1J" TargetMode="External" Id="rId5"/><Relationship Type="http://schemas.openxmlformats.org/officeDocument/2006/relationships/hyperlink" Target="https://www.amazon.ca/dp/B08QMF6D5W" TargetMode="External" Id="rId6"/><Relationship Type="http://schemas.openxmlformats.org/officeDocument/2006/relationships/hyperlink" Target="https://www.amazon.ca/dp/B09JB7K1PP" TargetMode="External" Id="rId7"/><Relationship Type="http://schemas.openxmlformats.org/officeDocument/2006/relationships/hyperlink" Target="https://www.amazon.ca/dp/B0DB5QPHB8" TargetMode="External" Id="rId8"/><Relationship Type="http://schemas.openxmlformats.org/officeDocument/2006/relationships/hyperlink" Target="https://www.amazon.ca/dp/B0B853RZWS" TargetMode="External" Id="rId9"/><Relationship Type="http://schemas.openxmlformats.org/officeDocument/2006/relationships/hyperlink" Target="https://www.amazon.ca/dp/B0B4MWGBCL" TargetMode="External" Id="rId10"/><Relationship Type="http://schemas.openxmlformats.org/officeDocument/2006/relationships/hyperlink" Target="https://www.amazon.ca/dp/B0FBL9474N" TargetMode="External" Id="rId11"/><Relationship Type="http://schemas.openxmlformats.org/officeDocument/2006/relationships/hyperlink" Target="https://www.amazon.ca/dp/B0CN5LRC1T" TargetMode="External" Id="rId12"/><Relationship Type="http://schemas.openxmlformats.org/officeDocument/2006/relationships/hyperlink" Target="https://www.amazon.ca/dp/B08NPFTQWB" TargetMode="External" Id="rId13"/><Relationship Type="http://schemas.openxmlformats.org/officeDocument/2006/relationships/hyperlink" Target="https://www.amazon.ca/dp/B08R64X5P9" TargetMode="External" Id="rId14"/><Relationship Type="http://schemas.openxmlformats.org/officeDocument/2006/relationships/hyperlink" Target="https://www.amazon.ca/dp/B09HVFNH3Z" TargetMode="External" Id="rId15"/><Relationship Type="http://schemas.openxmlformats.org/officeDocument/2006/relationships/hyperlink" Target="https://www.amazon.ca/dp/B08KHR1MCV" TargetMode="External" Id="rId16"/><Relationship Type="http://schemas.openxmlformats.org/officeDocument/2006/relationships/hyperlink" Target="https://www.amazon.ca/dp/B08R5WM69J" TargetMode="External" Id="rId17"/><Relationship Type="http://schemas.openxmlformats.org/officeDocument/2006/relationships/hyperlink" Target="https://www.amazon.ca/dp/B0B3D4SBB1" TargetMode="External" Id="rId18"/><Relationship Type="http://schemas.openxmlformats.org/officeDocument/2006/relationships/hyperlink" Target="https://www.amazon.ca/dp/B0CG8XWGLK" TargetMode="External" Id="rId19"/><Relationship Type="http://schemas.openxmlformats.org/officeDocument/2006/relationships/hyperlink" Target="https://www.amazon.ca/dp/B0DDQD35D4" TargetMode="External" Id="rId20"/><Relationship Type="http://schemas.openxmlformats.org/officeDocument/2006/relationships/hyperlink" Target="https://www.amazon.ca/dp/B0DDQ6H23P" TargetMode="External" Id="rId21"/><Relationship Type="http://schemas.openxmlformats.org/officeDocument/2006/relationships/hyperlink" Target="https://www.amazon.ca/dp/B07N97B765" TargetMode="External" Id="rId22"/><Relationship Type="http://schemas.openxmlformats.org/officeDocument/2006/relationships/hyperlink" Target="https://www.amazon.ca/dp/B0053WL9UA" TargetMode="External" Id="rId23"/><Relationship Type="http://schemas.openxmlformats.org/officeDocument/2006/relationships/hyperlink" Target="https://www.amazon.ca/dp/B09W2QF9B8" TargetMode="External" Id="rId24"/><Relationship Type="http://schemas.openxmlformats.org/officeDocument/2006/relationships/hyperlink" Target="https://www.amazon.ca/dp/B0H7TMMW5T" TargetMode="External" Id="rId25"/><Relationship Type="http://schemas.openxmlformats.org/officeDocument/2006/relationships/hyperlink" Target="https://www.amazon.ca/dp/B09HVCPNLX" TargetMode="External" Id="rId26"/><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7.xml.rels><Relationships xmlns="http://schemas.openxmlformats.org/package/2006/relationships"><Relationship Type="http://schemas.openxmlformats.org/officeDocument/2006/relationships/hyperlink" Target="https://www.amazon.ca/dp/B08NPFTQWB" TargetMode="External" Id="rId1"/><Relationship Type="http://schemas.openxmlformats.org/officeDocument/2006/relationships/hyperlink" Target="https://www.amazon.ca/dp/B08HM6WT6X" TargetMode="External" Id="rId2"/><Relationship Type="http://schemas.openxmlformats.org/officeDocument/2006/relationships/hyperlink" Target="https://www.amazon.ca/dp/B0GJC51929" TargetMode="External" Id="rId3"/><Relationship Type="http://schemas.openxmlformats.org/officeDocument/2006/relationships/hyperlink" Target="https://www.amazon.ca/dp/B0GJCBX6CJ" TargetMode="External" Id="rId4"/><Relationship Type="http://schemas.openxmlformats.org/officeDocument/2006/relationships/hyperlink" Target="https://www.amazon.ca/dp/B0B1DDMNRF" TargetMode="External" Id="rId5"/><Relationship Type="http://schemas.openxmlformats.org/officeDocument/2006/relationships/hyperlink" Target="https://www.amazon.ca/dp/B0BYC3HK7X" TargetMode="External" Id="rId6"/><Relationship Type="http://schemas.openxmlformats.org/officeDocument/2006/relationships/hyperlink" Target="https://www.amazon.ca/dp/B09JB7K1PP" TargetMode="External" Id="rId7"/><Relationship Type="http://schemas.openxmlformats.org/officeDocument/2006/relationships/hyperlink" Target="https://www.amazon.ca/dp/B09G17XZC5" TargetMode="External" Id="rId8"/><Relationship Type="http://schemas.openxmlformats.org/officeDocument/2006/relationships/hyperlink" Target="https://www.amazon.ca/dp/B0HHQTDM9B" TargetMode="External" Id="rId9"/><Relationship Type="http://schemas.openxmlformats.org/officeDocument/2006/relationships/hyperlink" Target="https://www.amazon.ca/dp/B0CSFTRP2X" TargetMode="External" Id="rId10"/><Relationship Type="http://schemas.openxmlformats.org/officeDocument/2006/relationships/hyperlink" Target="https://www.amazon.ca/dp/B07N6326HL" TargetMode="External" Id="rId11"/><Relationship Type="http://schemas.openxmlformats.org/officeDocument/2006/relationships/hyperlink" Target="https://www.amazon.ca/dp/B083G81VSH" TargetMode="External" Id="rId12"/><Relationship Type="http://schemas.openxmlformats.org/officeDocument/2006/relationships/hyperlink" Target="https://www.amazon.ca/dp/B0G3QQZTY9" TargetMode="External" Id="rId13"/><Relationship Type="http://schemas.openxmlformats.org/officeDocument/2006/relationships/hyperlink" Target="https://www.amazon.ca/dp/B0G3C5G8FR" TargetMode="External" Id="rId14"/><Relationship Type="http://schemas.openxmlformats.org/officeDocument/2006/relationships/hyperlink" Target="https://www.amazon.ca/dp/B0FMPR6QQ3" TargetMode="External" Id="rId15"/><Relationship Type="http://schemas.openxmlformats.org/officeDocument/2006/relationships/hyperlink" Target="https://www.amazon.ca/dp/B0FVJG1KD3" TargetMode="External" Id="rId16"/><Relationship Type="http://schemas.openxmlformats.org/officeDocument/2006/relationships/hyperlink" Target="https://www.amazon.ca/dp/B0GWPG1CXG" TargetMode="External" Id="rId17"/><Relationship Type="http://schemas.openxmlformats.org/officeDocument/2006/relationships/hyperlink" Target="https://www.amazon.ca/dp/B0GWPMHSL9" TargetMode="External" Id="rId18"/><Relationship Type="http://schemas.openxmlformats.org/officeDocument/2006/relationships/hyperlink" Target="https://www.amazon.ca/dp/B07XTX3G7J" TargetMode="External" Id="rId19"/><Relationship Type="http://schemas.openxmlformats.org/officeDocument/2006/relationships/hyperlink" Target="https://www.amazon.ca/dp/B07X5DPMJ9" TargetMode="External" Id="rId20"/><Relationship Type="http://schemas.openxmlformats.org/officeDocument/2006/relationships/hyperlink" Target="https://www.amazon.ca/dp/B077NL4NZK" TargetMode="External" Id="rId21"/><Relationship Type="http://schemas.openxmlformats.org/officeDocument/2006/relationships/hyperlink" Target="https://www.amazon.ca/dp/B0721C4SD3" TargetMode="External" Id="rId22"/><Relationship Type="http://schemas.openxmlformats.org/officeDocument/2006/relationships/hyperlink" Target="https://www.amazon.ca/dp/B0F2HNJ52T" TargetMode="External" Id="rId23"/><Relationship Type="http://schemas.openxmlformats.org/officeDocument/2006/relationships/hyperlink" Target="https://www.amazon.ca/dp/B0F2H8LPB3" TargetMode="External" Id="rId24"/><Relationship Type="http://schemas.openxmlformats.org/officeDocument/2006/relationships/hyperlink" Target="https://www.amazon.ca/dp/B0DJXBHN44" TargetMode="External" Id="rId25"/><Relationship Type="http://schemas.openxmlformats.org/officeDocument/2006/relationships/hyperlink" Target="https://www.amazon.ca/dp/B0DCC37WB3" TargetMode="External" Id="rId26"/><Relationship Type="http://schemas.openxmlformats.org/officeDocument/2006/relationships/hyperlink" Target="https://www.amazon.ca/dp/B07WD4MJHW" TargetMode="External" Id="rId27"/><Relationship Type="http://schemas.openxmlformats.org/officeDocument/2006/relationships/hyperlink" Target="https://www.amazon.ca/dp/B07VWFV7MB" TargetMode="External" Id="rId28"/><Relationship Type="http://schemas.openxmlformats.org/officeDocument/2006/relationships/hyperlink" Target="https://www.amazon.ca/dp/B0DJHFP2WL" TargetMode="External" Id="rId29"/><Relationship Type="http://schemas.openxmlformats.org/officeDocument/2006/relationships/hyperlink" Target="https://www.amazon.ca/dp/B0DJDXH65M" TargetMode="External" Id="rId30"/><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8.xml.rels><Relationships xmlns="http://schemas.openxmlformats.org/package/2006/relationships"><Relationship Type="http://schemas.openxmlformats.org/officeDocument/2006/relationships/hyperlink" Target="https://www.amazon.ca/dp/B099M1HTWC" TargetMode="External" Id="rId1"/><Relationship Type="http://schemas.openxmlformats.org/officeDocument/2006/relationships/hyperlink" Target="https://www.amazon.ca/dp/B095PBLXD1" TargetMode="External" Id="rId2"/><Relationship Type="http://schemas.openxmlformats.org/officeDocument/2006/relationships/hyperlink" Target="https://www.amazon.ca/dp/B07Q7QZC68" TargetMode="External" Id="rId3"/><Relationship Type="http://schemas.openxmlformats.org/officeDocument/2006/relationships/hyperlink" Target="https://www.amazon.ca/dp/B07Q7PR1MD" TargetMode="External" Id="rId4"/><Relationship Type="http://schemas.openxmlformats.org/officeDocument/2006/relationships/hyperlink" Target="https://www.amazon.ca/dp/B0B1P3PGQD" TargetMode="External" Id="rId5"/><Relationship Type="http://schemas.openxmlformats.org/officeDocument/2006/relationships/hyperlink" Target="https://www.amazon.ca/dp/B0B1NWTYMT" TargetMode="External" Id="rId6"/><Relationship Type="http://schemas.openxmlformats.org/officeDocument/2006/relationships/hyperlink" Target="https://www.amazon.ca/dp/B0D62TXWHW" TargetMode="External" Id="rId7"/><Relationship Type="http://schemas.openxmlformats.org/officeDocument/2006/relationships/hyperlink" Target="https://www.amazon.ca/dp/B0D62VPSSW" TargetMode="External" Id="rId8"/><Relationship Type="http://schemas.openxmlformats.org/officeDocument/2006/relationships/hyperlink" Target="https://www.amazon.ca/dp/B0F7R3DZ72" TargetMode="External" Id="rId9"/><Relationship Type="http://schemas.openxmlformats.org/officeDocument/2006/relationships/hyperlink" Target="https://www.amazon.ca/dp/B0F7R36H12" TargetMode="External" Id="rId10"/><Relationship Type="http://schemas.openxmlformats.org/officeDocument/2006/relationships/hyperlink" Target="https://www.amazon.ca/dp/B0B5MSKV3D" TargetMode="External" Id="rId11"/><Relationship Type="http://schemas.openxmlformats.org/officeDocument/2006/relationships/hyperlink" Target="https://www.amazon.ca/dp/B0B1DVR7MV" TargetMode="External" Id="rId12"/><Relationship Type="http://schemas.openxmlformats.org/officeDocument/2006/relationships/hyperlink" Target="https://www.amazon.ca/dp/B07JVFGW71" TargetMode="External" Id="rId13"/><Relationship Type="http://schemas.openxmlformats.org/officeDocument/2006/relationships/hyperlink" Target="https://www.amazon.ca/dp/B09Z6L6RC7" TargetMode="External" Id="rId14"/><Relationship Type="http://schemas.openxmlformats.org/officeDocument/2006/relationships/hyperlink" Target="https://www.amazon.ca/dp/B09W5X43TM" TargetMode="External" Id="rId15"/><Relationship Type="http://schemas.openxmlformats.org/officeDocument/2006/relationships/hyperlink" Target="https://www.amazon.ca/dp/B0B15DCTV8" TargetMode="External" Id="rId16"/><Relationship Type="http://schemas.openxmlformats.org/officeDocument/2006/relationships/hyperlink" Target="https://www.amazon.ca/dp/B09WH4B2BD" TargetMode="External" Id="rId17"/><Relationship Type="http://schemas.openxmlformats.org/officeDocument/2006/relationships/hyperlink" Target="https://www.amazon.ca/dp/B07LFCM1J3" TargetMode="External" Id="rId18"/><Relationship Type="http://schemas.openxmlformats.org/officeDocument/2006/relationships/hyperlink" Target="https://www.amazon.ca/dp/B09HQK4K21" TargetMode="External" Id="rId19"/><Relationship Type="http://schemas.openxmlformats.org/officeDocument/2006/relationships/hyperlink" Target="https://www.amazon.ca/dp/B09CL6BLJC" TargetMode="External" Id="rId20"/><Relationship Type="http://schemas.openxmlformats.org/officeDocument/2006/relationships/hyperlink" Target="https://www.amazon.ca/dp/B093WZY75P" TargetMode="External" Id="rId21"/><Relationship Type="http://schemas.openxmlformats.org/officeDocument/2006/relationships/hyperlink" Target="https://www.amazon.ca/dp/B08QF4WDWL" TargetMode="External" Id="rId22"/><Relationship Type="http://schemas.openxmlformats.org/officeDocument/2006/relationships/hyperlink" Target="https://www.amazon.ca/dp/B0FSN6J3TP" TargetMode="External" Id="rId23"/><Relationship Type="http://schemas.openxmlformats.org/officeDocument/2006/relationships/hyperlink" Target="https://www.amazon.ca/dp/B0FL2BKPPN" TargetMode="External" Id="rId24"/><Relationship Type="http://schemas.openxmlformats.org/officeDocument/2006/relationships/hyperlink" Target="https://www.amazon.ca/dp/B08KHV3CR8" TargetMode="External" Id="rId25"/><Relationship Type="http://schemas.openxmlformats.org/officeDocument/2006/relationships/hyperlink" Target="https://www.amazon.ca/dp/B08FCC1QFF" TargetMode="External" Id="rId26"/><Relationship Type="http://schemas.openxmlformats.org/officeDocument/2006/relationships/hyperlink" Target="https://www.amazon.ca/dp/B0CPRZL17M" TargetMode="External" Id="rId27"/><Relationship Type="http://schemas.openxmlformats.org/officeDocument/2006/relationships/hyperlink" Target="https://www.amazon.ca/dp/B0CPSG8X6G" TargetMode="External" Id="rId28"/><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65" customWidth="1" min="1" max="1"/>
  </cols>
  <sheetData>
    <row r="1">
      <c r="A1" s="1" t="inlineStr">
        <is>
          <t>BFCM 2026 Competitor Research</t>
        </is>
      </c>
    </row>
    <row r="2">
      <c r="A2" s="2" t="inlineStr">
        <is>
          <t>Owner: Shayan Rana · Prepared for: Erik Fisher &amp; Joseph Fisher · Backup: Zarlish · Final for Thu Oct 15, 2026 · Data as of Oct 13-15, 2026</t>
        </is>
      </c>
    </row>
    <row r="3">
      <c r="A3" s="3" t="inlineStr"/>
    </row>
    <row r="4">
      <c r="A4" s="4" t="inlineStr">
        <is>
          <t>How to use it</t>
        </is>
      </c>
    </row>
    <row r="5">
      <c r="A5" s="5" t="inlineStr">
        <is>
          <t>1. US Dashboard and CA Dashboard - pick a product in the yellow cell (brand, tier and family narrow the competitors). Our product panel, stock tiles, competitor tiles and the competitor gallery update. 'Open the product tab' jumps to the full analysis.</t>
        </is>
      </c>
    </row>
    <row r="6">
      <c r="A6" s="5" t="inlineStr">
        <is>
          <t>2. Product Index - every product in both marketplaces with its image, variations and BFCM 2025 result; click a tab name to open it.</t>
        </is>
      </c>
    </row>
    <row r="7">
      <c r="A7" s="5" t="inlineStr">
        <is>
          <t>3. BFCM Stock - every variation: stock at Amazon, inbound, sales a day, units needed to Nov 30, run-out date with and without inbound, and status. Filter by product or status.</t>
        </is>
      </c>
    </row>
    <row r="8">
      <c r="A8" s="5" t="inlineStr">
        <is>
          <t>4. Product tabs - US tabs (blue) then CA tabs (orange), 33 in all. Each has: 1 Our product (plan, assumed deal prices, stock outlook, deal pricing notes) · 2 Our variations · 3 Our BFCM 2025 result · 4 Competitor landscape.</t>
        </is>
      </c>
    </row>
    <row r="9">
      <c r="A9" s="5" t="inlineStr">
        <is>
          <t>5. Data Check - the as-of date, coverage and verification result of every data set; Data Gaps - what is still missing.</t>
        </is>
      </c>
    </row>
    <row r="10">
      <c r="A10" s="3" t="inlineStr"/>
    </row>
    <row r="11">
      <c r="A11" s="4" t="inlineStr">
        <is>
          <t>Key rules</t>
        </is>
      </c>
    </row>
    <row r="12">
      <c r="A12" s="5" t="inlineStr">
        <is>
          <t>Our price = the latest catalog price read (US Oct 13, CA Oct 14); a variation without one shows no price.</t>
        </is>
      </c>
    </row>
    <row r="13">
      <c r="A13" s="5" t="inlineStr">
        <is>
          <t>Assumed BFCM 2026 deal price, until final prices are set: 15% off today's price on Nov 19-26 and 20% off on Nov 27-30 (Black Friday to Cyber Monday). Amazon sets the reference price the day before the deal and can use a lower reference, which would lower the deal price.</t>
        </is>
      </c>
    </row>
    <row r="14">
      <c r="A14" s="5" t="inlineStr">
        <is>
          <t>BFCM 2026 stock: demand at today's pace to Nov 18, then x the product's BFCM 2025 lift for Nov 19-30 (the account's lift where the product's own is missing or unreliable, labelled ASSUMED). Inbound has no arrival date, so each variation shows its run-out date with and without inbound.</t>
        </is>
      </c>
    </row>
    <row r="15">
      <c r="A15" s="5" t="inlineStr">
        <is>
          <t>BFCM 2025 = Nov 20 - Dec 1, 2025; pre-event = Nov 1-19 for prices and Oct 21 - Nov 19 for sales.</t>
        </is>
      </c>
    </row>
    <row r="16">
      <c r="A16" s="5" t="inlineStr">
        <is>
          <t>A COMING SOON picture means no verified photo yet - it is never replaced by another product's photo. Images render in Excel 365 and Google Sheets.</t>
        </is>
      </c>
    </row>
    <row r="17">
      <c r="A17" s="5" t="inlineStr">
        <is>
          <t>Estimated weekly units and sales bands for competitors are estimates - use them to rank competitors, not as exact sales.</t>
        </is>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AE246"/>
  <sheetViews>
    <sheetView showGridLines="0" zoomScale="90" workbookViewId="0">
      <pane ySplit="14" topLeftCell="A15" activePane="bottomLeft" state="frozen"/>
      <selection pane="bottomLeft" activeCell="A1" sqref="A1"/>
    </sheetView>
  </sheetViews>
  <sheetFormatPr baseColWidth="8" defaultRowHeight="15"/>
  <cols>
    <col width="2" customWidth="1" min="1" max="1"/>
    <col width="13" customWidth="1" min="2" max="2"/>
    <col width="18" customWidth="1" min="3" max="3"/>
    <col width="34" customWidth="1" min="4" max="4"/>
    <col width="34" customWidth="1" min="5" max="5"/>
    <col width="9" customWidth="1" min="6" max="6"/>
    <col width="9" customWidth="1" min="7" max="7"/>
    <col width="8" customWidth="1" min="8" max="8"/>
    <col width="9" customWidth="1" min="9" max="9"/>
    <col width="9" customWidth="1" min="10" max="10"/>
    <col width="8" customWidth="1" min="11" max="11"/>
    <col width="7" customWidth="1" min="12" max="12"/>
    <col width="8" customWidth="1" min="13" max="13"/>
    <col width="9" customWidth="1" min="14" max="14"/>
    <col width="8" customWidth="1" min="15" max="15"/>
    <col width="8" customWidth="1" min="16" max="16"/>
    <col width="9" customWidth="1" min="17" max="17"/>
    <col width="14" customWidth="1" min="18" max="18"/>
    <col hidden="1" width="13" customWidth="1" min="27" max="27"/>
    <col hidden="1" width="13" customWidth="1" min="28" max="28"/>
    <col hidden="1" width="13" customWidth="1" min="29" max="29"/>
    <col hidden="1" width="13" customWidth="1" min="30" max="30"/>
    <col hidden="1" width="13" customWidth="1" min="31" max="31"/>
  </cols>
  <sheetData>
    <row r="1" ht="34" customHeight="1">
      <c r="B1" s="6" t="inlineStr">
        <is>
          <t>BFCM 2026 Tracker · Amazon.com (US)</t>
        </is>
      </c>
      <c r="AA1" t="inlineStr">
        <is>
          <t>All</t>
        </is>
      </c>
      <c r="AB1" t="inlineStr">
        <is>
          <t>All</t>
        </is>
      </c>
      <c r="AC1" t="inlineStr">
        <is>
          <t>All</t>
        </is>
      </c>
      <c r="AD1" t="inlineStr">
        <is>
          <t>All</t>
        </is>
      </c>
      <c r="AE1" t="inlineStr">
        <is>
          <t>All</t>
        </is>
      </c>
    </row>
    <row r="2">
      <c r="B2" s="7" t="inlineStr">
        <is>
          <t>Pick a product in the yellow cell. Competitor type (Direct = same product and material as ours), brand, tier and family narrow the competitor list. Everything below updates instantly.</t>
        </is>
      </c>
      <c r="AA2" t="inlineStr">
        <is>
          <t>DC B4</t>
        </is>
      </c>
      <c r="AB2" t="inlineStr">
        <is>
          <t>100% Blackout Shield</t>
        </is>
      </c>
      <c r="AC2" t="inlineStr">
        <is>
          <t>Aspirational</t>
        </is>
      </c>
      <c r="AD2" t="inlineStr">
        <is>
          <t>Bamboo</t>
        </is>
      </c>
      <c r="AE2" t="inlineStr">
        <is>
          <t>Direct</t>
        </is>
      </c>
    </row>
    <row r="3">
      <c r="B3" s="8" t="inlineStr">
        <is>
          <t>Owner: Shayan Rana · Prepared for: Erik Fisher &amp; Joseph Fisher · Data as of Oct 13-15, 2026</t>
        </is>
      </c>
      <c r="AA3" t="inlineStr">
        <is>
          <t>DC B6</t>
        </is>
      </c>
      <c r="AB3" t="inlineStr">
        <is>
          <t>ACCURATEX</t>
        </is>
      </c>
      <c r="AC3" t="inlineStr">
        <is>
          <t>Beatable</t>
        </is>
      </c>
      <c r="AD3" t="inlineStr">
        <is>
          <t>Satin</t>
        </is>
      </c>
      <c r="AE3" t="inlineStr">
        <is>
          <t>Alternative material</t>
        </is>
      </c>
    </row>
    <row r="4" ht="30" customHeight="1">
      <c r="B4" s="9" t="inlineStr">
        <is>
          <t>Product</t>
        </is>
      </c>
      <c r="C4" s="10" t="inlineStr">
        <is>
          <t>DC B4</t>
        </is>
      </c>
      <c r="D4" s="11" t="inlineStr">
        <is>
          <t>▼ pick from the list</t>
        </is>
      </c>
      <c r="E4" s="12">
        <f>IF($C$4="All","",IFERROR(_xlfn.IMAGE(IFERROR(INDEX(Lookup!$A$2:$Y$34,MATCH("US|"&amp;$C$4,Lookup!$A$2:$A$34,0),5),"")),"IMAGE COMING SOON"))</f>
        <v/>
      </c>
      <c r="F4" s="13" t="inlineStr">
        <is>
          <t>Our product</t>
        </is>
      </c>
      <c r="G4" s="14">
        <f>IF($C$4="All","All products",IFERROR(INDEX(Lookup!$A$2:$Y$34,MATCH("US|"&amp;$C$4,Lookup!$A$2:$A$34,0),4),""))</f>
        <v/>
      </c>
      <c r="L4" s="15" t="inlineStr">
        <is>
          <t>STOCK AT AMAZON</t>
        </is>
      </c>
      <c r="N4" s="15" t="inlineStr">
        <is>
          <t>INBOUND</t>
        </is>
      </c>
      <c r="P4" s="15" t="inlineStr">
        <is>
          <t>UNITS NEEDED TO NOV 30</t>
        </is>
      </c>
      <c r="R4" s="15" t="inlineStr">
        <is>
          <t>VARIATIONS SHORT / OUT OF STOCK</t>
        </is>
      </c>
      <c r="AA4" t="inlineStr">
        <is>
          <t>SL B6</t>
        </is>
      </c>
      <c r="AB4" t="inlineStr">
        <is>
          <t>Adubor</t>
        </is>
      </c>
      <c r="AC4" t="inlineStr">
        <is>
          <t>Poor</t>
        </is>
      </c>
      <c r="AD4" t="inlineStr">
        <is>
          <t>Silk</t>
        </is>
      </c>
      <c r="AE4" t="inlineStr">
        <is>
          <t>Material not verified</t>
        </is>
      </c>
    </row>
    <row r="5" ht="22" customHeight="1">
      <c r="B5" s="9" t="inlineStr">
        <is>
          <t>Brand</t>
        </is>
      </c>
      <c r="C5" s="10" t="inlineStr">
        <is>
          <t>All</t>
        </is>
      </c>
      <c r="D5" s="11" t="inlineStr">
        <is>
          <t>▼ pick from the list</t>
        </is>
      </c>
      <c r="F5" s="13" t="inlineStr">
        <is>
          <t>Brand · parent ASIN</t>
        </is>
      </c>
      <c r="G5" s="16">
        <f>IF($C$4="All","",IFERROR(INDEX(Lookup!$A$2:$Y$34,MATCH("US|"&amp;$C$4,Lookup!$A$2:$A$34,0),6),"")&amp;" · "&amp;IFERROR(INDEX(Lookup!$A$2:$Y$34,MATCH("US|"&amp;$C$4,Lookup!$A$2:$A$34,0),7),""))</f>
        <v/>
      </c>
      <c r="L5" s="17">
        <f>IF($C$4="All","",IFERROR(INDEX(Lookup!$A$2:$Y$34,MATCH("US|"&amp;$C$4,Lookup!$A$2:$A$34,0),16),""))</f>
        <v/>
      </c>
      <c r="N5" s="17">
        <f>IF($C$4="All","",IFERROR(INDEX(Lookup!$A$2:$Y$34,MATCH("US|"&amp;$C$4,Lookup!$A$2:$A$34,0),17),""))</f>
        <v/>
      </c>
      <c r="P5" s="17">
        <f>IF($C$4="All","",IFERROR(INDEX(Lookup!$A$2:$Y$34,MATCH("US|"&amp;$C$4,Lookup!$A$2:$A$34,0),18),""))</f>
        <v/>
      </c>
      <c r="R5" s="18">
        <f>IF($C$4="All","",IFERROR(INDEX(Lookup!$A$2:$Y$34,MATCH("US|"&amp;$C$4,Lookup!$A$2:$A$34,0),22),"")&amp;" / "&amp;IFERROR(INDEX(Lookup!$A$2:$Y$34,MATCH("US|"&amp;$C$4,Lookup!$A$2:$A$34,0),23),""))</f>
        <v/>
      </c>
      <c r="AA5" t="inlineStr">
        <is>
          <t>SL B4</t>
        </is>
      </c>
      <c r="AB5" t="inlineStr">
        <is>
          <t>AiAngu</t>
        </is>
      </c>
      <c r="AC5" t="inlineStr">
        <is>
          <t>Untiered</t>
        </is>
      </c>
      <c r="AD5" t="inlineStr">
        <is>
          <t>Cooling</t>
        </is>
      </c>
      <c r="AE5" t="inlineStr">
        <is>
          <t>Different product type</t>
        </is>
      </c>
    </row>
    <row r="6" ht="22" customHeight="1">
      <c r="B6" s="9" t="inlineStr">
        <is>
          <t>Tier</t>
        </is>
      </c>
      <c r="C6" s="10" t="inlineStr">
        <is>
          <t>All</t>
        </is>
      </c>
      <c r="D6" s="11" t="inlineStr">
        <is>
          <t>▼ pick from the list</t>
        </is>
      </c>
      <c r="F6" s="13" t="inlineStr">
        <is>
          <t>Our price (best child)</t>
        </is>
      </c>
      <c r="G6" s="19">
        <f>IF($C$4="All","",IFERROR(INDEX(Lookup!$A$2:$Y$34,MATCH("US|"&amp;$C$4,Lookup!$A$2:$A$34,0),10),""))</f>
        <v/>
      </c>
      <c r="AA6" t="inlineStr">
        <is>
          <t>DC Bamboo Fitted</t>
        </is>
      </c>
      <c r="AB6" t="inlineStr">
        <is>
          <t>akkialla</t>
        </is>
      </c>
      <c r="AD6" t="inlineStr">
        <is>
          <t>Other</t>
        </is>
      </c>
      <c r="AE6" t="inlineStr">
        <is>
          <t>Not classified</t>
        </is>
      </c>
    </row>
    <row r="7" ht="22" customHeight="1">
      <c r="B7" s="9" t="inlineStr">
        <is>
          <t>Family</t>
        </is>
      </c>
      <c r="C7" s="10" t="inlineStr">
        <is>
          <t>All</t>
        </is>
      </c>
      <c r="D7" s="11" t="inlineStr">
        <is>
          <t>▼ pick from the list</t>
        </is>
      </c>
      <c r="F7" s="13" t="inlineStr">
        <is>
          <t>Units, last 28 days</t>
        </is>
      </c>
      <c r="G7" s="20">
        <f>IF($C$4="All","",IFERROR(INDEX(Lookup!$A$2:$Y$34,MATCH("US|"&amp;$C$4,Lookup!$A$2:$A$34,0),11),""))</f>
        <v/>
      </c>
      <c r="L7" s="15" t="inlineStr">
        <is>
          <t>COMPETITORS SHOWN</t>
        </is>
      </c>
      <c r="N7" s="15" t="inlineStr">
        <is>
          <t>MEDIAN COMPETITOR PRICE</t>
        </is>
      </c>
      <c r="P7" s="15" t="inlineStr">
        <is>
          <t>PRICED BELOW US</t>
        </is>
      </c>
      <c r="R7" s="15" t="inlineStr">
        <is>
          <t>AVG BFCM 2025 DISCOUNT</t>
        </is>
      </c>
      <c r="AA7" t="inlineStr">
        <is>
          <t>SL Bamboo Pillowcase</t>
        </is>
      </c>
      <c r="AB7" t="inlineStr">
        <is>
          <t>ALASKA BEAR</t>
        </is>
      </c>
    </row>
    <row r="8" ht="22" customHeight="1">
      <c r="B8" s="9" t="inlineStr">
        <is>
          <t>Competitor type</t>
        </is>
      </c>
      <c r="C8" s="10" t="inlineStr">
        <is>
          <t>All</t>
        </is>
      </c>
      <c r="D8" s="11" t="inlineStr">
        <is>
          <t>▼ pick from the list</t>
        </is>
      </c>
      <c r="F8" s="13" t="inlineStr">
        <is>
          <t>BFCM 2026 plan</t>
        </is>
      </c>
      <c r="G8" s="16">
        <f>IF($C$4="All","",IFERROR(INDEX(Lookup!$A$2:$Y$34,MATCH("US|"&amp;$C$4,Lookup!$A$2:$A$34,0),13),""))</f>
        <v/>
      </c>
      <c r="L8" s="17">
        <f>COUNTIF(Data!$A$2:$A$745,TRUE)</f>
        <v/>
      </c>
      <c r="N8" s="21">
        <f t="array" ref="N8">IFERROR(MEDIAN(IF((Data!$A$2:$A$745=TRUE)*ISNUMBER(Data!$N$2:$N$745),Data!$N$2:$N$745)),"")</f>
        <v/>
      </c>
      <c r="P8" s="17">
        <f>COUNTIFS(Data!$A$2:$A$745,TRUE,Data!$R$2:$R$745,"&lt;0")</f>
        <v/>
      </c>
      <c r="R8" s="22">
        <f>IFERROR(AVERAGEIFS(Data!$AD$2:$AD$745,Data!$A$2:$A$745,TRUE),"")</f>
        <v/>
      </c>
      <c r="AA8" t="inlineStr">
        <is>
          <t>DC S4</t>
        </is>
      </c>
      <c r="AB8" t="inlineStr">
        <is>
          <t>Amazon Basics</t>
        </is>
      </c>
    </row>
    <row r="9" ht="22" customHeight="1">
      <c r="B9" s="23" t="inlineStr">
        <is>
          <t>→ CA Dashboard</t>
        </is>
      </c>
      <c r="F9" s="13" t="inlineStr">
        <is>
          <t>Assumed deal price (15% / 20%)</t>
        </is>
      </c>
      <c r="G9" s="16">
        <f>IF(OR($C$4="All",IFERROR(INDEX(Lookup!$A$2:$Y$34,MATCH("US|"&amp;$C$4,Lookup!$A$2:$A$34,0),14),"")=""),"No deal planned",TEXT(IFERROR(INDEX(Lookup!$A$2:$Y$34,MATCH("US|"&amp;$C$4,Lookup!$A$2:$A$34,0),14),""),"$0.00")&amp;" (Nov 19-26) · "&amp;TEXT(IFERROR(INDEX(Lookup!$A$2:$Y$34,MATCH("US|"&amp;$C$4,Lookup!$A$2:$A$34,0),15),""),"$0.00")&amp;" (Nov 27-30)")</f>
        <v/>
      </c>
      <c r="AA9" t="inlineStr">
        <is>
          <t>DC S6</t>
        </is>
      </c>
      <c r="AB9" t="inlineStr">
        <is>
          <t>Andency</t>
        </is>
      </c>
    </row>
    <row r="10" ht="22" customHeight="1">
      <c r="B10" s="23" t="inlineStr">
        <is>
          <t>→ BFCM Stock</t>
        </is>
      </c>
      <c r="F10" s="13" t="inlineStr">
        <is>
          <t>BFCM 2025 sales lift</t>
        </is>
      </c>
      <c r="G10" s="24">
        <f>IF($C$4="All","",IFERROR(INDEX(Lookup!$A$2:$Y$34,MATCH("US|"&amp;$C$4,Lookup!$A$2:$A$34,0),12),""))</f>
        <v/>
      </c>
      <c r="AA10" t="inlineStr">
        <is>
          <t>SSS4</t>
        </is>
      </c>
      <c r="AB10" t="inlineStr">
        <is>
          <t>Anibedding</t>
        </is>
      </c>
    </row>
    <row r="11">
      <c r="F11" s="13" t="inlineStr">
        <is>
          <t>Open the product tab:</t>
        </is>
      </c>
      <c r="G11" s="23">
        <f>IF($C$4="All","",HYPERLINK("#'"&amp;IFERROR(INDEX(Lookup!$A$2:$Y$34,MATCH("US|"&amp;$C$4,Lookup!$A$2:$A$34,0),3),"")&amp;"'!A1",IFERROR(INDEX(Lookup!$A$2:$Y$34,MATCH("US|"&amp;$C$4,Lookup!$A$2:$A$34,0),3),"")))</f>
        <v/>
      </c>
      <c r="AA11" t="inlineStr">
        <is>
          <t>SL Satin 6pc</t>
        </is>
      </c>
      <c r="AB11" t="inlineStr">
        <is>
          <t>Artrello</t>
        </is>
      </c>
    </row>
    <row r="12">
      <c r="AA12" t="inlineStr">
        <is>
          <t>DC Satin Fitted</t>
        </is>
      </c>
      <c r="AB12" t="inlineStr">
        <is>
          <t>ATreebay</t>
        </is>
      </c>
    </row>
    <row r="13">
      <c r="B13" s="25" t="inlineStr">
        <is>
          <t>COMPETITORS (first 80 matches, in tier then weekly-units order)</t>
        </is>
      </c>
      <c r="AA13" t="inlineStr">
        <is>
          <t>DC Silk Pillowcase</t>
        </is>
      </c>
      <c r="AB13" t="inlineStr">
        <is>
          <t>Avolare</t>
        </is>
      </c>
    </row>
    <row r="14">
      <c r="B14" s="26" t="inlineStr">
        <is>
          <t>#</t>
        </is>
      </c>
      <c r="C14" s="26" t="inlineStr">
        <is>
          <t>Image</t>
        </is>
      </c>
      <c r="D14" s="26" t="inlineStr">
        <is>
          <t>Brand · Tier</t>
        </is>
      </c>
      <c r="E14" s="26" t="inlineStr">
        <is>
          <t>Title</t>
        </is>
      </c>
      <c r="F14" s="26" t="inlineStr">
        <is>
          <t>Competitor type</t>
        </is>
      </c>
      <c r="G14" s="26" t="inlineStr">
        <is>
          <t>Size · colour</t>
        </is>
      </c>
      <c r="H14" s="26" t="inlineStr">
        <is>
          <t>Price</t>
        </is>
      </c>
      <c r="I14" s="26" t="inlineStr">
        <is>
          <t>List Price</t>
        </is>
      </c>
      <c r="J14" s="26" t="inlineStr">
        <is>
          <t>List % over</t>
        </is>
      </c>
      <c r="K14" s="26" t="inlineStr">
        <is>
          <t>vs our price</t>
        </is>
      </c>
      <c r="L14" s="26" t="inlineStr">
        <is>
          <t>BSR</t>
        </is>
      </c>
      <c r="M14" s="26" t="inlineStr">
        <is>
          <t>Wk units</t>
        </is>
      </c>
      <c r="N14" s="26" t="inlineStr">
        <is>
          <t>Rating</t>
        </is>
      </c>
      <c r="O14" s="26" t="inlineStr">
        <is>
          <t>Reviews</t>
        </is>
      </c>
      <c r="P14" s="26" t="inlineStr">
        <is>
          <t>Variations</t>
        </is>
      </c>
      <c r="Q14" s="26" t="inlineStr">
        <is>
          <t>BFCM 2025 discount</t>
        </is>
      </c>
      <c r="R14" s="26" t="inlineStr">
        <is>
          <t>ASIN</t>
        </is>
      </c>
      <c r="AA14" t="inlineStr">
        <is>
          <t>SL Mask Contoured</t>
        </is>
      </c>
      <c r="AB14" t="inlineStr">
        <is>
          <t>Back Bay Audio</t>
        </is>
      </c>
    </row>
    <row r="15" ht="62" customHeight="1">
      <c r="B15" s="27">
        <f>IF(1&lt;=COUNTIF(Data!$A$2:$A$745,TRUE),1,"")</f>
        <v/>
      </c>
      <c r="C15" s="28">
        <f>IF(B15="","",IFERROR(_xlfn.IMAGE(IFERROR(IF(INDEX(Data!$J$2:$J$745,MATCH(1,Data!$B$2:$B$745,0))="","",INDEX(Data!$J$2:$J$745,MATCH(1,Data!$B$2:$B$745,0))),"")),"IMAGE COMING SOON"))</f>
        <v/>
      </c>
      <c r="D15" s="29">
        <f>IF(B15="","",IFERROR(IF(INDEX(Data!$G$2:$G$745,MATCH(1,Data!$B$2:$B$745,0))="","",INDEX(Data!$G$2:$G$745,MATCH(1,Data!$B$2:$B$745,0))),"")&amp;CHAR(10)&amp;IFERROR(IF(INDEX(Data!$H$2:$H$745,MATCH(1,Data!$B$2:$B$745,0))="","",INDEX(Data!$H$2:$H$745,MATCH(1,Data!$B$2:$B$745,0))),""))</f>
        <v/>
      </c>
      <c r="E15" s="27">
        <f>IF(B15="","",IFERROR(IF(INDEX(Data!$I$2:$I$745,MATCH(1,Data!$B$2:$B$745,0))="","",INDEX(Data!$I$2:$I$745,MATCH(1,Data!$B$2:$B$745,0))),""))</f>
        <v/>
      </c>
      <c r="F15" s="27">
        <f>IF(B15="","",IFERROR(IF(INDEX(Data!$AJ$2:$AJ$745,MATCH(1,Data!$B$2:$B$745,0))="","",INDEX(Data!$AJ$2:$AJ$745,MATCH(1,Data!$B$2:$B$745,0))),""))</f>
        <v/>
      </c>
      <c r="G15" s="27">
        <f>IF(B15="","",TRIM(IFERROR(IF(INDEX(Data!$AF$2:$AF$745,MATCH(1,Data!$B$2:$B$745,0))="","",INDEX(Data!$AF$2:$AF$745,MATCH(1,Data!$B$2:$B$745,0))),"")&amp;" "&amp;IFERROR(IF(INDEX(Data!$AG$2:$AG$745,MATCH(1,Data!$B$2:$B$745,0))="","",INDEX(Data!$AG$2:$AG$745,MATCH(1,Data!$B$2:$B$745,0))),"")))</f>
        <v/>
      </c>
      <c r="H15" s="30">
        <f>IF(B15="","",IFERROR(IF(INDEX(Data!$N$2:$N$745,MATCH(1,Data!$B$2:$B$745,0))="","",INDEX(Data!$N$2:$N$745,MATCH(1,Data!$B$2:$B$745,0))),""))</f>
        <v/>
      </c>
      <c r="I15" s="30">
        <f>IF(B15="","",IFERROR(IF(INDEX(Data!$O$2:$O$745,MATCH(1,Data!$B$2:$B$745,0))="","",INDEX(Data!$O$2:$O$745,MATCH(1,Data!$B$2:$B$745,0))),""))</f>
        <v/>
      </c>
      <c r="J15" s="31">
        <f>IF(B15="","",IFERROR(IF(INDEX(Data!$P$2:$P$745,MATCH(1,Data!$B$2:$B$745,0))="","",INDEX(Data!$P$2:$P$745,MATCH(1,Data!$B$2:$B$745,0))),""))</f>
        <v/>
      </c>
      <c r="K15" s="32">
        <f>IF(B15="","",IFERROR(IF(INDEX(Data!$R$2:$R$745,MATCH(1,Data!$B$2:$B$745,0))="","",INDEX(Data!$R$2:$R$745,MATCH(1,Data!$B$2:$B$745,0))),""))</f>
        <v/>
      </c>
      <c r="L15" s="33">
        <f>IF(B15="","",IFERROR(IF(INDEX(Data!$S$2:$S$745,MATCH(1,Data!$B$2:$B$745,0))="","",INDEX(Data!$S$2:$S$745,MATCH(1,Data!$B$2:$B$745,0))),""))</f>
        <v/>
      </c>
      <c r="M15" s="33">
        <f>IF(B15="","",IFERROR(IF(INDEX(Data!$T$2:$T$745,MATCH(1,Data!$B$2:$B$745,0))="","",INDEX(Data!$T$2:$T$745,MATCH(1,Data!$B$2:$B$745,0))),""))</f>
        <v/>
      </c>
      <c r="N15" s="34">
        <f>IF(B15="","",IFERROR(IF(INDEX(Data!$U$2:$U$745,MATCH(1,Data!$B$2:$B$745,0))="","",INDEX(Data!$U$2:$U$745,MATCH(1,Data!$B$2:$B$745,0))),""))</f>
        <v/>
      </c>
      <c r="O15" s="33">
        <f>IF(B15="","",IFERROR(IF(INDEX(Data!$V$2:$V$745,MATCH(1,Data!$B$2:$B$745,0))="","",INDEX(Data!$V$2:$V$745,MATCH(1,Data!$B$2:$B$745,0))),""))</f>
        <v/>
      </c>
      <c r="P15" s="33">
        <f>IF(B15="","",IFERROR(IF(INDEX(Data!$M$2:$M$745,MATCH(1,Data!$B$2:$B$745,0))="","",INDEX(Data!$M$2:$M$745,MATCH(1,Data!$B$2:$B$745,0))),""))</f>
        <v/>
      </c>
      <c r="Q15" s="31">
        <f>IF(B15="","",IFERROR(IF(INDEX(Data!$AD$2:$AD$745,MATCH(1,Data!$B$2:$B$745,0))="","",INDEX(Data!$AD$2:$AD$745,MATCH(1,Data!$B$2:$B$745,0))),""))</f>
        <v/>
      </c>
      <c r="R15" s="27">
        <f>IF(B15="","",IFERROR(IF(INDEX(Data!$L$2:$L$745,MATCH(1,Data!$B$2:$B$745,0))="","",INDEX(Data!$L$2:$L$745,MATCH(1,Data!$B$2:$B$745,0))),""))</f>
        <v/>
      </c>
      <c r="AA15" t="inlineStr">
        <is>
          <t>SL Mask Velcro</t>
        </is>
      </c>
      <c r="AB15" t="inlineStr">
        <is>
          <t>Bambaw</t>
        </is>
      </c>
    </row>
    <row r="16" ht="62" customHeight="1">
      <c r="B16" s="27">
        <f>IF(2&lt;=COUNTIF(Data!$A$2:$A$745,TRUE),2,"")</f>
        <v/>
      </c>
      <c r="C16" s="28">
        <f>IF(B16="","",IFERROR(_xlfn.IMAGE(IFERROR(IF(INDEX(Data!$J$2:$J$745,MATCH(2,Data!$B$2:$B$745,0))="","",INDEX(Data!$J$2:$J$745,MATCH(2,Data!$B$2:$B$745,0))),"")),"IMAGE COMING SOON"))</f>
        <v/>
      </c>
      <c r="D16" s="29">
        <f>IF(B16="","",IFERROR(IF(INDEX(Data!$G$2:$G$745,MATCH(2,Data!$B$2:$B$745,0))="","",INDEX(Data!$G$2:$G$745,MATCH(2,Data!$B$2:$B$745,0))),"")&amp;CHAR(10)&amp;IFERROR(IF(INDEX(Data!$H$2:$H$745,MATCH(2,Data!$B$2:$B$745,0))="","",INDEX(Data!$H$2:$H$745,MATCH(2,Data!$B$2:$B$745,0))),""))</f>
        <v/>
      </c>
      <c r="E16" s="27">
        <f>IF(B16="","",IFERROR(IF(INDEX(Data!$I$2:$I$745,MATCH(2,Data!$B$2:$B$745,0))="","",INDEX(Data!$I$2:$I$745,MATCH(2,Data!$B$2:$B$745,0))),""))</f>
        <v/>
      </c>
      <c r="F16" s="27">
        <f>IF(B16="","",IFERROR(IF(INDEX(Data!$AJ$2:$AJ$745,MATCH(2,Data!$B$2:$B$745,0))="","",INDEX(Data!$AJ$2:$AJ$745,MATCH(2,Data!$B$2:$B$745,0))),""))</f>
        <v/>
      </c>
      <c r="G16" s="27">
        <f>IF(B16="","",TRIM(IFERROR(IF(INDEX(Data!$AF$2:$AF$745,MATCH(2,Data!$B$2:$B$745,0))="","",INDEX(Data!$AF$2:$AF$745,MATCH(2,Data!$B$2:$B$745,0))),"")&amp;" "&amp;IFERROR(IF(INDEX(Data!$AG$2:$AG$745,MATCH(2,Data!$B$2:$B$745,0))="","",INDEX(Data!$AG$2:$AG$745,MATCH(2,Data!$B$2:$B$745,0))),"")))</f>
        <v/>
      </c>
      <c r="H16" s="30">
        <f>IF(B16="","",IFERROR(IF(INDEX(Data!$N$2:$N$745,MATCH(2,Data!$B$2:$B$745,0))="","",INDEX(Data!$N$2:$N$745,MATCH(2,Data!$B$2:$B$745,0))),""))</f>
        <v/>
      </c>
      <c r="I16" s="30">
        <f>IF(B16="","",IFERROR(IF(INDEX(Data!$O$2:$O$745,MATCH(2,Data!$B$2:$B$745,0))="","",INDEX(Data!$O$2:$O$745,MATCH(2,Data!$B$2:$B$745,0))),""))</f>
        <v/>
      </c>
      <c r="J16" s="31">
        <f>IF(B16="","",IFERROR(IF(INDEX(Data!$P$2:$P$745,MATCH(2,Data!$B$2:$B$745,0))="","",INDEX(Data!$P$2:$P$745,MATCH(2,Data!$B$2:$B$745,0))),""))</f>
        <v/>
      </c>
      <c r="K16" s="32">
        <f>IF(B16="","",IFERROR(IF(INDEX(Data!$R$2:$R$745,MATCH(2,Data!$B$2:$B$745,0))="","",INDEX(Data!$R$2:$R$745,MATCH(2,Data!$B$2:$B$745,0))),""))</f>
        <v/>
      </c>
      <c r="L16" s="33">
        <f>IF(B16="","",IFERROR(IF(INDEX(Data!$S$2:$S$745,MATCH(2,Data!$B$2:$B$745,0))="","",INDEX(Data!$S$2:$S$745,MATCH(2,Data!$B$2:$B$745,0))),""))</f>
        <v/>
      </c>
      <c r="M16" s="33">
        <f>IF(B16="","",IFERROR(IF(INDEX(Data!$T$2:$T$745,MATCH(2,Data!$B$2:$B$745,0))="","",INDEX(Data!$T$2:$T$745,MATCH(2,Data!$B$2:$B$745,0))),""))</f>
        <v/>
      </c>
      <c r="N16" s="34">
        <f>IF(B16="","",IFERROR(IF(INDEX(Data!$U$2:$U$745,MATCH(2,Data!$B$2:$B$745,0))="","",INDEX(Data!$U$2:$U$745,MATCH(2,Data!$B$2:$B$745,0))),""))</f>
        <v/>
      </c>
      <c r="O16" s="33">
        <f>IF(B16="","",IFERROR(IF(INDEX(Data!$V$2:$V$745,MATCH(2,Data!$B$2:$B$745,0))="","",INDEX(Data!$V$2:$V$745,MATCH(2,Data!$B$2:$B$745,0))),""))</f>
        <v/>
      </c>
      <c r="P16" s="33">
        <f>IF(B16="","",IFERROR(IF(INDEX(Data!$M$2:$M$745,MATCH(2,Data!$B$2:$B$745,0))="","",INDEX(Data!$M$2:$M$745,MATCH(2,Data!$B$2:$B$745,0))),""))</f>
        <v/>
      </c>
      <c r="Q16" s="31">
        <f>IF(B16="","",IFERROR(IF(INDEX(Data!$AD$2:$AD$745,MATCH(2,Data!$B$2:$B$745,0))="","",INDEX(Data!$AD$2:$AD$745,MATCH(2,Data!$B$2:$B$745,0))),""))</f>
        <v/>
      </c>
      <c r="R16" s="27">
        <f>IF(B16="","",IFERROR(IF(INDEX(Data!$L$2:$L$745,MATCH(2,Data!$B$2:$B$745,0))="","",INDEX(Data!$L$2:$L$745,MATCH(2,Data!$B$2:$B$745,0))),""))</f>
        <v/>
      </c>
      <c r="AA16" t="inlineStr">
        <is>
          <t>DC Cooling 4pc</t>
        </is>
      </c>
      <c r="AB16" t="inlineStr">
        <is>
          <t>Bamboo Bay</t>
        </is>
      </c>
    </row>
    <row r="17" ht="62" customHeight="1">
      <c r="B17" s="27">
        <f>IF(3&lt;=COUNTIF(Data!$A$2:$A$745,TRUE),3,"")</f>
        <v/>
      </c>
      <c r="C17" s="28">
        <f>IF(B17="","",IFERROR(_xlfn.IMAGE(IFERROR(IF(INDEX(Data!$J$2:$J$745,MATCH(3,Data!$B$2:$B$745,0))="","",INDEX(Data!$J$2:$J$745,MATCH(3,Data!$B$2:$B$745,0))),"")),"IMAGE COMING SOON"))</f>
        <v/>
      </c>
      <c r="D17" s="29">
        <f>IF(B17="","",IFERROR(IF(INDEX(Data!$G$2:$G$745,MATCH(3,Data!$B$2:$B$745,0))="","",INDEX(Data!$G$2:$G$745,MATCH(3,Data!$B$2:$B$745,0))),"")&amp;CHAR(10)&amp;IFERROR(IF(INDEX(Data!$H$2:$H$745,MATCH(3,Data!$B$2:$B$745,0))="","",INDEX(Data!$H$2:$H$745,MATCH(3,Data!$B$2:$B$745,0))),""))</f>
        <v/>
      </c>
      <c r="E17" s="27">
        <f>IF(B17="","",IFERROR(IF(INDEX(Data!$I$2:$I$745,MATCH(3,Data!$B$2:$B$745,0))="","",INDEX(Data!$I$2:$I$745,MATCH(3,Data!$B$2:$B$745,0))),""))</f>
        <v/>
      </c>
      <c r="F17" s="27">
        <f>IF(B17="","",IFERROR(IF(INDEX(Data!$AJ$2:$AJ$745,MATCH(3,Data!$B$2:$B$745,0))="","",INDEX(Data!$AJ$2:$AJ$745,MATCH(3,Data!$B$2:$B$745,0))),""))</f>
        <v/>
      </c>
      <c r="G17" s="27">
        <f>IF(B17="","",TRIM(IFERROR(IF(INDEX(Data!$AF$2:$AF$745,MATCH(3,Data!$B$2:$B$745,0))="","",INDEX(Data!$AF$2:$AF$745,MATCH(3,Data!$B$2:$B$745,0))),"")&amp;" "&amp;IFERROR(IF(INDEX(Data!$AG$2:$AG$745,MATCH(3,Data!$B$2:$B$745,0))="","",INDEX(Data!$AG$2:$AG$745,MATCH(3,Data!$B$2:$B$745,0))),"")))</f>
        <v/>
      </c>
      <c r="H17" s="30">
        <f>IF(B17="","",IFERROR(IF(INDEX(Data!$N$2:$N$745,MATCH(3,Data!$B$2:$B$745,0))="","",INDEX(Data!$N$2:$N$745,MATCH(3,Data!$B$2:$B$745,0))),""))</f>
        <v/>
      </c>
      <c r="I17" s="30">
        <f>IF(B17="","",IFERROR(IF(INDEX(Data!$O$2:$O$745,MATCH(3,Data!$B$2:$B$745,0))="","",INDEX(Data!$O$2:$O$745,MATCH(3,Data!$B$2:$B$745,0))),""))</f>
        <v/>
      </c>
      <c r="J17" s="31">
        <f>IF(B17="","",IFERROR(IF(INDEX(Data!$P$2:$P$745,MATCH(3,Data!$B$2:$B$745,0))="","",INDEX(Data!$P$2:$P$745,MATCH(3,Data!$B$2:$B$745,0))),""))</f>
        <v/>
      </c>
      <c r="K17" s="32">
        <f>IF(B17="","",IFERROR(IF(INDEX(Data!$R$2:$R$745,MATCH(3,Data!$B$2:$B$745,0))="","",INDEX(Data!$R$2:$R$745,MATCH(3,Data!$B$2:$B$745,0))),""))</f>
        <v/>
      </c>
      <c r="L17" s="33">
        <f>IF(B17="","",IFERROR(IF(INDEX(Data!$S$2:$S$745,MATCH(3,Data!$B$2:$B$745,0))="","",INDEX(Data!$S$2:$S$745,MATCH(3,Data!$B$2:$B$745,0))),""))</f>
        <v/>
      </c>
      <c r="M17" s="33">
        <f>IF(B17="","",IFERROR(IF(INDEX(Data!$T$2:$T$745,MATCH(3,Data!$B$2:$B$745,0))="","",INDEX(Data!$T$2:$T$745,MATCH(3,Data!$B$2:$B$745,0))),""))</f>
        <v/>
      </c>
      <c r="N17" s="34">
        <f>IF(B17="","",IFERROR(IF(INDEX(Data!$U$2:$U$745,MATCH(3,Data!$B$2:$B$745,0))="","",INDEX(Data!$U$2:$U$745,MATCH(3,Data!$B$2:$B$745,0))),""))</f>
        <v/>
      </c>
      <c r="O17" s="33">
        <f>IF(B17="","",IFERROR(IF(INDEX(Data!$V$2:$V$745,MATCH(3,Data!$B$2:$B$745,0))="","",INDEX(Data!$V$2:$V$745,MATCH(3,Data!$B$2:$B$745,0))),""))</f>
        <v/>
      </c>
      <c r="P17" s="33">
        <f>IF(B17="","",IFERROR(IF(INDEX(Data!$M$2:$M$745,MATCH(3,Data!$B$2:$B$745,0))="","",INDEX(Data!$M$2:$M$745,MATCH(3,Data!$B$2:$B$745,0))),""))</f>
        <v/>
      </c>
      <c r="Q17" s="31">
        <f>IF(B17="","",IFERROR(IF(INDEX(Data!$AD$2:$AD$745,MATCH(3,Data!$B$2:$B$745,0))="","",INDEX(Data!$AD$2:$AD$745,MATCH(3,Data!$B$2:$B$745,0))),""))</f>
        <v/>
      </c>
      <c r="R17" s="27">
        <f>IF(B17="","",IFERROR(IF(INDEX(Data!$L$2:$L$745,MATCH(3,Data!$B$2:$B$745,0))="","",INDEX(Data!$L$2:$L$745,MATCH(3,Data!$B$2:$B$745,0))),""))</f>
        <v/>
      </c>
      <c r="AA17" t="inlineStr">
        <is>
          <t>SL Cooling 4pc</t>
        </is>
      </c>
      <c r="AB17" t="inlineStr">
        <is>
          <t>BAMPURE</t>
        </is>
      </c>
    </row>
    <row r="18" ht="62" customHeight="1">
      <c r="B18" s="27">
        <f>IF(4&lt;=COUNTIF(Data!$A$2:$A$745,TRUE),4,"")</f>
        <v/>
      </c>
      <c r="C18" s="28">
        <f>IF(B18="","",IFERROR(_xlfn.IMAGE(IFERROR(IF(INDEX(Data!$J$2:$J$745,MATCH(4,Data!$B$2:$B$745,0))="","",INDEX(Data!$J$2:$J$745,MATCH(4,Data!$B$2:$B$745,0))),"")),"IMAGE COMING SOON"))</f>
        <v/>
      </c>
      <c r="D18" s="29">
        <f>IF(B18="","",IFERROR(IF(INDEX(Data!$G$2:$G$745,MATCH(4,Data!$B$2:$B$745,0))="","",INDEX(Data!$G$2:$G$745,MATCH(4,Data!$B$2:$B$745,0))),"")&amp;CHAR(10)&amp;IFERROR(IF(INDEX(Data!$H$2:$H$745,MATCH(4,Data!$B$2:$B$745,0))="","",INDEX(Data!$H$2:$H$745,MATCH(4,Data!$B$2:$B$745,0))),""))</f>
        <v/>
      </c>
      <c r="E18" s="27">
        <f>IF(B18="","",IFERROR(IF(INDEX(Data!$I$2:$I$745,MATCH(4,Data!$B$2:$B$745,0))="","",INDEX(Data!$I$2:$I$745,MATCH(4,Data!$B$2:$B$745,0))),""))</f>
        <v/>
      </c>
      <c r="F18" s="27">
        <f>IF(B18="","",IFERROR(IF(INDEX(Data!$AJ$2:$AJ$745,MATCH(4,Data!$B$2:$B$745,0))="","",INDEX(Data!$AJ$2:$AJ$745,MATCH(4,Data!$B$2:$B$745,0))),""))</f>
        <v/>
      </c>
      <c r="G18" s="27">
        <f>IF(B18="","",TRIM(IFERROR(IF(INDEX(Data!$AF$2:$AF$745,MATCH(4,Data!$B$2:$B$745,0))="","",INDEX(Data!$AF$2:$AF$745,MATCH(4,Data!$B$2:$B$745,0))),"")&amp;" "&amp;IFERROR(IF(INDEX(Data!$AG$2:$AG$745,MATCH(4,Data!$B$2:$B$745,0))="","",INDEX(Data!$AG$2:$AG$745,MATCH(4,Data!$B$2:$B$745,0))),"")))</f>
        <v/>
      </c>
      <c r="H18" s="30">
        <f>IF(B18="","",IFERROR(IF(INDEX(Data!$N$2:$N$745,MATCH(4,Data!$B$2:$B$745,0))="","",INDEX(Data!$N$2:$N$745,MATCH(4,Data!$B$2:$B$745,0))),""))</f>
        <v/>
      </c>
      <c r="I18" s="30">
        <f>IF(B18="","",IFERROR(IF(INDEX(Data!$O$2:$O$745,MATCH(4,Data!$B$2:$B$745,0))="","",INDEX(Data!$O$2:$O$745,MATCH(4,Data!$B$2:$B$745,0))),""))</f>
        <v/>
      </c>
      <c r="J18" s="31">
        <f>IF(B18="","",IFERROR(IF(INDEX(Data!$P$2:$P$745,MATCH(4,Data!$B$2:$B$745,0))="","",INDEX(Data!$P$2:$P$745,MATCH(4,Data!$B$2:$B$745,0))),""))</f>
        <v/>
      </c>
      <c r="K18" s="32">
        <f>IF(B18="","",IFERROR(IF(INDEX(Data!$R$2:$R$745,MATCH(4,Data!$B$2:$B$745,0))="","",INDEX(Data!$R$2:$R$745,MATCH(4,Data!$B$2:$B$745,0))),""))</f>
        <v/>
      </c>
      <c r="L18" s="33">
        <f>IF(B18="","",IFERROR(IF(INDEX(Data!$S$2:$S$745,MATCH(4,Data!$B$2:$B$745,0))="","",INDEX(Data!$S$2:$S$745,MATCH(4,Data!$B$2:$B$745,0))),""))</f>
        <v/>
      </c>
      <c r="M18" s="33">
        <f>IF(B18="","",IFERROR(IF(INDEX(Data!$T$2:$T$745,MATCH(4,Data!$B$2:$B$745,0))="","",INDEX(Data!$T$2:$T$745,MATCH(4,Data!$B$2:$B$745,0))),""))</f>
        <v/>
      </c>
      <c r="N18" s="34">
        <f>IF(B18="","",IFERROR(IF(INDEX(Data!$U$2:$U$745,MATCH(4,Data!$B$2:$B$745,0))="","",INDEX(Data!$U$2:$U$745,MATCH(4,Data!$B$2:$B$745,0))),""))</f>
        <v/>
      </c>
      <c r="O18" s="33">
        <f>IF(B18="","",IFERROR(IF(INDEX(Data!$V$2:$V$745,MATCH(4,Data!$B$2:$B$745,0))="","",INDEX(Data!$V$2:$V$745,MATCH(4,Data!$B$2:$B$745,0))),""))</f>
        <v/>
      </c>
      <c r="P18" s="33">
        <f>IF(B18="","",IFERROR(IF(INDEX(Data!$M$2:$M$745,MATCH(4,Data!$B$2:$B$745,0))="","",INDEX(Data!$M$2:$M$745,MATCH(4,Data!$B$2:$B$745,0))),""))</f>
        <v/>
      </c>
      <c r="Q18" s="31">
        <f>IF(B18="","",IFERROR(IF(INDEX(Data!$AD$2:$AD$745,MATCH(4,Data!$B$2:$B$745,0))="","",INDEX(Data!$AD$2:$AD$745,MATCH(4,Data!$B$2:$B$745,0))),""))</f>
        <v/>
      </c>
      <c r="R18" s="27">
        <f>IF(B18="","",IFERROR(IF(INDEX(Data!$L$2:$L$745,MATCH(4,Data!$B$2:$B$745,0))="","",INDEX(Data!$L$2:$L$745,MATCH(4,Data!$B$2:$B$745,0))),""))</f>
        <v/>
      </c>
      <c r="AA18" t="inlineStr">
        <is>
          <t>SL Cooling 6pc</t>
        </is>
      </c>
      <c r="AB18" t="inlineStr">
        <is>
          <t>Bamtek</t>
        </is>
      </c>
    </row>
    <row r="19" ht="62" customHeight="1">
      <c r="B19" s="27">
        <f>IF(5&lt;=COUNTIF(Data!$A$2:$A$745,TRUE),5,"")</f>
        <v/>
      </c>
      <c r="C19" s="28">
        <f>IF(B19="","",IFERROR(_xlfn.IMAGE(IFERROR(IF(INDEX(Data!$J$2:$J$745,MATCH(5,Data!$B$2:$B$745,0))="","",INDEX(Data!$J$2:$J$745,MATCH(5,Data!$B$2:$B$745,0))),"")),"IMAGE COMING SOON"))</f>
        <v/>
      </c>
      <c r="D19" s="29">
        <f>IF(B19="","",IFERROR(IF(INDEX(Data!$G$2:$G$745,MATCH(5,Data!$B$2:$B$745,0))="","",INDEX(Data!$G$2:$G$745,MATCH(5,Data!$B$2:$B$745,0))),"")&amp;CHAR(10)&amp;IFERROR(IF(INDEX(Data!$H$2:$H$745,MATCH(5,Data!$B$2:$B$745,0))="","",INDEX(Data!$H$2:$H$745,MATCH(5,Data!$B$2:$B$745,0))),""))</f>
        <v/>
      </c>
      <c r="E19" s="27">
        <f>IF(B19="","",IFERROR(IF(INDEX(Data!$I$2:$I$745,MATCH(5,Data!$B$2:$B$745,0))="","",INDEX(Data!$I$2:$I$745,MATCH(5,Data!$B$2:$B$745,0))),""))</f>
        <v/>
      </c>
      <c r="F19" s="27">
        <f>IF(B19="","",IFERROR(IF(INDEX(Data!$AJ$2:$AJ$745,MATCH(5,Data!$B$2:$B$745,0))="","",INDEX(Data!$AJ$2:$AJ$745,MATCH(5,Data!$B$2:$B$745,0))),""))</f>
        <v/>
      </c>
      <c r="G19" s="27">
        <f>IF(B19="","",TRIM(IFERROR(IF(INDEX(Data!$AF$2:$AF$745,MATCH(5,Data!$B$2:$B$745,0))="","",INDEX(Data!$AF$2:$AF$745,MATCH(5,Data!$B$2:$B$745,0))),"")&amp;" "&amp;IFERROR(IF(INDEX(Data!$AG$2:$AG$745,MATCH(5,Data!$B$2:$B$745,0))="","",INDEX(Data!$AG$2:$AG$745,MATCH(5,Data!$B$2:$B$745,0))),"")))</f>
        <v/>
      </c>
      <c r="H19" s="30">
        <f>IF(B19="","",IFERROR(IF(INDEX(Data!$N$2:$N$745,MATCH(5,Data!$B$2:$B$745,0))="","",INDEX(Data!$N$2:$N$745,MATCH(5,Data!$B$2:$B$745,0))),""))</f>
        <v/>
      </c>
      <c r="I19" s="30">
        <f>IF(B19="","",IFERROR(IF(INDEX(Data!$O$2:$O$745,MATCH(5,Data!$B$2:$B$745,0))="","",INDEX(Data!$O$2:$O$745,MATCH(5,Data!$B$2:$B$745,0))),""))</f>
        <v/>
      </c>
      <c r="J19" s="31">
        <f>IF(B19="","",IFERROR(IF(INDEX(Data!$P$2:$P$745,MATCH(5,Data!$B$2:$B$745,0))="","",INDEX(Data!$P$2:$P$745,MATCH(5,Data!$B$2:$B$745,0))),""))</f>
        <v/>
      </c>
      <c r="K19" s="32">
        <f>IF(B19="","",IFERROR(IF(INDEX(Data!$R$2:$R$745,MATCH(5,Data!$B$2:$B$745,0))="","",INDEX(Data!$R$2:$R$745,MATCH(5,Data!$B$2:$B$745,0))),""))</f>
        <v/>
      </c>
      <c r="L19" s="33">
        <f>IF(B19="","",IFERROR(IF(INDEX(Data!$S$2:$S$745,MATCH(5,Data!$B$2:$B$745,0))="","",INDEX(Data!$S$2:$S$745,MATCH(5,Data!$B$2:$B$745,0))),""))</f>
        <v/>
      </c>
      <c r="M19" s="33">
        <f>IF(B19="","",IFERROR(IF(INDEX(Data!$T$2:$T$745,MATCH(5,Data!$B$2:$B$745,0))="","",INDEX(Data!$T$2:$T$745,MATCH(5,Data!$B$2:$B$745,0))),""))</f>
        <v/>
      </c>
      <c r="N19" s="34">
        <f>IF(B19="","",IFERROR(IF(INDEX(Data!$U$2:$U$745,MATCH(5,Data!$B$2:$B$745,0))="","",INDEX(Data!$U$2:$U$745,MATCH(5,Data!$B$2:$B$745,0))),""))</f>
        <v/>
      </c>
      <c r="O19" s="33">
        <f>IF(B19="","",IFERROR(IF(INDEX(Data!$V$2:$V$745,MATCH(5,Data!$B$2:$B$745,0))="","",INDEX(Data!$V$2:$V$745,MATCH(5,Data!$B$2:$B$745,0))),""))</f>
        <v/>
      </c>
      <c r="P19" s="33">
        <f>IF(B19="","",IFERROR(IF(INDEX(Data!$M$2:$M$745,MATCH(5,Data!$B$2:$B$745,0))="","",INDEX(Data!$M$2:$M$745,MATCH(5,Data!$B$2:$B$745,0))),""))</f>
        <v/>
      </c>
      <c r="Q19" s="31">
        <f>IF(B19="","",IFERROR(IF(INDEX(Data!$AD$2:$AD$745,MATCH(5,Data!$B$2:$B$745,0))="","",INDEX(Data!$AD$2:$AD$745,MATCH(5,Data!$B$2:$B$745,0))),""))</f>
        <v/>
      </c>
      <c r="R19" s="27">
        <f>IF(B19="","",IFERROR(IF(INDEX(Data!$L$2:$L$745,MATCH(5,Data!$B$2:$B$745,0))="","",INDEX(Data!$L$2:$L$745,MATCH(5,Data!$B$2:$B$745,0))),""))</f>
        <v/>
      </c>
      <c r="AA19" t="inlineStr">
        <is>
          <t>CL Cooling Sheets</t>
        </is>
      </c>
      <c r="AB19" t="inlineStr">
        <is>
          <t>Bare Home</t>
        </is>
      </c>
    </row>
    <row r="20" ht="62" customHeight="1">
      <c r="B20" s="27">
        <f>IF(6&lt;=COUNTIF(Data!$A$2:$A$745,TRUE),6,"")</f>
        <v/>
      </c>
      <c r="C20" s="28">
        <f>IF(B20="","",IFERROR(_xlfn.IMAGE(IFERROR(IF(INDEX(Data!$J$2:$J$745,MATCH(6,Data!$B$2:$B$745,0))="","",INDEX(Data!$J$2:$J$745,MATCH(6,Data!$B$2:$B$745,0))),"")),"IMAGE COMING SOON"))</f>
        <v/>
      </c>
      <c r="D20" s="29">
        <f>IF(B20="","",IFERROR(IF(INDEX(Data!$G$2:$G$745,MATCH(6,Data!$B$2:$B$745,0))="","",INDEX(Data!$G$2:$G$745,MATCH(6,Data!$B$2:$B$745,0))),"")&amp;CHAR(10)&amp;IFERROR(IF(INDEX(Data!$H$2:$H$745,MATCH(6,Data!$B$2:$B$745,0))="","",INDEX(Data!$H$2:$H$745,MATCH(6,Data!$B$2:$B$745,0))),""))</f>
        <v/>
      </c>
      <c r="E20" s="27">
        <f>IF(B20="","",IFERROR(IF(INDEX(Data!$I$2:$I$745,MATCH(6,Data!$B$2:$B$745,0))="","",INDEX(Data!$I$2:$I$745,MATCH(6,Data!$B$2:$B$745,0))),""))</f>
        <v/>
      </c>
      <c r="F20" s="27">
        <f>IF(B20="","",IFERROR(IF(INDEX(Data!$AJ$2:$AJ$745,MATCH(6,Data!$B$2:$B$745,0))="","",INDEX(Data!$AJ$2:$AJ$745,MATCH(6,Data!$B$2:$B$745,0))),""))</f>
        <v/>
      </c>
      <c r="G20" s="27">
        <f>IF(B20="","",TRIM(IFERROR(IF(INDEX(Data!$AF$2:$AF$745,MATCH(6,Data!$B$2:$B$745,0))="","",INDEX(Data!$AF$2:$AF$745,MATCH(6,Data!$B$2:$B$745,0))),"")&amp;" "&amp;IFERROR(IF(INDEX(Data!$AG$2:$AG$745,MATCH(6,Data!$B$2:$B$745,0))="","",INDEX(Data!$AG$2:$AG$745,MATCH(6,Data!$B$2:$B$745,0))),"")))</f>
        <v/>
      </c>
      <c r="H20" s="30">
        <f>IF(B20="","",IFERROR(IF(INDEX(Data!$N$2:$N$745,MATCH(6,Data!$B$2:$B$745,0))="","",INDEX(Data!$N$2:$N$745,MATCH(6,Data!$B$2:$B$745,0))),""))</f>
        <v/>
      </c>
      <c r="I20" s="30">
        <f>IF(B20="","",IFERROR(IF(INDEX(Data!$O$2:$O$745,MATCH(6,Data!$B$2:$B$745,0))="","",INDEX(Data!$O$2:$O$745,MATCH(6,Data!$B$2:$B$745,0))),""))</f>
        <v/>
      </c>
      <c r="J20" s="31">
        <f>IF(B20="","",IFERROR(IF(INDEX(Data!$P$2:$P$745,MATCH(6,Data!$B$2:$B$745,0))="","",INDEX(Data!$P$2:$P$745,MATCH(6,Data!$B$2:$B$745,0))),""))</f>
        <v/>
      </c>
      <c r="K20" s="32">
        <f>IF(B20="","",IFERROR(IF(INDEX(Data!$R$2:$R$745,MATCH(6,Data!$B$2:$B$745,0))="","",INDEX(Data!$R$2:$R$745,MATCH(6,Data!$B$2:$B$745,0))),""))</f>
        <v/>
      </c>
      <c r="L20" s="33">
        <f>IF(B20="","",IFERROR(IF(INDEX(Data!$S$2:$S$745,MATCH(6,Data!$B$2:$B$745,0))="","",INDEX(Data!$S$2:$S$745,MATCH(6,Data!$B$2:$B$745,0))),""))</f>
        <v/>
      </c>
      <c r="M20" s="33">
        <f>IF(B20="","",IFERROR(IF(INDEX(Data!$T$2:$T$745,MATCH(6,Data!$B$2:$B$745,0))="","",INDEX(Data!$T$2:$T$745,MATCH(6,Data!$B$2:$B$745,0))),""))</f>
        <v/>
      </c>
      <c r="N20" s="34">
        <f>IF(B20="","",IFERROR(IF(INDEX(Data!$U$2:$U$745,MATCH(6,Data!$B$2:$B$745,0))="","",INDEX(Data!$U$2:$U$745,MATCH(6,Data!$B$2:$B$745,0))),""))</f>
        <v/>
      </c>
      <c r="O20" s="33">
        <f>IF(B20="","",IFERROR(IF(INDEX(Data!$V$2:$V$745,MATCH(6,Data!$B$2:$B$745,0))="","",INDEX(Data!$V$2:$V$745,MATCH(6,Data!$B$2:$B$745,0))),""))</f>
        <v/>
      </c>
      <c r="P20" s="33">
        <f>IF(B20="","",IFERROR(IF(INDEX(Data!$M$2:$M$745,MATCH(6,Data!$B$2:$B$745,0))="","",INDEX(Data!$M$2:$M$745,MATCH(6,Data!$B$2:$B$745,0))),""))</f>
        <v/>
      </c>
      <c r="Q20" s="31">
        <f>IF(B20="","",IFERROR(IF(INDEX(Data!$AD$2:$AD$745,MATCH(6,Data!$B$2:$B$745,0))="","",INDEX(Data!$AD$2:$AD$745,MATCH(6,Data!$B$2:$B$745,0))),""))</f>
        <v/>
      </c>
      <c r="R20" s="27">
        <f>IF(B20="","",IFERROR(IF(INDEX(Data!$L$2:$L$745,MATCH(6,Data!$B$2:$B$745,0))="","",INDEX(Data!$L$2:$L$745,MATCH(6,Data!$B$2:$B$745,0))),""))</f>
        <v/>
      </c>
      <c r="AA20" t="inlineStr">
        <is>
          <t>CL Pillowcases</t>
        </is>
      </c>
      <c r="AB20" t="inlineStr">
        <is>
          <t>BC BELLA COTERIE</t>
        </is>
      </c>
    </row>
    <row r="21" ht="62" customHeight="1">
      <c r="B21" s="27">
        <f>IF(7&lt;=COUNTIF(Data!$A$2:$A$745,TRUE),7,"")</f>
        <v/>
      </c>
      <c r="C21" s="28">
        <f>IF(B21="","",IFERROR(_xlfn.IMAGE(IFERROR(IF(INDEX(Data!$J$2:$J$745,MATCH(7,Data!$B$2:$B$745,0))="","",INDEX(Data!$J$2:$J$745,MATCH(7,Data!$B$2:$B$745,0))),"")),"IMAGE COMING SOON"))</f>
        <v/>
      </c>
      <c r="D21" s="29">
        <f>IF(B21="","",IFERROR(IF(INDEX(Data!$G$2:$G$745,MATCH(7,Data!$B$2:$B$745,0))="","",INDEX(Data!$G$2:$G$745,MATCH(7,Data!$B$2:$B$745,0))),"")&amp;CHAR(10)&amp;IFERROR(IF(INDEX(Data!$H$2:$H$745,MATCH(7,Data!$B$2:$B$745,0))="","",INDEX(Data!$H$2:$H$745,MATCH(7,Data!$B$2:$B$745,0))),""))</f>
        <v/>
      </c>
      <c r="E21" s="27">
        <f>IF(B21="","",IFERROR(IF(INDEX(Data!$I$2:$I$745,MATCH(7,Data!$B$2:$B$745,0))="","",INDEX(Data!$I$2:$I$745,MATCH(7,Data!$B$2:$B$745,0))),""))</f>
        <v/>
      </c>
      <c r="F21" s="27">
        <f>IF(B21="","",IFERROR(IF(INDEX(Data!$AJ$2:$AJ$745,MATCH(7,Data!$B$2:$B$745,0))="","",INDEX(Data!$AJ$2:$AJ$745,MATCH(7,Data!$B$2:$B$745,0))),""))</f>
        <v/>
      </c>
      <c r="G21" s="27">
        <f>IF(B21="","",TRIM(IFERROR(IF(INDEX(Data!$AF$2:$AF$745,MATCH(7,Data!$B$2:$B$745,0))="","",INDEX(Data!$AF$2:$AF$745,MATCH(7,Data!$B$2:$B$745,0))),"")&amp;" "&amp;IFERROR(IF(INDEX(Data!$AG$2:$AG$745,MATCH(7,Data!$B$2:$B$745,0))="","",INDEX(Data!$AG$2:$AG$745,MATCH(7,Data!$B$2:$B$745,0))),"")))</f>
        <v/>
      </c>
      <c r="H21" s="30">
        <f>IF(B21="","",IFERROR(IF(INDEX(Data!$N$2:$N$745,MATCH(7,Data!$B$2:$B$745,0))="","",INDEX(Data!$N$2:$N$745,MATCH(7,Data!$B$2:$B$745,0))),""))</f>
        <v/>
      </c>
      <c r="I21" s="30">
        <f>IF(B21="","",IFERROR(IF(INDEX(Data!$O$2:$O$745,MATCH(7,Data!$B$2:$B$745,0))="","",INDEX(Data!$O$2:$O$745,MATCH(7,Data!$B$2:$B$745,0))),""))</f>
        <v/>
      </c>
      <c r="J21" s="31">
        <f>IF(B21="","",IFERROR(IF(INDEX(Data!$P$2:$P$745,MATCH(7,Data!$B$2:$B$745,0))="","",INDEX(Data!$P$2:$P$745,MATCH(7,Data!$B$2:$B$745,0))),""))</f>
        <v/>
      </c>
      <c r="K21" s="32">
        <f>IF(B21="","",IFERROR(IF(INDEX(Data!$R$2:$R$745,MATCH(7,Data!$B$2:$B$745,0))="","",INDEX(Data!$R$2:$R$745,MATCH(7,Data!$B$2:$B$745,0))),""))</f>
        <v/>
      </c>
      <c r="L21" s="33">
        <f>IF(B21="","",IFERROR(IF(INDEX(Data!$S$2:$S$745,MATCH(7,Data!$B$2:$B$745,0))="","",INDEX(Data!$S$2:$S$745,MATCH(7,Data!$B$2:$B$745,0))),""))</f>
        <v/>
      </c>
      <c r="M21" s="33">
        <f>IF(B21="","",IFERROR(IF(INDEX(Data!$T$2:$T$745,MATCH(7,Data!$B$2:$B$745,0))="","",INDEX(Data!$T$2:$T$745,MATCH(7,Data!$B$2:$B$745,0))),""))</f>
        <v/>
      </c>
      <c r="N21" s="34">
        <f>IF(B21="","",IFERROR(IF(INDEX(Data!$U$2:$U$745,MATCH(7,Data!$B$2:$B$745,0))="","",INDEX(Data!$U$2:$U$745,MATCH(7,Data!$B$2:$B$745,0))),""))</f>
        <v/>
      </c>
      <c r="O21" s="33">
        <f>IF(B21="","",IFERROR(IF(INDEX(Data!$V$2:$V$745,MATCH(7,Data!$B$2:$B$745,0))="","",INDEX(Data!$V$2:$V$745,MATCH(7,Data!$B$2:$B$745,0))),""))</f>
        <v/>
      </c>
      <c r="P21" s="33">
        <f>IF(B21="","",IFERROR(IF(INDEX(Data!$M$2:$M$745,MATCH(7,Data!$B$2:$B$745,0))="","",INDEX(Data!$M$2:$M$745,MATCH(7,Data!$B$2:$B$745,0))),""))</f>
        <v/>
      </c>
      <c r="Q21" s="31">
        <f>IF(B21="","",IFERROR(IF(INDEX(Data!$AD$2:$AD$745,MATCH(7,Data!$B$2:$B$745,0))="","",INDEX(Data!$AD$2:$AD$745,MATCH(7,Data!$B$2:$B$745,0))),""))</f>
        <v/>
      </c>
      <c r="R21" s="27">
        <f>IF(B21="","",IFERROR(IF(INDEX(Data!$L$2:$L$745,MATCH(7,Data!$B$2:$B$745,0))="","",INDEX(Data!$L$2:$L$745,MATCH(7,Data!$B$2:$B$745,0))),""))</f>
        <v/>
      </c>
      <c r="AA21" t="inlineStr">
        <is>
          <t>SL Cooling Pillowcase</t>
        </is>
      </c>
      <c r="AB21" t="inlineStr">
        <is>
          <t>Beatrice Home Fashions</t>
        </is>
      </c>
    </row>
    <row r="22" ht="62" customHeight="1">
      <c r="B22" s="27">
        <f>IF(8&lt;=COUNTIF(Data!$A$2:$A$745,TRUE),8,"")</f>
        <v/>
      </c>
      <c r="C22" s="28">
        <f>IF(B22="","",IFERROR(_xlfn.IMAGE(IFERROR(IF(INDEX(Data!$J$2:$J$745,MATCH(8,Data!$B$2:$B$745,0))="","",INDEX(Data!$J$2:$J$745,MATCH(8,Data!$B$2:$B$745,0))),"")),"IMAGE COMING SOON"))</f>
        <v/>
      </c>
      <c r="D22" s="29">
        <f>IF(B22="","",IFERROR(IF(INDEX(Data!$G$2:$G$745,MATCH(8,Data!$B$2:$B$745,0))="","",INDEX(Data!$G$2:$G$745,MATCH(8,Data!$B$2:$B$745,0))),"")&amp;CHAR(10)&amp;IFERROR(IF(INDEX(Data!$H$2:$H$745,MATCH(8,Data!$B$2:$B$745,0))="","",INDEX(Data!$H$2:$H$745,MATCH(8,Data!$B$2:$B$745,0))),""))</f>
        <v/>
      </c>
      <c r="E22" s="27">
        <f>IF(B22="","",IFERROR(IF(INDEX(Data!$I$2:$I$745,MATCH(8,Data!$B$2:$B$745,0))="","",INDEX(Data!$I$2:$I$745,MATCH(8,Data!$B$2:$B$745,0))),""))</f>
        <v/>
      </c>
      <c r="F22" s="27">
        <f>IF(B22="","",IFERROR(IF(INDEX(Data!$AJ$2:$AJ$745,MATCH(8,Data!$B$2:$B$745,0))="","",INDEX(Data!$AJ$2:$AJ$745,MATCH(8,Data!$B$2:$B$745,0))),""))</f>
        <v/>
      </c>
      <c r="G22" s="27">
        <f>IF(B22="","",TRIM(IFERROR(IF(INDEX(Data!$AF$2:$AF$745,MATCH(8,Data!$B$2:$B$745,0))="","",INDEX(Data!$AF$2:$AF$745,MATCH(8,Data!$B$2:$B$745,0))),"")&amp;" "&amp;IFERROR(IF(INDEX(Data!$AG$2:$AG$745,MATCH(8,Data!$B$2:$B$745,0))="","",INDEX(Data!$AG$2:$AG$745,MATCH(8,Data!$B$2:$B$745,0))),"")))</f>
        <v/>
      </c>
      <c r="H22" s="30">
        <f>IF(B22="","",IFERROR(IF(INDEX(Data!$N$2:$N$745,MATCH(8,Data!$B$2:$B$745,0))="","",INDEX(Data!$N$2:$N$745,MATCH(8,Data!$B$2:$B$745,0))),""))</f>
        <v/>
      </c>
      <c r="I22" s="30">
        <f>IF(B22="","",IFERROR(IF(INDEX(Data!$O$2:$O$745,MATCH(8,Data!$B$2:$B$745,0))="","",INDEX(Data!$O$2:$O$745,MATCH(8,Data!$B$2:$B$745,0))),""))</f>
        <v/>
      </c>
      <c r="J22" s="31">
        <f>IF(B22="","",IFERROR(IF(INDEX(Data!$P$2:$P$745,MATCH(8,Data!$B$2:$B$745,0))="","",INDEX(Data!$P$2:$P$745,MATCH(8,Data!$B$2:$B$745,0))),""))</f>
        <v/>
      </c>
      <c r="K22" s="32">
        <f>IF(B22="","",IFERROR(IF(INDEX(Data!$R$2:$R$745,MATCH(8,Data!$B$2:$B$745,0))="","",INDEX(Data!$R$2:$R$745,MATCH(8,Data!$B$2:$B$745,0))),""))</f>
        <v/>
      </c>
      <c r="L22" s="33">
        <f>IF(B22="","",IFERROR(IF(INDEX(Data!$S$2:$S$745,MATCH(8,Data!$B$2:$B$745,0))="","",INDEX(Data!$S$2:$S$745,MATCH(8,Data!$B$2:$B$745,0))),""))</f>
        <v/>
      </c>
      <c r="M22" s="33">
        <f>IF(B22="","",IFERROR(IF(INDEX(Data!$T$2:$T$745,MATCH(8,Data!$B$2:$B$745,0))="","",INDEX(Data!$T$2:$T$745,MATCH(8,Data!$B$2:$B$745,0))),""))</f>
        <v/>
      </c>
      <c r="N22" s="34">
        <f>IF(B22="","",IFERROR(IF(INDEX(Data!$U$2:$U$745,MATCH(8,Data!$B$2:$B$745,0))="","",INDEX(Data!$U$2:$U$745,MATCH(8,Data!$B$2:$B$745,0))),""))</f>
        <v/>
      </c>
      <c r="O22" s="33">
        <f>IF(B22="","",IFERROR(IF(INDEX(Data!$V$2:$V$745,MATCH(8,Data!$B$2:$B$745,0))="","",INDEX(Data!$V$2:$V$745,MATCH(8,Data!$B$2:$B$745,0))),""))</f>
        <v/>
      </c>
      <c r="P22" s="33">
        <f>IF(B22="","",IFERROR(IF(INDEX(Data!$M$2:$M$745,MATCH(8,Data!$B$2:$B$745,0))="","",INDEX(Data!$M$2:$M$745,MATCH(8,Data!$B$2:$B$745,0))),""))</f>
        <v/>
      </c>
      <c r="Q22" s="31">
        <f>IF(B22="","",IFERROR(IF(INDEX(Data!$AD$2:$AD$745,MATCH(8,Data!$B$2:$B$745,0))="","",INDEX(Data!$AD$2:$AD$745,MATCH(8,Data!$B$2:$B$745,0))),""))</f>
        <v/>
      </c>
      <c r="R22" s="27">
        <f>IF(B22="","",IFERROR(IF(INDEX(Data!$L$2:$L$745,MATCH(8,Data!$B$2:$B$745,0))="","",INDEX(Data!$L$2:$L$745,MATCH(8,Data!$B$2:$B$745,0))),""))</f>
        <v/>
      </c>
      <c r="AA22" t="inlineStr">
        <is>
          <t>SL Cooling Comforter</t>
        </is>
      </c>
      <c r="AB22" t="inlineStr">
        <is>
          <t>BEDELITE</t>
        </is>
      </c>
    </row>
    <row r="23" ht="62" customHeight="1">
      <c r="B23" s="27">
        <f>IF(9&lt;=COUNTIF(Data!$A$2:$A$745,TRUE),9,"")</f>
        <v/>
      </c>
      <c r="C23" s="28">
        <f>IF(B23="","",IFERROR(_xlfn.IMAGE(IFERROR(IF(INDEX(Data!$J$2:$J$745,MATCH(9,Data!$B$2:$B$745,0))="","",INDEX(Data!$J$2:$J$745,MATCH(9,Data!$B$2:$B$745,0))),"")),"IMAGE COMING SOON"))</f>
        <v/>
      </c>
      <c r="D23" s="29">
        <f>IF(B23="","",IFERROR(IF(INDEX(Data!$G$2:$G$745,MATCH(9,Data!$B$2:$B$745,0))="","",INDEX(Data!$G$2:$G$745,MATCH(9,Data!$B$2:$B$745,0))),"")&amp;CHAR(10)&amp;IFERROR(IF(INDEX(Data!$H$2:$H$745,MATCH(9,Data!$B$2:$B$745,0))="","",INDEX(Data!$H$2:$H$745,MATCH(9,Data!$B$2:$B$745,0))),""))</f>
        <v/>
      </c>
      <c r="E23" s="27">
        <f>IF(B23="","",IFERROR(IF(INDEX(Data!$I$2:$I$745,MATCH(9,Data!$B$2:$B$745,0))="","",INDEX(Data!$I$2:$I$745,MATCH(9,Data!$B$2:$B$745,0))),""))</f>
        <v/>
      </c>
      <c r="F23" s="27">
        <f>IF(B23="","",IFERROR(IF(INDEX(Data!$AJ$2:$AJ$745,MATCH(9,Data!$B$2:$B$745,0))="","",INDEX(Data!$AJ$2:$AJ$745,MATCH(9,Data!$B$2:$B$745,0))),""))</f>
        <v/>
      </c>
      <c r="G23" s="27">
        <f>IF(B23="","",TRIM(IFERROR(IF(INDEX(Data!$AF$2:$AF$745,MATCH(9,Data!$B$2:$B$745,0))="","",INDEX(Data!$AF$2:$AF$745,MATCH(9,Data!$B$2:$B$745,0))),"")&amp;" "&amp;IFERROR(IF(INDEX(Data!$AG$2:$AG$745,MATCH(9,Data!$B$2:$B$745,0))="","",INDEX(Data!$AG$2:$AG$745,MATCH(9,Data!$B$2:$B$745,0))),"")))</f>
        <v/>
      </c>
      <c r="H23" s="30">
        <f>IF(B23="","",IFERROR(IF(INDEX(Data!$N$2:$N$745,MATCH(9,Data!$B$2:$B$745,0))="","",INDEX(Data!$N$2:$N$745,MATCH(9,Data!$B$2:$B$745,0))),""))</f>
        <v/>
      </c>
      <c r="I23" s="30">
        <f>IF(B23="","",IFERROR(IF(INDEX(Data!$O$2:$O$745,MATCH(9,Data!$B$2:$B$745,0))="","",INDEX(Data!$O$2:$O$745,MATCH(9,Data!$B$2:$B$745,0))),""))</f>
        <v/>
      </c>
      <c r="J23" s="31">
        <f>IF(B23="","",IFERROR(IF(INDEX(Data!$P$2:$P$745,MATCH(9,Data!$B$2:$B$745,0))="","",INDEX(Data!$P$2:$P$745,MATCH(9,Data!$B$2:$B$745,0))),""))</f>
        <v/>
      </c>
      <c r="K23" s="32">
        <f>IF(B23="","",IFERROR(IF(INDEX(Data!$R$2:$R$745,MATCH(9,Data!$B$2:$B$745,0))="","",INDEX(Data!$R$2:$R$745,MATCH(9,Data!$B$2:$B$745,0))),""))</f>
        <v/>
      </c>
      <c r="L23" s="33">
        <f>IF(B23="","",IFERROR(IF(INDEX(Data!$S$2:$S$745,MATCH(9,Data!$B$2:$B$745,0))="","",INDEX(Data!$S$2:$S$745,MATCH(9,Data!$B$2:$B$745,0))),""))</f>
        <v/>
      </c>
      <c r="M23" s="33">
        <f>IF(B23="","",IFERROR(IF(INDEX(Data!$T$2:$T$745,MATCH(9,Data!$B$2:$B$745,0))="","",INDEX(Data!$T$2:$T$745,MATCH(9,Data!$B$2:$B$745,0))),""))</f>
        <v/>
      </c>
      <c r="N23" s="34">
        <f>IF(B23="","",IFERROR(IF(INDEX(Data!$U$2:$U$745,MATCH(9,Data!$B$2:$B$745,0))="","",INDEX(Data!$U$2:$U$745,MATCH(9,Data!$B$2:$B$745,0))),""))</f>
        <v/>
      </c>
      <c r="O23" s="33">
        <f>IF(B23="","",IFERROR(IF(INDEX(Data!$V$2:$V$745,MATCH(9,Data!$B$2:$B$745,0))="","",INDEX(Data!$V$2:$V$745,MATCH(9,Data!$B$2:$B$745,0))),""))</f>
        <v/>
      </c>
      <c r="P23" s="33">
        <f>IF(B23="","",IFERROR(IF(INDEX(Data!$M$2:$M$745,MATCH(9,Data!$B$2:$B$745,0))="","",INDEX(Data!$M$2:$M$745,MATCH(9,Data!$B$2:$B$745,0))),""))</f>
        <v/>
      </c>
      <c r="Q23" s="31">
        <f>IF(B23="","",IFERROR(IF(INDEX(Data!$AD$2:$AD$745,MATCH(9,Data!$B$2:$B$745,0))="","",INDEX(Data!$AD$2:$AD$745,MATCH(9,Data!$B$2:$B$745,0))),""))</f>
        <v/>
      </c>
      <c r="R23" s="27">
        <f>IF(B23="","",IFERROR(IF(INDEX(Data!$L$2:$L$745,MATCH(9,Data!$B$2:$B$745,0))="","",INDEX(Data!$L$2:$L$745,MATCH(9,Data!$B$2:$B$745,0))),""))</f>
        <v/>
      </c>
      <c r="AA23" t="inlineStr">
        <is>
          <t>SL Cooling Fitted</t>
        </is>
      </c>
      <c r="AB23" t="inlineStr">
        <is>
          <t>Bedlifes</t>
        </is>
      </c>
    </row>
    <row r="24" ht="62" customHeight="1">
      <c r="B24" s="27">
        <f>IF(10&lt;=COUNTIF(Data!$A$2:$A$745,TRUE),10,"")</f>
        <v/>
      </c>
      <c r="C24" s="28">
        <f>IF(B24="","",IFERROR(_xlfn.IMAGE(IFERROR(IF(INDEX(Data!$J$2:$J$745,MATCH(10,Data!$B$2:$B$745,0))="","",INDEX(Data!$J$2:$J$745,MATCH(10,Data!$B$2:$B$745,0))),"")),"IMAGE COMING SOON"))</f>
        <v/>
      </c>
      <c r="D24" s="29">
        <f>IF(B24="","",IFERROR(IF(INDEX(Data!$G$2:$G$745,MATCH(10,Data!$B$2:$B$745,0))="","",INDEX(Data!$G$2:$G$745,MATCH(10,Data!$B$2:$B$745,0))),"")&amp;CHAR(10)&amp;IFERROR(IF(INDEX(Data!$H$2:$H$745,MATCH(10,Data!$B$2:$B$745,0))="","",INDEX(Data!$H$2:$H$745,MATCH(10,Data!$B$2:$B$745,0))),""))</f>
        <v/>
      </c>
      <c r="E24" s="27">
        <f>IF(B24="","",IFERROR(IF(INDEX(Data!$I$2:$I$745,MATCH(10,Data!$B$2:$B$745,0))="","",INDEX(Data!$I$2:$I$745,MATCH(10,Data!$B$2:$B$745,0))),""))</f>
        <v/>
      </c>
      <c r="F24" s="27">
        <f>IF(B24="","",IFERROR(IF(INDEX(Data!$AJ$2:$AJ$745,MATCH(10,Data!$B$2:$B$745,0))="","",INDEX(Data!$AJ$2:$AJ$745,MATCH(10,Data!$B$2:$B$745,0))),""))</f>
        <v/>
      </c>
      <c r="G24" s="27">
        <f>IF(B24="","",TRIM(IFERROR(IF(INDEX(Data!$AF$2:$AF$745,MATCH(10,Data!$B$2:$B$745,0))="","",INDEX(Data!$AF$2:$AF$745,MATCH(10,Data!$B$2:$B$745,0))),"")&amp;" "&amp;IFERROR(IF(INDEX(Data!$AG$2:$AG$745,MATCH(10,Data!$B$2:$B$745,0))="","",INDEX(Data!$AG$2:$AG$745,MATCH(10,Data!$B$2:$B$745,0))),"")))</f>
        <v/>
      </c>
      <c r="H24" s="30">
        <f>IF(B24="","",IFERROR(IF(INDEX(Data!$N$2:$N$745,MATCH(10,Data!$B$2:$B$745,0))="","",INDEX(Data!$N$2:$N$745,MATCH(10,Data!$B$2:$B$745,0))),""))</f>
        <v/>
      </c>
      <c r="I24" s="30">
        <f>IF(B24="","",IFERROR(IF(INDEX(Data!$O$2:$O$745,MATCH(10,Data!$B$2:$B$745,0))="","",INDEX(Data!$O$2:$O$745,MATCH(10,Data!$B$2:$B$745,0))),""))</f>
        <v/>
      </c>
      <c r="J24" s="31">
        <f>IF(B24="","",IFERROR(IF(INDEX(Data!$P$2:$P$745,MATCH(10,Data!$B$2:$B$745,0))="","",INDEX(Data!$P$2:$P$745,MATCH(10,Data!$B$2:$B$745,0))),""))</f>
        <v/>
      </c>
      <c r="K24" s="32">
        <f>IF(B24="","",IFERROR(IF(INDEX(Data!$R$2:$R$745,MATCH(10,Data!$B$2:$B$745,0))="","",INDEX(Data!$R$2:$R$745,MATCH(10,Data!$B$2:$B$745,0))),""))</f>
        <v/>
      </c>
      <c r="L24" s="33">
        <f>IF(B24="","",IFERROR(IF(INDEX(Data!$S$2:$S$745,MATCH(10,Data!$B$2:$B$745,0))="","",INDEX(Data!$S$2:$S$745,MATCH(10,Data!$B$2:$B$745,0))),""))</f>
        <v/>
      </c>
      <c r="M24" s="33">
        <f>IF(B24="","",IFERROR(IF(INDEX(Data!$T$2:$T$745,MATCH(10,Data!$B$2:$B$745,0))="","",INDEX(Data!$T$2:$T$745,MATCH(10,Data!$B$2:$B$745,0))),""))</f>
        <v/>
      </c>
      <c r="N24" s="34">
        <f>IF(B24="","",IFERROR(IF(INDEX(Data!$U$2:$U$745,MATCH(10,Data!$B$2:$B$745,0))="","",INDEX(Data!$U$2:$U$745,MATCH(10,Data!$B$2:$B$745,0))),""))</f>
        <v/>
      </c>
      <c r="O24" s="33">
        <f>IF(B24="","",IFERROR(IF(INDEX(Data!$V$2:$V$745,MATCH(10,Data!$B$2:$B$745,0))="","",INDEX(Data!$V$2:$V$745,MATCH(10,Data!$B$2:$B$745,0))),""))</f>
        <v/>
      </c>
      <c r="P24" s="33">
        <f>IF(B24="","",IFERROR(IF(INDEX(Data!$M$2:$M$745,MATCH(10,Data!$B$2:$B$745,0))="","",INDEX(Data!$M$2:$M$745,MATCH(10,Data!$B$2:$B$745,0))),""))</f>
        <v/>
      </c>
      <c r="Q24" s="31">
        <f>IF(B24="","",IFERROR(IF(INDEX(Data!$AD$2:$AD$745,MATCH(10,Data!$B$2:$B$745,0))="","",INDEX(Data!$AD$2:$AD$745,MATCH(10,Data!$B$2:$B$745,0))),""))</f>
        <v/>
      </c>
      <c r="R24" s="27">
        <f>IF(B24="","",IFERROR(IF(INDEX(Data!$L$2:$L$745,MATCH(10,Data!$B$2:$B$745,0))="","",INDEX(Data!$L$2:$L$745,MATCH(10,Data!$B$2:$B$745,0))),""))</f>
        <v/>
      </c>
      <c r="AA24" t="inlineStr">
        <is>
          <t>SL Quilt Set</t>
        </is>
      </c>
      <c r="AB24" t="inlineStr">
        <is>
          <t>bedsmile</t>
        </is>
      </c>
    </row>
    <row r="25" ht="62" customHeight="1">
      <c r="B25" s="27">
        <f>IF(11&lt;=COUNTIF(Data!$A$2:$A$745,TRUE),11,"")</f>
        <v/>
      </c>
      <c r="C25" s="28">
        <f>IF(B25="","",IFERROR(_xlfn.IMAGE(IFERROR(IF(INDEX(Data!$J$2:$J$745,MATCH(11,Data!$B$2:$B$745,0))="","",INDEX(Data!$J$2:$J$745,MATCH(11,Data!$B$2:$B$745,0))),"")),"IMAGE COMING SOON"))</f>
        <v/>
      </c>
      <c r="D25" s="29">
        <f>IF(B25="","",IFERROR(IF(INDEX(Data!$G$2:$G$745,MATCH(11,Data!$B$2:$B$745,0))="","",INDEX(Data!$G$2:$G$745,MATCH(11,Data!$B$2:$B$745,0))),"")&amp;CHAR(10)&amp;IFERROR(IF(INDEX(Data!$H$2:$H$745,MATCH(11,Data!$B$2:$B$745,0))="","",INDEX(Data!$H$2:$H$745,MATCH(11,Data!$B$2:$B$745,0))),""))</f>
        <v/>
      </c>
      <c r="E25" s="27">
        <f>IF(B25="","",IFERROR(IF(INDEX(Data!$I$2:$I$745,MATCH(11,Data!$B$2:$B$745,0))="","",INDEX(Data!$I$2:$I$745,MATCH(11,Data!$B$2:$B$745,0))),""))</f>
        <v/>
      </c>
      <c r="F25" s="27">
        <f>IF(B25="","",IFERROR(IF(INDEX(Data!$AJ$2:$AJ$745,MATCH(11,Data!$B$2:$B$745,0))="","",INDEX(Data!$AJ$2:$AJ$745,MATCH(11,Data!$B$2:$B$745,0))),""))</f>
        <v/>
      </c>
      <c r="G25" s="27">
        <f>IF(B25="","",TRIM(IFERROR(IF(INDEX(Data!$AF$2:$AF$745,MATCH(11,Data!$B$2:$B$745,0))="","",INDEX(Data!$AF$2:$AF$745,MATCH(11,Data!$B$2:$B$745,0))),"")&amp;" "&amp;IFERROR(IF(INDEX(Data!$AG$2:$AG$745,MATCH(11,Data!$B$2:$B$745,0))="","",INDEX(Data!$AG$2:$AG$745,MATCH(11,Data!$B$2:$B$745,0))),"")))</f>
        <v/>
      </c>
      <c r="H25" s="30">
        <f>IF(B25="","",IFERROR(IF(INDEX(Data!$N$2:$N$745,MATCH(11,Data!$B$2:$B$745,0))="","",INDEX(Data!$N$2:$N$745,MATCH(11,Data!$B$2:$B$745,0))),""))</f>
        <v/>
      </c>
      <c r="I25" s="30">
        <f>IF(B25="","",IFERROR(IF(INDEX(Data!$O$2:$O$745,MATCH(11,Data!$B$2:$B$745,0))="","",INDEX(Data!$O$2:$O$745,MATCH(11,Data!$B$2:$B$745,0))),""))</f>
        <v/>
      </c>
      <c r="J25" s="31">
        <f>IF(B25="","",IFERROR(IF(INDEX(Data!$P$2:$P$745,MATCH(11,Data!$B$2:$B$745,0))="","",INDEX(Data!$P$2:$P$745,MATCH(11,Data!$B$2:$B$745,0))),""))</f>
        <v/>
      </c>
      <c r="K25" s="32">
        <f>IF(B25="","",IFERROR(IF(INDEX(Data!$R$2:$R$745,MATCH(11,Data!$B$2:$B$745,0))="","",INDEX(Data!$R$2:$R$745,MATCH(11,Data!$B$2:$B$745,0))),""))</f>
        <v/>
      </c>
      <c r="L25" s="33">
        <f>IF(B25="","",IFERROR(IF(INDEX(Data!$S$2:$S$745,MATCH(11,Data!$B$2:$B$745,0))="","",INDEX(Data!$S$2:$S$745,MATCH(11,Data!$B$2:$B$745,0))),""))</f>
        <v/>
      </c>
      <c r="M25" s="33">
        <f>IF(B25="","",IFERROR(IF(INDEX(Data!$T$2:$T$745,MATCH(11,Data!$B$2:$B$745,0))="","",INDEX(Data!$T$2:$T$745,MATCH(11,Data!$B$2:$B$745,0))),""))</f>
        <v/>
      </c>
      <c r="N25" s="34">
        <f>IF(B25="","",IFERROR(IF(INDEX(Data!$U$2:$U$745,MATCH(11,Data!$B$2:$B$745,0))="","",INDEX(Data!$U$2:$U$745,MATCH(11,Data!$B$2:$B$745,0))),""))</f>
        <v/>
      </c>
      <c r="O25" s="33">
        <f>IF(B25="","",IFERROR(IF(INDEX(Data!$V$2:$V$745,MATCH(11,Data!$B$2:$B$745,0))="","",INDEX(Data!$V$2:$V$745,MATCH(11,Data!$B$2:$B$745,0))),""))</f>
        <v/>
      </c>
      <c r="P25" s="33">
        <f>IF(B25="","",IFERROR(IF(INDEX(Data!$M$2:$M$745,MATCH(11,Data!$B$2:$B$745,0))="","",INDEX(Data!$M$2:$M$745,MATCH(11,Data!$B$2:$B$745,0))),""))</f>
        <v/>
      </c>
      <c r="Q25" s="31">
        <f>IF(B25="","",IFERROR(IF(INDEX(Data!$AD$2:$AD$745,MATCH(11,Data!$B$2:$B$745,0))="","",INDEX(Data!$AD$2:$AD$745,MATCH(11,Data!$B$2:$B$745,0))),""))</f>
        <v/>
      </c>
      <c r="R25" s="27">
        <f>IF(B25="","",IFERROR(IF(INDEX(Data!$L$2:$L$745,MATCH(11,Data!$B$2:$B$745,0))="","",INDEX(Data!$L$2:$L$745,MATCH(11,Data!$B$2:$B$745,0))),""))</f>
        <v/>
      </c>
      <c r="AA25" t="inlineStr">
        <is>
          <t>DC Linen Curtains</t>
        </is>
      </c>
      <c r="AB25" t="inlineStr">
        <is>
          <t>Bedsure</t>
        </is>
      </c>
    </row>
    <row r="26" ht="62" customHeight="1">
      <c r="B26" s="27">
        <f>IF(12&lt;=COUNTIF(Data!$A$2:$A$745,TRUE),12,"")</f>
        <v/>
      </c>
      <c r="C26" s="28">
        <f>IF(B26="","",IFERROR(_xlfn.IMAGE(IFERROR(IF(INDEX(Data!$J$2:$J$745,MATCH(12,Data!$B$2:$B$745,0))="","",INDEX(Data!$J$2:$J$745,MATCH(12,Data!$B$2:$B$745,0))),"")),"IMAGE COMING SOON"))</f>
        <v/>
      </c>
      <c r="D26" s="29">
        <f>IF(B26="","",IFERROR(IF(INDEX(Data!$G$2:$G$745,MATCH(12,Data!$B$2:$B$745,0))="","",INDEX(Data!$G$2:$G$745,MATCH(12,Data!$B$2:$B$745,0))),"")&amp;CHAR(10)&amp;IFERROR(IF(INDEX(Data!$H$2:$H$745,MATCH(12,Data!$B$2:$B$745,0))="","",INDEX(Data!$H$2:$H$745,MATCH(12,Data!$B$2:$B$745,0))),""))</f>
        <v/>
      </c>
      <c r="E26" s="27">
        <f>IF(B26="","",IFERROR(IF(INDEX(Data!$I$2:$I$745,MATCH(12,Data!$B$2:$B$745,0))="","",INDEX(Data!$I$2:$I$745,MATCH(12,Data!$B$2:$B$745,0))),""))</f>
        <v/>
      </c>
      <c r="F26" s="27">
        <f>IF(B26="","",IFERROR(IF(INDEX(Data!$AJ$2:$AJ$745,MATCH(12,Data!$B$2:$B$745,0))="","",INDEX(Data!$AJ$2:$AJ$745,MATCH(12,Data!$B$2:$B$745,0))),""))</f>
        <v/>
      </c>
      <c r="G26" s="27">
        <f>IF(B26="","",TRIM(IFERROR(IF(INDEX(Data!$AF$2:$AF$745,MATCH(12,Data!$B$2:$B$745,0))="","",INDEX(Data!$AF$2:$AF$745,MATCH(12,Data!$B$2:$B$745,0))),"")&amp;" "&amp;IFERROR(IF(INDEX(Data!$AG$2:$AG$745,MATCH(12,Data!$B$2:$B$745,0))="","",INDEX(Data!$AG$2:$AG$745,MATCH(12,Data!$B$2:$B$745,0))),"")))</f>
        <v/>
      </c>
      <c r="H26" s="30">
        <f>IF(B26="","",IFERROR(IF(INDEX(Data!$N$2:$N$745,MATCH(12,Data!$B$2:$B$745,0))="","",INDEX(Data!$N$2:$N$745,MATCH(12,Data!$B$2:$B$745,0))),""))</f>
        <v/>
      </c>
      <c r="I26" s="30">
        <f>IF(B26="","",IFERROR(IF(INDEX(Data!$O$2:$O$745,MATCH(12,Data!$B$2:$B$745,0))="","",INDEX(Data!$O$2:$O$745,MATCH(12,Data!$B$2:$B$745,0))),""))</f>
        <v/>
      </c>
      <c r="J26" s="31">
        <f>IF(B26="","",IFERROR(IF(INDEX(Data!$P$2:$P$745,MATCH(12,Data!$B$2:$B$745,0))="","",INDEX(Data!$P$2:$P$745,MATCH(12,Data!$B$2:$B$745,0))),""))</f>
        <v/>
      </c>
      <c r="K26" s="32">
        <f>IF(B26="","",IFERROR(IF(INDEX(Data!$R$2:$R$745,MATCH(12,Data!$B$2:$B$745,0))="","",INDEX(Data!$R$2:$R$745,MATCH(12,Data!$B$2:$B$745,0))),""))</f>
        <v/>
      </c>
      <c r="L26" s="33">
        <f>IF(B26="","",IFERROR(IF(INDEX(Data!$S$2:$S$745,MATCH(12,Data!$B$2:$B$745,0))="","",INDEX(Data!$S$2:$S$745,MATCH(12,Data!$B$2:$B$745,0))),""))</f>
        <v/>
      </c>
      <c r="M26" s="33">
        <f>IF(B26="","",IFERROR(IF(INDEX(Data!$T$2:$T$745,MATCH(12,Data!$B$2:$B$745,0))="","",INDEX(Data!$T$2:$T$745,MATCH(12,Data!$B$2:$B$745,0))),""))</f>
        <v/>
      </c>
      <c r="N26" s="34">
        <f>IF(B26="","",IFERROR(IF(INDEX(Data!$U$2:$U$745,MATCH(12,Data!$B$2:$B$745,0))="","",INDEX(Data!$U$2:$U$745,MATCH(12,Data!$B$2:$B$745,0))),""))</f>
        <v/>
      </c>
      <c r="O26" s="33">
        <f>IF(B26="","",IFERROR(IF(INDEX(Data!$V$2:$V$745,MATCH(12,Data!$B$2:$B$745,0))="","",INDEX(Data!$V$2:$V$745,MATCH(12,Data!$B$2:$B$745,0))),""))</f>
        <v/>
      </c>
      <c r="P26" s="33">
        <f>IF(B26="","",IFERROR(IF(INDEX(Data!$M$2:$M$745,MATCH(12,Data!$B$2:$B$745,0))="","",INDEX(Data!$M$2:$M$745,MATCH(12,Data!$B$2:$B$745,0))),""))</f>
        <v/>
      </c>
      <c r="Q26" s="31">
        <f>IF(B26="","",IFERROR(IF(INDEX(Data!$AD$2:$AD$745,MATCH(12,Data!$B$2:$B$745,0))="","",INDEX(Data!$AD$2:$AD$745,MATCH(12,Data!$B$2:$B$745,0))),""))</f>
        <v/>
      </c>
      <c r="R26" s="27">
        <f>IF(B26="","",IFERROR(IF(INDEX(Data!$L$2:$L$745,MATCH(12,Data!$B$2:$B$745,0))="","",INDEX(Data!$L$2:$L$745,MATCH(12,Data!$B$2:$B$745,0))),""))</f>
        <v/>
      </c>
      <c r="AA26" t="inlineStr">
        <is>
          <t>DC Beach Towel</t>
        </is>
      </c>
      <c r="AB26" t="inlineStr">
        <is>
          <t>Bedtter</t>
        </is>
      </c>
    </row>
    <row r="27" ht="62" customHeight="1">
      <c r="B27" s="27">
        <f>IF(13&lt;=COUNTIF(Data!$A$2:$A$745,TRUE),13,"")</f>
        <v/>
      </c>
      <c r="C27" s="28">
        <f>IF(B27="","",IFERROR(_xlfn.IMAGE(IFERROR(IF(INDEX(Data!$J$2:$J$745,MATCH(13,Data!$B$2:$B$745,0))="","",INDEX(Data!$J$2:$J$745,MATCH(13,Data!$B$2:$B$745,0))),"")),"IMAGE COMING SOON"))</f>
        <v/>
      </c>
      <c r="D27" s="29">
        <f>IF(B27="","",IFERROR(IF(INDEX(Data!$G$2:$G$745,MATCH(13,Data!$B$2:$B$745,0))="","",INDEX(Data!$G$2:$G$745,MATCH(13,Data!$B$2:$B$745,0))),"")&amp;CHAR(10)&amp;IFERROR(IF(INDEX(Data!$H$2:$H$745,MATCH(13,Data!$B$2:$B$745,0))="","",INDEX(Data!$H$2:$H$745,MATCH(13,Data!$B$2:$B$745,0))),""))</f>
        <v/>
      </c>
      <c r="E27" s="27">
        <f>IF(B27="","",IFERROR(IF(INDEX(Data!$I$2:$I$745,MATCH(13,Data!$B$2:$B$745,0))="","",INDEX(Data!$I$2:$I$745,MATCH(13,Data!$B$2:$B$745,0))),""))</f>
        <v/>
      </c>
      <c r="F27" s="27">
        <f>IF(B27="","",IFERROR(IF(INDEX(Data!$AJ$2:$AJ$745,MATCH(13,Data!$B$2:$B$745,0))="","",INDEX(Data!$AJ$2:$AJ$745,MATCH(13,Data!$B$2:$B$745,0))),""))</f>
        <v/>
      </c>
      <c r="G27" s="27">
        <f>IF(B27="","",TRIM(IFERROR(IF(INDEX(Data!$AF$2:$AF$745,MATCH(13,Data!$B$2:$B$745,0))="","",INDEX(Data!$AF$2:$AF$745,MATCH(13,Data!$B$2:$B$745,0))),"")&amp;" "&amp;IFERROR(IF(INDEX(Data!$AG$2:$AG$745,MATCH(13,Data!$B$2:$B$745,0))="","",INDEX(Data!$AG$2:$AG$745,MATCH(13,Data!$B$2:$B$745,0))),"")))</f>
        <v/>
      </c>
      <c r="H27" s="30">
        <f>IF(B27="","",IFERROR(IF(INDEX(Data!$N$2:$N$745,MATCH(13,Data!$B$2:$B$745,0))="","",INDEX(Data!$N$2:$N$745,MATCH(13,Data!$B$2:$B$745,0))),""))</f>
        <v/>
      </c>
      <c r="I27" s="30">
        <f>IF(B27="","",IFERROR(IF(INDEX(Data!$O$2:$O$745,MATCH(13,Data!$B$2:$B$745,0))="","",INDEX(Data!$O$2:$O$745,MATCH(13,Data!$B$2:$B$745,0))),""))</f>
        <v/>
      </c>
      <c r="J27" s="31">
        <f>IF(B27="","",IFERROR(IF(INDEX(Data!$P$2:$P$745,MATCH(13,Data!$B$2:$B$745,0))="","",INDEX(Data!$P$2:$P$745,MATCH(13,Data!$B$2:$B$745,0))),""))</f>
        <v/>
      </c>
      <c r="K27" s="32">
        <f>IF(B27="","",IFERROR(IF(INDEX(Data!$R$2:$R$745,MATCH(13,Data!$B$2:$B$745,0))="","",INDEX(Data!$R$2:$R$745,MATCH(13,Data!$B$2:$B$745,0))),""))</f>
        <v/>
      </c>
      <c r="L27" s="33">
        <f>IF(B27="","",IFERROR(IF(INDEX(Data!$S$2:$S$745,MATCH(13,Data!$B$2:$B$745,0))="","",INDEX(Data!$S$2:$S$745,MATCH(13,Data!$B$2:$B$745,0))),""))</f>
        <v/>
      </c>
      <c r="M27" s="33">
        <f>IF(B27="","",IFERROR(IF(INDEX(Data!$T$2:$T$745,MATCH(13,Data!$B$2:$B$745,0))="","",INDEX(Data!$T$2:$T$745,MATCH(13,Data!$B$2:$B$745,0))),""))</f>
        <v/>
      </c>
      <c r="N27" s="34">
        <f>IF(B27="","",IFERROR(IF(INDEX(Data!$U$2:$U$745,MATCH(13,Data!$B$2:$B$745,0))="","",INDEX(Data!$U$2:$U$745,MATCH(13,Data!$B$2:$B$745,0))),""))</f>
        <v/>
      </c>
      <c r="O27" s="33">
        <f>IF(B27="","",IFERROR(IF(INDEX(Data!$V$2:$V$745,MATCH(13,Data!$B$2:$B$745,0))="","",INDEX(Data!$V$2:$V$745,MATCH(13,Data!$B$2:$B$745,0))),""))</f>
        <v/>
      </c>
      <c r="P27" s="33">
        <f>IF(B27="","",IFERROR(IF(INDEX(Data!$M$2:$M$745,MATCH(13,Data!$B$2:$B$745,0))="","",INDEX(Data!$M$2:$M$745,MATCH(13,Data!$B$2:$B$745,0))),""))</f>
        <v/>
      </c>
      <c r="Q27" s="31">
        <f>IF(B27="","",IFERROR(IF(INDEX(Data!$AD$2:$AD$745,MATCH(13,Data!$B$2:$B$745,0))="","",INDEX(Data!$AD$2:$AD$745,MATCH(13,Data!$B$2:$B$745,0))),""))</f>
        <v/>
      </c>
      <c r="R27" s="27">
        <f>IF(B27="","",IFERROR(IF(INDEX(Data!$L$2:$L$745,MATCH(13,Data!$B$2:$B$745,0))="","",INDEX(Data!$L$2:$L$745,MATCH(13,Data!$B$2:$B$745,0))),""))</f>
        <v/>
      </c>
      <c r="AA27" t="inlineStr">
        <is>
          <t>DC Welcome Sign</t>
        </is>
      </c>
      <c r="AB27" t="inlineStr">
        <is>
          <t>BGment</t>
        </is>
      </c>
    </row>
    <row r="28" ht="62" customHeight="1">
      <c r="B28" s="27">
        <f>IF(14&lt;=COUNTIF(Data!$A$2:$A$745,TRUE),14,"")</f>
        <v/>
      </c>
      <c r="C28" s="28">
        <f>IF(B28="","",IFERROR(_xlfn.IMAGE(IFERROR(IF(INDEX(Data!$J$2:$J$745,MATCH(14,Data!$B$2:$B$745,0))="","",INDEX(Data!$J$2:$J$745,MATCH(14,Data!$B$2:$B$745,0))),"")),"IMAGE COMING SOON"))</f>
        <v/>
      </c>
      <c r="D28" s="29">
        <f>IF(B28="","",IFERROR(IF(INDEX(Data!$G$2:$G$745,MATCH(14,Data!$B$2:$B$745,0))="","",INDEX(Data!$G$2:$G$745,MATCH(14,Data!$B$2:$B$745,0))),"")&amp;CHAR(10)&amp;IFERROR(IF(INDEX(Data!$H$2:$H$745,MATCH(14,Data!$B$2:$B$745,0))="","",INDEX(Data!$H$2:$H$745,MATCH(14,Data!$B$2:$B$745,0))),""))</f>
        <v/>
      </c>
      <c r="E28" s="27">
        <f>IF(B28="","",IFERROR(IF(INDEX(Data!$I$2:$I$745,MATCH(14,Data!$B$2:$B$745,0))="","",INDEX(Data!$I$2:$I$745,MATCH(14,Data!$B$2:$B$745,0))),""))</f>
        <v/>
      </c>
      <c r="F28" s="27">
        <f>IF(B28="","",IFERROR(IF(INDEX(Data!$AJ$2:$AJ$745,MATCH(14,Data!$B$2:$B$745,0))="","",INDEX(Data!$AJ$2:$AJ$745,MATCH(14,Data!$B$2:$B$745,0))),""))</f>
        <v/>
      </c>
      <c r="G28" s="27">
        <f>IF(B28="","",TRIM(IFERROR(IF(INDEX(Data!$AF$2:$AF$745,MATCH(14,Data!$B$2:$B$745,0))="","",INDEX(Data!$AF$2:$AF$745,MATCH(14,Data!$B$2:$B$745,0))),"")&amp;" "&amp;IFERROR(IF(INDEX(Data!$AG$2:$AG$745,MATCH(14,Data!$B$2:$B$745,0))="","",INDEX(Data!$AG$2:$AG$745,MATCH(14,Data!$B$2:$B$745,0))),"")))</f>
        <v/>
      </c>
      <c r="H28" s="30">
        <f>IF(B28="","",IFERROR(IF(INDEX(Data!$N$2:$N$745,MATCH(14,Data!$B$2:$B$745,0))="","",INDEX(Data!$N$2:$N$745,MATCH(14,Data!$B$2:$B$745,0))),""))</f>
        <v/>
      </c>
      <c r="I28" s="30">
        <f>IF(B28="","",IFERROR(IF(INDEX(Data!$O$2:$O$745,MATCH(14,Data!$B$2:$B$745,0))="","",INDEX(Data!$O$2:$O$745,MATCH(14,Data!$B$2:$B$745,0))),""))</f>
        <v/>
      </c>
      <c r="J28" s="31">
        <f>IF(B28="","",IFERROR(IF(INDEX(Data!$P$2:$P$745,MATCH(14,Data!$B$2:$B$745,0))="","",INDEX(Data!$P$2:$P$745,MATCH(14,Data!$B$2:$B$745,0))),""))</f>
        <v/>
      </c>
      <c r="K28" s="32">
        <f>IF(B28="","",IFERROR(IF(INDEX(Data!$R$2:$R$745,MATCH(14,Data!$B$2:$B$745,0))="","",INDEX(Data!$R$2:$R$745,MATCH(14,Data!$B$2:$B$745,0))),""))</f>
        <v/>
      </c>
      <c r="L28" s="33">
        <f>IF(B28="","",IFERROR(IF(INDEX(Data!$S$2:$S$745,MATCH(14,Data!$B$2:$B$745,0))="","",INDEX(Data!$S$2:$S$745,MATCH(14,Data!$B$2:$B$745,0))),""))</f>
        <v/>
      </c>
      <c r="M28" s="33">
        <f>IF(B28="","",IFERROR(IF(INDEX(Data!$T$2:$T$745,MATCH(14,Data!$B$2:$B$745,0))="","",INDEX(Data!$T$2:$T$745,MATCH(14,Data!$B$2:$B$745,0))),""))</f>
        <v/>
      </c>
      <c r="N28" s="34">
        <f>IF(B28="","",IFERROR(IF(INDEX(Data!$U$2:$U$745,MATCH(14,Data!$B$2:$B$745,0))="","",INDEX(Data!$U$2:$U$745,MATCH(14,Data!$B$2:$B$745,0))),""))</f>
        <v/>
      </c>
      <c r="O28" s="33">
        <f>IF(B28="","",IFERROR(IF(INDEX(Data!$V$2:$V$745,MATCH(14,Data!$B$2:$B$745,0))="","",INDEX(Data!$V$2:$V$745,MATCH(14,Data!$B$2:$B$745,0))),""))</f>
        <v/>
      </c>
      <c r="P28" s="33">
        <f>IF(B28="","",IFERROR(IF(INDEX(Data!$M$2:$M$745,MATCH(14,Data!$B$2:$B$745,0))="","",INDEX(Data!$M$2:$M$745,MATCH(14,Data!$B$2:$B$745,0))),""))</f>
        <v/>
      </c>
      <c r="Q28" s="31">
        <f>IF(B28="","",IFERROR(IF(INDEX(Data!$AD$2:$AD$745,MATCH(14,Data!$B$2:$B$745,0))="","",INDEX(Data!$AD$2:$AD$745,MATCH(14,Data!$B$2:$B$745,0))),""))</f>
        <v/>
      </c>
      <c r="R28" s="27">
        <f>IF(B28="","",IFERROR(IF(INDEX(Data!$L$2:$L$745,MATCH(14,Data!$B$2:$B$745,0))="","",INDEX(Data!$L$2:$L$745,MATCH(14,Data!$B$2:$B$745,0))),""))</f>
        <v/>
      </c>
      <c r="AA28" t="inlineStr">
        <is>
          <t>DC Chair Cover</t>
        </is>
      </c>
      <c r="AB28" t="inlineStr">
        <is>
          <t>BIETYONE</t>
        </is>
      </c>
    </row>
    <row r="29" ht="62" customHeight="1">
      <c r="B29" s="27">
        <f>IF(15&lt;=COUNTIF(Data!$A$2:$A$745,TRUE),15,"")</f>
        <v/>
      </c>
      <c r="C29" s="28">
        <f>IF(B29="","",IFERROR(_xlfn.IMAGE(IFERROR(IF(INDEX(Data!$J$2:$J$745,MATCH(15,Data!$B$2:$B$745,0))="","",INDEX(Data!$J$2:$J$745,MATCH(15,Data!$B$2:$B$745,0))),"")),"IMAGE COMING SOON"))</f>
        <v/>
      </c>
      <c r="D29" s="29">
        <f>IF(B29="","",IFERROR(IF(INDEX(Data!$G$2:$G$745,MATCH(15,Data!$B$2:$B$745,0))="","",INDEX(Data!$G$2:$G$745,MATCH(15,Data!$B$2:$B$745,0))),"")&amp;CHAR(10)&amp;IFERROR(IF(INDEX(Data!$H$2:$H$745,MATCH(15,Data!$B$2:$B$745,0))="","",INDEX(Data!$H$2:$H$745,MATCH(15,Data!$B$2:$B$745,0))),""))</f>
        <v/>
      </c>
      <c r="E29" s="27">
        <f>IF(B29="","",IFERROR(IF(INDEX(Data!$I$2:$I$745,MATCH(15,Data!$B$2:$B$745,0))="","",INDEX(Data!$I$2:$I$745,MATCH(15,Data!$B$2:$B$745,0))),""))</f>
        <v/>
      </c>
      <c r="F29" s="27">
        <f>IF(B29="","",IFERROR(IF(INDEX(Data!$AJ$2:$AJ$745,MATCH(15,Data!$B$2:$B$745,0))="","",INDEX(Data!$AJ$2:$AJ$745,MATCH(15,Data!$B$2:$B$745,0))),""))</f>
        <v/>
      </c>
      <c r="G29" s="27">
        <f>IF(B29="","",TRIM(IFERROR(IF(INDEX(Data!$AF$2:$AF$745,MATCH(15,Data!$B$2:$B$745,0))="","",INDEX(Data!$AF$2:$AF$745,MATCH(15,Data!$B$2:$B$745,0))),"")&amp;" "&amp;IFERROR(IF(INDEX(Data!$AG$2:$AG$745,MATCH(15,Data!$B$2:$B$745,0))="","",INDEX(Data!$AG$2:$AG$745,MATCH(15,Data!$B$2:$B$745,0))),"")))</f>
        <v/>
      </c>
      <c r="H29" s="30">
        <f>IF(B29="","",IFERROR(IF(INDEX(Data!$N$2:$N$745,MATCH(15,Data!$B$2:$B$745,0))="","",INDEX(Data!$N$2:$N$745,MATCH(15,Data!$B$2:$B$745,0))),""))</f>
        <v/>
      </c>
      <c r="I29" s="30">
        <f>IF(B29="","",IFERROR(IF(INDEX(Data!$O$2:$O$745,MATCH(15,Data!$B$2:$B$745,0))="","",INDEX(Data!$O$2:$O$745,MATCH(15,Data!$B$2:$B$745,0))),""))</f>
        <v/>
      </c>
      <c r="J29" s="31">
        <f>IF(B29="","",IFERROR(IF(INDEX(Data!$P$2:$P$745,MATCH(15,Data!$B$2:$B$745,0))="","",INDEX(Data!$P$2:$P$745,MATCH(15,Data!$B$2:$B$745,0))),""))</f>
        <v/>
      </c>
      <c r="K29" s="32">
        <f>IF(B29="","",IFERROR(IF(INDEX(Data!$R$2:$R$745,MATCH(15,Data!$B$2:$B$745,0))="","",INDEX(Data!$R$2:$R$745,MATCH(15,Data!$B$2:$B$745,0))),""))</f>
        <v/>
      </c>
      <c r="L29" s="33">
        <f>IF(B29="","",IFERROR(IF(INDEX(Data!$S$2:$S$745,MATCH(15,Data!$B$2:$B$745,0))="","",INDEX(Data!$S$2:$S$745,MATCH(15,Data!$B$2:$B$745,0))),""))</f>
        <v/>
      </c>
      <c r="M29" s="33">
        <f>IF(B29="","",IFERROR(IF(INDEX(Data!$T$2:$T$745,MATCH(15,Data!$B$2:$B$745,0))="","",INDEX(Data!$T$2:$T$745,MATCH(15,Data!$B$2:$B$745,0))),""))</f>
        <v/>
      </c>
      <c r="N29" s="34">
        <f>IF(B29="","",IFERROR(IF(INDEX(Data!$U$2:$U$745,MATCH(15,Data!$B$2:$B$745,0))="","",INDEX(Data!$U$2:$U$745,MATCH(15,Data!$B$2:$B$745,0))),""))</f>
        <v/>
      </c>
      <c r="O29" s="33">
        <f>IF(B29="","",IFERROR(IF(INDEX(Data!$V$2:$V$745,MATCH(15,Data!$B$2:$B$745,0))="","",INDEX(Data!$V$2:$V$745,MATCH(15,Data!$B$2:$B$745,0))),""))</f>
        <v/>
      </c>
      <c r="P29" s="33">
        <f>IF(B29="","",IFERROR(IF(INDEX(Data!$M$2:$M$745,MATCH(15,Data!$B$2:$B$745,0))="","",INDEX(Data!$M$2:$M$745,MATCH(15,Data!$B$2:$B$745,0))),""))</f>
        <v/>
      </c>
      <c r="Q29" s="31">
        <f>IF(B29="","",IFERROR(IF(INDEX(Data!$AD$2:$AD$745,MATCH(15,Data!$B$2:$B$745,0))="","",INDEX(Data!$AD$2:$AD$745,MATCH(15,Data!$B$2:$B$745,0))),""))</f>
        <v/>
      </c>
      <c r="R29" s="27">
        <f>IF(B29="","",IFERROR(IF(INDEX(Data!$L$2:$L$745,MATCH(15,Data!$B$2:$B$745,0))="","",INDEX(Data!$L$2:$L$745,MATCH(15,Data!$B$2:$B$745,0))),""))</f>
        <v/>
      </c>
      <c r="AB29" t="inlineStr">
        <is>
          <t>BLISSFORD</t>
        </is>
      </c>
    </row>
    <row r="30" ht="62" customHeight="1">
      <c r="B30" s="27">
        <f>IF(16&lt;=COUNTIF(Data!$A$2:$A$745,TRUE),16,"")</f>
        <v/>
      </c>
      <c r="C30" s="28">
        <f>IF(B30="","",IFERROR(_xlfn.IMAGE(IFERROR(IF(INDEX(Data!$J$2:$J$745,MATCH(16,Data!$B$2:$B$745,0))="","",INDEX(Data!$J$2:$J$745,MATCH(16,Data!$B$2:$B$745,0))),"")),"IMAGE COMING SOON"))</f>
        <v/>
      </c>
      <c r="D30" s="29">
        <f>IF(B30="","",IFERROR(IF(INDEX(Data!$G$2:$G$745,MATCH(16,Data!$B$2:$B$745,0))="","",INDEX(Data!$G$2:$G$745,MATCH(16,Data!$B$2:$B$745,0))),"")&amp;CHAR(10)&amp;IFERROR(IF(INDEX(Data!$H$2:$H$745,MATCH(16,Data!$B$2:$B$745,0))="","",INDEX(Data!$H$2:$H$745,MATCH(16,Data!$B$2:$B$745,0))),""))</f>
        <v/>
      </c>
      <c r="E30" s="27">
        <f>IF(B30="","",IFERROR(IF(INDEX(Data!$I$2:$I$745,MATCH(16,Data!$B$2:$B$745,0))="","",INDEX(Data!$I$2:$I$745,MATCH(16,Data!$B$2:$B$745,0))),""))</f>
        <v/>
      </c>
      <c r="F30" s="27">
        <f>IF(B30="","",IFERROR(IF(INDEX(Data!$AJ$2:$AJ$745,MATCH(16,Data!$B$2:$B$745,0))="","",INDEX(Data!$AJ$2:$AJ$745,MATCH(16,Data!$B$2:$B$745,0))),""))</f>
        <v/>
      </c>
      <c r="G30" s="27">
        <f>IF(B30="","",TRIM(IFERROR(IF(INDEX(Data!$AF$2:$AF$745,MATCH(16,Data!$B$2:$B$745,0))="","",INDEX(Data!$AF$2:$AF$745,MATCH(16,Data!$B$2:$B$745,0))),"")&amp;" "&amp;IFERROR(IF(INDEX(Data!$AG$2:$AG$745,MATCH(16,Data!$B$2:$B$745,0))="","",INDEX(Data!$AG$2:$AG$745,MATCH(16,Data!$B$2:$B$745,0))),"")))</f>
        <v/>
      </c>
      <c r="H30" s="30">
        <f>IF(B30="","",IFERROR(IF(INDEX(Data!$N$2:$N$745,MATCH(16,Data!$B$2:$B$745,0))="","",INDEX(Data!$N$2:$N$745,MATCH(16,Data!$B$2:$B$745,0))),""))</f>
        <v/>
      </c>
      <c r="I30" s="30">
        <f>IF(B30="","",IFERROR(IF(INDEX(Data!$O$2:$O$745,MATCH(16,Data!$B$2:$B$745,0))="","",INDEX(Data!$O$2:$O$745,MATCH(16,Data!$B$2:$B$745,0))),""))</f>
        <v/>
      </c>
      <c r="J30" s="31">
        <f>IF(B30="","",IFERROR(IF(INDEX(Data!$P$2:$P$745,MATCH(16,Data!$B$2:$B$745,0))="","",INDEX(Data!$P$2:$P$745,MATCH(16,Data!$B$2:$B$745,0))),""))</f>
        <v/>
      </c>
      <c r="K30" s="32">
        <f>IF(B30="","",IFERROR(IF(INDEX(Data!$R$2:$R$745,MATCH(16,Data!$B$2:$B$745,0))="","",INDEX(Data!$R$2:$R$745,MATCH(16,Data!$B$2:$B$745,0))),""))</f>
        <v/>
      </c>
      <c r="L30" s="33">
        <f>IF(B30="","",IFERROR(IF(INDEX(Data!$S$2:$S$745,MATCH(16,Data!$B$2:$B$745,0))="","",INDEX(Data!$S$2:$S$745,MATCH(16,Data!$B$2:$B$745,0))),""))</f>
        <v/>
      </c>
      <c r="M30" s="33">
        <f>IF(B30="","",IFERROR(IF(INDEX(Data!$T$2:$T$745,MATCH(16,Data!$B$2:$B$745,0))="","",INDEX(Data!$T$2:$T$745,MATCH(16,Data!$B$2:$B$745,0))),""))</f>
        <v/>
      </c>
      <c r="N30" s="34">
        <f>IF(B30="","",IFERROR(IF(INDEX(Data!$U$2:$U$745,MATCH(16,Data!$B$2:$B$745,0))="","",INDEX(Data!$U$2:$U$745,MATCH(16,Data!$B$2:$B$745,0))),""))</f>
        <v/>
      </c>
      <c r="O30" s="33">
        <f>IF(B30="","",IFERROR(IF(INDEX(Data!$V$2:$V$745,MATCH(16,Data!$B$2:$B$745,0))="","",INDEX(Data!$V$2:$V$745,MATCH(16,Data!$B$2:$B$745,0))),""))</f>
        <v/>
      </c>
      <c r="P30" s="33">
        <f>IF(B30="","",IFERROR(IF(INDEX(Data!$M$2:$M$745,MATCH(16,Data!$B$2:$B$745,0))="","",INDEX(Data!$M$2:$M$745,MATCH(16,Data!$B$2:$B$745,0))),""))</f>
        <v/>
      </c>
      <c r="Q30" s="31">
        <f>IF(B30="","",IFERROR(IF(INDEX(Data!$AD$2:$AD$745,MATCH(16,Data!$B$2:$B$745,0))="","",INDEX(Data!$AD$2:$AD$745,MATCH(16,Data!$B$2:$B$745,0))),""))</f>
        <v/>
      </c>
      <c r="R30" s="27">
        <f>IF(B30="","",IFERROR(IF(INDEX(Data!$L$2:$L$745,MATCH(16,Data!$B$2:$B$745,0))="","",INDEX(Data!$L$2:$L$745,MATCH(16,Data!$B$2:$B$745,0))),""))</f>
        <v/>
      </c>
      <c r="AB30" t="inlineStr">
        <is>
          <t>BLISSY</t>
        </is>
      </c>
    </row>
    <row r="31" ht="62" customHeight="1">
      <c r="B31" s="27">
        <f>IF(17&lt;=COUNTIF(Data!$A$2:$A$745,TRUE),17,"")</f>
        <v/>
      </c>
      <c r="C31" s="28">
        <f>IF(B31="","",IFERROR(_xlfn.IMAGE(IFERROR(IF(INDEX(Data!$J$2:$J$745,MATCH(17,Data!$B$2:$B$745,0))="","",INDEX(Data!$J$2:$J$745,MATCH(17,Data!$B$2:$B$745,0))),"")),"IMAGE COMING SOON"))</f>
        <v/>
      </c>
      <c r="D31" s="29">
        <f>IF(B31="","",IFERROR(IF(INDEX(Data!$G$2:$G$745,MATCH(17,Data!$B$2:$B$745,0))="","",INDEX(Data!$G$2:$G$745,MATCH(17,Data!$B$2:$B$745,0))),"")&amp;CHAR(10)&amp;IFERROR(IF(INDEX(Data!$H$2:$H$745,MATCH(17,Data!$B$2:$B$745,0))="","",INDEX(Data!$H$2:$H$745,MATCH(17,Data!$B$2:$B$745,0))),""))</f>
        <v/>
      </c>
      <c r="E31" s="27">
        <f>IF(B31="","",IFERROR(IF(INDEX(Data!$I$2:$I$745,MATCH(17,Data!$B$2:$B$745,0))="","",INDEX(Data!$I$2:$I$745,MATCH(17,Data!$B$2:$B$745,0))),""))</f>
        <v/>
      </c>
      <c r="F31" s="27">
        <f>IF(B31="","",IFERROR(IF(INDEX(Data!$AJ$2:$AJ$745,MATCH(17,Data!$B$2:$B$745,0))="","",INDEX(Data!$AJ$2:$AJ$745,MATCH(17,Data!$B$2:$B$745,0))),""))</f>
        <v/>
      </c>
      <c r="G31" s="27">
        <f>IF(B31="","",TRIM(IFERROR(IF(INDEX(Data!$AF$2:$AF$745,MATCH(17,Data!$B$2:$B$745,0))="","",INDEX(Data!$AF$2:$AF$745,MATCH(17,Data!$B$2:$B$745,0))),"")&amp;" "&amp;IFERROR(IF(INDEX(Data!$AG$2:$AG$745,MATCH(17,Data!$B$2:$B$745,0))="","",INDEX(Data!$AG$2:$AG$745,MATCH(17,Data!$B$2:$B$745,0))),"")))</f>
        <v/>
      </c>
      <c r="H31" s="30">
        <f>IF(B31="","",IFERROR(IF(INDEX(Data!$N$2:$N$745,MATCH(17,Data!$B$2:$B$745,0))="","",INDEX(Data!$N$2:$N$745,MATCH(17,Data!$B$2:$B$745,0))),""))</f>
        <v/>
      </c>
      <c r="I31" s="30">
        <f>IF(B31="","",IFERROR(IF(INDEX(Data!$O$2:$O$745,MATCH(17,Data!$B$2:$B$745,0))="","",INDEX(Data!$O$2:$O$745,MATCH(17,Data!$B$2:$B$745,0))),""))</f>
        <v/>
      </c>
      <c r="J31" s="31">
        <f>IF(B31="","",IFERROR(IF(INDEX(Data!$P$2:$P$745,MATCH(17,Data!$B$2:$B$745,0))="","",INDEX(Data!$P$2:$P$745,MATCH(17,Data!$B$2:$B$745,0))),""))</f>
        <v/>
      </c>
      <c r="K31" s="32">
        <f>IF(B31="","",IFERROR(IF(INDEX(Data!$R$2:$R$745,MATCH(17,Data!$B$2:$B$745,0))="","",INDEX(Data!$R$2:$R$745,MATCH(17,Data!$B$2:$B$745,0))),""))</f>
        <v/>
      </c>
      <c r="L31" s="33">
        <f>IF(B31="","",IFERROR(IF(INDEX(Data!$S$2:$S$745,MATCH(17,Data!$B$2:$B$745,0))="","",INDEX(Data!$S$2:$S$745,MATCH(17,Data!$B$2:$B$745,0))),""))</f>
        <v/>
      </c>
      <c r="M31" s="33">
        <f>IF(B31="","",IFERROR(IF(INDEX(Data!$T$2:$T$745,MATCH(17,Data!$B$2:$B$745,0))="","",INDEX(Data!$T$2:$T$745,MATCH(17,Data!$B$2:$B$745,0))),""))</f>
        <v/>
      </c>
      <c r="N31" s="34">
        <f>IF(B31="","",IFERROR(IF(INDEX(Data!$U$2:$U$745,MATCH(17,Data!$B$2:$B$745,0))="","",INDEX(Data!$U$2:$U$745,MATCH(17,Data!$B$2:$B$745,0))),""))</f>
        <v/>
      </c>
      <c r="O31" s="33">
        <f>IF(B31="","",IFERROR(IF(INDEX(Data!$V$2:$V$745,MATCH(17,Data!$B$2:$B$745,0))="","",INDEX(Data!$V$2:$V$745,MATCH(17,Data!$B$2:$B$745,0))),""))</f>
        <v/>
      </c>
      <c r="P31" s="33">
        <f>IF(B31="","",IFERROR(IF(INDEX(Data!$M$2:$M$745,MATCH(17,Data!$B$2:$B$745,0))="","",INDEX(Data!$M$2:$M$745,MATCH(17,Data!$B$2:$B$745,0))),""))</f>
        <v/>
      </c>
      <c r="Q31" s="31">
        <f>IF(B31="","",IFERROR(IF(INDEX(Data!$AD$2:$AD$745,MATCH(17,Data!$B$2:$B$745,0))="","",INDEX(Data!$AD$2:$AD$745,MATCH(17,Data!$B$2:$B$745,0))),""))</f>
        <v/>
      </c>
      <c r="R31" s="27">
        <f>IF(B31="","",IFERROR(IF(INDEX(Data!$L$2:$L$745,MATCH(17,Data!$B$2:$B$745,0))="","",INDEX(Data!$L$2:$L$745,MATCH(17,Data!$B$2:$B$745,0))),""))</f>
        <v/>
      </c>
      <c r="AB31" t="inlineStr">
        <is>
          <t>BLSSNZ</t>
        </is>
      </c>
    </row>
    <row r="32" ht="62" customHeight="1">
      <c r="B32" s="27">
        <f>IF(18&lt;=COUNTIF(Data!$A$2:$A$745,TRUE),18,"")</f>
        <v/>
      </c>
      <c r="C32" s="28">
        <f>IF(B32="","",IFERROR(_xlfn.IMAGE(IFERROR(IF(INDEX(Data!$J$2:$J$745,MATCH(18,Data!$B$2:$B$745,0))="","",INDEX(Data!$J$2:$J$745,MATCH(18,Data!$B$2:$B$745,0))),"")),"IMAGE COMING SOON"))</f>
        <v/>
      </c>
      <c r="D32" s="29">
        <f>IF(B32="","",IFERROR(IF(INDEX(Data!$G$2:$G$745,MATCH(18,Data!$B$2:$B$745,0))="","",INDEX(Data!$G$2:$G$745,MATCH(18,Data!$B$2:$B$745,0))),"")&amp;CHAR(10)&amp;IFERROR(IF(INDEX(Data!$H$2:$H$745,MATCH(18,Data!$B$2:$B$745,0))="","",INDEX(Data!$H$2:$H$745,MATCH(18,Data!$B$2:$B$745,0))),""))</f>
        <v/>
      </c>
      <c r="E32" s="27">
        <f>IF(B32="","",IFERROR(IF(INDEX(Data!$I$2:$I$745,MATCH(18,Data!$B$2:$B$745,0))="","",INDEX(Data!$I$2:$I$745,MATCH(18,Data!$B$2:$B$745,0))),""))</f>
        <v/>
      </c>
      <c r="F32" s="27">
        <f>IF(B32="","",IFERROR(IF(INDEX(Data!$AJ$2:$AJ$745,MATCH(18,Data!$B$2:$B$745,0))="","",INDEX(Data!$AJ$2:$AJ$745,MATCH(18,Data!$B$2:$B$745,0))),""))</f>
        <v/>
      </c>
      <c r="G32" s="27">
        <f>IF(B32="","",TRIM(IFERROR(IF(INDEX(Data!$AF$2:$AF$745,MATCH(18,Data!$B$2:$B$745,0))="","",INDEX(Data!$AF$2:$AF$745,MATCH(18,Data!$B$2:$B$745,0))),"")&amp;" "&amp;IFERROR(IF(INDEX(Data!$AG$2:$AG$745,MATCH(18,Data!$B$2:$B$745,0))="","",INDEX(Data!$AG$2:$AG$745,MATCH(18,Data!$B$2:$B$745,0))),"")))</f>
        <v/>
      </c>
      <c r="H32" s="30">
        <f>IF(B32="","",IFERROR(IF(INDEX(Data!$N$2:$N$745,MATCH(18,Data!$B$2:$B$745,0))="","",INDEX(Data!$N$2:$N$745,MATCH(18,Data!$B$2:$B$745,0))),""))</f>
        <v/>
      </c>
      <c r="I32" s="30">
        <f>IF(B32="","",IFERROR(IF(INDEX(Data!$O$2:$O$745,MATCH(18,Data!$B$2:$B$745,0))="","",INDEX(Data!$O$2:$O$745,MATCH(18,Data!$B$2:$B$745,0))),""))</f>
        <v/>
      </c>
      <c r="J32" s="31">
        <f>IF(B32="","",IFERROR(IF(INDEX(Data!$P$2:$P$745,MATCH(18,Data!$B$2:$B$745,0))="","",INDEX(Data!$P$2:$P$745,MATCH(18,Data!$B$2:$B$745,0))),""))</f>
        <v/>
      </c>
      <c r="K32" s="32">
        <f>IF(B32="","",IFERROR(IF(INDEX(Data!$R$2:$R$745,MATCH(18,Data!$B$2:$B$745,0))="","",INDEX(Data!$R$2:$R$745,MATCH(18,Data!$B$2:$B$745,0))),""))</f>
        <v/>
      </c>
      <c r="L32" s="33">
        <f>IF(B32="","",IFERROR(IF(INDEX(Data!$S$2:$S$745,MATCH(18,Data!$B$2:$B$745,0))="","",INDEX(Data!$S$2:$S$745,MATCH(18,Data!$B$2:$B$745,0))),""))</f>
        <v/>
      </c>
      <c r="M32" s="33">
        <f>IF(B32="","",IFERROR(IF(INDEX(Data!$T$2:$T$745,MATCH(18,Data!$B$2:$B$745,0))="","",INDEX(Data!$T$2:$T$745,MATCH(18,Data!$B$2:$B$745,0))),""))</f>
        <v/>
      </c>
      <c r="N32" s="34">
        <f>IF(B32="","",IFERROR(IF(INDEX(Data!$U$2:$U$745,MATCH(18,Data!$B$2:$B$745,0))="","",INDEX(Data!$U$2:$U$745,MATCH(18,Data!$B$2:$B$745,0))),""))</f>
        <v/>
      </c>
      <c r="O32" s="33">
        <f>IF(B32="","",IFERROR(IF(INDEX(Data!$V$2:$V$745,MATCH(18,Data!$B$2:$B$745,0))="","",INDEX(Data!$V$2:$V$745,MATCH(18,Data!$B$2:$B$745,0))),""))</f>
        <v/>
      </c>
      <c r="P32" s="33">
        <f>IF(B32="","",IFERROR(IF(INDEX(Data!$M$2:$M$745,MATCH(18,Data!$B$2:$B$745,0))="","",INDEX(Data!$M$2:$M$745,MATCH(18,Data!$B$2:$B$745,0))),""))</f>
        <v/>
      </c>
      <c r="Q32" s="31">
        <f>IF(B32="","",IFERROR(IF(INDEX(Data!$AD$2:$AD$745,MATCH(18,Data!$B$2:$B$745,0))="","",INDEX(Data!$AD$2:$AD$745,MATCH(18,Data!$B$2:$B$745,0))),""))</f>
        <v/>
      </c>
      <c r="R32" s="27">
        <f>IF(B32="","",IFERROR(IF(INDEX(Data!$L$2:$L$745,MATCH(18,Data!$B$2:$B$745,0))="","",INDEX(Data!$L$2:$L$745,MATCH(18,Data!$B$2:$B$745,0))),""))</f>
        <v/>
      </c>
      <c r="AB32" t="inlineStr">
        <is>
          <t>Breescape</t>
        </is>
      </c>
    </row>
    <row r="33" ht="62" customHeight="1">
      <c r="B33" s="27">
        <f>IF(19&lt;=COUNTIF(Data!$A$2:$A$745,TRUE),19,"")</f>
        <v/>
      </c>
      <c r="C33" s="28">
        <f>IF(B33="","",IFERROR(_xlfn.IMAGE(IFERROR(IF(INDEX(Data!$J$2:$J$745,MATCH(19,Data!$B$2:$B$745,0))="","",INDEX(Data!$J$2:$J$745,MATCH(19,Data!$B$2:$B$745,0))),"")),"IMAGE COMING SOON"))</f>
        <v/>
      </c>
      <c r="D33" s="29">
        <f>IF(B33="","",IFERROR(IF(INDEX(Data!$G$2:$G$745,MATCH(19,Data!$B$2:$B$745,0))="","",INDEX(Data!$G$2:$G$745,MATCH(19,Data!$B$2:$B$745,0))),"")&amp;CHAR(10)&amp;IFERROR(IF(INDEX(Data!$H$2:$H$745,MATCH(19,Data!$B$2:$B$745,0))="","",INDEX(Data!$H$2:$H$745,MATCH(19,Data!$B$2:$B$745,0))),""))</f>
        <v/>
      </c>
      <c r="E33" s="27">
        <f>IF(B33="","",IFERROR(IF(INDEX(Data!$I$2:$I$745,MATCH(19,Data!$B$2:$B$745,0))="","",INDEX(Data!$I$2:$I$745,MATCH(19,Data!$B$2:$B$745,0))),""))</f>
        <v/>
      </c>
      <c r="F33" s="27">
        <f>IF(B33="","",IFERROR(IF(INDEX(Data!$AJ$2:$AJ$745,MATCH(19,Data!$B$2:$B$745,0))="","",INDEX(Data!$AJ$2:$AJ$745,MATCH(19,Data!$B$2:$B$745,0))),""))</f>
        <v/>
      </c>
      <c r="G33" s="27">
        <f>IF(B33="","",TRIM(IFERROR(IF(INDEX(Data!$AF$2:$AF$745,MATCH(19,Data!$B$2:$B$745,0))="","",INDEX(Data!$AF$2:$AF$745,MATCH(19,Data!$B$2:$B$745,0))),"")&amp;" "&amp;IFERROR(IF(INDEX(Data!$AG$2:$AG$745,MATCH(19,Data!$B$2:$B$745,0))="","",INDEX(Data!$AG$2:$AG$745,MATCH(19,Data!$B$2:$B$745,0))),"")))</f>
        <v/>
      </c>
      <c r="H33" s="30">
        <f>IF(B33="","",IFERROR(IF(INDEX(Data!$N$2:$N$745,MATCH(19,Data!$B$2:$B$745,0))="","",INDEX(Data!$N$2:$N$745,MATCH(19,Data!$B$2:$B$745,0))),""))</f>
        <v/>
      </c>
      <c r="I33" s="30">
        <f>IF(B33="","",IFERROR(IF(INDEX(Data!$O$2:$O$745,MATCH(19,Data!$B$2:$B$745,0))="","",INDEX(Data!$O$2:$O$745,MATCH(19,Data!$B$2:$B$745,0))),""))</f>
        <v/>
      </c>
      <c r="J33" s="31">
        <f>IF(B33="","",IFERROR(IF(INDEX(Data!$P$2:$P$745,MATCH(19,Data!$B$2:$B$745,0))="","",INDEX(Data!$P$2:$P$745,MATCH(19,Data!$B$2:$B$745,0))),""))</f>
        <v/>
      </c>
      <c r="K33" s="32">
        <f>IF(B33="","",IFERROR(IF(INDEX(Data!$R$2:$R$745,MATCH(19,Data!$B$2:$B$745,0))="","",INDEX(Data!$R$2:$R$745,MATCH(19,Data!$B$2:$B$745,0))),""))</f>
        <v/>
      </c>
      <c r="L33" s="33">
        <f>IF(B33="","",IFERROR(IF(INDEX(Data!$S$2:$S$745,MATCH(19,Data!$B$2:$B$745,0))="","",INDEX(Data!$S$2:$S$745,MATCH(19,Data!$B$2:$B$745,0))),""))</f>
        <v/>
      </c>
      <c r="M33" s="33">
        <f>IF(B33="","",IFERROR(IF(INDEX(Data!$T$2:$T$745,MATCH(19,Data!$B$2:$B$745,0))="","",INDEX(Data!$T$2:$T$745,MATCH(19,Data!$B$2:$B$745,0))),""))</f>
        <v/>
      </c>
      <c r="N33" s="34">
        <f>IF(B33="","",IFERROR(IF(INDEX(Data!$U$2:$U$745,MATCH(19,Data!$B$2:$B$745,0))="","",INDEX(Data!$U$2:$U$745,MATCH(19,Data!$B$2:$B$745,0))),""))</f>
        <v/>
      </c>
      <c r="O33" s="33">
        <f>IF(B33="","",IFERROR(IF(INDEX(Data!$V$2:$V$745,MATCH(19,Data!$B$2:$B$745,0))="","",INDEX(Data!$V$2:$V$745,MATCH(19,Data!$B$2:$B$745,0))),""))</f>
        <v/>
      </c>
      <c r="P33" s="33">
        <f>IF(B33="","",IFERROR(IF(INDEX(Data!$M$2:$M$745,MATCH(19,Data!$B$2:$B$745,0))="","",INDEX(Data!$M$2:$M$745,MATCH(19,Data!$B$2:$B$745,0))),""))</f>
        <v/>
      </c>
      <c r="Q33" s="31">
        <f>IF(B33="","",IFERROR(IF(INDEX(Data!$AD$2:$AD$745,MATCH(19,Data!$B$2:$B$745,0))="","",INDEX(Data!$AD$2:$AD$745,MATCH(19,Data!$B$2:$B$745,0))),""))</f>
        <v/>
      </c>
      <c r="R33" s="27">
        <f>IF(B33="","",IFERROR(IF(INDEX(Data!$L$2:$L$745,MATCH(19,Data!$B$2:$B$745,0))="","",INDEX(Data!$L$2:$L$745,MATCH(19,Data!$B$2:$B$745,0))),""))</f>
        <v/>
      </c>
      <c r="AB33" t="inlineStr">
        <is>
          <t>Brooklinen</t>
        </is>
      </c>
    </row>
    <row r="34" ht="62" customHeight="1">
      <c r="B34" s="27">
        <f>IF(20&lt;=COUNTIF(Data!$A$2:$A$745,TRUE),20,"")</f>
        <v/>
      </c>
      <c r="C34" s="28">
        <f>IF(B34="","",IFERROR(_xlfn.IMAGE(IFERROR(IF(INDEX(Data!$J$2:$J$745,MATCH(20,Data!$B$2:$B$745,0))="","",INDEX(Data!$J$2:$J$745,MATCH(20,Data!$B$2:$B$745,0))),"")),"IMAGE COMING SOON"))</f>
        <v/>
      </c>
      <c r="D34" s="29">
        <f>IF(B34="","",IFERROR(IF(INDEX(Data!$G$2:$G$745,MATCH(20,Data!$B$2:$B$745,0))="","",INDEX(Data!$G$2:$G$745,MATCH(20,Data!$B$2:$B$745,0))),"")&amp;CHAR(10)&amp;IFERROR(IF(INDEX(Data!$H$2:$H$745,MATCH(20,Data!$B$2:$B$745,0))="","",INDEX(Data!$H$2:$H$745,MATCH(20,Data!$B$2:$B$745,0))),""))</f>
        <v/>
      </c>
      <c r="E34" s="27">
        <f>IF(B34="","",IFERROR(IF(INDEX(Data!$I$2:$I$745,MATCH(20,Data!$B$2:$B$745,0))="","",INDEX(Data!$I$2:$I$745,MATCH(20,Data!$B$2:$B$745,0))),""))</f>
        <v/>
      </c>
      <c r="F34" s="27">
        <f>IF(B34="","",IFERROR(IF(INDEX(Data!$AJ$2:$AJ$745,MATCH(20,Data!$B$2:$B$745,0))="","",INDEX(Data!$AJ$2:$AJ$745,MATCH(20,Data!$B$2:$B$745,0))),""))</f>
        <v/>
      </c>
      <c r="G34" s="27">
        <f>IF(B34="","",TRIM(IFERROR(IF(INDEX(Data!$AF$2:$AF$745,MATCH(20,Data!$B$2:$B$745,0))="","",INDEX(Data!$AF$2:$AF$745,MATCH(20,Data!$B$2:$B$745,0))),"")&amp;" "&amp;IFERROR(IF(INDEX(Data!$AG$2:$AG$745,MATCH(20,Data!$B$2:$B$745,0))="","",INDEX(Data!$AG$2:$AG$745,MATCH(20,Data!$B$2:$B$745,0))),"")))</f>
        <v/>
      </c>
      <c r="H34" s="30">
        <f>IF(B34="","",IFERROR(IF(INDEX(Data!$N$2:$N$745,MATCH(20,Data!$B$2:$B$745,0))="","",INDEX(Data!$N$2:$N$745,MATCH(20,Data!$B$2:$B$745,0))),""))</f>
        <v/>
      </c>
      <c r="I34" s="30">
        <f>IF(B34="","",IFERROR(IF(INDEX(Data!$O$2:$O$745,MATCH(20,Data!$B$2:$B$745,0))="","",INDEX(Data!$O$2:$O$745,MATCH(20,Data!$B$2:$B$745,0))),""))</f>
        <v/>
      </c>
      <c r="J34" s="31">
        <f>IF(B34="","",IFERROR(IF(INDEX(Data!$P$2:$P$745,MATCH(20,Data!$B$2:$B$745,0))="","",INDEX(Data!$P$2:$P$745,MATCH(20,Data!$B$2:$B$745,0))),""))</f>
        <v/>
      </c>
      <c r="K34" s="32">
        <f>IF(B34="","",IFERROR(IF(INDEX(Data!$R$2:$R$745,MATCH(20,Data!$B$2:$B$745,0))="","",INDEX(Data!$R$2:$R$745,MATCH(20,Data!$B$2:$B$745,0))),""))</f>
        <v/>
      </c>
      <c r="L34" s="33">
        <f>IF(B34="","",IFERROR(IF(INDEX(Data!$S$2:$S$745,MATCH(20,Data!$B$2:$B$745,0))="","",INDEX(Data!$S$2:$S$745,MATCH(20,Data!$B$2:$B$745,0))),""))</f>
        <v/>
      </c>
      <c r="M34" s="33">
        <f>IF(B34="","",IFERROR(IF(INDEX(Data!$T$2:$T$745,MATCH(20,Data!$B$2:$B$745,0))="","",INDEX(Data!$T$2:$T$745,MATCH(20,Data!$B$2:$B$745,0))),""))</f>
        <v/>
      </c>
      <c r="N34" s="34">
        <f>IF(B34="","",IFERROR(IF(INDEX(Data!$U$2:$U$745,MATCH(20,Data!$B$2:$B$745,0))="","",INDEX(Data!$U$2:$U$745,MATCH(20,Data!$B$2:$B$745,0))),""))</f>
        <v/>
      </c>
      <c r="O34" s="33">
        <f>IF(B34="","",IFERROR(IF(INDEX(Data!$V$2:$V$745,MATCH(20,Data!$B$2:$B$745,0))="","",INDEX(Data!$V$2:$V$745,MATCH(20,Data!$B$2:$B$745,0))),""))</f>
        <v/>
      </c>
      <c r="P34" s="33">
        <f>IF(B34="","",IFERROR(IF(INDEX(Data!$M$2:$M$745,MATCH(20,Data!$B$2:$B$745,0))="","",INDEX(Data!$M$2:$M$745,MATCH(20,Data!$B$2:$B$745,0))),""))</f>
        <v/>
      </c>
      <c r="Q34" s="31">
        <f>IF(B34="","",IFERROR(IF(INDEX(Data!$AD$2:$AD$745,MATCH(20,Data!$B$2:$B$745,0))="","",INDEX(Data!$AD$2:$AD$745,MATCH(20,Data!$B$2:$B$745,0))),""))</f>
        <v/>
      </c>
      <c r="R34" s="27">
        <f>IF(B34="","",IFERROR(IF(INDEX(Data!$L$2:$L$745,MATCH(20,Data!$B$2:$B$745,0))="","",INDEX(Data!$L$2:$L$745,MATCH(20,Data!$B$2:$B$745,0))),""))</f>
        <v/>
      </c>
      <c r="AB34" t="inlineStr">
        <is>
          <t>Brooklyn Loom</t>
        </is>
      </c>
    </row>
    <row r="35" ht="62" customHeight="1">
      <c r="B35" s="27">
        <f>IF(21&lt;=COUNTIF(Data!$A$2:$A$745,TRUE),21,"")</f>
        <v/>
      </c>
      <c r="C35" s="28">
        <f>IF(B35="","",IFERROR(_xlfn.IMAGE(IFERROR(IF(INDEX(Data!$J$2:$J$745,MATCH(21,Data!$B$2:$B$745,0))="","",INDEX(Data!$J$2:$J$745,MATCH(21,Data!$B$2:$B$745,0))),"")),"IMAGE COMING SOON"))</f>
        <v/>
      </c>
      <c r="D35" s="29">
        <f>IF(B35="","",IFERROR(IF(INDEX(Data!$G$2:$G$745,MATCH(21,Data!$B$2:$B$745,0))="","",INDEX(Data!$G$2:$G$745,MATCH(21,Data!$B$2:$B$745,0))),"")&amp;CHAR(10)&amp;IFERROR(IF(INDEX(Data!$H$2:$H$745,MATCH(21,Data!$B$2:$B$745,0))="","",INDEX(Data!$H$2:$H$745,MATCH(21,Data!$B$2:$B$745,0))),""))</f>
        <v/>
      </c>
      <c r="E35" s="27">
        <f>IF(B35="","",IFERROR(IF(INDEX(Data!$I$2:$I$745,MATCH(21,Data!$B$2:$B$745,0))="","",INDEX(Data!$I$2:$I$745,MATCH(21,Data!$B$2:$B$745,0))),""))</f>
        <v/>
      </c>
      <c r="F35" s="27">
        <f>IF(B35="","",IFERROR(IF(INDEX(Data!$AJ$2:$AJ$745,MATCH(21,Data!$B$2:$B$745,0))="","",INDEX(Data!$AJ$2:$AJ$745,MATCH(21,Data!$B$2:$B$745,0))),""))</f>
        <v/>
      </c>
      <c r="G35" s="27">
        <f>IF(B35="","",TRIM(IFERROR(IF(INDEX(Data!$AF$2:$AF$745,MATCH(21,Data!$B$2:$B$745,0))="","",INDEX(Data!$AF$2:$AF$745,MATCH(21,Data!$B$2:$B$745,0))),"")&amp;" "&amp;IFERROR(IF(INDEX(Data!$AG$2:$AG$745,MATCH(21,Data!$B$2:$B$745,0))="","",INDEX(Data!$AG$2:$AG$745,MATCH(21,Data!$B$2:$B$745,0))),"")))</f>
        <v/>
      </c>
      <c r="H35" s="30">
        <f>IF(B35="","",IFERROR(IF(INDEX(Data!$N$2:$N$745,MATCH(21,Data!$B$2:$B$745,0))="","",INDEX(Data!$N$2:$N$745,MATCH(21,Data!$B$2:$B$745,0))),""))</f>
        <v/>
      </c>
      <c r="I35" s="30">
        <f>IF(B35="","",IFERROR(IF(INDEX(Data!$O$2:$O$745,MATCH(21,Data!$B$2:$B$745,0))="","",INDEX(Data!$O$2:$O$745,MATCH(21,Data!$B$2:$B$745,0))),""))</f>
        <v/>
      </c>
      <c r="J35" s="31">
        <f>IF(B35="","",IFERROR(IF(INDEX(Data!$P$2:$P$745,MATCH(21,Data!$B$2:$B$745,0))="","",INDEX(Data!$P$2:$P$745,MATCH(21,Data!$B$2:$B$745,0))),""))</f>
        <v/>
      </c>
      <c r="K35" s="32">
        <f>IF(B35="","",IFERROR(IF(INDEX(Data!$R$2:$R$745,MATCH(21,Data!$B$2:$B$745,0))="","",INDEX(Data!$R$2:$R$745,MATCH(21,Data!$B$2:$B$745,0))),""))</f>
        <v/>
      </c>
      <c r="L35" s="33">
        <f>IF(B35="","",IFERROR(IF(INDEX(Data!$S$2:$S$745,MATCH(21,Data!$B$2:$B$745,0))="","",INDEX(Data!$S$2:$S$745,MATCH(21,Data!$B$2:$B$745,0))),""))</f>
        <v/>
      </c>
      <c r="M35" s="33">
        <f>IF(B35="","",IFERROR(IF(INDEX(Data!$T$2:$T$745,MATCH(21,Data!$B$2:$B$745,0))="","",INDEX(Data!$T$2:$T$745,MATCH(21,Data!$B$2:$B$745,0))),""))</f>
        <v/>
      </c>
      <c r="N35" s="34">
        <f>IF(B35="","",IFERROR(IF(INDEX(Data!$U$2:$U$745,MATCH(21,Data!$B$2:$B$745,0))="","",INDEX(Data!$U$2:$U$745,MATCH(21,Data!$B$2:$B$745,0))),""))</f>
        <v/>
      </c>
      <c r="O35" s="33">
        <f>IF(B35="","",IFERROR(IF(INDEX(Data!$V$2:$V$745,MATCH(21,Data!$B$2:$B$745,0))="","",INDEX(Data!$V$2:$V$745,MATCH(21,Data!$B$2:$B$745,0))),""))</f>
        <v/>
      </c>
      <c r="P35" s="33">
        <f>IF(B35="","",IFERROR(IF(INDEX(Data!$M$2:$M$745,MATCH(21,Data!$B$2:$B$745,0))="","",INDEX(Data!$M$2:$M$745,MATCH(21,Data!$B$2:$B$745,0))),""))</f>
        <v/>
      </c>
      <c r="Q35" s="31">
        <f>IF(B35="","",IFERROR(IF(INDEX(Data!$AD$2:$AD$745,MATCH(21,Data!$B$2:$B$745,0))="","",INDEX(Data!$AD$2:$AD$745,MATCH(21,Data!$B$2:$B$745,0))),""))</f>
        <v/>
      </c>
      <c r="R35" s="27">
        <f>IF(B35="","",IFERROR(IF(INDEX(Data!$L$2:$L$745,MATCH(21,Data!$B$2:$B$745,0))="","",INDEX(Data!$L$2:$L$745,MATCH(21,Data!$B$2:$B$745,0))),""))</f>
        <v/>
      </c>
      <c r="AB35" t="inlineStr">
        <is>
          <t>Brookstone</t>
        </is>
      </c>
    </row>
    <row r="36" ht="62" customHeight="1">
      <c r="B36" s="27">
        <f>IF(22&lt;=COUNTIF(Data!$A$2:$A$745,TRUE),22,"")</f>
        <v/>
      </c>
      <c r="C36" s="28">
        <f>IF(B36="","",IFERROR(_xlfn.IMAGE(IFERROR(IF(INDEX(Data!$J$2:$J$745,MATCH(22,Data!$B$2:$B$745,0))="","",INDEX(Data!$J$2:$J$745,MATCH(22,Data!$B$2:$B$745,0))),"")),"IMAGE COMING SOON"))</f>
        <v/>
      </c>
      <c r="D36" s="29">
        <f>IF(B36="","",IFERROR(IF(INDEX(Data!$G$2:$G$745,MATCH(22,Data!$B$2:$B$745,0))="","",INDEX(Data!$G$2:$G$745,MATCH(22,Data!$B$2:$B$745,0))),"")&amp;CHAR(10)&amp;IFERROR(IF(INDEX(Data!$H$2:$H$745,MATCH(22,Data!$B$2:$B$745,0))="","",INDEX(Data!$H$2:$H$745,MATCH(22,Data!$B$2:$B$745,0))),""))</f>
        <v/>
      </c>
      <c r="E36" s="27">
        <f>IF(B36="","",IFERROR(IF(INDEX(Data!$I$2:$I$745,MATCH(22,Data!$B$2:$B$745,0))="","",INDEX(Data!$I$2:$I$745,MATCH(22,Data!$B$2:$B$745,0))),""))</f>
        <v/>
      </c>
      <c r="F36" s="27">
        <f>IF(B36="","",IFERROR(IF(INDEX(Data!$AJ$2:$AJ$745,MATCH(22,Data!$B$2:$B$745,0))="","",INDEX(Data!$AJ$2:$AJ$745,MATCH(22,Data!$B$2:$B$745,0))),""))</f>
        <v/>
      </c>
      <c r="G36" s="27">
        <f>IF(B36="","",TRIM(IFERROR(IF(INDEX(Data!$AF$2:$AF$745,MATCH(22,Data!$B$2:$B$745,0))="","",INDEX(Data!$AF$2:$AF$745,MATCH(22,Data!$B$2:$B$745,0))),"")&amp;" "&amp;IFERROR(IF(INDEX(Data!$AG$2:$AG$745,MATCH(22,Data!$B$2:$B$745,0))="","",INDEX(Data!$AG$2:$AG$745,MATCH(22,Data!$B$2:$B$745,0))),"")))</f>
        <v/>
      </c>
      <c r="H36" s="30">
        <f>IF(B36="","",IFERROR(IF(INDEX(Data!$N$2:$N$745,MATCH(22,Data!$B$2:$B$745,0))="","",INDEX(Data!$N$2:$N$745,MATCH(22,Data!$B$2:$B$745,0))),""))</f>
        <v/>
      </c>
      <c r="I36" s="30">
        <f>IF(B36="","",IFERROR(IF(INDEX(Data!$O$2:$O$745,MATCH(22,Data!$B$2:$B$745,0))="","",INDEX(Data!$O$2:$O$745,MATCH(22,Data!$B$2:$B$745,0))),""))</f>
        <v/>
      </c>
      <c r="J36" s="31">
        <f>IF(B36="","",IFERROR(IF(INDEX(Data!$P$2:$P$745,MATCH(22,Data!$B$2:$B$745,0))="","",INDEX(Data!$P$2:$P$745,MATCH(22,Data!$B$2:$B$745,0))),""))</f>
        <v/>
      </c>
      <c r="K36" s="32">
        <f>IF(B36="","",IFERROR(IF(INDEX(Data!$R$2:$R$745,MATCH(22,Data!$B$2:$B$745,0))="","",INDEX(Data!$R$2:$R$745,MATCH(22,Data!$B$2:$B$745,0))),""))</f>
        <v/>
      </c>
      <c r="L36" s="33">
        <f>IF(B36="","",IFERROR(IF(INDEX(Data!$S$2:$S$745,MATCH(22,Data!$B$2:$B$745,0))="","",INDEX(Data!$S$2:$S$745,MATCH(22,Data!$B$2:$B$745,0))),""))</f>
        <v/>
      </c>
      <c r="M36" s="33">
        <f>IF(B36="","",IFERROR(IF(INDEX(Data!$T$2:$T$745,MATCH(22,Data!$B$2:$B$745,0))="","",INDEX(Data!$T$2:$T$745,MATCH(22,Data!$B$2:$B$745,0))),""))</f>
        <v/>
      </c>
      <c r="N36" s="34">
        <f>IF(B36="","",IFERROR(IF(INDEX(Data!$U$2:$U$745,MATCH(22,Data!$B$2:$B$745,0))="","",INDEX(Data!$U$2:$U$745,MATCH(22,Data!$B$2:$B$745,0))),""))</f>
        <v/>
      </c>
      <c r="O36" s="33">
        <f>IF(B36="","",IFERROR(IF(INDEX(Data!$V$2:$V$745,MATCH(22,Data!$B$2:$B$745,0))="","",INDEX(Data!$V$2:$V$745,MATCH(22,Data!$B$2:$B$745,0))),""))</f>
        <v/>
      </c>
      <c r="P36" s="33">
        <f>IF(B36="","",IFERROR(IF(INDEX(Data!$M$2:$M$745,MATCH(22,Data!$B$2:$B$745,0))="","",INDEX(Data!$M$2:$M$745,MATCH(22,Data!$B$2:$B$745,0))),""))</f>
        <v/>
      </c>
      <c r="Q36" s="31">
        <f>IF(B36="","",IFERROR(IF(INDEX(Data!$AD$2:$AD$745,MATCH(22,Data!$B$2:$B$745,0))="","",INDEX(Data!$AD$2:$AD$745,MATCH(22,Data!$B$2:$B$745,0))),""))</f>
        <v/>
      </c>
      <c r="R36" s="27">
        <f>IF(B36="","",IFERROR(IF(INDEX(Data!$L$2:$L$745,MATCH(22,Data!$B$2:$B$745,0))="","",INDEX(Data!$L$2:$L$745,MATCH(22,Data!$B$2:$B$745,0))),""))</f>
        <v/>
      </c>
      <c r="AB36" t="inlineStr">
        <is>
          <t>California Design Den</t>
        </is>
      </c>
    </row>
    <row r="37" ht="62" customHeight="1">
      <c r="B37" s="27">
        <f>IF(23&lt;=COUNTIF(Data!$A$2:$A$745,TRUE),23,"")</f>
        <v/>
      </c>
      <c r="C37" s="28">
        <f>IF(B37="","",IFERROR(_xlfn.IMAGE(IFERROR(IF(INDEX(Data!$J$2:$J$745,MATCH(23,Data!$B$2:$B$745,0))="","",INDEX(Data!$J$2:$J$745,MATCH(23,Data!$B$2:$B$745,0))),"")),"IMAGE COMING SOON"))</f>
        <v/>
      </c>
      <c r="D37" s="29">
        <f>IF(B37="","",IFERROR(IF(INDEX(Data!$G$2:$G$745,MATCH(23,Data!$B$2:$B$745,0))="","",INDEX(Data!$G$2:$G$745,MATCH(23,Data!$B$2:$B$745,0))),"")&amp;CHAR(10)&amp;IFERROR(IF(INDEX(Data!$H$2:$H$745,MATCH(23,Data!$B$2:$B$745,0))="","",INDEX(Data!$H$2:$H$745,MATCH(23,Data!$B$2:$B$745,0))),""))</f>
        <v/>
      </c>
      <c r="E37" s="27">
        <f>IF(B37="","",IFERROR(IF(INDEX(Data!$I$2:$I$745,MATCH(23,Data!$B$2:$B$745,0))="","",INDEX(Data!$I$2:$I$745,MATCH(23,Data!$B$2:$B$745,0))),""))</f>
        <v/>
      </c>
      <c r="F37" s="27">
        <f>IF(B37="","",IFERROR(IF(INDEX(Data!$AJ$2:$AJ$745,MATCH(23,Data!$B$2:$B$745,0))="","",INDEX(Data!$AJ$2:$AJ$745,MATCH(23,Data!$B$2:$B$745,0))),""))</f>
        <v/>
      </c>
      <c r="G37" s="27">
        <f>IF(B37="","",TRIM(IFERROR(IF(INDEX(Data!$AF$2:$AF$745,MATCH(23,Data!$B$2:$B$745,0))="","",INDEX(Data!$AF$2:$AF$745,MATCH(23,Data!$B$2:$B$745,0))),"")&amp;" "&amp;IFERROR(IF(INDEX(Data!$AG$2:$AG$745,MATCH(23,Data!$B$2:$B$745,0))="","",INDEX(Data!$AG$2:$AG$745,MATCH(23,Data!$B$2:$B$745,0))),"")))</f>
        <v/>
      </c>
      <c r="H37" s="30">
        <f>IF(B37="","",IFERROR(IF(INDEX(Data!$N$2:$N$745,MATCH(23,Data!$B$2:$B$745,0))="","",INDEX(Data!$N$2:$N$745,MATCH(23,Data!$B$2:$B$745,0))),""))</f>
        <v/>
      </c>
      <c r="I37" s="30">
        <f>IF(B37="","",IFERROR(IF(INDEX(Data!$O$2:$O$745,MATCH(23,Data!$B$2:$B$745,0))="","",INDEX(Data!$O$2:$O$745,MATCH(23,Data!$B$2:$B$745,0))),""))</f>
        <v/>
      </c>
      <c r="J37" s="31">
        <f>IF(B37="","",IFERROR(IF(INDEX(Data!$P$2:$P$745,MATCH(23,Data!$B$2:$B$745,0))="","",INDEX(Data!$P$2:$P$745,MATCH(23,Data!$B$2:$B$745,0))),""))</f>
        <v/>
      </c>
      <c r="K37" s="32">
        <f>IF(B37="","",IFERROR(IF(INDEX(Data!$R$2:$R$745,MATCH(23,Data!$B$2:$B$745,0))="","",INDEX(Data!$R$2:$R$745,MATCH(23,Data!$B$2:$B$745,0))),""))</f>
        <v/>
      </c>
      <c r="L37" s="33">
        <f>IF(B37="","",IFERROR(IF(INDEX(Data!$S$2:$S$745,MATCH(23,Data!$B$2:$B$745,0))="","",INDEX(Data!$S$2:$S$745,MATCH(23,Data!$B$2:$B$745,0))),""))</f>
        <v/>
      </c>
      <c r="M37" s="33">
        <f>IF(B37="","",IFERROR(IF(INDEX(Data!$T$2:$T$745,MATCH(23,Data!$B$2:$B$745,0))="","",INDEX(Data!$T$2:$T$745,MATCH(23,Data!$B$2:$B$745,0))),""))</f>
        <v/>
      </c>
      <c r="N37" s="34">
        <f>IF(B37="","",IFERROR(IF(INDEX(Data!$U$2:$U$745,MATCH(23,Data!$B$2:$B$745,0))="","",INDEX(Data!$U$2:$U$745,MATCH(23,Data!$B$2:$B$745,0))),""))</f>
        <v/>
      </c>
      <c r="O37" s="33">
        <f>IF(B37="","",IFERROR(IF(INDEX(Data!$V$2:$V$745,MATCH(23,Data!$B$2:$B$745,0))="","",INDEX(Data!$V$2:$V$745,MATCH(23,Data!$B$2:$B$745,0))),""))</f>
        <v/>
      </c>
      <c r="P37" s="33">
        <f>IF(B37="","",IFERROR(IF(INDEX(Data!$M$2:$M$745,MATCH(23,Data!$B$2:$B$745,0))="","",INDEX(Data!$M$2:$M$745,MATCH(23,Data!$B$2:$B$745,0))),""))</f>
        <v/>
      </c>
      <c r="Q37" s="31">
        <f>IF(B37="","",IFERROR(IF(INDEX(Data!$AD$2:$AD$745,MATCH(23,Data!$B$2:$B$745,0))="","",INDEX(Data!$AD$2:$AD$745,MATCH(23,Data!$B$2:$B$745,0))),""))</f>
        <v/>
      </c>
      <c r="R37" s="27">
        <f>IF(B37="","",IFERROR(IF(INDEX(Data!$L$2:$L$745,MATCH(23,Data!$B$2:$B$745,0))="","",INDEX(Data!$L$2:$L$745,MATCH(23,Data!$B$2:$B$745,0))),""))</f>
        <v/>
      </c>
      <c r="AB37" t="inlineStr">
        <is>
          <t>Candoury</t>
        </is>
      </c>
    </row>
    <row r="38" ht="62" customHeight="1">
      <c r="B38" s="27">
        <f>IF(24&lt;=COUNTIF(Data!$A$2:$A$745,TRUE),24,"")</f>
        <v/>
      </c>
      <c r="C38" s="28">
        <f>IF(B38="","",IFERROR(_xlfn.IMAGE(IFERROR(IF(INDEX(Data!$J$2:$J$745,MATCH(24,Data!$B$2:$B$745,0))="","",INDEX(Data!$J$2:$J$745,MATCH(24,Data!$B$2:$B$745,0))),"")),"IMAGE COMING SOON"))</f>
        <v/>
      </c>
      <c r="D38" s="29">
        <f>IF(B38="","",IFERROR(IF(INDEX(Data!$G$2:$G$745,MATCH(24,Data!$B$2:$B$745,0))="","",INDEX(Data!$G$2:$G$745,MATCH(24,Data!$B$2:$B$745,0))),"")&amp;CHAR(10)&amp;IFERROR(IF(INDEX(Data!$H$2:$H$745,MATCH(24,Data!$B$2:$B$745,0))="","",INDEX(Data!$H$2:$H$745,MATCH(24,Data!$B$2:$B$745,0))),""))</f>
        <v/>
      </c>
      <c r="E38" s="27">
        <f>IF(B38="","",IFERROR(IF(INDEX(Data!$I$2:$I$745,MATCH(24,Data!$B$2:$B$745,0))="","",INDEX(Data!$I$2:$I$745,MATCH(24,Data!$B$2:$B$745,0))),""))</f>
        <v/>
      </c>
      <c r="F38" s="27">
        <f>IF(B38="","",IFERROR(IF(INDEX(Data!$AJ$2:$AJ$745,MATCH(24,Data!$B$2:$B$745,0))="","",INDEX(Data!$AJ$2:$AJ$745,MATCH(24,Data!$B$2:$B$745,0))),""))</f>
        <v/>
      </c>
      <c r="G38" s="27">
        <f>IF(B38="","",TRIM(IFERROR(IF(INDEX(Data!$AF$2:$AF$745,MATCH(24,Data!$B$2:$B$745,0))="","",INDEX(Data!$AF$2:$AF$745,MATCH(24,Data!$B$2:$B$745,0))),"")&amp;" "&amp;IFERROR(IF(INDEX(Data!$AG$2:$AG$745,MATCH(24,Data!$B$2:$B$745,0))="","",INDEX(Data!$AG$2:$AG$745,MATCH(24,Data!$B$2:$B$745,0))),"")))</f>
        <v/>
      </c>
      <c r="H38" s="30">
        <f>IF(B38="","",IFERROR(IF(INDEX(Data!$N$2:$N$745,MATCH(24,Data!$B$2:$B$745,0))="","",INDEX(Data!$N$2:$N$745,MATCH(24,Data!$B$2:$B$745,0))),""))</f>
        <v/>
      </c>
      <c r="I38" s="30">
        <f>IF(B38="","",IFERROR(IF(INDEX(Data!$O$2:$O$745,MATCH(24,Data!$B$2:$B$745,0))="","",INDEX(Data!$O$2:$O$745,MATCH(24,Data!$B$2:$B$745,0))),""))</f>
        <v/>
      </c>
      <c r="J38" s="31">
        <f>IF(B38="","",IFERROR(IF(INDEX(Data!$P$2:$P$745,MATCH(24,Data!$B$2:$B$745,0))="","",INDEX(Data!$P$2:$P$745,MATCH(24,Data!$B$2:$B$745,0))),""))</f>
        <v/>
      </c>
      <c r="K38" s="32">
        <f>IF(B38="","",IFERROR(IF(INDEX(Data!$R$2:$R$745,MATCH(24,Data!$B$2:$B$745,0))="","",INDEX(Data!$R$2:$R$745,MATCH(24,Data!$B$2:$B$745,0))),""))</f>
        <v/>
      </c>
      <c r="L38" s="33">
        <f>IF(B38="","",IFERROR(IF(INDEX(Data!$S$2:$S$745,MATCH(24,Data!$B$2:$B$745,0))="","",INDEX(Data!$S$2:$S$745,MATCH(24,Data!$B$2:$B$745,0))),""))</f>
        <v/>
      </c>
      <c r="M38" s="33">
        <f>IF(B38="","",IFERROR(IF(INDEX(Data!$T$2:$T$745,MATCH(24,Data!$B$2:$B$745,0))="","",INDEX(Data!$T$2:$T$745,MATCH(24,Data!$B$2:$B$745,0))),""))</f>
        <v/>
      </c>
      <c r="N38" s="34">
        <f>IF(B38="","",IFERROR(IF(INDEX(Data!$U$2:$U$745,MATCH(24,Data!$B$2:$B$745,0))="","",INDEX(Data!$U$2:$U$745,MATCH(24,Data!$B$2:$B$745,0))),""))</f>
        <v/>
      </c>
      <c r="O38" s="33">
        <f>IF(B38="","",IFERROR(IF(INDEX(Data!$V$2:$V$745,MATCH(24,Data!$B$2:$B$745,0))="","",INDEX(Data!$V$2:$V$745,MATCH(24,Data!$B$2:$B$745,0))),""))</f>
        <v/>
      </c>
      <c r="P38" s="33">
        <f>IF(B38="","",IFERROR(IF(INDEX(Data!$M$2:$M$745,MATCH(24,Data!$B$2:$B$745,0))="","",INDEX(Data!$M$2:$M$745,MATCH(24,Data!$B$2:$B$745,0))),""))</f>
        <v/>
      </c>
      <c r="Q38" s="31">
        <f>IF(B38="","",IFERROR(IF(INDEX(Data!$AD$2:$AD$745,MATCH(24,Data!$B$2:$B$745,0))="","",INDEX(Data!$AD$2:$AD$745,MATCH(24,Data!$B$2:$B$745,0))),""))</f>
        <v/>
      </c>
      <c r="R38" s="27">
        <f>IF(B38="","",IFERROR(IF(INDEX(Data!$L$2:$L$745,MATCH(24,Data!$B$2:$B$745,0))="","",INDEX(Data!$L$2:$L$745,MATCH(24,Data!$B$2:$B$745,0))),""))</f>
        <v/>
      </c>
      <c r="AB38" t="inlineStr">
        <is>
          <t>Cape Comforts</t>
        </is>
      </c>
    </row>
    <row r="39" ht="62" customHeight="1">
      <c r="B39" s="27">
        <f>IF(25&lt;=COUNTIF(Data!$A$2:$A$745,TRUE),25,"")</f>
        <v/>
      </c>
      <c r="C39" s="28">
        <f>IF(B39="","",IFERROR(_xlfn.IMAGE(IFERROR(IF(INDEX(Data!$J$2:$J$745,MATCH(25,Data!$B$2:$B$745,0))="","",INDEX(Data!$J$2:$J$745,MATCH(25,Data!$B$2:$B$745,0))),"")),"IMAGE COMING SOON"))</f>
        <v/>
      </c>
      <c r="D39" s="29">
        <f>IF(B39="","",IFERROR(IF(INDEX(Data!$G$2:$G$745,MATCH(25,Data!$B$2:$B$745,0))="","",INDEX(Data!$G$2:$G$745,MATCH(25,Data!$B$2:$B$745,0))),"")&amp;CHAR(10)&amp;IFERROR(IF(INDEX(Data!$H$2:$H$745,MATCH(25,Data!$B$2:$B$745,0))="","",INDEX(Data!$H$2:$H$745,MATCH(25,Data!$B$2:$B$745,0))),""))</f>
        <v/>
      </c>
      <c r="E39" s="27">
        <f>IF(B39="","",IFERROR(IF(INDEX(Data!$I$2:$I$745,MATCH(25,Data!$B$2:$B$745,0))="","",INDEX(Data!$I$2:$I$745,MATCH(25,Data!$B$2:$B$745,0))),""))</f>
        <v/>
      </c>
      <c r="F39" s="27">
        <f>IF(B39="","",IFERROR(IF(INDEX(Data!$AJ$2:$AJ$745,MATCH(25,Data!$B$2:$B$745,0))="","",INDEX(Data!$AJ$2:$AJ$745,MATCH(25,Data!$B$2:$B$745,0))),""))</f>
        <v/>
      </c>
      <c r="G39" s="27">
        <f>IF(B39="","",TRIM(IFERROR(IF(INDEX(Data!$AF$2:$AF$745,MATCH(25,Data!$B$2:$B$745,0))="","",INDEX(Data!$AF$2:$AF$745,MATCH(25,Data!$B$2:$B$745,0))),"")&amp;" "&amp;IFERROR(IF(INDEX(Data!$AG$2:$AG$745,MATCH(25,Data!$B$2:$B$745,0))="","",INDEX(Data!$AG$2:$AG$745,MATCH(25,Data!$B$2:$B$745,0))),"")))</f>
        <v/>
      </c>
      <c r="H39" s="30">
        <f>IF(B39="","",IFERROR(IF(INDEX(Data!$N$2:$N$745,MATCH(25,Data!$B$2:$B$745,0))="","",INDEX(Data!$N$2:$N$745,MATCH(25,Data!$B$2:$B$745,0))),""))</f>
        <v/>
      </c>
      <c r="I39" s="30">
        <f>IF(B39="","",IFERROR(IF(INDEX(Data!$O$2:$O$745,MATCH(25,Data!$B$2:$B$745,0))="","",INDEX(Data!$O$2:$O$745,MATCH(25,Data!$B$2:$B$745,0))),""))</f>
        <v/>
      </c>
      <c r="J39" s="31">
        <f>IF(B39="","",IFERROR(IF(INDEX(Data!$P$2:$P$745,MATCH(25,Data!$B$2:$B$745,0))="","",INDEX(Data!$P$2:$P$745,MATCH(25,Data!$B$2:$B$745,0))),""))</f>
        <v/>
      </c>
      <c r="K39" s="32">
        <f>IF(B39="","",IFERROR(IF(INDEX(Data!$R$2:$R$745,MATCH(25,Data!$B$2:$B$745,0))="","",INDEX(Data!$R$2:$R$745,MATCH(25,Data!$B$2:$B$745,0))),""))</f>
        <v/>
      </c>
      <c r="L39" s="33">
        <f>IF(B39="","",IFERROR(IF(INDEX(Data!$S$2:$S$745,MATCH(25,Data!$B$2:$B$745,0))="","",INDEX(Data!$S$2:$S$745,MATCH(25,Data!$B$2:$B$745,0))),""))</f>
        <v/>
      </c>
      <c r="M39" s="33">
        <f>IF(B39="","",IFERROR(IF(INDEX(Data!$T$2:$T$745,MATCH(25,Data!$B$2:$B$745,0))="","",INDEX(Data!$T$2:$T$745,MATCH(25,Data!$B$2:$B$745,0))),""))</f>
        <v/>
      </c>
      <c r="N39" s="34">
        <f>IF(B39="","",IFERROR(IF(INDEX(Data!$U$2:$U$745,MATCH(25,Data!$B$2:$B$745,0))="","",INDEX(Data!$U$2:$U$745,MATCH(25,Data!$B$2:$B$745,0))),""))</f>
        <v/>
      </c>
      <c r="O39" s="33">
        <f>IF(B39="","",IFERROR(IF(INDEX(Data!$V$2:$V$745,MATCH(25,Data!$B$2:$B$745,0))="","",INDEX(Data!$V$2:$V$745,MATCH(25,Data!$B$2:$B$745,0))),""))</f>
        <v/>
      </c>
      <c r="P39" s="33">
        <f>IF(B39="","",IFERROR(IF(INDEX(Data!$M$2:$M$745,MATCH(25,Data!$B$2:$B$745,0))="","",INDEX(Data!$M$2:$M$745,MATCH(25,Data!$B$2:$B$745,0))),""))</f>
        <v/>
      </c>
      <c r="Q39" s="31">
        <f>IF(B39="","",IFERROR(IF(INDEX(Data!$AD$2:$AD$745,MATCH(25,Data!$B$2:$B$745,0))="","",INDEX(Data!$AD$2:$AD$745,MATCH(25,Data!$B$2:$B$745,0))),""))</f>
        <v/>
      </c>
      <c r="R39" s="27">
        <f>IF(B39="","",IFERROR(IF(INDEX(Data!$L$2:$L$745,MATCH(25,Data!$B$2:$B$745,0))="","",INDEX(Data!$L$2:$L$745,MATCH(25,Data!$B$2:$B$745,0))),""))</f>
        <v/>
      </c>
      <c r="AB39" t="inlineStr">
        <is>
          <t>Cariloha</t>
        </is>
      </c>
    </row>
    <row r="40" ht="62" customHeight="1">
      <c r="B40" s="27">
        <f>IF(26&lt;=COUNTIF(Data!$A$2:$A$745,TRUE),26,"")</f>
        <v/>
      </c>
      <c r="C40" s="28">
        <f>IF(B40="","",IFERROR(_xlfn.IMAGE(IFERROR(IF(INDEX(Data!$J$2:$J$745,MATCH(26,Data!$B$2:$B$745,0))="","",INDEX(Data!$J$2:$J$745,MATCH(26,Data!$B$2:$B$745,0))),"")),"IMAGE COMING SOON"))</f>
        <v/>
      </c>
      <c r="D40" s="29">
        <f>IF(B40="","",IFERROR(IF(INDEX(Data!$G$2:$G$745,MATCH(26,Data!$B$2:$B$745,0))="","",INDEX(Data!$G$2:$G$745,MATCH(26,Data!$B$2:$B$745,0))),"")&amp;CHAR(10)&amp;IFERROR(IF(INDEX(Data!$H$2:$H$745,MATCH(26,Data!$B$2:$B$745,0))="","",INDEX(Data!$H$2:$H$745,MATCH(26,Data!$B$2:$B$745,0))),""))</f>
        <v/>
      </c>
      <c r="E40" s="27">
        <f>IF(B40="","",IFERROR(IF(INDEX(Data!$I$2:$I$745,MATCH(26,Data!$B$2:$B$745,0))="","",INDEX(Data!$I$2:$I$745,MATCH(26,Data!$B$2:$B$745,0))),""))</f>
        <v/>
      </c>
      <c r="F40" s="27">
        <f>IF(B40="","",IFERROR(IF(INDEX(Data!$AJ$2:$AJ$745,MATCH(26,Data!$B$2:$B$745,0))="","",INDEX(Data!$AJ$2:$AJ$745,MATCH(26,Data!$B$2:$B$745,0))),""))</f>
        <v/>
      </c>
      <c r="G40" s="27">
        <f>IF(B40="","",TRIM(IFERROR(IF(INDEX(Data!$AF$2:$AF$745,MATCH(26,Data!$B$2:$B$745,0))="","",INDEX(Data!$AF$2:$AF$745,MATCH(26,Data!$B$2:$B$745,0))),"")&amp;" "&amp;IFERROR(IF(INDEX(Data!$AG$2:$AG$745,MATCH(26,Data!$B$2:$B$745,0))="","",INDEX(Data!$AG$2:$AG$745,MATCH(26,Data!$B$2:$B$745,0))),"")))</f>
        <v/>
      </c>
      <c r="H40" s="30">
        <f>IF(B40="","",IFERROR(IF(INDEX(Data!$N$2:$N$745,MATCH(26,Data!$B$2:$B$745,0))="","",INDEX(Data!$N$2:$N$745,MATCH(26,Data!$B$2:$B$745,0))),""))</f>
        <v/>
      </c>
      <c r="I40" s="30">
        <f>IF(B40="","",IFERROR(IF(INDEX(Data!$O$2:$O$745,MATCH(26,Data!$B$2:$B$745,0))="","",INDEX(Data!$O$2:$O$745,MATCH(26,Data!$B$2:$B$745,0))),""))</f>
        <v/>
      </c>
      <c r="J40" s="31">
        <f>IF(B40="","",IFERROR(IF(INDEX(Data!$P$2:$P$745,MATCH(26,Data!$B$2:$B$745,0))="","",INDEX(Data!$P$2:$P$745,MATCH(26,Data!$B$2:$B$745,0))),""))</f>
        <v/>
      </c>
      <c r="K40" s="32">
        <f>IF(B40="","",IFERROR(IF(INDEX(Data!$R$2:$R$745,MATCH(26,Data!$B$2:$B$745,0))="","",INDEX(Data!$R$2:$R$745,MATCH(26,Data!$B$2:$B$745,0))),""))</f>
        <v/>
      </c>
      <c r="L40" s="33">
        <f>IF(B40="","",IFERROR(IF(INDEX(Data!$S$2:$S$745,MATCH(26,Data!$B$2:$B$745,0))="","",INDEX(Data!$S$2:$S$745,MATCH(26,Data!$B$2:$B$745,0))),""))</f>
        <v/>
      </c>
      <c r="M40" s="33">
        <f>IF(B40="","",IFERROR(IF(INDEX(Data!$T$2:$T$745,MATCH(26,Data!$B$2:$B$745,0))="","",INDEX(Data!$T$2:$T$745,MATCH(26,Data!$B$2:$B$745,0))),""))</f>
        <v/>
      </c>
      <c r="N40" s="34">
        <f>IF(B40="","",IFERROR(IF(INDEX(Data!$U$2:$U$745,MATCH(26,Data!$B$2:$B$745,0))="","",INDEX(Data!$U$2:$U$745,MATCH(26,Data!$B$2:$B$745,0))),""))</f>
        <v/>
      </c>
      <c r="O40" s="33">
        <f>IF(B40="","",IFERROR(IF(INDEX(Data!$V$2:$V$745,MATCH(26,Data!$B$2:$B$745,0))="","",INDEX(Data!$V$2:$V$745,MATCH(26,Data!$B$2:$B$745,0))),""))</f>
        <v/>
      </c>
      <c r="P40" s="33">
        <f>IF(B40="","",IFERROR(IF(INDEX(Data!$M$2:$M$745,MATCH(26,Data!$B$2:$B$745,0))="","",INDEX(Data!$M$2:$M$745,MATCH(26,Data!$B$2:$B$745,0))),""))</f>
        <v/>
      </c>
      <c r="Q40" s="31">
        <f>IF(B40="","",IFERROR(IF(INDEX(Data!$AD$2:$AD$745,MATCH(26,Data!$B$2:$B$745,0))="","",INDEX(Data!$AD$2:$AD$745,MATCH(26,Data!$B$2:$B$745,0))),""))</f>
        <v/>
      </c>
      <c r="R40" s="27">
        <f>IF(B40="","",IFERROR(IF(INDEX(Data!$L$2:$L$745,MATCH(26,Data!$B$2:$B$745,0))="","",INDEX(Data!$L$2:$L$745,MATCH(26,Data!$B$2:$B$745,0))),""))</f>
        <v/>
      </c>
      <c r="AB40" t="inlineStr">
        <is>
          <t>CAROMIO</t>
        </is>
      </c>
    </row>
    <row r="41" ht="62" customHeight="1">
      <c r="B41" s="27">
        <f>IF(27&lt;=COUNTIF(Data!$A$2:$A$745,TRUE),27,"")</f>
        <v/>
      </c>
      <c r="C41" s="28">
        <f>IF(B41="","",IFERROR(_xlfn.IMAGE(IFERROR(IF(INDEX(Data!$J$2:$J$745,MATCH(27,Data!$B$2:$B$745,0))="","",INDEX(Data!$J$2:$J$745,MATCH(27,Data!$B$2:$B$745,0))),"")),"IMAGE COMING SOON"))</f>
        <v/>
      </c>
      <c r="D41" s="29">
        <f>IF(B41="","",IFERROR(IF(INDEX(Data!$G$2:$G$745,MATCH(27,Data!$B$2:$B$745,0))="","",INDEX(Data!$G$2:$G$745,MATCH(27,Data!$B$2:$B$745,0))),"")&amp;CHAR(10)&amp;IFERROR(IF(INDEX(Data!$H$2:$H$745,MATCH(27,Data!$B$2:$B$745,0))="","",INDEX(Data!$H$2:$H$745,MATCH(27,Data!$B$2:$B$745,0))),""))</f>
        <v/>
      </c>
      <c r="E41" s="27">
        <f>IF(B41="","",IFERROR(IF(INDEX(Data!$I$2:$I$745,MATCH(27,Data!$B$2:$B$745,0))="","",INDEX(Data!$I$2:$I$745,MATCH(27,Data!$B$2:$B$745,0))),""))</f>
        <v/>
      </c>
      <c r="F41" s="27">
        <f>IF(B41="","",IFERROR(IF(INDEX(Data!$AJ$2:$AJ$745,MATCH(27,Data!$B$2:$B$745,0))="","",INDEX(Data!$AJ$2:$AJ$745,MATCH(27,Data!$B$2:$B$745,0))),""))</f>
        <v/>
      </c>
      <c r="G41" s="27">
        <f>IF(B41="","",TRIM(IFERROR(IF(INDEX(Data!$AF$2:$AF$745,MATCH(27,Data!$B$2:$B$745,0))="","",INDEX(Data!$AF$2:$AF$745,MATCH(27,Data!$B$2:$B$745,0))),"")&amp;" "&amp;IFERROR(IF(INDEX(Data!$AG$2:$AG$745,MATCH(27,Data!$B$2:$B$745,0))="","",INDEX(Data!$AG$2:$AG$745,MATCH(27,Data!$B$2:$B$745,0))),"")))</f>
        <v/>
      </c>
      <c r="H41" s="30">
        <f>IF(B41="","",IFERROR(IF(INDEX(Data!$N$2:$N$745,MATCH(27,Data!$B$2:$B$745,0))="","",INDEX(Data!$N$2:$N$745,MATCH(27,Data!$B$2:$B$745,0))),""))</f>
        <v/>
      </c>
      <c r="I41" s="30">
        <f>IF(B41="","",IFERROR(IF(INDEX(Data!$O$2:$O$745,MATCH(27,Data!$B$2:$B$745,0))="","",INDEX(Data!$O$2:$O$745,MATCH(27,Data!$B$2:$B$745,0))),""))</f>
        <v/>
      </c>
      <c r="J41" s="31">
        <f>IF(B41="","",IFERROR(IF(INDEX(Data!$P$2:$P$745,MATCH(27,Data!$B$2:$B$745,0))="","",INDEX(Data!$P$2:$P$745,MATCH(27,Data!$B$2:$B$745,0))),""))</f>
        <v/>
      </c>
      <c r="K41" s="32">
        <f>IF(B41="","",IFERROR(IF(INDEX(Data!$R$2:$R$745,MATCH(27,Data!$B$2:$B$745,0))="","",INDEX(Data!$R$2:$R$745,MATCH(27,Data!$B$2:$B$745,0))),""))</f>
        <v/>
      </c>
      <c r="L41" s="33">
        <f>IF(B41="","",IFERROR(IF(INDEX(Data!$S$2:$S$745,MATCH(27,Data!$B$2:$B$745,0))="","",INDEX(Data!$S$2:$S$745,MATCH(27,Data!$B$2:$B$745,0))),""))</f>
        <v/>
      </c>
      <c r="M41" s="33">
        <f>IF(B41="","",IFERROR(IF(INDEX(Data!$T$2:$T$745,MATCH(27,Data!$B$2:$B$745,0))="","",INDEX(Data!$T$2:$T$745,MATCH(27,Data!$B$2:$B$745,0))),""))</f>
        <v/>
      </c>
      <c r="N41" s="34">
        <f>IF(B41="","",IFERROR(IF(INDEX(Data!$U$2:$U$745,MATCH(27,Data!$B$2:$B$745,0))="","",INDEX(Data!$U$2:$U$745,MATCH(27,Data!$B$2:$B$745,0))),""))</f>
        <v/>
      </c>
      <c r="O41" s="33">
        <f>IF(B41="","",IFERROR(IF(INDEX(Data!$V$2:$V$745,MATCH(27,Data!$B$2:$B$745,0))="","",INDEX(Data!$V$2:$V$745,MATCH(27,Data!$B$2:$B$745,0))),""))</f>
        <v/>
      </c>
      <c r="P41" s="33">
        <f>IF(B41="","",IFERROR(IF(INDEX(Data!$M$2:$M$745,MATCH(27,Data!$B$2:$B$745,0))="","",INDEX(Data!$M$2:$M$745,MATCH(27,Data!$B$2:$B$745,0))),""))</f>
        <v/>
      </c>
      <c r="Q41" s="31">
        <f>IF(B41="","",IFERROR(IF(INDEX(Data!$AD$2:$AD$745,MATCH(27,Data!$B$2:$B$745,0))="","",INDEX(Data!$AD$2:$AD$745,MATCH(27,Data!$B$2:$B$745,0))),""))</f>
        <v/>
      </c>
      <c r="R41" s="27">
        <f>IF(B41="","",IFERROR(IF(INDEX(Data!$L$2:$L$745,MATCH(27,Data!$B$2:$B$745,0))="","",INDEX(Data!$L$2:$L$745,MATCH(27,Data!$B$2:$B$745,0))),""))</f>
        <v/>
      </c>
      <c r="AB41" t="inlineStr">
        <is>
          <t>Casamollis</t>
        </is>
      </c>
    </row>
    <row r="42" ht="62" customHeight="1">
      <c r="B42" s="27">
        <f>IF(28&lt;=COUNTIF(Data!$A$2:$A$745,TRUE),28,"")</f>
        <v/>
      </c>
      <c r="C42" s="28">
        <f>IF(B42="","",IFERROR(_xlfn.IMAGE(IFERROR(IF(INDEX(Data!$J$2:$J$745,MATCH(28,Data!$B$2:$B$745,0))="","",INDEX(Data!$J$2:$J$745,MATCH(28,Data!$B$2:$B$745,0))),"")),"IMAGE COMING SOON"))</f>
        <v/>
      </c>
      <c r="D42" s="29">
        <f>IF(B42="","",IFERROR(IF(INDEX(Data!$G$2:$G$745,MATCH(28,Data!$B$2:$B$745,0))="","",INDEX(Data!$G$2:$G$745,MATCH(28,Data!$B$2:$B$745,0))),"")&amp;CHAR(10)&amp;IFERROR(IF(INDEX(Data!$H$2:$H$745,MATCH(28,Data!$B$2:$B$745,0))="","",INDEX(Data!$H$2:$H$745,MATCH(28,Data!$B$2:$B$745,0))),""))</f>
        <v/>
      </c>
      <c r="E42" s="27">
        <f>IF(B42="","",IFERROR(IF(INDEX(Data!$I$2:$I$745,MATCH(28,Data!$B$2:$B$745,0))="","",INDEX(Data!$I$2:$I$745,MATCH(28,Data!$B$2:$B$745,0))),""))</f>
        <v/>
      </c>
      <c r="F42" s="27">
        <f>IF(B42="","",IFERROR(IF(INDEX(Data!$AJ$2:$AJ$745,MATCH(28,Data!$B$2:$B$745,0))="","",INDEX(Data!$AJ$2:$AJ$745,MATCH(28,Data!$B$2:$B$745,0))),""))</f>
        <v/>
      </c>
      <c r="G42" s="27">
        <f>IF(B42="","",TRIM(IFERROR(IF(INDEX(Data!$AF$2:$AF$745,MATCH(28,Data!$B$2:$B$745,0))="","",INDEX(Data!$AF$2:$AF$745,MATCH(28,Data!$B$2:$B$745,0))),"")&amp;" "&amp;IFERROR(IF(INDEX(Data!$AG$2:$AG$745,MATCH(28,Data!$B$2:$B$745,0))="","",INDEX(Data!$AG$2:$AG$745,MATCH(28,Data!$B$2:$B$745,0))),"")))</f>
        <v/>
      </c>
      <c r="H42" s="30">
        <f>IF(B42="","",IFERROR(IF(INDEX(Data!$N$2:$N$745,MATCH(28,Data!$B$2:$B$745,0))="","",INDEX(Data!$N$2:$N$745,MATCH(28,Data!$B$2:$B$745,0))),""))</f>
        <v/>
      </c>
      <c r="I42" s="30">
        <f>IF(B42="","",IFERROR(IF(INDEX(Data!$O$2:$O$745,MATCH(28,Data!$B$2:$B$745,0))="","",INDEX(Data!$O$2:$O$745,MATCH(28,Data!$B$2:$B$745,0))),""))</f>
        <v/>
      </c>
      <c r="J42" s="31">
        <f>IF(B42="","",IFERROR(IF(INDEX(Data!$P$2:$P$745,MATCH(28,Data!$B$2:$B$745,0))="","",INDEX(Data!$P$2:$P$745,MATCH(28,Data!$B$2:$B$745,0))),""))</f>
        <v/>
      </c>
      <c r="K42" s="32">
        <f>IF(B42="","",IFERROR(IF(INDEX(Data!$R$2:$R$745,MATCH(28,Data!$B$2:$B$745,0))="","",INDEX(Data!$R$2:$R$745,MATCH(28,Data!$B$2:$B$745,0))),""))</f>
        <v/>
      </c>
      <c r="L42" s="33">
        <f>IF(B42="","",IFERROR(IF(INDEX(Data!$S$2:$S$745,MATCH(28,Data!$B$2:$B$745,0))="","",INDEX(Data!$S$2:$S$745,MATCH(28,Data!$B$2:$B$745,0))),""))</f>
        <v/>
      </c>
      <c r="M42" s="33">
        <f>IF(B42="","",IFERROR(IF(INDEX(Data!$T$2:$T$745,MATCH(28,Data!$B$2:$B$745,0))="","",INDEX(Data!$T$2:$T$745,MATCH(28,Data!$B$2:$B$745,0))),""))</f>
        <v/>
      </c>
      <c r="N42" s="34">
        <f>IF(B42="","",IFERROR(IF(INDEX(Data!$U$2:$U$745,MATCH(28,Data!$B$2:$B$745,0))="","",INDEX(Data!$U$2:$U$745,MATCH(28,Data!$B$2:$B$745,0))),""))</f>
        <v/>
      </c>
      <c r="O42" s="33">
        <f>IF(B42="","",IFERROR(IF(INDEX(Data!$V$2:$V$745,MATCH(28,Data!$B$2:$B$745,0))="","",INDEX(Data!$V$2:$V$745,MATCH(28,Data!$B$2:$B$745,0))),""))</f>
        <v/>
      </c>
      <c r="P42" s="33">
        <f>IF(B42="","",IFERROR(IF(INDEX(Data!$M$2:$M$745,MATCH(28,Data!$B$2:$B$745,0))="","",INDEX(Data!$M$2:$M$745,MATCH(28,Data!$B$2:$B$745,0))),""))</f>
        <v/>
      </c>
      <c r="Q42" s="31">
        <f>IF(B42="","",IFERROR(IF(INDEX(Data!$AD$2:$AD$745,MATCH(28,Data!$B$2:$B$745,0))="","",INDEX(Data!$AD$2:$AD$745,MATCH(28,Data!$B$2:$B$745,0))),""))</f>
        <v/>
      </c>
      <c r="R42" s="27">
        <f>IF(B42="","",IFERROR(IF(INDEX(Data!$L$2:$L$745,MATCH(28,Data!$B$2:$B$745,0))="","",INDEX(Data!$L$2:$L$745,MATCH(28,Data!$B$2:$B$745,0))),""))</f>
        <v/>
      </c>
      <c r="AB42" t="inlineStr">
        <is>
          <t>Casbrove</t>
        </is>
      </c>
    </row>
    <row r="43" ht="62" customHeight="1">
      <c r="B43" s="27">
        <f>IF(29&lt;=COUNTIF(Data!$A$2:$A$745,TRUE),29,"")</f>
        <v/>
      </c>
      <c r="C43" s="28">
        <f>IF(B43="","",IFERROR(_xlfn.IMAGE(IFERROR(IF(INDEX(Data!$J$2:$J$745,MATCH(29,Data!$B$2:$B$745,0))="","",INDEX(Data!$J$2:$J$745,MATCH(29,Data!$B$2:$B$745,0))),"")),"IMAGE COMING SOON"))</f>
        <v/>
      </c>
      <c r="D43" s="29">
        <f>IF(B43="","",IFERROR(IF(INDEX(Data!$G$2:$G$745,MATCH(29,Data!$B$2:$B$745,0))="","",INDEX(Data!$G$2:$G$745,MATCH(29,Data!$B$2:$B$745,0))),"")&amp;CHAR(10)&amp;IFERROR(IF(INDEX(Data!$H$2:$H$745,MATCH(29,Data!$B$2:$B$745,0))="","",INDEX(Data!$H$2:$H$745,MATCH(29,Data!$B$2:$B$745,0))),""))</f>
        <v/>
      </c>
      <c r="E43" s="27">
        <f>IF(B43="","",IFERROR(IF(INDEX(Data!$I$2:$I$745,MATCH(29,Data!$B$2:$B$745,0))="","",INDEX(Data!$I$2:$I$745,MATCH(29,Data!$B$2:$B$745,0))),""))</f>
        <v/>
      </c>
      <c r="F43" s="27">
        <f>IF(B43="","",IFERROR(IF(INDEX(Data!$AJ$2:$AJ$745,MATCH(29,Data!$B$2:$B$745,0))="","",INDEX(Data!$AJ$2:$AJ$745,MATCH(29,Data!$B$2:$B$745,0))),""))</f>
        <v/>
      </c>
      <c r="G43" s="27">
        <f>IF(B43="","",TRIM(IFERROR(IF(INDEX(Data!$AF$2:$AF$745,MATCH(29,Data!$B$2:$B$745,0))="","",INDEX(Data!$AF$2:$AF$745,MATCH(29,Data!$B$2:$B$745,0))),"")&amp;" "&amp;IFERROR(IF(INDEX(Data!$AG$2:$AG$745,MATCH(29,Data!$B$2:$B$745,0))="","",INDEX(Data!$AG$2:$AG$745,MATCH(29,Data!$B$2:$B$745,0))),"")))</f>
        <v/>
      </c>
      <c r="H43" s="30">
        <f>IF(B43="","",IFERROR(IF(INDEX(Data!$N$2:$N$745,MATCH(29,Data!$B$2:$B$745,0))="","",INDEX(Data!$N$2:$N$745,MATCH(29,Data!$B$2:$B$745,0))),""))</f>
        <v/>
      </c>
      <c r="I43" s="30">
        <f>IF(B43="","",IFERROR(IF(INDEX(Data!$O$2:$O$745,MATCH(29,Data!$B$2:$B$745,0))="","",INDEX(Data!$O$2:$O$745,MATCH(29,Data!$B$2:$B$745,0))),""))</f>
        <v/>
      </c>
      <c r="J43" s="31">
        <f>IF(B43="","",IFERROR(IF(INDEX(Data!$P$2:$P$745,MATCH(29,Data!$B$2:$B$745,0))="","",INDEX(Data!$P$2:$P$745,MATCH(29,Data!$B$2:$B$745,0))),""))</f>
        <v/>
      </c>
      <c r="K43" s="32">
        <f>IF(B43="","",IFERROR(IF(INDEX(Data!$R$2:$R$745,MATCH(29,Data!$B$2:$B$745,0))="","",INDEX(Data!$R$2:$R$745,MATCH(29,Data!$B$2:$B$745,0))),""))</f>
        <v/>
      </c>
      <c r="L43" s="33">
        <f>IF(B43="","",IFERROR(IF(INDEX(Data!$S$2:$S$745,MATCH(29,Data!$B$2:$B$745,0))="","",INDEX(Data!$S$2:$S$745,MATCH(29,Data!$B$2:$B$745,0))),""))</f>
        <v/>
      </c>
      <c r="M43" s="33">
        <f>IF(B43="","",IFERROR(IF(INDEX(Data!$T$2:$T$745,MATCH(29,Data!$B$2:$B$745,0))="","",INDEX(Data!$T$2:$T$745,MATCH(29,Data!$B$2:$B$745,0))),""))</f>
        <v/>
      </c>
      <c r="N43" s="34">
        <f>IF(B43="","",IFERROR(IF(INDEX(Data!$U$2:$U$745,MATCH(29,Data!$B$2:$B$745,0))="","",INDEX(Data!$U$2:$U$745,MATCH(29,Data!$B$2:$B$745,0))),""))</f>
        <v/>
      </c>
      <c r="O43" s="33">
        <f>IF(B43="","",IFERROR(IF(INDEX(Data!$V$2:$V$745,MATCH(29,Data!$B$2:$B$745,0))="","",INDEX(Data!$V$2:$V$745,MATCH(29,Data!$B$2:$B$745,0))),""))</f>
        <v/>
      </c>
      <c r="P43" s="33">
        <f>IF(B43="","",IFERROR(IF(INDEX(Data!$M$2:$M$745,MATCH(29,Data!$B$2:$B$745,0))="","",INDEX(Data!$M$2:$M$745,MATCH(29,Data!$B$2:$B$745,0))),""))</f>
        <v/>
      </c>
      <c r="Q43" s="31">
        <f>IF(B43="","",IFERROR(IF(INDEX(Data!$AD$2:$AD$745,MATCH(29,Data!$B$2:$B$745,0))="","",INDEX(Data!$AD$2:$AD$745,MATCH(29,Data!$B$2:$B$745,0))),""))</f>
        <v/>
      </c>
      <c r="R43" s="27">
        <f>IF(B43="","",IFERROR(IF(INDEX(Data!$L$2:$L$745,MATCH(29,Data!$B$2:$B$745,0))="","",INDEX(Data!$L$2:$L$745,MATCH(29,Data!$B$2:$B$745,0))),""))</f>
        <v/>
      </c>
      <c r="AB43" t="inlineStr">
        <is>
          <t>CGK Unlimited</t>
        </is>
      </c>
    </row>
    <row r="44" ht="62" customHeight="1">
      <c r="B44" s="27">
        <f>IF(30&lt;=COUNTIF(Data!$A$2:$A$745,TRUE),30,"")</f>
        <v/>
      </c>
      <c r="C44" s="28">
        <f>IF(B44="","",IFERROR(_xlfn.IMAGE(IFERROR(IF(INDEX(Data!$J$2:$J$745,MATCH(30,Data!$B$2:$B$745,0))="","",INDEX(Data!$J$2:$J$745,MATCH(30,Data!$B$2:$B$745,0))),"")),"IMAGE COMING SOON"))</f>
        <v/>
      </c>
      <c r="D44" s="29">
        <f>IF(B44="","",IFERROR(IF(INDEX(Data!$G$2:$G$745,MATCH(30,Data!$B$2:$B$745,0))="","",INDEX(Data!$G$2:$G$745,MATCH(30,Data!$B$2:$B$745,0))),"")&amp;CHAR(10)&amp;IFERROR(IF(INDEX(Data!$H$2:$H$745,MATCH(30,Data!$B$2:$B$745,0))="","",INDEX(Data!$H$2:$H$745,MATCH(30,Data!$B$2:$B$745,0))),""))</f>
        <v/>
      </c>
      <c r="E44" s="27">
        <f>IF(B44="","",IFERROR(IF(INDEX(Data!$I$2:$I$745,MATCH(30,Data!$B$2:$B$745,0))="","",INDEX(Data!$I$2:$I$745,MATCH(30,Data!$B$2:$B$745,0))),""))</f>
        <v/>
      </c>
      <c r="F44" s="27">
        <f>IF(B44="","",IFERROR(IF(INDEX(Data!$AJ$2:$AJ$745,MATCH(30,Data!$B$2:$B$745,0))="","",INDEX(Data!$AJ$2:$AJ$745,MATCH(30,Data!$B$2:$B$745,0))),""))</f>
        <v/>
      </c>
      <c r="G44" s="27">
        <f>IF(B44="","",TRIM(IFERROR(IF(INDEX(Data!$AF$2:$AF$745,MATCH(30,Data!$B$2:$B$745,0))="","",INDEX(Data!$AF$2:$AF$745,MATCH(30,Data!$B$2:$B$745,0))),"")&amp;" "&amp;IFERROR(IF(INDEX(Data!$AG$2:$AG$745,MATCH(30,Data!$B$2:$B$745,0))="","",INDEX(Data!$AG$2:$AG$745,MATCH(30,Data!$B$2:$B$745,0))),"")))</f>
        <v/>
      </c>
      <c r="H44" s="30">
        <f>IF(B44="","",IFERROR(IF(INDEX(Data!$N$2:$N$745,MATCH(30,Data!$B$2:$B$745,0))="","",INDEX(Data!$N$2:$N$745,MATCH(30,Data!$B$2:$B$745,0))),""))</f>
        <v/>
      </c>
      <c r="I44" s="30">
        <f>IF(B44="","",IFERROR(IF(INDEX(Data!$O$2:$O$745,MATCH(30,Data!$B$2:$B$745,0))="","",INDEX(Data!$O$2:$O$745,MATCH(30,Data!$B$2:$B$745,0))),""))</f>
        <v/>
      </c>
      <c r="J44" s="31">
        <f>IF(B44="","",IFERROR(IF(INDEX(Data!$P$2:$P$745,MATCH(30,Data!$B$2:$B$745,0))="","",INDEX(Data!$P$2:$P$745,MATCH(30,Data!$B$2:$B$745,0))),""))</f>
        <v/>
      </c>
      <c r="K44" s="32">
        <f>IF(B44="","",IFERROR(IF(INDEX(Data!$R$2:$R$745,MATCH(30,Data!$B$2:$B$745,0))="","",INDEX(Data!$R$2:$R$745,MATCH(30,Data!$B$2:$B$745,0))),""))</f>
        <v/>
      </c>
      <c r="L44" s="33">
        <f>IF(B44="","",IFERROR(IF(INDEX(Data!$S$2:$S$745,MATCH(30,Data!$B$2:$B$745,0))="","",INDEX(Data!$S$2:$S$745,MATCH(30,Data!$B$2:$B$745,0))),""))</f>
        <v/>
      </c>
      <c r="M44" s="33">
        <f>IF(B44="","",IFERROR(IF(INDEX(Data!$T$2:$T$745,MATCH(30,Data!$B$2:$B$745,0))="","",INDEX(Data!$T$2:$T$745,MATCH(30,Data!$B$2:$B$745,0))),""))</f>
        <v/>
      </c>
      <c r="N44" s="34">
        <f>IF(B44="","",IFERROR(IF(INDEX(Data!$U$2:$U$745,MATCH(30,Data!$B$2:$B$745,0))="","",INDEX(Data!$U$2:$U$745,MATCH(30,Data!$B$2:$B$745,0))),""))</f>
        <v/>
      </c>
      <c r="O44" s="33">
        <f>IF(B44="","",IFERROR(IF(INDEX(Data!$V$2:$V$745,MATCH(30,Data!$B$2:$B$745,0))="","",INDEX(Data!$V$2:$V$745,MATCH(30,Data!$B$2:$B$745,0))),""))</f>
        <v/>
      </c>
      <c r="P44" s="33">
        <f>IF(B44="","",IFERROR(IF(INDEX(Data!$M$2:$M$745,MATCH(30,Data!$B$2:$B$745,0))="","",INDEX(Data!$M$2:$M$745,MATCH(30,Data!$B$2:$B$745,0))),""))</f>
        <v/>
      </c>
      <c r="Q44" s="31">
        <f>IF(B44="","",IFERROR(IF(INDEX(Data!$AD$2:$AD$745,MATCH(30,Data!$B$2:$B$745,0))="","",INDEX(Data!$AD$2:$AD$745,MATCH(30,Data!$B$2:$B$745,0))),""))</f>
        <v/>
      </c>
      <c r="R44" s="27">
        <f>IF(B44="","",IFERROR(IF(INDEX(Data!$L$2:$L$745,MATCH(30,Data!$B$2:$B$745,0))="","",INDEX(Data!$L$2:$L$745,MATCH(30,Data!$B$2:$B$745,0))),""))</f>
        <v/>
      </c>
      <c r="AB44" t="inlineStr">
        <is>
          <t>CHOSHOME</t>
        </is>
      </c>
    </row>
    <row r="45" ht="62" customHeight="1">
      <c r="B45" s="27">
        <f>IF(31&lt;=COUNTIF(Data!$A$2:$A$745,TRUE),31,"")</f>
        <v/>
      </c>
      <c r="C45" s="28">
        <f>IF(B45="","",IFERROR(_xlfn.IMAGE(IFERROR(IF(INDEX(Data!$J$2:$J$745,MATCH(31,Data!$B$2:$B$745,0))="","",INDEX(Data!$J$2:$J$745,MATCH(31,Data!$B$2:$B$745,0))),"")),"IMAGE COMING SOON"))</f>
        <v/>
      </c>
      <c r="D45" s="29">
        <f>IF(B45="","",IFERROR(IF(INDEX(Data!$G$2:$G$745,MATCH(31,Data!$B$2:$B$745,0))="","",INDEX(Data!$G$2:$G$745,MATCH(31,Data!$B$2:$B$745,0))),"")&amp;CHAR(10)&amp;IFERROR(IF(INDEX(Data!$H$2:$H$745,MATCH(31,Data!$B$2:$B$745,0))="","",INDEX(Data!$H$2:$H$745,MATCH(31,Data!$B$2:$B$745,0))),""))</f>
        <v/>
      </c>
      <c r="E45" s="27">
        <f>IF(B45="","",IFERROR(IF(INDEX(Data!$I$2:$I$745,MATCH(31,Data!$B$2:$B$745,0))="","",INDEX(Data!$I$2:$I$745,MATCH(31,Data!$B$2:$B$745,0))),""))</f>
        <v/>
      </c>
      <c r="F45" s="27">
        <f>IF(B45="","",IFERROR(IF(INDEX(Data!$AJ$2:$AJ$745,MATCH(31,Data!$B$2:$B$745,0))="","",INDEX(Data!$AJ$2:$AJ$745,MATCH(31,Data!$B$2:$B$745,0))),""))</f>
        <v/>
      </c>
      <c r="G45" s="27">
        <f>IF(B45="","",TRIM(IFERROR(IF(INDEX(Data!$AF$2:$AF$745,MATCH(31,Data!$B$2:$B$745,0))="","",INDEX(Data!$AF$2:$AF$745,MATCH(31,Data!$B$2:$B$745,0))),"")&amp;" "&amp;IFERROR(IF(INDEX(Data!$AG$2:$AG$745,MATCH(31,Data!$B$2:$B$745,0))="","",INDEX(Data!$AG$2:$AG$745,MATCH(31,Data!$B$2:$B$745,0))),"")))</f>
        <v/>
      </c>
      <c r="H45" s="30">
        <f>IF(B45="","",IFERROR(IF(INDEX(Data!$N$2:$N$745,MATCH(31,Data!$B$2:$B$745,0))="","",INDEX(Data!$N$2:$N$745,MATCH(31,Data!$B$2:$B$745,0))),""))</f>
        <v/>
      </c>
      <c r="I45" s="30">
        <f>IF(B45="","",IFERROR(IF(INDEX(Data!$O$2:$O$745,MATCH(31,Data!$B$2:$B$745,0))="","",INDEX(Data!$O$2:$O$745,MATCH(31,Data!$B$2:$B$745,0))),""))</f>
        <v/>
      </c>
      <c r="J45" s="31">
        <f>IF(B45="","",IFERROR(IF(INDEX(Data!$P$2:$P$745,MATCH(31,Data!$B$2:$B$745,0))="","",INDEX(Data!$P$2:$P$745,MATCH(31,Data!$B$2:$B$745,0))),""))</f>
        <v/>
      </c>
      <c r="K45" s="32">
        <f>IF(B45="","",IFERROR(IF(INDEX(Data!$R$2:$R$745,MATCH(31,Data!$B$2:$B$745,0))="","",INDEX(Data!$R$2:$R$745,MATCH(31,Data!$B$2:$B$745,0))),""))</f>
        <v/>
      </c>
      <c r="L45" s="33">
        <f>IF(B45="","",IFERROR(IF(INDEX(Data!$S$2:$S$745,MATCH(31,Data!$B$2:$B$745,0))="","",INDEX(Data!$S$2:$S$745,MATCH(31,Data!$B$2:$B$745,0))),""))</f>
        <v/>
      </c>
      <c r="M45" s="33">
        <f>IF(B45="","",IFERROR(IF(INDEX(Data!$T$2:$T$745,MATCH(31,Data!$B$2:$B$745,0))="","",INDEX(Data!$T$2:$T$745,MATCH(31,Data!$B$2:$B$745,0))),""))</f>
        <v/>
      </c>
      <c r="N45" s="34">
        <f>IF(B45="","",IFERROR(IF(INDEX(Data!$U$2:$U$745,MATCH(31,Data!$B$2:$B$745,0))="","",INDEX(Data!$U$2:$U$745,MATCH(31,Data!$B$2:$B$745,0))),""))</f>
        <v/>
      </c>
      <c r="O45" s="33">
        <f>IF(B45="","",IFERROR(IF(INDEX(Data!$V$2:$V$745,MATCH(31,Data!$B$2:$B$745,0))="","",INDEX(Data!$V$2:$V$745,MATCH(31,Data!$B$2:$B$745,0))),""))</f>
        <v/>
      </c>
      <c r="P45" s="33">
        <f>IF(B45="","",IFERROR(IF(INDEX(Data!$M$2:$M$745,MATCH(31,Data!$B$2:$B$745,0))="","",INDEX(Data!$M$2:$M$745,MATCH(31,Data!$B$2:$B$745,0))),""))</f>
        <v/>
      </c>
      <c r="Q45" s="31">
        <f>IF(B45="","",IFERROR(IF(INDEX(Data!$AD$2:$AD$745,MATCH(31,Data!$B$2:$B$745,0))="","",INDEX(Data!$AD$2:$AD$745,MATCH(31,Data!$B$2:$B$745,0))),""))</f>
        <v/>
      </c>
      <c r="R45" s="27">
        <f>IF(B45="","",IFERROR(IF(INDEX(Data!$L$2:$L$745,MATCH(31,Data!$B$2:$B$745,0))="","",INDEX(Data!$L$2:$L$745,MATCH(31,Data!$B$2:$B$745,0))),""))</f>
        <v/>
      </c>
      <c r="AB45" t="inlineStr">
        <is>
          <t>Cobedzy</t>
        </is>
      </c>
    </row>
    <row r="46" ht="62" customHeight="1">
      <c r="B46" s="27">
        <f>IF(32&lt;=COUNTIF(Data!$A$2:$A$745,TRUE),32,"")</f>
        <v/>
      </c>
      <c r="C46" s="28">
        <f>IF(B46="","",IFERROR(_xlfn.IMAGE(IFERROR(IF(INDEX(Data!$J$2:$J$745,MATCH(32,Data!$B$2:$B$745,0))="","",INDEX(Data!$J$2:$J$745,MATCH(32,Data!$B$2:$B$745,0))),"")),"IMAGE COMING SOON"))</f>
        <v/>
      </c>
      <c r="D46" s="29">
        <f>IF(B46="","",IFERROR(IF(INDEX(Data!$G$2:$G$745,MATCH(32,Data!$B$2:$B$745,0))="","",INDEX(Data!$G$2:$G$745,MATCH(32,Data!$B$2:$B$745,0))),"")&amp;CHAR(10)&amp;IFERROR(IF(INDEX(Data!$H$2:$H$745,MATCH(32,Data!$B$2:$B$745,0))="","",INDEX(Data!$H$2:$H$745,MATCH(32,Data!$B$2:$B$745,0))),""))</f>
        <v/>
      </c>
      <c r="E46" s="27">
        <f>IF(B46="","",IFERROR(IF(INDEX(Data!$I$2:$I$745,MATCH(32,Data!$B$2:$B$745,0))="","",INDEX(Data!$I$2:$I$745,MATCH(32,Data!$B$2:$B$745,0))),""))</f>
        <v/>
      </c>
      <c r="F46" s="27">
        <f>IF(B46="","",IFERROR(IF(INDEX(Data!$AJ$2:$AJ$745,MATCH(32,Data!$B$2:$B$745,0))="","",INDEX(Data!$AJ$2:$AJ$745,MATCH(32,Data!$B$2:$B$745,0))),""))</f>
        <v/>
      </c>
      <c r="G46" s="27">
        <f>IF(B46="","",TRIM(IFERROR(IF(INDEX(Data!$AF$2:$AF$745,MATCH(32,Data!$B$2:$B$745,0))="","",INDEX(Data!$AF$2:$AF$745,MATCH(32,Data!$B$2:$B$745,0))),"")&amp;" "&amp;IFERROR(IF(INDEX(Data!$AG$2:$AG$745,MATCH(32,Data!$B$2:$B$745,0))="","",INDEX(Data!$AG$2:$AG$745,MATCH(32,Data!$B$2:$B$745,0))),"")))</f>
        <v/>
      </c>
      <c r="H46" s="30">
        <f>IF(B46="","",IFERROR(IF(INDEX(Data!$N$2:$N$745,MATCH(32,Data!$B$2:$B$745,0))="","",INDEX(Data!$N$2:$N$745,MATCH(32,Data!$B$2:$B$745,0))),""))</f>
        <v/>
      </c>
      <c r="I46" s="30">
        <f>IF(B46="","",IFERROR(IF(INDEX(Data!$O$2:$O$745,MATCH(32,Data!$B$2:$B$745,0))="","",INDEX(Data!$O$2:$O$745,MATCH(32,Data!$B$2:$B$745,0))),""))</f>
        <v/>
      </c>
      <c r="J46" s="31">
        <f>IF(B46="","",IFERROR(IF(INDEX(Data!$P$2:$P$745,MATCH(32,Data!$B$2:$B$745,0))="","",INDEX(Data!$P$2:$P$745,MATCH(32,Data!$B$2:$B$745,0))),""))</f>
        <v/>
      </c>
      <c r="K46" s="32">
        <f>IF(B46="","",IFERROR(IF(INDEX(Data!$R$2:$R$745,MATCH(32,Data!$B$2:$B$745,0))="","",INDEX(Data!$R$2:$R$745,MATCH(32,Data!$B$2:$B$745,0))),""))</f>
        <v/>
      </c>
      <c r="L46" s="33">
        <f>IF(B46="","",IFERROR(IF(INDEX(Data!$S$2:$S$745,MATCH(32,Data!$B$2:$B$745,0))="","",INDEX(Data!$S$2:$S$745,MATCH(32,Data!$B$2:$B$745,0))),""))</f>
        <v/>
      </c>
      <c r="M46" s="33">
        <f>IF(B46="","",IFERROR(IF(INDEX(Data!$T$2:$T$745,MATCH(32,Data!$B$2:$B$745,0))="","",INDEX(Data!$T$2:$T$745,MATCH(32,Data!$B$2:$B$745,0))),""))</f>
        <v/>
      </c>
      <c r="N46" s="34">
        <f>IF(B46="","",IFERROR(IF(INDEX(Data!$U$2:$U$745,MATCH(32,Data!$B$2:$B$745,0))="","",INDEX(Data!$U$2:$U$745,MATCH(32,Data!$B$2:$B$745,0))),""))</f>
        <v/>
      </c>
      <c r="O46" s="33">
        <f>IF(B46="","",IFERROR(IF(INDEX(Data!$V$2:$V$745,MATCH(32,Data!$B$2:$B$745,0))="","",INDEX(Data!$V$2:$V$745,MATCH(32,Data!$B$2:$B$745,0))),""))</f>
        <v/>
      </c>
      <c r="P46" s="33">
        <f>IF(B46="","",IFERROR(IF(INDEX(Data!$M$2:$M$745,MATCH(32,Data!$B$2:$B$745,0))="","",INDEX(Data!$M$2:$M$745,MATCH(32,Data!$B$2:$B$745,0))),""))</f>
        <v/>
      </c>
      <c r="Q46" s="31">
        <f>IF(B46="","",IFERROR(IF(INDEX(Data!$AD$2:$AD$745,MATCH(32,Data!$B$2:$B$745,0))="","",INDEX(Data!$AD$2:$AD$745,MATCH(32,Data!$B$2:$B$745,0))),""))</f>
        <v/>
      </c>
      <c r="R46" s="27">
        <f>IF(B46="","",IFERROR(IF(INDEX(Data!$L$2:$L$745,MATCH(32,Data!$B$2:$B$745,0))="","",INDEX(Data!$L$2:$L$745,MATCH(32,Data!$B$2:$B$745,0))),""))</f>
        <v/>
      </c>
      <c r="AB46" t="inlineStr">
        <is>
          <t>Colorado Home Co</t>
        </is>
      </c>
    </row>
    <row r="47" ht="62" customHeight="1">
      <c r="B47" s="27">
        <f>IF(33&lt;=COUNTIF(Data!$A$2:$A$745,TRUE),33,"")</f>
        <v/>
      </c>
      <c r="C47" s="28">
        <f>IF(B47="","",IFERROR(_xlfn.IMAGE(IFERROR(IF(INDEX(Data!$J$2:$J$745,MATCH(33,Data!$B$2:$B$745,0))="","",INDEX(Data!$J$2:$J$745,MATCH(33,Data!$B$2:$B$745,0))),"")),"IMAGE COMING SOON"))</f>
        <v/>
      </c>
      <c r="D47" s="29">
        <f>IF(B47="","",IFERROR(IF(INDEX(Data!$G$2:$G$745,MATCH(33,Data!$B$2:$B$745,0))="","",INDEX(Data!$G$2:$G$745,MATCH(33,Data!$B$2:$B$745,0))),"")&amp;CHAR(10)&amp;IFERROR(IF(INDEX(Data!$H$2:$H$745,MATCH(33,Data!$B$2:$B$745,0))="","",INDEX(Data!$H$2:$H$745,MATCH(33,Data!$B$2:$B$745,0))),""))</f>
        <v/>
      </c>
      <c r="E47" s="27">
        <f>IF(B47="","",IFERROR(IF(INDEX(Data!$I$2:$I$745,MATCH(33,Data!$B$2:$B$745,0))="","",INDEX(Data!$I$2:$I$745,MATCH(33,Data!$B$2:$B$745,0))),""))</f>
        <v/>
      </c>
      <c r="F47" s="27">
        <f>IF(B47="","",IFERROR(IF(INDEX(Data!$AJ$2:$AJ$745,MATCH(33,Data!$B$2:$B$745,0))="","",INDEX(Data!$AJ$2:$AJ$745,MATCH(33,Data!$B$2:$B$745,0))),""))</f>
        <v/>
      </c>
      <c r="G47" s="27">
        <f>IF(B47="","",TRIM(IFERROR(IF(INDEX(Data!$AF$2:$AF$745,MATCH(33,Data!$B$2:$B$745,0))="","",INDEX(Data!$AF$2:$AF$745,MATCH(33,Data!$B$2:$B$745,0))),"")&amp;" "&amp;IFERROR(IF(INDEX(Data!$AG$2:$AG$745,MATCH(33,Data!$B$2:$B$745,0))="","",INDEX(Data!$AG$2:$AG$745,MATCH(33,Data!$B$2:$B$745,0))),"")))</f>
        <v/>
      </c>
      <c r="H47" s="30">
        <f>IF(B47="","",IFERROR(IF(INDEX(Data!$N$2:$N$745,MATCH(33,Data!$B$2:$B$745,0))="","",INDEX(Data!$N$2:$N$745,MATCH(33,Data!$B$2:$B$745,0))),""))</f>
        <v/>
      </c>
      <c r="I47" s="30">
        <f>IF(B47="","",IFERROR(IF(INDEX(Data!$O$2:$O$745,MATCH(33,Data!$B$2:$B$745,0))="","",INDEX(Data!$O$2:$O$745,MATCH(33,Data!$B$2:$B$745,0))),""))</f>
        <v/>
      </c>
      <c r="J47" s="31">
        <f>IF(B47="","",IFERROR(IF(INDEX(Data!$P$2:$P$745,MATCH(33,Data!$B$2:$B$745,0))="","",INDEX(Data!$P$2:$P$745,MATCH(33,Data!$B$2:$B$745,0))),""))</f>
        <v/>
      </c>
      <c r="K47" s="32">
        <f>IF(B47="","",IFERROR(IF(INDEX(Data!$R$2:$R$745,MATCH(33,Data!$B$2:$B$745,0))="","",INDEX(Data!$R$2:$R$745,MATCH(33,Data!$B$2:$B$745,0))),""))</f>
        <v/>
      </c>
      <c r="L47" s="33">
        <f>IF(B47="","",IFERROR(IF(INDEX(Data!$S$2:$S$745,MATCH(33,Data!$B$2:$B$745,0))="","",INDEX(Data!$S$2:$S$745,MATCH(33,Data!$B$2:$B$745,0))),""))</f>
        <v/>
      </c>
      <c r="M47" s="33">
        <f>IF(B47="","",IFERROR(IF(INDEX(Data!$T$2:$T$745,MATCH(33,Data!$B$2:$B$745,0))="","",INDEX(Data!$T$2:$T$745,MATCH(33,Data!$B$2:$B$745,0))),""))</f>
        <v/>
      </c>
      <c r="N47" s="34">
        <f>IF(B47="","",IFERROR(IF(INDEX(Data!$U$2:$U$745,MATCH(33,Data!$B$2:$B$745,0))="","",INDEX(Data!$U$2:$U$745,MATCH(33,Data!$B$2:$B$745,0))),""))</f>
        <v/>
      </c>
      <c r="O47" s="33">
        <f>IF(B47="","",IFERROR(IF(INDEX(Data!$V$2:$V$745,MATCH(33,Data!$B$2:$B$745,0))="","",INDEX(Data!$V$2:$V$745,MATCH(33,Data!$B$2:$B$745,0))),""))</f>
        <v/>
      </c>
      <c r="P47" s="33">
        <f>IF(B47="","",IFERROR(IF(INDEX(Data!$M$2:$M$745,MATCH(33,Data!$B$2:$B$745,0))="","",INDEX(Data!$M$2:$M$745,MATCH(33,Data!$B$2:$B$745,0))),""))</f>
        <v/>
      </c>
      <c r="Q47" s="31">
        <f>IF(B47="","",IFERROR(IF(INDEX(Data!$AD$2:$AD$745,MATCH(33,Data!$B$2:$B$745,0))="","",INDEX(Data!$AD$2:$AD$745,MATCH(33,Data!$B$2:$B$745,0))),""))</f>
        <v/>
      </c>
      <c r="R47" s="27">
        <f>IF(B47="","",IFERROR(IF(INDEX(Data!$L$2:$L$745,MATCH(33,Data!$B$2:$B$745,0))="","",INDEX(Data!$L$2:$L$745,MATCH(33,Data!$B$2:$B$745,0))),""))</f>
        <v/>
      </c>
      <c r="AB47" t="inlineStr">
        <is>
          <t>Comfort Spaces</t>
        </is>
      </c>
    </row>
    <row r="48" ht="62" customHeight="1">
      <c r="B48" s="27">
        <f>IF(34&lt;=COUNTIF(Data!$A$2:$A$745,TRUE),34,"")</f>
        <v/>
      </c>
      <c r="C48" s="28">
        <f>IF(B48="","",IFERROR(_xlfn.IMAGE(IFERROR(IF(INDEX(Data!$J$2:$J$745,MATCH(34,Data!$B$2:$B$745,0))="","",INDEX(Data!$J$2:$J$745,MATCH(34,Data!$B$2:$B$745,0))),"")),"IMAGE COMING SOON"))</f>
        <v/>
      </c>
      <c r="D48" s="29">
        <f>IF(B48="","",IFERROR(IF(INDEX(Data!$G$2:$G$745,MATCH(34,Data!$B$2:$B$745,0))="","",INDEX(Data!$G$2:$G$745,MATCH(34,Data!$B$2:$B$745,0))),"")&amp;CHAR(10)&amp;IFERROR(IF(INDEX(Data!$H$2:$H$745,MATCH(34,Data!$B$2:$B$745,0))="","",INDEX(Data!$H$2:$H$745,MATCH(34,Data!$B$2:$B$745,0))),""))</f>
        <v/>
      </c>
      <c r="E48" s="27">
        <f>IF(B48="","",IFERROR(IF(INDEX(Data!$I$2:$I$745,MATCH(34,Data!$B$2:$B$745,0))="","",INDEX(Data!$I$2:$I$745,MATCH(34,Data!$B$2:$B$745,0))),""))</f>
        <v/>
      </c>
      <c r="F48" s="27">
        <f>IF(B48="","",IFERROR(IF(INDEX(Data!$AJ$2:$AJ$745,MATCH(34,Data!$B$2:$B$745,0))="","",INDEX(Data!$AJ$2:$AJ$745,MATCH(34,Data!$B$2:$B$745,0))),""))</f>
        <v/>
      </c>
      <c r="G48" s="27">
        <f>IF(B48="","",TRIM(IFERROR(IF(INDEX(Data!$AF$2:$AF$745,MATCH(34,Data!$B$2:$B$745,0))="","",INDEX(Data!$AF$2:$AF$745,MATCH(34,Data!$B$2:$B$745,0))),"")&amp;" "&amp;IFERROR(IF(INDEX(Data!$AG$2:$AG$745,MATCH(34,Data!$B$2:$B$745,0))="","",INDEX(Data!$AG$2:$AG$745,MATCH(34,Data!$B$2:$B$745,0))),"")))</f>
        <v/>
      </c>
      <c r="H48" s="30">
        <f>IF(B48="","",IFERROR(IF(INDEX(Data!$N$2:$N$745,MATCH(34,Data!$B$2:$B$745,0))="","",INDEX(Data!$N$2:$N$745,MATCH(34,Data!$B$2:$B$745,0))),""))</f>
        <v/>
      </c>
      <c r="I48" s="30">
        <f>IF(B48="","",IFERROR(IF(INDEX(Data!$O$2:$O$745,MATCH(34,Data!$B$2:$B$745,0))="","",INDEX(Data!$O$2:$O$745,MATCH(34,Data!$B$2:$B$745,0))),""))</f>
        <v/>
      </c>
      <c r="J48" s="31">
        <f>IF(B48="","",IFERROR(IF(INDEX(Data!$P$2:$P$745,MATCH(34,Data!$B$2:$B$745,0))="","",INDEX(Data!$P$2:$P$745,MATCH(34,Data!$B$2:$B$745,0))),""))</f>
        <v/>
      </c>
      <c r="K48" s="32">
        <f>IF(B48="","",IFERROR(IF(INDEX(Data!$R$2:$R$745,MATCH(34,Data!$B$2:$B$745,0))="","",INDEX(Data!$R$2:$R$745,MATCH(34,Data!$B$2:$B$745,0))),""))</f>
        <v/>
      </c>
      <c r="L48" s="33">
        <f>IF(B48="","",IFERROR(IF(INDEX(Data!$S$2:$S$745,MATCH(34,Data!$B$2:$B$745,0))="","",INDEX(Data!$S$2:$S$745,MATCH(34,Data!$B$2:$B$745,0))),""))</f>
        <v/>
      </c>
      <c r="M48" s="33">
        <f>IF(B48="","",IFERROR(IF(INDEX(Data!$T$2:$T$745,MATCH(34,Data!$B$2:$B$745,0))="","",INDEX(Data!$T$2:$T$745,MATCH(34,Data!$B$2:$B$745,0))),""))</f>
        <v/>
      </c>
      <c r="N48" s="34">
        <f>IF(B48="","",IFERROR(IF(INDEX(Data!$U$2:$U$745,MATCH(34,Data!$B$2:$B$745,0))="","",INDEX(Data!$U$2:$U$745,MATCH(34,Data!$B$2:$B$745,0))),""))</f>
        <v/>
      </c>
      <c r="O48" s="33">
        <f>IF(B48="","",IFERROR(IF(INDEX(Data!$V$2:$V$745,MATCH(34,Data!$B$2:$B$745,0))="","",INDEX(Data!$V$2:$V$745,MATCH(34,Data!$B$2:$B$745,0))),""))</f>
        <v/>
      </c>
      <c r="P48" s="33">
        <f>IF(B48="","",IFERROR(IF(INDEX(Data!$M$2:$M$745,MATCH(34,Data!$B$2:$B$745,0))="","",INDEX(Data!$M$2:$M$745,MATCH(34,Data!$B$2:$B$745,0))),""))</f>
        <v/>
      </c>
      <c r="Q48" s="31">
        <f>IF(B48="","",IFERROR(IF(INDEX(Data!$AD$2:$AD$745,MATCH(34,Data!$B$2:$B$745,0))="","",INDEX(Data!$AD$2:$AD$745,MATCH(34,Data!$B$2:$B$745,0))),""))</f>
        <v/>
      </c>
      <c r="R48" s="27">
        <f>IF(B48="","",IFERROR(IF(INDEX(Data!$L$2:$L$745,MATCH(34,Data!$B$2:$B$745,0))="","",INDEX(Data!$L$2:$L$745,MATCH(34,Data!$B$2:$B$745,0))),""))</f>
        <v/>
      </c>
      <c r="AB48" t="inlineStr">
        <is>
          <t>comurdyo</t>
        </is>
      </c>
    </row>
    <row r="49" ht="62" customHeight="1">
      <c r="B49" s="27">
        <f>IF(35&lt;=COUNTIF(Data!$A$2:$A$745,TRUE),35,"")</f>
        <v/>
      </c>
      <c r="C49" s="28">
        <f>IF(B49="","",IFERROR(_xlfn.IMAGE(IFERROR(IF(INDEX(Data!$J$2:$J$745,MATCH(35,Data!$B$2:$B$745,0))="","",INDEX(Data!$J$2:$J$745,MATCH(35,Data!$B$2:$B$745,0))),"")),"IMAGE COMING SOON"))</f>
        <v/>
      </c>
      <c r="D49" s="29">
        <f>IF(B49="","",IFERROR(IF(INDEX(Data!$G$2:$G$745,MATCH(35,Data!$B$2:$B$745,0))="","",INDEX(Data!$G$2:$G$745,MATCH(35,Data!$B$2:$B$745,0))),"")&amp;CHAR(10)&amp;IFERROR(IF(INDEX(Data!$H$2:$H$745,MATCH(35,Data!$B$2:$B$745,0))="","",INDEX(Data!$H$2:$H$745,MATCH(35,Data!$B$2:$B$745,0))),""))</f>
        <v/>
      </c>
      <c r="E49" s="27">
        <f>IF(B49="","",IFERROR(IF(INDEX(Data!$I$2:$I$745,MATCH(35,Data!$B$2:$B$745,0))="","",INDEX(Data!$I$2:$I$745,MATCH(35,Data!$B$2:$B$745,0))),""))</f>
        <v/>
      </c>
      <c r="F49" s="27">
        <f>IF(B49="","",IFERROR(IF(INDEX(Data!$AJ$2:$AJ$745,MATCH(35,Data!$B$2:$B$745,0))="","",INDEX(Data!$AJ$2:$AJ$745,MATCH(35,Data!$B$2:$B$745,0))),""))</f>
        <v/>
      </c>
      <c r="G49" s="27">
        <f>IF(B49="","",TRIM(IFERROR(IF(INDEX(Data!$AF$2:$AF$745,MATCH(35,Data!$B$2:$B$745,0))="","",INDEX(Data!$AF$2:$AF$745,MATCH(35,Data!$B$2:$B$745,0))),"")&amp;" "&amp;IFERROR(IF(INDEX(Data!$AG$2:$AG$745,MATCH(35,Data!$B$2:$B$745,0))="","",INDEX(Data!$AG$2:$AG$745,MATCH(35,Data!$B$2:$B$745,0))),"")))</f>
        <v/>
      </c>
      <c r="H49" s="30">
        <f>IF(B49="","",IFERROR(IF(INDEX(Data!$N$2:$N$745,MATCH(35,Data!$B$2:$B$745,0))="","",INDEX(Data!$N$2:$N$745,MATCH(35,Data!$B$2:$B$745,0))),""))</f>
        <v/>
      </c>
      <c r="I49" s="30">
        <f>IF(B49="","",IFERROR(IF(INDEX(Data!$O$2:$O$745,MATCH(35,Data!$B$2:$B$745,0))="","",INDEX(Data!$O$2:$O$745,MATCH(35,Data!$B$2:$B$745,0))),""))</f>
        <v/>
      </c>
      <c r="J49" s="31">
        <f>IF(B49="","",IFERROR(IF(INDEX(Data!$P$2:$P$745,MATCH(35,Data!$B$2:$B$745,0))="","",INDEX(Data!$P$2:$P$745,MATCH(35,Data!$B$2:$B$745,0))),""))</f>
        <v/>
      </c>
      <c r="K49" s="32">
        <f>IF(B49="","",IFERROR(IF(INDEX(Data!$R$2:$R$745,MATCH(35,Data!$B$2:$B$745,0))="","",INDEX(Data!$R$2:$R$745,MATCH(35,Data!$B$2:$B$745,0))),""))</f>
        <v/>
      </c>
      <c r="L49" s="33">
        <f>IF(B49="","",IFERROR(IF(INDEX(Data!$S$2:$S$745,MATCH(35,Data!$B$2:$B$745,0))="","",INDEX(Data!$S$2:$S$745,MATCH(35,Data!$B$2:$B$745,0))),""))</f>
        <v/>
      </c>
      <c r="M49" s="33">
        <f>IF(B49="","",IFERROR(IF(INDEX(Data!$T$2:$T$745,MATCH(35,Data!$B$2:$B$745,0))="","",INDEX(Data!$T$2:$T$745,MATCH(35,Data!$B$2:$B$745,0))),""))</f>
        <v/>
      </c>
      <c r="N49" s="34">
        <f>IF(B49="","",IFERROR(IF(INDEX(Data!$U$2:$U$745,MATCH(35,Data!$B$2:$B$745,0))="","",INDEX(Data!$U$2:$U$745,MATCH(35,Data!$B$2:$B$745,0))),""))</f>
        <v/>
      </c>
      <c r="O49" s="33">
        <f>IF(B49="","",IFERROR(IF(INDEX(Data!$V$2:$V$745,MATCH(35,Data!$B$2:$B$745,0))="","",INDEX(Data!$V$2:$V$745,MATCH(35,Data!$B$2:$B$745,0))),""))</f>
        <v/>
      </c>
      <c r="P49" s="33">
        <f>IF(B49="","",IFERROR(IF(INDEX(Data!$M$2:$M$745,MATCH(35,Data!$B$2:$B$745,0))="","",INDEX(Data!$M$2:$M$745,MATCH(35,Data!$B$2:$B$745,0))),""))</f>
        <v/>
      </c>
      <c r="Q49" s="31">
        <f>IF(B49="","",IFERROR(IF(INDEX(Data!$AD$2:$AD$745,MATCH(35,Data!$B$2:$B$745,0))="","",INDEX(Data!$AD$2:$AD$745,MATCH(35,Data!$B$2:$B$745,0))),""))</f>
        <v/>
      </c>
      <c r="R49" s="27">
        <f>IF(B49="","",IFERROR(IF(INDEX(Data!$L$2:$L$745,MATCH(35,Data!$B$2:$B$745,0))="","",INDEX(Data!$L$2:$L$745,MATCH(35,Data!$B$2:$B$745,0))),""))</f>
        <v/>
      </c>
      <c r="AB49" t="inlineStr">
        <is>
          <t>Consevisen</t>
        </is>
      </c>
    </row>
    <row r="50" ht="62" customHeight="1">
      <c r="B50" s="27">
        <f>IF(36&lt;=COUNTIF(Data!$A$2:$A$745,TRUE),36,"")</f>
        <v/>
      </c>
      <c r="C50" s="28">
        <f>IF(B50="","",IFERROR(_xlfn.IMAGE(IFERROR(IF(INDEX(Data!$J$2:$J$745,MATCH(36,Data!$B$2:$B$745,0))="","",INDEX(Data!$J$2:$J$745,MATCH(36,Data!$B$2:$B$745,0))),"")),"IMAGE COMING SOON"))</f>
        <v/>
      </c>
      <c r="D50" s="29">
        <f>IF(B50="","",IFERROR(IF(INDEX(Data!$G$2:$G$745,MATCH(36,Data!$B$2:$B$745,0))="","",INDEX(Data!$G$2:$G$745,MATCH(36,Data!$B$2:$B$745,0))),"")&amp;CHAR(10)&amp;IFERROR(IF(INDEX(Data!$H$2:$H$745,MATCH(36,Data!$B$2:$B$745,0))="","",INDEX(Data!$H$2:$H$745,MATCH(36,Data!$B$2:$B$745,0))),""))</f>
        <v/>
      </c>
      <c r="E50" s="27">
        <f>IF(B50="","",IFERROR(IF(INDEX(Data!$I$2:$I$745,MATCH(36,Data!$B$2:$B$745,0))="","",INDEX(Data!$I$2:$I$745,MATCH(36,Data!$B$2:$B$745,0))),""))</f>
        <v/>
      </c>
      <c r="F50" s="27">
        <f>IF(B50="","",IFERROR(IF(INDEX(Data!$AJ$2:$AJ$745,MATCH(36,Data!$B$2:$B$745,0))="","",INDEX(Data!$AJ$2:$AJ$745,MATCH(36,Data!$B$2:$B$745,0))),""))</f>
        <v/>
      </c>
      <c r="G50" s="27">
        <f>IF(B50="","",TRIM(IFERROR(IF(INDEX(Data!$AF$2:$AF$745,MATCH(36,Data!$B$2:$B$745,0))="","",INDEX(Data!$AF$2:$AF$745,MATCH(36,Data!$B$2:$B$745,0))),"")&amp;" "&amp;IFERROR(IF(INDEX(Data!$AG$2:$AG$745,MATCH(36,Data!$B$2:$B$745,0))="","",INDEX(Data!$AG$2:$AG$745,MATCH(36,Data!$B$2:$B$745,0))),"")))</f>
        <v/>
      </c>
      <c r="H50" s="30">
        <f>IF(B50="","",IFERROR(IF(INDEX(Data!$N$2:$N$745,MATCH(36,Data!$B$2:$B$745,0))="","",INDEX(Data!$N$2:$N$745,MATCH(36,Data!$B$2:$B$745,0))),""))</f>
        <v/>
      </c>
      <c r="I50" s="30">
        <f>IF(B50="","",IFERROR(IF(INDEX(Data!$O$2:$O$745,MATCH(36,Data!$B$2:$B$745,0))="","",INDEX(Data!$O$2:$O$745,MATCH(36,Data!$B$2:$B$745,0))),""))</f>
        <v/>
      </c>
      <c r="J50" s="31">
        <f>IF(B50="","",IFERROR(IF(INDEX(Data!$P$2:$P$745,MATCH(36,Data!$B$2:$B$745,0))="","",INDEX(Data!$P$2:$P$745,MATCH(36,Data!$B$2:$B$745,0))),""))</f>
        <v/>
      </c>
      <c r="K50" s="32">
        <f>IF(B50="","",IFERROR(IF(INDEX(Data!$R$2:$R$745,MATCH(36,Data!$B$2:$B$745,0))="","",INDEX(Data!$R$2:$R$745,MATCH(36,Data!$B$2:$B$745,0))),""))</f>
        <v/>
      </c>
      <c r="L50" s="33">
        <f>IF(B50="","",IFERROR(IF(INDEX(Data!$S$2:$S$745,MATCH(36,Data!$B$2:$B$745,0))="","",INDEX(Data!$S$2:$S$745,MATCH(36,Data!$B$2:$B$745,0))),""))</f>
        <v/>
      </c>
      <c r="M50" s="33">
        <f>IF(B50="","",IFERROR(IF(INDEX(Data!$T$2:$T$745,MATCH(36,Data!$B$2:$B$745,0))="","",INDEX(Data!$T$2:$T$745,MATCH(36,Data!$B$2:$B$745,0))),""))</f>
        <v/>
      </c>
      <c r="N50" s="34">
        <f>IF(B50="","",IFERROR(IF(INDEX(Data!$U$2:$U$745,MATCH(36,Data!$B$2:$B$745,0))="","",INDEX(Data!$U$2:$U$745,MATCH(36,Data!$B$2:$B$745,0))),""))</f>
        <v/>
      </c>
      <c r="O50" s="33">
        <f>IF(B50="","",IFERROR(IF(INDEX(Data!$V$2:$V$745,MATCH(36,Data!$B$2:$B$745,0))="","",INDEX(Data!$V$2:$V$745,MATCH(36,Data!$B$2:$B$745,0))),""))</f>
        <v/>
      </c>
      <c r="P50" s="33">
        <f>IF(B50="","",IFERROR(IF(INDEX(Data!$M$2:$M$745,MATCH(36,Data!$B$2:$B$745,0))="","",INDEX(Data!$M$2:$M$745,MATCH(36,Data!$B$2:$B$745,0))),""))</f>
        <v/>
      </c>
      <c r="Q50" s="31">
        <f>IF(B50="","",IFERROR(IF(INDEX(Data!$AD$2:$AD$745,MATCH(36,Data!$B$2:$B$745,0))="","",INDEX(Data!$AD$2:$AD$745,MATCH(36,Data!$B$2:$B$745,0))),""))</f>
        <v/>
      </c>
      <c r="R50" s="27">
        <f>IF(B50="","",IFERROR(IF(INDEX(Data!$L$2:$L$745,MATCH(36,Data!$B$2:$B$745,0))="","",INDEX(Data!$L$2:$L$745,MATCH(36,Data!$B$2:$B$745,0))),""))</f>
        <v/>
      </c>
      <c r="AB50" t="inlineStr">
        <is>
          <t>Coop Home Goods</t>
        </is>
      </c>
    </row>
    <row r="51" ht="62" customHeight="1">
      <c r="B51" s="27">
        <f>IF(37&lt;=COUNTIF(Data!$A$2:$A$745,TRUE),37,"")</f>
        <v/>
      </c>
      <c r="C51" s="28">
        <f>IF(B51="","",IFERROR(_xlfn.IMAGE(IFERROR(IF(INDEX(Data!$J$2:$J$745,MATCH(37,Data!$B$2:$B$745,0))="","",INDEX(Data!$J$2:$J$745,MATCH(37,Data!$B$2:$B$745,0))),"")),"IMAGE COMING SOON"))</f>
        <v/>
      </c>
      <c r="D51" s="29">
        <f>IF(B51="","",IFERROR(IF(INDEX(Data!$G$2:$G$745,MATCH(37,Data!$B$2:$B$745,0))="","",INDEX(Data!$G$2:$G$745,MATCH(37,Data!$B$2:$B$745,0))),"")&amp;CHAR(10)&amp;IFERROR(IF(INDEX(Data!$H$2:$H$745,MATCH(37,Data!$B$2:$B$745,0))="","",INDEX(Data!$H$2:$H$745,MATCH(37,Data!$B$2:$B$745,0))),""))</f>
        <v/>
      </c>
      <c r="E51" s="27">
        <f>IF(B51="","",IFERROR(IF(INDEX(Data!$I$2:$I$745,MATCH(37,Data!$B$2:$B$745,0))="","",INDEX(Data!$I$2:$I$745,MATCH(37,Data!$B$2:$B$745,0))),""))</f>
        <v/>
      </c>
      <c r="F51" s="27">
        <f>IF(B51="","",IFERROR(IF(INDEX(Data!$AJ$2:$AJ$745,MATCH(37,Data!$B$2:$B$745,0))="","",INDEX(Data!$AJ$2:$AJ$745,MATCH(37,Data!$B$2:$B$745,0))),""))</f>
        <v/>
      </c>
      <c r="G51" s="27">
        <f>IF(B51="","",TRIM(IFERROR(IF(INDEX(Data!$AF$2:$AF$745,MATCH(37,Data!$B$2:$B$745,0))="","",INDEX(Data!$AF$2:$AF$745,MATCH(37,Data!$B$2:$B$745,0))),"")&amp;" "&amp;IFERROR(IF(INDEX(Data!$AG$2:$AG$745,MATCH(37,Data!$B$2:$B$745,0))="","",INDEX(Data!$AG$2:$AG$745,MATCH(37,Data!$B$2:$B$745,0))),"")))</f>
        <v/>
      </c>
      <c r="H51" s="30">
        <f>IF(B51="","",IFERROR(IF(INDEX(Data!$N$2:$N$745,MATCH(37,Data!$B$2:$B$745,0))="","",INDEX(Data!$N$2:$N$745,MATCH(37,Data!$B$2:$B$745,0))),""))</f>
        <v/>
      </c>
      <c r="I51" s="30">
        <f>IF(B51="","",IFERROR(IF(INDEX(Data!$O$2:$O$745,MATCH(37,Data!$B$2:$B$745,0))="","",INDEX(Data!$O$2:$O$745,MATCH(37,Data!$B$2:$B$745,0))),""))</f>
        <v/>
      </c>
      <c r="J51" s="31">
        <f>IF(B51="","",IFERROR(IF(INDEX(Data!$P$2:$P$745,MATCH(37,Data!$B$2:$B$745,0))="","",INDEX(Data!$P$2:$P$745,MATCH(37,Data!$B$2:$B$745,0))),""))</f>
        <v/>
      </c>
      <c r="K51" s="32">
        <f>IF(B51="","",IFERROR(IF(INDEX(Data!$R$2:$R$745,MATCH(37,Data!$B$2:$B$745,0))="","",INDEX(Data!$R$2:$R$745,MATCH(37,Data!$B$2:$B$745,0))),""))</f>
        <v/>
      </c>
      <c r="L51" s="33">
        <f>IF(B51="","",IFERROR(IF(INDEX(Data!$S$2:$S$745,MATCH(37,Data!$B$2:$B$745,0))="","",INDEX(Data!$S$2:$S$745,MATCH(37,Data!$B$2:$B$745,0))),""))</f>
        <v/>
      </c>
      <c r="M51" s="33">
        <f>IF(B51="","",IFERROR(IF(INDEX(Data!$T$2:$T$745,MATCH(37,Data!$B$2:$B$745,0))="","",INDEX(Data!$T$2:$T$745,MATCH(37,Data!$B$2:$B$745,0))),""))</f>
        <v/>
      </c>
      <c r="N51" s="34">
        <f>IF(B51="","",IFERROR(IF(INDEX(Data!$U$2:$U$745,MATCH(37,Data!$B$2:$B$745,0))="","",INDEX(Data!$U$2:$U$745,MATCH(37,Data!$B$2:$B$745,0))),""))</f>
        <v/>
      </c>
      <c r="O51" s="33">
        <f>IF(B51="","",IFERROR(IF(INDEX(Data!$V$2:$V$745,MATCH(37,Data!$B$2:$B$745,0))="","",INDEX(Data!$V$2:$V$745,MATCH(37,Data!$B$2:$B$745,0))),""))</f>
        <v/>
      </c>
      <c r="P51" s="33">
        <f>IF(B51="","",IFERROR(IF(INDEX(Data!$M$2:$M$745,MATCH(37,Data!$B$2:$B$745,0))="","",INDEX(Data!$M$2:$M$745,MATCH(37,Data!$B$2:$B$745,0))),""))</f>
        <v/>
      </c>
      <c r="Q51" s="31">
        <f>IF(B51="","",IFERROR(IF(INDEX(Data!$AD$2:$AD$745,MATCH(37,Data!$B$2:$B$745,0))="","",INDEX(Data!$AD$2:$AD$745,MATCH(37,Data!$B$2:$B$745,0))),""))</f>
        <v/>
      </c>
      <c r="R51" s="27">
        <f>IF(B51="","",IFERROR(IF(INDEX(Data!$L$2:$L$745,MATCH(37,Data!$B$2:$B$745,0))="","",INDEX(Data!$L$2:$L$745,MATCH(37,Data!$B$2:$B$745,0))),""))</f>
        <v/>
      </c>
      <c r="AB51" t="inlineStr">
        <is>
          <t>Cosy House Collection</t>
        </is>
      </c>
    </row>
    <row r="52" ht="62" customHeight="1">
      <c r="B52" s="27">
        <f>IF(38&lt;=COUNTIF(Data!$A$2:$A$745,TRUE),38,"")</f>
        <v/>
      </c>
      <c r="C52" s="28">
        <f>IF(B52="","",IFERROR(_xlfn.IMAGE(IFERROR(IF(INDEX(Data!$J$2:$J$745,MATCH(38,Data!$B$2:$B$745,0))="","",INDEX(Data!$J$2:$J$745,MATCH(38,Data!$B$2:$B$745,0))),"")),"IMAGE COMING SOON"))</f>
        <v/>
      </c>
      <c r="D52" s="29">
        <f>IF(B52="","",IFERROR(IF(INDEX(Data!$G$2:$G$745,MATCH(38,Data!$B$2:$B$745,0))="","",INDEX(Data!$G$2:$G$745,MATCH(38,Data!$B$2:$B$745,0))),"")&amp;CHAR(10)&amp;IFERROR(IF(INDEX(Data!$H$2:$H$745,MATCH(38,Data!$B$2:$B$745,0))="","",INDEX(Data!$H$2:$H$745,MATCH(38,Data!$B$2:$B$745,0))),""))</f>
        <v/>
      </c>
      <c r="E52" s="27">
        <f>IF(B52="","",IFERROR(IF(INDEX(Data!$I$2:$I$745,MATCH(38,Data!$B$2:$B$745,0))="","",INDEX(Data!$I$2:$I$745,MATCH(38,Data!$B$2:$B$745,0))),""))</f>
        <v/>
      </c>
      <c r="F52" s="27">
        <f>IF(B52="","",IFERROR(IF(INDEX(Data!$AJ$2:$AJ$745,MATCH(38,Data!$B$2:$B$745,0))="","",INDEX(Data!$AJ$2:$AJ$745,MATCH(38,Data!$B$2:$B$745,0))),""))</f>
        <v/>
      </c>
      <c r="G52" s="27">
        <f>IF(B52="","",TRIM(IFERROR(IF(INDEX(Data!$AF$2:$AF$745,MATCH(38,Data!$B$2:$B$745,0))="","",INDEX(Data!$AF$2:$AF$745,MATCH(38,Data!$B$2:$B$745,0))),"")&amp;" "&amp;IFERROR(IF(INDEX(Data!$AG$2:$AG$745,MATCH(38,Data!$B$2:$B$745,0))="","",INDEX(Data!$AG$2:$AG$745,MATCH(38,Data!$B$2:$B$745,0))),"")))</f>
        <v/>
      </c>
      <c r="H52" s="30">
        <f>IF(B52="","",IFERROR(IF(INDEX(Data!$N$2:$N$745,MATCH(38,Data!$B$2:$B$745,0))="","",INDEX(Data!$N$2:$N$745,MATCH(38,Data!$B$2:$B$745,0))),""))</f>
        <v/>
      </c>
      <c r="I52" s="30">
        <f>IF(B52="","",IFERROR(IF(INDEX(Data!$O$2:$O$745,MATCH(38,Data!$B$2:$B$745,0))="","",INDEX(Data!$O$2:$O$745,MATCH(38,Data!$B$2:$B$745,0))),""))</f>
        <v/>
      </c>
      <c r="J52" s="31">
        <f>IF(B52="","",IFERROR(IF(INDEX(Data!$P$2:$P$745,MATCH(38,Data!$B$2:$B$745,0))="","",INDEX(Data!$P$2:$P$745,MATCH(38,Data!$B$2:$B$745,0))),""))</f>
        <v/>
      </c>
      <c r="K52" s="32">
        <f>IF(B52="","",IFERROR(IF(INDEX(Data!$R$2:$R$745,MATCH(38,Data!$B$2:$B$745,0))="","",INDEX(Data!$R$2:$R$745,MATCH(38,Data!$B$2:$B$745,0))),""))</f>
        <v/>
      </c>
      <c r="L52" s="33">
        <f>IF(B52="","",IFERROR(IF(INDEX(Data!$S$2:$S$745,MATCH(38,Data!$B$2:$B$745,0))="","",INDEX(Data!$S$2:$S$745,MATCH(38,Data!$B$2:$B$745,0))),""))</f>
        <v/>
      </c>
      <c r="M52" s="33">
        <f>IF(B52="","",IFERROR(IF(INDEX(Data!$T$2:$T$745,MATCH(38,Data!$B$2:$B$745,0))="","",INDEX(Data!$T$2:$T$745,MATCH(38,Data!$B$2:$B$745,0))),""))</f>
        <v/>
      </c>
      <c r="N52" s="34">
        <f>IF(B52="","",IFERROR(IF(INDEX(Data!$U$2:$U$745,MATCH(38,Data!$B$2:$B$745,0))="","",INDEX(Data!$U$2:$U$745,MATCH(38,Data!$B$2:$B$745,0))),""))</f>
        <v/>
      </c>
      <c r="O52" s="33">
        <f>IF(B52="","",IFERROR(IF(INDEX(Data!$V$2:$V$745,MATCH(38,Data!$B$2:$B$745,0))="","",INDEX(Data!$V$2:$V$745,MATCH(38,Data!$B$2:$B$745,0))),""))</f>
        <v/>
      </c>
      <c r="P52" s="33">
        <f>IF(B52="","",IFERROR(IF(INDEX(Data!$M$2:$M$745,MATCH(38,Data!$B$2:$B$745,0))="","",INDEX(Data!$M$2:$M$745,MATCH(38,Data!$B$2:$B$745,0))),""))</f>
        <v/>
      </c>
      <c r="Q52" s="31">
        <f>IF(B52="","",IFERROR(IF(INDEX(Data!$AD$2:$AD$745,MATCH(38,Data!$B$2:$B$745,0))="","",INDEX(Data!$AD$2:$AD$745,MATCH(38,Data!$B$2:$B$745,0))),""))</f>
        <v/>
      </c>
      <c r="R52" s="27">
        <f>IF(B52="","",IFERROR(IF(INDEX(Data!$L$2:$L$745,MATCH(38,Data!$B$2:$B$745,0))="","",INDEX(Data!$L$2:$L$745,MATCH(38,Data!$B$2:$B$745,0))),""))</f>
        <v/>
      </c>
      <c r="AB52" t="inlineStr">
        <is>
          <t>Cozy Bliss</t>
        </is>
      </c>
    </row>
    <row r="53" ht="62" customHeight="1">
      <c r="B53" s="27">
        <f>IF(39&lt;=COUNTIF(Data!$A$2:$A$745,TRUE),39,"")</f>
        <v/>
      </c>
      <c r="C53" s="28">
        <f>IF(B53="","",IFERROR(_xlfn.IMAGE(IFERROR(IF(INDEX(Data!$J$2:$J$745,MATCH(39,Data!$B$2:$B$745,0))="","",INDEX(Data!$J$2:$J$745,MATCH(39,Data!$B$2:$B$745,0))),"")),"IMAGE COMING SOON"))</f>
        <v/>
      </c>
      <c r="D53" s="29">
        <f>IF(B53="","",IFERROR(IF(INDEX(Data!$G$2:$G$745,MATCH(39,Data!$B$2:$B$745,0))="","",INDEX(Data!$G$2:$G$745,MATCH(39,Data!$B$2:$B$745,0))),"")&amp;CHAR(10)&amp;IFERROR(IF(INDEX(Data!$H$2:$H$745,MATCH(39,Data!$B$2:$B$745,0))="","",INDEX(Data!$H$2:$H$745,MATCH(39,Data!$B$2:$B$745,0))),""))</f>
        <v/>
      </c>
      <c r="E53" s="27">
        <f>IF(B53="","",IFERROR(IF(INDEX(Data!$I$2:$I$745,MATCH(39,Data!$B$2:$B$745,0))="","",INDEX(Data!$I$2:$I$745,MATCH(39,Data!$B$2:$B$745,0))),""))</f>
        <v/>
      </c>
      <c r="F53" s="27">
        <f>IF(B53="","",IFERROR(IF(INDEX(Data!$AJ$2:$AJ$745,MATCH(39,Data!$B$2:$B$745,0))="","",INDEX(Data!$AJ$2:$AJ$745,MATCH(39,Data!$B$2:$B$745,0))),""))</f>
        <v/>
      </c>
      <c r="G53" s="27">
        <f>IF(B53="","",TRIM(IFERROR(IF(INDEX(Data!$AF$2:$AF$745,MATCH(39,Data!$B$2:$B$745,0))="","",INDEX(Data!$AF$2:$AF$745,MATCH(39,Data!$B$2:$B$745,0))),"")&amp;" "&amp;IFERROR(IF(INDEX(Data!$AG$2:$AG$745,MATCH(39,Data!$B$2:$B$745,0))="","",INDEX(Data!$AG$2:$AG$745,MATCH(39,Data!$B$2:$B$745,0))),"")))</f>
        <v/>
      </c>
      <c r="H53" s="30">
        <f>IF(B53="","",IFERROR(IF(INDEX(Data!$N$2:$N$745,MATCH(39,Data!$B$2:$B$745,0))="","",INDEX(Data!$N$2:$N$745,MATCH(39,Data!$B$2:$B$745,0))),""))</f>
        <v/>
      </c>
      <c r="I53" s="30">
        <f>IF(B53="","",IFERROR(IF(INDEX(Data!$O$2:$O$745,MATCH(39,Data!$B$2:$B$745,0))="","",INDEX(Data!$O$2:$O$745,MATCH(39,Data!$B$2:$B$745,0))),""))</f>
        <v/>
      </c>
      <c r="J53" s="31">
        <f>IF(B53="","",IFERROR(IF(INDEX(Data!$P$2:$P$745,MATCH(39,Data!$B$2:$B$745,0))="","",INDEX(Data!$P$2:$P$745,MATCH(39,Data!$B$2:$B$745,0))),""))</f>
        <v/>
      </c>
      <c r="K53" s="32">
        <f>IF(B53="","",IFERROR(IF(INDEX(Data!$R$2:$R$745,MATCH(39,Data!$B$2:$B$745,0))="","",INDEX(Data!$R$2:$R$745,MATCH(39,Data!$B$2:$B$745,0))),""))</f>
        <v/>
      </c>
      <c r="L53" s="33">
        <f>IF(B53="","",IFERROR(IF(INDEX(Data!$S$2:$S$745,MATCH(39,Data!$B$2:$B$745,0))="","",INDEX(Data!$S$2:$S$745,MATCH(39,Data!$B$2:$B$745,0))),""))</f>
        <v/>
      </c>
      <c r="M53" s="33">
        <f>IF(B53="","",IFERROR(IF(INDEX(Data!$T$2:$T$745,MATCH(39,Data!$B$2:$B$745,0))="","",INDEX(Data!$T$2:$T$745,MATCH(39,Data!$B$2:$B$745,0))),""))</f>
        <v/>
      </c>
      <c r="N53" s="34">
        <f>IF(B53="","",IFERROR(IF(INDEX(Data!$U$2:$U$745,MATCH(39,Data!$B$2:$B$745,0))="","",INDEX(Data!$U$2:$U$745,MATCH(39,Data!$B$2:$B$745,0))),""))</f>
        <v/>
      </c>
      <c r="O53" s="33">
        <f>IF(B53="","",IFERROR(IF(INDEX(Data!$V$2:$V$745,MATCH(39,Data!$B$2:$B$745,0))="","",INDEX(Data!$V$2:$V$745,MATCH(39,Data!$B$2:$B$745,0))),""))</f>
        <v/>
      </c>
      <c r="P53" s="33">
        <f>IF(B53="","",IFERROR(IF(INDEX(Data!$M$2:$M$745,MATCH(39,Data!$B$2:$B$745,0))="","",INDEX(Data!$M$2:$M$745,MATCH(39,Data!$B$2:$B$745,0))),""))</f>
        <v/>
      </c>
      <c r="Q53" s="31">
        <f>IF(B53="","",IFERROR(IF(INDEX(Data!$AD$2:$AD$745,MATCH(39,Data!$B$2:$B$745,0))="","",INDEX(Data!$AD$2:$AD$745,MATCH(39,Data!$B$2:$B$745,0))),""))</f>
        <v/>
      </c>
      <c r="R53" s="27">
        <f>IF(B53="","",IFERROR(IF(INDEX(Data!$L$2:$L$745,MATCH(39,Data!$B$2:$B$745,0))="","",INDEX(Data!$L$2:$L$745,MATCH(39,Data!$B$2:$B$745,0))),""))</f>
        <v/>
      </c>
      <c r="AB53" t="inlineStr">
        <is>
          <t>Cozy Earth</t>
        </is>
      </c>
    </row>
    <row r="54" ht="62" customHeight="1">
      <c r="B54" s="27">
        <f>IF(40&lt;=COUNTIF(Data!$A$2:$A$745,TRUE),40,"")</f>
        <v/>
      </c>
      <c r="C54" s="28">
        <f>IF(B54="","",IFERROR(_xlfn.IMAGE(IFERROR(IF(INDEX(Data!$J$2:$J$745,MATCH(40,Data!$B$2:$B$745,0))="","",INDEX(Data!$J$2:$J$745,MATCH(40,Data!$B$2:$B$745,0))),"")),"IMAGE COMING SOON"))</f>
        <v/>
      </c>
      <c r="D54" s="29">
        <f>IF(B54="","",IFERROR(IF(INDEX(Data!$G$2:$G$745,MATCH(40,Data!$B$2:$B$745,0))="","",INDEX(Data!$G$2:$G$745,MATCH(40,Data!$B$2:$B$745,0))),"")&amp;CHAR(10)&amp;IFERROR(IF(INDEX(Data!$H$2:$H$745,MATCH(40,Data!$B$2:$B$745,0))="","",INDEX(Data!$H$2:$H$745,MATCH(40,Data!$B$2:$B$745,0))),""))</f>
        <v/>
      </c>
      <c r="E54" s="27">
        <f>IF(B54="","",IFERROR(IF(INDEX(Data!$I$2:$I$745,MATCH(40,Data!$B$2:$B$745,0))="","",INDEX(Data!$I$2:$I$745,MATCH(40,Data!$B$2:$B$745,0))),""))</f>
        <v/>
      </c>
      <c r="F54" s="27">
        <f>IF(B54="","",IFERROR(IF(INDEX(Data!$AJ$2:$AJ$745,MATCH(40,Data!$B$2:$B$745,0))="","",INDEX(Data!$AJ$2:$AJ$745,MATCH(40,Data!$B$2:$B$745,0))),""))</f>
        <v/>
      </c>
      <c r="G54" s="27">
        <f>IF(B54="","",TRIM(IFERROR(IF(INDEX(Data!$AF$2:$AF$745,MATCH(40,Data!$B$2:$B$745,0))="","",INDEX(Data!$AF$2:$AF$745,MATCH(40,Data!$B$2:$B$745,0))),"")&amp;" "&amp;IFERROR(IF(INDEX(Data!$AG$2:$AG$745,MATCH(40,Data!$B$2:$B$745,0))="","",INDEX(Data!$AG$2:$AG$745,MATCH(40,Data!$B$2:$B$745,0))),"")))</f>
        <v/>
      </c>
      <c r="H54" s="30">
        <f>IF(B54="","",IFERROR(IF(INDEX(Data!$N$2:$N$745,MATCH(40,Data!$B$2:$B$745,0))="","",INDEX(Data!$N$2:$N$745,MATCH(40,Data!$B$2:$B$745,0))),""))</f>
        <v/>
      </c>
      <c r="I54" s="30">
        <f>IF(B54="","",IFERROR(IF(INDEX(Data!$O$2:$O$745,MATCH(40,Data!$B$2:$B$745,0))="","",INDEX(Data!$O$2:$O$745,MATCH(40,Data!$B$2:$B$745,0))),""))</f>
        <v/>
      </c>
      <c r="J54" s="31">
        <f>IF(B54="","",IFERROR(IF(INDEX(Data!$P$2:$P$745,MATCH(40,Data!$B$2:$B$745,0))="","",INDEX(Data!$P$2:$P$745,MATCH(40,Data!$B$2:$B$745,0))),""))</f>
        <v/>
      </c>
      <c r="K54" s="32">
        <f>IF(B54="","",IFERROR(IF(INDEX(Data!$R$2:$R$745,MATCH(40,Data!$B$2:$B$745,0))="","",INDEX(Data!$R$2:$R$745,MATCH(40,Data!$B$2:$B$745,0))),""))</f>
        <v/>
      </c>
      <c r="L54" s="33">
        <f>IF(B54="","",IFERROR(IF(INDEX(Data!$S$2:$S$745,MATCH(40,Data!$B$2:$B$745,0))="","",INDEX(Data!$S$2:$S$745,MATCH(40,Data!$B$2:$B$745,0))),""))</f>
        <v/>
      </c>
      <c r="M54" s="33">
        <f>IF(B54="","",IFERROR(IF(INDEX(Data!$T$2:$T$745,MATCH(40,Data!$B$2:$B$745,0))="","",INDEX(Data!$T$2:$T$745,MATCH(40,Data!$B$2:$B$745,0))),""))</f>
        <v/>
      </c>
      <c r="N54" s="34">
        <f>IF(B54="","",IFERROR(IF(INDEX(Data!$U$2:$U$745,MATCH(40,Data!$B$2:$B$745,0))="","",INDEX(Data!$U$2:$U$745,MATCH(40,Data!$B$2:$B$745,0))),""))</f>
        <v/>
      </c>
      <c r="O54" s="33">
        <f>IF(B54="","",IFERROR(IF(INDEX(Data!$V$2:$V$745,MATCH(40,Data!$B$2:$B$745,0))="","",INDEX(Data!$V$2:$V$745,MATCH(40,Data!$B$2:$B$745,0))),""))</f>
        <v/>
      </c>
      <c r="P54" s="33">
        <f>IF(B54="","",IFERROR(IF(INDEX(Data!$M$2:$M$745,MATCH(40,Data!$B$2:$B$745,0))="","",INDEX(Data!$M$2:$M$745,MATCH(40,Data!$B$2:$B$745,0))),""))</f>
        <v/>
      </c>
      <c r="Q54" s="31">
        <f>IF(B54="","",IFERROR(IF(INDEX(Data!$AD$2:$AD$745,MATCH(40,Data!$B$2:$B$745,0))="","",INDEX(Data!$AD$2:$AD$745,MATCH(40,Data!$B$2:$B$745,0))),""))</f>
        <v/>
      </c>
      <c r="R54" s="27">
        <f>IF(B54="","",IFERROR(IF(INDEX(Data!$L$2:$L$745,MATCH(40,Data!$B$2:$B$745,0))="","",INDEX(Data!$L$2:$L$745,MATCH(40,Data!$B$2:$B$745,0))),""))</f>
        <v/>
      </c>
      <c r="AB54" t="inlineStr">
        <is>
          <t>CozyLux</t>
        </is>
      </c>
    </row>
    <row r="55" ht="62" customHeight="1">
      <c r="B55" s="27">
        <f>IF(41&lt;=COUNTIF(Data!$A$2:$A$745,TRUE),41,"")</f>
        <v/>
      </c>
      <c r="C55" s="28">
        <f>IF(B55="","",IFERROR(_xlfn.IMAGE(IFERROR(IF(INDEX(Data!$J$2:$J$745,MATCH(41,Data!$B$2:$B$745,0))="","",INDEX(Data!$J$2:$J$745,MATCH(41,Data!$B$2:$B$745,0))),"")),"IMAGE COMING SOON"))</f>
        <v/>
      </c>
      <c r="D55" s="29">
        <f>IF(B55="","",IFERROR(IF(INDEX(Data!$G$2:$G$745,MATCH(41,Data!$B$2:$B$745,0))="","",INDEX(Data!$G$2:$G$745,MATCH(41,Data!$B$2:$B$745,0))),"")&amp;CHAR(10)&amp;IFERROR(IF(INDEX(Data!$H$2:$H$745,MATCH(41,Data!$B$2:$B$745,0))="","",INDEX(Data!$H$2:$H$745,MATCH(41,Data!$B$2:$B$745,0))),""))</f>
        <v/>
      </c>
      <c r="E55" s="27">
        <f>IF(B55="","",IFERROR(IF(INDEX(Data!$I$2:$I$745,MATCH(41,Data!$B$2:$B$745,0))="","",INDEX(Data!$I$2:$I$745,MATCH(41,Data!$B$2:$B$745,0))),""))</f>
        <v/>
      </c>
      <c r="F55" s="27">
        <f>IF(B55="","",IFERROR(IF(INDEX(Data!$AJ$2:$AJ$745,MATCH(41,Data!$B$2:$B$745,0))="","",INDEX(Data!$AJ$2:$AJ$745,MATCH(41,Data!$B$2:$B$745,0))),""))</f>
        <v/>
      </c>
      <c r="G55" s="27">
        <f>IF(B55="","",TRIM(IFERROR(IF(INDEX(Data!$AF$2:$AF$745,MATCH(41,Data!$B$2:$B$745,0))="","",INDEX(Data!$AF$2:$AF$745,MATCH(41,Data!$B$2:$B$745,0))),"")&amp;" "&amp;IFERROR(IF(INDEX(Data!$AG$2:$AG$745,MATCH(41,Data!$B$2:$B$745,0))="","",INDEX(Data!$AG$2:$AG$745,MATCH(41,Data!$B$2:$B$745,0))),"")))</f>
        <v/>
      </c>
      <c r="H55" s="30">
        <f>IF(B55="","",IFERROR(IF(INDEX(Data!$N$2:$N$745,MATCH(41,Data!$B$2:$B$745,0))="","",INDEX(Data!$N$2:$N$745,MATCH(41,Data!$B$2:$B$745,0))),""))</f>
        <v/>
      </c>
      <c r="I55" s="30">
        <f>IF(B55="","",IFERROR(IF(INDEX(Data!$O$2:$O$745,MATCH(41,Data!$B$2:$B$745,0))="","",INDEX(Data!$O$2:$O$745,MATCH(41,Data!$B$2:$B$745,0))),""))</f>
        <v/>
      </c>
      <c r="J55" s="31">
        <f>IF(B55="","",IFERROR(IF(INDEX(Data!$P$2:$P$745,MATCH(41,Data!$B$2:$B$745,0))="","",INDEX(Data!$P$2:$P$745,MATCH(41,Data!$B$2:$B$745,0))),""))</f>
        <v/>
      </c>
      <c r="K55" s="32">
        <f>IF(B55="","",IFERROR(IF(INDEX(Data!$R$2:$R$745,MATCH(41,Data!$B$2:$B$745,0))="","",INDEX(Data!$R$2:$R$745,MATCH(41,Data!$B$2:$B$745,0))),""))</f>
        <v/>
      </c>
      <c r="L55" s="33">
        <f>IF(B55="","",IFERROR(IF(INDEX(Data!$S$2:$S$745,MATCH(41,Data!$B$2:$B$745,0))="","",INDEX(Data!$S$2:$S$745,MATCH(41,Data!$B$2:$B$745,0))),""))</f>
        <v/>
      </c>
      <c r="M55" s="33">
        <f>IF(B55="","",IFERROR(IF(INDEX(Data!$T$2:$T$745,MATCH(41,Data!$B$2:$B$745,0))="","",INDEX(Data!$T$2:$T$745,MATCH(41,Data!$B$2:$B$745,0))),""))</f>
        <v/>
      </c>
      <c r="N55" s="34">
        <f>IF(B55="","",IFERROR(IF(INDEX(Data!$U$2:$U$745,MATCH(41,Data!$B$2:$B$745,0))="","",INDEX(Data!$U$2:$U$745,MATCH(41,Data!$B$2:$B$745,0))),""))</f>
        <v/>
      </c>
      <c r="O55" s="33">
        <f>IF(B55="","",IFERROR(IF(INDEX(Data!$V$2:$V$745,MATCH(41,Data!$B$2:$B$745,0))="","",INDEX(Data!$V$2:$V$745,MATCH(41,Data!$B$2:$B$745,0))),""))</f>
        <v/>
      </c>
      <c r="P55" s="33">
        <f>IF(B55="","",IFERROR(IF(INDEX(Data!$M$2:$M$745,MATCH(41,Data!$B$2:$B$745,0))="","",INDEX(Data!$M$2:$M$745,MATCH(41,Data!$B$2:$B$745,0))),""))</f>
        <v/>
      </c>
      <c r="Q55" s="31">
        <f>IF(B55="","",IFERROR(IF(INDEX(Data!$AD$2:$AD$745,MATCH(41,Data!$B$2:$B$745,0))="","",INDEX(Data!$AD$2:$AD$745,MATCH(41,Data!$B$2:$B$745,0))),""))</f>
        <v/>
      </c>
      <c r="R55" s="27">
        <f>IF(B55="","",IFERROR(IF(INDEX(Data!$L$2:$L$745,MATCH(41,Data!$B$2:$B$745,0))="","",INDEX(Data!$L$2:$L$745,MATCH(41,Data!$B$2:$B$745,0))),""))</f>
        <v/>
      </c>
      <c r="AB55" t="inlineStr">
        <is>
          <t>CUCRAF</t>
        </is>
      </c>
    </row>
    <row r="56" ht="62" customHeight="1">
      <c r="B56" s="27">
        <f>IF(42&lt;=COUNTIF(Data!$A$2:$A$745,TRUE),42,"")</f>
        <v/>
      </c>
      <c r="C56" s="28">
        <f>IF(B56="","",IFERROR(_xlfn.IMAGE(IFERROR(IF(INDEX(Data!$J$2:$J$745,MATCH(42,Data!$B$2:$B$745,0))="","",INDEX(Data!$J$2:$J$745,MATCH(42,Data!$B$2:$B$745,0))),"")),"IMAGE COMING SOON"))</f>
        <v/>
      </c>
      <c r="D56" s="29">
        <f>IF(B56="","",IFERROR(IF(INDEX(Data!$G$2:$G$745,MATCH(42,Data!$B$2:$B$745,0))="","",INDEX(Data!$G$2:$G$745,MATCH(42,Data!$B$2:$B$745,0))),"")&amp;CHAR(10)&amp;IFERROR(IF(INDEX(Data!$H$2:$H$745,MATCH(42,Data!$B$2:$B$745,0))="","",INDEX(Data!$H$2:$H$745,MATCH(42,Data!$B$2:$B$745,0))),""))</f>
        <v/>
      </c>
      <c r="E56" s="27">
        <f>IF(B56="","",IFERROR(IF(INDEX(Data!$I$2:$I$745,MATCH(42,Data!$B$2:$B$745,0))="","",INDEX(Data!$I$2:$I$745,MATCH(42,Data!$B$2:$B$745,0))),""))</f>
        <v/>
      </c>
      <c r="F56" s="27">
        <f>IF(B56="","",IFERROR(IF(INDEX(Data!$AJ$2:$AJ$745,MATCH(42,Data!$B$2:$B$745,0))="","",INDEX(Data!$AJ$2:$AJ$745,MATCH(42,Data!$B$2:$B$745,0))),""))</f>
        <v/>
      </c>
      <c r="G56" s="27">
        <f>IF(B56="","",TRIM(IFERROR(IF(INDEX(Data!$AF$2:$AF$745,MATCH(42,Data!$B$2:$B$745,0))="","",INDEX(Data!$AF$2:$AF$745,MATCH(42,Data!$B$2:$B$745,0))),"")&amp;" "&amp;IFERROR(IF(INDEX(Data!$AG$2:$AG$745,MATCH(42,Data!$B$2:$B$745,0))="","",INDEX(Data!$AG$2:$AG$745,MATCH(42,Data!$B$2:$B$745,0))),"")))</f>
        <v/>
      </c>
      <c r="H56" s="30">
        <f>IF(B56="","",IFERROR(IF(INDEX(Data!$N$2:$N$745,MATCH(42,Data!$B$2:$B$745,0))="","",INDEX(Data!$N$2:$N$745,MATCH(42,Data!$B$2:$B$745,0))),""))</f>
        <v/>
      </c>
      <c r="I56" s="30">
        <f>IF(B56="","",IFERROR(IF(INDEX(Data!$O$2:$O$745,MATCH(42,Data!$B$2:$B$745,0))="","",INDEX(Data!$O$2:$O$745,MATCH(42,Data!$B$2:$B$745,0))),""))</f>
        <v/>
      </c>
      <c r="J56" s="31">
        <f>IF(B56="","",IFERROR(IF(INDEX(Data!$P$2:$P$745,MATCH(42,Data!$B$2:$B$745,0))="","",INDEX(Data!$P$2:$P$745,MATCH(42,Data!$B$2:$B$745,0))),""))</f>
        <v/>
      </c>
      <c r="K56" s="32">
        <f>IF(B56="","",IFERROR(IF(INDEX(Data!$R$2:$R$745,MATCH(42,Data!$B$2:$B$745,0))="","",INDEX(Data!$R$2:$R$745,MATCH(42,Data!$B$2:$B$745,0))),""))</f>
        <v/>
      </c>
      <c r="L56" s="33">
        <f>IF(B56="","",IFERROR(IF(INDEX(Data!$S$2:$S$745,MATCH(42,Data!$B$2:$B$745,0))="","",INDEX(Data!$S$2:$S$745,MATCH(42,Data!$B$2:$B$745,0))),""))</f>
        <v/>
      </c>
      <c r="M56" s="33">
        <f>IF(B56="","",IFERROR(IF(INDEX(Data!$T$2:$T$745,MATCH(42,Data!$B$2:$B$745,0))="","",INDEX(Data!$T$2:$T$745,MATCH(42,Data!$B$2:$B$745,0))),""))</f>
        <v/>
      </c>
      <c r="N56" s="34">
        <f>IF(B56="","",IFERROR(IF(INDEX(Data!$U$2:$U$745,MATCH(42,Data!$B$2:$B$745,0))="","",INDEX(Data!$U$2:$U$745,MATCH(42,Data!$B$2:$B$745,0))),""))</f>
        <v/>
      </c>
      <c r="O56" s="33">
        <f>IF(B56="","",IFERROR(IF(INDEX(Data!$V$2:$V$745,MATCH(42,Data!$B$2:$B$745,0))="","",INDEX(Data!$V$2:$V$745,MATCH(42,Data!$B$2:$B$745,0))),""))</f>
        <v/>
      </c>
      <c r="P56" s="33">
        <f>IF(B56="","",IFERROR(IF(INDEX(Data!$M$2:$M$745,MATCH(42,Data!$B$2:$B$745,0))="","",INDEX(Data!$M$2:$M$745,MATCH(42,Data!$B$2:$B$745,0))),""))</f>
        <v/>
      </c>
      <c r="Q56" s="31">
        <f>IF(B56="","",IFERROR(IF(INDEX(Data!$AD$2:$AD$745,MATCH(42,Data!$B$2:$B$745,0))="","",INDEX(Data!$AD$2:$AD$745,MATCH(42,Data!$B$2:$B$745,0))),""))</f>
        <v/>
      </c>
      <c r="R56" s="27">
        <f>IF(B56="","",IFERROR(IF(INDEX(Data!$L$2:$L$745,MATCH(42,Data!$B$2:$B$745,0))="","",INDEX(Data!$L$2:$L$745,MATCH(42,Data!$B$2:$B$745,0))),""))</f>
        <v/>
      </c>
      <c r="AB56" t="inlineStr">
        <is>
          <t>David's Home</t>
        </is>
      </c>
    </row>
    <row r="57" ht="62" customHeight="1">
      <c r="B57" s="27">
        <f>IF(43&lt;=COUNTIF(Data!$A$2:$A$745,TRUE),43,"")</f>
        <v/>
      </c>
      <c r="C57" s="28">
        <f>IF(B57="","",IFERROR(_xlfn.IMAGE(IFERROR(IF(INDEX(Data!$J$2:$J$745,MATCH(43,Data!$B$2:$B$745,0))="","",INDEX(Data!$J$2:$J$745,MATCH(43,Data!$B$2:$B$745,0))),"")),"IMAGE COMING SOON"))</f>
        <v/>
      </c>
      <c r="D57" s="29">
        <f>IF(B57="","",IFERROR(IF(INDEX(Data!$G$2:$G$745,MATCH(43,Data!$B$2:$B$745,0))="","",INDEX(Data!$G$2:$G$745,MATCH(43,Data!$B$2:$B$745,0))),"")&amp;CHAR(10)&amp;IFERROR(IF(INDEX(Data!$H$2:$H$745,MATCH(43,Data!$B$2:$B$745,0))="","",INDEX(Data!$H$2:$H$745,MATCH(43,Data!$B$2:$B$745,0))),""))</f>
        <v/>
      </c>
      <c r="E57" s="27">
        <f>IF(B57="","",IFERROR(IF(INDEX(Data!$I$2:$I$745,MATCH(43,Data!$B$2:$B$745,0))="","",INDEX(Data!$I$2:$I$745,MATCH(43,Data!$B$2:$B$745,0))),""))</f>
        <v/>
      </c>
      <c r="F57" s="27">
        <f>IF(B57="","",IFERROR(IF(INDEX(Data!$AJ$2:$AJ$745,MATCH(43,Data!$B$2:$B$745,0))="","",INDEX(Data!$AJ$2:$AJ$745,MATCH(43,Data!$B$2:$B$745,0))),""))</f>
        <v/>
      </c>
      <c r="G57" s="27">
        <f>IF(B57="","",TRIM(IFERROR(IF(INDEX(Data!$AF$2:$AF$745,MATCH(43,Data!$B$2:$B$745,0))="","",INDEX(Data!$AF$2:$AF$745,MATCH(43,Data!$B$2:$B$745,0))),"")&amp;" "&amp;IFERROR(IF(INDEX(Data!$AG$2:$AG$745,MATCH(43,Data!$B$2:$B$745,0))="","",INDEX(Data!$AG$2:$AG$745,MATCH(43,Data!$B$2:$B$745,0))),"")))</f>
        <v/>
      </c>
      <c r="H57" s="30">
        <f>IF(B57="","",IFERROR(IF(INDEX(Data!$N$2:$N$745,MATCH(43,Data!$B$2:$B$745,0))="","",INDEX(Data!$N$2:$N$745,MATCH(43,Data!$B$2:$B$745,0))),""))</f>
        <v/>
      </c>
      <c r="I57" s="30">
        <f>IF(B57="","",IFERROR(IF(INDEX(Data!$O$2:$O$745,MATCH(43,Data!$B$2:$B$745,0))="","",INDEX(Data!$O$2:$O$745,MATCH(43,Data!$B$2:$B$745,0))),""))</f>
        <v/>
      </c>
      <c r="J57" s="31">
        <f>IF(B57="","",IFERROR(IF(INDEX(Data!$P$2:$P$745,MATCH(43,Data!$B$2:$B$745,0))="","",INDEX(Data!$P$2:$P$745,MATCH(43,Data!$B$2:$B$745,0))),""))</f>
        <v/>
      </c>
      <c r="K57" s="32">
        <f>IF(B57="","",IFERROR(IF(INDEX(Data!$R$2:$R$745,MATCH(43,Data!$B$2:$B$745,0))="","",INDEX(Data!$R$2:$R$745,MATCH(43,Data!$B$2:$B$745,0))),""))</f>
        <v/>
      </c>
      <c r="L57" s="33">
        <f>IF(B57="","",IFERROR(IF(INDEX(Data!$S$2:$S$745,MATCH(43,Data!$B$2:$B$745,0))="","",INDEX(Data!$S$2:$S$745,MATCH(43,Data!$B$2:$B$745,0))),""))</f>
        <v/>
      </c>
      <c r="M57" s="33">
        <f>IF(B57="","",IFERROR(IF(INDEX(Data!$T$2:$T$745,MATCH(43,Data!$B$2:$B$745,0))="","",INDEX(Data!$T$2:$T$745,MATCH(43,Data!$B$2:$B$745,0))),""))</f>
        <v/>
      </c>
      <c r="N57" s="34">
        <f>IF(B57="","",IFERROR(IF(INDEX(Data!$U$2:$U$745,MATCH(43,Data!$B$2:$B$745,0))="","",INDEX(Data!$U$2:$U$745,MATCH(43,Data!$B$2:$B$745,0))),""))</f>
        <v/>
      </c>
      <c r="O57" s="33">
        <f>IF(B57="","",IFERROR(IF(INDEX(Data!$V$2:$V$745,MATCH(43,Data!$B$2:$B$745,0))="","",INDEX(Data!$V$2:$V$745,MATCH(43,Data!$B$2:$B$745,0))),""))</f>
        <v/>
      </c>
      <c r="P57" s="33">
        <f>IF(B57="","",IFERROR(IF(INDEX(Data!$M$2:$M$745,MATCH(43,Data!$B$2:$B$745,0))="","",INDEX(Data!$M$2:$M$745,MATCH(43,Data!$B$2:$B$745,0))),""))</f>
        <v/>
      </c>
      <c r="Q57" s="31">
        <f>IF(B57="","",IFERROR(IF(INDEX(Data!$AD$2:$AD$745,MATCH(43,Data!$B$2:$B$745,0))="","",INDEX(Data!$AD$2:$AD$745,MATCH(43,Data!$B$2:$B$745,0))),""))</f>
        <v/>
      </c>
      <c r="R57" s="27">
        <f>IF(B57="","",IFERROR(IF(INDEX(Data!$L$2:$L$745,MATCH(43,Data!$B$2:$B$745,0))="","",INDEX(Data!$L$2:$L$745,MATCH(43,Data!$B$2:$B$745,0))),""))</f>
        <v/>
      </c>
      <c r="AB57" t="inlineStr">
        <is>
          <t>Davmabcjy</t>
        </is>
      </c>
    </row>
    <row r="58" ht="62" customHeight="1">
      <c r="B58" s="27">
        <f>IF(44&lt;=COUNTIF(Data!$A$2:$A$745,TRUE),44,"")</f>
        <v/>
      </c>
      <c r="C58" s="28">
        <f>IF(B58="","",IFERROR(_xlfn.IMAGE(IFERROR(IF(INDEX(Data!$J$2:$J$745,MATCH(44,Data!$B$2:$B$745,0))="","",INDEX(Data!$J$2:$J$745,MATCH(44,Data!$B$2:$B$745,0))),"")),"IMAGE COMING SOON"))</f>
        <v/>
      </c>
      <c r="D58" s="29">
        <f>IF(B58="","",IFERROR(IF(INDEX(Data!$G$2:$G$745,MATCH(44,Data!$B$2:$B$745,0))="","",INDEX(Data!$G$2:$G$745,MATCH(44,Data!$B$2:$B$745,0))),"")&amp;CHAR(10)&amp;IFERROR(IF(INDEX(Data!$H$2:$H$745,MATCH(44,Data!$B$2:$B$745,0))="","",INDEX(Data!$H$2:$H$745,MATCH(44,Data!$B$2:$B$745,0))),""))</f>
        <v/>
      </c>
      <c r="E58" s="27">
        <f>IF(B58="","",IFERROR(IF(INDEX(Data!$I$2:$I$745,MATCH(44,Data!$B$2:$B$745,0))="","",INDEX(Data!$I$2:$I$745,MATCH(44,Data!$B$2:$B$745,0))),""))</f>
        <v/>
      </c>
      <c r="F58" s="27">
        <f>IF(B58="","",IFERROR(IF(INDEX(Data!$AJ$2:$AJ$745,MATCH(44,Data!$B$2:$B$745,0))="","",INDEX(Data!$AJ$2:$AJ$745,MATCH(44,Data!$B$2:$B$745,0))),""))</f>
        <v/>
      </c>
      <c r="G58" s="27">
        <f>IF(B58="","",TRIM(IFERROR(IF(INDEX(Data!$AF$2:$AF$745,MATCH(44,Data!$B$2:$B$745,0))="","",INDEX(Data!$AF$2:$AF$745,MATCH(44,Data!$B$2:$B$745,0))),"")&amp;" "&amp;IFERROR(IF(INDEX(Data!$AG$2:$AG$745,MATCH(44,Data!$B$2:$B$745,0))="","",INDEX(Data!$AG$2:$AG$745,MATCH(44,Data!$B$2:$B$745,0))),"")))</f>
        <v/>
      </c>
      <c r="H58" s="30">
        <f>IF(B58="","",IFERROR(IF(INDEX(Data!$N$2:$N$745,MATCH(44,Data!$B$2:$B$745,0))="","",INDEX(Data!$N$2:$N$745,MATCH(44,Data!$B$2:$B$745,0))),""))</f>
        <v/>
      </c>
      <c r="I58" s="30">
        <f>IF(B58="","",IFERROR(IF(INDEX(Data!$O$2:$O$745,MATCH(44,Data!$B$2:$B$745,0))="","",INDEX(Data!$O$2:$O$745,MATCH(44,Data!$B$2:$B$745,0))),""))</f>
        <v/>
      </c>
      <c r="J58" s="31">
        <f>IF(B58="","",IFERROR(IF(INDEX(Data!$P$2:$P$745,MATCH(44,Data!$B$2:$B$745,0))="","",INDEX(Data!$P$2:$P$745,MATCH(44,Data!$B$2:$B$745,0))),""))</f>
        <v/>
      </c>
      <c r="K58" s="32">
        <f>IF(B58="","",IFERROR(IF(INDEX(Data!$R$2:$R$745,MATCH(44,Data!$B$2:$B$745,0))="","",INDEX(Data!$R$2:$R$745,MATCH(44,Data!$B$2:$B$745,0))),""))</f>
        <v/>
      </c>
      <c r="L58" s="33">
        <f>IF(B58="","",IFERROR(IF(INDEX(Data!$S$2:$S$745,MATCH(44,Data!$B$2:$B$745,0))="","",INDEX(Data!$S$2:$S$745,MATCH(44,Data!$B$2:$B$745,0))),""))</f>
        <v/>
      </c>
      <c r="M58" s="33">
        <f>IF(B58="","",IFERROR(IF(INDEX(Data!$T$2:$T$745,MATCH(44,Data!$B$2:$B$745,0))="","",INDEX(Data!$T$2:$T$745,MATCH(44,Data!$B$2:$B$745,0))),""))</f>
        <v/>
      </c>
      <c r="N58" s="34">
        <f>IF(B58="","",IFERROR(IF(INDEX(Data!$U$2:$U$745,MATCH(44,Data!$B$2:$B$745,0))="","",INDEX(Data!$U$2:$U$745,MATCH(44,Data!$B$2:$B$745,0))),""))</f>
        <v/>
      </c>
      <c r="O58" s="33">
        <f>IF(B58="","",IFERROR(IF(INDEX(Data!$V$2:$V$745,MATCH(44,Data!$B$2:$B$745,0))="","",INDEX(Data!$V$2:$V$745,MATCH(44,Data!$B$2:$B$745,0))),""))</f>
        <v/>
      </c>
      <c r="P58" s="33">
        <f>IF(B58="","",IFERROR(IF(INDEX(Data!$M$2:$M$745,MATCH(44,Data!$B$2:$B$745,0))="","",INDEX(Data!$M$2:$M$745,MATCH(44,Data!$B$2:$B$745,0))),""))</f>
        <v/>
      </c>
      <c r="Q58" s="31">
        <f>IF(B58="","",IFERROR(IF(INDEX(Data!$AD$2:$AD$745,MATCH(44,Data!$B$2:$B$745,0))="","",INDEX(Data!$AD$2:$AD$745,MATCH(44,Data!$B$2:$B$745,0))),""))</f>
        <v/>
      </c>
      <c r="R58" s="27">
        <f>IF(B58="","",IFERROR(IF(INDEX(Data!$L$2:$L$745,MATCH(44,Data!$B$2:$B$745,0))="","",INDEX(Data!$L$2:$L$745,MATCH(44,Data!$B$2:$B$745,0))),""))</f>
        <v/>
      </c>
      <c r="AB58" t="inlineStr">
        <is>
          <t>Degrees of Comfort</t>
        </is>
      </c>
    </row>
    <row r="59" ht="62" customHeight="1">
      <c r="B59" s="27">
        <f>IF(45&lt;=COUNTIF(Data!$A$2:$A$745,TRUE),45,"")</f>
        <v/>
      </c>
      <c r="C59" s="28">
        <f>IF(B59="","",IFERROR(_xlfn.IMAGE(IFERROR(IF(INDEX(Data!$J$2:$J$745,MATCH(45,Data!$B$2:$B$745,0))="","",INDEX(Data!$J$2:$J$745,MATCH(45,Data!$B$2:$B$745,0))),"")),"IMAGE COMING SOON"))</f>
        <v/>
      </c>
      <c r="D59" s="29">
        <f>IF(B59="","",IFERROR(IF(INDEX(Data!$G$2:$G$745,MATCH(45,Data!$B$2:$B$745,0))="","",INDEX(Data!$G$2:$G$745,MATCH(45,Data!$B$2:$B$745,0))),"")&amp;CHAR(10)&amp;IFERROR(IF(INDEX(Data!$H$2:$H$745,MATCH(45,Data!$B$2:$B$745,0))="","",INDEX(Data!$H$2:$H$745,MATCH(45,Data!$B$2:$B$745,0))),""))</f>
        <v/>
      </c>
      <c r="E59" s="27">
        <f>IF(B59="","",IFERROR(IF(INDEX(Data!$I$2:$I$745,MATCH(45,Data!$B$2:$B$745,0))="","",INDEX(Data!$I$2:$I$745,MATCH(45,Data!$B$2:$B$745,0))),""))</f>
        <v/>
      </c>
      <c r="F59" s="27">
        <f>IF(B59="","",IFERROR(IF(INDEX(Data!$AJ$2:$AJ$745,MATCH(45,Data!$B$2:$B$745,0))="","",INDEX(Data!$AJ$2:$AJ$745,MATCH(45,Data!$B$2:$B$745,0))),""))</f>
        <v/>
      </c>
      <c r="G59" s="27">
        <f>IF(B59="","",TRIM(IFERROR(IF(INDEX(Data!$AF$2:$AF$745,MATCH(45,Data!$B$2:$B$745,0))="","",INDEX(Data!$AF$2:$AF$745,MATCH(45,Data!$B$2:$B$745,0))),"")&amp;" "&amp;IFERROR(IF(INDEX(Data!$AG$2:$AG$745,MATCH(45,Data!$B$2:$B$745,0))="","",INDEX(Data!$AG$2:$AG$745,MATCH(45,Data!$B$2:$B$745,0))),"")))</f>
        <v/>
      </c>
      <c r="H59" s="30">
        <f>IF(B59="","",IFERROR(IF(INDEX(Data!$N$2:$N$745,MATCH(45,Data!$B$2:$B$745,0))="","",INDEX(Data!$N$2:$N$745,MATCH(45,Data!$B$2:$B$745,0))),""))</f>
        <v/>
      </c>
      <c r="I59" s="30">
        <f>IF(B59="","",IFERROR(IF(INDEX(Data!$O$2:$O$745,MATCH(45,Data!$B$2:$B$745,0))="","",INDEX(Data!$O$2:$O$745,MATCH(45,Data!$B$2:$B$745,0))),""))</f>
        <v/>
      </c>
      <c r="J59" s="31">
        <f>IF(B59="","",IFERROR(IF(INDEX(Data!$P$2:$P$745,MATCH(45,Data!$B$2:$B$745,0))="","",INDEX(Data!$P$2:$P$745,MATCH(45,Data!$B$2:$B$745,0))),""))</f>
        <v/>
      </c>
      <c r="K59" s="32">
        <f>IF(B59="","",IFERROR(IF(INDEX(Data!$R$2:$R$745,MATCH(45,Data!$B$2:$B$745,0))="","",INDEX(Data!$R$2:$R$745,MATCH(45,Data!$B$2:$B$745,0))),""))</f>
        <v/>
      </c>
      <c r="L59" s="33">
        <f>IF(B59="","",IFERROR(IF(INDEX(Data!$S$2:$S$745,MATCH(45,Data!$B$2:$B$745,0))="","",INDEX(Data!$S$2:$S$745,MATCH(45,Data!$B$2:$B$745,0))),""))</f>
        <v/>
      </c>
      <c r="M59" s="33">
        <f>IF(B59="","",IFERROR(IF(INDEX(Data!$T$2:$T$745,MATCH(45,Data!$B$2:$B$745,0))="","",INDEX(Data!$T$2:$T$745,MATCH(45,Data!$B$2:$B$745,0))),""))</f>
        <v/>
      </c>
      <c r="N59" s="34">
        <f>IF(B59="","",IFERROR(IF(INDEX(Data!$U$2:$U$745,MATCH(45,Data!$B$2:$B$745,0))="","",INDEX(Data!$U$2:$U$745,MATCH(45,Data!$B$2:$B$745,0))),""))</f>
        <v/>
      </c>
      <c r="O59" s="33">
        <f>IF(B59="","",IFERROR(IF(INDEX(Data!$V$2:$V$745,MATCH(45,Data!$B$2:$B$745,0))="","",INDEX(Data!$V$2:$V$745,MATCH(45,Data!$B$2:$B$745,0))),""))</f>
        <v/>
      </c>
      <c r="P59" s="33">
        <f>IF(B59="","",IFERROR(IF(INDEX(Data!$M$2:$M$745,MATCH(45,Data!$B$2:$B$745,0))="","",INDEX(Data!$M$2:$M$745,MATCH(45,Data!$B$2:$B$745,0))),""))</f>
        <v/>
      </c>
      <c r="Q59" s="31">
        <f>IF(B59="","",IFERROR(IF(INDEX(Data!$AD$2:$AD$745,MATCH(45,Data!$B$2:$B$745,0))="","",INDEX(Data!$AD$2:$AD$745,MATCH(45,Data!$B$2:$B$745,0))),""))</f>
        <v/>
      </c>
      <c r="R59" s="27">
        <f>IF(B59="","",IFERROR(IF(INDEX(Data!$L$2:$L$745,MATCH(45,Data!$B$2:$B$745,0))="","",INDEX(Data!$L$2:$L$745,MATCH(45,Data!$B$2:$B$745,0))),""))</f>
        <v/>
      </c>
      <c r="AB59" t="inlineStr">
        <is>
          <t>DJY</t>
        </is>
      </c>
    </row>
    <row r="60" ht="62" customHeight="1">
      <c r="B60" s="27">
        <f>IF(46&lt;=COUNTIF(Data!$A$2:$A$745,TRUE),46,"")</f>
        <v/>
      </c>
      <c r="C60" s="28">
        <f>IF(B60="","",IFERROR(_xlfn.IMAGE(IFERROR(IF(INDEX(Data!$J$2:$J$745,MATCH(46,Data!$B$2:$B$745,0))="","",INDEX(Data!$J$2:$J$745,MATCH(46,Data!$B$2:$B$745,0))),"")),"IMAGE COMING SOON"))</f>
        <v/>
      </c>
      <c r="D60" s="29">
        <f>IF(B60="","",IFERROR(IF(INDEX(Data!$G$2:$G$745,MATCH(46,Data!$B$2:$B$745,0))="","",INDEX(Data!$G$2:$G$745,MATCH(46,Data!$B$2:$B$745,0))),"")&amp;CHAR(10)&amp;IFERROR(IF(INDEX(Data!$H$2:$H$745,MATCH(46,Data!$B$2:$B$745,0))="","",INDEX(Data!$H$2:$H$745,MATCH(46,Data!$B$2:$B$745,0))),""))</f>
        <v/>
      </c>
      <c r="E60" s="27">
        <f>IF(B60="","",IFERROR(IF(INDEX(Data!$I$2:$I$745,MATCH(46,Data!$B$2:$B$745,0))="","",INDEX(Data!$I$2:$I$745,MATCH(46,Data!$B$2:$B$745,0))),""))</f>
        <v/>
      </c>
      <c r="F60" s="27">
        <f>IF(B60="","",IFERROR(IF(INDEX(Data!$AJ$2:$AJ$745,MATCH(46,Data!$B$2:$B$745,0))="","",INDEX(Data!$AJ$2:$AJ$745,MATCH(46,Data!$B$2:$B$745,0))),""))</f>
        <v/>
      </c>
      <c r="G60" s="27">
        <f>IF(B60="","",TRIM(IFERROR(IF(INDEX(Data!$AF$2:$AF$745,MATCH(46,Data!$B$2:$B$745,0))="","",INDEX(Data!$AF$2:$AF$745,MATCH(46,Data!$B$2:$B$745,0))),"")&amp;" "&amp;IFERROR(IF(INDEX(Data!$AG$2:$AG$745,MATCH(46,Data!$B$2:$B$745,0))="","",INDEX(Data!$AG$2:$AG$745,MATCH(46,Data!$B$2:$B$745,0))),"")))</f>
        <v/>
      </c>
      <c r="H60" s="30">
        <f>IF(B60="","",IFERROR(IF(INDEX(Data!$N$2:$N$745,MATCH(46,Data!$B$2:$B$745,0))="","",INDEX(Data!$N$2:$N$745,MATCH(46,Data!$B$2:$B$745,0))),""))</f>
        <v/>
      </c>
      <c r="I60" s="30">
        <f>IF(B60="","",IFERROR(IF(INDEX(Data!$O$2:$O$745,MATCH(46,Data!$B$2:$B$745,0))="","",INDEX(Data!$O$2:$O$745,MATCH(46,Data!$B$2:$B$745,0))),""))</f>
        <v/>
      </c>
      <c r="J60" s="31">
        <f>IF(B60="","",IFERROR(IF(INDEX(Data!$P$2:$P$745,MATCH(46,Data!$B$2:$B$745,0))="","",INDEX(Data!$P$2:$P$745,MATCH(46,Data!$B$2:$B$745,0))),""))</f>
        <v/>
      </c>
      <c r="K60" s="32">
        <f>IF(B60="","",IFERROR(IF(INDEX(Data!$R$2:$R$745,MATCH(46,Data!$B$2:$B$745,0))="","",INDEX(Data!$R$2:$R$745,MATCH(46,Data!$B$2:$B$745,0))),""))</f>
        <v/>
      </c>
      <c r="L60" s="33">
        <f>IF(B60="","",IFERROR(IF(INDEX(Data!$S$2:$S$745,MATCH(46,Data!$B$2:$B$745,0))="","",INDEX(Data!$S$2:$S$745,MATCH(46,Data!$B$2:$B$745,0))),""))</f>
        <v/>
      </c>
      <c r="M60" s="33">
        <f>IF(B60="","",IFERROR(IF(INDEX(Data!$T$2:$T$745,MATCH(46,Data!$B$2:$B$745,0))="","",INDEX(Data!$T$2:$T$745,MATCH(46,Data!$B$2:$B$745,0))),""))</f>
        <v/>
      </c>
      <c r="N60" s="34">
        <f>IF(B60="","",IFERROR(IF(INDEX(Data!$U$2:$U$745,MATCH(46,Data!$B$2:$B$745,0))="","",INDEX(Data!$U$2:$U$745,MATCH(46,Data!$B$2:$B$745,0))),""))</f>
        <v/>
      </c>
      <c r="O60" s="33">
        <f>IF(B60="","",IFERROR(IF(INDEX(Data!$V$2:$V$745,MATCH(46,Data!$B$2:$B$745,0))="","",INDEX(Data!$V$2:$V$745,MATCH(46,Data!$B$2:$B$745,0))),""))</f>
        <v/>
      </c>
      <c r="P60" s="33">
        <f>IF(B60="","",IFERROR(IF(INDEX(Data!$M$2:$M$745,MATCH(46,Data!$B$2:$B$745,0))="","",INDEX(Data!$M$2:$M$745,MATCH(46,Data!$B$2:$B$745,0))),""))</f>
        <v/>
      </c>
      <c r="Q60" s="31">
        <f>IF(B60="","",IFERROR(IF(INDEX(Data!$AD$2:$AD$745,MATCH(46,Data!$B$2:$B$745,0))="","",INDEX(Data!$AD$2:$AD$745,MATCH(46,Data!$B$2:$B$745,0))),""))</f>
        <v/>
      </c>
      <c r="R60" s="27">
        <f>IF(B60="","",IFERROR(IF(INDEX(Data!$L$2:$L$745,MATCH(46,Data!$B$2:$B$745,0))="","",INDEX(Data!$L$2:$L$745,MATCH(46,Data!$B$2:$B$745,0))),""))</f>
        <v/>
      </c>
      <c r="AB60" t="inlineStr">
        <is>
          <t>DKBslik</t>
        </is>
      </c>
    </row>
    <row r="61" ht="62" customHeight="1">
      <c r="B61" s="27">
        <f>IF(47&lt;=COUNTIF(Data!$A$2:$A$745,TRUE),47,"")</f>
        <v/>
      </c>
      <c r="C61" s="28">
        <f>IF(B61="","",IFERROR(_xlfn.IMAGE(IFERROR(IF(INDEX(Data!$J$2:$J$745,MATCH(47,Data!$B$2:$B$745,0))="","",INDEX(Data!$J$2:$J$745,MATCH(47,Data!$B$2:$B$745,0))),"")),"IMAGE COMING SOON"))</f>
        <v/>
      </c>
      <c r="D61" s="29">
        <f>IF(B61="","",IFERROR(IF(INDEX(Data!$G$2:$G$745,MATCH(47,Data!$B$2:$B$745,0))="","",INDEX(Data!$G$2:$G$745,MATCH(47,Data!$B$2:$B$745,0))),"")&amp;CHAR(10)&amp;IFERROR(IF(INDEX(Data!$H$2:$H$745,MATCH(47,Data!$B$2:$B$745,0))="","",INDEX(Data!$H$2:$H$745,MATCH(47,Data!$B$2:$B$745,0))),""))</f>
        <v/>
      </c>
      <c r="E61" s="27">
        <f>IF(B61="","",IFERROR(IF(INDEX(Data!$I$2:$I$745,MATCH(47,Data!$B$2:$B$745,0))="","",INDEX(Data!$I$2:$I$745,MATCH(47,Data!$B$2:$B$745,0))),""))</f>
        <v/>
      </c>
      <c r="F61" s="27">
        <f>IF(B61="","",IFERROR(IF(INDEX(Data!$AJ$2:$AJ$745,MATCH(47,Data!$B$2:$B$745,0))="","",INDEX(Data!$AJ$2:$AJ$745,MATCH(47,Data!$B$2:$B$745,0))),""))</f>
        <v/>
      </c>
      <c r="G61" s="27">
        <f>IF(B61="","",TRIM(IFERROR(IF(INDEX(Data!$AF$2:$AF$745,MATCH(47,Data!$B$2:$B$745,0))="","",INDEX(Data!$AF$2:$AF$745,MATCH(47,Data!$B$2:$B$745,0))),"")&amp;" "&amp;IFERROR(IF(INDEX(Data!$AG$2:$AG$745,MATCH(47,Data!$B$2:$B$745,0))="","",INDEX(Data!$AG$2:$AG$745,MATCH(47,Data!$B$2:$B$745,0))),"")))</f>
        <v/>
      </c>
      <c r="H61" s="30">
        <f>IF(B61="","",IFERROR(IF(INDEX(Data!$N$2:$N$745,MATCH(47,Data!$B$2:$B$745,0))="","",INDEX(Data!$N$2:$N$745,MATCH(47,Data!$B$2:$B$745,0))),""))</f>
        <v/>
      </c>
      <c r="I61" s="30">
        <f>IF(B61="","",IFERROR(IF(INDEX(Data!$O$2:$O$745,MATCH(47,Data!$B$2:$B$745,0))="","",INDEX(Data!$O$2:$O$745,MATCH(47,Data!$B$2:$B$745,0))),""))</f>
        <v/>
      </c>
      <c r="J61" s="31">
        <f>IF(B61="","",IFERROR(IF(INDEX(Data!$P$2:$P$745,MATCH(47,Data!$B$2:$B$745,0))="","",INDEX(Data!$P$2:$P$745,MATCH(47,Data!$B$2:$B$745,0))),""))</f>
        <v/>
      </c>
      <c r="K61" s="32">
        <f>IF(B61="","",IFERROR(IF(INDEX(Data!$R$2:$R$745,MATCH(47,Data!$B$2:$B$745,0))="","",INDEX(Data!$R$2:$R$745,MATCH(47,Data!$B$2:$B$745,0))),""))</f>
        <v/>
      </c>
      <c r="L61" s="33">
        <f>IF(B61="","",IFERROR(IF(INDEX(Data!$S$2:$S$745,MATCH(47,Data!$B$2:$B$745,0))="","",INDEX(Data!$S$2:$S$745,MATCH(47,Data!$B$2:$B$745,0))),""))</f>
        <v/>
      </c>
      <c r="M61" s="33">
        <f>IF(B61="","",IFERROR(IF(INDEX(Data!$T$2:$T$745,MATCH(47,Data!$B$2:$B$745,0))="","",INDEX(Data!$T$2:$T$745,MATCH(47,Data!$B$2:$B$745,0))),""))</f>
        <v/>
      </c>
      <c r="N61" s="34">
        <f>IF(B61="","",IFERROR(IF(INDEX(Data!$U$2:$U$745,MATCH(47,Data!$B$2:$B$745,0))="","",INDEX(Data!$U$2:$U$745,MATCH(47,Data!$B$2:$B$745,0))),""))</f>
        <v/>
      </c>
      <c r="O61" s="33">
        <f>IF(B61="","",IFERROR(IF(INDEX(Data!$V$2:$V$745,MATCH(47,Data!$B$2:$B$745,0))="","",INDEX(Data!$V$2:$V$745,MATCH(47,Data!$B$2:$B$745,0))),""))</f>
        <v/>
      </c>
      <c r="P61" s="33">
        <f>IF(B61="","",IFERROR(IF(INDEX(Data!$M$2:$M$745,MATCH(47,Data!$B$2:$B$745,0))="","",INDEX(Data!$M$2:$M$745,MATCH(47,Data!$B$2:$B$745,0))),""))</f>
        <v/>
      </c>
      <c r="Q61" s="31">
        <f>IF(B61="","",IFERROR(IF(INDEX(Data!$AD$2:$AD$745,MATCH(47,Data!$B$2:$B$745,0))="","",INDEX(Data!$AD$2:$AD$745,MATCH(47,Data!$B$2:$B$745,0))),""))</f>
        <v/>
      </c>
      <c r="R61" s="27">
        <f>IF(B61="","",IFERROR(IF(INDEX(Data!$L$2:$L$745,MATCH(47,Data!$B$2:$B$745,0))="","",INDEX(Data!$L$2:$L$745,MATCH(47,Data!$B$2:$B$745,0))),""))</f>
        <v/>
      </c>
      <c r="AB61" t="inlineStr">
        <is>
          <t>Dlerom</t>
        </is>
      </c>
    </row>
    <row r="62" ht="62" customHeight="1">
      <c r="B62" s="27">
        <f>IF(48&lt;=COUNTIF(Data!$A$2:$A$745,TRUE),48,"")</f>
        <v/>
      </c>
      <c r="C62" s="28">
        <f>IF(B62="","",IFERROR(_xlfn.IMAGE(IFERROR(IF(INDEX(Data!$J$2:$J$745,MATCH(48,Data!$B$2:$B$745,0))="","",INDEX(Data!$J$2:$J$745,MATCH(48,Data!$B$2:$B$745,0))),"")),"IMAGE COMING SOON"))</f>
        <v/>
      </c>
      <c r="D62" s="29">
        <f>IF(B62="","",IFERROR(IF(INDEX(Data!$G$2:$G$745,MATCH(48,Data!$B$2:$B$745,0))="","",INDEX(Data!$G$2:$G$745,MATCH(48,Data!$B$2:$B$745,0))),"")&amp;CHAR(10)&amp;IFERROR(IF(INDEX(Data!$H$2:$H$745,MATCH(48,Data!$B$2:$B$745,0))="","",INDEX(Data!$H$2:$H$745,MATCH(48,Data!$B$2:$B$745,0))),""))</f>
        <v/>
      </c>
      <c r="E62" s="27">
        <f>IF(B62="","",IFERROR(IF(INDEX(Data!$I$2:$I$745,MATCH(48,Data!$B$2:$B$745,0))="","",INDEX(Data!$I$2:$I$745,MATCH(48,Data!$B$2:$B$745,0))),""))</f>
        <v/>
      </c>
      <c r="F62" s="27">
        <f>IF(B62="","",IFERROR(IF(INDEX(Data!$AJ$2:$AJ$745,MATCH(48,Data!$B$2:$B$745,0))="","",INDEX(Data!$AJ$2:$AJ$745,MATCH(48,Data!$B$2:$B$745,0))),""))</f>
        <v/>
      </c>
      <c r="G62" s="27">
        <f>IF(B62="","",TRIM(IFERROR(IF(INDEX(Data!$AF$2:$AF$745,MATCH(48,Data!$B$2:$B$745,0))="","",INDEX(Data!$AF$2:$AF$745,MATCH(48,Data!$B$2:$B$745,0))),"")&amp;" "&amp;IFERROR(IF(INDEX(Data!$AG$2:$AG$745,MATCH(48,Data!$B$2:$B$745,0))="","",INDEX(Data!$AG$2:$AG$745,MATCH(48,Data!$B$2:$B$745,0))),"")))</f>
        <v/>
      </c>
      <c r="H62" s="30">
        <f>IF(B62="","",IFERROR(IF(INDEX(Data!$N$2:$N$745,MATCH(48,Data!$B$2:$B$745,0))="","",INDEX(Data!$N$2:$N$745,MATCH(48,Data!$B$2:$B$745,0))),""))</f>
        <v/>
      </c>
      <c r="I62" s="30">
        <f>IF(B62="","",IFERROR(IF(INDEX(Data!$O$2:$O$745,MATCH(48,Data!$B$2:$B$745,0))="","",INDEX(Data!$O$2:$O$745,MATCH(48,Data!$B$2:$B$745,0))),""))</f>
        <v/>
      </c>
      <c r="J62" s="31">
        <f>IF(B62="","",IFERROR(IF(INDEX(Data!$P$2:$P$745,MATCH(48,Data!$B$2:$B$745,0))="","",INDEX(Data!$P$2:$P$745,MATCH(48,Data!$B$2:$B$745,0))),""))</f>
        <v/>
      </c>
      <c r="K62" s="32">
        <f>IF(B62="","",IFERROR(IF(INDEX(Data!$R$2:$R$745,MATCH(48,Data!$B$2:$B$745,0))="","",INDEX(Data!$R$2:$R$745,MATCH(48,Data!$B$2:$B$745,0))),""))</f>
        <v/>
      </c>
      <c r="L62" s="33">
        <f>IF(B62="","",IFERROR(IF(INDEX(Data!$S$2:$S$745,MATCH(48,Data!$B$2:$B$745,0))="","",INDEX(Data!$S$2:$S$745,MATCH(48,Data!$B$2:$B$745,0))),""))</f>
        <v/>
      </c>
      <c r="M62" s="33">
        <f>IF(B62="","",IFERROR(IF(INDEX(Data!$T$2:$T$745,MATCH(48,Data!$B$2:$B$745,0))="","",INDEX(Data!$T$2:$T$745,MATCH(48,Data!$B$2:$B$745,0))),""))</f>
        <v/>
      </c>
      <c r="N62" s="34">
        <f>IF(B62="","",IFERROR(IF(INDEX(Data!$U$2:$U$745,MATCH(48,Data!$B$2:$B$745,0))="","",INDEX(Data!$U$2:$U$745,MATCH(48,Data!$B$2:$B$745,0))),""))</f>
        <v/>
      </c>
      <c r="O62" s="33">
        <f>IF(B62="","",IFERROR(IF(INDEX(Data!$V$2:$V$745,MATCH(48,Data!$B$2:$B$745,0))="","",INDEX(Data!$V$2:$V$745,MATCH(48,Data!$B$2:$B$745,0))),""))</f>
        <v/>
      </c>
      <c r="P62" s="33">
        <f>IF(B62="","",IFERROR(IF(INDEX(Data!$M$2:$M$745,MATCH(48,Data!$B$2:$B$745,0))="","",INDEX(Data!$M$2:$M$745,MATCH(48,Data!$B$2:$B$745,0))),""))</f>
        <v/>
      </c>
      <c r="Q62" s="31">
        <f>IF(B62="","",IFERROR(IF(INDEX(Data!$AD$2:$AD$745,MATCH(48,Data!$B$2:$B$745,0))="","",INDEX(Data!$AD$2:$AD$745,MATCH(48,Data!$B$2:$B$745,0))),""))</f>
        <v/>
      </c>
      <c r="R62" s="27">
        <f>IF(B62="","",IFERROR(IF(INDEX(Data!$L$2:$L$745,MATCH(48,Data!$B$2:$B$745,0))="","",INDEX(Data!$L$2:$L$745,MATCH(48,Data!$B$2:$B$745,0))),""))</f>
        <v/>
      </c>
      <c r="AB62" t="inlineStr">
        <is>
          <t>DOUSUI</t>
        </is>
      </c>
    </row>
    <row r="63" ht="62" customHeight="1">
      <c r="B63" s="27">
        <f>IF(49&lt;=COUNTIF(Data!$A$2:$A$745,TRUE),49,"")</f>
        <v/>
      </c>
      <c r="C63" s="28">
        <f>IF(B63="","",IFERROR(_xlfn.IMAGE(IFERROR(IF(INDEX(Data!$J$2:$J$745,MATCH(49,Data!$B$2:$B$745,0))="","",INDEX(Data!$J$2:$J$745,MATCH(49,Data!$B$2:$B$745,0))),"")),"IMAGE COMING SOON"))</f>
        <v/>
      </c>
      <c r="D63" s="29">
        <f>IF(B63="","",IFERROR(IF(INDEX(Data!$G$2:$G$745,MATCH(49,Data!$B$2:$B$745,0))="","",INDEX(Data!$G$2:$G$745,MATCH(49,Data!$B$2:$B$745,0))),"")&amp;CHAR(10)&amp;IFERROR(IF(INDEX(Data!$H$2:$H$745,MATCH(49,Data!$B$2:$B$745,0))="","",INDEX(Data!$H$2:$H$745,MATCH(49,Data!$B$2:$B$745,0))),""))</f>
        <v/>
      </c>
      <c r="E63" s="27">
        <f>IF(B63="","",IFERROR(IF(INDEX(Data!$I$2:$I$745,MATCH(49,Data!$B$2:$B$745,0))="","",INDEX(Data!$I$2:$I$745,MATCH(49,Data!$B$2:$B$745,0))),""))</f>
        <v/>
      </c>
      <c r="F63" s="27">
        <f>IF(B63="","",IFERROR(IF(INDEX(Data!$AJ$2:$AJ$745,MATCH(49,Data!$B$2:$B$745,0))="","",INDEX(Data!$AJ$2:$AJ$745,MATCH(49,Data!$B$2:$B$745,0))),""))</f>
        <v/>
      </c>
      <c r="G63" s="27">
        <f>IF(B63="","",TRIM(IFERROR(IF(INDEX(Data!$AF$2:$AF$745,MATCH(49,Data!$B$2:$B$745,0))="","",INDEX(Data!$AF$2:$AF$745,MATCH(49,Data!$B$2:$B$745,0))),"")&amp;" "&amp;IFERROR(IF(INDEX(Data!$AG$2:$AG$745,MATCH(49,Data!$B$2:$B$745,0))="","",INDEX(Data!$AG$2:$AG$745,MATCH(49,Data!$B$2:$B$745,0))),"")))</f>
        <v/>
      </c>
      <c r="H63" s="30">
        <f>IF(B63="","",IFERROR(IF(INDEX(Data!$N$2:$N$745,MATCH(49,Data!$B$2:$B$745,0))="","",INDEX(Data!$N$2:$N$745,MATCH(49,Data!$B$2:$B$745,0))),""))</f>
        <v/>
      </c>
      <c r="I63" s="30">
        <f>IF(B63="","",IFERROR(IF(INDEX(Data!$O$2:$O$745,MATCH(49,Data!$B$2:$B$745,0))="","",INDEX(Data!$O$2:$O$745,MATCH(49,Data!$B$2:$B$745,0))),""))</f>
        <v/>
      </c>
      <c r="J63" s="31">
        <f>IF(B63="","",IFERROR(IF(INDEX(Data!$P$2:$P$745,MATCH(49,Data!$B$2:$B$745,0))="","",INDEX(Data!$P$2:$P$745,MATCH(49,Data!$B$2:$B$745,0))),""))</f>
        <v/>
      </c>
      <c r="K63" s="32">
        <f>IF(B63="","",IFERROR(IF(INDEX(Data!$R$2:$R$745,MATCH(49,Data!$B$2:$B$745,0))="","",INDEX(Data!$R$2:$R$745,MATCH(49,Data!$B$2:$B$745,0))),""))</f>
        <v/>
      </c>
      <c r="L63" s="33">
        <f>IF(B63="","",IFERROR(IF(INDEX(Data!$S$2:$S$745,MATCH(49,Data!$B$2:$B$745,0))="","",INDEX(Data!$S$2:$S$745,MATCH(49,Data!$B$2:$B$745,0))),""))</f>
        <v/>
      </c>
      <c r="M63" s="33">
        <f>IF(B63="","",IFERROR(IF(INDEX(Data!$T$2:$T$745,MATCH(49,Data!$B$2:$B$745,0))="","",INDEX(Data!$T$2:$T$745,MATCH(49,Data!$B$2:$B$745,0))),""))</f>
        <v/>
      </c>
      <c r="N63" s="34">
        <f>IF(B63="","",IFERROR(IF(INDEX(Data!$U$2:$U$745,MATCH(49,Data!$B$2:$B$745,0))="","",INDEX(Data!$U$2:$U$745,MATCH(49,Data!$B$2:$B$745,0))),""))</f>
        <v/>
      </c>
      <c r="O63" s="33">
        <f>IF(B63="","",IFERROR(IF(INDEX(Data!$V$2:$V$745,MATCH(49,Data!$B$2:$B$745,0))="","",INDEX(Data!$V$2:$V$745,MATCH(49,Data!$B$2:$B$745,0))),""))</f>
        <v/>
      </c>
      <c r="P63" s="33">
        <f>IF(B63="","",IFERROR(IF(INDEX(Data!$M$2:$M$745,MATCH(49,Data!$B$2:$B$745,0))="","",INDEX(Data!$M$2:$M$745,MATCH(49,Data!$B$2:$B$745,0))),""))</f>
        <v/>
      </c>
      <c r="Q63" s="31">
        <f>IF(B63="","",IFERROR(IF(INDEX(Data!$AD$2:$AD$745,MATCH(49,Data!$B$2:$B$745,0))="","",INDEX(Data!$AD$2:$AD$745,MATCH(49,Data!$B$2:$B$745,0))),""))</f>
        <v/>
      </c>
      <c r="R63" s="27">
        <f>IF(B63="","",IFERROR(IF(INDEX(Data!$L$2:$L$745,MATCH(49,Data!$B$2:$B$745,0))="","",INDEX(Data!$L$2:$L$745,MATCH(49,Data!$B$2:$B$745,0))),""))</f>
        <v/>
      </c>
      <c r="AB63" t="inlineStr">
        <is>
          <t>DOWNCOOL</t>
        </is>
      </c>
    </row>
    <row r="64" ht="62" customHeight="1">
      <c r="B64" s="27">
        <f>IF(50&lt;=COUNTIF(Data!$A$2:$A$745,TRUE),50,"")</f>
        <v/>
      </c>
      <c r="C64" s="28">
        <f>IF(B64="","",IFERROR(_xlfn.IMAGE(IFERROR(IF(INDEX(Data!$J$2:$J$745,MATCH(50,Data!$B$2:$B$745,0))="","",INDEX(Data!$J$2:$J$745,MATCH(50,Data!$B$2:$B$745,0))),"")),"IMAGE COMING SOON"))</f>
        <v/>
      </c>
      <c r="D64" s="29">
        <f>IF(B64="","",IFERROR(IF(INDEX(Data!$G$2:$G$745,MATCH(50,Data!$B$2:$B$745,0))="","",INDEX(Data!$G$2:$G$745,MATCH(50,Data!$B$2:$B$745,0))),"")&amp;CHAR(10)&amp;IFERROR(IF(INDEX(Data!$H$2:$H$745,MATCH(50,Data!$B$2:$B$745,0))="","",INDEX(Data!$H$2:$H$745,MATCH(50,Data!$B$2:$B$745,0))),""))</f>
        <v/>
      </c>
      <c r="E64" s="27">
        <f>IF(B64="","",IFERROR(IF(INDEX(Data!$I$2:$I$745,MATCH(50,Data!$B$2:$B$745,0))="","",INDEX(Data!$I$2:$I$745,MATCH(50,Data!$B$2:$B$745,0))),""))</f>
        <v/>
      </c>
      <c r="F64" s="27">
        <f>IF(B64="","",IFERROR(IF(INDEX(Data!$AJ$2:$AJ$745,MATCH(50,Data!$B$2:$B$745,0))="","",INDEX(Data!$AJ$2:$AJ$745,MATCH(50,Data!$B$2:$B$745,0))),""))</f>
        <v/>
      </c>
      <c r="G64" s="27">
        <f>IF(B64="","",TRIM(IFERROR(IF(INDEX(Data!$AF$2:$AF$745,MATCH(50,Data!$B$2:$B$745,0))="","",INDEX(Data!$AF$2:$AF$745,MATCH(50,Data!$B$2:$B$745,0))),"")&amp;" "&amp;IFERROR(IF(INDEX(Data!$AG$2:$AG$745,MATCH(50,Data!$B$2:$B$745,0))="","",INDEX(Data!$AG$2:$AG$745,MATCH(50,Data!$B$2:$B$745,0))),"")))</f>
        <v/>
      </c>
      <c r="H64" s="30">
        <f>IF(B64="","",IFERROR(IF(INDEX(Data!$N$2:$N$745,MATCH(50,Data!$B$2:$B$745,0))="","",INDEX(Data!$N$2:$N$745,MATCH(50,Data!$B$2:$B$745,0))),""))</f>
        <v/>
      </c>
      <c r="I64" s="30">
        <f>IF(B64="","",IFERROR(IF(INDEX(Data!$O$2:$O$745,MATCH(50,Data!$B$2:$B$745,0))="","",INDEX(Data!$O$2:$O$745,MATCH(50,Data!$B$2:$B$745,0))),""))</f>
        <v/>
      </c>
      <c r="J64" s="31">
        <f>IF(B64="","",IFERROR(IF(INDEX(Data!$P$2:$P$745,MATCH(50,Data!$B$2:$B$745,0))="","",INDEX(Data!$P$2:$P$745,MATCH(50,Data!$B$2:$B$745,0))),""))</f>
        <v/>
      </c>
      <c r="K64" s="32">
        <f>IF(B64="","",IFERROR(IF(INDEX(Data!$R$2:$R$745,MATCH(50,Data!$B$2:$B$745,0))="","",INDEX(Data!$R$2:$R$745,MATCH(50,Data!$B$2:$B$745,0))),""))</f>
        <v/>
      </c>
      <c r="L64" s="33">
        <f>IF(B64="","",IFERROR(IF(INDEX(Data!$S$2:$S$745,MATCH(50,Data!$B$2:$B$745,0))="","",INDEX(Data!$S$2:$S$745,MATCH(50,Data!$B$2:$B$745,0))),""))</f>
        <v/>
      </c>
      <c r="M64" s="33">
        <f>IF(B64="","",IFERROR(IF(INDEX(Data!$T$2:$T$745,MATCH(50,Data!$B$2:$B$745,0))="","",INDEX(Data!$T$2:$T$745,MATCH(50,Data!$B$2:$B$745,0))),""))</f>
        <v/>
      </c>
      <c r="N64" s="34">
        <f>IF(B64="","",IFERROR(IF(INDEX(Data!$U$2:$U$745,MATCH(50,Data!$B$2:$B$745,0))="","",INDEX(Data!$U$2:$U$745,MATCH(50,Data!$B$2:$B$745,0))),""))</f>
        <v/>
      </c>
      <c r="O64" s="33">
        <f>IF(B64="","",IFERROR(IF(INDEX(Data!$V$2:$V$745,MATCH(50,Data!$B$2:$B$745,0))="","",INDEX(Data!$V$2:$V$745,MATCH(50,Data!$B$2:$B$745,0))),""))</f>
        <v/>
      </c>
      <c r="P64" s="33">
        <f>IF(B64="","",IFERROR(IF(INDEX(Data!$M$2:$M$745,MATCH(50,Data!$B$2:$B$745,0))="","",INDEX(Data!$M$2:$M$745,MATCH(50,Data!$B$2:$B$745,0))),""))</f>
        <v/>
      </c>
      <c r="Q64" s="31">
        <f>IF(B64="","",IFERROR(IF(INDEX(Data!$AD$2:$AD$745,MATCH(50,Data!$B$2:$B$745,0))="","",INDEX(Data!$AD$2:$AD$745,MATCH(50,Data!$B$2:$B$745,0))),""))</f>
        <v/>
      </c>
      <c r="R64" s="27">
        <f>IF(B64="","",IFERROR(IF(INDEX(Data!$L$2:$L$745,MATCH(50,Data!$B$2:$B$745,0))="","",INDEX(Data!$L$2:$L$745,MATCH(50,Data!$B$2:$B$745,0))),""))</f>
        <v/>
      </c>
      <c r="AB64" t="inlineStr">
        <is>
          <t>DOZ by SIJO</t>
        </is>
      </c>
    </row>
    <row r="65" ht="62" customHeight="1">
      <c r="B65" s="27">
        <f>IF(51&lt;=COUNTIF(Data!$A$2:$A$745,TRUE),51,"")</f>
        <v/>
      </c>
      <c r="C65" s="28">
        <f>IF(B65="","",IFERROR(_xlfn.IMAGE(IFERROR(IF(INDEX(Data!$J$2:$J$745,MATCH(51,Data!$B$2:$B$745,0))="","",INDEX(Data!$J$2:$J$745,MATCH(51,Data!$B$2:$B$745,0))),"")),"IMAGE COMING SOON"))</f>
        <v/>
      </c>
      <c r="D65" s="29">
        <f>IF(B65="","",IFERROR(IF(INDEX(Data!$G$2:$G$745,MATCH(51,Data!$B$2:$B$745,0))="","",INDEX(Data!$G$2:$G$745,MATCH(51,Data!$B$2:$B$745,0))),"")&amp;CHAR(10)&amp;IFERROR(IF(INDEX(Data!$H$2:$H$745,MATCH(51,Data!$B$2:$B$745,0))="","",INDEX(Data!$H$2:$H$745,MATCH(51,Data!$B$2:$B$745,0))),""))</f>
        <v/>
      </c>
      <c r="E65" s="27">
        <f>IF(B65="","",IFERROR(IF(INDEX(Data!$I$2:$I$745,MATCH(51,Data!$B$2:$B$745,0))="","",INDEX(Data!$I$2:$I$745,MATCH(51,Data!$B$2:$B$745,0))),""))</f>
        <v/>
      </c>
      <c r="F65" s="27">
        <f>IF(B65="","",IFERROR(IF(INDEX(Data!$AJ$2:$AJ$745,MATCH(51,Data!$B$2:$B$745,0))="","",INDEX(Data!$AJ$2:$AJ$745,MATCH(51,Data!$B$2:$B$745,0))),""))</f>
        <v/>
      </c>
      <c r="G65" s="27">
        <f>IF(B65="","",TRIM(IFERROR(IF(INDEX(Data!$AF$2:$AF$745,MATCH(51,Data!$B$2:$B$745,0))="","",INDEX(Data!$AF$2:$AF$745,MATCH(51,Data!$B$2:$B$745,0))),"")&amp;" "&amp;IFERROR(IF(INDEX(Data!$AG$2:$AG$745,MATCH(51,Data!$B$2:$B$745,0))="","",INDEX(Data!$AG$2:$AG$745,MATCH(51,Data!$B$2:$B$745,0))),"")))</f>
        <v/>
      </c>
      <c r="H65" s="30">
        <f>IF(B65="","",IFERROR(IF(INDEX(Data!$N$2:$N$745,MATCH(51,Data!$B$2:$B$745,0))="","",INDEX(Data!$N$2:$N$745,MATCH(51,Data!$B$2:$B$745,0))),""))</f>
        <v/>
      </c>
      <c r="I65" s="30">
        <f>IF(B65="","",IFERROR(IF(INDEX(Data!$O$2:$O$745,MATCH(51,Data!$B$2:$B$745,0))="","",INDEX(Data!$O$2:$O$745,MATCH(51,Data!$B$2:$B$745,0))),""))</f>
        <v/>
      </c>
      <c r="J65" s="31">
        <f>IF(B65="","",IFERROR(IF(INDEX(Data!$P$2:$P$745,MATCH(51,Data!$B$2:$B$745,0))="","",INDEX(Data!$P$2:$P$745,MATCH(51,Data!$B$2:$B$745,0))),""))</f>
        <v/>
      </c>
      <c r="K65" s="32">
        <f>IF(B65="","",IFERROR(IF(INDEX(Data!$R$2:$R$745,MATCH(51,Data!$B$2:$B$745,0))="","",INDEX(Data!$R$2:$R$745,MATCH(51,Data!$B$2:$B$745,0))),""))</f>
        <v/>
      </c>
      <c r="L65" s="33">
        <f>IF(B65="","",IFERROR(IF(INDEX(Data!$S$2:$S$745,MATCH(51,Data!$B$2:$B$745,0))="","",INDEX(Data!$S$2:$S$745,MATCH(51,Data!$B$2:$B$745,0))),""))</f>
        <v/>
      </c>
      <c r="M65" s="33">
        <f>IF(B65="","",IFERROR(IF(INDEX(Data!$T$2:$T$745,MATCH(51,Data!$B$2:$B$745,0))="","",INDEX(Data!$T$2:$T$745,MATCH(51,Data!$B$2:$B$745,0))),""))</f>
        <v/>
      </c>
      <c r="N65" s="34">
        <f>IF(B65="","",IFERROR(IF(INDEX(Data!$U$2:$U$745,MATCH(51,Data!$B$2:$B$745,0))="","",INDEX(Data!$U$2:$U$745,MATCH(51,Data!$B$2:$B$745,0))),""))</f>
        <v/>
      </c>
      <c r="O65" s="33">
        <f>IF(B65="","",IFERROR(IF(INDEX(Data!$V$2:$V$745,MATCH(51,Data!$B$2:$B$745,0))="","",INDEX(Data!$V$2:$V$745,MATCH(51,Data!$B$2:$B$745,0))),""))</f>
        <v/>
      </c>
      <c r="P65" s="33">
        <f>IF(B65="","",IFERROR(IF(INDEX(Data!$M$2:$M$745,MATCH(51,Data!$B$2:$B$745,0))="","",INDEX(Data!$M$2:$M$745,MATCH(51,Data!$B$2:$B$745,0))),""))</f>
        <v/>
      </c>
      <c r="Q65" s="31">
        <f>IF(B65="","",IFERROR(IF(INDEX(Data!$AD$2:$AD$745,MATCH(51,Data!$B$2:$B$745,0))="","",INDEX(Data!$AD$2:$AD$745,MATCH(51,Data!$B$2:$B$745,0))),""))</f>
        <v/>
      </c>
      <c r="R65" s="27">
        <f>IF(B65="","",IFERROR(IF(INDEX(Data!$L$2:$L$745,MATCH(51,Data!$B$2:$B$745,0))="","",INDEX(Data!$L$2:$L$745,MATCH(51,Data!$B$2:$B$745,0))),""))</f>
        <v/>
      </c>
      <c r="AB65" t="inlineStr">
        <is>
          <t>DREAMCARE</t>
        </is>
      </c>
    </row>
    <row r="66" ht="62" customHeight="1">
      <c r="B66" s="27">
        <f>IF(52&lt;=COUNTIF(Data!$A$2:$A$745,TRUE),52,"")</f>
        <v/>
      </c>
      <c r="C66" s="28">
        <f>IF(B66="","",IFERROR(_xlfn.IMAGE(IFERROR(IF(INDEX(Data!$J$2:$J$745,MATCH(52,Data!$B$2:$B$745,0))="","",INDEX(Data!$J$2:$J$745,MATCH(52,Data!$B$2:$B$745,0))),"")),"IMAGE COMING SOON"))</f>
        <v/>
      </c>
      <c r="D66" s="29">
        <f>IF(B66="","",IFERROR(IF(INDEX(Data!$G$2:$G$745,MATCH(52,Data!$B$2:$B$745,0))="","",INDEX(Data!$G$2:$G$745,MATCH(52,Data!$B$2:$B$745,0))),"")&amp;CHAR(10)&amp;IFERROR(IF(INDEX(Data!$H$2:$H$745,MATCH(52,Data!$B$2:$B$745,0))="","",INDEX(Data!$H$2:$H$745,MATCH(52,Data!$B$2:$B$745,0))),""))</f>
        <v/>
      </c>
      <c r="E66" s="27">
        <f>IF(B66="","",IFERROR(IF(INDEX(Data!$I$2:$I$745,MATCH(52,Data!$B$2:$B$745,0))="","",INDEX(Data!$I$2:$I$745,MATCH(52,Data!$B$2:$B$745,0))),""))</f>
        <v/>
      </c>
      <c r="F66" s="27">
        <f>IF(B66="","",IFERROR(IF(INDEX(Data!$AJ$2:$AJ$745,MATCH(52,Data!$B$2:$B$745,0))="","",INDEX(Data!$AJ$2:$AJ$745,MATCH(52,Data!$B$2:$B$745,0))),""))</f>
        <v/>
      </c>
      <c r="G66" s="27">
        <f>IF(B66="","",TRIM(IFERROR(IF(INDEX(Data!$AF$2:$AF$745,MATCH(52,Data!$B$2:$B$745,0))="","",INDEX(Data!$AF$2:$AF$745,MATCH(52,Data!$B$2:$B$745,0))),"")&amp;" "&amp;IFERROR(IF(INDEX(Data!$AG$2:$AG$745,MATCH(52,Data!$B$2:$B$745,0))="","",INDEX(Data!$AG$2:$AG$745,MATCH(52,Data!$B$2:$B$745,0))),"")))</f>
        <v/>
      </c>
      <c r="H66" s="30">
        <f>IF(B66="","",IFERROR(IF(INDEX(Data!$N$2:$N$745,MATCH(52,Data!$B$2:$B$745,0))="","",INDEX(Data!$N$2:$N$745,MATCH(52,Data!$B$2:$B$745,0))),""))</f>
        <v/>
      </c>
      <c r="I66" s="30">
        <f>IF(B66="","",IFERROR(IF(INDEX(Data!$O$2:$O$745,MATCH(52,Data!$B$2:$B$745,0))="","",INDEX(Data!$O$2:$O$745,MATCH(52,Data!$B$2:$B$745,0))),""))</f>
        <v/>
      </c>
      <c r="J66" s="31">
        <f>IF(B66="","",IFERROR(IF(INDEX(Data!$P$2:$P$745,MATCH(52,Data!$B$2:$B$745,0))="","",INDEX(Data!$P$2:$P$745,MATCH(52,Data!$B$2:$B$745,0))),""))</f>
        <v/>
      </c>
      <c r="K66" s="32">
        <f>IF(B66="","",IFERROR(IF(INDEX(Data!$R$2:$R$745,MATCH(52,Data!$B$2:$B$745,0))="","",INDEX(Data!$R$2:$R$745,MATCH(52,Data!$B$2:$B$745,0))),""))</f>
        <v/>
      </c>
      <c r="L66" s="33">
        <f>IF(B66="","",IFERROR(IF(INDEX(Data!$S$2:$S$745,MATCH(52,Data!$B$2:$B$745,0))="","",INDEX(Data!$S$2:$S$745,MATCH(52,Data!$B$2:$B$745,0))),""))</f>
        <v/>
      </c>
      <c r="M66" s="33">
        <f>IF(B66="","",IFERROR(IF(INDEX(Data!$T$2:$T$745,MATCH(52,Data!$B$2:$B$745,0))="","",INDEX(Data!$T$2:$T$745,MATCH(52,Data!$B$2:$B$745,0))),""))</f>
        <v/>
      </c>
      <c r="N66" s="34">
        <f>IF(B66="","",IFERROR(IF(INDEX(Data!$U$2:$U$745,MATCH(52,Data!$B$2:$B$745,0))="","",INDEX(Data!$U$2:$U$745,MATCH(52,Data!$B$2:$B$745,0))),""))</f>
        <v/>
      </c>
      <c r="O66" s="33">
        <f>IF(B66="","",IFERROR(IF(INDEX(Data!$V$2:$V$745,MATCH(52,Data!$B$2:$B$745,0))="","",INDEX(Data!$V$2:$V$745,MATCH(52,Data!$B$2:$B$745,0))),""))</f>
        <v/>
      </c>
      <c r="P66" s="33">
        <f>IF(B66="","",IFERROR(IF(INDEX(Data!$M$2:$M$745,MATCH(52,Data!$B$2:$B$745,0))="","",INDEX(Data!$M$2:$M$745,MATCH(52,Data!$B$2:$B$745,0))),""))</f>
        <v/>
      </c>
      <c r="Q66" s="31">
        <f>IF(B66="","",IFERROR(IF(INDEX(Data!$AD$2:$AD$745,MATCH(52,Data!$B$2:$B$745,0))="","",INDEX(Data!$AD$2:$AD$745,MATCH(52,Data!$B$2:$B$745,0))),""))</f>
        <v/>
      </c>
      <c r="R66" s="27">
        <f>IF(B66="","",IFERROR(IF(INDEX(Data!$L$2:$L$745,MATCH(52,Data!$B$2:$B$745,0))="","",INDEX(Data!$L$2:$L$745,MATCH(52,Data!$B$2:$B$745,0))),""))</f>
        <v/>
      </c>
      <c r="AB66" t="inlineStr">
        <is>
          <t>DROWSY</t>
        </is>
      </c>
    </row>
    <row r="67" ht="62" customHeight="1">
      <c r="B67" s="27">
        <f>IF(53&lt;=COUNTIF(Data!$A$2:$A$745,TRUE),53,"")</f>
        <v/>
      </c>
      <c r="C67" s="28">
        <f>IF(B67="","",IFERROR(_xlfn.IMAGE(IFERROR(IF(INDEX(Data!$J$2:$J$745,MATCH(53,Data!$B$2:$B$745,0))="","",INDEX(Data!$J$2:$J$745,MATCH(53,Data!$B$2:$B$745,0))),"")),"IMAGE COMING SOON"))</f>
        <v/>
      </c>
      <c r="D67" s="29">
        <f>IF(B67="","",IFERROR(IF(INDEX(Data!$G$2:$G$745,MATCH(53,Data!$B$2:$B$745,0))="","",INDEX(Data!$G$2:$G$745,MATCH(53,Data!$B$2:$B$745,0))),"")&amp;CHAR(10)&amp;IFERROR(IF(INDEX(Data!$H$2:$H$745,MATCH(53,Data!$B$2:$B$745,0))="","",INDEX(Data!$H$2:$H$745,MATCH(53,Data!$B$2:$B$745,0))),""))</f>
        <v/>
      </c>
      <c r="E67" s="27">
        <f>IF(B67="","",IFERROR(IF(INDEX(Data!$I$2:$I$745,MATCH(53,Data!$B$2:$B$745,0))="","",INDEX(Data!$I$2:$I$745,MATCH(53,Data!$B$2:$B$745,0))),""))</f>
        <v/>
      </c>
      <c r="F67" s="27">
        <f>IF(B67="","",IFERROR(IF(INDEX(Data!$AJ$2:$AJ$745,MATCH(53,Data!$B$2:$B$745,0))="","",INDEX(Data!$AJ$2:$AJ$745,MATCH(53,Data!$B$2:$B$745,0))),""))</f>
        <v/>
      </c>
      <c r="G67" s="27">
        <f>IF(B67="","",TRIM(IFERROR(IF(INDEX(Data!$AF$2:$AF$745,MATCH(53,Data!$B$2:$B$745,0))="","",INDEX(Data!$AF$2:$AF$745,MATCH(53,Data!$B$2:$B$745,0))),"")&amp;" "&amp;IFERROR(IF(INDEX(Data!$AG$2:$AG$745,MATCH(53,Data!$B$2:$B$745,0))="","",INDEX(Data!$AG$2:$AG$745,MATCH(53,Data!$B$2:$B$745,0))),"")))</f>
        <v/>
      </c>
      <c r="H67" s="30">
        <f>IF(B67="","",IFERROR(IF(INDEX(Data!$N$2:$N$745,MATCH(53,Data!$B$2:$B$745,0))="","",INDEX(Data!$N$2:$N$745,MATCH(53,Data!$B$2:$B$745,0))),""))</f>
        <v/>
      </c>
      <c r="I67" s="30">
        <f>IF(B67="","",IFERROR(IF(INDEX(Data!$O$2:$O$745,MATCH(53,Data!$B$2:$B$745,0))="","",INDEX(Data!$O$2:$O$745,MATCH(53,Data!$B$2:$B$745,0))),""))</f>
        <v/>
      </c>
      <c r="J67" s="31">
        <f>IF(B67="","",IFERROR(IF(INDEX(Data!$P$2:$P$745,MATCH(53,Data!$B$2:$B$745,0))="","",INDEX(Data!$P$2:$P$745,MATCH(53,Data!$B$2:$B$745,0))),""))</f>
        <v/>
      </c>
      <c r="K67" s="32">
        <f>IF(B67="","",IFERROR(IF(INDEX(Data!$R$2:$R$745,MATCH(53,Data!$B$2:$B$745,0))="","",INDEX(Data!$R$2:$R$745,MATCH(53,Data!$B$2:$B$745,0))),""))</f>
        <v/>
      </c>
      <c r="L67" s="33">
        <f>IF(B67="","",IFERROR(IF(INDEX(Data!$S$2:$S$745,MATCH(53,Data!$B$2:$B$745,0))="","",INDEX(Data!$S$2:$S$745,MATCH(53,Data!$B$2:$B$745,0))),""))</f>
        <v/>
      </c>
      <c r="M67" s="33">
        <f>IF(B67="","",IFERROR(IF(INDEX(Data!$T$2:$T$745,MATCH(53,Data!$B$2:$B$745,0))="","",INDEX(Data!$T$2:$T$745,MATCH(53,Data!$B$2:$B$745,0))),""))</f>
        <v/>
      </c>
      <c r="N67" s="34">
        <f>IF(B67="","",IFERROR(IF(INDEX(Data!$U$2:$U$745,MATCH(53,Data!$B$2:$B$745,0))="","",INDEX(Data!$U$2:$U$745,MATCH(53,Data!$B$2:$B$745,0))),""))</f>
        <v/>
      </c>
      <c r="O67" s="33">
        <f>IF(B67="","",IFERROR(IF(INDEX(Data!$V$2:$V$745,MATCH(53,Data!$B$2:$B$745,0))="","",INDEX(Data!$V$2:$V$745,MATCH(53,Data!$B$2:$B$745,0))),""))</f>
        <v/>
      </c>
      <c r="P67" s="33">
        <f>IF(B67="","",IFERROR(IF(INDEX(Data!$M$2:$M$745,MATCH(53,Data!$B$2:$B$745,0))="","",INDEX(Data!$M$2:$M$745,MATCH(53,Data!$B$2:$B$745,0))),""))</f>
        <v/>
      </c>
      <c r="Q67" s="31">
        <f>IF(B67="","",IFERROR(IF(INDEX(Data!$AD$2:$AD$745,MATCH(53,Data!$B$2:$B$745,0))="","",INDEX(Data!$AD$2:$AD$745,MATCH(53,Data!$B$2:$B$745,0))),""))</f>
        <v/>
      </c>
      <c r="R67" s="27">
        <f>IF(B67="","",IFERROR(IF(INDEX(Data!$L$2:$L$745,MATCH(53,Data!$B$2:$B$745,0))="","",INDEX(Data!$L$2:$L$745,MATCH(53,Data!$B$2:$B$745,0))),""))</f>
        <v/>
      </c>
      <c r="AB67" t="inlineStr">
        <is>
          <t>EASELAND</t>
        </is>
      </c>
    </row>
    <row r="68" ht="62" customHeight="1">
      <c r="B68" s="27">
        <f>IF(54&lt;=COUNTIF(Data!$A$2:$A$745,TRUE),54,"")</f>
        <v/>
      </c>
      <c r="C68" s="28">
        <f>IF(B68="","",IFERROR(_xlfn.IMAGE(IFERROR(IF(INDEX(Data!$J$2:$J$745,MATCH(54,Data!$B$2:$B$745,0))="","",INDEX(Data!$J$2:$J$745,MATCH(54,Data!$B$2:$B$745,0))),"")),"IMAGE COMING SOON"))</f>
        <v/>
      </c>
      <c r="D68" s="29">
        <f>IF(B68="","",IFERROR(IF(INDEX(Data!$G$2:$G$745,MATCH(54,Data!$B$2:$B$745,0))="","",INDEX(Data!$G$2:$G$745,MATCH(54,Data!$B$2:$B$745,0))),"")&amp;CHAR(10)&amp;IFERROR(IF(INDEX(Data!$H$2:$H$745,MATCH(54,Data!$B$2:$B$745,0))="","",INDEX(Data!$H$2:$H$745,MATCH(54,Data!$B$2:$B$745,0))),""))</f>
        <v/>
      </c>
      <c r="E68" s="27">
        <f>IF(B68="","",IFERROR(IF(INDEX(Data!$I$2:$I$745,MATCH(54,Data!$B$2:$B$745,0))="","",INDEX(Data!$I$2:$I$745,MATCH(54,Data!$B$2:$B$745,0))),""))</f>
        <v/>
      </c>
      <c r="F68" s="27">
        <f>IF(B68="","",IFERROR(IF(INDEX(Data!$AJ$2:$AJ$745,MATCH(54,Data!$B$2:$B$745,0))="","",INDEX(Data!$AJ$2:$AJ$745,MATCH(54,Data!$B$2:$B$745,0))),""))</f>
        <v/>
      </c>
      <c r="G68" s="27">
        <f>IF(B68="","",TRIM(IFERROR(IF(INDEX(Data!$AF$2:$AF$745,MATCH(54,Data!$B$2:$B$745,0))="","",INDEX(Data!$AF$2:$AF$745,MATCH(54,Data!$B$2:$B$745,0))),"")&amp;" "&amp;IFERROR(IF(INDEX(Data!$AG$2:$AG$745,MATCH(54,Data!$B$2:$B$745,0))="","",INDEX(Data!$AG$2:$AG$745,MATCH(54,Data!$B$2:$B$745,0))),"")))</f>
        <v/>
      </c>
      <c r="H68" s="30">
        <f>IF(B68="","",IFERROR(IF(INDEX(Data!$N$2:$N$745,MATCH(54,Data!$B$2:$B$745,0))="","",INDEX(Data!$N$2:$N$745,MATCH(54,Data!$B$2:$B$745,0))),""))</f>
        <v/>
      </c>
      <c r="I68" s="30">
        <f>IF(B68="","",IFERROR(IF(INDEX(Data!$O$2:$O$745,MATCH(54,Data!$B$2:$B$745,0))="","",INDEX(Data!$O$2:$O$745,MATCH(54,Data!$B$2:$B$745,0))),""))</f>
        <v/>
      </c>
      <c r="J68" s="31">
        <f>IF(B68="","",IFERROR(IF(INDEX(Data!$P$2:$P$745,MATCH(54,Data!$B$2:$B$745,0))="","",INDEX(Data!$P$2:$P$745,MATCH(54,Data!$B$2:$B$745,0))),""))</f>
        <v/>
      </c>
      <c r="K68" s="32">
        <f>IF(B68="","",IFERROR(IF(INDEX(Data!$R$2:$R$745,MATCH(54,Data!$B$2:$B$745,0))="","",INDEX(Data!$R$2:$R$745,MATCH(54,Data!$B$2:$B$745,0))),""))</f>
        <v/>
      </c>
      <c r="L68" s="33">
        <f>IF(B68="","",IFERROR(IF(INDEX(Data!$S$2:$S$745,MATCH(54,Data!$B$2:$B$745,0))="","",INDEX(Data!$S$2:$S$745,MATCH(54,Data!$B$2:$B$745,0))),""))</f>
        <v/>
      </c>
      <c r="M68" s="33">
        <f>IF(B68="","",IFERROR(IF(INDEX(Data!$T$2:$T$745,MATCH(54,Data!$B$2:$B$745,0))="","",INDEX(Data!$T$2:$T$745,MATCH(54,Data!$B$2:$B$745,0))),""))</f>
        <v/>
      </c>
      <c r="N68" s="34">
        <f>IF(B68="","",IFERROR(IF(INDEX(Data!$U$2:$U$745,MATCH(54,Data!$B$2:$B$745,0))="","",INDEX(Data!$U$2:$U$745,MATCH(54,Data!$B$2:$B$745,0))),""))</f>
        <v/>
      </c>
      <c r="O68" s="33">
        <f>IF(B68="","",IFERROR(IF(INDEX(Data!$V$2:$V$745,MATCH(54,Data!$B$2:$B$745,0))="","",INDEX(Data!$V$2:$V$745,MATCH(54,Data!$B$2:$B$745,0))),""))</f>
        <v/>
      </c>
      <c r="P68" s="33">
        <f>IF(B68="","",IFERROR(IF(INDEX(Data!$M$2:$M$745,MATCH(54,Data!$B$2:$B$745,0))="","",INDEX(Data!$M$2:$M$745,MATCH(54,Data!$B$2:$B$745,0))),""))</f>
        <v/>
      </c>
      <c r="Q68" s="31">
        <f>IF(B68="","",IFERROR(IF(INDEX(Data!$AD$2:$AD$745,MATCH(54,Data!$B$2:$B$745,0))="","",INDEX(Data!$AD$2:$AD$745,MATCH(54,Data!$B$2:$B$745,0))),""))</f>
        <v/>
      </c>
      <c r="R68" s="27">
        <f>IF(B68="","",IFERROR(IF(INDEX(Data!$L$2:$L$745,MATCH(54,Data!$B$2:$B$745,0))="","",INDEX(Data!$L$2:$L$745,MATCH(54,Data!$B$2:$B$745,0))),""))</f>
        <v/>
      </c>
      <c r="AB68" t="inlineStr">
        <is>
          <t>Easy-Going</t>
        </is>
      </c>
    </row>
    <row r="69" ht="62" customHeight="1">
      <c r="B69" s="27">
        <f>IF(55&lt;=COUNTIF(Data!$A$2:$A$745,TRUE),55,"")</f>
        <v/>
      </c>
      <c r="C69" s="28">
        <f>IF(B69="","",IFERROR(_xlfn.IMAGE(IFERROR(IF(INDEX(Data!$J$2:$J$745,MATCH(55,Data!$B$2:$B$745,0))="","",INDEX(Data!$J$2:$J$745,MATCH(55,Data!$B$2:$B$745,0))),"")),"IMAGE COMING SOON"))</f>
        <v/>
      </c>
      <c r="D69" s="29">
        <f>IF(B69="","",IFERROR(IF(INDEX(Data!$G$2:$G$745,MATCH(55,Data!$B$2:$B$745,0))="","",INDEX(Data!$G$2:$G$745,MATCH(55,Data!$B$2:$B$745,0))),"")&amp;CHAR(10)&amp;IFERROR(IF(INDEX(Data!$H$2:$H$745,MATCH(55,Data!$B$2:$B$745,0))="","",INDEX(Data!$H$2:$H$745,MATCH(55,Data!$B$2:$B$745,0))),""))</f>
        <v/>
      </c>
      <c r="E69" s="27">
        <f>IF(B69="","",IFERROR(IF(INDEX(Data!$I$2:$I$745,MATCH(55,Data!$B$2:$B$745,0))="","",INDEX(Data!$I$2:$I$745,MATCH(55,Data!$B$2:$B$745,0))),""))</f>
        <v/>
      </c>
      <c r="F69" s="27">
        <f>IF(B69="","",IFERROR(IF(INDEX(Data!$AJ$2:$AJ$745,MATCH(55,Data!$B$2:$B$745,0))="","",INDEX(Data!$AJ$2:$AJ$745,MATCH(55,Data!$B$2:$B$745,0))),""))</f>
        <v/>
      </c>
      <c r="G69" s="27">
        <f>IF(B69="","",TRIM(IFERROR(IF(INDEX(Data!$AF$2:$AF$745,MATCH(55,Data!$B$2:$B$745,0))="","",INDEX(Data!$AF$2:$AF$745,MATCH(55,Data!$B$2:$B$745,0))),"")&amp;" "&amp;IFERROR(IF(INDEX(Data!$AG$2:$AG$745,MATCH(55,Data!$B$2:$B$745,0))="","",INDEX(Data!$AG$2:$AG$745,MATCH(55,Data!$B$2:$B$745,0))),"")))</f>
        <v/>
      </c>
      <c r="H69" s="30">
        <f>IF(B69="","",IFERROR(IF(INDEX(Data!$N$2:$N$745,MATCH(55,Data!$B$2:$B$745,0))="","",INDEX(Data!$N$2:$N$745,MATCH(55,Data!$B$2:$B$745,0))),""))</f>
        <v/>
      </c>
      <c r="I69" s="30">
        <f>IF(B69="","",IFERROR(IF(INDEX(Data!$O$2:$O$745,MATCH(55,Data!$B$2:$B$745,0))="","",INDEX(Data!$O$2:$O$745,MATCH(55,Data!$B$2:$B$745,0))),""))</f>
        <v/>
      </c>
      <c r="J69" s="31">
        <f>IF(B69="","",IFERROR(IF(INDEX(Data!$P$2:$P$745,MATCH(55,Data!$B$2:$B$745,0))="","",INDEX(Data!$P$2:$P$745,MATCH(55,Data!$B$2:$B$745,0))),""))</f>
        <v/>
      </c>
      <c r="K69" s="32">
        <f>IF(B69="","",IFERROR(IF(INDEX(Data!$R$2:$R$745,MATCH(55,Data!$B$2:$B$745,0))="","",INDEX(Data!$R$2:$R$745,MATCH(55,Data!$B$2:$B$745,0))),""))</f>
        <v/>
      </c>
      <c r="L69" s="33">
        <f>IF(B69="","",IFERROR(IF(INDEX(Data!$S$2:$S$745,MATCH(55,Data!$B$2:$B$745,0))="","",INDEX(Data!$S$2:$S$745,MATCH(55,Data!$B$2:$B$745,0))),""))</f>
        <v/>
      </c>
      <c r="M69" s="33">
        <f>IF(B69="","",IFERROR(IF(INDEX(Data!$T$2:$T$745,MATCH(55,Data!$B$2:$B$745,0))="","",INDEX(Data!$T$2:$T$745,MATCH(55,Data!$B$2:$B$745,0))),""))</f>
        <v/>
      </c>
      <c r="N69" s="34">
        <f>IF(B69="","",IFERROR(IF(INDEX(Data!$U$2:$U$745,MATCH(55,Data!$B$2:$B$745,0))="","",INDEX(Data!$U$2:$U$745,MATCH(55,Data!$B$2:$B$745,0))),""))</f>
        <v/>
      </c>
      <c r="O69" s="33">
        <f>IF(B69="","",IFERROR(IF(INDEX(Data!$V$2:$V$745,MATCH(55,Data!$B$2:$B$745,0))="","",INDEX(Data!$V$2:$V$745,MATCH(55,Data!$B$2:$B$745,0))),""))</f>
        <v/>
      </c>
      <c r="P69" s="33">
        <f>IF(B69="","",IFERROR(IF(INDEX(Data!$M$2:$M$745,MATCH(55,Data!$B$2:$B$745,0))="","",INDEX(Data!$M$2:$M$745,MATCH(55,Data!$B$2:$B$745,0))),""))</f>
        <v/>
      </c>
      <c r="Q69" s="31">
        <f>IF(B69="","",IFERROR(IF(INDEX(Data!$AD$2:$AD$745,MATCH(55,Data!$B$2:$B$745,0))="","",INDEX(Data!$AD$2:$AD$745,MATCH(55,Data!$B$2:$B$745,0))),""))</f>
        <v/>
      </c>
      <c r="R69" s="27">
        <f>IF(B69="","",IFERROR(IF(INDEX(Data!$L$2:$L$745,MATCH(55,Data!$B$2:$B$745,0))="","",INDEX(Data!$L$2:$L$745,MATCH(55,Data!$B$2:$B$745,0))),""))</f>
        <v/>
      </c>
      <c r="AB69" t="inlineStr">
        <is>
          <t>Elegear</t>
        </is>
      </c>
    </row>
    <row r="70" ht="62" customHeight="1">
      <c r="B70" s="27">
        <f>IF(56&lt;=COUNTIF(Data!$A$2:$A$745,TRUE),56,"")</f>
        <v/>
      </c>
      <c r="C70" s="28">
        <f>IF(B70="","",IFERROR(_xlfn.IMAGE(IFERROR(IF(INDEX(Data!$J$2:$J$745,MATCH(56,Data!$B$2:$B$745,0))="","",INDEX(Data!$J$2:$J$745,MATCH(56,Data!$B$2:$B$745,0))),"")),"IMAGE COMING SOON"))</f>
        <v/>
      </c>
      <c r="D70" s="29">
        <f>IF(B70="","",IFERROR(IF(INDEX(Data!$G$2:$G$745,MATCH(56,Data!$B$2:$B$745,0))="","",INDEX(Data!$G$2:$G$745,MATCH(56,Data!$B$2:$B$745,0))),"")&amp;CHAR(10)&amp;IFERROR(IF(INDEX(Data!$H$2:$H$745,MATCH(56,Data!$B$2:$B$745,0))="","",INDEX(Data!$H$2:$H$745,MATCH(56,Data!$B$2:$B$745,0))),""))</f>
        <v/>
      </c>
      <c r="E70" s="27">
        <f>IF(B70="","",IFERROR(IF(INDEX(Data!$I$2:$I$745,MATCH(56,Data!$B$2:$B$745,0))="","",INDEX(Data!$I$2:$I$745,MATCH(56,Data!$B$2:$B$745,0))),""))</f>
        <v/>
      </c>
      <c r="F70" s="27">
        <f>IF(B70="","",IFERROR(IF(INDEX(Data!$AJ$2:$AJ$745,MATCH(56,Data!$B$2:$B$745,0))="","",INDEX(Data!$AJ$2:$AJ$745,MATCH(56,Data!$B$2:$B$745,0))),""))</f>
        <v/>
      </c>
      <c r="G70" s="27">
        <f>IF(B70="","",TRIM(IFERROR(IF(INDEX(Data!$AF$2:$AF$745,MATCH(56,Data!$B$2:$B$745,0))="","",INDEX(Data!$AF$2:$AF$745,MATCH(56,Data!$B$2:$B$745,0))),"")&amp;" "&amp;IFERROR(IF(INDEX(Data!$AG$2:$AG$745,MATCH(56,Data!$B$2:$B$745,0))="","",INDEX(Data!$AG$2:$AG$745,MATCH(56,Data!$B$2:$B$745,0))),"")))</f>
        <v/>
      </c>
      <c r="H70" s="30">
        <f>IF(B70="","",IFERROR(IF(INDEX(Data!$N$2:$N$745,MATCH(56,Data!$B$2:$B$745,0))="","",INDEX(Data!$N$2:$N$745,MATCH(56,Data!$B$2:$B$745,0))),""))</f>
        <v/>
      </c>
      <c r="I70" s="30">
        <f>IF(B70="","",IFERROR(IF(INDEX(Data!$O$2:$O$745,MATCH(56,Data!$B$2:$B$745,0))="","",INDEX(Data!$O$2:$O$745,MATCH(56,Data!$B$2:$B$745,0))),""))</f>
        <v/>
      </c>
      <c r="J70" s="31">
        <f>IF(B70="","",IFERROR(IF(INDEX(Data!$P$2:$P$745,MATCH(56,Data!$B$2:$B$745,0))="","",INDEX(Data!$P$2:$P$745,MATCH(56,Data!$B$2:$B$745,0))),""))</f>
        <v/>
      </c>
      <c r="K70" s="32">
        <f>IF(B70="","",IFERROR(IF(INDEX(Data!$R$2:$R$745,MATCH(56,Data!$B$2:$B$745,0))="","",INDEX(Data!$R$2:$R$745,MATCH(56,Data!$B$2:$B$745,0))),""))</f>
        <v/>
      </c>
      <c r="L70" s="33">
        <f>IF(B70="","",IFERROR(IF(INDEX(Data!$S$2:$S$745,MATCH(56,Data!$B$2:$B$745,0))="","",INDEX(Data!$S$2:$S$745,MATCH(56,Data!$B$2:$B$745,0))),""))</f>
        <v/>
      </c>
      <c r="M70" s="33">
        <f>IF(B70="","",IFERROR(IF(INDEX(Data!$T$2:$T$745,MATCH(56,Data!$B$2:$B$745,0))="","",INDEX(Data!$T$2:$T$745,MATCH(56,Data!$B$2:$B$745,0))),""))</f>
        <v/>
      </c>
      <c r="N70" s="34">
        <f>IF(B70="","",IFERROR(IF(INDEX(Data!$U$2:$U$745,MATCH(56,Data!$B$2:$B$745,0))="","",INDEX(Data!$U$2:$U$745,MATCH(56,Data!$B$2:$B$745,0))),""))</f>
        <v/>
      </c>
      <c r="O70" s="33">
        <f>IF(B70="","",IFERROR(IF(INDEX(Data!$V$2:$V$745,MATCH(56,Data!$B$2:$B$745,0))="","",INDEX(Data!$V$2:$V$745,MATCH(56,Data!$B$2:$B$745,0))),""))</f>
        <v/>
      </c>
      <c r="P70" s="33">
        <f>IF(B70="","",IFERROR(IF(INDEX(Data!$M$2:$M$745,MATCH(56,Data!$B$2:$B$745,0))="","",INDEX(Data!$M$2:$M$745,MATCH(56,Data!$B$2:$B$745,0))),""))</f>
        <v/>
      </c>
      <c r="Q70" s="31">
        <f>IF(B70="","",IFERROR(IF(INDEX(Data!$AD$2:$AD$745,MATCH(56,Data!$B$2:$B$745,0))="","",INDEX(Data!$AD$2:$AD$745,MATCH(56,Data!$B$2:$B$745,0))),""))</f>
        <v/>
      </c>
      <c r="R70" s="27">
        <f>IF(B70="","",IFERROR(IF(INDEX(Data!$L$2:$L$745,MATCH(56,Data!$B$2:$B$745,0))="","",INDEX(Data!$L$2:$L$745,MATCH(56,Data!$B$2:$B$745,0))),""))</f>
        <v/>
      </c>
      <c r="AB70" t="inlineStr">
        <is>
          <t>ELIBABA</t>
        </is>
      </c>
    </row>
    <row r="71" ht="62" customHeight="1">
      <c r="B71" s="27">
        <f>IF(57&lt;=COUNTIF(Data!$A$2:$A$745,TRUE),57,"")</f>
        <v/>
      </c>
      <c r="C71" s="28">
        <f>IF(B71="","",IFERROR(_xlfn.IMAGE(IFERROR(IF(INDEX(Data!$J$2:$J$745,MATCH(57,Data!$B$2:$B$745,0))="","",INDEX(Data!$J$2:$J$745,MATCH(57,Data!$B$2:$B$745,0))),"")),"IMAGE COMING SOON"))</f>
        <v/>
      </c>
      <c r="D71" s="29">
        <f>IF(B71="","",IFERROR(IF(INDEX(Data!$G$2:$G$745,MATCH(57,Data!$B$2:$B$745,0))="","",INDEX(Data!$G$2:$G$745,MATCH(57,Data!$B$2:$B$745,0))),"")&amp;CHAR(10)&amp;IFERROR(IF(INDEX(Data!$H$2:$H$745,MATCH(57,Data!$B$2:$B$745,0))="","",INDEX(Data!$H$2:$H$745,MATCH(57,Data!$B$2:$B$745,0))),""))</f>
        <v/>
      </c>
      <c r="E71" s="27">
        <f>IF(B71="","",IFERROR(IF(INDEX(Data!$I$2:$I$745,MATCH(57,Data!$B$2:$B$745,0))="","",INDEX(Data!$I$2:$I$745,MATCH(57,Data!$B$2:$B$745,0))),""))</f>
        <v/>
      </c>
      <c r="F71" s="27">
        <f>IF(B71="","",IFERROR(IF(INDEX(Data!$AJ$2:$AJ$745,MATCH(57,Data!$B$2:$B$745,0))="","",INDEX(Data!$AJ$2:$AJ$745,MATCH(57,Data!$B$2:$B$745,0))),""))</f>
        <v/>
      </c>
      <c r="G71" s="27">
        <f>IF(B71="","",TRIM(IFERROR(IF(INDEX(Data!$AF$2:$AF$745,MATCH(57,Data!$B$2:$B$745,0))="","",INDEX(Data!$AF$2:$AF$745,MATCH(57,Data!$B$2:$B$745,0))),"")&amp;" "&amp;IFERROR(IF(INDEX(Data!$AG$2:$AG$745,MATCH(57,Data!$B$2:$B$745,0))="","",INDEX(Data!$AG$2:$AG$745,MATCH(57,Data!$B$2:$B$745,0))),"")))</f>
        <v/>
      </c>
      <c r="H71" s="30">
        <f>IF(B71="","",IFERROR(IF(INDEX(Data!$N$2:$N$745,MATCH(57,Data!$B$2:$B$745,0))="","",INDEX(Data!$N$2:$N$745,MATCH(57,Data!$B$2:$B$745,0))),""))</f>
        <v/>
      </c>
      <c r="I71" s="30">
        <f>IF(B71="","",IFERROR(IF(INDEX(Data!$O$2:$O$745,MATCH(57,Data!$B$2:$B$745,0))="","",INDEX(Data!$O$2:$O$745,MATCH(57,Data!$B$2:$B$745,0))),""))</f>
        <v/>
      </c>
      <c r="J71" s="31">
        <f>IF(B71="","",IFERROR(IF(INDEX(Data!$P$2:$P$745,MATCH(57,Data!$B$2:$B$745,0))="","",INDEX(Data!$P$2:$P$745,MATCH(57,Data!$B$2:$B$745,0))),""))</f>
        <v/>
      </c>
      <c r="K71" s="32">
        <f>IF(B71="","",IFERROR(IF(INDEX(Data!$R$2:$R$745,MATCH(57,Data!$B$2:$B$745,0))="","",INDEX(Data!$R$2:$R$745,MATCH(57,Data!$B$2:$B$745,0))),""))</f>
        <v/>
      </c>
      <c r="L71" s="33">
        <f>IF(B71="","",IFERROR(IF(INDEX(Data!$S$2:$S$745,MATCH(57,Data!$B$2:$B$745,0))="","",INDEX(Data!$S$2:$S$745,MATCH(57,Data!$B$2:$B$745,0))),""))</f>
        <v/>
      </c>
      <c r="M71" s="33">
        <f>IF(B71="","",IFERROR(IF(INDEX(Data!$T$2:$T$745,MATCH(57,Data!$B$2:$B$745,0))="","",INDEX(Data!$T$2:$T$745,MATCH(57,Data!$B$2:$B$745,0))),""))</f>
        <v/>
      </c>
      <c r="N71" s="34">
        <f>IF(B71="","",IFERROR(IF(INDEX(Data!$U$2:$U$745,MATCH(57,Data!$B$2:$B$745,0))="","",INDEX(Data!$U$2:$U$745,MATCH(57,Data!$B$2:$B$745,0))),""))</f>
        <v/>
      </c>
      <c r="O71" s="33">
        <f>IF(B71="","",IFERROR(IF(INDEX(Data!$V$2:$V$745,MATCH(57,Data!$B$2:$B$745,0))="","",INDEX(Data!$V$2:$V$745,MATCH(57,Data!$B$2:$B$745,0))),""))</f>
        <v/>
      </c>
      <c r="P71" s="33">
        <f>IF(B71="","",IFERROR(IF(INDEX(Data!$M$2:$M$745,MATCH(57,Data!$B$2:$B$745,0))="","",INDEX(Data!$M$2:$M$745,MATCH(57,Data!$B$2:$B$745,0))),""))</f>
        <v/>
      </c>
      <c r="Q71" s="31">
        <f>IF(B71="","",IFERROR(IF(INDEX(Data!$AD$2:$AD$745,MATCH(57,Data!$B$2:$B$745,0))="","",INDEX(Data!$AD$2:$AD$745,MATCH(57,Data!$B$2:$B$745,0))),""))</f>
        <v/>
      </c>
      <c r="R71" s="27">
        <f>IF(B71="","",IFERROR(IF(INDEX(Data!$L$2:$L$745,MATCH(57,Data!$B$2:$B$745,0))="","",INDEX(Data!$L$2:$L$745,MATCH(57,Data!$B$2:$B$745,0))),""))</f>
        <v/>
      </c>
      <c r="AB71" t="inlineStr">
        <is>
          <t>EverGrace</t>
        </is>
      </c>
    </row>
    <row r="72" ht="62" customHeight="1">
      <c r="B72" s="27">
        <f>IF(58&lt;=COUNTIF(Data!$A$2:$A$745,TRUE),58,"")</f>
        <v/>
      </c>
      <c r="C72" s="28">
        <f>IF(B72="","",IFERROR(_xlfn.IMAGE(IFERROR(IF(INDEX(Data!$J$2:$J$745,MATCH(58,Data!$B$2:$B$745,0))="","",INDEX(Data!$J$2:$J$745,MATCH(58,Data!$B$2:$B$745,0))),"")),"IMAGE COMING SOON"))</f>
        <v/>
      </c>
      <c r="D72" s="29">
        <f>IF(B72="","",IFERROR(IF(INDEX(Data!$G$2:$G$745,MATCH(58,Data!$B$2:$B$745,0))="","",INDEX(Data!$G$2:$G$745,MATCH(58,Data!$B$2:$B$745,0))),"")&amp;CHAR(10)&amp;IFERROR(IF(INDEX(Data!$H$2:$H$745,MATCH(58,Data!$B$2:$B$745,0))="","",INDEX(Data!$H$2:$H$745,MATCH(58,Data!$B$2:$B$745,0))),""))</f>
        <v/>
      </c>
      <c r="E72" s="27">
        <f>IF(B72="","",IFERROR(IF(INDEX(Data!$I$2:$I$745,MATCH(58,Data!$B$2:$B$745,0))="","",INDEX(Data!$I$2:$I$745,MATCH(58,Data!$B$2:$B$745,0))),""))</f>
        <v/>
      </c>
      <c r="F72" s="27">
        <f>IF(B72="","",IFERROR(IF(INDEX(Data!$AJ$2:$AJ$745,MATCH(58,Data!$B$2:$B$745,0))="","",INDEX(Data!$AJ$2:$AJ$745,MATCH(58,Data!$B$2:$B$745,0))),""))</f>
        <v/>
      </c>
      <c r="G72" s="27">
        <f>IF(B72="","",TRIM(IFERROR(IF(INDEX(Data!$AF$2:$AF$745,MATCH(58,Data!$B$2:$B$745,0))="","",INDEX(Data!$AF$2:$AF$745,MATCH(58,Data!$B$2:$B$745,0))),"")&amp;" "&amp;IFERROR(IF(INDEX(Data!$AG$2:$AG$745,MATCH(58,Data!$B$2:$B$745,0))="","",INDEX(Data!$AG$2:$AG$745,MATCH(58,Data!$B$2:$B$745,0))),"")))</f>
        <v/>
      </c>
      <c r="H72" s="30">
        <f>IF(B72="","",IFERROR(IF(INDEX(Data!$N$2:$N$745,MATCH(58,Data!$B$2:$B$745,0))="","",INDEX(Data!$N$2:$N$745,MATCH(58,Data!$B$2:$B$745,0))),""))</f>
        <v/>
      </c>
      <c r="I72" s="30">
        <f>IF(B72="","",IFERROR(IF(INDEX(Data!$O$2:$O$745,MATCH(58,Data!$B$2:$B$745,0))="","",INDEX(Data!$O$2:$O$745,MATCH(58,Data!$B$2:$B$745,0))),""))</f>
        <v/>
      </c>
      <c r="J72" s="31">
        <f>IF(B72="","",IFERROR(IF(INDEX(Data!$P$2:$P$745,MATCH(58,Data!$B$2:$B$745,0))="","",INDEX(Data!$P$2:$P$745,MATCH(58,Data!$B$2:$B$745,0))),""))</f>
        <v/>
      </c>
      <c r="K72" s="32">
        <f>IF(B72="","",IFERROR(IF(INDEX(Data!$R$2:$R$745,MATCH(58,Data!$B$2:$B$745,0))="","",INDEX(Data!$R$2:$R$745,MATCH(58,Data!$B$2:$B$745,0))),""))</f>
        <v/>
      </c>
      <c r="L72" s="33">
        <f>IF(B72="","",IFERROR(IF(INDEX(Data!$S$2:$S$745,MATCH(58,Data!$B$2:$B$745,0))="","",INDEX(Data!$S$2:$S$745,MATCH(58,Data!$B$2:$B$745,0))),""))</f>
        <v/>
      </c>
      <c r="M72" s="33">
        <f>IF(B72="","",IFERROR(IF(INDEX(Data!$T$2:$T$745,MATCH(58,Data!$B$2:$B$745,0))="","",INDEX(Data!$T$2:$T$745,MATCH(58,Data!$B$2:$B$745,0))),""))</f>
        <v/>
      </c>
      <c r="N72" s="34">
        <f>IF(B72="","",IFERROR(IF(INDEX(Data!$U$2:$U$745,MATCH(58,Data!$B$2:$B$745,0))="","",INDEX(Data!$U$2:$U$745,MATCH(58,Data!$B$2:$B$745,0))),""))</f>
        <v/>
      </c>
      <c r="O72" s="33">
        <f>IF(B72="","",IFERROR(IF(INDEX(Data!$V$2:$V$745,MATCH(58,Data!$B$2:$B$745,0))="","",INDEX(Data!$V$2:$V$745,MATCH(58,Data!$B$2:$B$745,0))),""))</f>
        <v/>
      </c>
      <c r="P72" s="33">
        <f>IF(B72="","",IFERROR(IF(INDEX(Data!$M$2:$M$745,MATCH(58,Data!$B$2:$B$745,0))="","",INDEX(Data!$M$2:$M$745,MATCH(58,Data!$B$2:$B$745,0))),""))</f>
        <v/>
      </c>
      <c r="Q72" s="31">
        <f>IF(B72="","",IFERROR(IF(INDEX(Data!$AD$2:$AD$745,MATCH(58,Data!$B$2:$B$745,0))="","",INDEX(Data!$AD$2:$AD$745,MATCH(58,Data!$B$2:$B$745,0))),""))</f>
        <v/>
      </c>
      <c r="R72" s="27">
        <f>IF(B72="","",IFERROR(IF(INDEX(Data!$L$2:$L$745,MATCH(58,Data!$B$2:$B$745,0))="","",INDEX(Data!$L$2:$L$745,MATCH(58,Data!$B$2:$B$745,0))),""))</f>
        <v/>
      </c>
      <c r="AB72" t="inlineStr">
        <is>
          <t>Exclusivo Mezcla</t>
        </is>
      </c>
    </row>
    <row r="73" ht="62" customHeight="1">
      <c r="B73" s="27">
        <f>IF(59&lt;=COUNTIF(Data!$A$2:$A$745,TRUE),59,"")</f>
        <v/>
      </c>
      <c r="C73" s="28">
        <f>IF(B73="","",IFERROR(_xlfn.IMAGE(IFERROR(IF(INDEX(Data!$J$2:$J$745,MATCH(59,Data!$B$2:$B$745,0))="","",INDEX(Data!$J$2:$J$745,MATCH(59,Data!$B$2:$B$745,0))),"")),"IMAGE COMING SOON"))</f>
        <v/>
      </c>
      <c r="D73" s="29">
        <f>IF(B73="","",IFERROR(IF(INDEX(Data!$G$2:$G$745,MATCH(59,Data!$B$2:$B$745,0))="","",INDEX(Data!$G$2:$G$745,MATCH(59,Data!$B$2:$B$745,0))),"")&amp;CHAR(10)&amp;IFERROR(IF(INDEX(Data!$H$2:$H$745,MATCH(59,Data!$B$2:$B$745,0))="","",INDEX(Data!$H$2:$H$745,MATCH(59,Data!$B$2:$B$745,0))),""))</f>
        <v/>
      </c>
      <c r="E73" s="27">
        <f>IF(B73="","",IFERROR(IF(INDEX(Data!$I$2:$I$745,MATCH(59,Data!$B$2:$B$745,0))="","",INDEX(Data!$I$2:$I$745,MATCH(59,Data!$B$2:$B$745,0))),""))</f>
        <v/>
      </c>
      <c r="F73" s="27">
        <f>IF(B73="","",IFERROR(IF(INDEX(Data!$AJ$2:$AJ$745,MATCH(59,Data!$B$2:$B$745,0))="","",INDEX(Data!$AJ$2:$AJ$745,MATCH(59,Data!$B$2:$B$745,0))),""))</f>
        <v/>
      </c>
      <c r="G73" s="27">
        <f>IF(B73="","",TRIM(IFERROR(IF(INDEX(Data!$AF$2:$AF$745,MATCH(59,Data!$B$2:$B$745,0))="","",INDEX(Data!$AF$2:$AF$745,MATCH(59,Data!$B$2:$B$745,0))),"")&amp;" "&amp;IFERROR(IF(INDEX(Data!$AG$2:$AG$745,MATCH(59,Data!$B$2:$B$745,0))="","",INDEX(Data!$AG$2:$AG$745,MATCH(59,Data!$B$2:$B$745,0))),"")))</f>
        <v/>
      </c>
      <c r="H73" s="30">
        <f>IF(B73="","",IFERROR(IF(INDEX(Data!$N$2:$N$745,MATCH(59,Data!$B$2:$B$745,0))="","",INDEX(Data!$N$2:$N$745,MATCH(59,Data!$B$2:$B$745,0))),""))</f>
        <v/>
      </c>
      <c r="I73" s="30">
        <f>IF(B73="","",IFERROR(IF(INDEX(Data!$O$2:$O$745,MATCH(59,Data!$B$2:$B$745,0))="","",INDEX(Data!$O$2:$O$745,MATCH(59,Data!$B$2:$B$745,0))),""))</f>
        <v/>
      </c>
      <c r="J73" s="31">
        <f>IF(B73="","",IFERROR(IF(INDEX(Data!$P$2:$P$745,MATCH(59,Data!$B$2:$B$745,0))="","",INDEX(Data!$P$2:$P$745,MATCH(59,Data!$B$2:$B$745,0))),""))</f>
        <v/>
      </c>
      <c r="K73" s="32">
        <f>IF(B73="","",IFERROR(IF(INDEX(Data!$R$2:$R$745,MATCH(59,Data!$B$2:$B$745,0))="","",INDEX(Data!$R$2:$R$745,MATCH(59,Data!$B$2:$B$745,0))),""))</f>
        <v/>
      </c>
      <c r="L73" s="33">
        <f>IF(B73="","",IFERROR(IF(INDEX(Data!$S$2:$S$745,MATCH(59,Data!$B$2:$B$745,0))="","",INDEX(Data!$S$2:$S$745,MATCH(59,Data!$B$2:$B$745,0))),""))</f>
        <v/>
      </c>
      <c r="M73" s="33">
        <f>IF(B73="","",IFERROR(IF(INDEX(Data!$T$2:$T$745,MATCH(59,Data!$B$2:$B$745,0))="","",INDEX(Data!$T$2:$T$745,MATCH(59,Data!$B$2:$B$745,0))),""))</f>
        <v/>
      </c>
      <c r="N73" s="34">
        <f>IF(B73="","",IFERROR(IF(INDEX(Data!$U$2:$U$745,MATCH(59,Data!$B$2:$B$745,0))="","",INDEX(Data!$U$2:$U$745,MATCH(59,Data!$B$2:$B$745,0))),""))</f>
        <v/>
      </c>
      <c r="O73" s="33">
        <f>IF(B73="","",IFERROR(IF(INDEX(Data!$V$2:$V$745,MATCH(59,Data!$B$2:$B$745,0))="","",INDEX(Data!$V$2:$V$745,MATCH(59,Data!$B$2:$B$745,0))),""))</f>
        <v/>
      </c>
      <c r="P73" s="33">
        <f>IF(B73="","",IFERROR(IF(INDEX(Data!$M$2:$M$745,MATCH(59,Data!$B$2:$B$745,0))="","",INDEX(Data!$M$2:$M$745,MATCH(59,Data!$B$2:$B$745,0))),""))</f>
        <v/>
      </c>
      <c r="Q73" s="31">
        <f>IF(B73="","",IFERROR(IF(INDEX(Data!$AD$2:$AD$745,MATCH(59,Data!$B$2:$B$745,0))="","",INDEX(Data!$AD$2:$AD$745,MATCH(59,Data!$B$2:$B$745,0))),""))</f>
        <v/>
      </c>
      <c r="R73" s="27">
        <f>IF(B73="","",IFERROR(IF(INDEX(Data!$L$2:$L$745,MATCH(59,Data!$B$2:$B$745,0))="","",INDEX(Data!$L$2:$L$745,MATCH(59,Data!$B$2:$B$745,0))),""))</f>
        <v/>
      </c>
      <c r="AB73" t="inlineStr">
        <is>
          <t>Fafua</t>
        </is>
      </c>
    </row>
    <row r="74" ht="62" customHeight="1">
      <c r="B74" s="27">
        <f>IF(60&lt;=COUNTIF(Data!$A$2:$A$745,TRUE),60,"")</f>
        <v/>
      </c>
      <c r="C74" s="28">
        <f>IF(B74="","",IFERROR(_xlfn.IMAGE(IFERROR(IF(INDEX(Data!$J$2:$J$745,MATCH(60,Data!$B$2:$B$745,0))="","",INDEX(Data!$J$2:$J$745,MATCH(60,Data!$B$2:$B$745,0))),"")),"IMAGE COMING SOON"))</f>
        <v/>
      </c>
      <c r="D74" s="29">
        <f>IF(B74="","",IFERROR(IF(INDEX(Data!$G$2:$G$745,MATCH(60,Data!$B$2:$B$745,0))="","",INDEX(Data!$G$2:$G$745,MATCH(60,Data!$B$2:$B$745,0))),"")&amp;CHAR(10)&amp;IFERROR(IF(INDEX(Data!$H$2:$H$745,MATCH(60,Data!$B$2:$B$745,0))="","",INDEX(Data!$H$2:$H$745,MATCH(60,Data!$B$2:$B$745,0))),""))</f>
        <v/>
      </c>
      <c r="E74" s="27">
        <f>IF(B74="","",IFERROR(IF(INDEX(Data!$I$2:$I$745,MATCH(60,Data!$B$2:$B$745,0))="","",INDEX(Data!$I$2:$I$745,MATCH(60,Data!$B$2:$B$745,0))),""))</f>
        <v/>
      </c>
      <c r="F74" s="27">
        <f>IF(B74="","",IFERROR(IF(INDEX(Data!$AJ$2:$AJ$745,MATCH(60,Data!$B$2:$B$745,0))="","",INDEX(Data!$AJ$2:$AJ$745,MATCH(60,Data!$B$2:$B$745,0))),""))</f>
        <v/>
      </c>
      <c r="G74" s="27">
        <f>IF(B74="","",TRIM(IFERROR(IF(INDEX(Data!$AF$2:$AF$745,MATCH(60,Data!$B$2:$B$745,0))="","",INDEX(Data!$AF$2:$AF$745,MATCH(60,Data!$B$2:$B$745,0))),"")&amp;" "&amp;IFERROR(IF(INDEX(Data!$AG$2:$AG$745,MATCH(60,Data!$B$2:$B$745,0))="","",INDEX(Data!$AG$2:$AG$745,MATCH(60,Data!$B$2:$B$745,0))),"")))</f>
        <v/>
      </c>
      <c r="H74" s="30">
        <f>IF(B74="","",IFERROR(IF(INDEX(Data!$N$2:$N$745,MATCH(60,Data!$B$2:$B$745,0))="","",INDEX(Data!$N$2:$N$745,MATCH(60,Data!$B$2:$B$745,0))),""))</f>
        <v/>
      </c>
      <c r="I74" s="30">
        <f>IF(B74="","",IFERROR(IF(INDEX(Data!$O$2:$O$745,MATCH(60,Data!$B$2:$B$745,0))="","",INDEX(Data!$O$2:$O$745,MATCH(60,Data!$B$2:$B$745,0))),""))</f>
        <v/>
      </c>
      <c r="J74" s="31">
        <f>IF(B74="","",IFERROR(IF(INDEX(Data!$P$2:$P$745,MATCH(60,Data!$B$2:$B$745,0))="","",INDEX(Data!$P$2:$P$745,MATCH(60,Data!$B$2:$B$745,0))),""))</f>
        <v/>
      </c>
      <c r="K74" s="32">
        <f>IF(B74="","",IFERROR(IF(INDEX(Data!$R$2:$R$745,MATCH(60,Data!$B$2:$B$745,0))="","",INDEX(Data!$R$2:$R$745,MATCH(60,Data!$B$2:$B$745,0))),""))</f>
        <v/>
      </c>
      <c r="L74" s="33">
        <f>IF(B74="","",IFERROR(IF(INDEX(Data!$S$2:$S$745,MATCH(60,Data!$B$2:$B$745,0))="","",INDEX(Data!$S$2:$S$745,MATCH(60,Data!$B$2:$B$745,0))),""))</f>
        <v/>
      </c>
      <c r="M74" s="33">
        <f>IF(B74="","",IFERROR(IF(INDEX(Data!$T$2:$T$745,MATCH(60,Data!$B$2:$B$745,0))="","",INDEX(Data!$T$2:$T$745,MATCH(60,Data!$B$2:$B$745,0))),""))</f>
        <v/>
      </c>
      <c r="N74" s="34">
        <f>IF(B74="","",IFERROR(IF(INDEX(Data!$U$2:$U$745,MATCH(60,Data!$B$2:$B$745,0))="","",INDEX(Data!$U$2:$U$745,MATCH(60,Data!$B$2:$B$745,0))),""))</f>
        <v/>
      </c>
      <c r="O74" s="33">
        <f>IF(B74="","",IFERROR(IF(INDEX(Data!$V$2:$V$745,MATCH(60,Data!$B$2:$B$745,0))="","",INDEX(Data!$V$2:$V$745,MATCH(60,Data!$B$2:$B$745,0))),""))</f>
        <v/>
      </c>
      <c r="P74" s="33">
        <f>IF(B74="","",IFERROR(IF(INDEX(Data!$M$2:$M$745,MATCH(60,Data!$B$2:$B$745,0))="","",INDEX(Data!$M$2:$M$745,MATCH(60,Data!$B$2:$B$745,0))),""))</f>
        <v/>
      </c>
      <c r="Q74" s="31">
        <f>IF(B74="","",IFERROR(IF(INDEX(Data!$AD$2:$AD$745,MATCH(60,Data!$B$2:$B$745,0))="","",INDEX(Data!$AD$2:$AD$745,MATCH(60,Data!$B$2:$B$745,0))),""))</f>
        <v/>
      </c>
      <c r="R74" s="27">
        <f>IF(B74="","",IFERROR(IF(INDEX(Data!$L$2:$L$745,MATCH(60,Data!$B$2:$B$745,0))="","",INDEX(Data!$L$2:$L$745,MATCH(60,Data!$B$2:$B$745,0))),""))</f>
        <v/>
      </c>
      <c r="AB74" t="inlineStr">
        <is>
          <t>FengXinZi Store</t>
        </is>
      </c>
    </row>
    <row r="75" ht="62" customHeight="1">
      <c r="B75" s="27">
        <f>IF(61&lt;=COUNTIF(Data!$A$2:$A$745,TRUE),61,"")</f>
        <v/>
      </c>
      <c r="C75" s="28">
        <f>IF(B75="","",IFERROR(_xlfn.IMAGE(IFERROR(IF(INDEX(Data!$J$2:$J$745,MATCH(61,Data!$B$2:$B$745,0))="","",INDEX(Data!$J$2:$J$745,MATCH(61,Data!$B$2:$B$745,0))),"")),"IMAGE COMING SOON"))</f>
        <v/>
      </c>
      <c r="D75" s="29">
        <f>IF(B75="","",IFERROR(IF(INDEX(Data!$G$2:$G$745,MATCH(61,Data!$B$2:$B$745,0))="","",INDEX(Data!$G$2:$G$745,MATCH(61,Data!$B$2:$B$745,0))),"")&amp;CHAR(10)&amp;IFERROR(IF(INDEX(Data!$H$2:$H$745,MATCH(61,Data!$B$2:$B$745,0))="","",INDEX(Data!$H$2:$H$745,MATCH(61,Data!$B$2:$B$745,0))),""))</f>
        <v/>
      </c>
      <c r="E75" s="27">
        <f>IF(B75="","",IFERROR(IF(INDEX(Data!$I$2:$I$745,MATCH(61,Data!$B$2:$B$745,0))="","",INDEX(Data!$I$2:$I$745,MATCH(61,Data!$B$2:$B$745,0))),""))</f>
        <v/>
      </c>
      <c r="F75" s="27">
        <f>IF(B75="","",IFERROR(IF(INDEX(Data!$AJ$2:$AJ$745,MATCH(61,Data!$B$2:$B$745,0))="","",INDEX(Data!$AJ$2:$AJ$745,MATCH(61,Data!$B$2:$B$745,0))),""))</f>
        <v/>
      </c>
      <c r="G75" s="27">
        <f>IF(B75="","",TRIM(IFERROR(IF(INDEX(Data!$AF$2:$AF$745,MATCH(61,Data!$B$2:$B$745,0))="","",INDEX(Data!$AF$2:$AF$745,MATCH(61,Data!$B$2:$B$745,0))),"")&amp;" "&amp;IFERROR(IF(INDEX(Data!$AG$2:$AG$745,MATCH(61,Data!$B$2:$B$745,0))="","",INDEX(Data!$AG$2:$AG$745,MATCH(61,Data!$B$2:$B$745,0))),"")))</f>
        <v/>
      </c>
      <c r="H75" s="30">
        <f>IF(B75="","",IFERROR(IF(INDEX(Data!$N$2:$N$745,MATCH(61,Data!$B$2:$B$745,0))="","",INDEX(Data!$N$2:$N$745,MATCH(61,Data!$B$2:$B$745,0))),""))</f>
        <v/>
      </c>
      <c r="I75" s="30">
        <f>IF(B75="","",IFERROR(IF(INDEX(Data!$O$2:$O$745,MATCH(61,Data!$B$2:$B$745,0))="","",INDEX(Data!$O$2:$O$745,MATCH(61,Data!$B$2:$B$745,0))),""))</f>
        <v/>
      </c>
      <c r="J75" s="31">
        <f>IF(B75="","",IFERROR(IF(INDEX(Data!$P$2:$P$745,MATCH(61,Data!$B$2:$B$745,0))="","",INDEX(Data!$P$2:$P$745,MATCH(61,Data!$B$2:$B$745,0))),""))</f>
        <v/>
      </c>
      <c r="K75" s="32">
        <f>IF(B75="","",IFERROR(IF(INDEX(Data!$R$2:$R$745,MATCH(61,Data!$B$2:$B$745,0))="","",INDEX(Data!$R$2:$R$745,MATCH(61,Data!$B$2:$B$745,0))),""))</f>
        <v/>
      </c>
      <c r="L75" s="33">
        <f>IF(B75="","",IFERROR(IF(INDEX(Data!$S$2:$S$745,MATCH(61,Data!$B$2:$B$745,0))="","",INDEX(Data!$S$2:$S$745,MATCH(61,Data!$B$2:$B$745,0))),""))</f>
        <v/>
      </c>
      <c r="M75" s="33">
        <f>IF(B75="","",IFERROR(IF(INDEX(Data!$T$2:$T$745,MATCH(61,Data!$B$2:$B$745,0))="","",INDEX(Data!$T$2:$T$745,MATCH(61,Data!$B$2:$B$745,0))),""))</f>
        <v/>
      </c>
      <c r="N75" s="34">
        <f>IF(B75="","",IFERROR(IF(INDEX(Data!$U$2:$U$745,MATCH(61,Data!$B$2:$B$745,0))="","",INDEX(Data!$U$2:$U$745,MATCH(61,Data!$B$2:$B$745,0))),""))</f>
        <v/>
      </c>
      <c r="O75" s="33">
        <f>IF(B75="","",IFERROR(IF(INDEX(Data!$V$2:$V$745,MATCH(61,Data!$B$2:$B$745,0))="","",INDEX(Data!$V$2:$V$745,MATCH(61,Data!$B$2:$B$745,0))),""))</f>
        <v/>
      </c>
      <c r="P75" s="33">
        <f>IF(B75="","",IFERROR(IF(INDEX(Data!$M$2:$M$745,MATCH(61,Data!$B$2:$B$745,0))="","",INDEX(Data!$M$2:$M$745,MATCH(61,Data!$B$2:$B$745,0))),""))</f>
        <v/>
      </c>
      <c r="Q75" s="31">
        <f>IF(B75="","",IFERROR(IF(INDEX(Data!$AD$2:$AD$745,MATCH(61,Data!$B$2:$B$745,0))="","",INDEX(Data!$AD$2:$AD$745,MATCH(61,Data!$B$2:$B$745,0))),""))</f>
        <v/>
      </c>
      <c r="R75" s="27">
        <f>IF(B75="","",IFERROR(IF(INDEX(Data!$L$2:$L$745,MATCH(61,Data!$B$2:$B$745,0))="","",INDEX(Data!$L$2:$L$745,MATCH(61,Data!$B$2:$B$745,0))),""))</f>
        <v/>
      </c>
      <c r="AB75" t="inlineStr">
        <is>
          <t>FESHKA</t>
        </is>
      </c>
    </row>
    <row r="76" ht="62" customHeight="1">
      <c r="B76" s="27">
        <f>IF(62&lt;=COUNTIF(Data!$A$2:$A$745,TRUE),62,"")</f>
        <v/>
      </c>
      <c r="C76" s="28">
        <f>IF(B76="","",IFERROR(_xlfn.IMAGE(IFERROR(IF(INDEX(Data!$J$2:$J$745,MATCH(62,Data!$B$2:$B$745,0))="","",INDEX(Data!$J$2:$J$745,MATCH(62,Data!$B$2:$B$745,0))),"")),"IMAGE COMING SOON"))</f>
        <v/>
      </c>
      <c r="D76" s="29">
        <f>IF(B76="","",IFERROR(IF(INDEX(Data!$G$2:$G$745,MATCH(62,Data!$B$2:$B$745,0))="","",INDEX(Data!$G$2:$G$745,MATCH(62,Data!$B$2:$B$745,0))),"")&amp;CHAR(10)&amp;IFERROR(IF(INDEX(Data!$H$2:$H$745,MATCH(62,Data!$B$2:$B$745,0))="","",INDEX(Data!$H$2:$H$745,MATCH(62,Data!$B$2:$B$745,0))),""))</f>
        <v/>
      </c>
      <c r="E76" s="27">
        <f>IF(B76="","",IFERROR(IF(INDEX(Data!$I$2:$I$745,MATCH(62,Data!$B$2:$B$745,0))="","",INDEX(Data!$I$2:$I$745,MATCH(62,Data!$B$2:$B$745,0))),""))</f>
        <v/>
      </c>
      <c r="F76" s="27">
        <f>IF(B76="","",IFERROR(IF(INDEX(Data!$AJ$2:$AJ$745,MATCH(62,Data!$B$2:$B$745,0))="","",INDEX(Data!$AJ$2:$AJ$745,MATCH(62,Data!$B$2:$B$745,0))),""))</f>
        <v/>
      </c>
      <c r="G76" s="27">
        <f>IF(B76="","",TRIM(IFERROR(IF(INDEX(Data!$AF$2:$AF$745,MATCH(62,Data!$B$2:$B$745,0))="","",INDEX(Data!$AF$2:$AF$745,MATCH(62,Data!$B$2:$B$745,0))),"")&amp;" "&amp;IFERROR(IF(INDEX(Data!$AG$2:$AG$745,MATCH(62,Data!$B$2:$B$745,0))="","",INDEX(Data!$AG$2:$AG$745,MATCH(62,Data!$B$2:$B$745,0))),"")))</f>
        <v/>
      </c>
      <c r="H76" s="30">
        <f>IF(B76="","",IFERROR(IF(INDEX(Data!$N$2:$N$745,MATCH(62,Data!$B$2:$B$745,0))="","",INDEX(Data!$N$2:$N$745,MATCH(62,Data!$B$2:$B$745,0))),""))</f>
        <v/>
      </c>
      <c r="I76" s="30">
        <f>IF(B76="","",IFERROR(IF(INDEX(Data!$O$2:$O$745,MATCH(62,Data!$B$2:$B$745,0))="","",INDEX(Data!$O$2:$O$745,MATCH(62,Data!$B$2:$B$745,0))),""))</f>
        <v/>
      </c>
      <c r="J76" s="31">
        <f>IF(B76="","",IFERROR(IF(INDEX(Data!$P$2:$P$745,MATCH(62,Data!$B$2:$B$745,0))="","",INDEX(Data!$P$2:$P$745,MATCH(62,Data!$B$2:$B$745,0))),""))</f>
        <v/>
      </c>
      <c r="K76" s="32">
        <f>IF(B76="","",IFERROR(IF(INDEX(Data!$R$2:$R$745,MATCH(62,Data!$B$2:$B$745,0))="","",INDEX(Data!$R$2:$R$745,MATCH(62,Data!$B$2:$B$745,0))),""))</f>
        <v/>
      </c>
      <c r="L76" s="33">
        <f>IF(B76="","",IFERROR(IF(INDEX(Data!$S$2:$S$745,MATCH(62,Data!$B$2:$B$745,0))="","",INDEX(Data!$S$2:$S$745,MATCH(62,Data!$B$2:$B$745,0))),""))</f>
        <v/>
      </c>
      <c r="M76" s="33">
        <f>IF(B76="","",IFERROR(IF(INDEX(Data!$T$2:$T$745,MATCH(62,Data!$B$2:$B$745,0))="","",INDEX(Data!$T$2:$T$745,MATCH(62,Data!$B$2:$B$745,0))),""))</f>
        <v/>
      </c>
      <c r="N76" s="34">
        <f>IF(B76="","",IFERROR(IF(INDEX(Data!$U$2:$U$745,MATCH(62,Data!$B$2:$B$745,0))="","",INDEX(Data!$U$2:$U$745,MATCH(62,Data!$B$2:$B$745,0))),""))</f>
        <v/>
      </c>
      <c r="O76" s="33">
        <f>IF(B76="","",IFERROR(IF(INDEX(Data!$V$2:$V$745,MATCH(62,Data!$B$2:$B$745,0))="","",INDEX(Data!$V$2:$V$745,MATCH(62,Data!$B$2:$B$745,0))),""))</f>
        <v/>
      </c>
      <c r="P76" s="33">
        <f>IF(B76="","",IFERROR(IF(INDEX(Data!$M$2:$M$745,MATCH(62,Data!$B$2:$B$745,0))="","",INDEX(Data!$M$2:$M$745,MATCH(62,Data!$B$2:$B$745,0))),""))</f>
        <v/>
      </c>
      <c r="Q76" s="31">
        <f>IF(B76="","",IFERROR(IF(INDEX(Data!$AD$2:$AD$745,MATCH(62,Data!$B$2:$B$745,0))="","",INDEX(Data!$AD$2:$AD$745,MATCH(62,Data!$B$2:$B$745,0))),""))</f>
        <v/>
      </c>
      <c r="R76" s="27">
        <f>IF(B76="","",IFERROR(IF(INDEX(Data!$L$2:$L$745,MATCH(62,Data!$B$2:$B$745,0))="","",INDEX(Data!$L$2:$L$745,MATCH(62,Data!$B$2:$B$745,0))),""))</f>
        <v/>
      </c>
      <c r="AB76" t="inlineStr">
        <is>
          <t>Fishers Finery</t>
        </is>
      </c>
    </row>
    <row r="77" ht="62" customHeight="1">
      <c r="B77" s="27">
        <f>IF(63&lt;=COUNTIF(Data!$A$2:$A$745,TRUE),63,"")</f>
        <v/>
      </c>
      <c r="C77" s="28">
        <f>IF(B77="","",IFERROR(_xlfn.IMAGE(IFERROR(IF(INDEX(Data!$J$2:$J$745,MATCH(63,Data!$B$2:$B$745,0))="","",INDEX(Data!$J$2:$J$745,MATCH(63,Data!$B$2:$B$745,0))),"")),"IMAGE COMING SOON"))</f>
        <v/>
      </c>
      <c r="D77" s="29">
        <f>IF(B77="","",IFERROR(IF(INDEX(Data!$G$2:$G$745,MATCH(63,Data!$B$2:$B$745,0))="","",INDEX(Data!$G$2:$G$745,MATCH(63,Data!$B$2:$B$745,0))),"")&amp;CHAR(10)&amp;IFERROR(IF(INDEX(Data!$H$2:$H$745,MATCH(63,Data!$B$2:$B$745,0))="","",INDEX(Data!$H$2:$H$745,MATCH(63,Data!$B$2:$B$745,0))),""))</f>
        <v/>
      </c>
      <c r="E77" s="27">
        <f>IF(B77="","",IFERROR(IF(INDEX(Data!$I$2:$I$745,MATCH(63,Data!$B$2:$B$745,0))="","",INDEX(Data!$I$2:$I$745,MATCH(63,Data!$B$2:$B$745,0))),""))</f>
        <v/>
      </c>
      <c r="F77" s="27">
        <f>IF(B77="","",IFERROR(IF(INDEX(Data!$AJ$2:$AJ$745,MATCH(63,Data!$B$2:$B$745,0))="","",INDEX(Data!$AJ$2:$AJ$745,MATCH(63,Data!$B$2:$B$745,0))),""))</f>
        <v/>
      </c>
      <c r="G77" s="27">
        <f>IF(B77="","",TRIM(IFERROR(IF(INDEX(Data!$AF$2:$AF$745,MATCH(63,Data!$B$2:$B$745,0))="","",INDEX(Data!$AF$2:$AF$745,MATCH(63,Data!$B$2:$B$745,0))),"")&amp;" "&amp;IFERROR(IF(INDEX(Data!$AG$2:$AG$745,MATCH(63,Data!$B$2:$B$745,0))="","",INDEX(Data!$AG$2:$AG$745,MATCH(63,Data!$B$2:$B$745,0))),"")))</f>
        <v/>
      </c>
      <c r="H77" s="30">
        <f>IF(B77="","",IFERROR(IF(INDEX(Data!$N$2:$N$745,MATCH(63,Data!$B$2:$B$745,0))="","",INDEX(Data!$N$2:$N$745,MATCH(63,Data!$B$2:$B$745,0))),""))</f>
        <v/>
      </c>
      <c r="I77" s="30">
        <f>IF(B77="","",IFERROR(IF(INDEX(Data!$O$2:$O$745,MATCH(63,Data!$B$2:$B$745,0))="","",INDEX(Data!$O$2:$O$745,MATCH(63,Data!$B$2:$B$745,0))),""))</f>
        <v/>
      </c>
      <c r="J77" s="31">
        <f>IF(B77="","",IFERROR(IF(INDEX(Data!$P$2:$P$745,MATCH(63,Data!$B$2:$B$745,0))="","",INDEX(Data!$P$2:$P$745,MATCH(63,Data!$B$2:$B$745,0))),""))</f>
        <v/>
      </c>
      <c r="K77" s="32">
        <f>IF(B77="","",IFERROR(IF(INDEX(Data!$R$2:$R$745,MATCH(63,Data!$B$2:$B$745,0))="","",INDEX(Data!$R$2:$R$745,MATCH(63,Data!$B$2:$B$745,0))),""))</f>
        <v/>
      </c>
      <c r="L77" s="33">
        <f>IF(B77="","",IFERROR(IF(INDEX(Data!$S$2:$S$745,MATCH(63,Data!$B$2:$B$745,0))="","",INDEX(Data!$S$2:$S$745,MATCH(63,Data!$B$2:$B$745,0))),""))</f>
        <v/>
      </c>
      <c r="M77" s="33">
        <f>IF(B77="","",IFERROR(IF(INDEX(Data!$T$2:$T$745,MATCH(63,Data!$B$2:$B$745,0))="","",INDEX(Data!$T$2:$T$745,MATCH(63,Data!$B$2:$B$745,0))),""))</f>
        <v/>
      </c>
      <c r="N77" s="34">
        <f>IF(B77="","",IFERROR(IF(INDEX(Data!$U$2:$U$745,MATCH(63,Data!$B$2:$B$745,0))="","",INDEX(Data!$U$2:$U$745,MATCH(63,Data!$B$2:$B$745,0))),""))</f>
        <v/>
      </c>
      <c r="O77" s="33">
        <f>IF(B77="","",IFERROR(IF(INDEX(Data!$V$2:$V$745,MATCH(63,Data!$B$2:$B$745,0))="","",INDEX(Data!$V$2:$V$745,MATCH(63,Data!$B$2:$B$745,0))),""))</f>
        <v/>
      </c>
      <c r="P77" s="33">
        <f>IF(B77="","",IFERROR(IF(INDEX(Data!$M$2:$M$745,MATCH(63,Data!$B$2:$B$745,0))="","",INDEX(Data!$M$2:$M$745,MATCH(63,Data!$B$2:$B$745,0))),""))</f>
        <v/>
      </c>
      <c r="Q77" s="31">
        <f>IF(B77="","",IFERROR(IF(INDEX(Data!$AD$2:$AD$745,MATCH(63,Data!$B$2:$B$745,0))="","",INDEX(Data!$AD$2:$AD$745,MATCH(63,Data!$B$2:$B$745,0))),""))</f>
        <v/>
      </c>
      <c r="R77" s="27">
        <f>IF(B77="","",IFERROR(IF(INDEX(Data!$L$2:$L$745,MATCH(63,Data!$B$2:$B$745,0))="","",INDEX(Data!$L$2:$L$745,MATCH(63,Data!$B$2:$B$745,0))),""))</f>
        <v/>
      </c>
      <c r="AB77" t="inlineStr">
        <is>
          <t>Fittia</t>
        </is>
      </c>
    </row>
    <row r="78" ht="62" customHeight="1">
      <c r="B78" s="27">
        <f>IF(64&lt;=COUNTIF(Data!$A$2:$A$745,TRUE),64,"")</f>
        <v/>
      </c>
      <c r="C78" s="28">
        <f>IF(B78="","",IFERROR(_xlfn.IMAGE(IFERROR(IF(INDEX(Data!$J$2:$J$745,MATCH(64,Data!$B$2:$B$745,0))="","",INDEX(Data!$J$2:$J$745,MATCH(64,Data!$B$2:$B$745,0))),"")),"IMAGE COMING SOON"))</f>
        <v/>
      </c>
      <c r="D78" s="29">
        <f>IF(B78="","",IFERROR(IF(INDEX(Data!$G$2:$G$745,MATCH(64,Data!$B$2:$B$745,0))="","",INDEX(Data!$G$2:$G$745,MATCH(64,Data!$B$2:$B$745,0))),"")&amp;CHAR(10)&amp;IFERROR(IF(INDEX(Data!$H$2:$H$745,MATCH(64,Data!$B$2:$B$745,0))="","",INDEX(Data!$H$2:$H$745,MATCH(64,Data!$B$2:$B$745,0))),""))</f>
        <v/>
      </c>
      <c r="E78" s="27">
        <f>IF(B78="","",IFERROR(IF(INDEX(Data!$I$2:$I$745,MATCH(64,Data!$B$2:$B$745,0))="","",INDEX(Data!$I$2:$I$745,MATCH(64,Data!$B$2:$B$745,0))),""))</f>
        <v/>
      </c>
      <c r="F78" s="27">
        <f>IF(B78="","",IFERROR(IF(INDEX(Data!$AJ$2:$AJ$745,MATCH(64,Data!$B$2:$B$745,0))="","",INDEX(Data!$AJ$2:$AJ$745,MATCH(64,Data!$B$2:$B$745,0))),""))</f>
        <v/>
      </c>
      <c r="G78" s="27">
        <f>IF(B78="","",TRIM(IFERROR(IF(INDEX(Data!$AF$2:$AF$745,MATCH(64,Data!$B$2:$B$745,0))="","",INDEX(Data!$AF$2:$AF$745,MATCH(64,Data!$B$2:$B$745,0))),"")&amp;" "&amp;IFERROR(IF(INDEX(Data!$AG$2:$AG$745,MATCH(64,Data!$B$2:$B$745,0))="","",INDEX(Data!$AG$2:$AG$745,MATCH(64,Data!$B$2:$B$745,0))),"")))</f>
        <v/>
      </c>
      <c r="H78" s="30">
        <f>IF(B78="","",IFERROR(IF(INDEX(Data!$N$2:$N$745,MATCH(64,Data!$B$2:$B$745,0))="","",INDEX(Data!$N$2:$N$745,MATCH(64,Data!$B$2:$B$745,0))),""))</f>
        <v/>
      </c>
      <c r="I78" s="30">
        <f>IF(B78="","",IFERROR(IF(INDEX(Data!$O$2:$O$745,MATCH(64,Data!$B$2:$B$745,0))="","",INDEX(Data!$O$2:$O$745,MATCH(64,Data!$B$2:$B$745,0))),""))</f>
        <v/>
      </c>
      <c r="J78" s="31">
        <f>IF(B78="","",IFERROR(IF(INDEX(Data!$P$2:$P$745,MATCH(64,Data!$B$2:$B$745,0))="","",INDEX(Data!$P$2:$P$745,MATCH(64,Data!$B$2:$B$745,0))),""))</f>
        <v/>
      </c>
      <c r="K78" s="32">
        <f>IF(B78="","",IFERROR(IF(INDEX(Data!$R$2:$R$745,MATCH(64,Data!$B$2:$B$745,0))="","",INDEX(Data!$R$2:$R$745,MATCH(64,Data!$B$2:$B$745,0))),""))</f>
        <v/>
      </c>
      <c r="L78" s="33">
        <f>IF(B78="","",IFERROR(IF(INDEX(Data!$S$2:$S$745,MATCH(64,Data!$B$2:$B$745,0))="","",INDEX(Data!$S$2:$S$745,MATCH(64,Data!$B$2:$B$745,0))),""))</f>
        <v/>
      </c>
      <c r="M78" s="33">
        <f>IF(B78="","",IFERROR(IF(INDEX(Data!$T$2:$T$745,MATCH(64,Data!$B$2:$B$745,0))="","",INDEX(Data!$T$2:$T$745,MATCH(64,Data!$B$2:$B$745,0))),""))</f>
        <v/>
      </c>
      <c r="N78" s="34">
        <f>IF(B78="","",IFERROR(IF(INDEX(Data!$U$2:$U$745,MATCH(64,Data!$B$2:$B$745,0))="","",INDEX(Data!$U$2:$U$745,MATCH(64,Data!$B$2:$B$745,0))),""))</f>
        <v/>
      </c>
      <c r="O78" s="33">
        <f>IF(B78="","",IFERROR(IF(INDEX(Data!$V$2:$V$745,MATCH(64,Data!$B$2:$B$745,0))="","",INDEX(Data!$V$2:$V$745,MATCH(64,Data!$B$2:$B$745,0))),""))</f>
        <v/>
      </c>
      <c r="P78" s="33">
        <f>IF(B78="","",IFERROR(IF(INDEX(Data!$M$2:$M$745,MATCH(64,Data!$B$2:$B$745,0))="","",INDEX(Data!$M$2:$M$745,MATCH(64,Data!$B$2:$B$745,0))),""))</f>
        <v/>
      </c>
      <c r="Q78" s="31">
        <f>IF(B78="","",IFERROR(IF(INDEX(Data!$AD$2:$AD$745,MATCH(64,Data!$B$2:$B$745,0))="","",INDEX(Data!$AD$2:$AD$745,MATCH(64,Data!$B$2:$B$745,0))),""))</f>
        <v/>
      </c>
      <c r="R78" s="27">
        <f>IF(B78="","",IFERROR(IF(INDEX(Data!$L$2:$L$745,MATCH(64,Data!$B$2:$B$745,0))="","",INDEX(Data!$L$2:$L$745,MATCH(64,Data!$B$2:$B$745,0))),""))</f>
        <v/>
      </c>
      <c r="AB78" t="inlineStr">
        <is>
          <t>FLCA</t>
        </is>
      </c>
    </row>
    <row r="79" ht="62" customHeight="1">
      <c r="B79" s="27">
        <f>IF(65&lt;=COUNTIF(Data!$A$2:$A$745,TRUE),65,"")</f>
        <v/>
      </c>
      <c r="C79" s="28">
        <f>IF(B79="","",IFERROR(_xlfn.IMAGE(IFERROR(IF(INDEX(Data!$J$2:$J$745,MATCH(65,Data!$B$2:$B$745,0))="","",INDEX(Data!$J$2:$J$745,MATCH(65,Data!$B$2:$B$745,0))),"")),"IMAGE COMING SOON"))</f>
        <v/>
      </c>
      <c r="D79" s="29">
        <f>IF(B79="","",IFERROR(IF(INDEX(Data!$G$2:$G$745,MATCH(65,Data!$B$2:$B$745,0))="","",INDEX(Data!$G$2:$G$745,MATCH(65,Data!$B$2:$B$745,0))),"")&amp;CHAR(10)&amp;IFERROR(IF(INDEX(Data!$H$2:$H$745,MATCH(65,Data!$B$2:$B$745,0))="","",INDEX(Data!$H$2:$H$745,MATCH(65,Data!$B$2:$B$745,0))),""))</f>
        <v/>
      </c>
      <c r="E79" s="27">
        <f>IF(B79="","",IFERROR(IF(INDEX(Data!$I$2:$I$745,MATCH(65,Data!$B$2:$B$745,0))="","",INDEX(Data!$I$2:$I$745,MATCH(65,Data!$B$2:$B$745,0))),""))</f>
        <v/>
      </c>
      <c r="F79" s="27">
        <f>IF(B79="","",IFERROR(IF(INDEX(Data!$AJ$2:$AJ$745,MATCH(65,Data!$B$2:$B$745,0))="","",INDEX(Data!$AJ$2:$AJ$745,MATCH(65,Data!$B$2:$B$745,0))),""))</f>
        <v/>
      </c>
      <c r="G79" s="27">
        <f>IF(B79="","",TRIM(IFERROR(IF(INDEX(Data!$AF$2:$AF$745,MATCH(65,Data!$B$2:$B$745,0))="","",INDEX(Data!$AF$2:$AF$745,MATCH(65,Data!$B$2:$B$745,0))),"")&amp;" "&amp;IFERROR(IF(INDEX(Data!$AG$2:$AG$745,MATCH(65,Data!$B$2:$B$745,0))="","",INDEX(Data!$AG$2:$AG$745,MATCH(65,Data!$B$2:$B$745,0))),"")))</f>
        <v/>
      </c>
      <c r="H79" s="30">
        <f>IF(B79="","",IFERROR(IF(INDEX(Data!$N$2:$N$745,MATCH(65,Data!$B$2:$B$745,0))="","",INDEX(Data!$N$2:$N$745,MATCH(65,Data!$B$2:$B$745,0))),""))</f>
        <v/>
      </c>
      <c r="I79" s="30">
        <f>IF(B79="","",IFERROR(IF(INDEX(Data!$O$2:$O$745,MATCH(65,Data!$B$2:$B$745,0))="","",INDEX(Data!$O$2:$O$745,MATCH(65,Data!$B$2:$B$745,0))),""))</f>
        <v/>
      </c>
      <c r="J79" s="31">
        <f>IF(B79="","",IFERROR(IF(INDEX(Data!$P$2:$P$745,MATCH(65,Data!$B$2:$B$745,0))="","",INDEX(Data!$P$2:$P$745,MATCH(65,Data!$B$2:$B$745,0))),""))</f>
        <v/>
      </c>
      <c r="K79" s="32">
        <f>IF(B79="","",IFERROR(IF(INDEX(Data!$R$2:$R$745,MATCH(65,Data!$B$2:$B$745,0))="","",INDEX(Data!$R$2:$R$745,MATCH(65,Data!$B$2:$B$745,0))),""))</f>
        <v/>
      </c>
      <c r="L79" s="33">
        <f>IF(B79="","",IFERROR(IF(INDEX(Data!$S$2:$S$745,MATCH(65,Data!$B$2:$B$745,0))="","",INDEX(Data!$S$2:$S$745,MATCH(65,Data!$B$2:$B$745,0))),""))</f>
        <v/>
      </c>
      <c r="M79" s="33">
        <f>IF(B79="","",IFERROR(IF(INDEX(Data!$T$2:$T$745,MATCH(65,Data!$B$2:$B$745,0))="","",INDEX(Data!$T$2:$T$745,MATCH(65,Data!$B$2:$B$745,0))),""))</f>
        <v/>
      </c>
      <c r="N79" s="34">
        <f>IF(B79="","",IFERROR(IF(INDEX(Data!$U$2:$U$745,MATCH(65,Data!$B$2:$B$745,0))="","",INDEX(Data!$U$2:$U$745,MATCH(65,Data!$B$2:$B$745,0))),""))</f>
        <v/>
      </c>
      <c r="O79" s="33">
        <f>IF(B79="","",IFERROR(IF(INDEX(Data!$V$2:$V$745,MATCH(65,Data!$B$2:$B$745,0))="","",INDEX(Data!$V$2:$V$745,MATCH(65,Data!$B$2:$B$745,0))),""))</f>
        <v/>
      </c>
      <c r="P79" s="33">
        <f>IF(B79="","",IFERROR(IF(INDEX(Data!$M$2:$M$745,MATCH(65,Data!$B$2:$B$745,0))="","",INDEX(Data!$M$2:$M$745,MATCH(65,Data!$B$2:$B$745,0))),""))</f>
        <v/>
      </c>
      <c r="Q79" s="31">
        <f>IF(B79="","",IFERROR(IF(INDEX(Data!$AD$2:$AD$745,MATCH(65,Data!$B$2:$B$745,0))="","",INDEX(Data!$AD$2:$AD$745,MATCH(65,Data!$B$2:$B$745,0))),""))</f>
        <v/>
      </c>
      <c r="R79" s="27">
        <f>IF(B79="","",IFERROR(IF(INDEX(Data!$L$2:$L$745,MATCH(65,Data!$B$2:$B$745,0))="","",INDEX(Data!$L$2:$L$745,MATCH(65,Data!$B$2:$B$745,0))),""))</f>
        <v/>
      </c>
      <c r="AB79" t="inlineStr">
        <is>
          <t>flowtorely</t>
        </is>
      </c>
    </row>
    <row r="80" ht="62" customHeight="1">
      <c r="B80" s="27">
        <f>IF(66&lt;=COUNTIF(Data!$A$2:$A$745,TRUE),66,"")</f>
        <v/>
      </c>
      <c r="C80" s="28">
        <f>IF(B80="","",IFERROR(_xlfn.IMAGE(IFERROR(IF(INDEX(Data!$J$2:$J$745,MATCH(66,Data!$B$2:$B$745,0))="","",INDEX(Data!$J$2:$J$745,MATCH(66,Data!$B$2:$B$745,0))),"")),"IMAGE COMING SOON"))</f>
        <v/>
      </c>
      <c r="D80" s="29">
        <f>IF(B80="","",IFERROR(IF(INDEX(Data!$G$2:$G$745,MATCH(66,Data!$B$2:$B$745,0))="","",INDEX(Data!$G$2:$G$745,MATCH(66,Data!$B$2:$B$745,0))),"")&amp;CHAR(10)&amp;IFERROR(IF(INDEX(Data!$H$2:$H$745,MATCH(66,Data!$B$2:$B$745,0))="","",INDEX(Data!$H$2:$H$745,MATCH(66,Data!$B$2:$B$745,0))),""))</f>
        <v/>
      </c>
      <c r="E80" s="27">
        <f>IF(B80="","",IFERROR(IF(INDEX(Data!$I$2:$I$745,MATCH(66,Data!$B$2:$B$745,0))="","",INDEX(Data!$I$2:$I$745,MATCH(66,Data!$B$2:$B$745,0))),""))</f>
        <v/>
      </c>
      <c r="F80" s="27">
        <f>IF(B80="","",IFERROR(IF(INDEX(Data!$AJ$2:$AJ$745,MATCH(66,Data!$B$2:$B$745,0))="","",INDEX(Data!$AJ$2:$AJ$745,MATCH(66,Data!$B$2:$B$745,0))),""))</f>
        <v/>
      </c>
      <c r="G80" s="27">
        <f>IF(B80="","",TRIM(IFERROR(IF(INDEX(Data!$AF$2:$AF$745,MATCH(66,Data!$B$2:$B$745,0))="","",INDEX(Data!$AF$2:$AF$745,MATCH(66,Data!$B$2:$B$745,0))),"")&amp;" "&amp;IFERROR(IF(INDEX(Data!$AG$2:$AG$745,MATCH(66,Data!$B$2:$B$745,0))="","",INDEX(Data!$AG$2:$AG$745,MATCH(66,Data!$B$2:$B$745,0))),"")))</f>
        <v/>
      </c>
      <c r="H80" s="30">
        <f>IF(B80="","",IFERROR(IF(INDEX(Data!$N$2:$N$745,MATCH(66,Data!$B$2:$B$745,0))="","",INDEX(Data!$N$2:$N$745,MATCH(66,Data!$B$2:$B$745,0))),""))</f>
        <v/>
      </c>
      <c r="I80" s="30">
        <f>IF(B80="","",IFERROR(IF(INDEX(Data!$O$2:$O$745,MATCH(66,Data!$B$2:$B$745,0))="","",INDEX(Data!$O$2:$O$745,MATCH(66,Data!$B$2:$B$745,0))),""))</f>
        <v/>
      </c>
      <c r="J80" s="31">
        <f>IF(B80="","",IFERROR(IF(INDEX(Data!$P$2:$P$745,MATCH(66,Data!$B$2:$B$745,0))="","",INDEX(Data!$P$2:$P$745,MATCH(66,Data!$B$2:$B$745,0))),""))</f>
        <v/>
      </c>
      <c r="K80" s="32">
        <f>IF(B80="","",IFERROR(IF(INDEX(Data!$R$2:$R$745,MATCH(66,Data!$B$2:$B$745,0))="","",INDEX(Data!$R$2:$R$745,MATCH(66,Data!$B$2:$B$745,0))),""))</f>
        <v/>
      </c>
      <c r="L80" s="33">
        <f>IF(B80="","",IFERROR(IF(INDEX(Data!$S$2:$S$745,MATCH(66,Data!$B$2:$B$745,0))="","",INDEX(Data!$S$2:$S$745,MATCH(66,Data!$B$2:$B$745,0))),""))</f>
        <v/>
      </c>
      <c r="M80" s="33">
        <f>IF(B80="","",IFERROR(IF(INDEX(Data!$T$2:$T$745,MATCH(66,Data!$B$2:$B$745,0))="","",INDEX(Data!$T$2:$T$745,MATCH(66,Data!$B$2:$B$745,0))),""))</f>
        <v/>
      </c>
      <c r="N80" s="34">
        <f>IF(B80="","",IFERROR(IF(INDEX(Data!$U$2:$U$745,MATCH(66,Data!$B$2:$B$745,0))="","",INDEX(Data!$U$2:$U$745,MATCH(66,Data!$B$2:$B$745,0))),""))</f>
        <v/>
      </c>
      <c r="O80" s="33">
        <f>IF(B80="","",IFERROR(IF(INDEX(Data!$V$2:$V$745,MATCH(66,Data!$B$2:$B$745,0))="","",INDEX(Data!$V$2:$V$745,MATCH(66,Data!$B$2:$B$745,0))),""))</f>
        <v/>
      </c>
      <c r="P80" s="33">
        <f>IF(B80="","",IFERROR(IF(INDEX(Data!$M$2:$M$745,MATCH(66,Data!$B$2:$B$745,0))="","",INDEX(Data!$M$2:$M$745,MATCH(66,Data!$B$2:$B$745,0))),""))</f>
        <v/>
      </c>
      <c r="Q80" s="31">
        <f>IF(B80="","",IFERROR(IF(INDEX(Data!$AD$2:$AD$745,MATCH(66,Data!$B$2:$B$745,0))="","",INDEX(Data!$AD$2:$AD$745,MATCH(66,Data!$B$2:$B$745,0))),""))</f>
        <v/>
      </c>
      <c r="R80" s="27">
        <f>IF(B80="","",IFERROR(IF(INDEX(Data!$L$2:$L$745,MATCH(66,Data!$B$2:$B$745,0))="","",INDEX(Data!$L$2:$L$745,MATCH(66,Data!$B$2:$B$745,0))),""))</f>
        <v/>
      </c>
      <c r="AB80" t="inlineStr">
        <is>
          <t>FLYMME</t>
        </is>
      </c>
    </row>
    <row r="81" ht="62" customHeight="1">
      <c r="B81" s="27">
        <f>IF(67&lt;=COUNTIF(Data!$A$2:$A$745,TRUE),67,"")</f>
        <v/>
      </c>
      <c r="C81" s="28">
        <f>IF(B81="","",IFERROR(_xlfn.IMAGE(IFERROR(IF(INDEX(Data!$J$2:$J$745,MATCH(67,Data!$B$2:$B$745,0))="","",INDEX(Data!$J$2:$J$745,MATCH(67,Data!$B$2:$B$745,0))),"")),"IMAGE COMING SOON"))</f>
        <v/>
      </c>
      <c r="D81" s="29">
        <f>IF(B81="","",IFERROR(IF(INDEX(Data!$G$2:$G$745,MATCH(67,Data!$B$2:$B$745,0))="","",INDEX(Data!$G$2:$G$745,MATCH(67,Data!$B$2:$B$745,0))),"")&amp;CHAR(10)&amp;IFERROR(IF(INDEX(Data!$H$2:$H$745,MATCH(67,Data!$B$2:$B$745,0))="","",INDEX(Data!$H$2:$H$745,MATCH(67,Data!$B$2:$B$745,0))),""))</f>
        <v/>
      </c>
      <c r="E81" s="27">
        <f>IF(B81="","",IFERROR(IF(INDEX(Data!$I$2:$I$745,MATCH(67,Data!$B$2:$B$745,0))="","",INDEX(Data!$I$2:$I$745,MATCH(67,Data!$B$2:$B$745,0))),""))</f>
        <v/>
      </c>
      <c r="F81" s="27">
        <f>IF(B81="","",IFERROR(IF(INDEX(Data!$AJ$2:$AJ$745,MATCH(67,Data!$B$2:$B$745,0))="","",INDEX(Data!$AJ$2:$AJ$745,MATCH(67,Data!$B$2:$B$745,0))),""))</f>
        <v/>
      </c>
      <c r="G81" s="27">
        <f>IF(B81="","",TRIM(IFERROR(IF(INDEX(Data!$AF$2:$AF$745,MATCH(67,Data!$B$2:$B$745,0))="","",INDEX(Data!$AF$2:$AF$745,MATCH(67,Data!$B$2:$B$745,0))),"")&amp;" "&amp;IFERROR(IF(INDEX(Data!$AG$2:$AG$745,MATCH(67,Data!$B$2:$B$745,0))="","",INDEX(Data!$AG$2:$AG$745,MATCH(67,Data!$B$2:$B$745,0))),"")))</f>
        <v/>
      </c>
      <c r="H81" s="30">
        <f>IF(B81="","",IFERROR(IF(INDEX(Data!$N$2:$N$745,MATCH(67,Data!$B$2:$B$745,0))="","",INDEX(Data!$N$2:$N$745,MATCH(67,Data!$B$2:$B$745,0))),""))</f>
        <v/>
      </c>
      <c r="I81" s="30">
        <f>IF(B81="","",IFERROR(IF(INDEX(Data!$O$2:$O$745,MATCH(67,Data!$B$2:$B$745,0))="","",INDEX(Data!$O$2:$O$745,MATCH(67,Data!$B$2:$B$745,0))),""))</f>
        <v/>
      </c>
      <c r="J81" s="31">
        <f>IF(B81="","",IFERROR(IF(INDEX(Data!$P$2:$P$745,MATCH(67,Data!$B$2:$B$745,0))="","",INDEX(Data!$P$2:$P$745,MATCH(67,Data!$B$2:$B$745,0))),""))</f>
        <v/>
      </c>
      <c r="K81" s="32">
        <f>IF(B81="","",IFERROR(IF(INDEX(Data!$R$2:$R$745,MATCH(67,Data!$B$2:$B$745,0))="","",INDEX(Data!$R$2:$R$745,MATCH(67,Data!$B$2:$B$745,0))),""))</f>
        <v/>
      </c>
      <c r="L81" s="33">
        <f>IF(B81="","",IFERROR(IF(INDEX(Data!$S$2:$S$745,MATCH(67,Data!$B$2:$B$745,0))="","",INDEX(Data!$S$2:$S$745,MATCH(67,Data!$B$2:$B$745,0))),""))</f>
        <v/>
      </c>
      <c r="M81" s="33">
        <f>IF(B81="","",IFERROR(IF(INDEX(Data!$T$2:$T$745,MATCH(67,Data!$B$2:$B$745,0))="","",INDEX(Data!$T$2:$T$745,MATCH(67,Data!$B$2:$B$745,0))),""))</f>
        <v/>
      </c>
      <c r="N81" s="34">
        <f>IF(B81="","",IFERROR(IF(INDEX(Data!$U$2:$U$745,MATCH(67,Data!$B$2:$B$745,0))="","",INDEX(Data!$U$2:$U$745,MATCH(67,Data!$B$2:$B$745,0))),""))</f>
        <v/>
      </c>
      <c r="O81" s="33">
        <f>IF(B81="","",IFERROR(IF(INDEX(Data!$V$2:$V$745,MATCH(67,Data!$B$2:$B$745,0))="","",INDEX(Data!$V$2:$V$745,MATCH(67,Data!$B$2:$B$745,0))),""))</f>
        <v/>
      </c>
      <c r="P81" s="33">
        <f>IF(B81="","",IFERROR(IF(INDEX(Data!$M$2:$M$745,MATCH(67,Data!$B$2:$B$745,0))="","",INDEX(Data!$M$2:$M$745,MATCH(67,Data!$B$2:$B$745,0))),""))</f>
        <v/>
      </c>
      <c r="Q81" s="31">
        <f>IF(B81="","",IFERROR(IF(INDEX(Data!$AD$2:$AD$745,MATCH(67,Data!$B$2:$B$745,0))="","",INDEX(Data!$AD$2:$AD$745,MATCH(67,Data!$B$2:$B$745,0))),""))</f>
        <v/>
      </c>
      <c r="R81" s="27">
        <f>IF(B81="","",IFERROR(IF(INDEX(Data!$L$2:$L$745,MATCH(67,Data!$B$2:$B$745,0))="","",INDEX(Data!$L$2:$L$745,MATCH(67,Data!$B$2:$B$745,0))),""))</f>
        <v/>
      </c>
      <c r="AB81" t="inlineStr">
        <is>
          <t>FORCHEER</t>
        </is>
      </c>
    </row>
    <row r="82" ht="62" customHeight="1">
      <c r="B82" s="27">
        <f>IF(68&lt;=COUNTIF(Data!$A$2:$A$745,TRUE),68,"")</f>
        <v/>
      </c>
      <c r="C82" s="28">
        <f>IF(B82="","",IFERROR(_xlfn.IMAGE(IFERROR(IF(INDEX(Data!$J$2:$J$745,MATCH(68,Data!$B$2:$B$745,0))="","",INDEX(Data!$J$2:$J$745,MATCH(68,Data!$B$2:$B$745,0))),"")),"IMAGE COMING SOON"))</f>
        <v/>
      </c>
      <c r="D82" s="29">
        <f>IF(B82="","",IFERROR(IF(INDEX(Data!$G$2:$G$745,MATCH(68,Data!$B$2:$B$745,0))="","",INDEX(Data!$G$2:$G$745,MATCH(68,Data!$B$2:$B$745,0))),"")&amp;CHAR(10)&amp;IFERROR(IF(INDEX(Data!$H$2:$H$745,MATCH(68,Data!$B$2:$B$745,0))="","",INDEX(Data!$H$2:$H$745,MATCH(68,Data!$B$2:$B$745,0))),""))</f>
        <v/>
      </c>
      <c r="E82" s="27">
        <f>IF(B82="","",IFERROR(IF(INDEX(Data!$I$2:$I$745,MATCH(68,Data!$B$2:$B$745,0))="","",INDEX(Data!$I$2:$I$745,MATCH(68,Data!$B$2:$B$745,0))),""))</f>
        <v/>
      </c>
      <c r="F82" s="27">
        <f>IF(B82="","",IFERROR(IF(INDEX(Data!$AJ$2:$AJ$745,MATCH(68,Data!$B$2:$B$745,0))="","",INDEX(Data!$AJ$2:$AJ$745,MATCH(68,Data!$B$2:$B$745,0))),""))</f>
        <v/>
      </c>
      <c r="G82" s="27">
        <f>IF(B82="","",TRIM(IFERROR(IF(INDEX(Data!$AF$2:$AF$745,MATCH(68,Data!$B$2:$B$745,0))="","",INDEX(Data!$AF$2:$AF$745,MATCH(68,Data!$B$2:$B$745,0))),"")&amp;" "&amp;IFERROR(IF(INDEX(Data!$AG$2:$AG$745,MATCH(68,Data!$B$2:$B$745,0))="","",INDEX(Data!$AG$2:$AG$745,MATCH(68,Data!$B$2:$B$745,0))),"")))</f>
        <v/>
      </c>
      <c r="H82" s="30">
        <f>IF(B82="","",IFERROR(IF(INDEX(Data!$N$2:$N$745,MATCH(68,Data!$B$2:$B$745,0))="","",INDEX(Data!$N$2:$N$745,MATCH(68,Data!$B$2:$B$745,0))),""))</f>
        <v/>
      </c>
      <c r="I82" s="30">
        <f>IF(B82="","",IFERROR(IF(INDEX(Data!$O$2:$O$745,MATCH(68,Data!$B$2:$B$745,0))="","",INDEX(Data!$O$2:$O$745,MATCH(68,Data!$B$2:$B$745,0))),""))</f>
        <v/>
      </c>
      <c r="J82" s="31">
        <f>IF(B82="","",IFERROR(IF(INDEX(Data!$P$2:$P$745,MATCH(68,Data!$B$2:$B$745,0))="","",INDEX(Data!$P$2:$P$745,MATCH(68,Data!$B$2:$B$745,0))),""))</f>
        <v/>
      </c>
      <c r="K82" s="32">
        <f>IF(B82="","",IFERROR(IF(INDEX(Data!$R$2:$R$745,MATCH(68,Data!$B$2:$B$745,0))="","",INDEX(Data!$R$2:$R$745,MATCH(68,Data!$B$2:$B$745,0))),""))</f>
        <v/>
      </c>
      <c r="L82" s="33">
        <f>IF(B82="","",IFERROR(IF(INDEX(Data!$S$2:$S$745,MATCH(68,Data!$B$2:$B$745,0))="","",INDEX(Data!$S$2:$S$745,MATCH(68,Data!$B$2:$B$745,0))),""))</f>
        <v/>
      </c>
      <c r="M82" s="33">
        <f>IF(B82="","",IFERROR(IF(INDEX(Data!$T$2:$T$745,MATCH(68,Data!$B$2:$B$745,0))="","",INDEX(Data!$T$2:$T$745,MATCH(68,Data!$B$2:$B$745,0))),""))</f>
        <v/>
      </c>
      <c r="N82" s="34">
        <f>IF(B82="","",IFERROR(IF(INDEX(Data!$U$2:$U$745,MATCH(68,Data!$B$2:$B$745,0))="","",INDEX(Data!$U$2:$U$745,MATCH(68,Data!$B$2:$B$745,0))),""))</f>
        <v/>
      </c>
      <c r="O82" s="33">
        <f>IF(B82="","",IFERROR(IF(INDEX(Data!$V$2:$V$745,MATCH(68,Data!$B$2:$B$745,0))="","",INDEX(Data!$V$2:$V$745,MATCH(68,Data!$B$2:$B$745,0))),""))</f>
        <v/>
      </c>
      <c r="P82" s="33">
        <f>IF(B82="","",IFERROR(IF(INDEX(Data!$M$2:$M$745,MATCH(68,Data!$B$2:$B$745,0))="","",INDEX(Data!$M$2:$M$745,MATCH(68,Data!$B$2:$B$745,0))),""))</f>
        <v/>
      </c>
      <c r="Q82" s="31">
        <f>IF(B82="","",IFERROR(IF(INDEX(Data!$AD$2:$AD$745,MATCH(68,Data!$B$2:$B$745,0))="","",INDEX(Data!$AD$2:$AD$745,MATCH(68,Data!$B$2:$B$745,0))),""))</f>
        <v/>
      </c>
      <c r="R82" s="27">
        <f>IF(B82="","",IFERROR(IF(INDEX(Data!$L$2:$L$745,MATCH(68,Data!$B$2:$B$745,0))="","",INDEX(Data!$L$2:$L$745,MATCH(68,Data!$B$2:$B$745,0))),""))</f>
        <v/>
      </c>
      <c r="AB82" t="inlineStr">
        <is>
          <t>FreshCulture</t>
        </is>
      </c>
    </row>
    <row r="83" ht="62" customHeight="1">
      <c r="B83" s="27">
        <f>IF(69&lt;=COUNTIF(Data!$A$2:$A$745,TRUE),69,"")</f>
        <v/>
      </c>
      <c r="C83" s="28">
        <f>IF(B83="","",IFERROR(_xlfn.IMAGE(IFERROR(IF(INDEX(Data!$J$2:$J$745,MATCH(69,Data!$B$2:$B$745,0))="","",INDEX(Data!$J$2:$J$745,MATCH(69,Data!$B$2:$B$745,0))),"")),"IMAGE COMING SOON"))</f>
        <v/>
      </c>
      <c r="D83" s="29">
        <f>IF(B83="","",IFERROR(IF(INDEX(Data!$G$2:$G$745,MATCH(69,Data!$B$2:$B$745,0))="","",INDEX(Data!$G$2:$G$745,MATCH(69,Data!$B$2:$B$745,0))),"")&amp;CHAR(10)&amp;IFERROR(IF(INDEX(Data!$H$2:$H$745,MATCH(69,Data!$B$2:$B$745,0))="","",INDEX(Data!$H$2:$H$745,MATCH(69,Data!$B$2:$B$745,0))),""))</f>
        <v/>
      </c>
      <c r="E83" s="27">
        <f>IF(B83="","",IFERROR(IF(INDEX(Data!$I$2:$I$745,MATCH(69,Data!$B$2:$B$745,0))="","",INDEX(Data!$I$2:$I$745,MATCH(69,Data!$B$2:$B$745,0))),""))</f>
        <v/>
      </c>
      <c r="F83" s="27">
        <f>IF(B83="","",IFERROR(IF(INDEX(Data!$AJ$2:$AJ$745,MATCH(69,Data!$B$2:$B$745,0))="","",INDEX(Data!$AJ$2:$AJ$745,MATCH(69,Data!$B$2:$B$745,0))),""))</f>
        <v/>
      </c>
      <c r="G83" s="27">
        <f>IF(B83="","",TRIM(IFERROR(IF(INDEX(Data!$AF$2:$AF$745,MATCH(69,Data!$B$2:$B$745,0))="","",INDEX(Data!$AF$2:$AF$745,MATCH(69,Data!$B$2:$B$745,0))),"")&amp;" "&amp;IFERROR(IF(INDEX(Data!$AG$2:$AG$745,MATCH(69,Data!$B$2:$B$745,0))="","",INDEX(Data!$AG$2:$AG$745,MATCH(69,Data!$B$2:$B$745,0))),"")))</f>
        <v/>
      </c>
      <c r="H83" s="30">
        <f>IF(B83="","",IFERROR(IF(INDEX(Data!$N$2:$N$745,MATCH(69,Data!$B$2:$B$745,0))="","",INDEX(Data!$N$2:$N$745,MATCH(69,Data!$B$2:$B$745,0))),""))</f>
        <v/>
      </c>
      <c r="I83" s="30">
        <f>IF(B83="","",IFERROR(IF(INDEX(Data!$O$2:$O$745,MATCH(69,Data!$B$2:$B$745,0))="","",INDEX(Data!$O$2:$O$745,MATCH(69,Data!$B$2:$B$745,0))),""))</f>
        <v/>
      </c>
      <c r="J83" s="31">
        <f>IF(B83="","",IFERROR(IF(INDEX(Data!$P$2:$P$745,MATCH(69,Data!$B$2:$B$745,0))="","",INDEX(Data!$P$2:$P$745,MATCH(69,Data!$B$2:$B$745,0))),""))</f>
        <v/>
      </c>
      <c r="K83" s="32">
        <f>IF(B83="","",IFERROR(IF(INDEX(Data!$R$2:$R$745,MATCH(69,Data!$B$2:$B$745,0))="","",INDEX(Data!$R$2:$R$745,MATCH(69,Data!$B$2:$B$745,0))),""))</f>
        <v/>
      </c>
      <c r="L83" s="33">
        <f>IF(B83="","",IFERROR(IF(INDEX(Data!$S$2:$S$745,MATCH(69,Data!$B$2:$B$745,0))="","",INDEX(Data!$S$2:$S$745,MATCH(69,Data!$B$2:$B$745,0))),""))</f>
        <v/>
      </c>
      <c r="M83" s="33">
        <f>IF(B83="","",IFERROR(IF(INDEX(Data!$T$2:$T$745,MATCH(69,Data!$B$2:$B$745,0))="","",INDEX(Data!$T$2:$T$745,MATCH(69,Data!$B$2:$B$745,0))),""))</f>
        <v/>
      </c>
      <c r="N83" s="34">
        <f>IF(B83="","",IFERROR(IF(INDEX(Data!$U$2:$U$745,MATCH(69,Data!$B$2:$B$745,0))="","",INDEX(Data!$U$2:$U$745,MATCH(69,Data!$B$2:$B$745,0))),""))</f>
        <v/>
      </c>
      <c r="O83" s="33">
        <f>IF(B83="","",IFERROR(IF(INDEX(Data!$V$2:$V$745,MATCH(69,Data!$B$2:$B$745,0))="","",INDEX(Data!$V$2:$V$745,MATCH(69,Data!$B$2:$B$745,0))),""))</f>
        <v/>
      </c>
      <c r="P83" s="33">
        <f>IF(B83="","",IFERROR(IF(INDEX(Data!$M$2:$M$745,MATCH(69,Data!$B$2:$B$745,0))="","",INDEX(Data!$M$2:$M$745,MATCH(69,Data!$B$2:$B$745,0))),""))</f>
        <v/>
      </c>
      <c r="Q83" s="31">
        <f>IF(B83="","",IFERROR(IF(INDEX(Data!$AD$2:$AD$745,MATCH(69,Data!$B$2:$B$745,0))="","",INDEX(Data!$AD$2:$AD$745,MATCH(69,Data!$B$2:$B$745,0))),""))</f>
        <v/>
      </c>
      <c r="R83" s="27">
        <f>IF(B83="","",IFERROR(IF(INDEX(Data!$L$2:$L$745,MATCH(69,Data!$B$2:$B$745,0))="","",INDEX(Data!$L$2:$L$745,MATCH(69,Data!$B$2:$B$745,0))),""))</f>
        <v/>
      </c>
      <c r="AB83" t="inlineStr">
        <is>
          <t>Gabire</t>
        </is>
      </c>
    </row>
    <row r="84" ht="62" customHeight="1">
      <c r="B84" s="27">
        <f>IF(70&lt;=COUNTIF(Data!$A$2:$A$745,TRUE),70,"")</f>
        <v/>
      </c>
      <c r="C84" s="28">
        <f>IF(B84="","",IFERROR(_xlfn.IMAGE(IFERROR(IF(INDEX(Data!$J$2:$J$745,MATCH(70,Data!$B$2:$B$745,0))="","",INDEX(Data!$J$2:$J$745,MATCH(70,Data!$B$2:$B$745,0))),"")),"IMAGE COMING SOON"))</f>
        <v/>
      </c>
      <c r="D84" s="29">
        <f>IF(B84="","",IFERROR(IF(INDEX(Data!$G$2:$G$745,MATCH(70,Data!$B$2:$B$745,0))="","",INDEX(Data!$G$2:$G$745,MATCH(70,Data!$B$2:$B$745,0))),"")&amp;CHAR(10)&amp;IFERROR(IF(INDEX(Data!$H$2:$H$745,MATCH(70,Data!$B$2:$B$745,0))="","",INDEX(Data!$H$2:$H$745,MATCH(70,Data!$B$2:$B$745,0))),""))</f>
        <v/>
      </c>
      <c r="E84" s="27">
        <f>IF(B84="","",IFERROR(IF(INDEX(Data!$I$2:$I$745,MATCH(70,Data!$B$2:$B$745,0))="","",INDEX(Data!$I$2:$I$745,MATCH(70,Data!$B$2:$B$745,0))),""))</f>
        <v/>
      </c>
      <c r="F84" s="27">
        <f>IF(B84="","",IFERROR(IF(INDEX(Data!$AJ$2:$AJ$745,MATCH(70,Data!$B$2:$B$745,0))="","",INDEX(Data!$AJ$2:$AJ$745,MATCH(70,Data!$B$2:$B$745,0))),""))</f>
        <v/>
      </c>
      <c r="G84" s="27">
        <f>IF(B84="","",TRIM(IFERROR(IF(INDEX(Data!$AF$2:$AF$745,MATCH(70,Data!$B$2:$B$745,0))="","",INDEX(Data!$AF$2:$AF$745,MATCH(70,Data!$B$2:$B$745,0))),"")&amp;" "&amp;IFERROR(IF(INDEX(Data!$AG$2:$AG$745,MATCH(70,Data!$B$2:$B$745,0))="","",INDEX(Data!$AG$2:$AG$745,MATCH(70,Data!$B$2:$B$745,0))),"")))</f>
        <v/>
      </c>
      <c r="H84" s="30">
        <f>IF(B84="","",IFERROR(IF(INDEX(Data!$N$2:$N$745,MATCH(70,Data!$B$2:$B$745,0))="","",INDEX(Data!$N$2:$N$745,MATCH(70,Data!$B$2:$B$745,0))),""))</f>
        <v/>
      </c>
      <c r="I84" s="30">
        <f>IF(B84="","",IFERROR(IF(INDEX(Data!$O$2:$O$745,MATCH(70,Data!$B$2:$B$745,0))="","",INDEX(Data!$O$2:$O$745,MATCH(70,Data!$B$2:$B$745,0))),""))</f>
        <v/>
      </c>
      <c r="J84" s="31">
        <f>IF(B84="","",IFERROR(IF(INDEX(Data!$P$2:$P$745,MATCH(70,Data!$B$2:$B$745,0))="","",INDEX(Data!$P$2:$P$745,MATCH(70,Data!$B$2:$B$745,0))),""))</f>
        <v/>
      </c>
      <c r="K84" s="32">
        <f>IF(B84="","",IFERROR(IF(INDEX(Data!$R$2:$R$745,MATCH(70,Data!$B$2:$B$745,0))="","",INDEX(Data!$R$2:$R$745,MATCH(70,Data!$B$2:$B$745,0))),""))</f>
        <v/>
      </c>
      <c r="L84" s="33">
        <f>IF(B84="","",IFERROR(IF(INDEX(Data!$S$2:$S$745,MATCH(70,Data!$B$2:$B$745,0))="","",INDEX(Data!$S$2:$S$745,MATCH(70,Data!$B$2:$B$745,0))),""))</f>
        <v/>
      </c>
      <c r="M84" s="33">
        <f>IF(B84="","",IFERROR(IF(INDEX(Data!$T$2:$T$745,MATCH(70,Data!$B$2:$B$745,0))="","",INDEX(Data!$T$2:$T$745,MATCH(70,Data!$B$2:$B$745,0))),""))</f>
        <v/>
      </c>
      <c r="N84" s="34">
        <f>IF(B84="","",IFERROR(IF(INDEX(Data!$U$2:$U$745,MATCH(70,Data!$B$2:$B$745,0))="","",INDEX(Data!$U$2:$U$745,MATCH(70,Data!$B$2:$B$745,0))),""))</f>
        <v/>
      </c>
      <c r="O84" s="33">
        <f>IF(B84="","",IFERROR(IF(INDEX(Data!$V$2:$V$745,MATCH(70,Data!$B$2:$B$745,0))="","",INDEX(Data!$V$2:$V$745,MATCH(70,Data!$B$2:$B$745,0))),""))</f>
        <v/>
      </c>
      <c r="P84" s="33">
        <f>IF(B84="","",IFERROR(IF(INDEX(Data!$M$2:$M$745,MATCH(70,Data!$B$2:$B$745,0))="","",INDEX(Data!$M$2:$M$745,MATCH(70,Data!$B$2:$B$745,0))),""))</f>
        <v/>
      </c>
      <c r="Q84" s="31">
        <f>IF(B84="","",IFERROR(IF(INDEX(Data!$AD$2:$AD$745,MATCH(70,Data!$B$2:$B$745,0))="","",INDEX(Data!$AD$2:$AD$745,MATCH(70,Data!$B$2:$B$745,0))),""))</f>
        <v/>
      </c>
      <c r="R84" s="27">
        <f>IF(B84="","",IFERROR(IF(INDEX(Data!$L$2:$L$745,MATCH(70,Data!$B$2:$B$745,0))="","",INDEX(Data!$L$2:$L$745,MATCH(70,Data!$B$2:$B$745,0))),""))</f>
        <v/>
      </c>
      <c r="AB84" t="inlineStr">
        <is>
          <t>Gehtmnl</t>
        </is>
      </c>
    </row>
    <row r="85" ht="62" customHeight="1">
      <c r="B85" s="27">
        <f>IF(71&lt;=COUNTIF(Data!$A$2:$A$745,TRUE),71,"")</f>
        <v/>
      </c>
      <c r="C85" s="28">
        <f>IF(B85="","",IFERROR(_xlfn.IMAGE(IFERROR(IF(INDEX(Data!$J$2:$J$745,MATCH(71,Data!$B$2:$B$745,0))="","",INDEX(Data!$J$2:$J$745,MATCH(71,Data!$B$2:$B$745,0))),"")),"IMAGE COMING SOON"))</f>
        <v/>
      </c>
      <c r="D85" s="29">
        <f>IF(B85="","",IFERROR(IF(INDEX(Data!$G$2:$G$745,MATCH(71,Data!$B$2:$B$745,0))="","",INDEX(Data!$G$2:$G$745,MATCH(71,Data!$B$2:$B$745,0))),"")&amp;CHAR(10)&amp;IFERROR(IF(INDEX(Data!$H$2:$H$745,MATCH(71,Data!$B$2:$B$745,0))="","",INDEX(Data!$H$2:$H$745,MATCH(71,Data!$B$2:$B$745,0))),""))</f>
        <v/>
      </c>
      <c r="E85" s="27">
        <f>IF(B85="","",IFERROR(IF(INDEX(Data!$I$2:$I$745,MATCH(71,Data!$B$2:$B$745,0))="","",INDEX(Data!$I$2:$I$745,MATCH(71,Data!$B$2:$B$745,0))),""))</f>
        <v/>
      </c>
      <c r="F85" s="27">
        <f>IF(B85="","",IFERROR(IF(INDEX(Data!$AJ$2:$AJ$745,MATCH(71,Data!$B$2:$B$745,0))="","",INDEX(Data!$AJ$2:$AJ$745,MATCH(71,Data!$B$2:$B$745,0))),""))</f>
        <v/>
      </c>
      <c r="G85" s="27">
        <f>IF(B85="","",TRIM(IFERROR(IF(INDEX(Data!$AF$2:$AF$745,MATCH(71,Data!$B$2:$B$745,0))="","",INDEX(Data!$AF$2:$AF$745,MATCH(71,Data!$B$2:$B$745,0))),"")&amp;" "&amp;IFERROR(IF(INDEX(Data!$AG$2:$AG$745,MATCH(71,Data!$B$2:$B$745,0))="","",INDEX(Data!$AG$2:$AG$745,MATCH(71,Data!$B$2:$B$745,0))),"")))</f>
        <v/>
      </c>
      <c r="H85" s="30">
        <f>IF(B85="","",IFERROR(IF(INDEX(Data!$N$2:$N$745,MATCH(71,Data!$B$2:$B$745,0))="","",INDEX(Data!$N$2:$N$745,MATCH(71,Data!$B$2:$B$745,0))),""))</f>
        <v/>
      </c>
      <c r="I85" s="30">
        <f>IF(B85="","",IFERROR(IF(INDEX(Data!$O$2:$O$745,MATCH(71,Data!$B$2:$B$745,0))="","",INDEX(Data!$O$2:$O$745,MATCH(71,Data!$B$2:$B$745,0))),""))</f>
        <v/>
      </c>
      <c r="J85" s="31">
        <f>IF(B85="","",IFERROR(IF(INDEX(Data!$P$2:$P$745,MATCH(71,Data!$B$2:$B$745,0))="","",INDEX(Data!$P$2:$P$745,MATCH(71,Data!$B$2:$B$745,0))),""))</f>
        <v/>
      </c>
      <c r="K85" s="32">
        <f>IF(B85="","",IFERROR(IF(INDEX(Data!$R$2:$R$745,MATCH(71,Data!$B$2:$B$745,0))="","",INDEX(Data!$R$2:$R$745,MATCH(71,Data!$B$2:$B$745,0))),""))</f>
        <v/>
      </c>
      <c r="L85" s="33">
        <f>IF(B85="","",IFERROR(IF(INDEX(Data!$S$2:$S$745,MATCH(71,Data!$B$2:$B$745,0))="","",INDEX(Data!$S$2:$S$745,MATCH(71,Data!$B$2:$B$745,0))),""))</f>
        <v/>
      </c>
      <c r="M85" s="33">
        <f>IF(B85="","",IFERROR(IF(INDEX(Data!$T$2:$T$745,MATCH(71,Data!$B$2:$B$745,0))="","",INDEX(Data!$T$2:$T$745,MATCH(71,Data!$B$2:$B$745,0))),""))</f>
        <v/>
      </c>
      <c r="N85" s="34">
        <f>IF(B85="","",IFERROR(IF(INDEX(Data!$U$2:$U$745,MATCH(71,Data!$B$2:$B$745,0))="","",INDEX(Data!$U$2:$U$745,MATCH(71,Data!$B$2:$B$745,0))),""))</f>
        <v/>
      </c>
      <c r="O85" s="33">
        <f>IF(B85="","",IFERROR(IF(INDEX(Data!$V$2:$V$745,MATCH(71,Data!$B$2:$B$745,0))="","",INDEX(Data!$V$2:$V$745,MATCH(71,Data!$B$2:$B$745,0))),""))</f>
        <v/>
      </c>
      <c r="P85" s="33">
        <f>IF(B85="","",IFERROR(IF(INDEX(Data!$M$2:$M$745,MATCH(71,Data!$B$2:$B$745,0))="","",INDEX(Data!$M$2:$M$745,MATCH(71,Data!$B$2:$B$745,0))),""))</f>
        <v/>
      </c>
      <c r="Q85" s="31">
        <f>IF(B85="","",IFERROR(IF(INDEX(Data!$AD$2:$AD$745,MATCH(71,Data!$B$2:$B$745,0))="","",INDEX(Data!$AD$2:$AD$745,MATCH(71,Data!$B$2:$B$745,0))),""))</f>
        <v/>
      </c>
      <c r="R85" s="27">
        <f>IF(B85="","",IFERROR(IF(INDEX(Data!$L$2:$L$745,MATCH(71,Data!$B$2:$B$745,0))="","",INDEX(Data!$L$2:$L$745,MATCH(71,Data!$B$2:$B$745,0))),""))</f>
        <v/>
      </c>
      <c r="AB85" t="inlineStr">
        <is>
          <t>Genina</t>
        </is>
      </c>
    </row>
    <row r="86" ht="62" customHeight="1">
      <c r="B86" s="27">
        <f>IF(72&lt;=COUNTIF(Data!$A$2:$A$745,TRUE),72,"")</f>
        <v/>
      </c>
      <c r="C86" s="28">
        <f>IF(B86="","",IFERROR(_xlfn.IMAGE(IFERROR(IF(INDEX(Data!$J$2:$J$745,MATCH(72,Data!$B$2:$B$745,0))="","",INDEX(Data!$J$2:$J$745,MATCH(72,Data!$B$2:$B$745,0))),"")),"IMAGE COMING SOON"))</f>
        <v/>
      </c>
      <c r="D86" s="29">
        <f>IF(B86="","",IFERROR(IF(INDEX(Data!$G$2:$G$745,MATCH(72,Data!$B$2:$B$745,0))="","",INDEX(Data!$G$2:$G$745,MATCH(72,Data!$B$2:$B$745,0))),"")&amp;CHAR(10)&amp;IFERROR(IF(INDEX(Data!$H$2:$H$745,MATCH(72,Data!$B$2:$B$745,0))="","",INDEX(Data!$H$2:$H$745,MATCH(72,Data!$B$2:$B$745,0))),""))</f>
        <v/>
      </c>
      <c r="E86" s="27">
        <f>IF(B86="","",IFERROR(IF(INDEX(Data!$I$2:$I$745,MATCH(72,Data!$B$2:$B$745,0))="","",INDEX(Data!$I$2:$I$745,MATCH(72,Data!$B$2:$B$745,0))),""))</f>
        <v/>
      </c>
      <c r="F86" s="27">
        <f>IF(B86="","",IFERROR(IF(INDEX(Data!$AJ$2:$AJ$745,MATCH(72,Data!$B$2:$B$745,0))="","",INDEX(Data!$AJ$2:$AJ$745,MATCH(72,Data!$B$2:$B$745,0))),""))</f>
        <v/>
      </c>
      <c r="G86" s="27">
        <f>IF(B86="","",TRIM(IFERROR(IF(INDEX(Data!$AF$2:$AF$745,MATCH(72,Data!$B$2:$B$745,0))="","",INDEX(Data!$AF$2:$AF$745,MATCH(72,Data!$B$2:$B$745,0))),"")&amp;" "&amp;IFERROR(IF(INDEX(Data!$AG$2:$AG$745,MATCH(72,Data!$B$2:$B$745,0))="","",INDEX(Data!$AG$2:$AG$745,MATCH(72,Data!$B$2:$B$745,0))),"")))</f>
        <v/>
      </c>
      <c r="H86" s="30">
        <f>IF(B86="","",IFERROR(IF(INDEX(Data!$N$2:$N$745,MATCH(72,Data!$B$2:$B$745,0))="","",INDEX(Data!$N$2:$N$745,MATCH(72,Data!$B$2:$B$745,0))),""))</f>
        <v/>
      </c>
      <c r="I86" s="30">
        <f>IF(B86="","",IFERROR(IF(INDEX(Data!$O$2:$O$745,MATCH(72,Data!$B$2:$B$745,0))="","",INDEX(Data!$O$2:$O$745,MATCH(72,Data!$B$2:$B$745,0))),""))</f>
        <v/>
      </c>
      <c r="J86" s="31">
        <f>IF(B86="","",IFERROR(IF(INDEX(Data!$P$2:$P$745,MATCH(72,Data!$B$2:$B$745,0))="","",INDEX(Data!$P$2:$P$745,MATCH(72,Data!$B$2:$B$745,0))),""))</f>
        <v/>
      </c>
      <c r="K86" s="32">
        <f>IF(B86="","",IFERROR(IF(INDEX(Data!$R$2:$R$745,MATCH(72,Data!$B$2:$B$745,0))="","",INDEX(Data!$R$2:$R$745,MATCH(72,Data!$B$2:$B$745,0))),""))</f>
        <v/>
      </c>
      <c r="L86" s="33">
        <f>IF(B86="","",IFERROR(IF(INDEX(Data!$S$2:$S$745,MATCH(72,Data!$B$2:$B$745,0))="","",INDEX(Data!$S$2:$S$745,MATCH(72,Data!$B$2:$B$745,0))),""))</f>
        <v/>
      </c>
      <c r="M86" s="33">
        <f>IF(B86="","",IFERROR(IF(INDEX(Data!$T$2:$T$745,MATCH(72,Data!$B$2:$B$745,0))="","",INDEX(Data!$T$2:$T$745,MATCH(72,Data!$B$2:$B$745,0))),""))</f>
        <v/>
      </c>
      <c r="N86" s="34">
        <f>IF(B86="","",IFERROR(IF(INDEX(Data!$U$2:$U$745,MATCH(72,Data!$B$2:$B$745,0))="","",INDEX(Data!$U$2:$U$745,MATCH(72,Data!$B$2:$B$745,0))),""))</f>
        <v/>
      </c>
      <c r="O86" s="33">
        <f>IF(B86="","",IFERROR(IF(INDEX(Data!$V$2:$V$745,MATCH(72,Data!$B$2:$B$745,0))="","",INDEX(Data!$V$2:$V$745,MATCH(72,Data!$B$2:$B$745,0))),""))</f>
        <v/>
      </c>
      <c r="P86" s="33">
        <f>IF(B86="","",IFERROR(IF(INDEX(Data!$M$2:$M$745,MATCH(72,Data!$B$2:$B$745,0))="","",INDEX(Data!$M$2:$M$745,MATCH(72,Data!$B$2:$B$745,0))),""))</f>
        <v/>
      </c>
      <c r="Q86" s="31">
        <f>IF(B86="","",IFERROR(IF(INDEX(Data!$AD$2:$AD$745,MATCH(72,Data!$B$2:$B$745,0))="","",INDEX(Data!$AD$2:$AD$745,MATCH(72,Data!$B$2:$B$745,0))),""))</f>
        <v/>
      </c>
      <c r="R86" s="27">
        <f>IF(B86="","",IFERROR(IF(INDEX(Data!$L$2:$L$745,MATCH(72,Data!$B$2:$B$745,0))="","",INDEX(Data!$L$2:$L$745,MATCH(72,Data!$B$2:$B$745,0))),""))</f>
        <v/>
      </c>
      <c r="AB86" t="inlineStr">
        <is>
          <t>GOKOTTA</t>
        </is>
      </c>
    </row>
    <row r="87" ht="62" customHeight="1">
      <c r="B87" s="27">
        <f>IF(73&lt;=COUNTIF(Data!$A$2:$A$745,TRUE),73,"")</f>
        <v/>
      </c>
      <c r="C87" s="28">
        <f>IF(B87="","",IFERROR(_xlfn.IMAGE(IFERROR(IF(INDEX(Data!$J$2:$J$745,MATCH(73,Data!$B$2:$B$745,0))="","",INDEX(Data!$J$2:$J$745,MATCH(73,Data!$B$2:$B$745,0))),"")),"IMAGE COMING SOON"))</f>
        <v/>
      </c>
      <c r="D87" s="29">
        <f>IF(B87="","",IFERROR(IF(INDEX(Data!$G$2:$G$745,MATCH(73,Data!$B$2:$B$745,0))="","",INDEX(Data!$G$2:$G$745,MATCH(73,Data!$B$2:$B$745,0))),"")&amp;CHAR(10)&amp;IFERROR(IF(INDEX(Data!$H$2:$H$745,MATCH(73,Data!$B$2:$B$745,0))="","",INDEX(Data!$H$2:$H$745,MATCH(73,Data!$B$2:$B$745,0))),""))</f>
        <v/>
      </c>
      <c r="E87" s="27">
        <f>IF(B87="","",IFERROR(IF(INDEX(Data!$I$2:$I$745,MATCH(73,Data!$B$2:$B$745,0))="","",INDEX(Data!$I$2:$I$745,MATCH(73,Data!$B$2:$B$745,0))),""))</f>
        <v/>
      </c>
      <c r="F87" s="27">
        <f>IF(B87="","",IFERROR(IF(INDEX(Data!$AJ$2:$AJ$745,MATCH(73,Data!$B$2:$B$745,0))="","",INDEX(Data!$AJ$2:$AJ$745,MATCH(73,Data!$B$2:$B$745,0))),""))</f>
        <v/>
      </c>
      <c r="G87" s="27">
        <f>IF(B87="","",TRIM(IFERROR(IF(INDEX(Data!$AF$2:$AF$745,MATCH(73,Data!$B$2:$B$745,0))="","",INDEX(Data!$AF$2:$AF$745,MATCH(73,Data!$B$2:$B$745,0))),"")&amp;" "&amp;IFERROR(IF(INDEX(Data!$AG$2:$AG$745,MATCH(73,Data!$B$2:$B$745,0))="","",INDEX(Data!$AG$2:$AG$745,MATCH(73,Data!$B$2:$B$745,0))),"")))</f>
        <v/>
      </c>
      <c r="H87" s="30">
        <f>IF(B87="","",IFERROR(IF(INDEX(Data!$N$2:$N$745,MATCH(73,Data!$B$2:$B$745,0))="","",INDEX(Data!$N$2:$N$745,MATCH(73,Data!$B$2:$B$745,0))),""))</f>
        <v/>
      </c>
      <c r="I87" s="30">
        <f>IF(B87="","",IFERROR(IF(INDEX(Data!$O$2:$O$745,MATCH(73,Data!$B$2:$B$745,0))="","",INDEX(Data!$O$2:$O$745,MATCH(73,Data!$B$2:$B$745,0))),""))</f>
        <v/>
      </c>
      <c r="J87" s="31">
        <f>IF(B87="","",IFERROR(IF(INDEX(Data!$P$2:$P$745,MATCH(73,Data!$B$2:$B$745,0))="","",INDEX(Data!$P$2:$P$745,MATCH(73,Data!$B$2:$B$745,0))),""))</f>
        <v/>
      </c>
      <c r="K87" s="32">
        <f>IF(B87="","",IFERROR(IF(INDEX(Data!$R$2:$R$745,MATCH(73,Data!$B$2:$B$745,0))="","",INDEX(Data!$R$2:$R$745,MATCH(73,Data!$B$2:$B$745,0))),""))</f>
        <v/>
      </c>
      <c r="L87" s="33">
        <f>IF(B87="","",IFERROR(IF(INDEX(Data!$S$2:$S$745,MATCH(73,Data!$B$2:$B$745,0))="","",INDEX(Data!$S$2:$S$745,MATCH(73,Data!$B$2:$B$745,0))),""))</f>
        <v/>
      </c>
      <c r="M87" s="33">
        <f>IF(B87="","",IFERROR(IF(INDEX(Data!$T$2:$T$745,MATCH(73,Data!$B$2:$B$745,0))="","",INDEX(Data!$T$2:$T$745,MATCH(73,Data!$B$2:$B$745,0))),""))</f>
        <v/>
      </c>
      <c r="N87" s="34">
        <f>IF(B87="","",IFERROR(IF(INDEX(Data!$U$2:$U$745,MATCH(73,Data!$B$2:$B$745,0))="","",INDEX(Data!$U$2:$U$745,MATCH(73,Data!$B$2:$B$745,0))),""))</f>
        <v/>
      </c>
      <c r="O87" s="33">
        <f>IF(B87="","",IFERROR(IF(INDEX(Data!$V$2:$V$745,MATCH(73,Data!$B$2:$B$745,0))="","",INDEX(Data!$V$2:$V$745,MATCH(73,Data!$B$2:$B$745,0))),""))</f>
        <v/>
      </c>
      <c r="P87" s="33">
        <f>IF(B87="","",IFERROR(IF(INDEX(Data!$M$2:$M$745,MATCH(73,Data!$B$2:$B$745,0))="","",INDEX(Data!$M$2:$M$745,MATCH(73,Data!$B$2:$B$745,0))),""))</f>
        <v/>
      </c>
      <c r="Q87" s="31">
        <f>IF(B87="","",IFERROR(IF(INDEX(Data!$AD$2:$AD$745,MATCH(73,Data!$B$2:$B$745,0))="","",INDEX(Data!$AD$2:$AD$745,MATCH(73,Data!$B$2:$B$745,0))),""))</f>
        <v/>
      </c>
      <c r="R87" s="27">
        <f>IF(B87="","",IFERROR(IF(INDEX(Data!$L$2:$L$745,MATCH(73,Data!$B$2:$B$745,0))="","",INDEX(Data!$L$2:$L$745,MATCH(73,Data!$B$2:$B$745,0))),""))</f>
        <v/>
      </c>
      <c r="AB87" t="inlineStr">
        <is>
          <t>GOLAL</t>
        </is>
      </c>
    </row>
    <row r="88" ht="62" customHeight="1">
      <c r="B88" s="27">
        <f>IF(74&lt;=COUNTIF(Data!$A$2:$A$745,TRUE),74,"")</f>
        <v/>
      </c>
      <c r="C88" s="28">
        <f>IF(B88="","",IFERROR(_xlfn.IMAGE(IFERROR(IF(INDEX(Data!$J$2:$J$745,MATCH(74,Data!$B$2:$B$745,0))="","",INDEX(Data!$J$2:$J$745,MATCH(74,Data!$B$2:$B$745,0))),"")),"IMAGE COMING SOON"))</f>
        <v/>
      </c>
      <c r="D88" s="29">
        <f>IF(B88="","",IFERROR(IF(INDEX(Data!$G$2:$G$745,MATCH(74,Data!$B$2:$B$745,0))="","",INDEX(Data!$G$2:$G$745,MATCH(74,Data!$B$2:$B$745,0))),"")&amp;CHAR(10)&amp;IFERROR(IF(INDEX(Data!$H$2:$H$745,MATCH(74,Data!$B$2:$B$745,0))="","",INDEX(Data!$H$2:$H$745,MATCH(74,Data!$B$2:$B$745,0))),""))</f>
        <v/>
      </c>
      <c r="E88" s="27">
        <f>IF(B88="","",IFERROR(IF(INDEX(Data!$I$2:$I$745,MATCH(74,Data!$B$2:$B$745,0))="","",INDEX(Data!$I$2:$I$745,MATCH(74,Data!$B$2:$B$745,0))),""))</f>
        <v/>
      </c>
      <c r="F88" s="27">
        <f>IF(B88="","",IFERROR(IF(INDEX(Data!$AJ$2:$AJ$745,MATCH(74,Data!$B$2:$B$745,0))="","",INDEX(Data!$AJ$2:$AJ$745,MATCH(74,Data!$B$2:$B$745,0))),""))</f>
        <v/>
      </c>
      <c r="G88" s="27">
        <f>IF(B88="","",TRIM(IFERROR(IF(INDEX(Data!$AF$2:$AF$745,MATCH(74,Data!$B$2:$B$745,0))="","",INDEX(Data!$AF$2:$AF$745,MATCH(74,Data!$B$2:$B$745,0))),"")&amp;" "&amp;IFERROR(IF(INDEX(Data!$AG$2:$AG$745,MATCH(74,Data!$B$2:$B$745,0))="","",INDEX(Data!$AG$2:$AG$745,MATCH(74,Data!$B$2:$B$745,0))),"")))</f>
        <v/>
      </c>
      <c r="H88" s="30">
        <f>IF(B88="","",IFERROR(IF(INDEX(Data!$N$2:$N$745,MATCH(74,Data!$B$2:$B$745,0))="","",INDEX(Data!$N$2:$N$745,MATCH(74,Data!$B$2:$B$745,0))),""))</f>
        <v/>
      </c>
      <c r="I88" s="30">
        <f>IF(B88="","",IFERROR(IF(INDEX(Data!$O$2:$O$745,MATCH(74,Data!$B$2:$B$745,0))="","",INDEX(Data!$O$2:$O$745,MATCH(74,Data!$B$2:$B$745,0))),""))</f>
        <v/>
      </c>
      <c r="J88" s="31">
        <f>IF(B88="","",IFERROR(IF(INDEX(Data!$P$2:$P$745,MATCH(74,Data!$B$2:$B$745,0))="","",INDEX(Data!$P$2:$P$745,MATCH(74,Data!$B$2:$B$745,0))),""))</f>
        <v/>
      </c>
      <c r="K88" s="32">
        <f>IF(B88="","",IFERROR(IF(INDEX(Data!$R$2:$R$745,MATCH(74,Data!$B$2:$B$745,0))="","",INDEX(Data!$R$2:$R$745,MATCH(74,Data!$B$2:$B$745,0))),""))</f>
        <v/>
      </c>
      <c r="L88" s="33">
        <f>IF(B88="","",IFERROR(IF(INDEX(Data!$S$2:$S$745,MATCH(74,Data!$B$2:$B$745,0))="","",INDEX(Data!$S$2:$S$745,MATCH(74,Data!$B$2:$B$745,0))),""))</f>
        <v/>
      </c>
      <c r="M88" s="33">
        <f>IF(B88="","",IFERROR(IF(INDEX(Data!$T$2:$T$745,MATCH(74,Data!$B$2:$B$745,0))="","",INDEX(Data!$T$2:$T$745,MATCH(74,Data!$B$2:$B$745,0))),""))</f>
        <v/>
      </c>
      <c r="N88" s="34">
        <f>IF(B88="","",IFERROR(IF(INDEX(Data!$U$2:$U$745,MATCH(74,Data!$B$2:$B$745,0))="","",INDEX(Data!$U$2:$U$745,MATCH(74,Data!$B$2:$B$745,0))),""))</f>
        <v/>
      </c>
      <c r="O88" s="33">
        <f>IF(B88="","",IFERROR(IF(INDEX(Data!$V$2:$V$745,MATCH(74,Data!$B$2:$B$745,0))="","",INDEX(Data!$V$2:$V$745,MATCH(74,Data!$B$2:$B$745,0))),""))</f>
        <v/>
      </c>
      <c r="P88" s="33">
        <f>IF(B88="","",IFERROR(IF(INDEX(Data!$M$2:$M$745,MATCH(74,Data!$B$2:$B$745,0))="","",INDEX(Data!$M$2:$M$745,MATCH(74,Data!$B$2:$B$745,0))),""))</f>
        <v/>
      </c>
      <c r="Q88" s="31">
        <f>IF(B88="","",IFERROR(IF(INDEX(Data!$AD$2:$AD$745,MATCH(74,Data!$B$2:$B$745,0))="","",INDEX(Data!$AD$2:$AD$745,MATCH(74,Data!$B$2:$B$745,0))),""))</f>
        <v/>
      </c>
      <c r="R88" s="27">
        <f>IF(B88="","",IFERROR(IF(INDEX(Data!$L$2:$L$745,MATCH(74,Data!$B$2:$B$745,0))="","",INDEX(Data!$L$2:$L$745,MATCH(74,Data!$B$2:$B$745,0))),""))</f>
        <v/>
      </c>
      <c r="AB88" t="inlineStr">
        <is>
          <t>Goroly Home</t>
        </is>
      </c>
    </row>
    <row r="89" ht="62" customHeight="1">
      <c r="B89" s="27">
        <f>IF(75&lt;=COUNTIF(Data!$A$2:$A$745,TRUE),75,"")</f>
        <v/>
      </c>
      <c r="C89" s="28">
        <f>IF(B89="","",IFERROR(_xlfn.IMAGE(IFERROR(IF(INDEX(Data!$J$2:$J$745,MATCH(75,Data!$B$2:$B$745,0))="","",INDEX(Data!$J$2:$J$745,MATCH(75,Data!$B$2:$B$745,0))),"")),"IMAGE COMING SOON"))</f>
        <v/>
      </c>
      <c r="D89" s="29">
        <f>IF(B89="","",IFERROR(IF(INDEX(Data!$G$2:$G$745,MATCH(75,Data!$B$2:$B$745,0))="","",INDEX(Data!$G$2:$G$745,MATCH(75,Data!$B$2:$B$745,0))),"")&amp;CHAR(10)&amp;IFERROR(IF(INDEX(Data!$H$2:$H$745,MATCH(75,Data!$B$2:$B$745,0))="","",INDEX(Data!$H$2:$H$745,MATCH(75,Data!$B$2:$B$745,0))),""))</f>
        <v/>
      </c>
      <c r="E89" s="27">
        <f>IF(B89="","",IFERROR(IF(INDEX(Data!$I$2:$I$745,MATCH(75,Data!$B$2:$B$745,0))="","",INDEX(Data!$I$2:$I$745,MATCH(75,Data!$B$2:$B$745,0))),""))</f>
        <v/>
      </c>
      <c r="F89" s="27">
        <f>IF(B89="","",IFERROR(IF(INDEX(Data!$AJ$2:$AJ$745,MATCH(75,Data!$B$2:$B$745,0))="","",INDEX(Data!$AJ$2:$AJ$745,MATCH(75,Data!$B$2:$B$745,0))),""))</f>
        <v/>
      </c>
      <c r="G89" s="27">
        <f>IF(B89="","",TRIM(IFERROR(IF(INDEX(Data!$AF$2:$AF$745,MATCH(75,Data!$B$2:$B$745,0))="","",INDEX(Data!$AF$2:$AF$745,MATCH(75,Data!$B$2:$B$745,0))),"")&amp;" "&amp;IFERROR(IF(INDEX(Data!$AG$2:$AG$745,MATCH(75,Data!$B$2:$B$745,0))="","",INDEX(Data!$AG$2:$AG$745,MATCH(75,Data!$B$2:$B$745,0))),"")))</f>
        <v/>
      </c>
      <c r="H89" s="30">
        <f>IF(B89="","",IFERROR(IF(INDEX(Data!$N$2:$N$745,MATCH(75,Data!$B$2:$B$745,0))="","",INDEX(Data!$N$2:$N$745,MATCH(75,Data!$B$2:$B$745,0))),""))</f>
        <v/>
      </c>
      <c r="I89" s="30">
        <f>IF(B89="","",IFERROR(IF(INDEX(Data!$O$2:$O$745,MATCH(75,Data!$B$2:$B$745,0))="","",INDEX(Data!$O$2:$O$745,MATCH(75,Data!$B$2:$B$745,0))),""))</f>
        <v/>
      </c>
      <c r="J89" s="31">
        <f>IF(B89="","",IFERROR(IF(INDEX(Data!$P$2:$P$745,MATCH(75,Data!$B$2:$B$745,0))="","",INDEX(Data!$P$2:$P$745,MATCH(75,Data!$B$2:$B$745,0))),""))</f>
        <v/>
      </c>
      <c r="K89" s="32">
        <f>IF(B89="","",IFERROR(IF(INDEX(Data!$R$2:$R$745,MATCH(75,Data!$B$2:$B$745,0))="","",INDEX(Data!$R$2:$R$745,MATCH(75,Data!$B$2:$B$745,0))),""))</f>
        <v/>
      </c>
      <c r="L89" s="33">
        <f>IF(B89="","",IFERROR(IF(INDEX(Data!$S$2:$S$745,MATCH(75,Data!$B$2:$B$745,0))="","",INDEX(Data!$S$2:$S$745,MATCH(75,Data!$B$2:$B$745,0))),""))</f>
        <v/>
      </c>
      <c r="M89" s="33">
        <f>IF(B89="","",IFERROR(IF(INDEX(Data!$T$2:$T$745,MATCH(75,Data!$B$2:$B$745,0))="","",INDEX(Data!$T$2:$T$745,MATCH(75,Data!$B$2:$B$745,0))),""))</f>
        <v/>
      </c>
      <c r="N89" s="34">
        <f>IF(B89="","",IFERROR(IF(INDEX(Data!$U$2:$U$745,MATCH(75,Data!$B$2:$B$745,0))="","",INDEX(Data!$U$2:$U$745,MATCH(75,Data!$B$2:$B$745,0))),""))</f>
        <v/>
      </c>
      <c r="O89" s="33">
        <f>IF(B89="","",IFERROR(IF(INDEX(Data!$V$2:$V$745,MATCH(75,Data!$B$2:$B$745,0))="","",INDEX(Data!$V$2:$V$745,MATCH(75,Data!$B$2:$B$745,0))),""))</f>
        <v/>
      </c>
      <c r="P89" s="33">
        <f>IF(B89="","",IFERROR(IF(INDEX(Data!$M$2:$M$745,MATCH(75,Data!$B$2:$B$745,0))="","",INDEX(Data!$M$2:$M$745,MATCH(75,Data!$B$2:$B$745,0))),""))</f>
        <v/>
      </c>
      <c r="Q89" s="31">
        <f>IF(B89="","",IFERROR(IF(INDEX(Data!$AD$2:$AD$745,MATCH(75,Data!$B$2:$B$745,0))="","",INDEX(Data!$AD$2:$AD$745,MATCH(75,Data!$B$2:$B$745,0))),""))</f>
        <v/>
      </c>
      <c r="R89" s="27">
        <f>IF(B89="","",IFERROR(IF(INDEX(Data!$L$2:$L$745,MATCH(75,Data!$B$2:$B$745,0))="","",INDEX(Data!$L$2:$L$745,MATCH(75,Data!$B$2:$B$745,0))),""))</f>
        <v/>
      </c>
      <c r="AB89" t="inlineStr">
        <is>
          <t>Guken</t>
        </is>
      </c>
    </row>
    <row r="90" ht="62" customHeight="1">
      <c r="B90" s="27">
        <f>IF(76&lt;=COUNTIF(Data!$A$2:$A$745,TRUE),76,"")</f>
        <v/>
      </c>
      <c r="C90" s="28">
        <f>IF(B90="","",IFERROR(_xlfn.IMAGE(IFERROR(IF(INDEX(Data!$J$2:$J$745,MATCH(76,Data!$B$2:$B$745,0))="","",INDEX(Data!$J$2:$J$745,MATCH(76,Data!$B$2:$B$745,0))),"")),"IMAGE COMING SOON"))</f>
        <v/>
      </c>
      <c r="D90" s="29">
        <f>IF(B90="","",IFERROR(IF(INDEX(Data!$G$2:$G$745,MATCH(76,Data!$B$2:$B$745,0))="","",INDEX(Data!$G$2:$G$745,MATCH(76,Data!$B$2:$B$745,0))),"")&amp;CHAR(10)&amp;IFERROR(IF(INDEX(Data!$H$2:$H$745,MATCH(76,Data!$B$2:$B$745,0))="","",INDEX(Data!$H$2:$H$745,MATCH(76,Data!$B$2:$B$745,0))),""))</f>
        <v/>
      </c>
      <c r="E90" s="27">
        <f>IF(B90="","",IFERROR(IF(INDEX(Data!$I$2:$I$745,MATCH(76,Data!$B$2:$B$745,0))="","",INDEX(Data!$I$2:$I$745,MATCH(76,Data!$B$2:$B$745,0))),""))</f>
        <v/>
      </c>
      <c r="F90" s="27">
        <f>IF(B90="","",IFERROR(IF(INDEX(Data!$AJ$2:$AJ$745,MATCH(76,Data!$B$2:$B$745,0))="","",INDEX(Data!$AJ$2:$AJ$745,MATCH(76,Data!$B$2:$B$745,0))),""))</f>
        <v/>
      </c>
      <c r="G90" s="27">
        <f>IF(B90="","",TRIM(IFERROR(IF(INDEX(Data!$AF$2:$AF$745,MATCH(76,Data!$B$2:$B$745,0))="","",INDEX(Data!$AF$2:$AF$745,MATCH(76,Data!$B$2:$B$745,0))),"")&amp;" "&amp;IFERROR(IF(INDEX(Data!$AG$2:$AG$745,MATCH(76,Data!$B$2:$B$745,0))="","",INDEX(Data!$AG$2:$AG$745,MATCH(76,Data!$B$2:$B$745,0))),"")))</f>
        <v/>
      </c>
      <c r="H90" s="30">
        <f>IF(B90="","",IFERROR(IF(INDEX(Data!$N$2:$N$745,MATCH(76,Data!$B$2:$B$745,0))="","",INDEX(Data!$N$2:$N$745,MATCH(76,Data!$B$2:$B$745,0))),""))</f>
        <v/>
      </c>
      <c r="I90" s="30">
        <f>IF(B90="","",IFERROR(IF(INDEX(Data!$O$2:$O$745,MATCH(76,Data!$B$2:$B$745,0))="","",INDEX(Data!$O$2:$O$745,MATCH(76,Data!$B$2:$B$745,0))),""))</f>
        <v/>
      </c>
      <c r="J90" s="31">
        <f>IF(B90="","",IFERROR(IF(INDEX(Data!$P$2:$P$745,MATCH(76,Data!$B$2:$B$745,0))="","",INDEX(Data!$P$2:$P$745,MATCH(76,Data!$B$2:$B$745,0))),""))</f>
        <v/>
      </c>
      <c r="K90" s="32">
        <f>IF(B90="","",IFERROR(IF(INDEX(Data!$R$2:$R$745,MATCH(76,Data!$B$2:$B$745,0))="","",INDEX(Data!$R$2:$R$745,MATCH(76,Data!$B$2:$B$745,0))),""))</f>
        <v/>
      </c>
      <c r="L90" s="33">
        <f>IF(B90="","",IFERROR(IF(INDEX(Data!$S$2:$S$745,MATCH(76,Data!$B$2:$B$745,0))="","",INDEX(Data!$S$2:$S$745,MATCH(76,Data!$B$2:$B$745,0))),""))</f>
        <v/>
      </c>
      <c r="M90" s="33">
        <f>IF(B90="","",IFERROR(IF(INDEX(Data!$T$2:$T$745,MATCH(76,Data!$B$2:$B$745,0))="","",INDEX(Data!$T$2:$T$745,MATCH(76,Data!$B$2:$B$745,0))),""))</f>
        <v/>
      </c>
      <c r="N90" s="34">
        <f>IF(B90="","",IFERROR(IF(INDEX(Data!$U$2:$U$745,MATCH(76,Data!$B$2:$B$745,0))="","",INDEX(Data!$U$2:$U$745,MATCH(76,Data!$B$2:$B$745,0))),""))</f>
        <v/>
      </c>
      <c r="O90" s="33">
        <f>IF(B90="","",IFERROR(IF(INDEX(Data!$V$2:$V$745,MATCH(76,Data!$B$2:$B$745,0))="","",INDEX(Data!$V$2:$V$745,MATCH(76,Data!$B$2:$B$745,0))),""))</f>
        <v/>
      </c>
      <c r="P90" s="33">
        <f>IF(B90="","",IFERROR(IF(INDEX(Data!$M$2:$M$745,MATCH(76,Data!$B$2:$B$745,0))="","",INDEX(Data!$M$2:$M$745,MATCH(76,Data!$B$2:$B$745,0))),""))</f>
        <v/>
      </c>
      <c r="Q90" s="31">
        <f>IF(B90="","",IFERROR(IF(INDEX(Data!$AD$2:$AD$745,MATCH(76,Data!$B$2:$B$745,0))="","",INDEX(Data!$AD$2:$AD$745,MATCH(76,Data!$B$2:$B$745,0))),""))</f>
        <v/>
      </c>
      <c r="R90" s="27">
        <f>IF(B90="","",IFERROR(IF(INDEX(Data!$L$2:$L$745,MATCH(76,Data!$B$2:$B$745,0))="","",INDEX(Data!$L$2:$L$745,MATCH(76,Data!$B$2:$B$745,0))),""))</f>
        <v/>
      </c>
      <c r="AB90" t="inlineStr">
        <is>
          <t>H.VERSAILTEX</t>
        </is>
      </c>
    </row>
    <row r="91" ht="62" customHeight="1">
      <c r="B91" s="27">
        <f>IF(77&lt;=COUNTIF(Data!$A$2:$A$745,TRUE),77,"")</f>
        <v/>
      </c>
      <c r="C91" s="28">
        <f>IF(B91="","",IFERROR(_xlfn.IMAGE(IFERROR(IF(INDEX(Data!$J$2:$J$745,MATCH(77,Data!$B$2:$B$745,0))="","",INDEX(Data!$J$2:$J$745,MATCH(77,Data!$B$2:$B$745,0))),"")),"IMAGE COMING SOON"))</f>
        <v/>
      </c>
      <c r="D91" s="29">
        <f>IF(B91="","",IFERROR(IF(INDEX(Data!$G$2:$G$745,MATCH(77,Data!$B$2:$B$745,0))="","",INDEX(Data!$G$2:$G$745,MATCH(77,Data!$B$2:$B$745,0))),"")&amp;CHAR(10)&amp;IFERROR(IF(INDEX(Data!$H$2:$H$745,MATCH(77,Data!$B$2:$B$745,0))="","",INDEX(Data!$H$2:$H$745,MATCH(77,Data!$B$2:$B$745,0))),""))</f>
        <v/>
      </c>
      <c r="E91" s="27">
        <f>IF(B91="","",IFERROR(IF(INDEX(Data!$I$2:$I$745,MATCH(77,Data!$B$2:$B$745,0))="","",INDEX(Data!$I$2:$I$745,MATCH(77,Data!$B$2:$B$745,0))),""))</f>
        <v/>
      </c>
      <c r="F91" s="27">
        <f>IF(B91="","",IFERROR(IF(INDEX(Data!$AJ$2:$AJ$745,MATCH(77,Data!$B$2:$B$745,0))="","",INDEX(Data!$AJ$2:$AJ$745,MATCH(77,Data!$B$2:$B$745,0))),""))</f>
        <v/>
      </c>
      <c r="G91" s="27">
        <f>IF(B91="","",TRIM(IFERROR(IF(INDEX(Data!$AF$2:$AF$745,MATCH(77,Data!$B$2:$B$745,0))="","",INDEX(Data!$AF$2:$AF$745,MATCH(77,Data!$B$2:$B$745,0))),"")&amp;" "&amp;IFERROR(IF(INDEX(Data!$AG$2:$AG$745,MATCH(77,Data!$B$2:$B$745,0))="","",INDEX(Data!$AG$2:$AG$745,MATCH(77,Data!$B$2:$B$745,0))),"")))</f>
        <v/>
      </c>
      <c r="H91" s="30">
        <f>IF(B91="","",IFERROR(IF(INDEX(Data!$N$2:$N$745,MATCH(77,Data!$B$2:$B$745,0))="","",INDEX(Data!$N$2:$N$745,MATCH(77,Data!$B$2:$B$745,0))),""))</f>
        <v/>
      </c>
      <c r="I91" s="30">
        <f>IF(B91="","",IFERROR(IF(INDEX(Data!$O$2:$O$745,MATCH(77,Data!$B$2:$B$745,0))="","",INDEX(Data!$O$2:$O$745,MATCH(77,Data!$B$2:$B$745,0))),""))</f>
        <v/>
      </c>
      <c r="J91" s="31">
        <f>IF(B91="","",IFERROR(IF(INDEX(Data!$P$2:$P$745,MATCH(77,Data!$B$2:$B$745,0))="","",INDEX(Data!$P$2:$P$745,MATCH(77,Data!$B$2:$B$745,0))),""))</f>
        <v/>
      </c>
      <c r="K91" s="32">
        <f>IF(B91="","",IFERROR(IF(INDEX(Data!$R$2:$R$745,MATCH(77,Data!$B$2:$B$745,0))="","",INDEX(Data!$R$2:$R$745,MATCH(77,Data!$B$2:$B$745,0))),""))</f>
        <v/>
      </c>
      <c r="L91" s="33">
        <f>IF(B91="","",IFERROR(IF(INDEX(Data!$S$2:$S$745,MATCH(77,Data!$B$2:$B$745,0))="","",INDEX(Data!$S$2:$S$745,MATCH(77,Data!$B$2:$B$745,0))),""))</f>
        <v/>
      </c>
      <c r="M91" s="33">
        <f>IF(B91="","",IFERROR(IF(INDEX(Data!$T$2:$T$745,MATCH(77,Data!$B$2:$B$745,0))="","",INDEX(Data!$T$2:$T$745,MATCH(77,Data!$B$2:$B$745,0))),""))</f>
        <v/>
      </c>
      <c r="N91" s="34">
        <f>IF(B91="","",IFERROR(IF(INDEX(Data!$U$2:$U$745,MATCH(77,Data!$B$2:$B$745,0))="","",INDEX(Data!$U$2:$U$745,MATCH(77,Data!$B$2:$B$745,0))),""))</f>
        <v/>
      </c>
      <c r="O91" s="33">
        <f>IF(B91="","",IFERROR(IF(INDEX(Data!$V$2:$V$745,MATCH(77,Data!$B$2:$B$745,0))="","",INDEX(Data!$V$2:$V$745,MATCH(77,Data!$B$2:$B$745,0))),""))</f>
        <v/>
      </c>
      <c r="P91" s="33">
        <f>IF(B91="","",IFERROR(IF(INDEX(Data!$M$2:$M$745,MATCH(77,Data!$B$2:$B$745,0))="","",INDEX(Data!$M$2:$M$745,MATCH(77,Data!$B$2:$B$745,0))),""))</f>
        <v/>
      </c>
      <c r="Q91" s="31">
        <f>IF(B91="","",IFERROR(IF(INDEX(Data!$AD$2:$AD$745,MATCH(77,Data!$B$2:$B$745,0))="","",INDEX(Data!$AD$2:$AD$745,MATCH(77,Data!$B$2:$B$745,0))),""))</f>
        <v/>
      </c>
      <c r="R91" s="27">
        <f>IF(B91="","",IFERROR(IF(INDEX(Data!$L$2:$L$745,MATCH(77,Data!$B$2:$B$745,0))="","",INDEX(Data!$L$2:$L$745,MATCH(77,Data!$B$2:$B$745,0))),""))</f>
        <v/>
      </c>
      <c r="AB91" t="inlineStr">
        <is>
          <t>Hansleep</t>
        </is>
      </c>
    </row>
    <row r="92" ht="62" customHeight="1">
      <c r="B92" s="27">
        <f>IF(78&lt;=COUNTIF(Data!$A$2:$A$745,TRUE),78,"")</f>
        <v/>
      </c>
      <c r="C92" s="28">
        <f>IF(B92="","",IFERROR(_xlfn.IMAGE(IFERROR(IF(INDEX(Data!$J$2:$J$745,MATCH(78,Data!$B$2:$B$745,0))="","",INDEX(Data!$J$2:$J$745,MATCH(78,Data!$B$2:$B$745,0))),"")),"IMAGE COMING SOON"))</f>
        <v/>
      </c>
      <c r="D92" s="29">
        <f>IF(B92="","",IFERROR(IF(INDEX(Data!$G$2:$G$745,MATCH(78,Data!$B$2:$B$745,0))="","",INDEX(Data!$G$2:$G$745,MATCH(78,Data!$B$2:$B$745,0))),"")&amp;CHAR(10)&amp;IFERROR(IF(INDEX(Data!$H$2:$H$745,MATCH(78,Data!$B$2:$B$745,0))="","",INDEX(Data!$H$2:$H$745,MATCH(78,Data!$B$2:$B$745,0))),""))</f>
        <v/>
      </c>
      <c r="E92" s="27">
        <f>IF(B92="","",IFERROR(IF(INDEX(Data!$I$2:$I$745,MATCH(78,Data!$B$2:$B$745,0))="","",INDEX(Data!$I$2:$I$745,MATCH(78,Data!$B$2:$B$745,0))),""))</f>
        <v/>
      </c>
      <c r="F92" s="27">
        <f>IF(B92="","",IFERROR(IF(INDEX(Data!$AJ$2:$AJ$745,MATCH(78,Data!$B$2:$B$745,0))="","",INDEX(Data!$AJ$2:$AJ$745,MATCH(78,Data!$B$2:$B$745,0))),""))</f>
        <v/>
      </c>
      <c r="G92" s="27">
        <f>IF(B92="","",TRIM(IFERROR(IF(INDEX(Data!$AF$2:$AF$745,MATCH(78,Data!$B$2:$B$745,0))="","",INDEX(Data!$AF$2:$AF$745,MATCH(78,Data!$B$2:$B$745,0))),"")&amp;" "&amp;IFERROR(IF(INDEX(Data!$AG$2:$AG$745,MATCH(78,Data!$B$2:$B$745,0))="","",INDEX(Data!$AG$2:$AG$745,MATCH(78,Data!$B$2:$B$745,0))),"")))</f>
        <v/>
      </c>
      <c r="H92" s="30">
        <f>IF(B92="","",IFERROR(IF(INDEX(Data!$N$2:$N$745,MATCH(78,Data!$B$2:$B$745,0))="","",INDEX(Data!$N$2:$N$745,MATCH(78,Data!$B$2:$B$745,0))),""))</f>
        <v/>
      </c>
      <c r="I92" s="30">
        <f>IF(B92="","",IFERROR(IF(INDEX(Data!$O$2:$O$745,MATCH(78,Data!$B$2:$B$745,0))="","",INDEX(Data!$O$2:$O$745,MATCH(78,Data!$B$2:$B$745,0))),""))</f>
        <v/>
      </c>
      <c r="J92" s="31">
        <f>IF(B92="","",IFERROR(IF(INDEX(Data!$P$2:$P$745,MATCH(78,Data!$B$2:$B$745,0))="","",INDEX(Data!$P$2:$P$745,MATCH(78,Data!$B$2:$B$745,0))),""))</f>
        <v/>
      </c>
      <c r="K92" s="32">
        <f>IF(B92="","",IFERROR(IF(INDEX(Data!$R$2:$R$745,MATCH(78,Data!$B$2:$B$745,0))="","",INDEX(Data!$R$2:$R$745,MATCH(78,Data!$B$2:$B$745,0))),""))</f>
        <v/>
      </c>
      <c r="L92" s="33">
        <f>IF(B92="","",IFERROR(IF(INDEX(Data!$S$2:$S$745,MATCH(78,Data!$B$2:$B$745,0))="","",INDEX(Data!$S$2:$S$745,MATCH(78,Data!$B$2:$B$745,0))),""))</f>
        <v/>
      </c>
      <c r="M92" s="33">
        <f>IF(B92="","",IFERROR(IF(INDEX(Data!$T$2:$T$745,MATCH(78,Data!$B$2:$B$745,0))="","",INDEX(Data!$T$2:$T$745,MATCH(78,Data!$B$2:$B$745,0))),""))</f>
        <v/>
      </c>
      <c r="N92" s="34">
        <f>IF(B92="","",IFERROR(IF(INDEX(Data!$U$2:$U$745,MATCH(78,Data!$B$2:$B$745,0))="","",INDEX(Data!$U$2:$U$745,MATCH(78,Data!$B$2:$B$745,0))),""))</f>
        <v/>
      </c>
      <c r="O92" s="33">
        <f>IF(B92="","",IFERROR(IF(INDEX(Data!$V$2:$V$745,MATCH(78,Data!$B$2:$B$745,0))="","",INDEX(Data!$V$2:$V$745,MATCH(78,Data!$B$2:$B$745,0))),""))</f>
        <v/>
      </c>
      <c r="P92" s="33">
        <f>IF(B92="","",IFERROR(IF(INDEX(Data!$M$2:$M$745,MATCH(78,Data!$B$2:$B$745,0))="","",INDEX(Data!$M$2:$M$745,MATCH(78,Data!$B$2:$B$745,0))),""))</f>
        <v/>
      </c>
      <c r="Q92" s="31">
        <f>IF(B92="","",IFERROR(IF(INDEX(Data!$AD$2:$AD$745,MATCH(78,Data!$B$2:$B$745,0))="","",INDEX(Data!$AD$2:$AD$745,MATCH(78,Data!$B$2:$B$745,0))),""))</f>
        <v/>
      </c>
      <c r="R92" s="27">
        <f>IF(B92="","",IFERROR(IF(INDEX(Data!$L$2:$L$745,MATCH(78,Data!$B$2:$B$745,0))="","",INDEX(Data!$L$2:$L$745,MATCH(78,Data!$B$2:$B$745,0))),""))</f>
        <v/>
      </c>
      <c r="AB92" t="inlineStr">
        <is>
          <t>HENGWEITEXT</t>
        </is>
      </c>
    </row>
    <row r="93" ht="62" customHeight="1">
      <c r="B93" s="27">
        <f>IF(79&lt;=COUNTIF(Data!$A$2:$A$745,TRUE),79,"")</f>
        <v/>
      </c>
      <c r="C93" s="28">
        <f>IF(B93="","",IFERROR(_xlfn.IMAGE(IFERROR(IF(INDEX(Data!$J$2:$J$745,MATCH(79,Data!$B$2:$B$745,0))="","",INDEX(Data!$J$2:$J$745,MATCH(79,Data!$B$2:$B$745,0))),"")),"IMAGE COMING SOON"))</f>
        <v/>
      </c>
      <c r="D93" s="29">
        <f>IF(B93="","",IFERROR(IF(INDEX(Data!$G$2:$G$745,MATCH(79,Data!$B$2:$B$745,0))="","",INDEX(Data!$G$2:$G$745,MATCH(79,Data!$B$2:$B$745,0))),"")&amp;CHAR(10)&amp;IFERROR(IF(INDEX(Data!$H$2:$H$745,MATCH(79,Data!$B$2:$B$745,0))="","",INDEX(Data!$H$2:$H$745,MATCH(79,Data!$B$2:$B$745,0))),""))</f>
        <v/>
      </c>
      <c r="E93" s="27">
        <f>IF(B93="","",IFERROR(IF(INDEX(Data!$I$2:$I$745,MATCH(79,Data!$B$2:$B$745,0))="","",INDEX(Data!$I$2:$I$745,MATCH(79,Data!$B$2:$B$745,0))),""))</f>
        <v/>
      </c>
      <c r="F93" s="27">
        <f>IF(B93="","",IFERROR(IF(INDEX(Data!$AJ$2:$AJ$745,MATCH(79,Data!$B$2:$B$745,0))="","",INDEX(Data!$AJ$2:$AJ$745,MATCH(79,Data!$B$2:$B$745,0))),""))</f>
        <v/>
      </c>
      <c r="G93" s="27">
        <f>IF(B93="","",TRIM(IFERROR(IF(INDEX(Data!$AF$2:$AF$745,MATCH(79,Data!$B$2:$B$745,0))="","",INDEX(Data!$AF$2:$AF$745,MATCH(79,Data!$B$2:$B$745,0))),"")&amp;" "&amp;IFERROR(IF(INDEX(Data!$AG$2:$AG$745,MATCH(79,Data!$B$2:$B$745,0))="","",INDEX(Data!$AG$2:$AG$745,MATCH(79,Data!$B$2:$B$745,0))),"")))</f>
        <v/>
      </c>
      <c r="H93" s="30">
        <f>IF(B93="","",IFERROR(IF(INDEX(Data!$N$2:$N$745,MATCH(79,Data!$B$2:$B$745,0))="","",INDEX(Data!$N$2:$N$745,MATCH(79,Data!$B$2:$B$745,0))),""))</f>
        <v/>
      </c>
      <c r="I93" s="30">
        <f>IF(B93="","",IFERROR(IF(INDEX(Data!$O$2:$O$745,MATCH(79,Data!$B$2:$B$745,0))="","",INDEX(Data!$O$2:$O$745,MATCH(79,Data!$B$2:$B$745,0))),""))</f>
        <v/>
      </c>
      <c r="J93" s="31">
        <f>IF(B93="","",IFERROR(IF(INDEX(Data!$P$2:$P$745,MATCH(79,Data!$B$2:$B$745,0))="","",INDEX(Data!$P$2:$P$745,MATCH(79,Data!$B$2:$B$745,0))),""))</f>
        <v/>
      </c>
      <c r="K93" s="32">
        <f>IF(B93="","",IFERROR(IF(INDEX(Data!$R$2:$R$745,MATCH(79,Data!$B$2:$B$745,0))="","",INDEX(Data!$R$2:$R$745,MATCH(79,Data!$B$2:$B$745,0))),""))</f>
        <v/>
      </c>
      <c r="L93" s="33">
        <f>IF(B93="","",IFERROR(IF(INDEX(Data!$S$2:$S$745,MATCH(79,Data!$B$2:$B$745,0))="","",INDEX(Data!$S$2:$S$745,MATCH(79,Data!$B$2:$B$745,0))),""))</f>
        <v/>
      </c>
      <c r="M93" s="33">
        <f>IF(B93="","",IFERROR(IF(INDEX(Data!$T$2:$T$745,MATCH(79,Data!$B$2:$B$745,0))="","",INDEX(Data!$T$2:$T$745,MATCH(79,Data!$B$2:$B$745,0))),""))</f>
        <v/>
      </c>
      <c r="N93" s="34">
        <f>IF(B93="","",IFERROR(IF(INDEX(Data!$U$2:$U$745,MATCH(79,Data!$B$2:$B$745,0))="","",INDEX(Data!$U$2:$U$745,MATCH(79,Data!$B$2:$B$745,0))),""))</f>
        <v/>
      </c>
      <c r="O93" s="33">
        <f>IF(B93="","",IFERROR(IF(INDEX(Data!$V$2:$V$745,MATCH(79,Data!$B$2:$B$745,0))="","",INDEX(Data!$V$2:$V$745,MATCH(79,Data!$B$2:$B$745,0))),""))</f>
        <v/>
      </c>
      <c r="P93" s="33">
        <f>IF(B93="","",IFERROR(IF(INDEX(Data!$M$2:$M$745,MATCH(79,Data!$B$2:$B$745,0))="","",INDEX(Data!$M$2:$M$745,MATCH(79,Data!$B$2:$B$745,0))),""))</f>
        <v/>
      </c>
      <c r="Q93" s="31">
        <f>IF(B93="","",IFERROR(IF(INDEX(Data!$AD$2:$AD$745,MATCH(79,Data!$B$2:$B$745,0))="","",INDEX(Data!$AD$2:$AD$745,MATCH(79,Data!$B$2:$B$745,0))),""))</f>
        <v/>
      </c>
      <c r="R93" s="27">
        <f>IF(B93="","",IFERROR(IF(INDEX(Data!$L$2:$L$745,MATCH(79,Data!$B$2:$B$745,0))="","",INDEX(Data!$L$2:$L$745,MATCH(79,Data!$B$2:$B$745,0))),""))</f>
        <v/>
      </c>
      <c r="AB93" t="inlineStr">
        <is>
          <t>Hentonwell</t>
        </is>
      </c>
    </row>
    <row r="94" ht="62" customHeight="1">
      <c r="B94" s="27">
        <f>IF(80&lt;=COUNTIF(Data!$A$2:$A$745,TRUE),80,"")</f>
        <v/>
      </c>
      <c r="C94" s="28">
        <f>IF(B94="","",IFERROR(_xlfn.IMAGE(IFERROR(IF(INDEX(Data!$J$2:$J$745,MATCH(80,Data!$B$2:$B$745,0))="","",INDEX(Data!$J$2:$J$745,MATCH(80,Data!$B$2:$B$745,0))),"")),"IMAGE COMING SOON"))</f>
        <v/>
      </c>
      <c r="D94" s="29">
        <f>IF(B94="","",IFERROR(IF(INDEX(Data!$G$2:$G$745,MATCH(80,Data!$B$2:$B$745,0))="","",INDEX(Data!$G$2:$G$745,MATCH(80,Data!$B$2:$B$745,0))),"")&amp;CHAR(10)&amp;IFERROR(IF(INDEX(Data!$H$2:$H$745,MATCH(80,Data!$B$2:$B$745,0))="","",INDEX(Data!$H$2:$H$745,MATCH(80,Data!$B$2:$B$745,0))),""))</f>
        <v/>
      </c>
      <c r="E94" s="27">
        <f>IF(B94="","",IFERROR(IF(INDEX(Data!$I$2:$I$745,MATCH(80,Data!$B$2:$B$745,0))="","",INDEX(Data!$I$2:$I$745,MATCH(80,Data!$B$2:$B$745,0))),""))</f>
        <v/>
      </c>
      <c r="F94" s="27">
        <f>IF(B94="","",IFERROR(IF(INDEX(Data!$AJ$2:$AJ$745,MATCH(80,Data!$B$2:$B$745,0))="","",INDEX(Data!$AJ$2:$AJ$745,MATCH(80,Data!$B$2:$B$745,0))),""))</f>
        <v/>
      </c>
      <c r="G94" s="27">
        <f>IF(B94="","",TRIM(IFERROR(IF(INDEX(Data!$AF$2:$AF$745,MATCH(80,Data!$B$2:$B$745,0))="","",INDEX(Data!$AF$2:$AF$745,MATCH(80,Data!$B$2:$B$745,0))),"")&amp;" "&amp;IFERROR(IF(INDEX(Data!$AG$2:$AG$745,MATCH(80,Data!$B$2:$B$745,0))="","",INDEX(Data!$AG$2:$AG$745,MATCH(80,Data!$B$2:$B$745,0))),"")))</f>
        <v/>
      </c>
      <c r="H94" s="30">
        <f>IF(B94="","",IFERROR(IF(INDEX(Data!$N$2:$N$745,MATCH(80,Data!$B$2:$B$745,0))="","",INDEX(Data!$N$2:$N$745,MATCH(80,Data!$B$2:$B$745,0))),""))</f>
        <v/>
      </c>
      <c r="I94" s="30">
        <f>IF(B94="","",IFERROR(IF(INDEX(Data!$O$2:$O$745,MATCH(80,Data!$B$2:$B$745,0))="","",INDEX(Data!$O$2:$O$745,MATCH(80,Data!$B$2:$B$745,0))),""))</f>
        <v/>
      </c>
      <c r="J94" s="31">
        <f>IF(B94="","",IFERROR(IF(INDEX(Data!$P$2:$P$745,MATCH(80,Data!$B$2:$B$745,0))="","",INDEX(Data!$P$2:$P$745,MATCH(80,Data!$B$2:$B$745,0))),""))</f>
        <v/>
      </c>
      <c r="K94" s="32">
        <f>IF(B94="","",IFERROR(IF(INDEX(Data!$R$2:$R$745,MATCH(80,Data!$B$2:$B$745,0))="","",INDEX(Data!$R$2:$R$745,MATCH(80,Data!$B$2:$B$745,0))),""))</f>
        <v/>
      </c>
      <c r="L94" s="33">
        <f>IF(B94="","",IFERROR(IF(INDEX(Data!$S$2:$S$745,MATCH(80,Data!$B$2:$B$745,0))="","",INDEX(Data!$S$2:$S$745,MATCH(80,Data!$B$2:$B$745,0))),""))</f>
        <v/>
      </c>
      <c r="M94" s="33">
        <f>IF(B94="","",IFERROR(IF(INDEX(Data!$T$2:$T$745,MATCH(80,Data!$B$2:$B$745,0))="","",INDEX(Data!$T$2:$T$745,MATCH(80,Data!$B$2:$B$745,0))),""))</f>
        <v/>
      </c>
      <c r="N94" s="34">
        <f>IF(B94="","",IFERROR(IF(INDEX(Data!$U$2:$U$745,MATCH(80,Data!$B$2:$B$745,0))="","",INDEX(Data!$U$2:$U$745,MATCH(80,Data!$B$2:$B$745,0))),""))</f>
        <v/>
      </c>
      <c r="O94" s="33">
        <f>IF(B94="","",IFERROR(IF(INDEX(Data!$V$2:$V$745,MATCH(80,Data!$B$2:$B$745,0))="","",INDEX(Data!$V$2:$V$745,MATCH(80,Data!$B$2:$B$745,0))),""))</f>
        <v/>
      </c>
      <c r="P94" s="33">
        <f>IF(B94="","",IFERROR(IF(INDEX(Data!$M$2:$M$745,MATCH(80,Data!$B$2:$B$745,0))="","",INDEX(Data!$M$2:$M$745,MATCH(80,Data!$B$2:$B$745,0))),""))</f>
        <v/>
      </c>
      <c r="Q94" s="31">
        <f>IF(B94="","",IFERROR(IF(INDEX(Data!$AD$2:$AD$745,MATCH(80,Data!$B$2:$B$745,0))="","",INDEX(Data!$AD$2:$AD$745,MATCH(80,Data!$B$2:$B$745,0))),""))</f>
        <v/>
      </c>
      <c r="R94" s="27">
        <f>IF(B94="","",IFERROR(IF(INDEX(Data!$L$2:$L$745,MATCH(80,Data!$B$2:$B$745,0))="","",INDEX(Data!$L$2:$L$745,MATCH(80,Data!$B$2:$B$745,0))),""))</f>
        <v/>
      </c>
      <c r="AB94" t="inlineStr">
        <is>
          <t>HOMFINE</t>
        </is>
      </c>
    </row>
    <row r="95">
      <c r="AB95" t="inlineStr">
        <is>
          <t>Homiest</t>
        </is>
      </c>
    </row>
    <row r="96">
      <c r="AB96" t="inlineStr">
        <is>
          <t>HommxJF</t>
        </is>
      </c>
    </row>
    <row r="97">
      <c r="AB97" t="inlineStr">
        <is>
          <t>homuvdok</t>
        </is>
      </c>
    </row>
    <row r="98">
      <c r="AB98" t="inlineStr">
        <is>
          <t>Horbaunal</t>
        </is>
      </c>
    </row>
    <row r="99">
      <c r="AB99" t="inlineStr">
        <is>
          <t>HORIMOTE HOME</t>
        </is>
      </c>
    </row>
    <row r="100">
      <c r="AB100" t="inlineStr">
        <is>
          <t>HOT SLEEPER SHEETS</t>
        </is>
      </c>
    </row>
    <row r="101">
      <c r="AB101" t="inlineStr">
        <is>
          <t>Hotel Sheets Direct</t>
        </is>
      </c>
    </row>
    <row r="102">
      <c r="AB102" t="inlineStr">
        <is>
          <t>Howhic</t>
        </is>
      </c>
    </row>
    <row r="103">
      <c r="AB103" t="inlineStr">
        <is>
          <t>iCooBreeze</t>
        </is>
      </c>
    </row>
    <row r="104">
      <c r="AB104" t="inlineStr">
        <is>
          <t>INFIIXSO</t>
        </is>
      </c>
    </row>
    <row r="105">
      <c r="AB105" t="inlineStr">
        <is>
          <t>INOVADAY</t>
        </is>
      </c>
    </row>
    <row r="106">
      <c r="AB106" t="inlineStr">
        <is>
          <t>INSSL</t>
        </is>
      </c>
    </row>
    <row r="107">
      <c r="AB107" t="inlineStr">
        <is>
          <t>J JIMOO</t>
        </is>
      </c>
    </row>
    <row r="108">
      <c r="AB108" t="inlineStr">
        <is>
          <t>Jersey Slumber</t>
        </is>
      </c>
    </row>
    <row r="109">
      <c r="AB109" t="inlineStr">
        <is>
          <t>jiaao</t>
        </is>
      </c>
    </row>
    <row r="110">
      <c r="AB110" t="inlineStr">
        <is>
          <t>Jocoku</t>
        </is>
      </c>
    </row>
    <row r="111">
      <c r="AB111" t="inlineStr">
        <is>
          <t>JOGJUE</t>
        </is>
      </c>
    </row>
    <row r="112">
      <c r="AB112" t="inlineStr">
        <is>
          <t>Jowels</t>
        </is>
      </c>
    </row>
    <row r="113">
      <c r="AB113" t="inlineStr">
        <is>
          <t>Joydeco</t>
        </is>
      </c>
    </row>
    <row r="114">
      <c r="AB114" t="inlineStr">
        <is>
          <t>Joyreap</t>
        </is>
      </c>
    </row>
    <row r="115">
      <c r="AB115" t="inlineStr">
        <is>
          <t>JSD</t>
        </is>
      </c>
    </row>
    <row r="116">
      <c r="AB116" t="inlineStr">
        <is>
          <t>Juicy Couture</t>
        </is>
      </c>
    </row>
    <row r="117">
      <c r="AB117" t="inlineStr">
        <is>
          <t>JUWENIN</t>
        </is>
      </c>
    </row>
    <row r="118">
      <c r="AB118" t="inlineStr">
        <is>
          <t>KAKIJUMN</t>
        </is>
      </c>
    </row>
    <row r="119">
      <c r="AB119" t="inlineStr">
        <is>
          <t>KARISSA MAE</t>
        </is>
      </c>
    </row>
    <row r="120">
      <c r="AB120" t="inlineStr">
        <is>
          <t>Kickoff Home</t>
        </is>
      </c>
    </row>
    <row r="121">
      <c r="AB121" t="inlineStr">
        <is>
          <t>Kinself</t>
        </is>
      </c>
    </row>
    <row r="122">
      <c r="AB122" t="inlineStr">
        <is>
          <t>Kitsch</t>
        </is>
      </c>
    </row>
    <row r="123">
      <c r="AB123" t="inlineStr">
        <is>
          <t>KRIMANO</t>
        </is>
      </c>
    </row>
    <row r="124">
      <c r="AB124" t="inlineStr">
        <is>
          <t>Lajode</t>
        </is>
      </c>
    </row>
    <row r="125">
      <c r="AB125" t="inlineStr">
        <is>
          <t>Lalluxy</t>
        </is>
      </c>
    </row>
    <row r="126">
      <c r="AB126" t="inlineStr">
        <is>
          <t>Lanest Housing</t>
        </is>
      </c>
    </row>
    <row r="127">
      <c r="AB127" t="inlineStr">
        <is>
          <t>Laura Ashley</t>
        </is>
      </c>
    </row>
    <row r="128">
      <c r="AB128" t="inlineStr">
        <is>
          <t>LB Luxury Bamboo Market</t>
        </is>
      </c>
    </row>
    <row r="129">
      <c r="AB129" t="inlineStr">
        <is>
          <t>LBRO2M</t>
        </is>
      </c>
    </row>
    <row r="130">
      <c r="AB130" t="inlineStr">
        <is>
          <t>LianheCy</t>
        </is>
      </c>
    </row>
    <row r="131">
      <c r="AB131" t="inlineStr">
        <is>
          <t>LIFCOM</t>
        </is>
      </c>
    </row>
    <row r="132">
      <c r="AB132" t="inlineStr">
        <is>
          <t>Lirex</t>
        </is>
      </c>
    </row>
    <row r="133">
      <c r="AB133" t="inlineStr">
        <is>
          <t>LitBear</t>
        </is>
      </c>
    </row>
    <row r="134">
      <c r="AB134" t="inlineStr">
        <is>
          <t>Love's cabin</t>
        </is>
      </c>
    </row>
    <row r="135">
      <c r="AB135" t="inlineStr">
        <is>
          <t>LULUSILK</t>
        </is>
      </c>
    </row>
    <row r="136">
      <c r="AB136" t="inlineStr">
        <is>
          <t>Luxbedding</t>
        </is>
      </c>
    </row>
    <row r="137">
      <c r="AB137" t="inlineStr">
        <is>
          <t>LUXEAR</t>
        </is>
      </c>
    </row>
    <row r="138">
      <c r="AB138" t="inlineStr">
        <is>
          <t>Luxudecor</t>
        </is>
      </c>
    </row>
    <row r="139">
      <c r="AB139" t="inlineStr">
        <is>
          <t>Madison Park</t>
        </is>
      </c>
    </row>
    <row r="140">
      <c r="AB140" t="inlineStr">
        <is>
          <t>Manta Sleep</t>
        </is>
      </c>
    </row>
    <row r="141">
      <c r="AB141" t="inlineStr">
        <is>
          <t>Manyshofu</t>
        </is>
      </c>
    </row>
    <row r="142">
      <c r="AB142" t="inlineStr">
        <is>
          <t>Maple&amp;Stone</t>
        </is>
      </c>
    </row>
    <row r="143">
      <c r="AB143" t="inlineStr">
        <is>
          <t>Marchpower</t>
        </is>
      </c>
    </row>
    <row r="144">
      <c r="AB144" t="inlineStr">
        <is>
          <t>Martex</t>
        </is>
      </c>
    </row>
    <row r="145">
      <c r="AB145" t="inlineStr">
        <is>
          <t>MASVIS</t>
        </is>
      </c>
    </row>
    <row r="146">
      <c r="AB146" t="inlineStr">
        <is>
          <t>MCO</t>
        </is>
      </c>
    </row>
    <row r="147">
      <c r="AB147" t="inlineStr">
        <is>
          <t>Mebien touche de la nature</t>
        </is>
      </c>
    </row>
    <row r="148">
      <c r="AB148" t="inlineStr">
        <is>
          <t>MIULEE</t>
        </is>
      </c>
    </row>
    <row r="149">
      <c r="AB149" t="inlineStr">
        <is>
          <t>MK Home</t>
        </is>
      </c>
    </row>
    <row r="150">
      <c r="AB150" t="inlineStr">
        <is>
          <t>MODE HOME</t>
        </is>
      </c>
    </row>
    <row r="151">
      <c r="AB151" t="inlineStr">
        <is>
          <t>MONJITA</t>
        </is>
      </c>
    </row>
    <row r="152">
      <c r="AB152" t="inlineStr">
        <is>
          <t>MR&amp;HM</t>
        </is>
      </c>
    </row>
    <row r="153">
      <c r="AB153" t="inlineStr">
        <is>
          <t>MRIDU</t>
        </is>
      </c>
    </row>
    <row r="154">
      <c r="AB154" t="inlineStr">
        <is>
          <t>Mybedsoul</t>
        </is>
      </c>
    </row>
    <row r="155">
      <c r="AB155" t="inlineStr">
        <is>
          <t>MZOO</t>
        </is>
      </c>
    </row>
    <row r="156">
      <c r="AB156" t="inlineStr">
        <is>
          <t>Nanspring</t>
        </is>
      </c>
    </row>
    <row r="157">
      <c r="AB157" t="inlineStr">
        <is>
          <t>Nature Is Gift</t>
        </is>
      </c>
    </row>
    <row r="158">
      <c r="AB158" t="inlineStr">
        <is>
          <t>Niagara Sleep Solution</t>
        </is>
      </c>
    </row>
    <row r="159">
      <c r="AB159" t="inlineStr">
        <is>
          <t>NICETOWN</t>
        </is>
      </c>
    </row>
    <row r="160">
      <c r="AB160" t="inlineStr">
        <is>
          <t>NSGZ</t>
        </is>
      </c>
    </row>
    <row r="161">
      <c r="AB161" t="inlineStr">
        <is>
          <t>OLESILK</t>
        </is>
      </c>
    </row>
    <row r="162">
      <c r="AB162" t="inlineStr">
        <is>
          <t>OMERAI</t>
        </is>
      </c>
    </row>
    <row r="163">
      <c r="AB163" t="inlineStr">
        <is>
          <t>Organic Cotton Mart</t>
        </is>
      </c>
    </row>
    <row r="164">
      <c r="AB164" t="inlineStr">
        <is>
          <t>P Pothuiny</t>
        </is>
      </c>
    </row>
    <row r="165">
      <c r="AB165" t="inlineStr">
        <is>
          <t>PARK&amp;OZ</t>
        </is>
      </c>
    </row>
    <row r="166">
      <c r="AB166" t="inlineStr">
        <is>
          <t>PERFNIQUE</t>
        </is>
      </c>
    </row>
    <row r="167">
      <c r="AB167" t="inlineStr">
        <is>
          <t>Pillcase</t>
        </is>
      </c>
    </row>
    <row r="168">
      <c r="AB168" t="inlineStr">
        <is>
          <t>Pitalk</t>
        </is>
      </c>
    </row>
    <row r="169">
      <c r="AB169" t="inlineStr">
        <is>
          <t>PONY DANCE</t>
        </is>
      </c>
    </row>
    <row r="170">
      <c r="AB170" t="inlineStr">
        <is>
          <t>PROMEED</t>
        </is>
      </c>
    </row>
    <row r="171">
      <c r="AB171" t="inlineStr">
        <is>
          <t>Pure Bamboo</t>
        </is>
      </c>
    </row>
    <row r="172">
      <c r="AB172" t="inlineStr">
        <is>
          <t>Pure Bedding</t>
        </is>
      </c>
    </row>
    <row r="173">
      <c r="AB173" t="inlineStr">
        <is>
          <t>QUTOOL</t>
        </is>
      </c>
    </row>
    <row r="174">
      <c r="AB174" t="inlineStr">
        <is>
          <t>Ravmix</t>
        </is>
      </c>
    </row>
    <row r="175">
      <c r="AB175" t="inlineStr">
        <is>
          <t>RENESSY</t>
        </is>
      </c>
    </row>
    <row r="176">
      <c r="AB176" t="inlineStr">
        <is>
          <t>REST</t>
        </is>
      </c>
    </row>
    <row r="177">
      <c r="AB177" t="inlineStr">
        <is>
          <t>Rifens</t>
        </is>
      </c>
    </row>
    <row r="178">
      <c r="AB178" t="inlineStr">
        <is>
          <t>RLWangChao</t>
        </is>
      </c>
    </row>
    <row r="179">
      <c r="AB179" t="inlineStr">
        <is>
          <t>ROSEWARD</t>
        </is>
      </c>
    </row>
    <row r="180">
      <c r="AB180" t="inlineStr">
        <is>
          <t>RYB HOME</t>
        </is>
      </c>
    </row>
    <row r="181">
      <c r="AB181" t="inlineStr">
        <is>
          <t>Salt Earth</t>
        </is>
      </c>
    </row>
    <row r="182">
      <c r="AB182" t="inlineStr">
        <is>
          <t>Sasttie</t>
        </is>
      </c>
    </row>
    <row r="183">
      <c r="AB183" t="inlineStr">
        <is>
          <t>SearchI</t>
        </is>
      </c>
    </row>
    <row r="184">
      <c r="AB184" t="inlineStr">
        <is>
          <t>Secgo</t>
        </is>
      </c>
    </row>
    <row r="185">
      <c r="AB185" t="inlineStr">
        <is>
          <t>SECZIPE</t>
        </is>
      </c>
    </row>
    <row r="186">
      <c r="AB186" t="inlineStr">
        <is>
          <t>Seimip</t>
        </is>
      </c>
    </row>
    <row r="187">
      <c r="AB187" t="inlineStr">
        <is>
          <t>Serta</t>
        </is>
      </c>
    </row>
    <row r="188">
      <c r="AB188" t="inlineStr">
        <is>
          <t>SGMSILK</t>
        </is>
      </c>
    </row>
    <row r="189">
      <c r="AB189" t="inlineStr">
        <is>
          <t>SHEEX</t>
        </is>
      </c>
    </row>
    <row r="190">
      <c r="AB190" t="inlineStr">
        <is>
          <t>Shilucheng</t>
        </is>
      </c>
    </row>
    <row r="191">
      <c r="AB191" t="inlineStr">
        <is>
          <t>Shunjie.Home</t>
        </is>
      </c>
    </row>
    <row r="192">
      <c r="AB192" t="inlineStr">
        <is>
          <t>SiinvdaBZX</t>
        </is>
      </c>
    </row>
    <row r="193">
      <c r="AB193" t="inlineStr">
        <is>
          <t>SIYUAN</t>
        </is>
      </c>
    </row>
    <row r="194">
      <c r="AB194" t="inlineStr">
        <is>
          <t>SLIP</t>
        </is>
      </c>
    </row>
    <row r="195">
      <c r="AB195" t="inlineStr">
        <is>
          <t>Slpbaby</t>
        </is>
      </c>
    </row>
    <row r="196">
      <c r="AB196" t="inlineStr">
        <is>
          <t>Smiry</t>
        </is>
      </c>
    </row>
    <row r="197">
      <c r="AB197" t="inlineStr">
        <is>
          <t>SMYRNA TURKISH COTTON</t>
        </is>
      </c>
    </row>
    <row r="198">
      <c r="AB198" t="inlineStr">
        <is>
          <t>SONORO KATE</t>
        </is>
      </c>
    </row>
    <row r="199">
      <c r="AB199" t="inlineStr">
        <is>
          <t>spacepower</t>
        </is>
      </c>
    </row>
    <row r="200">
      <c r="AB200" t="inlineStr">
        <is>
          <t>SPRINGRICO</t>
        </is>
      </c>
    </row>
    <row r="201">
      <c r="AB201" t="inlineStr">
        <is>
          <t>SRSZHIYUE</t>
        </is>
      </c>
    </row>
    <row r="202">
      <c r="AB202" t="inlineStr">
        <is>
          <t>Suatien</t>
        </is>
      </c>
    </row>
    <row r="203">
      <c r="AB203" t="inlineStr">
        <is>
          <t>Sufdari</t>
        </is>
      </c>
    </row>
    <row r="204">
      <c r="AB204" t="inlineStr">
        <is>
          <t>SUNSPUN LINENS</t>
        </is>
      </c>
    </row>
    <row r="205">
      <c r="AB205" t="inlineStr">
        <is>
          <t>Surfapans</t>
        </is>
      </c>
    </row>
    <row r="206">
      <c r="AB206" t="inlineStr">
        <is>
          <t>Sweave</t>
        </is>
      </c>
    </row>
    <row r="207">
      <c r="AB207" t="inlineStr">
        <is>
          <t>Tafts</t>
        </is>
      </c>
    </row>
    <row r="208">
      <c r="AB208" t="inlineStr">
        <is>
          <t>TheSleepGuard</t>
        </is>
      </c>
    </row>
    <row r="209">
      <c r="AB209" t="inlineStr">
        <is>
          <t>Threadmade</t>
        </is>
      </c>
    </row>
    <row r="210">
      <c r="AB210" t="inlineStr">
        <is>
          <t>Topcee</t>
        </is>
      </c>
    </row>
    <row r="211">
      <c r="AB211" t="inlineStr">
        <is>
          <t>Topfinel</t>
        </is>
      </c>
    </row>
    <row r="212">
      <c r="AB212" t="inlineStr">
        <is>
          <t>TOSMO</t>
        </is>
      </c>
    </row>
    <row r="213">
      <c r="AB213" t="inlineStr">
        <is>
          <t>TQianJiang</t>
        </is>
      </c>
    </row>
    <row r="214">
      <c r="AB214" t="inlineStr">
        <is>
          <t>TREELY</t>
        </is>
      </c>
    </row>
    <row r="215">
      <c r="AB215" t="inlineStr">
        <is>
          <t>TRUE BAMBOO</t>
        </is>
      </c>
    </row>
    <row r="216">
      <c r="AB216" t="inlineStr">
        <is>
          <t>TWK</t>
        </is>
      </c>
    </row>
    <row r="217">
      <c r="AB217" t="inlineStr">
        <is>
          <t>Tyrot</t>
        </is>
      </c>
    </row>
    <row r="218">
      <c r="AB218" t="inlineStr">
        <is>
          <t>Umisleep Store</t>
        </is>
      </c>
    </row>
    <row r="219">
      <c r="AB219" t="inlineStr">
        <is>
          <t>uxcell</t>
        </is>
      </c>
    </row>
    <row r="220">
      <c r="AB220" t="inlineStr">
        <is>
          <t>VACVELT</t>
        </is>
      </c>
    </row>
    <row r="221">
      <c r="AB221" t="inlineStr">
        <is>
          <t>Vesta</t>
        </is>
      </c>
    </row>
    <row r="222">
      <c r="AB222" t="inlineStr">
        <is>
          <t>Vine Voice</t>
        </is>
      </c>
    </row>
    <row r="223">
      <c r="AB223" t="inlineStr">
        <is>
          <t>Vipfree</t>
        </is>
      </c>
    </row>
    <row r="224">
      <c r="AB224" t="inlineStr">
        <is>
          <t>Viviland</t>
        </is>
      </c>
    </row>
    <row r="225">
      <c r="AB225" t="inlineStr">
        <is>
          <t>Vonty</t>
        </is>
      </c>
    </row>
    <row r="226">
      <c r="AB226" t="inlineStr">
        <is>
          <t>Wake In Cloud</t>
        </is>
      </c>
    </row>
    <row r="227">
      <c r="AB227" t="inlineStr">
        <is>
          <t>WDCOZY</t>
        </is>
      </c>
    </row>
    <row r="228">
      <c r="AB228" t="inlineStr">
        <is>
          <t>WETCAT</t>
        </is>
      </c>
    </row>
    <row r="229">
      <c r="AB229" t="inlineStr">
        <is>
          <t>WISHSMILE</t>
        </is>
      </c>
    </row>
    <row r="230">
      <c r="AB230" t="inlineStr">
        <is>
          <t>WLOSJ</t>
        </is>
      </c>
    </row>
    <row r="231">
      <c r="AB231" t="inlineStr">
        <is>
          <t>Wolliwa</t>
        </is>
      </c>
    </row>
    <row r="232">
      <c r="AB232" t="inlineStr">
        <is>
          <t>WRENSONGE</t>
        </is>
      </c>
    </row>
    <row r="233">
      <c r="AB233" t="inlineStr">
        <is>
          <t>Yakamok</t>
        </is>
      </c>
    </row>
    <row r="234">
      <c r="AB234" t="inlineStr">
        <is>
          <t>Yalikop</t>
        </is>
      </c>
    </row>
    <row r="235">
      <c r="AB235" t="inlineStr">
        <is>
          <t>YASMENG</t>
        </is>
      </c>
    </row>
    <row r="236">
      <c r="AB236" t="inlineStr">
        <is>
          <t>Ycosy</t>
        </is>
      </c>
    </row>
    <row r="237">
      <c r="AB237" t="inlineStr">
        <is>
          <t>YEMYHOM</t>
        </is>
      </c>
    </row>
    <row r="238">
      <c r="AB238" t="inlineStr">
        <is>
          <t>YFONG</t>
        </is>
      </c>
    </row>
    <row r="239">
      <c r="AB239" t="inlineStr">
        <is>
          <t>YoungsTex</t>
        </is>
      </c>
    </row>
    <row r="240">
      <c r="AB240" t="inlineStr">
        <is>
          <t>Your Choice</t>
        </is>
      </c>
    </row>
    <row r="241">
      <c r="AB241" t="inlineStr">
        <is>
          <t>YUEANG</t>
        </is>
      </c>
    </row>
    <row r="242">
      <c r="AB242" t="inlineStr">
        <is>
          <t>Zaizaihome</t>
        </is>
      </c>
    </row>
    <row r="243">
      <c r="AB243" t="inlineStr">
        <is>
          <t>Zenssia</t>
        </is>
      </c>
    </row>
    <row r="244">
      <c r="AB244" t="inlineStr">
        <is>
          <t>ZIMASILK</t>
        </is>
      </c>
    </row>
    <row r="245">
      <c r="AB245" t="inlineStr">
        <is>
          <t>Zyvola</t>
        </is>
      </c>
    </row>
    <row r="246">
      <c r="AB246" t="inlineStr">
        <is>
          <t>Zyvola Store</t>
        </is>
      </c>
    </row>
  </sheetData>
  <mergeCells count="29">
    <mergeCell ref="P4:Q4"/>
    <mergeCell ref="P8:Q9"/>
    <mergeCell ref="L7:M7"/>
    <mergeCell ref="N7:O7"/>
    <mergeCell ref="G11:K11"/>
    <mergeCell ref="B3:R3"/>
    <mergeCell ref="R4:S4"/>
    <mergeCell ref="G8:K8"/>
    <mergeCell ref="G7:K7"/>
    <mergeCell ref="R7:S7"/>
    <mergeCell ref="G10:K10"/>
    <mergeCell ref="B2:R2"/>
    <mergeCell ref="P5:Q6"/>
    <mergeCell ref="G6:K6"/>
    <mergeCell ref="R5:S6"/>
    <mergeCell ref="B1:R1"/>
    <mergeCell ref="R8:S9"/>
    <mergeCell ref="L4:M4"/>
    <mergeCell ref="B13:R13"/>
    <mergeCell ref="P7:Q7"/>
    <mergeCell ref="G5:K5"/>
    <mergeCell ref="G4:K4"/>
    <mergeCell ref="E4:E10"/>
    <mergeCell ref="L5:M6"/>
    <mergeCell ref="N5:O6"/>
    <mergeCell ref="L8:M9"/>
    <mergeCell ref="G9:K9"/>
    <mergeCell ref="N4:O4"/>
    <mergeCell ref="N8:O9"/>
  </mergeCells>
  <conditionalFormatting sqref="K15:K94">
    <cfRule type="expression" priority="1" dxfId="0">
      <formula>AND(ISNUMBER(K15),K15&lt;0)</formula>
    </cfRule>
  </conditionalFormatting>
  <conditionalFormatting sqref="J15:J94">
    <cfRule type="expression" priority="2" dxfId="1">
      <formula>AND(ISNUMBER(J15),J15&gt;0,J15&lt;=0.12)</formula>
    </cfRule>
  </conditionalFormatting>
  <conditionalFormatting sqref="F15:F94">
    <cfRule type="expression" priority="3" dxfId="1">
      <formula>F15="Direct"</formula>
    </cfRule>
    <cfRule type="expression" priority="4" dxfId="2">
      <formula>F15="Alternative material"</formula>
    </cfRule>
    <cfRule type="expression" priority="5" dxfId="3">
      <formula>F15="Material not verified"</formula>
    </cfRule>
    <cfRule type="expression" priority="6" dxfId="4">
      <formula>F15="Different product type"</formula>
    </cfRule>
  </conditionalFormatting>
  <dataValidations count="5">
    <dataValidation sqref="C4" showDropDown="0" showInputMessage="1" showErrorMessage="1" allowBlank="0" errorTitle="Product" error="Please pick a value from the list." promptTitle="Product" prompt="Pick from the list" type="list">
      <formula1>$AA$1:$AA$28</formula1>
    </dataValidation>
    <dataValidation sqref="C5" showDropDown="0" showInputMessage="1" showErrorMessage="1" allowBlank="0" errorTitle="Brand" error="Please pick a value from the list." promptTitle="Brand" prompt="Pick from the list" type="list">
      <formula1>$AB$1:$AB$246</formula1>
    </dataValidation>
    <dataValidation sqref="C6" showDropDown="0" showInputMessage="1" showErrorMessage="1" allowBlank="0" errorTitle="Tier" error="Please pick a value from the list." promptTitle="Tier" prompt="Pick from the list" type="list">
      <formula1>$AC$1:$AC$5</formula1>
    </dataValidation>
    <dataValidation sqref="C7" showDropDown="0" showInputMessage="1" showErrorMessage="1" allowBlank="0" errorTitle="Family" error="Please pick a value from the list." promptTitle="Family" prompt="Pick from the list" type="list">
      <formula1>$AD$1:$AD$6</formula1>
    </dataValidation>
    <dataValidation sqref="C8" showDropDown="0" showInputMessage="1" showErrorMessage="1" allowBlank="0" errorTitle="Competitor type" error="Please pick a value from the list." promptTitle="Competitor type" prompt="Pick from the list" type="list">
      <formula1>$AE$1:$AE$6</formula1>
    </dataValidation>
  </dataValidations>
  <hyperlinks>
    <hyperlink ref="B9" location="'CA Dashboard'!A1" display="→ CA Dashboard"/>
    <hyperlink ref="B10" location="'BFCM Stock'!A1" display="→ BFCM Stock"/>
  </hyperlink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AE246"/>
  <sheetViews>
    <sheetView showGridLines="0" zoomScale="90" workbookViewId="0">
      <pane ySplit="14" topLeftCell="A15" activePane="bottomLeft" state="frozen"/>
      <selection pane="bottomLeft" activeCell="A1" sqref="A1"/>
    </sheetView>
  </sheetViews>
  <sheetFormatPr baseColWidth="8" defaultRowHeight="15"/>
  <cols>
    <col width="2" customWidth="1" min="1" max="1"/>
    <col width="13" customWidth="1" min="2" max="2"/>
    <col width="18" customWidth="1" min="3" max="3"/>
    <col width="34" customWidth="1" min="4" max="4"/>
    <col width="34" customWidth="1" min="5" max="5"/>
    <col width="9" customWidth="1" min="6" max="6"/>
    <col width="9" customWidth="1" min="7" max="7"/>
    <col width="8" customWidth="1" min="8" max="8"/>
    <col width="9" customWidth="1" min="9" max="9"/>
    <col width="9" customWidth="1" min="10" max="10"/>
    <col width="8" customWidth="1" min="11" max="11"/>
    <col width="7" customWidth="1" min="12" max="12"/>
    <col width="8" customWidth="1" min="13" max="13"/>
    <col width="9" customWidth="1" min="14" max="14"/>
    <col width="8" customWidth="1" min="15" max="15"/>
    <col width="8" customWidth="1" min="16" max="16"/>
    <col width="9" customWidth="1" min="17" max="17"/>
    <col width="14" customWidth="1" min="18" max="18"/>
    <col hidden="1" width="13" customWidth="1" min="27" max="27"/>
    <col hidden="1" width="13" customWidth="1" min="28" max="28"/>
    <col hidden="1" width="13" customWidth="1" min="29" max="29"/>
    <col hidden="1" width="13" customWidth="1" min="30" max="30"/>
    <col hidden="1" width="13" customWidth="1" min="31" max="31"/>
  </cols>
  <sheetData>
    <row r="1" ht="34" customHeight="1">
      <c r="B1" s="6" t="inlineStr">
        <is>
          <t>BFCM 2026 Tracker · Amazon.ca (Canada)</t>
        </is>
      </c>
      <c r="AA1" t="inlineStr">
        <is>
          <t>All</t>
        </is>
      </c>
      <c r="AB1" t="inlineStr">
        <is>
          <t>All</t>
        </is>
      </c>
      <c r="AC1" t="inlineStr">
        <is>
          <t>All</t>
        </is>
      </c>
      <c r="AD1" t="inlineStr">
        <is>
          <t>All</t>
        </is>
      </c>
      <c r="AE1" t="inlineStr">
        <is>
          <t>All</t>
        </is>
      </c>
    </row>
    <row r="2">
      <c r="B2" s="7" t="inlineStr">
        <is>
          <t>Pick a product in the yellow cell. Competitor type (Direct = same product and material as ours), brand, tier and family narrow the competitor list. Everything below updates instantly.</t>
        </is>
      </c>
      <c r="AA2" t="inlineStr">
        <is>
          <t>DC B4</t>
        </is>
      </c>
      <c r="AB2" t="inlineStr">
        <is>
          <t>100% Blackout Shield</t>
        </is>
      </c>
      <c r="AC2" t="inlineStr">
        <is>
          <t>Aspirational</t>
        </is>
      </c>
      <c r="AD2" t="inlineStr">
        <is>
          <t>Bamboo</t>
        </is>
      </c>
      <c r="AE2" t="inlineStr">
        <is>
          <t>Direct</t>
        </is>
      </c>
    </row>
    <row r="3">
      <c r="B3" s="8" t="inlineStr">
        <is>
          <t>Owner: Shayan Rana · Prepared for: Erik Fisher &amp; Joseph Fisher · Data as of Oct 13-15, 2026</t>
        </is>
      </c>
      <c r="AA3" t="inlineStr">
        <is>
          <t>DC B6</t>
        </is>
      </c>
      <c r="AB3" t="inlineStr">
        <is>
          <t>ACCURATEX</t>
        </is>
      </c>
      <c r="AC3" t="inlineStr">
        <is>
          <t>Beatable</t>
        </is>
      </c>
      <c r="AD3" t="inlineStr">
        <is>
          <t>Satin</t>
        </is>
      </c>
      <c r="AE3" t="inlineStr">
        <is>
          <t>Alternative material</t>
        </is>
      </c>
    </row>
    <row r="4" ht="30" customHeight="1">
      <c r="B4" s="9" t="inlineStr">
        <is>
          <t>Product</t>
        </is>
      </c>
      <c r="C4" s="10" t="inlineStr">
        <is>
          <t>DC B4</t>
        </is>
      </c>
      <c r="D4" s="11" t="inlineStr">
        <is>
          <t>▼ pick from the list</t>
        </is>
      </c>
      <c r="E4" s="12">
        <f>IF($C$4="All","",IFERROR(_xlfn.IMAGE(IFERROR(INDEX(Lookup!$A$2:$Y$34,MATCH("CA|"&amp;$C$4,Lookup!$A$2:$A$34,0),5),"")),"IMAGE COMING SOON"))</f>
        <v/>
      </c>
      <c r="F4" s="13" t="inlineStr">
        <is>
          <t>Our product</t>
        </is>
      </c>
      <c r="G4" s="14">
        <f>IF($C$4="All","All products",IFERROR(INDEX(Lookup!$A$2:$Y$34,MATCH("CA|"&amp;$C$4,Lookup!$A$2:$A$34,0),4),""))</f>
        <v/>
      </c>
      <c r="L4" s="15" t="inlineStr">
        <is>
          <t>STOCK AT AMAZON</t>
        </is>
      </c>
      <c r="N4" s="15" t="inlineStr">
        <is>
          <t>INBOUND</t>
        </is>
      </c>
      <c r="P4" s="15" t="inlineStr">
        <is>
          <t>UNITS NEEDED TO NOV 30</t>
        </is>
      </c>
      <c r="R4" s="15" t="inlineStr">
        <is>
          <t>VARIATIONS SHORT / OUT OF STOCK</t>
        </is>
      </c>
      <c r="AA4" t="inlineStr">
        <is>
          <t>DC S4</t>
        </is>
      </c>
      <c r="AB4" t="inlineStr">
        <is>
          <t>Adubor</t>
        </is>
      </c>
      <c r="AC4" t="inlineStr">
        <is>
          <t>Poor</t>
        </is>
      </c>
      <c r="AD4" t="inlineStr">
        <is>
          <t>Silk</t>
        </is>
      </c>
      <c r="AE4" t="inlineStr">
        <is>
          <t>Material not verified</t>
        </is>
      </c>
    </row>
    <row r="5" ht="22" customHeight="1">
      <c r="B5" s="9" t="inlineStr">
        <is>
          <t>Brand</t>
        </is>
      </c>
      <c r="C5" s="10" t="inlineStr">
        <is>
          <t>All</t>
        </is>
      </c>
      <c r="D5" s="11" t="inlineStr">
        <is>
          <t>▼ pick from the list</t>
        </is>
      </c>
      <c r="F5" s="13" t="inlineStr">
        <is>
          <t>Brand · parent ASIN</t>
        </is>
      </c>
      <c r="G5" s="16">
        <f>IF($C$4="All","",IFERROR(INDEX(Lookup!$A$2:$Y$34,MATCH("CA|"&amp;$C$4,Lookup!$A$2:$A$34,0),6),"")&amp;" · "&amp;IFERROR(INDEX(Lookup!$A$2:$Y$34,MATCH("CA|"&amp;$C$4,Lookup!$A$2:$A$34,0),7),""))</f>
        <v/>
      </c>
      <c r="L5" s="17">
        <f>IF($C$4="All","",IFERROR(INDEX(Lookup!$A$2:$Y$34,MATCH("CA|"&amp;$C$4,Lookup!$A$2:$A$34,0),16),""))</f>
        <v/>
      </c>
      <c r="N5" s="17">
        <f>IF($C$4="All","",IFERROR(INDEX(Lookup!$A$2:$Y$34,MATCH("CA|"&amp;$C$4,Lookup!$A$2:$A$34,0),17),""))</f>
        <v/>
      </c>
      <c r="P5" s="17">
        <f>IF($C$4="All","",IFERROR(INDEX(Lookup!$A$2:$Y$34,MATCH("CA|"&amp;$C$4,Lookup!$A$2:$A$34,0),18),""))</f>
        <v/>
      </c>
      <c r="R5" s="18">
        <f>IF($C$4="All","",IFERROR(INDEX(Lookup!$A$2:$Y$34,MATCH("CA|"&amp;$C$4,Lookup!$A$2:$A$34,0),22),"")&amp;" / "&amp;IFERROR(INDEX(Lookup!$A$2:$Y$34,MATCH("CA|"&amp;$C$4,Lookup!$A$2:$A$34,0),23),""))</f>
        <v/>
      </c>
      <c r="AA5" t="inlineStr">
        <is>
          <t>DC S6</t>
        </is>
      </c>
      <c r="AB5" t="inlineStr">
        <is>
          <t>AiAngu</t>
        </is>
      </c>
      <c r="AC5" t="inlineStr">
        <is>
          <t>Untiered</t>
        </is>
      </c>
      <c r="AD5" t="inlineStr">
        <is>
          <t>Cooling</t>
        </is>
      </c>
      <c r="AE5" t="inlineStr">
        <is>
          <t>Different product type</t>
        </is>
      </c>
    </row>
    <row r="6" ht="22" customHeight="1">
      <c r="B6" s="9" t="inlineStr">
        <is>
          <t>Tier</t>
        </is>
      </c>
      <c r="C6" s="10" t="inlineStr">
        <is>
          <t>All</t>
        </is>
      </c>
      <c r="D6" s="11" t="inlineStr">
        <is>
          <t>▼ pick from the list</t>
        </is>
      </c>
      <c r="F6" s="13" t="inlineStr">
        <is>
          <t>Our price (best child)</t>
        </is>
      </c>
      <c r="G6" s="35">
        <f>IF($C$4="All","",IFERROR(INDEX(Lookup!$A$2:$Y$34,MATCH("CA|"&amp;$C$4,Lookup!$A$2:$A$34,0),10),""))</f>
        <v/>
      </c>
      <c r="AA6" t="inlineStr">
        <is>
          <t>SSS4</t>
        </is>
      </c>
      <c r="AB6" t="inlineStr">
        <is>
          <t>akkialla</t>
        </is>
      </c>
      <c r="AD6" t="inlineStr">
        <is>
          <t>Other</t>
        </is>
      </c>
      <c r="AE6" t="inlineStr">
        <is>
          <t>Not classified</t>
        </is>
      </c>
    </row>
    <row r="7" ht="22" customHeight="1">
      <c r="B7" s="9" t="inlineStr">
        <is>
          <t>Family</t>
        </is>
      </c>
      <c r="C7" s="10" t="inlineStr">
        <is>
          <t>All</t>
        </is>
      </c>
      <c r="D7" s="11" t="inlineStr">
        <is>
          <t>▼ pick from the list</t>
        </is>
      </c>
      <c r="F7" s="13" t="inlineStr">
        <is>
          <t>Units, last 28 days</t>
        </is>
      </c>
      <c r="G7" s="20">
        <f>IF($C$4="All","",IFERROR(INDEX(Lookup!$A$2:$Y$34,MATCH("CA|"&amp;$C$4,Lookup!$A$2:$A$34,0),11),""))</f>
        <v/>
      </c>
      <c r="L7" s="15" t="inlineStr">
        <is>
          <t>COMPETITORS SHOWN</t>
        </is>
      </c>
      <c r="N7" s="15" t="inlineStr">
        <is>
          <t>MEDIAN COMPETITOR PRICE</t>
        </is>
      </c>
      <c r="P7" s="15" t="inlineStr">
        <is>
          <t>PRICED BELOW US</t>
        </is>
      </c>
      <c r="R7" s="15" t="inlineStr">
        <is>
          <t>AVG BFCM 2025 DISCOUNT</t>
        </is>
      </c>
      <c r="AA7" t="inlineStr">
        <is>
          <t>DC Satin Fitted</t>
        </is>
      </c>
      <c r="AB7" t="inlineStr">
        <is>
          <t>ALASKA BEAR</t>
        </is>
      </c>
    </row>
    <row r="8" ht="22" customHeight="1">
      <c r="B8" s="9" t="inlineStr">
        <is>
          <t>Competitor type</t>
        </is>
      </c>
      <c r="C8" s="10" t="inlineStr">
        <is>
          <t>All</t>
        </is>
      </c>
      <c r="D8" s="11" t="inlineStr">
        <is>
          <t>▼ pick from the list</t>
        </is>
      </c>
      <c r="F8" s="13" t="inlineStr">
        <is>
          <t>BFCM 2026 plan</t>
        </is>
      </c>
      <c r="G8" s="16">
        <f>IF($C$4="All","",IFERROR(INDEX(Lookup!$A$2:$Y$34,MATCH("CA|"&amp;$C$4,Lookup!$A$2:$A$34,0),13),""))</f>
        <v/>
      </c>
      <c r="L8" s="17">
        <f>COUNTIF(Data!$AH$2:$AH$745,TRUE)</f>
        <v/>
      </c>
      <c r="N8" s="36">
        <f t="array" ref="N8">IFERROR(MEDIAN(IF((Data!$AH$2:$AH$745=TRUE)*ISNUMBER(Data!$N$2:$N$745),Data!$N$2:$N$745)),"")</f>
        <v/>
      </c>
      <c r="P8" s="17">
        <f>COUNTIFS(Data!$AH$2:$AH$745,TRUE,Data!$R$2:$R$745,"&lt;0")</f>
        <v/>
      </c>
      <c r="R8" s="22">
        <f>IFERROR(AVERAGEIFS(Data!$AD$2:$AD$745,Data!$AH$2:$AH$745,TRUE),"")</f>
        <v/>
      </c>
      <c r="AB8" t="inlineStr">
        <is>
          <t>Amazon Basics</t>
        </is>
      </c>
    </row>
    <row r="9" ht="22" customHeight="1">
      <c r="B9" s="23" t="inlineStr">
        <is>
          <t>→ US Dashboard</t>
        </is>
      </c>
      <c r="F9" s="13" t="inlineStr">
        <is>
          <t>Assumed deal price (15% / 20%)</t>
        </is>
      </c>
      <c r="G9" s="16">
        <f>IF(OR($C$4="All",IFERROR(INDEX(Lookup!$A$2:$Y$34,MATCH("CA|"&amp;$C$4,Lookup!$A$2:$A$34,0),14),"")=""),"No deal planned",TEXT(IFERROR(INDEX(Lookup!$A$2:$Y$34,MATCH("CA|"&amp;$C$4,Lookup!$A$2:$A$34,0),14),""),"C$0.00")&amp;" (Nov 19-26) · "&amp;TEXT(IFERROR(INDEX(Lookup!$A$2:$Y$34,MATCH("CA|"&amp;$C$4,Lookup!$A$2:$A$34,0),15),""),"C$0.00")&amp;" (Nov 27-30)")</f>
        <v/>
      </c>
      <c r="AB9" t="inlineStr">
        <is>
          <t>Andency</t>
        </is>
      </c>
    </row>
    <row r="10" ht="22" customHeight="1">
      <c r="B10" s="23" t="inlineStr">
        <is>
          <t>→ BFCM Stock</t>
        </is>
      </c>
      <c r="F10" s="13" t="inlineStr">
        <is>
          <t>BFCM 2025 sales lift</t>
        </is>
      </c>
      <c r="G10" s="24">
        <f>IF($C$4="All","",IFERROR(INDEX(Lookup!$A$2:$Y$34,MATCH("CA|"&amp;$C$4,Lookup!$A$2:$A$34,0),12),""))</f>
        <v/>
      </c>
      <c r="AB10" t="inlineStr">
        <is>
          <t>Anibedding</t>
        </is>
      </c>
    </row>
    <row r="11">
      <c r="F11" s="13" t="inlineStr">
        <is>
          <t>Open the product tab:</t>
        </is>
      </c>
      <c r="G11" s="23">
        <f>IF($C$4="All","",HYPERLINK("#'"&amp;IFERROR(INDEX(Lookup!$A$2:$Y$34,MATCH("CA|"&amp;$C$4,Lookup!$A$2:$A$34,0),3),"")&amp;"'!A1",IFERROR(INDEX(Lookup!$A$2:$Y$34,MATCH("CA|"&amp;$C$4,Lookup!$A$2:$A$34,0),3),"")))</f>
        <v/>
      </c>
      <c r="AB11" t="inlineStr">
        <is>
          <t>Artrello</t>
        </is>
      </c>
    </row>
    <row r="12">
      <c r="AB12" t="inlineStr">
        <is>
          <t>ATreebay</t>
        </is>
      </c>
    </row>
    <row r="13">
      <c r="B13" s="25" t="inlineStr">
        <is>
          <t>COMPETITORS (first 80 matches, in tier then weekly-units order)</t>
        </is>
      </c>
      <c r="AB13" t="inlineStr">
        <is>
          <t>Avolare</t>
        </is>
      </c>
    </row>
    <row r="14">
      <c r="B14" s="26" t="inlineStr">
        <is>
          <t>#</t>
        </is>
      </c>
      <c r="C14" s="26" t="inlineStr">
        <is>
          <t>Image</t>
        </is>
      </c>
      <c r="D14" s="26" t="inlineStr">
        <is>
          <t>Brand · Tier</t>
        </is>
      </c>
      <c r="E14" s="26" t="inlineStr">
        <is>
          <t>Title</t>
        </is>
      </c>
      <c r="F14" s="26" t="inlineStr">
        <is>
          <t>Competitor type</t>
        </is>
      </c>
      <c r="G14" s="26" t="inlineStr">
        <is>
          <t>Size · colour</t>
        </is>
      </c>
      <c r="H14" s="26" t="inlineStr">
        <is>
          <t>Price</t>
        </is>
      </c>
      <c r="I14" s="26" t="inlineStr">
        <is>
          <t>List Price</t>
        </is>
      </c>
      <c r="J14" s="26" t="inlineStr">
        <is>
          <t>List % over</t>
        </is>
      </c>
      <c r="K14" s="26" t="inlineStr">
        <is>
          <t>vs our price</t>
        </is>
      </c>
      <c r="L14" s="26" t="inlineStr">
        <is>
          <t>BSR</t>
        </is>
      </c>
      <c r="M14" s="26" t="inlineStr">
        <is>
          <t>Wk units</t>
        </is>
      </c>
      <c r="N14" s="26" t="inlineStr">
        <is>
          <t>Rating</t>
        </is>
      </c>
      <c r="O14" s="26" t="inlineStr">
        <is>
          <t>Reviews</t>
        </is>
      </c>
      <c r="P14" s="26" t="inlineStr">
        <is>
          <t>Variations</t>
        </is>
      </c>
      <c r="Q14" s="26" t="inlineStr">
        <is>
          <t>BFCM 2025 discount</t>
        </is>
      </c>
      <c r="R14" s="26" t="inlineStr">
        <is>
          <t>ASIN</t>
        </is>
      </c>
      <c r="AB14" t="inlineStr">
        <is>
          <t>Back Bay Audio</t>
        </is>
      </c>
    </row>
    <row r="15" ht="62" customHeight="1">
      <c r="B15" s="27">
        <f>IF(1&lt;=COUNTIF(Data!$AH$2:$AH$745,TRUE),1,"")</f>
        <v/>
      </c>
      <c r="C15" s="28">
        <f>IF(B15="","",IFERROR(_xlfn.IMAGE(IFERROR(IF(INDEX(Data!$J$2:$J$745,MATCH(1,Data!$AI$2:$AI$745,0))="","",INDEX(Data!$J$2:$J$745,MATCH(1,Data!$AI$2:$AI$745,0))),"")),"IMAGE COMING SOON"))</f>
        <v/>
      </c>
      <c r="D15" s="29">
        <f>IF(B15="","",IFERROR(IF(INDEX(Data!$G$2:$G$745,MATCH(1,Data!$AI$2:$AI$745,0))="","",INDEX(Data!$G$2:$G$745,MATCH(1,Data!$AI$2:$AI$745,0))),"")&amp;CHAR(10)&amp;IFERROR(IF(INDEX(Data!$H$2:$H$745,MATCH(1,Data!$AI$2:$AI$745,0))="","",INDEX(Data!$H$2:$H$745,MATCH(1,Data!$AI$2:$AI$745,0))),""))</f>
        <v/>
      </c>
      <c r="E15" s="27">
        <f>IF(B15="","",IFERROR(IF(INDEX(Data!$I$2:$I$745,MATCH(1,Data!$AI$2:$AI$745,0))="","",INDEX(Data!$I$2:$I$745,MATCH(1,Data!$AI$2:$AI$745,0))),""))</f>
        <v/>
      </c>
      <c r="F15" s="27">
        <f>IF(B15="","",IFERROR(IF(INDEX(Data!$AJ$2:$AJ$745,MATCH(1,Data!$AI$2:$AI$745,0))="","",INDEX(Data!$AJ$2:$AJ$745,MATCH(1,Data!$AI$2:$AI$745,0))),""))</f>
        <v/>
      </c>
      <c r="G15" s="27">
        <f>IF(B15="","",TRIM(IFERROR(IF(INDEX(Data!$AF$2:$AF$745,MATCH(1,Data!$AI$2:$AI$745,0))="","",INDEX(Data!$AF$2:$AF$745,MATCH(1,Data!$AI$2:$AI$745,0))),"")&amp;" "&amp;IFERROR(IF(INDEX(Data!$AG$2:$AG$745,MATCH(1,Data!$AI$2:$AI$745,0))="","",INDEX(Data!$AG$2:$AG$745,MATCH(1,Data!$AI$2:$AI$745,0))),"")))</f>
        <v/>
      </c>
      <c r="H15" s="37">
        <f>IF(B15="","",IFERROR(IF(INDEX(Data!$N$2:$N$745,MATCH(1,Data!$AI$2:$AI$745,0))="","",INDEX(Data!$N$2:$N$745,MATCH(1,Data!$AI$2:$AI$745,0))),""))</f>
        <v/>
      </c>
      <c r="I15" s="37">
        <f>IF(B15="","",IFERROR(IF(INDEX(Data!$O$2:$O$745,MATCH(1,Data!$AI$2:$AI$745,0))="","",INDEX(Data!$O$2:$O$745,MATCH(1,Data!$AI$2:$AI$745,0))),""))</f>
        <v/>
      </c>
      <c r="J15" s="31">
        <f>IF(B15="","",IFERROR(IF(INDEX(Data!$P$2:$P$745,MATCH(1,Data!$AI$2:$AI$745,0))="","",INDEX(Data!$P$2:$P$745,MATCH(1,Data!$AI$2:$AI$745,0))),""))</f>
        <v/>
      </c>
      <c r="K15" s="32">
        <f>IF(B15="","",IFERROR(IF(INDEX(Data!$R$2:$R$745,MATCH(1,Data!$AI$2:$AI$745,0))="","",INDEX(Data!$R$2:$R$745,MATCH(1,Data!$AI$2:$AI$745,0))),""))</f>
        <v/>
      </c>
      <c r="L15" s="33">
        <f>IF(B15="","",IFERROR(IF(INDEX(Data!$S$2:$S$745,MATCH(1,Data!$AI$2:$AI$745,0))="","",INDEX(Data!$S$2:$S$745,MATCH(1,Data!$AI$2:$AI$745,0))),""))</f>
        <v/>
      </c>
      <c r="M15" s="33">
        <f>IF(B15="","",IFERROR(IF(INDEX(Data!$T$2:$T$745,MATCH(1,Data!$AI$2:$AI$745,0))="","",INDEX(Data!$T$2:$T$745,MATCH(1,Data!$AI$2:$AI$745,0))),""))</f>
        <v/>
      </c>
      <c r="N15" s="34">
        <f>IF(B15="","",IFERROR(IF(INDEX(Data!$U$2:$U$745,MATCH(1,Data!$AI$2:$AI$745,0))="","",INDEX(Data!$U$2:$U$745,MATCH(1,Data!$AI$2:$AI$745,0))),""))</f>
        <v/>
      </c>
      <c r="O15" s="33">
        <f>IF(B15="","",IFERROR(IF(INDEX(Data!$V$2:$V$745,MATCH(1,Data!$AI$2:$AI$745,0))="","",INDEX(Data!$V$2:$V$745,MATCH(1,Data!$AI$2:$AI$745,0))),""))</f>
        <v/>
      </c>
      <c r="P15" s="33">
        <f>IF(B15="","",IFERROR(IF(INDEX(Data!$M$2:$M$745,MATCH(1,Data!$AI$2:$AI$745,0))="","",INDEX(Data!$M$2:$M$745,MATCH(1,Data!$AI$2:$AI$745,0))),""))</f>
        <v/>
      </c>
      <c r="Q15" s="31">
        <f>IF(B15="","",IFERROR(IF(INDEX(Data!$AD$2:$AD$745,MATCH(1,Data!$AI$2:$AI$745,0))="","",INDEX(Data!$AD$2:$AD$745,MATCH(1,Data!$AI$2:$AI$745,0))),""))</f>
        <v/>
      </c>
      <c r="R15" s="27">
        <f>IF(B15="","",IFERROR(IF(INDEX(Data!$L$2:$L$745,MATCH(1,Data!$AI$2:$AI$745,0))="","",INDEX(Data!$L$2:$L$745,MATCH(1,Data!$AI$2:$AI$745,0))),""))</f>
        <v/>
      </c>
      <c r="AB15" t="inlineStr">
        <is>
          <t>Bambaw</t>
        </is>
      </c>
    </row>
    <row r="16" ht="62" customHeight="1">
      <c r="B16" s="27">
        <f>IF(2&lt;=COUNTIF(Data!$AH$2:$AH$745,TRUE),2,"")</f>
        <v/>
      </c>
      <c r="C16" s="28">
        <f>IF(B16="","",IFERROR(_xlfn.IMAGE(IFERROR(IF(INDEX(Data!$J$2:$J$745,MATCH(2,Data!$AI$2:$AI$745,0))="","",INDEX(Data!$J$2:$J$745,MATCH(2,Data!$AI$2:$AI$745,0))),"")),"IMAGE COMING SOON"))</f>
        <v/>
      </c>
      <c r="D16" s="29">
        <f>IF(B16="","",IFERROR(IF(INDEX(Data!$G$2:$G$745,MATCH(2,Data!$AI$2:$AI$745,0))="","",INDEX(Data!$G$2:$G$745,MATCH(2,Data!$AI$2:$AI$745,0))),"")&amp;CHAR(10)&amp;IFERROR(IF(INDEX(Data!$H$2:$H$745,MATCH(2,Data!$AI$2:$AI$745,0))="","",INDEX(Data!$H$2:$H$745,MATCH(2,Data!$AI$2:$AI$745,0))),""))</f>
        <v/>
      </c>
      <c r="E16" s="27">
        <f>IF(B16="","",IFERROR(IF(INDEX(Data!$I$2:$I$745,MATCH(2,Data!$AI$2:$AI$745,0))="","",INDEX(Data!$I$2:$I$745,MATCH(2,Data!$AI$2:$AI$745,0))),""))</f>
        <v/>
      </c>
      <c r="F16" s="27">
        <f>IF(B16="","",IFERROR(IF(INDEX(Data!$AJ$2:$AJ$745,MATCH(2,Data!$AI$2:$AI$745,0))="","",INDEX(Data!$AJ$2:$AJ$745,MATCH(2,Data!$AI$2:$AI$745,0))),""))</f>
        <v/>
      </c>
      <c r="G16" s="27">
        <f>IF(B16="","",TRIM(IFERROR(IF(INDEX(Data!$AF$2:$AF$745,MATCH(2,Data!$AI$2:$AI$745,0))="","",INDEX(Data!$AF$2:$AF$745,MATCH(2,Data!$AI$2:$AI$745,0))),"")&amp;" "&amp;IFERROR(IF(INDEX(Data!$AG$2:$AG$745,MATCH(2,Data!$AI$2:$AI$745,0))="","",INDEX(Data!$AG$2:$AG$745,MATCH(2,Data!$AI$2:$AI$745,0))),"")))</f>
        <v/>
      </c>
      <c r="H16" s="37">
        <f>IF(B16="","",IFERROR(IF(INDEX(Data!$N$2:$N$745,MATCH(2,Data!$AI$2:$AI$745,0))="","",INDEX(Data!$N$2:$N$745,MATCH(2,Data!$AI$2:$AI$745,0))),""))</f>
        <v/>
      </c>
      <c r="I16" s="37">
        <f>IF(B16="","",IFERROR(IF(INDEX(Data!$O$2:$O$745,MATCH(2,Data!$AI$2:$AI$745,0))="","",INDEX(Data!$O$2:$O$745,MATCH(2,Data!$AI$2:$AI$745,0))),""))</f>
        <v/>
      </c>
      <c r="J16" s="31">
        <f>IF(B16="","",IFERROR(IF(INDEX(Data!$P$2:$P$745,MATCH(2,Data!$AI$2:$AI$745,0))="","",INDEX(Data!$P$2:$P$745,MATCH(2,Data!$AI$2:$AI$745,0))),""))</f>
        <v/>
      </c>
      <c r="K16" s="32">
        <f>IF(B16="","",IFERROR(IF(INDEX(Data!$R$2:$R$745,MATCH(2,Data!$AI$2:$AI$745,0))="","",INDEX(Data!$R$2:$R$745,MATCH(2,Data!$AI$2:$AI$745,0))),""))</f>
        <v/>
      </c>
      <c r="L16" s="33">
        <f>IF(B16="","",IFERROR(IF(INDEX(Data!$S$2:$S$745,MATCH(2,Data!$AI$2:$AI$745,0))="","",INDEX(Data!$S$2:$S$745,MATCH(2,Data!$AI$2:$AI$745,0))),""))</f>
        <v/>
      </c>
      <c r="M16" s="33">
        <f>IF(B16="","",IFERROR(IF(INDEX(Data!$T$2:$T$745,MATCH(2,Data!$AI$2:$AI$745,0))="","",INDEX(Data!$T$2:$T$745,MATCH(2,Data!$AI$2:$AI$745,0))),""))</f>
        <v/>
      </c>
      <c r="N16" s="34">
        <f>IF(B16="","",IFERROR(IF(INDEX(Data!$U$2:$U$745,MATCH(2,Data!$AI$2:$AI$745,0))="","",INDEX(Data!$U$2:$U$745,MATCH(2,Data!$AI$2:$AI$745,0))),""))</f>
        <v/>
      </c>
      <c r="O16" s="33">
        <f>IF(B16="","",IFERROR(IF(INDEX(Data!$V$2:$V$745,MATCH(2,Data!$AI$2:$AI$745,0))="","",INDEX(Data!$V$2:$V$745,MATCH(2,Data!$AI$2:$AI$745,0))),""))</f>
        <v/>
      </c>
      <c r="P16" s="33">
        <f>IF(B16="","",IFERROR(IF(INDEX(Data!$M$2:$M$745,MATCH(2,Data!$AI$2:$AI$745,0))="","",INDEX(Data!$M$2:$M$745,MATCH(2,Data!$AI$2:$AI$745,0))),""))</f>
        <v/>
      </c>
      <c r="Q16" s="31">
        <f>IF(B16="","",IFERROR(IF(INDEX(Data!$AD$2:$AD$745,MATCH(2,Data!$AI$2:$AI$745,0))="","",INDEX(Data!$AD$2:$AD$745,MATCH(2,Data!$AI$2:$AI$745,0))),""))</f>
        <v/>
      </c>
      <c r="R16" s="27">
        <f>IF(B16="","",IFERROR(IF(INDEX(Data!$L$2:$L$745,MATCH(2,Data!$AI$2:$AI$745,0))="","",INDEX(Data!$L$2:$L$745,MATCH(2,Data!$AI$2:$AI$745,0))),""))</f>
        <v/>
      </c>
      <c r="AB16" t="inlineStr">
        <is>
          <t>Bamboo Bay</t>
        </is>
      </c>
    </row>
    <row r="17" ht="62" customHeight="1">
      <c r="B17" s="27">
        <f>IF(3&lt;=COUNTIF(Data!$AH$2:$AH$745,TRUE),3,"")</f>
        <v/>
      </c>
      <c r="C17" s="28">
        <f>IF(B17="","",IFERROR(_xlfn.IMAGE(IFERROR(IF(INDEX(Data!$J$2:$J$745,MATCH(3,Data!$AI$2:$AI$745,0))="","",INDEX(Data!$J$2:$J$745,MATCH(3,Data!$AI$2:$AI$745,0))),"")),"IMAGE COMING SOON"))</f>
        <v/>
      </c>
      <c r="D17" s="29">
        <f>IF(B17="","",IFERROR(IF(INDEX(Data!$G$2:$G$745,MATCH(3,Data!$AI$2:$AI$745,0))="","",INDEX(Data!$G$2:$G$745,MATCH(3,Data!$AI$2:$AI$745,0))),"")&amp;CHAR(10)&amp;IFERROR(IF(INDEX(Data!$H$2:$H$745,MATCH(3,Data!$AI$2:$AI$745,0))="","",INDEX(Data!$H$2:$H$745,MATCH(3,Data!$AI$2:$AI$745,0))),""))</f>
        <v/>
      </c>
      <c r="E17" s="27">
        <f>IF(B17="","",IFERROR(IF(INDEX(Data!$I$2:$I$745,MATCH(3,Data!$AI$2:$AI$745,0))="","",INDEX(Data!$I$2:$I$745,MATCH(3,Data!$AI$2:$AI$745,0))),""))</f>
        <v/>
      </c>
      <c r="F17" s="27">
        <f>IF(B17="","",IFERROR(IF(INDEX(Data!$AJ$2:$AJ$745,MATCH(3,Data!$AI$2:$AI$745,0))="","",INDEX(Data!$AJ$2:$AJ$745,MATCH(3,Data!$AI$2:$AI$745,0))),""))</f>
        <v/>
      </c>
      <c r="G17" s="27">
        <f>IF(B17="","",TRIM(IFERROR(IF(INDEX(Data!$AF$2:$AF$745,MATCH(3,Data!$AI$2:$AI$745,0))="","",INDEX(Data!$AF$2:$AF$745,MATCH(3,Data!$AI$2:$AI$745,0))),"")&amp;" "&amp;IFERROR(IF(INDEX(Data!$AG$2:$AG$745,MATCH(3,Data!$AI$2:$AI$745,0))="","",INDEX(Data!$AG$2:$AG$745,MATCH(3,Data!$AI$2:$AI$745,0))),"")))</f>
        <v/>
      </c>
      <c r="H17" s="37">
        <f>IF(B17="","",IFERROR(IF(INDEX(Data!$N$2:$N$745,MATCH(3,Data!$AI$2:$AI$745,0))="","",INDEX(Data!$N$2:$N$745,MATCH(3,Data!$AI$2:$AI$745,0))),""))</f>
        <v/>
      </c>
      <c r="I17" s="37">
        <f>IF(B17="","",IFERROR(IF(INDEX(Data!$O$2:$O$745,MATCH(3,Data!$AI$2:$AI$745,0))="","",INDEX(Data!$O$2:$O$745,MATCH(3,Data!$AI$2:$AI$745,0))),""))</f>
        <v/>
      </c>
      <c r="J17" s="31">
        <f>IF(B17="","",IFERROR(IF(INDEX(Data!$P$2:$P$745,MATCH(3,Data!$AI$2:$AI$745,0))="","",INDEX(Data!$P$2:$P$745,MATCH(3,Data!$AI$2:$AI$745,0))),""))</f>
        <v/>
      </c>
      <c r="K17" s="32">
        <f>IF(B17="","",IFERROR(IF(INDEX(Data!$R$2:$R$745,MATCH(3,Data!$AI$2:$AI$745,0))="","",INDEX(Data!$R$2:$R$745,MATCH(3,Data!$AI$2:$AI$745,0))),""))</f>
        <v/>
      </c>
      <c r="L17" s="33">
        <f>IF(B17="","",IFERROR(IF(INDEX(Data!$S$2:$S$745,MATCH(3,Data!$AI$2:$AI$745,0))="","",INDEX(Data!$S$2:$S$745,MATCH(3,Data!$AI$2:$AI$745,0))),""))</f>
        <v/>
      </c>
      <c r="M17" s="33">
        <f>IF(B17="","",IFERROR(IF(INDEX(Data!$T$2:$T$745,MATCH(3,Data!$AI$2:$AI$745,0))="","",INDEX(Data!$T$2:$T$745,MATCH(3,Data!$AI$2:$AI$745,0))),""))</f>
        <v/>
      </c>
      <c r="N17" s="34">
        <f>IF(B17="","",IFERROR(IF(INDEX(Data!$U$2:$U$745,MATCH(3,Data!$AI$2:$AI$745,0))="","",INDEX(Data!$U$2:$U$745,MATCH(3,Data!$AI$2:$AI$745,0))),""))</f>
        <v/>
      </c>
      <c r="O17" s="33">
        <f>IF(B17="","",IFERROR(IF(INDEX(Data!$V$2:$V$745,MATCH(3,Data!$AI$2:$AI$745,0))="","",INDEX(Data!$V$2:$V$745,MATCH(3,Data!$AI$2:$AI$745,0))),""))</f>
        <v/>
      </c>
      <c r="P17" s="33">
        <f>IF(B17="","",IFERROR(IF(INDEX(Data!$M$2:$M$745,MATCH(3,Data!$AI$2:$AI$745,0))="","",INDEX(Data!$M$2:$M$745,MATCH(3,Data!$AI$2:$AI$745,0))),""))</f>
        <v/>
      </c>
      <c r="Q17" s="31">
        <f>IF(B17="","",IFERROR(IF(INDEX(Data!$AD$2:$AD$745,MATCH(3,Data!$AI$2:$AI$745,0))="","",INDEX(Data!$AD$2:$AD$745,MATCH(3,Data!$AI$2:$AI$745,0))),""))</f>
        <v/>
      </c>
      <c r="R17" s="27">
        <f>IF(B17="","",IFERROR(IF(INDEX(Data!$L$2:$L$745,MATCH(3,Data!$AI$2:$AI$745,0))="","",INDEX(Data!$L$2:$L$745,MATCH(3,Data!$AI$2:$AI$745,0))),""))</f>
        <v/>
      </c>
      <c r="AB17" t="inlineStr">
        <is>
          <t>BAMPURE</t>
        </is>
      </c>
    </row>
    <row r="18" ht="62" customHeight="1">
      <c r="B18" s="27">
        <f>IF(4&lt;=COUNTIF(Data!$AH$2:$AH$745,TRUE),4,"")</f>
        <v/>
      </c>
      <c r="C18" s="28">
        <f>IF(B18="","",IFERROR(_xlfn.IMAGE(IFERROR(IF(INDEX(Data!$J$2:$J$745,MATCH(4,Data!$AI$2:$AI$745,0))="","",INDEX(Data!$J$2:$J$745,MATCH(4,Data!$AI$2:$AI$745,0))),"")),"IMAGE COMING SOON"))</f>
        <v/>
      </c>
      <c r="D18" s="29">
        <f>IF(B18="","",IFERROR(IF(INDEX(Data!$G$2:$G$745,MATCH(4,Data!$AI$2:$AI$745,0))="","",INDEX(Data!$G$2:$G$745,MATCH(4,Data!$AI$2:$AI$745,0))),"")&amp;CHAR(10)&amp;IFERROR(IF(INDEX(Data!$H$2:$H$745,MATCH(4,Data!$AI$2:$AI$745,0))="","",INDEX(Data!$H$2:$H$745,MATCH(4,Data!$AI$2:$AI$745,0))),""))</f>
        <v/>
      </c>
      <c r="E18" s="27">
        <f>IF(B18="","",IFERROR(IF(INDEX(Data!$I$2:$I$745,MATCH(4,Data!$AI$2:$AI$745,0))="","",INDEX(Data!$I$2:$I$745,MATCH(4,Data!$AI$2:$AI$745,0))),""))</f>
        <v/>
      </c>
      <c r="F18" s="27">
        <f>IF(B18="","",IFERROR(IF(INDEX(Data!$AJ$2:$AJ$745,MATCH(4,Data!$AI$2:$AI$745,0))="","",INDEX(Data!$AJ$2:$AJ$745,MATCH(4,Data!$AI$2:$AI$745,0))),""))</f>
        <v/>
      </c>
      <c r="G18" s="27">
        <f>IF(B18="","",TRIM(IFERROR(IF(INDEX(Data!$AF$2:$AF$745,MATCH(4,Data!$AI$2:$AI$745,0))="","",INDEX(Data!$AF$2:$AF$745,MATCH(4,Data!$AI$2:$AI$745,0))),"")&amp;" "&amp;IFERROR(IF(INDEX(Data!$AG$2:$AG$745,MATCH(4,Data!$AI$2:$AI$745,0))="","",INDEX(Data!$AG$2:$AG$745,MATCH(4,Data!$AI$2:$AI$745,0))),"")))</f>
        <v/>
      </c>
      <c r="H18" s="37">
        <f>IF(B18="","",IFERROR(IF(INDEX(Data!$N$2:$N$745,MATCH(4,Data!$AI$2:$AI$745,0))="","",INDEX(Data!$N$2:$N$745,MATCH(4,Data!$AI$2:$AI$745,0))),""))</f>
        <v/>
      </c>
      <c r="I18" s="37">
        <f>IF(B18="","",IFERROR(IF(INDEX(Data!$O$2:$O$745,MATCH(4,Data!$AI$2:$AI$745,0))="","",INDEX(Data!$O$2:$O$745,MATCH(4,Data!$AI$2:$AI$745,0))),""))</f>
        <v/>
      </c>
      <c r="J18" s="31">
        <f>IF(B18="","",IFERROR(IF(INDEX(Data!$P$2:$P$745,MATCH(4,Data!$AI$2:$AI$745,0))="","",INDEX(Data!$P$2:$P$745,MATCH(4,Data!$AI$2:$AI$745,0))),""))</f>
        <v/>
      </c>
      <c r="K18" s="32">
        <f>IF(B18="","",IFERROR(IF(INDEX(Data!$R$2:$R$745,MATCH(4,Data!$AI$2:$AI$745,0))="","",INDEX(Data!$R$2:$R$745,MATCH(4,Data!$AI$2:$AI$745,0))),""))</f>
        <v/>
      </c>
      <c r="L18" s="33">
        <f>IF(B18="","",IFERROR(IF(INDEX(Data!$S$2:$S$745,MATCH(4,Data!$AI$2:$AI$745,0))="","",INDEX(Data!$S$2:$S$745,MATCH(4,Data!$AI$2:$AI$745,0))),""))</f>
        <v/>
      </c>
      <c r="M18" s="33">
        <f>IF(B18="","",IFERROR(IF(INDEX(Data!$T$2:$T$745,MATCH(4,Data!$AI$2:$AI$745,0))="","",INDEX(Data!$T$2:$T$745,MATCH(4,Data!$AI$2:$AI$745,0))),""))</f>
        <v/>
      </c>
      <c r="N18" s="34">
        <f>IF(B18="","",IFERROR(IF(INDEX(Data!$U$2:$U$745,MATCH(4,Data!$AI$2:$AI$745,0))="","",INDEX(Data!$U$2:$U$745,MATCH(4,Data!$AI$2:$AI$745,0))),""))</f>
        <v/>
      </c>
      <c r="O18" s="33">
        <f>IF(B18="","",IFERROR(IF(INDEX(Data!$V$2:$V$745,MATCH(4,Data!$AI$2:$AI$745,0))="","",INDEX(Data!$V$2:$V$745,MATCH(4,Data!$AI$2:$AI$745,0))),""))</f>
        <v/>
      </c>
      <c r="P18" s="33">
        <f>IF(B18="","",IFERROR(IF(INDEX(Data!$M$2:$M$745,MATCH(4,Data!$AI$2:$AI$745,0))="","",INDEX(Data!$M$2:$M$745,MATCH(4,Data!$AI$2:$AI$745,0))),""))</f>
        <v/>
      </c>
      <c r="Q18" s="31">
        <f>IF(B18="","",IFERROR(IF(INDEX(Data!$AD$2:$AD$745,MATCH(4,Data!$AI$2:$AI$745,0))="","",INDEX(Data!$AD$2:$AD$745,MATCH(4,Data!$AI$2:$AI$745,0))),""))</f>
        <v/>
      </c>
      <c r="R18" s="27">
        <f>IF(B18="","",IFERROR(IF(INDEX(Data!$L$2:$L$745,MATCH(4,Data!$AI$2:$AI$745,0))="","",INDEX(Data!$L$2:$L$745,MATCH(4,Data!$AI$2:$AI$745,0))),""))</f>
        <v/>
      </c>
      <c r="AB18" t="inlineStr">
        <is>
          <t>Bamtek</t>
        </is>
      </c>
    </row>
    <row r="19" ht="62" customHeight="1">
      <c r="B19" s="27">
        <f>IF(5&lt;=COUNTIF(Data!$AH$2:$AH$745,TRUE),5,"")</f>
        <v/>
      </c>
      <c r="C19" s="28">
        <f>IF(B19="","",IFERROR(_xlfn.IMAGE(IFERROR(IF(INDEX(Data!$J$2:$J$745,MATCH(5,Data!$AI$2:$AI$745,0))="","",INDEX(Data!$J$2:$J$745,MATCH(5,Data!$AI$2:$AI$745,0))),"")),"IMAGE COMING SOON"))</f>
        <v/>
      </c>
      <c r="D19" s="29">
        <f>IF(B19="","",IFERROR(IF(INDEX(Data!$G$2:$G$745,MATCH(5,Data!$AI$2:$AI$745,0))="","",INDEX(Data!$G$2:$G$745,MATCH(5,Data!$AI$2:$AI$745,0))),"")&amp;CHAR(10)&amp;IFERROR(IF(INDEX(Data!$H$2:$H$745,MATCH(5,Data!$AI$2:$AI$745,0))="","",INDEX(Data!$H$2:$H$745,MATCH(5,Data!$AI$2:$AI$745,0))),""))</f>
        <v/>
      </c>
      <c r="E19" s="27">
        <f>IF(B19="","",IFERROR(IF(INDEX(Data!$I$2:$I$745,MATCH(5,Data!$AI$2:$AI$745,0))="","",INDEX(Data!$I$2:$I$745,MATCH(5,Data!$AI$2:$AI$745,0))),""))</f>
        <v/>
      </c>
      <c r="F19" s="27">
        <f>IF(B19="","",IFERROR(IF(INDEX(Data!$AJ$2:$AJ$745,MATCH(5,Data!$AI$2:$AI$745,0))="","",INDEX(Data!$AJ$2:$AJ$745,MATCH(5,Data!$AI$2:$AI$745,0))),""))</f>
        <v/>
      </c>
      <c r="G19" s="27">
        <f>IF(B19="","",TRIM(IFERROR(IF(INDEX(Data!$AF$2:$AF$745,MATCH(5,Data!$AI$2:$AI$745,0))="","",INDEX(Data!$AF$2:$AF$745,MATCH(5,Data!$AI$2:$AI$745,0))),"")&amp;" "&amp;IFERROR(IF(INDEX(Data!$AG$2:$AG$745,MATCH(5,Data!$AI$2:$AI$745,0))="","",INDEX(Data!$AG$2:$AG$745,MATCH(5,Data!$AI$2:$AI$745,0))),"")))</f>
        <v/>
      </c>
      <c r="H19" s="37">
        <f>IF(B19="","",IFERROR(IF(INDEX(Data!$N$2:$N$745,MATCH(5,Data!$AI$2:$AI$745,0))="","",INDEX(Data!$N$2:$N$745,MATCH(5,Data!$AI$2:$AI$745,0))),""))</f>
        <v/>
      </c>
      <c r="I19" s="37">
        <f>IF(B19="","",IFERROR(IF(INDEX(Data!$O$2:$O$745,MATCH(5,Data!$AI$2:$AI$745,0))="","",INDEX(Data!$O$2:$O$745,MATCH(5,Data!$AI$2:$AI$745,0))),""))</f>
        <v/>
      </c>
      <c r="J19" s="31">
        <f>IF(B19="","",IFERROR(IF(INDEX(Data!$P$2:$P$745,MATCH(5,Data!$AI$2:$AI$745,0))="","",INDEX(Data!$P$2:$P$745,MATCH(5,Data!$AI$2:$AI$745,0))),""))</f>
        <v/>
      </c>
      <c r="K19" s="32">
        <f>IF(B19="","",IFERROR(IF(INDEX(Data!$R$2:$R$745,MATCH(5,Data!$AI$2:$AI$745,0))="","",INDEX(Data!$R$2:$R$745,MATCH(5,Data!$AI$2:$AI$745,0))),""))</f>
        <v/>
      </c>
      <c r="L19" s="33">
        <f>IF(B19="","",IFERROR(IF(INDEX(Data!$S$2:$S$745,MATCH(5,Data!$AI$2:$AI$745,0))="","",INDEX(Data!$S$2:$S$745,MATCH(5,Data!$AI$2:$AI$745,0))),""))</f>
        <v/>
      </c>
      <c r="M19" s="33">
        <f>IF(B19="","",IFERROR(IF(INDEX(Data!$T$2:$T$745,MATCH(5,Data!$AI$2:$AI$745,0))="","",INDEX(Data!$T$2:$T$745,MATCH(5,Data!$AI$2:$AI$745,0))),""))</f>
        <v/>
      </c>
      <c r="N19" s="34">
        <f>IF(B19="","",IFERROR(IF(INDEX(Data!$U$2:$U$745,MATCH(5,Data!$AI$2:$AI$745,0))="","",INDEX(Data!$U$2:$U$745,MATCH(5,Data!$AI$2:$AI$745,0))),""))</f>
        <v/>
      </c>
      <c r="O19" s="33">
        <f>IF(B19="","",IFERROR(IF(INDEX(Data!$V$2:$V$745,MATCH(5,Data!$AI$2:$AI$745,0))="","",INDEX(Data!$V$2:$V$745,MATCH(5,Data!$AI$2:$AI$745,0))),""))</f>
        <v/>
      </c>
      <c r="P19" s="33">
        <f>IF(B19="","",IFERROR(IF(INDEX(Data!$M$2:$M$745,MATCH(5,Data!$AI$2:$AI$745,0))="","",INDEX(Data!$M$2:$M$745,MATCH(5,Data!$AI$2:$AI$745,0))),""))</f>
        <v/>
      </c>
      <c r="Q19" s="31">
        <f>IF(B19="","",IFERROR(IF(INDEX(Data!$AD$2:$AD$745,MATCH(5,Data!$AI$2:$AI$745,0))="","",INDEX(Data!$AD$2:$AD$745,MATCH(5,Data!$AI$2:$AI$745,0))),""))</f>
        <v/>
      </c>
      <c r="R19" s="27">
        <f>IF(B19="","",IFERROR(IF(INDEX(Data!$L$2:$L$745,MATCH(5,Data!$AI$2:$AI$745,0))="","",INDEX(Data!$L$2:$L$745,MATCH(5,Data!$AI$2:$AI$745,0))),""))</f>
        <v/>
      </c>
      <c r="AB19" t="inlineStr">
        <is>
          <t>Bare Home</t>
        </is>
      </c>
    </row>
    <row r="20" ht="62" customHeight="1">
      <c r="B20" s="27">
        <f>IF(6&lt;=COUNTIF(Data!$AH$2:$AH$745,TRUE),6,"")</f>
        <v/>
      </c>
      <c r="C20" s="28">
        <f>IF(B20="","",IFERROR(_xlfn.IMAGE(IFERROR(IF(INDEX(Data!$J$2:$J$745,MATCH(6,Data!$AI$2:$AI$745,0))="","",INDEX(Data!$J$2:$J$745,MATCH(6,Data!$AI$2:$AI$745,0))),"")),"IMAGE COMING SOON"))</f>
        <v/>
      </c>
      <c r="D20" s="29">
        <f>IF(B20="","",IFERROR(IF(INDEX(Data!$G$2:$G$745,MATCH(6,Data!$AI$2:$AI$745,0))="","",INDEX(Data!$G$2:$G$745,MATCH(6,Data!$AI$2:$AI$745,0))),"")&amp;CHAR(10)&amp;IFERROR(IF(INDEX(Data!$H$2:$H$745,MATCH(6,Data!$AI$2:$AI$745,0))="","",INDEX(Data!$H$2:$H$745,MATCH(6,Data!$AI$2:$AI$745,0))),""))</f>
        <v/>
      </c>
      <c r="E20" s="27">
        <f>IF(B20="","",IFERROR(IF(INDEX(Data!$I$2:$I$745,MATCH(6,Data!$AI$2:$AI$745,0))="","",INDEX(Data!$I$2:$I$745,MATCH(6,Data!$AI$2:$AI$745,0))),""))</f>
        <v/>
      </c>
      <c r="F20" s="27">
        <f>IF(B20="","",IFERROR(IF(INDEX(Data!$AJ$2:$AJ$745,MATCH(6,Data!$AI$2:$AI$745,0))="","",INDEX(Data!$AJ$2:$AJ$745,MATCH(6,Data!$AI$2:$AI$745,0))),""))</f>
        <v/>
      </c>
      <c r="G20" s="27">
        <f>IF(B20="","",TRIM(IFERROR(IF(INDEX(Data!$AF$2:$AF$745,MATCH(6,Data!$AI$2:$AI$745,0))="","",INDEX(Data!$AF$2:$AF$745,MATCH(6,Data!$AI$2:$AI$745,0))),"")&amp;" "&amp;IFERROR(IF(INDEX(Data!$AG$2:$AG$745,MATCH(6,Data!$AI$2:$AI$745,0))="","",INDEX(Data!$AG$2:$AG$745,MATCH(6,Data!$AI$2:$AI$745,0))),"")))</f>
        <v/>
      </c>
      <c r="H20" s="37">
        <f>IF(B20="","",IFERROR(IF(INDEX(Data!$N$2:$N$745,MATCH(6,Data!$AI$2:$AI$745,0))="","",INDEX(Data!$N$2:$N$745,MATCH(6,Data!$AI$2:$AI$745,0))),""))</f>
        <v/>
      </c>
      <c r="I20" s="37">
        <f>IF(B20="","",IFERROR(IF(INDEX(Data!$O$2:$O$745,MATCH(6,Data!$AI$2:$AI$745,0))="","",INDEX(Data!$O$2:$O$745,MATCH(6,Data!$AI$2:$AI$745,0))),""))</f>
        <v/>
      </c>
      <c r="J20" s="31">
        <f>IF(B20="","",IFERROR(IF(INDEX(Data!$P$2:$P$745,MATCH(6,Data!$AI$2:$AI$745,0))="","",INDEX(Data!$P$2:$P$745,MATCH(6,Data!$AI$2:$AI$745,0))),""))</f>
        <v/>
      </c>
      <c r="K20" s="32">
        <f>IF(B20="","",IFERROR(IF(INDEX(Data!$R$2:$R$745,MATCH(6,Data!$AI$2:$AI$745,0))="","",INDEX(Data!$R$2:$R$745,MATCH(6,Data!$AI$2:$AI$745,0))),""))</f>
        <v/>
      </c>
      <c r="L20" s="33">
        <f>IF(B20="","",IFERROR(IF(INDEX(Data!$S$2:$S$745,MATCH(6,Data!$AI$2:$AI$745,0))="","",INDEX(Data!$S$2:$S$745,MATCH(6,Data!$AI$2:$AI$745,0))),""))</f>
        <v/>
      </c>
      <c r="M20" s="33">
        <f>IF(B20="","",IFERROR(IF(INDEX(Data!$T$2:$T$745,MATCH(6,Data!$AI$2:$AI$745,0))="","",INDEX(Data!$T$2:$T$745,MATCH(6,Data!$AI$2:$AI$745,0))),""))</f>
        <v/>
      </c>
      <c r="N20" s="34">
        <f>IF(B20="","",IFERROR(IF(INDEX(Data!$U$2:$U$745,MATCH(6,Data!$AI$2:$AI$745,0))="","",INDEX(Data!$U$2:$U$745,MATCH(6,Data!$AI$2:$AI$745,0))),""))</f>
        <v/>
      </c>
      <c r="O20" s="33">
        <f>IF(B20="","",IFERROR(IF(INDEX(Data!$V$2:$V$745,MATCH(6,Data!$AI$2:$AI$745,0))="","",INDEX(Data!$V$2:$V$745,MATCH(6,Data!$AI$2:$AI$745,0))),""))</f>
        <v/>
      </c>
      <c r="P20" s="33">
        <f>IF(B20="","",IFERROR(IF(INDEX(Data!$M$2:$M$745,MATCH(6,Data!$AI$2:$AI$745,0))="","",INDEX(Data!$M$2:$M$745,MATCH(6,Data!$AI$2:$AI$745,0))),""))</f>
        <v/>
      </c>
      <c r="Q20" s="31">
        <f>IF(B20="","",IFERROR(IF(INDEX(Data!$AD$2:$AD$745,MATCH(6,Data!$AI$2:$AI$745,0))="","",INDEX(Data!$AD$2:$AD$745,MATCH(6,Data!$AI$2:$AI$745,0))),""))</f>
        <v/>
      </c>
      <c r="R20" s="27">
        <f>IF(B20="","",IFERROR(IF(INDEX(Data!$L$2:$L$745,MATCH(6,Data!$AI$2:$AI$745,0))="","",INDEX(Data!$L$2:$L$745,MATCH(6,Data!$AI$2:$AI$745,0))),""))</f>
        <v/>
      </c>
      <c r="AB20" t="inlineStr">
        <is>
          <t>BC BELLA COTERIE</t>
        </is>
      </c>
    </row>
    <row r="21" ht="62" customHeight="1">
      <c r="B21" s="27">
        <f>IF(7&lt;=COUNTIF(Data!$AH$2:$AH$745,TRUE),7,"")</f>
        <v/>
      </c>
      <c r="C21" s="28">
        <f>IF(B21="","",IFERROR(_xlfn.IMAGE(IFERROR(IF(INDEX(Data!$J$2:$J$745,MATCH(7,Data!$AI$2:$AI$745,0))="","",INDEX(Data!$J$2:$J$745,MATCH(7,Data!$AI$2:$AI$745,0))),"")),"IMAGE COMING SOON"))</f>
        <v/>
      </c>
      <c r="D21" s="29">
        <f>IF(B21="","",IFERROR(IF(INDEX(Data!$G$2:$G$745,MATCH(7,Data!$AI$2:$AI$745,0))="","",INDEX(Data!$G$2:$G$745,MATCH(7,Data!$AI$2:$AI$745,0))),"")&amp;CHAR(10)&amp;IFERROR(IF(INDEX(Data!$H$2:$H$745,MATCH(7,Data!$AI$2:$AI$745,0))="","",INDEX(Data!$H$2:$H$745,MATCH(7,Data!$AI$2:$AI$745,0))),""))</f>
        <v/>
      </c>
      <c r="E21" s="27">
        <f>IF(B21="","",IFERROR(IF(INDEX(Data!$I$2:$I$745,MATCH(7,Data!$AI$2:$AI$745,0))="","",INDEX(Data!$I$2:$I$745,MATCH(7,Data!$AI$2:$AI$745,0))),""))</f>
        <v/>
      </c>
      <c r="F21" s="27">
        <f>IF(B21="","",IFERROR(IF(INDEX(Data!$AJ$2:$AJ$745,MATCH(7,Data!$AI$2:$AI$745,0))="","",INDEX(Data!$AJ$2:$AJ$745,MATCH(7,Data!$AI$2:$AI$745,0))),""))</f>
        <v/>
      </c>
      <c r="G21" s="27">
        <f>IF(B21="","",TRIM(IFERROR(IF(INDEX(Data!$AF$2:$AF$745,MATCH(7,Data!$AI$2:$AI$745,0))="","",INDEX(Data!$AF$2:$AF$745,MATCH(7,Data!$AI$2:$AI$745,0))),"")&amp;" "&amp;IFERROR(IF(INDEX(Data!$AG$2:$AG$745,MATCH(7,Data!$AI$2:$AI$745,0))="","",INDEX(Data!$AG$2:$AG$745,MATCH(7,Data!$AI$2:$AI$745,0))),"")))</f>
        <v/>
      </c>
      <c r="H21" s="37">
        <f>IF(B21="","",IFERROR(IF(INDEX(Data!$N$2:$N$745,MATCH(7,Data!$AI$2:$AI$745,0))="","",INDEX(Data!$N$2:$N$745,MATCH(7,Data!$AI$2:$AI$745,0))),""))</f>
        <v/>
      </c>
      <c r="I21" s="37">
        <f>IF(B21="","",IFERROR(IF(INDEX(Data!$O$2:$O$745,MATCH(7,Data!$AI$2:$AI$745,0))="","",INDEX(Data!$O$2:$O$745,MATCH(7,Data!$AI$2:$AI$745,0))),""))</f>
        <v/>
      </c>
      <c r="J21" s="31">
        <f>IF(B21="","",IFERROR(IF(INDEX(Data!$P$2:$P$745,MATCH(7,Data!$AI$2:$AI$745,0))="","",INDEX(Data!$P$2:$P$745,MATCH(7,Data!$AI$2:$AI$745,0))),""))</f>
        <v/>
      </c>
      <c r="K21" s="32">
        <f>IF(B21="","",IFERROR(IF(INDEX(Data!$R$2:$R$745,MATCH(7,Data!$AI$2:$AI$745,0))="","",INDEX(Data!$R$2:$R$745,MATCH(7,Data!$AI$2:$AI$745,0))),""))</f>
        <v/>
      </c>
      <c r="L21" s="33">
        <f>IF(B21="","",IFERROR(IF(INDEX(Data!$S$2:$S$745,MATCH(7,Data!$AI$2:$AI$745,0))="","",INDEX(Data!$S$2:$S$745,MATCH(7,Data!$AI$2:$AI$745,0))),""))</f>
        <v/>
      </c>
      <c r="M21" s="33">
        <f>IF(B21="","",IFERROR(IF(INDEX(Data!$T$2:$T$745,MATCH(7,Data!$AI$2:$AI$745,0))="","",INDEX(Data!$T$2:$T$745,MATCH(7,Data!$AI$2:$AI$745,0))),""))</f>
        <v/>
      </c>
      <c r="N21" s="34">
        <f>IF(B21="","",IFERROR(IF(INDEX(Data!$U$2:$U$745,MATCH(7,Data!$AI$2:$AI$745,0))="","",INDEX(Data!$U$2:$U$745,MATCH(7,Data!$AI$2:$AI$745,0))),""))</f>
        <v/>
      </c>
      <c r="O21" s="33">
        <f>IF(B21="","",IFERROR(IF(INDEX(Data!$V$2:$V$745,MATCH(7,Data!$AI$2:$AI$745,0))="","",INDEX(Data!$V$2:$V$745,MATCH(7,Data!$AI$2:$AI$745,0))),""))</f>
        <v/>
      </c>
      <c r="P21" s="33">
        <f>IF(B21="","",IFERROR(IF(INDEX(Data!$M$2:$M$745,MATCH(7,Data!$AI$2:$AI$745,0))="","",INDEX(Data!$M$2:$M$745,MATCH(7,Data!$AI$2:$AI$745,0))),""))</f>
        <v/>
      </c>
      <c r="Q21" s="31">
        <f>IF(B21="","",IFERROR(IF(INDEX(Data!$AD$2:$AD$745,MATCH(7,Data!$AI$2:$AI$745,0))="","",INDEX(Data!$AD$2:$AD$745,MATCH(7,Data!$AI$2:$AI$745,0))),""))</f>
        <v/>
      </c>
      <c r="R21" s="27">
        <f>IF(B21="","",IFERROR(IF(INDEX(Data!$L$2:$L$745,MATCH(7,Data!$AI$2:$AI$745,0))="","",INDEX(Data!$L$2:$L$745,MATCH(7,Data!$AI$2:$AI$745,0))),""))</f>
        <v/>
      </c>
      <c r="AB21" t="inlineStr">
        <is>
          <t>Beatrice Home Fashions</t>
        </is>
      </c>
    </row>
    <row r="22" ht="62" customHeight="1">
      <c r="B22" s="27">
        <f>IF(8&lt;=COUNTIF(Data!$AH$2:$AH$745,TRUE),8,"")</f>
        <v/>
      </c>
      <c r="C22" s="28">
        <f>IF(B22="","",IFERROR(_xlfn.IMAGE(IFERROR(IF(INDEX(Data!$J$2:$J$745,MATCH(8,Data!$AI$2:$AI$745,0))="","",INDEX(Data!$J$2:$J$745,MATCH(8,Data!$AI$2:$AI$745,0))),"")),"IMAGE COMING SOON"))</f>
        <v/>
      </c>
      <c r="D22" s="29">
        <f>IF(B22="","",IFERROR(IF(INDEX(Data!$G$2:$G$745,MATCH(8,Data!$AI$2:$AI$745,0))="","",INDEX(Data!$G$2:$G$745,MATCH(8,Data!$AI$2:$AI$745,0))),"")&amp;CHAR(10)&amp;IFERROR(IF(INDEX(Data!$H$2:$H$745,MATCH(8,Data!$AI$2:$AI$745,0))="","",INDEX(Data!$H$2:$H$745,MATCH(8,Data!$AI$2:$AI$745,0))),""))</f>
        <v/>
      </c>
      <c r="E22" s="27">
        <f>IF(B22="","",IFERROR(IF(INDEX(Data!$I$2:$I$745,MATCH(8,Data!$AI$2:$AI$745,0))="","",INDEX(Data!$I$2:$I$745,MATCH(8,Data!$AI$2:$AI$745,0))),""))</f>
        <v/>
      </c>
      <c r="F22" s="27">
        <f>IF(B22="","",IFERROR(IF(INDEX(Data!$AJ$2:$AJ$745,MATCH(8,Data!$AI$2:$AI$745,0))="","",INDEX(Data!$AJ$2:$AJ$745,MATCH(8,Data!$AI$2:$AI$745,0))),""))</f>
        <v/>
      </c>
      <c r="G22" s="27">
        <f>IF(B22="","",TRIM(IFERROR(IF(INDEX(Data!$AF$2:$AF$745,MATCH(8,Data!$AI$2:$AI$745,0))="","",INDEX(Data!$AF$2:$AF$745,MATCH(8,Data!$AI$2:$AI$745,0))),"")&amp;" "&amp;IFERROR(IF(INDEX(Data!$AG$2:$AG$745,MATCH(8,Data!$AI$2:$AI$745,0))="","",INDEX(Data!$AG$2:$AG$745,MATCH(8,Data!$AI$2:$AI$745,0))),"")))</f>
        <v/>
      </c>
      <c r="H22" s="37">
        <f>IF(B22="","",IFERROR(IF(INDEX(Data!$N$2:$N$745,MATCH(8,Data!$AI$2:$AI$745,0))="","",INDEX(Data!$N$2:$N$745,MATCH(8,Data!$AI$2:$AI$745,0))),""))</f>
        <v/>
      </c>
      <c r="I22" s="37">
        <f>IF(B22="","",IFERROR(IF(INDEX(Data!$O$2:$O$745,MATCH(8,Data!$AI$2:$AI$745,0))="","",INDEX(Data!$O$2:$O$745,MATCH(8,Data!$AI$2:$AI$745,0))),""))</f>
        <v/>
      </c>
      <c r="J22" s="31">
        <f>IF(B22="","",IFERROR(IF(INDEX(Data!$P$2:$P$745,MATCH(8,Data!$AI$2:$AI$745,0))="","",INDEX(Data!$P$2:$P$745,MATCH(8,Data!$AI$2:$AI$745,0))),""))</f>
        <v/>
      </c>
      <c r="K22" s="32">
        <f>IF(B22="","",IFERROR(IF(INDEX(Data!$R$2:$R$745,MATCH(8,Data!$AI$2:$AI$745,0))="","",INDEX(Data!$R$2:$R$745,MATCH(8,Data!$AI$2:$AI$745,0))),""))</f>
        <v/>
      </c>
      <c r="L22" s="33">
        <f>IF(B22="","",IFERROR(IF(INDEX(Data!$S$2:$S$745,MATCH(8,Data!$AI$2:$AI$745,0))="","",INDEX(Data!$S$2:$S$745,MATCH(8,Data!$AI$2:$AI$745,0))),""))</f>
        <v/>
      </c>
      <c r="M22" s="33">
        <f>IF(B22="","",IFERROR(IF(INDEX(Data!$T$2:$T$745,MATCH(8,Data!$AI$2:$AI$745,0))="","",INDEX(Data!$T$2:$T$745,MATCH(8,Data!$AI$2:$AI$745,0))),""))</f>
        <v/>
      </c>
      <c r="N22" s="34">
        <f>IF(B22="","",IFERROR(IF(INDEX(Data!$U$2:$U$745,MATCH(8,Data!$AI$2:$AI$745,0))="","",INDEX(Data!$U$2:$U$745,MATCH(8,Data!$AI$2:$AI$745,0))),""))</f>
        <v/>
      </c>
      <c r="O22" s="33">
        <f>IF(B22="","",IFERROR(IF(INDEX(Data!$V$2:$V$745,MATCH(8,Data!$AI$2:$AI$745,0))="","",INDEX(Data!$V$2:$V$745,MATCH(8,Data!$AI$2:$AI$745,0))),""))</f>
        <v/>
      </c>
      <c r="P22" s="33">
        <f>IF(B22="","",IFERROR(IF(INDEX(Data!$M$2:$M$745,MATCH(8,Data!$AI$2:$AI$745,0))="","",INDEX(Data!$M$2:$M$745,MATCH(8,Data!$AI$2:$AI$745,0))),""))</f>
        <v/>
      </c>
      <c r="Q22" s="31">
        <f>IF(B22="","",IFERROR(IF(INDEX(Data!$AD$2:$AD$745,MATCH(8,Data!$AI$2:$AI$745,0))="","",INDEX(Data!$AD$2:$AD$745,MATCH(8,Data!$AI$2:$AI$745,0))),""))</f>
        <v/>
      </c>
      <c r="R22" s="27">
        <f>IF(B22="","",IFERROR(IF(INDEX(Data!$L$2:$L$745,MATCH(8,Data!$AI$2:$AI$745,0))="","",INDEX(Data!$L$2:$L$745,MATCH(8,Data!$AI$2:$AI$745,0))),""))</f>
        <v/>
      </c>
      <c r="AB22" t="inlineStr">
        <is>
          <t>BEDELITE</t>
        </is>
      </c>
    </row>
    <row r="23" ht="62" customHeight="1">
      <c r="B23" s="27">
        <f>IF(9&lt;=COUNTIF(Data!$AH$2:$AH$745,TRUE),9,"")</f>
        <v/>
      </c>
      <c r="C23" s="28">
        <f>IF(B23="","",IFERROR(_xlfn.IMAGE(IFERROR(IF(INDEX(Data!$J$2:$J$745,MATCH(9,Data!$AI$2:$AI$745,0))="","",INDEX(Data!$J$2:$J$745,MATCH(9,Data!$AI$2:$AI$745,0))),"")),"IMAGE COMING SOON"))</f>
        <v/>
      </c>
      <c r="D23" s="29">
        <f>IF(B23="","",IFERROR(IF(INDEX(Data!$G$2:$G$745,MATCH(9,Data!$AI$2:$AI$745,0))="","",INDEX(Data!$G$2:$G$745,MATCH(9,Data!$AI$2:$AI$745,0))),"")&amp;CHAR(10)&amp;IFERROR(IF(INDEX(Data!$H$2:$H$745,MATCH(9,Data!$AI$2:$AI$745,0))="","",INDEX(Data!$H$2:$H$745,MATCH(9,Data!$AI$2:$AI$745,0))),""))</f>
        <v/>
      </c>
      <c r="E23" s="27">
        <f>IF(B23="","",IFERROR(IF(INDEX(Data!$I$2:$I$745,MATCH(9,Data!$AI$2:$AI$745,0))="","",INDEX(Data!$I$2:$I$745,MATCH(9,Data!$AI$2:$AI$745,0))),""))</f>
        <v/>
      </c>
      <c r="F23" s="27">
        <f>IF(B23="","",IFERROR(IF(INDEX(Data!$AJ$2:$AJ$745,MATCH(9,Data!$AI$2:$AI$745,0))="","",INDEX(Data!$AJ$2:$AJ$745,MATCH(9,Data!$AI$2:$AI$745,0))),""))</f>
        <v/>
      </c>
      <c r="G23" s="27">
        <f>IF(B23="","",TRIM(IFERROR(IF(INDEX(Data!$AF$2:$AF$745,MATCH(9,Data!$AI$2:$AI$745,0))="","",INDEX(Data!$AF$2:$AF$745,MATCH(9,Data!$AI$2:$AI$745,0))),"")&amp;" "&amp;IFERROR(IF(INDEX(Data!$AG$2:$AG$745,MATCH(9,Data!$AI$2:$AI$745,0))="","",INDEX(Data!$AG$2:$AG$745,MATCH(9,Data!$AI$2:$AI$745,0))),"")))</f>
        <v/>
      </c>
      <c r="H23" s="37">
        <f>IF(B23="","",IFERROR(IF(INDEX(Data!$N$2:$N$745,MATCH(9,Data!$AI$2:$AI$745,0))="","",INDEX(Data!$N$2:$N$745,MATCH(9,Data!$AI$2:$AI$745,0))),""))</f>
        <v/>
      </c>
      <c r="I23" s="37">
        <f>IF(B23="","",IFERROR(IF(INDEX(Data!$O$2:$O$745,MATCH(9,Data!$AI$2:$AI$745,0))="","",INDEX(Data!$O$2:$O$745,MATCH(9,Data!$AI$2:$AI$745,0))),""))</f>
        <v/>
      </c>
      <c r="J23" s="31">
        <f>IF(B23="","",IFERROR(IF(INDEX(Data!$P$2:$P$745,MATCH(9,Data!$AI$2:$AI$745,0))="","",INDEX(Data!$P$2:$P$745,MATCH(9,Data!$AI$2:$AI$745,0))),""))</f>
        <v/>
      </c>
      <c r="K23" s="32">
        <f>IF(B23="","",IFERROR(IF(INDEX(Data!$R$2:$R$745,MATCH(9,Data!$AI$2:$AI$745,0))="","",INDEX(Data!$R$2:$R$745,MATCH(9,Data!$AI$2:$AI$745,0))),""))</f>
        <v/>
      </c>
      <c r="L23" s="33">
        <f>IF(B23="","",IFERROR(IF(INDEX(Data!$S$2:$S$745,MATCH(9,Data!$AI$2:$AI$745,0))="","",INDEX(Data!$S$2:$S$745,MATCH(9,Data!$AI$2:$AI$745,0))),""))</f>
        <v/>
      </c>
      <c r="M23" s="33">
        <f>IF(B23="","",IFERROR(IF(INDEX(Data!$T$2:$T$745,MATCH(9,Data!$AI$2:$AI$745,0))="","",INDEX(Data!$T$2:$T$745,MATCH(9,Data!$AI$2:$AI$745,0))),""))</f>
        <v/>
      </c>
      <c r="N23" s="34">
        <f>IF(B23="","",IFERROR(IF(INDEX(Data!$U$2:$U$745,MATCH(9,Data!$AI$2:$AI$745,0))="","",INDEX(Data!$U$2:$U$745,MATCH(9,Data!$AI$2:$AI$745,0))),""))</f>
        <v/>
      </c>
      <c r="O23" s="33">
        <f>IF(B23="","",IFERROR(IF(INDEX(Data!$V$2:$V$745,MATCH(9,Data!$AI$2:$AI$745,0))="","",INDEX(Data!$V$2:$V$745,MATCH(9,Data!$AI$2:$AI$745,0))),""))</f>
        <v/>
      </c>
      <c r="P23" s="33">
        <f>IF(B23="","",IFERROR(IF(INDEX(Data!$M$2:$M$745,MATCH(9,Data!$AI$2:$AI$745,0))="","",INDEX(Data!$M$2:$M$745,MATCH(9,Data!$AI$2:$AI$745,0))),""))</f>
        <v/>
      </c>
      <c r="Q23" s="31">
        <f>IF(B23="","",IFERROR(IF(INDEX(Data!$AD$2:$AD$745,MATCH(9,Data!$AI$2:$AI$745,0))="","",INDEX(Data!$AD$2:$AD$745,MATCH(9,Data!$AI$2:$AI$745,0))),""))</f>
        <v/>
      </c>
      <c r="R23" s="27">
        <f>IF(B23="","",IFERROR(IF(INDEX(Data!$L$2:$L$745,MATCH(9,Data!$AI$2:$AI$745,0))="","",INDEX(Data!$L$2:$L$745,MATCH(9,Data!$AI$2:$AI$745,0))),""))</f>
        <v/>
      </c>
      <c r="AB23" t="inlineStr">
        <is>
          <t>Bedlifes</t>
        </is>
      </c>
    </row>
    <row r="24" ht="62" customHeight="1">
      <c r="B24" s="27">
        <f>IF(10&lt;=COUNTIF(Data!$AH$2:$AH$745,TRUE),10,"")</f>
        <v/>
      </c>
      <c r="C24" s="28">
        <f>IF(B24="","",IFERROR(_xlfn.IMAGE(IFERROR(IF(INDEX(Data!$J$2:$J$745,MATCH(10,Data!$AI$2:$AI$745,0))="","",INDEX(Data!$J$2:$J$745,MATCH(10,Data!$AI$2:$AI$745,0))),"")),"IMAGE COMING SOON"))</f>
        <v/>
      </c>
      <c r="D24" s="29">
        <f>IF(B24="","",IFERROR(IF(INDEX(Data!$G$2:$G$745,MATCH(10,Data!$AI$2:$AI$745,0))="","",INDEX(Data!$G$2:$G$745,MATCH(10,Data!$AI$2:$AI$745,0))),"")&amp;CHAR(10)&amp;IFERROR(IF(INDEX(Data!$H$2:$H$745,MATCH(10,Data!$AI$2:$AI$745,0))="","",INDEX(Data!$H$2:$H$745,MATCH(10,Data!$AI$2:$AI$745,0))),""))</f>
        <v/>
      </c>
      <c r="E24" s="27">
        <f>IF(B24="","",IFERROR(IF(INDEX(Data!$I$2:$I$745,MATCH(10,Data!$AI$2:$AI$745,0))="","",INDEX(Data!$I$2:$I$745,MATCH(10,Data!$AI$2:$AI$745,0))),""))</f>
        <v/>
      </c>
      <c r="F24" s="27">
        <f>IF(B24="","",IFERROR(IF(INDEX(Data!$AJ$2:$AJ$745,MATCH(10,Data!$AI$2:$AI$745,0))="","",INDEX(Data!$AJ$2:$AJ$745,MATCH(10,Data!$AI$2:$AI$745,0))),""))</f>
        <v/>
      </c>
      <c r="G24" s="27">
        <f>IF(B24="","",TRIM(IFERROR(IF(INDEX(Data!$AF$2:$AF$745,MATCH(10,Data!$AI$2:$AI$745,0))="","",INDEX(Data!$AF$2:$AF$745,MATCH(10,Data!$AI$2:$AI$745,0))),"")&amp;" "&amp;IFERROR(IF(INDEX(Data!$AG$2:$AG$745,MATCH(10,Data!$AI$2:$AI$745,0))="","",INDEX(Data!$AG$2:$AG$745,MATCH(10,Data!$AI$2:$AI$745,0))),"")))</f>
        <v/>
      </c>
      <c r="H24" s="37">
        <f>IF(B24="","",IFERROR(IF(INDEX(Data!$N$2:$N$745,MATCH(10,Data!$AI$2:$AI$745,0))="","",INDEX(Data!$N$2:$N$745,MATCH(10,Data!$AI$2:$AI$745,0))),""))</f>
        <v/>
      </c>
      <c r="I24" s="37">
        <f>IF(B24="","",IFERROR(IF(INDEX(Data!$O$2:$O$745,MATCH(10,Data!$AI$2:$AI$745,0))="","",INDEX(Data!$O$2:$O$745,MATCH(10,Data!$AI$2:$AI$745,0))),""))</f>
        <v/>
      </c>
      <c r="J24" s="31">
        <f>IF(B24="","",IFERROR(IF(INDEX(Data!$P$2:$P$745,MATCH(10,Data!$AI$2:$AI$745,0))="","",INDEX(Data!$P$2:$P$745,MATCH(10,Data!$AI$2:$AI$745,0))),""))</f>
        <v/>
      </c>
      <c r="K24" s="32">
        <f>IF(B24="","",IFERROR(IF(INDEX(Data!$R$2:$R$745,MATCH(10,Data!$AI$2:$AI$745,0))="","",INDEX(Data!$R$2:$R$745,MATCH(10,Data!$AI$2:$AI$745,0))),""))</f>
        <v/>
      </c>
      <c r="L24" s="33">
        <f>IF(B24="","",IFERROR(IF(INDEX(Data!$S$2:$S$745,MATCH(10,Data!$AI$2:$AI$745,0))="","",INDEX(Data!$S$2:$S$745,MATCH(10,Data!$AI$2:$AI$745,0))),""))</f>
        <v/>
      </c>
      <c r="M24" s="33">
        <f>IF(B24="","",IFERROR(IF(INDEX(Data!$T$2:$T$745,MATCH(10,Data!$AI$2:$AI$745,0))="","",INDEX(Data!$T$2:$T$745,MATCH(10,Data!$AI$2:$AI$745,0))),""))</f>
        <v/>
      </c>
      <c r="N24" s="34">
        <f>IF(B24="","",IFERROR(IF(INDEX(Data!$U$2:$U$745,MATCH(10,Data!$AI$2:$AI$745,0))="","",INDEX(Data!$U$2:$U$745,MATCH(10,Data!$AI$2:$AI$745,0))),""))</f>
        <v/>
      </c>
      <c r="O24" s="33">
        <f>IF(B24="","",IFERROR(IF(INDEX(Data!$V$2:$V$745,MATCH(10,Data!$AI$2:$AI$745,0))="","",INDEX(Data!$V$2:$V$745,MATCH(10,Data!$AI$2:$AI$745,0))),""))</f>
        <v/>
      </c>
      <c r="P24" s="33">
        <f>IF(B24="","",IFERROR(IF(INDEX(Data!$M$2:$M$745,MATCH(10,Data!$AI$2:$AI$745,0))="","",INDEX(Data!$M$2:$M$745,MATCH(10,Data!$AI$2:$AI$745,0))),""))</f>
        <v/>
      </c>
      <c r="Q24" s="31">
        <f>IF(B24="","",IFERROR(IF(INDEX(Data!$AD$2:$AD$745,MATCH(10,Data!$AI$2:$AI$745,0))="","",INDEX(Data!$AD$2:$AD$745,MATCH(10,Data!$AI$2:$AI$745,0))),""))</f>
        <v/>
      </c>
      <c r="R24" s="27">
        <f>IF(B24="","",IFERROR(IF(INDEX(Data!$L$2:$L$745,MATCH(10,Data!$AI$2:$AI$745,0))="","",INDEX(Data!$L$2:$L$745,MATCH(10,Data!$AI$2:$AI$745,0))),""))</f>
        <v/>
      </c>
      <c r="AB24" t="inlineStr">
        <is>
          <t>bedsmile</t>
        </is>
      </c>
    </row>
    <row r="25" ht="62" customHeight="1">
      <c r="B25" s="27">
        <f>IF(11&lt;=COUNTIF(Data!$AH$2:$AH$745,TRUE),11,"")</f>
        <v/>
      </c>
      <c r="C25" s="28">
        <f>IF(B25="","",IFERROR(_xlfn.IMAGE(IFERROR(IF(INDEX(Data!$J$2:$J$745,MATCH(11,Data!$AI$2:$AI$745,0))="","",INDEX(Data!$J$2:$J$745,MATCH(11,Data!$AI$2:$AI$745,0))),"")),"IMAGE COMING SOON"))</f>
        <v/>
      </c>
      <c r="D25" s="29">
        <f>IF(B25="","",IFERROR(IF(INDEX(Data!$G$2:$G$745,MATCH(11,Data!$AI$2:$AI$745,0))="","",INDEX(Data!$G$2:$G$745,MATCH(11,Data!$AI$2:$AI$745,0))),"")&amp;CHAR(10)&amp;IFERROR(IF(INDEX(Data!$H$2:$H$745,MATCH(11,Data!$AI$2:$AI$745,0))="","",INDEX(Data!$H$2:$H$745,MATCH(11,Data!$AI$2:$AI$745,0))),""))</f>
        <v/>
      </c>
      <c r="E25" s="27">
        <f>IF(B25="","",IFERROR(IF(INDEX(Data!$I$2:$I$745,MATCH(11,Data!$AI$2:$AI$745,0))="","",INDEX(Data!$I$2:$I$745,MATCH(11,Data!$AI$2:$AI$745,0))),""))</f>
        <v/>
      </c>
      <c r="F25" s="27">
        <f>IF(B25="","",IFERROR(IF(INDEX(Data!$AJ$2:$AJ$745,MATCH(11,Data!$AI$2:$AI$745,0))="","",INDEX(Data!$AJ$2:$AJ$745,MATCH(11,Data!$AI$2:$AI$745,0))),""))</f>
        <v/>
      </c>
      <c r="G25" s="27">
        <f>IF(B25="","",TRIM(IFERROR(IF(INDEX(Data!$AF$2:$AF$745,MATCH(11,Data!$AI$2:$AI$745,0))="","",INDEX(Data!$AF$2:$AF$745,MATCH(11,Data!$AI$2:$AI$745,0))),"")&amp;" "&amp;IFERROR(IF(INDEX(Data!$AG$2:$AG$745,MATCH(11,Data!$AI$2:$AI$745,0))="","",INDEX(Data!$AG$2:$AG$745,MATCH(11,Data!$AI$2:$AI$745,0))),"")))</f>
        <v/>
      </c>
      <c r="H25" s="37">
        <f>IF(B25="","",IFERROR(IF(INDEX(Data!$N$2:$N$745,MATCH(11,Data!$AI$2:$AI$745,0))="","",INDEX(Data!$N$2:$N$745,MATCH(11,Data!$AI$2:$AI$745,0))),""))</f>
        <v/>
      </c>
      <c r="I25" s="37">
        <f>IF(B25="","",IFERROR(IF(INDEX(Data!$O$2:$O$745,MATCH(11,Data!$AI$2:$AI$745,0))="","",INDEX(Data!$O$2:$O$745,MATCH(11,Data!$AI$2:$AI$745,0))),""))</f>
        <v/>
      </c>
      <c r="J25" s="31">
        <f>IF(B25="","",IFERROR(IF(INDEX(Data!$P$2:$P$745,MATCH(11,Data!$AI$2:$AI$745,0))="","",INDEX(Data!$P$2:$P$745,MATCH(11,Data!$AI$2:$AI$745,0))),""))</f>
        <v/>
      </c>
      <c r="K25" s="32">
        <f>IF(B25="","",IFERROR(IF(INDEX(Data!$R$2:$R$745,MATCH(11,Data!$AI$2:$AI$745,0))="","",INDEX(Data!$R$2:$R$745,MATCH(11,Data!$AI$2:$AI$745,0))),""))</f>
        <v/>
      </c>
      <c r="L25" s="33">
        <f>IF(B25="","",IFERROR(IF(INDEX(Data!$S$2:$S$745,MATCH(11,Data!$AI$2:$AI$745,0))="","",INDEX(Data!$S$2:$S$745,MATCH(11,Data!$AI$2:$AI$745,0))),""))</f>
        <v/>
      </c>
      <c r="M25" s="33">
        <f>IF(B25="","",IFERROR(IF(INDEX(Data!$T$2:$T$745,MATCH(11,Data!$AI$2:$AI$745,0))="","",INDEX(Data!$T$2:$T$745,MATCH(11,Data!$AI$2:$AI$745,0))),""))</f>
        <v/>
      </c>
      <c r="N25" s="34">
        <f>IF(B25="","",IFERROR(IF(INDEX(Data!$U$2:$U$745,MATCH(11,Data!$AI$2:$AI$745,0))="","",INDEX(Data!$U$2:$U$745,MATCH(11,Data!$AI$2:$AI$745,0))),""))</f>
        <v/>
      </c>
      <c r="O25" s="33">
        <f>IF(B25="","",IFERROR(IF(INDEX(Data!$V$2:$V$745,MATCH(11,Data!$AI$2:$AI$745,0))="","",INDEX(Data!$V$2:$V$745,MATCH(11,Data!$AI$2:$AI$745,0))),""))</f>
        <v/>
      </c>
      <c r="P25" s="33">
        <f>IF(B25="","",IFERROR(IF(INDEX(Data!$M$2:$M$745,MATCH(11,Data!$AI$2:$AI$745,0))="","",INDEX(Data!$M$2:$M$745,MATCH(11,Data!$AI$2:$AI$745,0))),""))</f>
        <v/>
      </c>
      <c r="Q25" s="31">
        <f>IF(B25="","",IFERROR(IF(INDEX(Data!$AD$2:$AD$745,MATCH(11,Data!$AI$2:$AI$745,0))="","",INDEX(Data!$AD$2:$AD$745,MATCH(11,Data!$AI$2:$AI$745,0))),""))</f>
        <v/>
      </c>
      <c r="R25" s="27">
        <f>IF(B25="","",IFERROR(IF(INDEX(Data!$L$2:$L$745,MATCH(11,Data!$AI$2:$AI$745,0))="","",INDEX(Data!$L$2:$L$745,MATCH(11,Data!$AI$2:$AI$745,0))),""))</f>
        <v/>
      </c>
      <c r="AB25" t="inlineStr">
        <is>
          <t>Bedsure</t>
        </is>
      </c>
    </row>
    <row r="26" ht="62" customHeight="1">
      <c r="B26" s="27">
        <f>IF(12&lt;=COUNTIF(Data!$AH$2:$AH$745,TRUE),12,"")</f>
        <v/>
      </c>
      <c r="C26" s="28">
        <f>IF(B26="","",IFERROR(_xlfn.IMAGE(IFERROR(IF(INDEX(Data!$J$2:$J$745,MATCH(12,Data!$AI$2:$AI$745,0))="","",INDEX(Data!$J$2:$J$745,MATCH(12,Data!$AI$2:$AI$745,0))),"")),"IMAGE COMING SOON"))</f>
        <v/>
      </c>
      <c r="D26" s="29">
        <f>IF(B26="","",IFERROR(IF(INDEX(Data!$G$2:$G$745,MATCH(12,Data!$AI$2:$AI$745,0))="","",INDEX(Data!$G$2:$G$745,MATCH(12,Data!$AI$2:$AI$745,0))),"")&amp;CHAR(10)&amp;IFERROR(IF(INDEX(Data!$H$2:$H$745,MATCH(12,Data!$AI$2:$AI$745,0))="","",INDEX(Data!$H$2:$H$745,MATCH(12,Data!$AI$2:$AI$745,0))),""))</f>
        <v/>
      </c>
      <c r="E26" s="27">
        <f>IF(B26="","",IFERROR(IF(INDEX(Data!$I$2:$I$745,MATCH(12,Data!$AI$2:$AI$745,0))="","",INDEX(Data!$I$2:$I$745,MATCH(12,Data!$AI$2:$AI$745,0))),""))</f>
        <v/>
      </c>
      <c r="F26" s="27">
        <f>IF(B26="","",IFERROR(IF(INDEX(Data!$AJ$2:$AJ$745,MATCH(12,Data!$AI$2:$AI$745,0))="","",INDEX(Data!$AJ$2:$AJ$745,MATCH(12,Data!$AI$2:$AI$745,0))),""))</f>
        <v/>
      </c>
      <c r="G26" s="27">
        <f>IF(B26="","",TRIM(IFERROR(IF(INDEX(Data!$AF$2:$AF$745,MATCH(12,Data!$AI$2:$AI$745,0))="","",INDEX(Data!$AF$2:$AF$745,MATCH(12,Data!$AI$2:$AI$745,0))),"")&amp;" "&amp;IFERROR(IF(INDEX(Data!$AG$2:$AG$745,MATCH(12,Data!$AI$2:$AI$745,0))="","",INDEX(Data!$AG$2:$AG$745,MATCH(12,Data!$AI$2:$AI$745,0))),"")))</f>
        <v/>
      </c>
      <c r="H26" s="37">
        <f>IF(B26="","",IFERROR(IF(INDEX(Data!$N$2:$N$745,MATCH(12,Data!$AI$2:$AI$745,0))="","",INDEX(Data!$N$2:$N$745,MATCH(12,Data!$AI$2:$AI$745,0))),""))</f>
        <v/>
      </c>
      <c r="I26" s="37">
        <f>IF(B26="","",IFERROR(IF(INDEX(Data!$O$2:$O$745,MATCH(12,Data!$AI$2:$AI$745,0))="","",INDEX(Data!$O$2:$O$745,MATCH(12,Data!$AI$2:$AI$745,0))),""))</f>
        <v/>
      </c>
      <c r="J26" s="31">
        <f>IF(B26="","",IFERROR(IF(INDEX(Data!$P$2:$P$745,MATCH(12,Data!$AI$2:$AI$745,0))="","",INDEX(Data!$P$2:$P$745,MATCH(12,Data!$AI$2:$AI$745,0))),""))</f>
        <v/>
      </c>
      <c r="K26" s="32">
        <f>IF(B26="","",IFERROR(IF(INDEX(Data!$R$2:$R$745,MATCH(12,Data!$AI$2:$AI$745,0))="","",INDEX(Data!$R$2:$R$745,MATCH(12,Data!$AI$2:$AI$745,0))),""))</f>
        <v/>
      </c>
      <c r="L26" s="33">
        <f>IF(B26="","",IFERROR(IF(INDEX(Data!$S$2:$S$745,MATCH(12,Data!$AI$2:$AI$745,0))="","",INDEX(Data!$S$2:$S$745,MATCH(12,Data!$AI$2:$AI$745,0))),""))</f>
        <v/>
      </c>
      <c r="M26" s="33">
        <f>IF(B26="","",IFERROR(IF(INDEX(Data!$T$2:$T$745,MATCH(12,Data!$AI$2:$AI$745,0))="","",INDEX(Data!$T$2:$T$745,MATCH(12,Data!$AI$2:$AI$745,0))),""))</f>
        <v/>
      </c>
      <c r="N26" s="34">
        <f>IF(B26="","",IFERROR(IF(INDEX(Data!$U$2:$U$745,MATCH(12,Data!$AI$2:$AI$745,0))="","",INDEX(Data!$U$2:$U$745,MATCH(12,Data!$AI$2:$AI$745,0))),""))</f>
        <v/>
      </c>
      <c r="O26" s="33">
        <f>IF(B26="","",IFERROR(IF(INDEX(Data!$V$2:$V$745,MATCH(12,Data!$AI$2:$AI$745,0))="","",INDEX(Data!$V$2:$V$745,MATCH(12,Data!$AI$2:$AI$745,0))),""))</f>
        <v/>
      </c>
      <c r="P26" s="33">
        <f>IF(B26="","",IFERROR(IF(INDEX(Data!$M$2:$M$745,MATCH(12,Data!$AI$2:$AI$745,0))="","",INDEX(Data!$M$2:$M$745,MATCH(12,Data!$AI$2:$AI$745,0))),""))</f>
        <v/>
      </c>
      <c r="Q26" s="31">
        <f>IF(B26="","",IFERROR(IF(INDEX(Data!$AD$2:$AD$745,MATCH(12,Data!$AI$2:$AI$745,0))="","",INDEX(Data!$AD$2:$AD$745,MATCH(12,Data!$AI$2:$AI$745,0))),""))</f>
        <v/>
      </c>
      <c r="R26" s="27">
        <f>IF(B26="","",IFERROR(IF(INDEX(Data!$L$2:$L$745,MATCH(12,Data!$AI$2:$AI$745,0))="","",INDEX(Data!$L$2:$L$745,MATCH(12,Data!$AI$2:$AI$745,0))),""))</f>
        <v/>
      </c>
      <c r="AB26" t="inlineStr">
        <is>
          <t>Bedtter</t>
        </is>
      </c>
    </row>
    <row r="27" ht="62" customHeight="1">
      <c r="B27" s="27">
        <f>IF(13&lt;=COUNTIF(Data!$AH$2:$AH$745,TRUE),13,"")</f>
        <v/>
      </c>
      <c r="C27" s="28">
        <f>IF(B27="","",IFERROR(_xlfn.IMAGE(IFERROR(IF(INDEX(Data!$J$2:$J$745,MATCH(13,Data!$AI$2:$AI$745,0))="","",INDEX(Data!$J$2:$J$745,MATCH(13,Data!$AI$2:$AI$745,0))),"")),"IMAGE COMING SOON"))</f>
        <v/>
      </c>
      <c r="D27" s="29">
        <f>IF(B27="","",IFERROR(IF(INDEX(Data!$G$2:$G$745,MATCH(13,Data!$AI$2:$AI$745,0))="","",INDEX(Data!$G$2:$G$745,MATCH(13,Data!$AI$2:$AI$745,0))),"")&amp;CHAR(10)&amp;IFERROR(IF(INDEX(Data!$H$2:$H$745,MATCH(13,Data!$AI$2:$AI$745,0))="","",INDEX(Data!$H$2:$H$745,MATCH(13,Data!$AI$2:$AI$745,0))),""))</f>
        <v/>
      </c>
      <c r="E27" s="27">
        <f>IF(B27="","",IFERROR(IF(INDEX(Data!$I$2:$I$745,MATCH(13,Data!$AI$2:$AI$745,0))="","",INDEX(Data!$I$2:$I$745,MATCH(13,Data!$AI$2:$AI$745,0))),""))</f>
        <v/>
      </c>
      <c r="F27" s="27">
        <f>IF(B27="","",IFERROR(IF(INDEX(Data!$AJ$2:$AJ$745,MATCH(13,Data!$AI$2:$AI$745,0))="","",INDEX(Data!$AJ$2:$AJ$745,MATCH(13,Data!$AI$2:$AI$745,0))),""))</f>
        <v/>
      </c>
      <c r="G27" s="27">
        <f>IF(B27="","",TRIM(IFERROR(IF(INDEX(Data!$AF$2:$AF$745,MATCH(13,Data!$AI$2:$AI$745,0))="","",INDEX(Data!$AF$2:$AF$745,MATCH(13,Data!$AI$2:$AI$745,0))),"")&amp;" "&amp;IFERROR(IF(INDEX(Data!$AG$2:$AG$745,MATCH(13,Data!$AI$2:$AI$745,0))="","",INDEX(Data!$AG$2:$AG$745,MATCH(13,Data!$AI$2:$AI$745,0))),"")))</f>
        <v/>
      </c>
      <c r="H27" s="37">
        <f>IF(B27="","",IFERROR(IF(INDEX(Data!$N$2:$N$745,MATCH(13,Data!$AI$2:$AI$745,0))="","",INDEX(Data!$N$2:$N$745,MATCH(13,Data!$AI$2:$AI$745,0))),""))</f>
        <v/>
      </c>
      <c r="I27" s="37">
        <f>IF(B27="","",IFERROR(IF(INDEX(Data!$O$2:$O$745,MATCH(13,Data!$AI$2:$AI$745,0))="","",INDEX(Data!$O$2:$O$745,MATCH(13,Data!$AI$2:$AI$745,0))),""))</f>
        <v/>
      </c>
      <c r="J27" s="31">
        <f>IF(B27="","",IFERROR(IF(INDEX(Data!$P$2:$P$745,MATCH(13,Data!$AI$2:$AI$745,0))="","",INDEX(Data!$P$2:$P$745,MATCH(13,Data!$AI$2:$AI$745,0))),""))</f>
        <v/>
      </c>
      <c r="K27" s="32">
        <f>IF(B27="","",IFERROR(IF(INDEX(Data!$R$2:$R$745,MATCH(13,Data!$AI$2:$AI$745,0))="","",INDEX(Data!$R$2:$R$745,MATCH(13,Data!$AI$2:$AI$745,0))),""))</f>
        <v/>
      </c>
      <c r="L27" s="33">
        <f>IF(B27="","",IFERROR(IF(INDEX(Data!$S$2:$S$745,MATCH(13,Data!$AI$2:$AI$745,0))="","",INDEX(Data!$S$2:$S$745,MATCH(13,Data!$AI$2:$AI$745,0))),""))</f>
        <v/>
      </c>
      <c r="M27" s="33">
        <f>IF(B27="","",IFERROR(IF(INDEX(Data!$T$2:$T$745,MATCH(13,Data!$AI$2:$AI$745,0))="","",INDEX(Data!$T$2:$T$745,MATCH(13,Data!$AI$2:$AI$745,0))),""))</f>
        <v/>
      </c>
      <c r="N27" s="34">
        <f>IF(B27="","",IFERROR(IF(INDEX(Data!$U$2:$U$745,MATCH(13,Data!$AI$2:$AI$745,0))="","",INDEX(Data!$U$2:$U$745,MATCH(13,Data!$AI$2:$AI$745,0))),""))</f>
        <v/>
      </c>
      <c r="O27" s="33">
        <f>IF(B27="","",IFERROR(IF(INDEX(Data!$V$2:$V$745,MATCH(13,Data!$AI$2:$AI$745,0))="","",INDEX(Data!$V$2:$V$745,MATCH(13,Data!$AI$2:$AI$745,0))),""))</f>
        <v/>
      </c>
      <c r="P27" s="33">
        <f>IF(B27="","",IFERROR(IF(INDEX(Data!$M$2:$M$745,MATCH(13,Data!$AI$2:$AI$745,0))="","",INDEX(Data!$M$2:$M$745,MATCH(13,Data!$AI$2:$AI$745,0))),""))</f>
        <v/>
      </c>
      <c r="Q27" s="31">
        <f>IF(B27="","",IFERROR(IF(INDEX(Data!$AD$2:$AD$745,MATCH(13,Data!$AI$2:$AI$745,0))="","",INDEX(Data!$AD$2:$AD$745,MATCH(13,Data!$AI$2:$AI$745,0))),""))</f>
        <v/>
      </c>
      <c r="R27" s="27">
        <f>IF(B27="","",IFERROR(IF(INDEX(Data!$L$2:$L$745,MATCH(13,Data!$AI$2:$AI$745,0))="","",INDEX(Data!$L$2:$L$745,MATCH(13,Data!$AI$2:$AI$745,0))),""))</f>
        <v/>
      </c>
      <c r="AB27" t="inlineStr">
        <is>
          <t>BGment</t>
        </is>
      </c>
    </row>
    <row r="28" ht="62" customHeight="1">
      <c r="B28" s="27">
        <f>IF(14&lt;=COUNTIF(Data!$AH$2:$AH$745,TRUE),14,"")</f>
        <v/>
      </c>
      <c r="C28" s="28">
        <f>IF(B28="","",IFERROR(_xlfn.IMAGE(IFERROR(IF(INDEX(Data!$J$2:$J$745,MATCH(14,Data!$AI$2:$AI$745,0))="","",INDEX(Data!$J$2:$J$745,MATCH(14,Data!$AI$2:$AI$745,0))),"")),"IMAGE COMING SOON"))</f>
        <v/>
      </c>
      <c r="D28" s="29">
        <f>IF(B28="","",IFERROR(IF(INDEX(Data!$G$2:$G$745,MATCH(14,Data!$AI$2:$AI$745,0))="","",INDEX(Data!$G$2:$G$745,MATCH(14,Data!$AI$2:$AI$745,0))),"")&amp;CHAR(10)&amp;IFERROR(IF(INDEX(Data!$H$2:$H$745,MATCH(14,Data!$AI$2:$AI$745,0))="","",INDEX(Data!$H$2:$H$745,MATCH(14,Data!$AI$2:$AI$745,0))),""))</f>
        <v/>
      </c>
      <c r="E28" s="27">
        <f>IF(B28="","",IFERROR(IF(INDEX(Data!$I$2:$I$745,MATCH(14,Data!$AI$2:$AI$745,0))="","",INDEX(Data!$I$2:$I$745,MATCH(14,Data!$AI$2:$AI$745,0))),""))</f>
        <v/>
      </c>
      <c r="F28" s="27">
        <f>IF(B28="","",IFERROR(IF(INDEX(Data!$AJ$2:$AJ$745,MATCH(14,Data!$AI$2:$AI$745,0))="","",INDEX(Data!$AJ$2:$AJ$745,MATCH(14,Data!$AI$2:$AI$745,0))),""))</f>
        <v/>
      </c>
      <c r="G28" s="27">
        <f>IF(B28="","",TRIM(IFERROR(IF(INDEX(Data!$AF$2:$AF$745,MATCH(14,Data!$AI$2:$AI$745,0))="","",INDEX(Data!$AF$2:$AF$745,MATCH(14,Data!$AI$2:$AI$745,0))),"")&amp;" "&amp;IFERROR(IF(INDEX(Data!$AG$2:$AG$745,MATCH(14,Data!$AI$2:$AI$745,0))="","",INDEX(Data!$AG$2:$AG$745,MATCH(14,Data!$AI$2:$AI$745,0))),"")))</f>
        <v/>
      </c>
      <c r="H28" s="37">
        <f>IF(B28="","",IFERROR(IF(INDEX(Data!$N$2:$N$745,MATCH(14,Data!$AI$2:$AI$745,0))="","",INDEX(Data!$N$2:$N$745,MATCH(14,Data!$AI$2:$AI$745,0))),""))</f>
        <v/>
      </c>
      <c r="I28" s="37">
        <f>IF(B28="","",IFERROR(IF(INDEX(Data!$O$2:$O$745,MATCH(14,Data!$AI$2:$AI$745,0))="","",INDEX(Data!$O$2:$O$745,MATCH(14,Data!$AI$2:$AI$745,0))),""))</f>
        <v/>
      </c>
      <c r="J28" s="31">
        <f>IF(B28="","",IFERROR(IF(INDEX(Data!$P$2:$P$745,MATCH(14,Data!$AI$2:$AI$745,0))="","",INDEX(Data!$P$2:$P$745,MATCH(14,Data!$AI$2:$AI$745,0))),""))</f>
        <v/>
      </c>
      <c r="K28" s="32">
        <f>IF(B28="","",IFERROR(IF(INDEX(Data!$R$2:$R$745,MATCH(14,Data!$AI$2:$AI$745,0))="","",INDEX(Data!$R$2:$R$745,MATCH(14,Data!$AI$2:$AI$745,0))),""))</f>
        <v/>
      </c>
      <c r="L28" s="33">
        <f>IF(B28="","",IFERROR(IF(INDEX(Data!$S$2:$S$745,MATCH(14,Data!$AI$2:$AI$745,0))="","",INDEX(Data!$S$2:$S$745,MATCH(14,Data!$AI$2:$AI$745,0))),""))</f>
        <v/>
      </c>
      <c r="M28" s="33">
        <f>IF(B28="","",IFERROR(IF(INDEX(Data!$T$2:$T$745,MATCH(14,Data!$AI$2:$AI$745,0))="","",INDEX(Data!$T$2:$T$745,MATCH(14,Data!$AI$2:$AI$745,0))),""))</f>
        <v/>
      </c>
      <c r="N28" s="34">
        <f>IF(B28="","",IFERROR(IF(INDEX(Data!$U$2:$U$745,MATCH(14,Data!$AI$2:$AI$745,0))="","",INDEX(Data!$U$2:$U$745,MATCH(14,Data!$AI$2:$AI$745,0))),""))</f>
        <v/>
      </c>
      <c r="O28" s="33">
        <f>IF(B28="","",IFERROR(IF(INDEX(Data!$V$2:$V$745,MATCH(14,Data!$AI$2:$AI$745,0))="","",INDEX(Data!$V$2:$V$745,MATCH(14,Data!$AI$2:$AI$745,0))),""))</f>
        <v/>
      </c>
      <c r="P28" s="33">
        <f>IF(B28="","",IFERROR(IF(INDEX(Data!$M$2:$M$745,MATCH(14,Data!$AI$2:$AI$745,0))="","",INDEX(Data!$M$2:$M$745,MATCH(14,Data!$AI$2:$AI$745,0))),""))</f>
        <v/>
      </c>
      <c r="Q28" s="31">
        <f>IF(B28="","",IFERROR(IF(INDEX(Data!$AD$2:$AD$745,MATCH(14,Data!$AI$2:$AI$745,0))="","",INDEX(Data!$AD$2:$AD$745,MATCH(14,Data!$AI$2:$AI$745,0))),""))</f>
        <v/>
      </c>
      <c r="R28" s="27">
        <f>IF(B28="","",IFERROR(IF(INDEX(Data!$L$2:$L$745,MATCH(14,Data!$AI$2:$AI$745,0))="","",INDEX(Data!$L$2:$L$745,MATCH(14,Data!$AI$2:$AI$745,0))),""))</f>
        <v/>
      </c>
      <c r="AB28" t="inlineStr">
        <is>
          <t>BIETYONE</t>
        </is>
      </c>
    </row>
    <row r="29" ht="62" customHeight="1">
      <c r="B29" s="27">
        <f>IF(15&lt;=COUNTIF(Data!$AH$2:$AH$745,TRUE),15,"")</f>
        <v/>
      </c>
      <c r="C29" s="28">
        <f>IF(B29="","",IFERROR(_xlfn.IMAGE(IFERROR(IF(INDEX(Data!$J$2:$J$745,MATCH(15,Data!$AI$2:$AI$745,0))="","",INDEX(Data!$J$2:$J$745,MATCH(15,Data!$AI$2:$AI$745,0))),"")),"IMAGE COMING SOON"))</f>
        <v/>
      </c>
      <c r="D29" s="29">
        <f>IF(B29="","",IFERROR(IF(INDEX(Data!$G$2:$G$745,MATCH(15,Data!$AI$2:$AI$745,0))="","",INDEX(Data!$G$2:$G$745,MATCH(15,Data!$AI$2:$AI$745,0))),"")&amp;CHAR(10)&amp;IFERROR(IF(INDEX(Data!$H$2:$H$745,MATCH(15,Data!$AI$2:$AI$745,0))="","",INDEX(Data!$H$2:$H$745,MATCH(15,Data!$AI$2:$AI$745,0))),""))</f>
        <v/>
      </c>
      <c r="E29" s="27">
        <f>IF(B29="","",IFERROR(IF(INDEX(Data!$I$2:$I$745,MATCH(15,Data!$AI$2:$AI$745,0))="","",INDEX(Data!$I$2:$I$745,MATCH(15,Data!$AI$2:$AI$745,0))),""))</f>
        <v/>
      </c>
      <c r="F29" s="27">
        <f>IF(B29="","",IFERROR(IF(INDEX(Data!$AJ$2:$AJ$745,MATCH(15,Data!$AI$2:$AI$745,0))="","",INDEX(Data!$AJ$2:$AJ$745,MATCH(15,Data!$AI$2:$AI$745,0))),""))</f>
        <v/>
      </c>
      <c r="G29" s="27">
        <f>IF(B29="","",TRIM(IFERROR(IF(INDEX(Data!$AF$2:$AF$745,MATCH(15,Data!$AI$2:$AI$745,0))="","",INDEX(Data!$AF$2:$AF$745,MATCH(15,Data!$AI$2:$AI$745,0))),"")&amp;" "&amp;IFERROR(IF(INDEX(Data!$AG$2:$AG$745,MATCH(15,Data!$AI$2:$AI$745,0))="","",INDEX(Data!$AG$2:$AG$745,MATCH(15,Data!$AI$2:$AI$745,0))),"")))</f>
        <v/>
      </c>
      <c r="H29" s="37">
        <f>IF(B29="","",IFERROR(IF(INDEX(Data!$N$2:$N$745,MATCH(15,Data!$AI$2:$AI$745,0))="","",INDEX(Data!$N$2:$N$745,MATCH(15,Data!$AI$2:$AI$745,0))),""))</f>
        <v/>
      </c>
      <c r="I29" s="37">
        <f>IF(B29="","",IFERROR(IF(INDEX(Data!$O$2:$O$745,MATCH(15,Data!$AI$2:$AI$745,0))="","",INDEX(Data!$O$2:$O$745,MATCH(15,Data!$AI$2:$AI$745,0))),""))</f>
        <v/>
      </c>
      <c r="J29" s="31">
        <f>IF(B29="","",IFERROR(IF(INDEX(Data!$P$2:$P$745,MATCH(15,Data!$AI$2:$AI$745,0))="","",INDEX(Data!$P$2:$P$745,MATCH(15,Data!$AI$2:$AI$745,0))),""))</f>
        <v/>
      </c>
      <c r="K29" s="32">
        <f>IF(B29="","",IFERROR(IF(INDEX(Data!$R$2:$R$745,MATCH(15,Data!$AI$2:$AI$745,0))="","",INDEX(Data!$R$2:$R$745,MATCH(15,Data!$AI$2:$AI$745,0))),""))</f>
        <v/>
      </c>
      <c r="L29" s="33">
        <f>IF(B29="","",IFERROR(IF(INDEX(Data!$S$2:$S$745,MATCH(15,Data!$AI$2:$AI$745,0))="","",INDEX(Data!$S$2:$S$745,MATCH(15,Data!$AI$2:$AI$745,0))),""))</f>
        <v/>
      </c>
      <c r="M29" s="33">
        <f>IF(B29="","",IFERROR(IF(INDEX(Data!$T$2:$T$745,MATCH(15,Data!$AI$2:$AI$745,0))="","",INDEX(Data!$T$2:$T$745,MATCH(15,Data!$AI$2:$AI$745,0))),""))</f>
        <v/>
      </c>
      <c r="N29" s="34">
        <f>IF(B29="","",IFERROR(IF(INDEX(Data!$U$2:$U$745,MATCH(15,Data!$AI$2:$AI$745,0))="","",INDEX(Data!$U$2:$U$745,MATCH(15,Data!$AI$2:$AI$745,0))),""))</f>
        <v/>
      </c>
      <c r="O29" s="33">
        <f>IF(B29="","",IFERROR(IF(INDEX(Data!$V$2:$V$745,MATCH(15,Data!$AI$2:$AI$745,0))="","",INDEX(Data!$V$2:$V$745,MATCH(15,Data!$AI$2:$AI$745,0))),""))</f>
        <v/>
      </c>
      <c r="P29" s="33">
        <f>IF(B29="","",IFERROR(IF(INDEX(Data!$M$2:$M$745,MATCH(15,Data!$AI$2:$AI$745,0))="","",INDEX(Data!$M$2:$M$745,MATCH(15,Data!$AI$2:$AI$745,0))),""))</f>
        <v/>
      </c>
      <c r="Q29" s="31">
        <f>IF(B29="","",IFERROR(IF(INDEX(Data!$AD$2:$AD$745,MATCH(15,Data!$AI$2:$AI$745,0))="","",INDEX(Data!$AD$2:$AD$745,MATCH(15,Data!$AI$2:$AI$745,0))),""))</f>
        <v/>
      </c>
      <c r="R29" s="27">
        <f>IF(B29="","",IFERROR(IF(INDEX(Data!$L$2:$L$745,MATCH(15,Data!$AI$2:$AI$745,0))="","",INDEX(Data!$L$2:$L$745,MATCH(15,Data!$AI$2:$AI$745,0))),""))</f>
        <v/>
      </c>
      <c r="AB29" t="inlineStr">
        <is>
          <t>BLISSFORD</t>
        </is>
      </c>
    </row>
    <row r="30" ht="62" customHeight="1">
      <c r="B30" s="27">
        <f>IF(16&lt;=COUNTIF(Data!$AH$2:$AH$745,TRUE),16,"")</f>
        <v/>
      </c>
      <c r="C30" s="28">
        <f>IF(B30="","",IFERROR(_xlfn.IMAGE(IFERROR(IF(INDEX(Data!$J$2:$J$745,MATCH(16,Data!$AI$2:$AI$745,0))="","",INDEX(Data!$J$2:$J$745,MATCH(16,Data!$AI$2:$AI$745,0))),"")),"IMAGE COMING SOON"))</f>
        <v/>
      </c>
      <c r="D30" s="29">
        <f>IF(B30="","",IFERROR(IF(INDEX(Data!$G$2:$G$745,MATCH(16,Data!$AI$2:$AI$745,0))="","",INDEX(Data!$G$2:$G$745,MATCH(16,Data!$AI$2:$AI$745,0))),"")&amp;CHAR(10)&amp;IFERROR(IF(INDEX(Data!$H$2:$H$745,MATCH(16,Data!$AI$2:$AI$745,0))="","",INDEX(Data!$H$2:$H$745,MATCH(16,Data!$AI$2:$AI$745,0))),""))</f>
        <v/>
      </c>
      <c r="E30" s="27">
        <f>IF(B30="","",IFERROR(IF(INDEX(Data!$I$2:$I$745,MATCH(16,Data!$AI$2:$AI$745,0))="","",INDEX(Data!$I$2:$I$745,MATCH(16,Data!$AI$2:$AI$745,0))),""))</f>
        <v/>
      </c>
      <c r="F30" s="27">
        <f>IF(B30="","",IFERROR(IF(INDEX(Data!$AJ$2:$AJ$745,MATCH(16,Data!$AI$2:$AI$745,0))="","",INDEX(Data!$AJ$2:$AJ$745,MATCH(16,Data!$AI$2:$AI$745,0))),""))</f>
        <v/>
      </c>
      <c r="G30" s="27">
        <f>IF(B30="","",TRIM(IFERROR(IF(INDEX(Data!$AF$2:$AF$745,MATCH(16,Data!$AI$2:$AI$745,0))="","",INDEX(Data!$AF$2:$AF$745,MATCH(16,Data!$AI$2:$AI$745,0))),"")&amp;" "&amp;IFERROR(IF(INDEX(Data!$AG$2:$AG$745,MATCH(16,Data!$AI$2:$AI$745,0))="","",INDEX(Data!$AG$2:$AG$745,MATCH(16,Data!$AI$2:$AI$745,0))),"")))</f>
        <v/>
      </c>
      <c r="H30" s="37">
        <f>IF(B30="","",IFERROR(IF(INDEX(Data!$N$2:$N$745,MATCH(16,Data!$AI$2:$AI$745,0))="","",INDEX(Data!$N$2:$N$745,MATCH(16,Data!$AI$2:$AI$745,0))),""))</f>
        <v/>
      </c>
      <c r="I30" s="37">
        <f>IF(B30="","",IFERROR(IF(INDEX(Data!$O$2:$O$745,MATCH(16,Data!$AI$2:$AI$745,0))="","",INDEX(Data!$O$2:$O$745,MATCH(16,Data!$AI$2:$AI$745,0))),""))</f>
        <v/>
      </c>
      <c r="J30" s="31">
        <f>IF(B30="","",IFERROR(IF(INDEX(Data!$P$2:$P$745,MATCH(16,Data!$AI$2:$AI$745,0))="","",INDEX(Data!$P$2:$P$745,MATCH(16,Data!$AI$2:$AI$745,0))),""))</f>
        <v/>
      </c>
      <c r="K30" s="32">
        <f>IF(B30="","",IFERROR(IF(INDEX(Data!$R$2:$R$745,MATCH(16,Data!$AI$2:$AI$745,0))="","",INDEX(Data!$R$2:$R$745,MATCH(16,Data!$AI$2:$AI$745,0))),""))</f>
        <v/>
      </c>
      <c r="L30" s="33">
        <f>IF(B30="","",IFERROR(IF(INDEX(Data!$S$2:$S$745,MATCH(16,Data!$AI$2:$AI$745,0))="","",INDEX(Data!$S$2:$S$745,MATCH(16,Data!$AI$2:$AI$745,0))),""))</f>
        <v/>
      </c>
      <c r="M30" s="33">
        <f>IF(B30="","",IFERROR(IF(INDEX(Data!$T$2:$T$745,MATCH(16,Data!$AI$2:$AI$745,0))="","",INDEX(Data!$T$2:$T$745,MATCH(16,Data!$AI$2:$AI$745,0))),""))</f>
        <v/>
      </c>
      <c r="N30" s="34">
        <f>IF(B30="","",IFERROR(IF(INDEX(Data!$U$2:$U$745,MATCH(16,Data!$AI$2:$AI$745,0))="","",INDEX(Data!$U$2:$U$745,MATCH(16,Data!$AI$2:$AI$745,0))),""))</f>
        <v/>
      </c>
      <c r="O30" s="33">
        <f>IF(B30="","",IFERROR(IF(INDEX(Data!$V$2:$V$745,MATCH(16,Data!$AI$2:$AI$745,0))="","",INDEX(Data!$V$2:$V$745,MATCH(16,Data!$AI$2:$AI$745,0))),""))</f>
        <v/>
      </c>
      <c r="P30" s="33">
        <f>IF(B30="","",IFERROR(IF(INDEX(Data!$M$2:$M$745,MATCH(16,Data!$AI$2:$AI$745,0))="","",INDEX(Data!$M$2:$M$745,MATCH(16,Data!$AI$2:$AI$745,0))),""))</f>
        <v/>
      </c>
      <c r="Q30" s="31">
        <f>IF(B30="","",IFERROR(IF(INDEX(Data!$AD$2:$AD$745,MATCH(16,Data!$AI$2:$AI$745,0))="","",INDEX(Data!$AD$2:$AD$745,MATCH(16,Data!$AI$2:$AI$745,0))),""))</f>
        <v/>
      </c>
      <c r="R30" s="27">
        <f>IF(B30="","",IFERROR(IF(INDEX(Data!$L$2:$L$745,MATCH(16,Data!$AI$2:$AI$745,0))="","",INDEX(Data!$L$2:$L$745,MATCH(16,Data!$AI$2:$AI$745,0))),""))</f>
        <v/>
      </c>
      <c r="AB30" t="inlineStr">
        <is>
          <t>BLISSY</t>
        </is>
      </c>
    </row>
    <row r="31" ht="62" customHeight="1">
      <c r="B31" s="27">
        <f>IF(17&lt;=COUNTIF(Data!$AH$2:$AH$745,TRUE),17,"")</f>
        <v/>
      </c>
      <c r="C31" s="28">
        <f>IF(B31="","",IFERROR(_xlfn.IMAGE(IFERROR(IF(INDEX(Data!$J$2:$J$745,MATCH(17,Data!$AI$2:$AI$745,0))="","",INDEX(Data!$J$2:$J$745,MATCH(17,Data!$AI$2:$AI$745,0))),"")),"IMAGE COMING SOON"))</f>
        <v/>
      </c>
      <c r="D31" s="29">
        <f>IF(B31="","",IFERROR(IF(INDEX(Data!$G$2:$G$745,MATCH(17,Data!$AI$2:$AI$745,0))="","",INDEX(Data!$G$2:$G$745,MATCH(17,Data!$AI$2:$AI$745,0))),"")&amp;CHAR(10)&amp;IFERROR(IF(INDEX(Data!$H$2:$H$745,MATCH(17,Data!$AI$2:$AI$745,0))="","",INDEX(Data!$H$2:$H$745,MATCH(17,Data!$AI$2:$AI$745,0))),""))</f>
        <v/>
      </c>
      <c r="E31" s="27">
        <f>IF(B31="","",IFERROR(IF(INDEX(Data!$I$2:$I$745,MATCH(17,Data!$AI$2:$AI$745,0))="","",INDEX(Data!$I$2:$I$745,MATCH(17,Data!$AI$2:$AI$745,0))),""))</f>
        <v/>
      </c>
      <c r="F31" s="27">
        <f>IF(B31="","",IFERROR(IF(INDEX(Data!$AJ$2:$AJ$745,MATCH(17,Data!$AI$2:$AI$745,0))="","",INDEX(Data!$AJ$2:$AJ$745,MATCH(17,Data!$AI$2:$AI$745,0))),""))</f>
        <v/>
      </c>
      <c r="G31" s="27">
        <f>IF(B31="","",TRIM(IFERROR(IF(INDEX(Data!$AF$2:$AF$745,MATCH(17,Data!$AI$2:$AI$745,0))="","",INDEX(Data!$AF$2:$AF$745,MATCH(17,Data!$AI$2:$AI$745,0))),"")&amp;" "&amp;IFERROR(IF(INDEX(Data!$AG$2:$AG$745,MATCH(17,Data!$AI$2:$AI$745,0))="","",INDEX(Data!$AG$2:$AG$745,MATCH(17,Data!$AI$2:$AI$745,0))),"")))</f>
        <v/>
      </c>
      <c r="H31" s="37">
        <f>IF(B31="","",IFERROR(IF(INDEX(Data!$N$2:$N$745,MATCH(17,Data!$AI$2:$AI$745,0))="","",INDEX(Data!$N$2:$N$745,MATCH(17,Data!$AI$2:$AI$745,0))),""))</f>
        <v/>
      </c>
      <c r="I31" s="37">
        <f>IF(B31="","",IFERROR(IF(INDEX(Data!$O$2:$O$745,MATCH(17,Data!$AI$2:$AI$745,0))="","",INDEX(Data!$O$2:$O$745,MATCH(17,Data!$AI$2:$AI$745,0))),""))</f>
        <v/>
      </c>
      <c r="J31" s="31">
        <f>IF(B31="","",IFERROR(IF(INDEX(Data!$P$2:$P$745,MATCH(17,Data!$AI$2:$AI$745,0))="","",INDEX(Data!$P$2:$P$745,MATCH(17,Data!$AI$2:$AI$745,0))),""))</f>
        <v/>
      </c>
      <c r="K31" s="32">
        <f>IF(B31="","",IFERROR(IF(INDEX(Data!$R$2:$R$745,MATCH(17,Data!$AI$2:$AI$745,0))="","",INDEX(Data!$R$2:$R$745,MATCH(17,Data!$AI$2:$AI$745,0))),""))</f>
        <v/>
      </c>
      <c r="L31" s="33">
        <f>IF(B31="","",IFERROR(IF(INDEX(Data!$S$2:$S$745,MATCH(17,Data!$AI$2:$AI$745,0))="","",INDEX(Data!$S$2:$S$745,MATCH(17,Data!$AI$2:$AI$745,0))),""))</f>
        <v/>
      </c>
      <c r="M31" s="33">
        <f>IF(B31="","",IFERROR(IF(INDEX(Data!$T$2:$T$745,MATCH(17,Data!$AI$2:$AI$745,0))="","",INDEX(Data!$T$2:$T$745,MATCH(17,Data!$AI$2:$AI$745,0))),""))</f>
        <v/>
      </c>
      <c r="N31" s="34">
        <f>IF(B31="","",IFERROR(IF(INDEX(Data!$U$2:$U$745,MATCH(17,Data!$AI$2:$AI$745,0))="","",INDEX(Data!$U$2:$U$745,MATCH(17,Data!$AI$2:$AI$745,0))),""))</f>
        <v/>
      </c>
      <c r="O31" s="33">
        <f>IF(B31="","",IFERROR(IF(INDEX(Data!$V$2:$V$745,MATCH(17,Data!$AI$2:$AI$745,0))="","",INDEX(Data!$V$2:$V$745,MATCH(17,Data!$AI$2:$AI$745,0))),""))</f>
        <v/>
      </c>
      <c r="P31" s="33">
        <f>IF(B31="","",IFERROR(IF(INDEX(Data!$M$2:$M$745,MATCH(17,Data!$AI$2:$AI$745,0))="","",INDEX(Data!$M$2:$M$745,MATCH(17,Data!$AI$2:$AI$745,0))),""))</f>
        <v/>
      </c>
      <c r="Q31" s="31">
        <f>IF(B31="","",IFERROR(IF(INDEX(Data!$AD$2:$AD$745,MATCH(17,Data!$AI$2:$AI$745,0))="","",INDEX(Data!$AD$2:$AD$745,MATCH(17,Data!$AI$2:$AI$745,0))),""))</f>
        <v/>
      </c>
      <c r="R31" s="27">
        <f>IF(B31="","",IFERROR(IF(INDEX(Data!$L$2:$L$745,MATCH(17,Data!$AI$2:$AI$745,0))="","",INDEX(Data!$L$2:$L$745,MATCH(17,Data!$AI$2:$AI$745,0))),""))</f>
        <v/>
      </c>
      <c r="AB31" t="inlineStr">
        <is>
          <t>BLSSNZ</t>
        </is>
      </c>
    </row>
    <row r="32" ht="62" customHeight="1">
      <c r="B32" s="27">
        <f>IF(18&lt;=COUNTIF(Data!$AH$2:$AH$745,TRUE),18,"")</f>
        <v/>
      </c>
      <c r="C32" s="28">
        <f>IF(B32="","",IFERROR(_xlfn.IMAGE(IFERROR(IF(INDEX(Data!$J$2:$J$745,MATCH(18,Data!$AI$2:$AI$745,0))="","",INDEX(Data!$J$2:$J$745,MATCH(18,Data!$AI$2:$AI$745,0))),"")),"IMAGE COMING SOON"))</f>
        <v/>
      </c>
      <c r="D32" s="29">
        <f>IF(B32="","",IFERROR(IF(INDEX(Data!$G$2:$G$745,MATCH(18,Data!$AI$2:$AI$745,0))="","",INDEX(Data!$G$2:$G$745,MATCH(18,Data!$AI$2:$AI$745,0))),"")&amp;CHAR(10)&amp;IFERROR(IF(INDEX(Data!$H$2:$H$745,MATCH(18,Data!$AI$2:$AI$745,0))="","",INDEX(Data!$H$2:$H$745,MATCH(18,Data!$AI$2:$AI$745,0))),""))</f>
        <v/>
      </c>
      <c r="E32" s="27">
        <f>IF(B32="","",IFERROR(IF(INDEX(Data!$I$2:$I$745,MATCH(18,Data!$AI$2:$AI$745,0))="","",INDEX(Data!$I$2:$I$745,MATCH(18,Data!$AI$2:$AI$745,0))),""))</f>
        <v/>
      </c>
      <c r="F32" s="27">
        <f>IF(B32="","",IFERROR(IF(INDEX(Data!$AJ$2:$AJ$745,MATCH(18,Data!$AI$2:$AI$745,0))="","",INDEX(Data!$AJ$2:$AJ$745,MATCH(18,Data!$AI$2:$AI$745,0))),""))</f>
        <v/>
      </c>
      <c r="G32" s="27">
        <f>IF(B32="","",TRIM(IFERROR(IF(INDEX(Data!$AF$2:$AF$745,MATCH(18,Data!$AI$2:$AI$745,0))="","",INDEX(Data!$AF$2:$AF$745,MATCH(18,Data!$AI$2:$AI$745,0))),"")&amp;" "&amp;IFERROR(IF(INDEX(Data!$AG$2:$AG$745,MATCH(18,Data!$AI$2:$AI$745,0))="","",INDEX(Data!$AG$2:$AG$745,MATCH(18,Data!$AI$2:$AI$745,0))),"")))</f>
        <v/>
      </c>
      <c r="H32" s="37">
        <f>IF(B32="","",IFERROR(IF(INDEX(Data!$N$2:$N$745,MATCH(18,Data!$AI$2:$AI$745,0))="","",INDEX(Data!$N$2:$N$745,MATCH(18,Data!$AI$2:$AI$745,0))),""))</f>
        <v/>
      </c>
      <c r="I32" s="37">
        <f>IF(B32="","",IFERROR(IF(INDEX(Data!$O$2:$O$745,MATCH(18,Data!$AI$2:$AI$745,0))="","",INDEX(Data!$O$2:$O$745,MATCH(18,Data!$AI$2:$AI$745,0))),""))</f>
        <v/>
      </c>
      <c r="J32" s="31">
        <f>IF(B32="","",IFERROR(IF(INDEX(Data!$P$2:$P$745,MATCH(18,Data!$AI$2:$AI$745,0))="","",INDEX(Data!$P$2:$P$745,MATCH(18,Data!$AI$2:$AI$745,0))),""))</f>
        <v/>
      </c>
      <c r="K32" s="32">
        <f>IF(B32="","",IFERROR(IF(INDEX(Data!$R$2:$R$745,MATCH(18,Data!$AI$2:$AI$745,0))="","",INDEX(Data!$R$2:$R$745,MATCH(18,Data!$AI$2:$AI$745,0))),""))</f>
        <v/>
      </c>
      <c r="L32" s="33">
        <f>IF(B32="","",IFERROR(IF(INDEX(Data!$S$2:$S$745,MATCH(18,Data!$AI$2:$AI$745,0))="","",INDEX(Data!$S$2:$S$745,MATCH(18,Data!$AI$2:$AI$745,0))),""))</f>
        <v/>
      </c>
      <c r="M32" s="33">
        <f>IF(B32="","",IFERROR(IF(INDEX(Data!$T$2:$T$745,MATCH(18,Data!$AI$2:$AI$745,0))="","",INDEX(Data!$T$2:$T$745,MATCH(18,Data!$AI$2:$AI$745,0))),""))</f>
        <v/>
      </c>
      <c r="N32" s="34">
        <f>IF(B32="","",IFERROR(IF(INDEX(Data!$U$2:$U$745,MATCH(18,Data!$AI$2:$AI$745,0))="","",INDEX(Data!$U$2:$U$745,MATCH(18,Data!$AI$2:$AI$745,0))),""))</f>
        <v/>
      </c>
      <c r="O32" s="33">
        <f>IF(B32="","",IFERROR(IF(INDEX(Data!$V$2:$V$745,MATCH(18,Data!$AI$2:$AI$745,0))="","",INDEX(Data!$V$2:$V$745,MATCH(18,Data!$AI$2:$AI$745,0))),""))</f>
        <v/>
      </c>
      <c r="P32" s="33">
        <f>IF(B32="","",IFERROR(IF(INDEX(Data!$M$2:$M$745,MATCH(18,Data!$AI$2:$AI$745,0))="","",INDEX(Data!$M$2:$M$745,MATCH(18,Data!$AI$2:$AI$745,0))),""))</f>
        <v/>
      </c>
      <c r="Q32" s="31">
        <f>IF(B32="","",IFERROR(IF(INDEX(Data!$AD$2:$AD$745,MATCH(18,Data!$AI$2:$AI$745,0))="","",INDEX(Data!$AD$2:$AD$745,MATCH(18,Data!$AI$2:$AI$745,0))),""))</f>
        <v/>
      </c>
      <c r="R32" s="27">
        <f>IF(B32="","",IFERROR(IF(INDEX(Data!$L$2:$L$745,MATCH(18,Data!$AI$2:$AI$745,0))="","",INDEX(Data!$L$2:$L$745,MATCH(18,Data!$AI$2:$AI$745,0))),""))</f>
        <v/>
      </c>
      <c r="AB32" t="inlineStr">
        <is>
          <t>Breescape</t>
        </is>
      </c>
    </row>
    <row r="33" ht="62" customHeight="1">
      <c r="B33" s="27">
        <f>IF(19&lt;=COUNTIF(Data!$AH$2:$AH$745,TRUE),19,"")</f>
        <v/>
      </c>
      <c r="C33" s="28">
        <f>IF(B33="","",IFERROR(_xlfn.IMAGE(IFERROR(IF(INDEX(Data!$J$2:$J$745,MATCH(19,Data!$AI$2:$AI$745,0))="","",INDEX(Data!$J$2:$J$745,MATCH(19,Data!$AI$2:$AI$745,0))),"")),"IMAGE COMING SOON"))</f>
        <v/>
      </c>
      <c r="D33" s="29">
        <f>IF(B33="","",IFERROR(IF(INDEX(Data!$G$2:$G$745,MATCH(19,Data!$AI$2:$AI$745,0))="","",INDEX(Data!$G$2:$G$745,MATCH(19,Data!$AI$2:$AI$745,0))),"")&amp;CHAR(10)&amp;IFERROR(IF(INDEX(Data!$H$2:$H$745,MATCH(19,Data!$AI$2:$AI$745,0))="","",INDEX(Data!$H$2:$H$745,MATCH(19,Data!$AI$2:$AI$745,0))),""))</f>
        <v/>
      </c>
      <c r="E33" s="27">
        <f>IF(B33="","",IFERROR(IF(INDEX(Data!$I$2:$I$745,MATCH(19,Data!$AI$2:$AI$745,0))="","",INDEX(Data!$I$2:$I$745,MATCH(19,Data!$AI$2:$AI$745,0))),""))</f>
        <v/>
      </c>
      <c r="F33" s="27">
        <f>IF(B33="","",IFERROR(IF(INDEX(Data!$AJ$2:$AJ$745,MATCH(19,Data!$AI$2:$AI$745,0))="","",INDEX(Data!$AJ$2:$AJ$745,MATCH(19,Data!$AI$2:$AI$745,0))),""))</f>
        <v/>
      </c>
      <c r="G33" s="27">
        <f>IF(B33="","",TRIM(IFERROR(IF(INDEX(Data!$AF$2:$AF$745,MATCH(19,Data!$AI$2:$AI$745,0))="","",INDEX(Data!$AF$2:$AF$745,MATCH(19,Data!$AI$2:$AI$745,0))),"")&amp;" "&amp;IFERROR(IF(INDEX(Data!$AG$2:$AG$745,MATCH(19,Data!$AI$2:$AI$745,0))="","",INDEX(Data!$AG$2:$AG$745,MATCH(19,Data!$AI$2:$AI$745,0))),"")))</f>
        <v/>
      </c>
      <c r="H33" s="37">
        <f>IF(B33="","",IFERROR(IF(INDEX(Data!$N$2:$N$745,MATCH(19,Data!$AI$2:$AI$745,0))="","",INDEX(Data!$N$2:$N$745,MATCH(19,Data!$AI$2:$AI$745,0))),""))</f>
        <v/>
      </c>
      <c r="I33" s="37">
        <f>IF(B33="","",IFERROR(IF(INDEX(Data!$O$2:$O$745,MATCH(19,Data!$AI$2:$AI$745,0))="","",INDEX(Data!$O$2:$O$745,MATCH(19,Data!$AI$2:$AI$745,0))),""))</f>
        <v/>
      </c>
      <c r="J33" s="31">
        <f>IF(B33="","",IFERROR(IF(INDEX(Data!$P$2:$P$745,MATCH(19,Data!$AI$2:$AI$745,0))="","",INDEX(Data!$P$2:$P$745,MATCH(19,Data!$AI$2:$AI$745,0))),""))</f>
        <v/>
      </c>
      <c r="K33" s="32">
        <f>IF(B33="","",IFERROR(IF(INDEX(Data!$R$2:$R$745,MATCH(19,Data!$AI$2:$AI$745,0))="","",INDEX(Data!$R$2:$R$745,MATCH(19,Data!$AI$2:$AI$745,0))),""))</f>
        <v/>
      </c>
      <c r="L33" s="33">
        <f>IF(B33="","",IFERROR(IF(INDEX(Data!$S$2:$S$745,MATCH(19,Data!$AI$2:$AI$745,0))="","",INDEX(Data!$S$2:$S$745,MATCH(19,Data!$AI$2:$AI$745,0))),""))</f>
        <v/>
      </c>
      <c r="M33" s="33">
        <f>IF(B33="","",IFERROR(IF(INDEX(Data!$T$2:$T$745,MATCH(19,Data!$AI$2:$AI$745,0))="","",INDEX(Data!$T$2:$T$745,MATCH(19,Data!$AI$2:$AI$745,0))),""))</f>
        <v/>
      </c>
      <c r="N33" s="34">
        <f>IF(B33="","",IFERROR(IF(INDEX(Data!$U$2:$U$745,MATCH(19,Data!$AI$2:$AI$745,0))="","",INDEX(Data!$U$2:$U$745,MATCH(19,Data!$AI$2:$AI$745,0))),""))</f>
        <v/>
      </c>
      <c r="O33" s="33">
        <f>IF(B33="","",IFERROR(IF(INDEX(Data!$V$2:$V$745,MATCH(19,Data!$AI$2:$AI$745,0))="","",INDEX(Data!$V$2:$V$745,MATCH(19,Data!$AI$2:$AI$745,0))),""))</f>
        <v/>
      </c>
      <c r="P33" s="33">
        <f>IF(B33="","",IFERROR(IF(INDEX(Data!$M$2:$M$745,MATCH(19,Data!$AI$2:$AI$745,0))="","",INDEX(Data!$M$2:$M$745,MATCH(19,Data!$AI$2:$AI$745,0))),""))</f>
        <v/>
      </c>
      <c r="Q33" s="31">
        <f>IF(B33="","",IFERROR(IF(INDEX(Data!$AD$2:$AD$745,MATCH(19,Data!$AI$2:$AI$745,0))="","",INDEX(Data!$AD$2:$AD$745,MATCH(19,Data!$AI$2:$AI$745,0))),""))</f>
        <v/>
      </c>
      <c r="R33" s="27">
        <f>IF(B33="","",IFERROR(IF(INDEX(Data!$L$2:$L$745,MATCH(19,Data!$AI$2:$AI$745,0))="","",INDEX(Data!$L$2:$L$745,MATCH(19,Data!$AI$2:$AI$745,0))),""))</f>
        <v/>
      </c>
      <c r="AB33" t="inlineStr">
        <is>
          <t>Brooklinen</t>
        </is>
      </c>
    </row>
    <row r="34" ht="62" customHeight="1">
      <c r="B34" s="27">
        <f>IF(20&lt;=COUNTIF(Data!$AH$2:$AH$745,TRUE),20,"")</f>
        <v/>
      </c>
      <c r="C34" s="28">
        <f>IF(B34="","",IFERROR(_xlfn.IMAGE(IFERROR(IF(INDEX(Data!$J$2:$J$745,MATCH(20,Data!$AI$2:$AI$745,0))="","",INDEX(Data!$J$2:$J$745,MATCH(20,Data!$AI$2:$AI$745,0))),"")),"IMAGE COMING SOON"))</f>
        <v/>
      </c>
      <c r="D34" s="29">
        <f>IF(B34="","",IFERROR(IF(INDEX(Data!$G$2:$G$745,MATCH(20,Data!$AI$2:$AI$745,0))="","",INDEX(Data!$G$2:$G$745,MATCH(20,Data!$AI$2:$AI$745,0))),"")&amp;CHAR(10)&amp;IFERROR(IF(INDEX(Data!$H$2:$H$745,MATCH(20,Data!$AI$2:$AI$745,0))="","",INDEX(Data!$H$2:$H$745,MATCH(20,Data!$AI$2:$AI$745,0))),""))</f>
        <v/>
      </c>
      <c r="E34" s="27">
        <f>IF(B34="","",IFERROR(IF(INDEX(Data!$I$2:$I$745,MATCH(20,Data!$AI$2:$AI$745,0))="","",INDEX(Data!$I$2:$I$745,MATCH(20,Data!$AI$2:$AI$745,0))),""))</f>
        <v/>
      </c>
      <c r="F34" s="27">
        <f>IF(B34="","",IFERROR(IF(INDEX(Data!$AJ$2:$AJ$745,MATCH(20,Data!$AI$2:$AI$745,0))="","",INDEX(Data!$AJ$2:$AJ$745,MATCH(20,Data!$AI$2:$AI$745,0))),""))</f>
        <v/>
      </c>
      <c r="G34" s="27">
        <f>IF(B34="","",TRIM(IFERROR(IF(INDEX(Data!$AF$2:$AF$745,MATCH(20,Data!$AI$2:$AI$745,0))="","",INDEX(Data!$AF$2:$AF$745,MATCH(20,Data!$AI$2:$AI$745,0))),"")&amp;" "&amp;IFERROR(IF(INDEX(Data!$AG$2:$AG$745,MATCH(20,Data!$AI$2:$AI$745,0))="","",INDEX(Data!$AG$2:$AG$745,MATCH(20,Data!$AI$2:$AI$745,0))),"")))</f>
        <v/>
      </c>
      <c r="H34" s="37">
        <f>IF(B34="","",IFERROR(IF(INDEX(Data!$N$2:$N$745,MATCH(20,Data!$AI$2:$AI$745,0))="","",INDEX(Data!$N$2:$N$745,MATCH(20,Data!$AI$2:$AI$745,0))),""))</f>
        <v/>
      </c>
      <c r="I34" s="37">
        <f>IF(B34="","",IFERROR(IF(INDEX(Data!$O$2:$O$745,MATCH(20,Data!$AI$2:$AI$745,0))="","",INDEX(Data!$O$2:$O$745,MATCH(20,Data!$AI$2:$AI$745,0))),""))</f>
        <v/>
      </c>
      <c r="J34" s="31">
        <f>IF(B34="","",IFERROR(IF(INDEX(Data!$P$2:$P$745,MATCH(20,Data!$AI$2:$AI$745,0))="","",INDEX(Data!$P$2:$P$745,MATCH(20,Data!$AI$2:$AI$745,0))),""))</f>
        <v/>
      </c>
      <c r="K34" s="32">
        <f>IF(B34="","",IFERROR(IF(INDEX(Data!$R$2:$R$745,MATCH(20,Data!$AI$2:$AI$745,0))="","",INDEX(Data!$R$2:$R$745,MATCH(20,Data!$AI$2:$AI$745,0))),""))</f>
        <v/>
      </c>
      <c r="L34" s="33">
        <f>IF(B34="","",IFERROR(IF(INDEX(Data!$S$2:$S$745,MATCH(20,Data!$AI$2:$AI$745,0))="","",INDEX(Data!$S$2:$S$745,MATCH(20,Data!$AI$2:$AI$745,0))),""))</f>
        <v/>
      </c>
      <c r="M34" s="33">
        <f>IF(B34="","",IFERROR(IF(INDEX(Data!$T$2:$T$745,MATCH(20,Data!$AI$2:$AI$745,0))="","",INDEX(Data!$T$2:$T$745,MATCH(20,Data!$AI$2:$AI$745,0))),""))</f>
        <v/>
      </c>
      <c r="N34" s="34">
        <f>IF(B34="","",IFERROR(IF(INDEX(Data!$U$2:$U$745,MATCH(20,Data!$AI$2:$AI$745,0))="","",INDEX(Data!$U$2:$U$745,MATCH(20,Data!$AI$2:$AI$745,0))),""))</f>
        <v/>
      </c>
      <c r="O34" s="33">
        <f>IF(B34="","",IFERROR(IF(INDEX(Data!$V$2:$V$745,MATCH(20,Data!$AI$2:$AI$745,0))="","",INDEX(Data!$V$2:$V$745,MATCH(20,Data!$AI$2:$AI$745,0))),""))</f>
        <v/>
      </c>
      <c r="P34" s="33">
        <f>IF(B34="","",IFERROR(IF(INDEX(Data!$M$2:$M$745,MATCH(20,Data!$AI$2:$AI$745,0))="","",INDEX(Data!$M$2:$M$745,MATCH(20,Data!$AI$2:$AI$745,0))),""))</f>
        <v/>
      </c>
      <c r="Q34" s="31">
        <f>IF(B34="","",IFERROR(IF(INDEX(Data!$AD$2:$AD$745,MATCH(20,Data!$AI$2:$AI$745,0))="","",INDEX(Data!$AD$2:$AD$745,MATCH(20,Data!$AI$2:$AI$745,0))),""))</f>
        <v/>
      </c>
      <c r="R34" s="27">
        <f>IF(B34="","",IFERROR(IF(INDEX(Data!$L$2:$L$745,MATCH(20,Data!$AI$2:$AI$745,0))="","",INDEX(Data!$L$2:$L$745,MATCH(20,Data!$AI$2:$AI$745,0))),""))</f>
        <v/>
      </c>
      <c r="AB34" t="inlineStr">
        <is>
          <t>Brooklyn Loom</t>
        </is>
      </c>
    </row>
    <row r="35" ht="62" customHeight="1">
      <c r="B35" s="27">
        <f>IF(21&lt;=COUNTIF(Data!$AH$2:$AH$745,TRUE),21,"")</f>
        <v/>
      </c>
      <c r="C35" s="28">
        <f>IF(B35="","",IFERROR(_xlfn.IMAGE(IFERROR(IF(INDEX(Data!$J$2:$J$745,MATCH(21,Data!$AI$2:$AI$745,0))="","",INDEX(Data!$J$2:$J$745,MATCH(21,Data!$AI$2:$AI$745,0))),"")),"IMAGE COMING SOON"))</f>
        <v/>
      </c>
      <c r="D35" s="29">
        <f>IF(B35="","",IFERROR(IF(INDEX(Data!$G$2:$G$745,MATCH(21,Data!$AI$2:$AI$745,0))="","",INDEX(Data!$G$2:$G$745,MATCH(21,Data!$AI$2:$AI$745,0))),"")&amp;CHAR(10)&amp;IFERROR(IF(INDEX(Data!$H$2:$H$745,MATCH(21,Data!$AI$2:$AI$745,0))="","",INDEX(Data!$H$2:$H$745,MATCH(21,Data!$AI$2:$AI$745,0))),""))</f>
        <v/>
      </c>
      <c r="E35" s="27">
        <f>IF(B35="","",IFERROR(IF(INDEX(Data!$I$2:$I$745,MATCH(21,Data!$AI$2:$AI$745,0))="","",INDEX(Data!$I$2:$I$745,MATCH(21,Data!$AI$2:$AI$745,0))),""))</f>
        <v/>
      </c>
      <c r="F35" s="27">
        <f>IF(B35="","",IFERROR(IF(INDEX(Data!$AJ$2:$AJ$745,MATCH(21,Data!$AI$2:$AI$745,0))="","",INDEX(Data!$AJ$2:$AJ$745,MATCH(21,Data!$AI$2:$AI$745,0))),""))</f>
        <v/>
      </c>
      <c r="G35" s="27">
        <f>IF(B35="","",TRIM(IFERROR(IF(INDEX(Data!$AF$2:$AF$745,MATCH(21,Data!$AI$2:$AI$745,0))="","",INDEX(Data!$AF$2:$AF$745,MATCH(21,Data!$AI$2:$AI$745,0))),"")&amp;" "&amp;IFERROR(IF(INDEX(Data!$AG$2:$AG$745,MATCH(21,Data!$AI$2:$AI$745,0))="","",INDEX(Data!$AG$2:$AG$745,MATCH(21,Data!$AI$2:$AI$745,0))),"")))</f>
        <v/>
      </c>
      <c r="H35" s="37">
        <f>IF(B35="","",IFERROR(IF(INDEX(Data!$N$2:$N$745,MATCH(21,Data!$AI$2:$AI$745,0))="","",INDEX(Data!$N$2:$N$745,MATCH(21,Data!$AI$2:$AI$745,0))),""))</f>
        <v/>
      </c>
      <c r="I35" s="37">
        <f>IF(B35="","",IFERROR(IF(INDEX(Data!$O$2:$O$745,MATCH(21,Data!$AI$2:$AI$745,0))="","",INDEX(Data!$O$2:$O$745,MATCH(21,Data!$AI$2:$AI$745,0))),""))</f>
        <v/>
      </c>
      <c r="J35" s="31">
        <f>IF(B35="","",IFERROR(IF(INDEX(Data!$P$2:$P$745,MATCH(21,Data!$AI$2:$AI$745,0))="","",INDEX(Data!$P$2:$P$745,MATCH(21,Data!$AI$2:$AI$745,0))),""))</f>
        <v/>
      </c>
      <c r="K35" s="32">
        <f>IF(B35="","",IFERROR(IF(INDEX(Data!$R$2:$R$745,MATCH(21,Data!$AI$2:$AI$745,0))="","",INDEX(Data!$R$2:$R$745,MATCH(21,Data!$AI$2:$AI$745,0))),""))</f>
        <v/>
      </c>
      <c r="L35" s="33">
        <f>IF(B35="","",IFERROR(IF(INDEX(Data!$S$2:$S$745,MATCH(21,Data!$AI$2:$AI$745,0))="","",INDEX(Data!$S$2:$S$745,MATCH(21,Data!$AI$2:$AI$745,0))),""))</f>
        <v/>
      </c>
      <c r="M35" s="33">
        <f>IF(B35="","",IFERROR(IF(INDEX(Data!$T$2:$T$745,MATCH(21,Data!$AI$2:$AI$745,0))="","",INDEX(Data!$T$2:$T$745,MATCH(21,Data!$AI$2:$AI$745,0))),""))</f>
        <v/>
      </c>
      <c r="N35" s="34">
        <f>IF(B35="","",IFERROR(IF(INDEX(Data!$U$2:$U$745,MATCH(21,Data!$AI$2:$AI$745,0))="","",INDEX(Data!$U$2:$U$745,MATCH(21,Data!$AI$2:$AI$745,0))),""))</f>
        <v/>
      </c>
      <c r="O35" s="33">
        <f>IF(B35="","",IFERROR(IF(INDEX(Data!$V$2:$V$745,MATCH(21,Data!$AI$2:$AI$745,0))="","",INDEX(Data!$V$2:$V$745,MATCH(21,Data!$AI$2:$AI$745,0))),""))</f>
        <v/>
      </c>
      <c r="P35" s="33">
        <f>IF(B35="","",IFERROR(IF(INDEX(Data!$M$2:$M$745,MATCH(21,Data!$AI$2:$AI$745,0))="","",INDEX(Data!$M$2:$M$745,MATCH(21,Data!$AI$2:$AI$745,0))),""))</f>
        <v/>
      </c>
      <c r="Q35" s="31">
        <f>IF(B35="","",IFERROR(IF(INDEX(Data!$AD$2:$AD$745,MATCH(21,Data!$AI$2:$AI$745,0))="","",INDEX(Data!$AD$2:$AD$745,MATCH(21,Data!$AI$2:$AI$745,0))),""))</f>
        <v/>
      </c>
      <c r="R35" s="27">
        <f>IF(B35="","",IFERROR(IF(INDEX(Data!$L$2:$L$745,MATCH(21,Data!$AI$2:$AI$745,0))="","",INDEX(Data!$L$2:$L$745,MATCH(21,Data!$AI$2:$AI$745,0))),""))</f>
        <v/>
      </c>
      <c r="AB35" t="inlineStr">
        <is>
          <t>Brookstone</t>
        </is>
      </c>
    </row>
    <row r="36" ht="62" customHeight="1">
      <c r="B36" s="27">
        <f>IF(22&lt;=COUNTIF(Data!$AH$2:$AH$745,TRUE),22,"")</f>
        <v/>
      </c>
      <c r="C36" s="28">
        <f>IF(B36="","",IFERROR(_xlfn.IMAGE(IFERROR(IF(INDEX(Data!$J$2:$J$745,MATCH(22,Data!$AI$2:$AI$745,0))="","",INDEX(Data!$J$2:$J$745,MATCH(22,Data!$AI$2:$AI$745,0))),"")),"IMAGE COMING SOON"))</f>
        <v/>
      </c>
      <c r="D36" s="29">
        <f>IF(B36="","",IFERROR(IF(INDEX(Data!$G$2:$G$745,MATCH(22,Data!$AI$2:$AI$745,0))="","",INDEX(Data!$G$2:$G$745,MATCH(22,Data!$AI$2:$AI$745,0))),"")&amp;CHAR(10)&amp;IFERROR(IF(INDEX(Data!$H$2:$H$745,MATCH(22,Data!$AI$2:$AI$745,0))="","",INDEX(Data!$H$2:$H$745,MATCH(22,Data!$AI$2:$AI$745,0))),""))</f>
        <v/>
      </c>
      <c r="E36" s="27">
        <f>IF(B36="","",IFERROR(IF(INDEX(Data!$I$2:$I$745,MATCH(22,Data!$AI$2:$AI$745,0))="","",INDEX(Data!$I$2:$I$745,MATCH(22,Data!$AI$2:$AI$745,0))),""))</f>
        <v/>
      </c>
      <c r="F36" s="27">
        <f>IF(B36="","",IFERROR(IF(INDEX(Data!$AJ$2:$AJ$745,MATCH(22,Data!$AI$2:$AI$745,0))="","",INDEX(Data!$AJ$2:$AJ$745,MATCH(22,Data!$AI$2:$AI$745,0))),""))</f>
        <v/>
      </c>
      <c r="G36" s="27">
        <f>IF(B36="","",TRIM(IFERROR(IF(INDEX(Data!$AF$2:$AF$745,MATCH(22,Data!$AI$2:$AI$745,0))="","",INDEX(Data!$AF$2:$AF$745,MATCH(22,Data!$AI$2:$AI$745,0))),"")&amp;" "&amp;IFERROR(IF(INDEX(Data!$AG$2:$AG$745,MATCH(22,Data!$AI$2:$AI$745,0))="","",INDEX(Data!$AG$2:$AG$745,MATCH(22,Data!$AI$2:$AI$745,0))),"")))</f>
        <v/>
      </c>
      <c r="H36" s="37">
        <f>IF(B36="","",IFERROR(IF(INDEX(Data!$N$2:$N$745,MATCH(22,Data!$AI$2:$AI$745,0))="","",INDEX(Data!$N$2:$N$745,MATCH(22,Data!$AI$2:$AI$745,0))),""))</f>
        <v/>
      </c>
      <c r="I36" s="37">
        <f>IF(B36="","",IFERROR(IF(INDEX(Data!$O$2:$O$745,MATCH(22,Data!$AI$2:$AI$745,0))="","",INDEX(Data!$O$2:$O$745,MATCH(22,Data!$AI$2:$AI$745,0))),""))</f>
        <v/>
      </c>
      <c r="J36" s="31">
        <f>IF(B36="","",IFERROR(IF(INDEX(Data!$P$2:$P$745,MATCH(22,Data!$AI$2:$AI$745,0))="","",INDEX(Data!$P$2:$P$745,MATCH(22,Data!$AI$2:$AI$745,0))),""))</f>
        <v/>
      </c>
      <c r="K36" s="32">
        <f>IF(B36="","",IFERROR(IF(INDEX(Data!$R$2:$R$745,MATCH(22,Data!$AI$2:$AI$745,0))="","",INDEX(Data!$R$2:$R$745,MATCH(22,Data!$AI$2:$AI$745,0))),""))</f>
        <v/>
      </c>
      <c r="L36" s="33">
        <f>IF(B36="","",IFERROR(IF(INDEX(Data!$S$2:$S$745,MATCH(22,Data!$AI$2:$AI$745,0))="","",INDEX(Data!$S$2:$S$745,MATCH(22,Data!$AI$2:$AI$745,0))),""))</f>
        <v/>
      </c>
      <c r="M36" s="33">
        <f>IF(B36="","",IFERROR(IF(INDEX(Data!$T$2:$T$745,MATCH(22,Data!$AI$2:$AI$745,0))="","",INDEX(Data!$T$2:$T$745,MATCH(22,Data!$AI$2:$AI$745,0))),""))</f>
        <v/>
      </c>
      <c r="N36" s="34">
        <f>IF(B36="","",IFERROR(IF(INDEX(Data!$U$2:$U$745,MATCH(22,Data!$AI$2:$AI$745,0))="","",INDEX(Data!$U$2:$U$745,MATCH(22,Data!$AI$2:$AI$745,0))),""))</f>
        <v/>
      </c>
      <c r="O36" s="33">
        <f>IF(B36="","",IFERROR(IF(INDEX(Data!$V$2:$V$745,MATCH(22,Data!$AI$2:$AI$745,0))="","",INDEX(Data!$V$2:$V$745,MATCH(22,Data!$AI$2:$AI$745,0))),""))</f>
        <v/>
      </c>
      <c r="P36" s="33">
        <f>IF(B36="","",IFERROR(IF(INDEX(Data!$M$2:$M$745,MATCH(22,Data!$AI$2:$AI$745,0))="","",INDEX(Data!$M$2:$M$745,MATCH(22,Data!$AI$2:$AI$745,0))),""))</f>
        <v/>
      </c>
      <c r="Q36" s="31">
        <f>IF(B36="","",IFERROR(IF(INDEX(Data!$AD$2:$AD$745,MATCH(22,Data!$AI$2:$AI$745,0))="","",INDEX(Data!$AD$2:$AD$745,MATCH(22,Data!$AI$2:$AI$745,0))),""))</f>
        <v/>
      </c>
      <c r="R36" s="27">
        <f>IF(B36="","",IFERROR(IF(INDEX(Data!$L$2:$L$745,MATCH(22,Data!$AI$2:$AI$745,0))="","",INDEX(Data!$L$2:$L$745,MATCH(22,Data!$AI$2:$AI$745,0))),""))</f>
        <v/>
      </c>
      <c r="AB36" t="inlineStr">
        <is>
          <t>California Design Den</t>
        </is>
      </c>
    </row>
    <row r="37" ht="62" customHeight="1">
      <c r="B37" s="27">
        <f>IF(23&lt;=COUNTIF(Data!$AH$2:$AH$745,TRUE),23,"")</f>
        <v/>
      </c>
      <c r="C37" s="28">
        <f>IF(B37="","",IFERROR(_xlfn.IMAGE(IFERROR(IF(INDEX(Data!$J$2:$J$745,MATCH(23,Data!$AI$2:$AI$745,0))="","",INDEX(Data!$J$2:$J$745,MATCH(23,Data!$AI$2:$AI$745,0))),"")),"IMAGE COMING SOON"))</f>
        <v/>
      </c>
      <c r="D37" s="29">
        <f>IF(B37="","",IFERROR(IF(INDEX(Data!$G$2:$G$745,MATCH(23,Data!$AI$2:$AI$745,0))="","",INDEX(Data!$G$2:$G$745,MATCH(23,Data!$AI$2:$AI$745,0))),"")&amp;CHAR(10)&amp;IFERROR(IF(INDEX(Data!$H$2:$H$745,MATCH(23,Data!$AI$2:$AI$745,0))="","",INDEX(Data!$H$2:$H$745,MATCH(23,Data!$AI$2:$AI$745,0))),""))</f>
        <v/>
      </c>
      <c r="E37" s="27">
        <f>IF(B37="","",IFERROR(IF(INDEX(Data!$I$2:$I$745,MATCH(23,Data!$AI$2:$AI$745,0))="","",INDEX(Data!$I$2:$I$745,MATCH(23,Data!$AI$2:$AI$745,0))),""))</f>
        <v/>
      </c>
      <c r="F37" s="27">
        <f>IF(B37="","",IFERROR(IF(INDEX(Data!$AJ$2:$AJ$745,MATCH(23,Data!$AI$2:$AI$745,0))="","",INDEX(Data!$AJ$2:$AJ$745,MATCH(23,Data!$AI$2:$AI$745,0))),""))</f>
        <v/>
      </c>
      <c r="G37" s="27">
        <f>IF(B37="","",TRIM(IFERROR(IF(INDEX(Data!$AF$2:$AF$745,MATCH(23,Data!$AI$2:$AI$745,0))="","",INDEX(Data!$AF$2:$AF$745,MATCH(23,Data!$AI$2:$AI$745,0))),"")&amp;" "&amp;IFERROR(IF(INDEX(Data!$AG$2:$AG$745,MATCH(23,Data!$AI$2:$AI$745,0))="","",INDEX(Data!$AG$2:$AG$745,MATCH(23,Data!$AI$2:$AI$745,0))),"")))</f>
        <v/>
      </c>
      <c r="H37" s="37">
        <f>IF(B37="","",IFERROR(IF(INDEX(Data!$N$2:$N$745,MATCH(23,Data!$AI$2:$AI$745,0))="","",INDEX(Data!$N$2:$N$745,MATCH(23,Data!$AI$2:$AI$745,0))),""))</f>
        <v/>
      </c>
      <c r="I37" s="37">
        <f>IF(B37="","",IFERROR(IF(INDEX(Data!$O$2:$O$745,MATCH(23,Data!$AI$2:$AI$745,0))="","",INDEX(Data!$O$2:$O$745,MATCH(23,Data!$AI$2:$AI$745,0))),""))</f>
        <v/>
      </c>
      <c r="J37" s="31">
        <f>IF(B37="","",IFERROR(IF(INDEX(Data!$P$2:$P$745,MATCH(23,Data!$AI$2:$AI$745,0))="","",INDEX(Data!$P$2:$P$745,MATCH(23,Data!$AI$2:$AI$745,0))),""))</f>
        <v/>
      </c>
      <c r="K37" s="32">
        <f>IF(B37="","",IFERROR(IF(INDEX(Data!$R$2:$R$745,MATCH(23,Data!$AI$2:$AI$745,0))="","",INDEX(Data!$R$2:$R$745,MATCH(23,Data!$AI$2:$AI$745,0))),""))</f>
        <v/>
      </c>
      <c r="L37" s="33">
        <f>IF(B37="","",IFERROR(IF(INDEX(Data!$S$2:$S$745,MATCH(23,Data!$AI$2:$AI$745,0))="","",INDEX(Data!$S$2:$S$745,MATCH(23,Data!$AI$2:$AI$745,0))),""))</f>
        <v/>
      </c>
      <c r="M37" s="33">
        <f>IF(B37="","",IFERROR(IF(INDEX(Data!$T$2:$T$745,MATCH(23,Data!$AI$2:$AI$745,0))="","",INDEX(Data!$T$2:$T$745,MATCH(23,Data!$AI$2:$AI$745,0))),""))</f>
        <v/>
      </c>
      <c r="N37" s="34">
        <f>IF(B37="","",IFERROR(IF(INDEX(Data!$U$2:$U$745,MATCH(23,Data!$AI$2:$AI$745,0))="","",INDEX(Data!$U$2:$U$745,MATCH(23,Data!$AI$2:$AI$745,0))),""))</f>
        <v/>
      </c>
      <c r="O37" s="33">
        <f>IF(B37="","",IFERROR(IF(INDEX(Data!$V$2:$V$745,MATCH(23,Data!$AI$2:$AI$745,0))="","",INDEX(Data!$V$2:$V$745,MATCH(23,Data!$AI$2:$AI$745,0))),""))</f>
        <v/>
      </c>
      <c r="P37" s="33">
        <f>IF(B37="","",IFERROR(IF(INDEX(Data!$M$2:$M$745,MATCH(23,Data!$AI$2:$AI$745,0))="","",INDEX(Data!$M$2:$M$745,MATCH(23,Data!$AI$2:$AI$745,0))),""))</f>
        <v/>
      </c>
      <c r="Q37" s="31">
        <f>IF(B37="","",IFERROR(IF(INDEX(Data!$AD$2:$AD$745,MATCH(23,Data!$AI$2:$AI$745,0))="","",INDEX(Data!$AD$2:$AD$745,MATCH(23,Data!$AI$2:$AI$745,0))),""))</f>
        <v/>
      </c>
      <c r="R37" s="27">
        <f>IF(B37="","",IFERROR(IF(INDEX(Data!$L$2:$L$745,MATCH(23,Data!$AI$2:$AI$745,0))="","",INDEX(Data!$L$2:$L$745,MATCH(23,Data!$AI$2:$AI$745,0))),""))</f>
        <v/>
      </c>
      <c r="AB37" t="inlineStr">
        <is>
          <t>Candoury</t>
        </is>
      </c>
    </row>
    <row r="38" ht="62" customHeight="1">
      <c r="B38" s="27">
        <f>IF(24&lt;=COUNTIF(Data!$AH$2:$AH$745,TRUE),24,"")</f>
        <v/>
      </c>
      <c r="C38" s="28">
        <f>IF(B38="","",IFERROR(_xlfn.IMAGE(IFERROR(IF(INDEX(Data!$J$2:$J$745,MATCH(24,Data!$AI$2:$AI$745,0))="","",INDEX(Data!$J$2:$J$745,MATCH(24,Data!$AI$2:$AI$745,0))),"")),"IMAGE COMING SOON"))</f>
        <v/>
      </c>
      <c r="D38" s="29">
        <f>IF(B38="","",IFERROR(IF(INDEX(Data!$G$2:$G$745,MATCH(24,Data!$AI$2:$AI$745,0))="","",INDEX(Data!$G$2:$G$745,MATCH(24,Data!$AI$2:$AI$745,0))),"")&amp;CHAR(10)&amp;IFERROR(IF(INDEX(Data!$H$2:$H$745,MATCH(24,Data!$AI$2:$AI$745,0))="","",INDEX(Data!$H$2:$H$745,MATCH(24,Data!$AI$2:$AI$745,0))),""))</f>
        <v/>
      </c>
      <c r="E38" s="27">
        <f>IF(B38="","",IFERROR(IF(INDEX(Data!$I$2:$I$745,MATCH(24,Data!$AI$2:$AI$745,0))="","",INDEX(Data!$I$2:$I$745,MATCH(24,Data!$AI$2:$AI$745,0))),""))</f>
        <v/>
      </c>
      <c r="F38" s="27">
        <f>IF(B38="","",IFERROR(IF(INDEX(Data!$AJ$2:$AJ$745,MATCH(24,Data!$AI$2:$AI$745,0))="","",INDEX(Data!$AJ$2:$AJ$745,MATCH(24,Data!$AI$2:$AI$745,0))),""))</f>
        <v/>
      </c>
      <c r="G38" s="27">
        <f>IF(B38="","",TRIM(IFERROR(IF(INDEX(Data!$AF$2:$AF$745,MATCH(24,Data!$AI$2:$AI$745,0))="","",INDEX(Data!$AF$2:$AF$745,MATCH(24,Data!$AI$2:$AI$745,0))),"")&amp;" "&amp;IFERROR(IF(INDEX(Data!$AG$2:$AG$745,MATCH(24,Data!$AI$2:$AI$745,0))="","",INDEX(Data!$AG$2:$AG$745,MATCH(24,Data!$AI$2:$AI$745,0))),"")))</f>
        <v/>
      </c>
      <c r="H38" s="37">
        <f>IF(B38="","",IFERROR(IF(INDEX(Data!$N$2:$N$745,MATCH(24,Data!$AI$2:$AI$745,0))="","",INDEX(Data!$N$2:$N$745,MATCH(24,Data!$AI$2:$AI$745,0))),""))</f>
        <v/>
      </c>
      <c r="I38" s="37">
        <f>IF(B38="","",IFERROR(IF(INDEX(Data!$O$2:$O$745,MATCH(24,Data!$AI$2:$AI$745,0))="","",INDEX(Data!$O$2:$O$745,MATCH(24,Data!$AI$2:$AI$745,0))),""))</f>
        <v/>
      </c>
      <c r="J38" s="31">
        <f>IF(B38="","",IFERROR(IF(INDEX(Data!$P$2:$P$745,MATCH(24,Data!$AI$2:$AI$745,0))="","",INDEX(Data!$P$2:$P$745,MATCH(24,Data!$AI$2:$AI$745,0))),""))</f>
        <v/>
      </c>
      <c r="K38" s="32">
        <f>IF(B38="","",IFERROR(IF(INDEX(Data!$R$2:$R$745,MATCH(24,Data!$AI$2:$AI$745,0))="","",INDEX(Data!$R$2:$R$745,MATCH(24,Data!$AI$2:$AI$745,0))),""))</f>
        <v/>
      </c>
      <c r="L38" s="33">
        <f>IF(B38="","",IFERROR(IF(INDEX(Data!$S$2:$S$745,MATCH(24,Data!$AI$2:$AI$745,0))="","",INDEX(Data!$S$2:$S$745,MATCH(24,Data!$AI$2:$AI$745,0))),""))</f>
        <v/>
      </c>
      <c r="M38" s="33">
        <f>IF(B38="","",IFERROR(IF(INDEX(Data!$T$2:$T$745,MATCH(24,Data!$AI$2:$AI$745,0))="","",INDEX(Data!$T$2:$T$745,MATCH(24,Data!$AI$2:$AI$745,0))),""))</f>
        <v/>
      </c>
      <c r="N38" s="34">
        <f>IF(B38="","",IFERROR(IF(INDEX(Data!$U$2:$U$745,MATCH(24,Data!$AI$2:$AI$745,0))="","",INDEX(Data!$U$2:$U$745,MATCH(24,Data!$AI$2:$AI$745,0))),""))</f>
        <v/>
      </c>
      <c r="O38" s="33">
        <f>IF(B38="","",IFERROR(IF(INDEX(Data!$V$2:$V$745,MATCH(24,Data!$AI$2:$AI$745,0))="","",INDEX(Data!$V$2:$V$745,MATCH(24,Data!$AI$2:$AI$745,0))),""))</f>
        <v/>
      </c>
      <c r="P38" s="33">
        <f>IF(B38="","",IFERROR(IF(INDEX(Data!$M$2:$M$745,MATCH(24,Data!$AI$2:$AI$745,0))="","",INDEX(Data!$M$2:$M$745,MATCH(24,Data!$AI$2:$AI$745,0))),""))</f>
        <v/>
      </c>
      <c r="Q38" s="31">
        <f>IF(B38="","",IFERROR(IF(INDEX(Data!$AD$2:$AD$745,MATCH(24,Data!$AI$2:$AI$745,0))="","",INDEX(Data!$AD$2:$AD$745,MATCH(24,Data!$AI$2:$AI$745,0))),""))</f>
        <v/>
      </c>
      <c r="R38" s="27">
        <f>IF(B38="","",IFERROR(IF(INDEX(Data!$L$2:$L$745,MATCH(24,Data!$AI$2:$AI$745,0))="","",INDEX(Data!$L$2:$L$745,MATCH(24,Data!$AI$2:$AI$745,0))),""))</f>
        <v/>
      </c>
      <c r="AB38" t="inlineStr">
        <is>
          <t>Cape Comforts</t>
        </is>
      </c>
    </row>
    <row r="39" ht="62" customHeight="1">
      <c r="B39" s="27">
        <f>IF(25&lt;=COUNTIF(Data!$AH$2:$AH$745,TRUE),25,"")</f>
        <v/>
      </c>
      <c r="C39" s="28">
        <f>IF(B39="","",IFERROR(_xlfn.IMAGE(IFERROR(IF(INDEX(Data!$J$2:$J$745,MATCH(25,Data!$AI$2:$AI$745,0))="","",INDEX(Data!$J$2:$J$745,MATCH(25,Data!$AI$2:$AI$745,0))),"")),"IMAGE COMING SOON"))</f>
        <v/>
      </c>
      <c r="D39" s="29">
        <f>IF(B39="","",IFERROR(IF(INDEX(Data!$G$2:$G$745,MATCH(25,Data!$AI$2:$AI$745,0))="","",INDEX(Data!$G$2:$G$745,MATCH(25,Data!$AI$2:$AI$745,0))),"")&amp;CHAR(10)&amp;IFERROR(IF(INDEX(Data!$H$2:$H$745,MATCH(25,Data!$AI$2:$AI$745,0))="","",INDEX(Data!$H$2:$H$745,MATCH(25,Data!$AI$2:$AI$745,0))),""))</f>
        <v/>
      </c>
      <c r="E39" s="27">
        <f>IF(B39="","",IFERROR(IF(INDEX(Data!$I$2:$I$745,MATCH(25,Data!$AI$2:$AI$745,0))="","",INDEX(Data!$I$2:$I$745,MATCH(25,Data!$AI$2:$AI$745,0))),""))</f>
        <v/>
      </c>
      <c r="F39" s="27">
        <f>IF(B39="","",IFERROR(IF(INDEX(Data!$AJ$2:$AJ$745,MATCH(25,Data!$AI$2:$AI$745,0))="","",INDEX(Data!$AJ$2:$AJ$745,MATCH(25,Data!$AI$2:$AI$745,0))),""))</f>
        <v/>
      </c>
      <c r="G39" s="27">
        <f>IF(B39="","",TRIM(IFERROR(IF(INDEX(Data!$AF$2:$AF$745,MATCH(25,Data!$AI$2:$AI$745,0))="","",INDEX(Data!$AF$2:$AF$745,MATCH(25,Data!$AI$2:$AI$745,0))),"")&amp;" "&amp;IFERROR(IF(INDEX(Data!$AG$2:$AG$745,MATCH(25,Data!$AI$2:$AI$745,0))="","",INDEX(Data!$AG$2:$AG$745,MATCH(25,Data!$AI$2:$AI$745,0))),"")))</f>
        <v/>
      </c>
      <c r="H39" s="37">
        <f>IF(B39="","",IFERROR(IF(INDEX(Data!$N$2:$N$745,MATCH(25,Data!$AI$2:$AI$745,0))="","",INDEX(Data!$N$2:$N$745,MATCH(25,Data!$AI$2:$AI$745,0))),""))</f>
        <v/>
      </c>
      <c r="I39" s="37">
        <f>IF(B39="","",IFERROR(IF(INDEX(Data!$O$2:$O$745,MATCH(25,Data!$AI$2:$AI$745,0))="","",INDEX(Data!$O$2:$O$745,MATCH(25,Data!$AI$2:$AI$745,0))),""))</f>
        <v/>
      </c>
      <c r="J39" s="31">
        <f>IF(B39="","",IFERROR(IF(INDEX(Data!$P$2:$P$745,MATCH(25,Data!$AI$2:$AI$745,0))="","",INDEX(Data!$P$2:$P$745,MATCH(25,Data!$AI$2:$AI$745,0))),""))</f>
        <v/>
      </c>
      <c r="K39" s="32">
        <f>IF(B39="","",IFERROR(IF(INDEX(Data!$R$2:$R$745,MATCH(25,Data!$AI$2:$AI$745,0))="","",INDEX(Data!$R$2:$R$745,MATCH(25,Data!$AI$2:$AI$745,0))),""))</f>
        <v/>
      </c>
      <c r="L39" s="33">
        <f>IF(B39="","",IFERROR(IF(INDEX(Data!$S$2:$S$745,MATCH(25,Data!$AI$2:$AI$745,0))="","",INDEX(Data!$S$2:$S$745,MATCH(25,Data!$AI$2:$AI$745,0))),""))</f>
        <v/>
      </c>
      <c r="M39" s="33">
        <f>IF(B39="","",IFERROR(IF(INDEX(Data!$T$2:$T$745,MATCH(25,Data!$AI$2:$AI$745,0))="","",INDEX(Data!$T$2:$T$745,MATCH(25,Data!$AI$2:$AI$745,0))),""))</f>
        <v/>
      </c>
      <c r="N39" s="34">
        <f>IF(B39="","",IFERROR(IF(INDEX(Data!$U$2:$U$745,MATCH(25,Data!$AI$2:$AI$745,0))="","",INDEX(Data!$U$2:$U$745,MATCH(25,Data!$AI$2:$AI$745,0))),""))</f>
        <v/>
      </c>
      <c r="O39" s="33">
        <f>IF(B39="","",IFERROR(IF(INDEX(Data!$V$2:$V$745,MATCH(25,Data!$AI$2:$AI$745,0))="","",INDEX(Data!$V$2:$V$745,MATCH(25,Data!$AI$2:$AI$745,0))),""))</f>
        <v/>
      </c>
      <c r="P39" s="33">
        <f>IF(B39="","",IFERROR(IF(INDEX(Data!$M$2:$M$745,MATCH(25,Data!$AI$2:$AI$745,0))="","",INDEX(Data!$M$2:$M$745,MATCH(25,Data!$AI$2:$AI$745,0))),""))</f>
        <v/>
      </c>
      <c r="Q39" s="31">
        <f>IF(B39="","",IFERROR(IF(INDEX(Data!$AD$2:$AD$745,MATCH(25,Data!$AI$2:$AI$745,0))="","",INDEX(Data!$AD$2:$AD$745,MATCH(25,Data!$AI$2:$AI$745,0))),""))</f>
        <v/>
      </c>
      <c r="R39" s="27">
        <f>IF(B39="","",IFERROR(IF(INDEX(Data!$L$2:$L$745,MATCH(25,Data!$AI$2:$AI$745,0))="","",INDEX(Data!$L$2:$L$745,MATCH(25,Data!$AI$2:$AI$745,0))),""))</f>
        <v/>
      </c>
      <c r="AB39" t="inlineStr">
        <is>
          <t>Cariloha</t>
        </is>
      </c>
    </row>
    <row r="40" ht="62" customHeight="1">
      <c r="B40" s="27">
        <f>IF(26&lt;=COUNTIF(Data!$AH$2:$AH$745,TRUE),26,"")</f>
        <v/>
      </c>
      <c r="C40" s="28">
        <f>IF(B40="","",IFERROR(_xlfn.IMAGE(IFERROR(IF(INDEX(Data!$J$2:$J$745,MATCH(26,Data!$AI$2:$AI$745,0))="","",INDEX(Data!$J$2:$J$745,MATCH(26,Data!$AI$2:$AI$745,0))),"")),"IMAGE COMING SOON"))</f>
        <v/>
      </c>
      <c r="D40" s="29">
        <f>IF(B40="","",IFERROR(IF(INDEX(Data!$G$2:$G$745,MATCH(26,Data!$AI$2:$AI$745,0))="","",INDEX(Data!$G$2:$G$745,MATCH(26,Data!$AI$2:$AI$745,0))),"")&amp;CHAR(10)&amp;IFERROR(IF(INDEX(Data!$H$2:$H$745,MATCH(26,Data!$AI$2:$AI$745,0))="","",INDEX(Data!$H$2:$H$745,MATCH(26,Data!$AI$2:$AI$745,0))),""))</f>
        <v/>
      </c>
      <c r="E40" s="27">
        <f>IF(B40="","",IFERROR(IF(INDEX(Data!$I$2:$I$745,MATCH(26,Data!$AI$2:$AI$745,0))="","",INDEX(Data!$I$2:$I$745,MATCH(26,Data!$AI$2:$AI$745,0))),""))</f>
        <v/>
      </c>
      <c r="F40" s="27">
        <f>IF(B40="","",IFERROR(IF(INDEX(Data!$AJ$2:$AJ$745,MATCH(26,Data!$AI$2:$AI$745,0))="","",INDEX(Data!$AJ$2:$AJ$745,MATCH(26,Data!$AI$2:$AI$745,0))),""))</f>
        <v/>
      </c>
      <c r="G40" s="27">
        <f>IF(B40="","",TRIM(IFERROR(IF(INDEX(Data!$AF$2:$AF$745,MATCH(26,Data!$AI$2:$AI$745,0))="","",INDEX(Data!$AF$2:$AF$745,MATCH(26,Data!$AI$2:$AI$745,0))),"")&amp;" "&amp;IFERROR(IF(INDEX(Data!$AG$2:$AG$745,MATCH(26,Data!$AI$2:$AI$745,0))="","",INDEX(Data!$AG$2:$AG$745,MATCH(26,Data!$AI$2:$AI$745,0))),"")))</f>
        <v/>
      </c>
      <c r="H40" s="37">
        <f>IF(B40="","",IFERROR(IF(INDEX(Data!$N$2:$N$745,MATCH(26,Data!$AI$2:$AI$745,0))="","",INDEX(Data!$N$2:$N$745,MATCH(26,Data!$AI$2:$AI$745,0))),""))</f>
        <v/>
      </c>
      <c r="I40" s="37">
        <f>IF(B40="","",IFERROR(IF(INDEX(Data!$O$2:$O$745,MATCH(26,Data!$AI$2:$AI$745,0))="","",INDEX(Data!$O$2:$O$745,MATCH(26,Data!$AI$2:$AI$745,0))),""))</f>
        <v/>
      </c>
      <c r="J40" s="31">
        <f>IF(B40="","",IFERROR(IF(INDEX(Data!$P$2:$P$745,MATCH(26,Data!$AI$2:$AI$745,0))="","",INDEX(Data!$P$2:$P$745,MATCH(26,Data!$AI$2:$AI$745,0))),""))</f>
        <v/>
      </c>
      <c r="K40" s="32">
        <f>IF(B40="","",IFERROR(IF(INDEX(Data!$R$2:$R$745,MATCH(26,Data!$AI$2:$AI$745,0))="","",INDEX(Data!$R$2:$R$745,MATCH(26,Data!$AI$2:$AI$745,0))),""))</f>
        <v/>
      </c>
      <c r="L40" s="33">
        <f>IF(B40="","",IFERROR(IF(INDEX(Data!$S$2:$S$745,MATCH(26,Data!$AI$2:$AI$745,0))="","",INDEX(Data!$S$2:$S$745,MATCH(26,Data!$AI$2:$AI$745,0))),""))</f>
        <v/>
      </c>
      <c r="M40" s="33">
        <f>IF(B40="","",IFERROR(IF(INDEX(Data!$T$2:$T$745,MATCH(26,Data!$AI$2:$AI$745,0))="","",INDEX(Data!$T$2:$T$745,MATCH(26,Data!$AI$2:$AI$745,0))),""))</f>
        <v/>
      </c>
      <c r="N40" s="34">
        <f>IF(B40="","",IFERROR(IF(INDEX(Data!$U$2:$U$745,MATCH(26,Data!$AI$2:$AI$745,0))="","",INDEX(Data!$U$2:$U$745,MATCH(26,Data!$AI$2:$AI$745,0))),""))</f>
        <v/>
      </c>
      <c r="O40" s="33">
        <f>IF(B40="","",IFERROR(IF(INDEX(Data!$V$2:$V$745,MATCH(26,Data!$AI$2:$AI$745,0))="","",INDEX(Data!$V$2:$V$745,MATCH(26,Data!$AI$2:$AI$745,0))),""))</f>
        <v/>
      </c>
      <c r="P40" s="33">
        <f>IF(B40="","",IFERROR(IF(INDEX(Data!$M$2:$M$745,MATCH(26,Data!$AI$2:$AI$745,0))="","",INDEX(Data!$M$2:$M$745,MATCH(26,Data!$AI$2:$AI$745,0))),""))</f>
        <v/>
      </c>
      <c r="Q40" s="31">
        <f>IF(B40="","",IFERROR(IF(INDEX(Data!$AD$2:$AD$745,MATCH(26,Data!$AI$2:$AI$745,0))="","",INDEX(Data!$AD$2:$AD$745,MATCH(26,Data!$AI$2:$AI$745,0))),""))</f>
        <v/>
      </c>
      <c r="R40" s="27">
        <f>IF(B40="","",IFERROR(IF(INDEX(Data!$L$2:$L$745,MATCH(26,Data!$AI$2:$AI$745,0))="","",INDEX(Data!$L$2:$L$745,MATCH(26,Data!$AI$2:$AI$745,0))),""))</f>
        <v/>
      </c>
      <c r="AB40" t="inlineStr">
        <is>
          <t>CAROMIO</t>
        </is>
      </c>
    </row>
    <row r="41" ht="62" customHeight="1">
      <c r="B41" s="27">
        <f>IF(27&lt;=COUNTIF(Data!$AH$2:$AH$745,TRUE),27,"")</f>
        <v/>
      </c>
      <c r="C41" s="28">
        <f>IF(B41="","",IFERROR(_xlfn.IMAGE(IFERROR(IF(INDEX(Data!$J$2:$J$745,MATCH(27,Data!$AI$2:$AI$745,0))="","",INDEX(Data!$J$2:$J$745,MATCH(27,Data!$AI$2:$AI$745,0))),"")),"IMAGE COMING SOON"))</f>
        <v/>
      </c>
      <c r="D41" s="29">
        <f>IF(B41="","",IFERROR(IF(INDEX(Data!$G$2:$G$745,MATCH(27,Data!$AI$2:$AI$745,0))="","",INDEX(Data!$G$2:$G$745,MATCH(27,Data!$AI$2:$AI$745,0))),"")&amp;CHAR(10)&amp;IFERROR(IF(INDEX(Data!$H$2:$H$745,MATCH(27,Data!$AI$2:$AI$745,0))="","",INDEX(Data!$H$2:$H$745,MATCH(27,Data!$AI$2:$AI$745,0))),""))</f>
        <v/>
      </c>
      <c r="E41" s="27">
        <f>IF(B41="","",IFERROR(IF(INDEX(Data!$I$2:$I$745,MATCH(27,Data!$AI$2:$AI$745,0))="","",INDEX(Data!$I$2:$I$745,MATCH(27,Data!$AI$2:$AI$745,0))),""))</f>
        <v/>
      </c>
      <c r="F41" s="27">
        <f>IF(B41="","",IFERROR(IF(INDEX(Data!$AJ$2:$AJ$745,MATCH(27,Data!$AI$2:$AI$745,0))="","",INDEX(Data!$AJ$2:$AJ$745,MATCH(27,Data!$AI$2:$AI$745,0))),""))</f>
        <v/>
      </c>
      <c r="G41" s="27">
        <f>IF(B41="","",TRIM(IFERROR(IF(INDEX(Data!$AF$2:$AF$745,MATCH(27,Data!$AI$2:$AI$745,0))="","",INDEX(Data!$AF$2:$AF$745,MATCH(27,Data!$AI$2:$AI$745,0))),"")&amp;" "&amp;IFERROR(IF(INDEX(Data!$AG$2:$AG$745,MATCH(27,Data!$AI$2:$AI$745,0))="","",INDEX(Data!$AG$2:$AG$745,MATCH(27,Data!$AI$2:$AI$745,0))),"")))</f>
        <v/>
      </c>
      <c r="H41" s="37">
        <f>IF(B41="","",IFERROR(IF(INDEX(Data!$N$2:$N$745,MATCH(27,Data!$AI$2:$AI$745,0))="","",INDEX(Data!$N$2:$N$745,MATCH(27,Data!$AI$2:$AI$745,0))),""))</f>
        <v/>
      </c>
      <c r="I41" s="37">
        <f>IF(B41="","",IFERROR(IF(INDEX(Data!$O$2:$O$745,MATCH(27,Data!$AI$2:$AI$745,0))="","",INDEX(Data!$O$2:$O$745,MATCH(27,Data!$AI$2:$AI$745,0))),""))</f>
        <v/>
      </c>
      <c r="J41" s="31">
        <f>IF(B41="","",IFERROR(IF(INDEX(Data!$P$2:$P$745,MATCH(27,Data!$AI$2:$AI$745,0))="","",INDEX(Data!$P$2:$P$745,MATCH(27,Data!$AI$2:$AI$745,0))),""))</f>
        <v/>
      </c>
      <c r="K41" s="32">
        <f>IF(B41="","",IFERROR(IF(INDEX(Data!$R$2:$R$745,MATCH(27,Data!$AI$2:$AI$745,0))="","",INDEX(Data!$R$2:$R$745,MATCH(27,Data!$AI$2:$AI$745,0))),""))</f>
        <v/>
      </c>
      <c r="L41" s="33">
        <f>IF(B41="","",IFERROR(IF(INDEX(Data!$S$2:$S$745,MATCH(27,Data!$AI$2:$AI$745,0))="","",INDEX(Data!$S$2:$S$745,MATCH(27,Data!$AI$2:$AI$745,0))),""))</f>
        <v/>
      </c>
      <c r="M41" s="33">
        <f>IF(B41="","",IFERROR(IF(INDEX(Data!$T$2:$T$745,MATCH(27,Data!$AI$2:$AI$745,0))="","",INDEX(Data!$T$2:$T$745,MATCH(27,Data!$AI$2:$AI$745,0))),""))</f>
        <v/>
      </c>
      <c r="N41" s="34">
        <f>IF(B41="","",IFERROR(IF(INDEX(Data!$U$2:$U$745,MATCH(27,Data!$AI$2:$AI$745,0))="","",INDEX(Data!$U$2:$U$745,MATCH(27,Data!$AI$2:$AI$745,0))),""))</f>
        <v/>
      </c>
      <c r="O41" s="33">
        <f>IF(B41="","",IFERROR(IF(INDEX(Data!$V$2:$V$745,MATCH(27,Data!$AI$2:$AI$745,0))="","",INDEX(Data!$V$2:$V$745,MATCH(27,Data!$AI$2:$AI$745,0))),""))</f>
        <v/>
      </c>
      <c r="P41" s="33">
        <f>IF(B41="","",IFERROR(IF(INDEX(Data!$M$2:$M$745,MATCH(27,Data!$AI$2:$AI$745,0))="","",INDEX(Data!$M$2:$M$745,MATCH(27,Data!$AI$2:$AI$745,0))),""))</f>
        <v/>
      </c>
      <c r="Q41" s="31">
        <f>IF(B41="","",IFERROR(IF(INDEX(Data!$AD$2:$AD$745,MATCH(27,Data!$AI$2:$AI$745,0))="","",INDEX(Data!$AD$2:$AD$745,MATCH(27,Data!$AI$2:$AI$745,0))),""))</f>
        <v/>
      </c>
      <c r="R41" s="27">
        <f>IF(B41="","",IFERROR(IF(INDEX(Data!$L$2:$L$745,MATCH(27,Data!$AI$2:$AI$745,0))="","",INDEX(Data!$L$2:$L$745,MATCH(27,Data!$AI$2:$AI$745,0))),""))</f>
        <v/>
      </c>
      <c r="AB41" t="inlineStr">
        <is>
          <t>Casamollis</t>
        </is>
      </c>
    </row>
    <row r="42" ht="62" customHeight="1">
      <c r="B42" s="27">
        <f>IF(28&lt;=COUNTIF(Data!$AH$2:$AH$745,TRUE),28,"")</f>
        <v/>
      </c>
      <c r="C42" s="28">
        <f>IF(B42="","",IFERROR(_xlfn.IMAGE(IFERROR(IF(INDEX(Data!$J$2:$J$745,MATCH(28,Data!$AI$2:$AI$745,0))="","",INDEX(Data!$J$2:$J$745,MATCH(28,Data!$AI$2:$AI$745,0))),"")),"IMAGE COMING SOON"))</f>
        <v/>
      </c>
      <c r="D42" s="29">
        <f>IF(B42="","",IFERROR(IF(INDEX(Data!$G$2:$G$745,MATCH(28,Data!$AI$2:$AI$745,0))="","",INDEX(Data!$G$2:$G$745,MATCH(28,Data!$AI$2:$AI$745,0))),"")&amp;CHAR(10)&amp;IFERROR(IF(INDEX(Data!$H$2:$H$745,MATCH(28,Data!$AI$2:$AI$745,0))="","",INDEX(Data!$H$2:$H$745,MATCH(28,Data!$AI$2:$AI$745,0))),""))</f>
        <v/>
      </c>
      <c r="E42" s="27">
        <f>IF(B42="","",IFERROR(IF(INDEX(Data!$I$2:$I$745,MATCH(28,Data!$AI$2:$AI$745,0))="","",INDEX(Data!$I$2:$I$745,MATCH(28,Data!$AI$2:$AI$745,0))),""))</f>
        <v/>
      </c>
      <c r="F42" s="27">
        <f>IF(B42="","",IFERROR(IF(INDEX(Data!$AJ$2:$AJ$745,MATCH(28,Data!$AI$2:$AI$745,0))="","",INDEX(Data!$AJ$2:$AJ$745,MATCH(28,Data!$AI$2:$AI$745,0))),""))</f>
        <v/>
      </c>
      <c r="G42" s="27">
        <f>IF(B42="","",TRIM(IFERROR(IF(INDEX(Data!$AF$2:$AF$745,MATCH(28,Data!$AI$2:$AI$745,0))="","",INDEX(Data!$AF$2:$AF$745,MATCH(28,Data!$AI$2:$AI$745,0))),"")&amp;" "&amp;IFERROR(IF(INDEX(Data!$AG$2:$AG$745,MATCH(28,Data!$AI$2:$AI$745,0))="","",INDEX(Data!$AG$2:$AG$745,MATCH(28,Data!$AI$2:$AI$745,0))),"")))</f>
        <v/>
      </c>
      <c r="H42" s="37">
        <f>IF(B42="","",IFERROR(IF(INDEX(Data!$N$2:$N$745,MATCH(28,Data!$AI$2:$AI$745,0))="","",INDEX(Data!$N$2:$N$745,MATCH(28,Data!$AI$2:$AI$745,0))),""))</f>
        <v/>
      </c>
      <c r="I42" s="37">
        <f>IF(B42="","",IFERROR(IF(INDEX(Data!$O$2:$O$745,MATCH(28,Data!$AI$2:$AI$745,0))="","",INDEX(Data!$O$2:$O$745,MATCH(28,Data!$AI$2:$AI$745,0))),""))</f>
        <v/>
      </c>
      <c r="J42" s="31">
        <f>IF(B42="","",IFERROR(IF(INDEX(Data!$P$2:$P$745,MATCH(28,Data!$AI$2:$AI$745,0))="","",INDEX(Data!$P$2:$P$745,MATCH(28,Data!$AI$2:$AI$745,0))),""))</f>
        <v/>
      </c>
      <c r="K42" s="32">
        <f>IF(B42="","",IFERROR(IF(INDEX(Data!$R$2:$R$745,MATCH(28,Data!$AI$2:$AI$745,0))="","",INDEX(Data!$R$2:$R$745,MATCH(28,Data!$AI$2:$AI$745,0))),""))</f>
        <v/>
      </c>
      <c r="L42" s="33">
        <f>IF(B42="","",IFERROR(IF(INDEX(Data!$S$2:$S$745,MATCH(28,Data!$AI$2:$AI$745,0))="","",INDEX(Data!$S$2:$S$745,MATCH(28,Data!$AI$2:$AI$745,0))),""))</f>
        <v/>
      </c>
      <c r="M42" s="33">
        <f>IF(B42="","",IFERROR(IF(INDEX(Data!$T$2:$T$745,MATCH(28,Data!$AI$2:$AI$745,0))="","",INDEX(Data!$T$2:$T$745,MATCH(28,Data!$AI$2:$AI$745,0))),""))</f>
        <v/>
      </c>
      <c r="N42" s="34">
        <f>IF(B42="","",IFERROR(IF(INDEX(Data!$U$2:$U$745,MATCH(28,Data!$AI$2:$AI$745,0))="","",INDEX(Data!$U$2:$U$745,MATCH(28,Data!$AI$2:$AI$745,0))),""))</f>
        <v/>
      </c>
      <c r="O42" s="33">
        <f>IF(B42="","",IFERROR(IF(INDEX(Data!$V$2:$V$745,MATCH(28,Data!$AI$2:$AI$745,0))="","",INDEX(Data!$V$2:$V$745,MATCH(28,Data!$AI$2:$AI$745,0))),""))</f>
        <v/>
      </c>
      <c r="P42" s="33">
        <f>IF(B42="","",IFERROR(IF(INDEX(Data!$M$2:$M$745,MATCH(28,Data!$AI$2:$AI$745,0))="","",INDEX(Data!$M$2:$M$745,MATCH(28,Data!$AI$2:$AI$745,0))),""))</f>
        <v/>
      </c>
      <c r="Q42" s="31">
        <f>IF(B42="","",IFERROR(IF(INDEX(Data!$AD$2:$AD$745,MATCH(28,Data!$AI$2:$AI$745,0))="","",INDEX(Data!$AD$2:$AD$745,MATCH(28,Data!$AI$2:$AI$745,0))),""))</f>
        <v/>
      </c>
      <c r="R42" s="27">
        <f>IF(B42="","",IFERROR(IF(INDEX(Data!$L$2:$L$745,MATCH(28,Data!$AI$2:$AI$745,0))="","",INDEX(Data!$L$2:$L$745,MATCH(28,Data!$AI$2:$AI$745,0))),""))</f>
        <v/>
      </c>
      <c r="AB42" t="inlineStr">
        <is>
          <t>Casbrove</t>
        </is>
      </c>
    </row>
    <row r="43" ht="62" customHeight="1">
      <c r="B43" s="27">
        <f>IF(29&lt;=COUNTIF(Data!$AH$2:$AH$745,TRUE),29,"")</f>
        <v/>
      </c>
      <c r="C43" s="28">
        <f>IF(B43="","",IFERROR(_xlfn.IMAGE(IFERROR(IF(INDEX(Data!$J$2:$J$745,MATCH(29,Data!$AI$2:$AI$745,0))="","",INDEX(Data!$J$2:$J$745,MATCH(29,Data!$AI$2:$AI$745,0))),"")),"IMAGE COMING SOON"))</f>
        <v/>
      </c>
      <c r="D43" s="29">
        <f>IF(B43="","",IFERROR(IF(INDEX(Data!$G$2:$G$745,MATCH(29,Data!$AI$2:$AI$745,0))="","",INDEX(Data!$G$2:$G$745,MATCH(29,Data!$AI$2:$AI$745,0))),"")&amp;CHAR(10)&amp;IFERROR(IF(INDEX(Data!$H$2:$H$745,MATCH(29,Data!$AI$2:$AI$745,0))="","",INDEX(Data!$H$2:$H$745,MATCH(29,Data!$AI$2:$AI$745,0))),""))</f>
        <v/>
      </c>
      <c r="E43" s="27">
        <f>IF(B43="","",IFERROR(IF(INDEX(Data!$I$2:$I$745,MATCH(29,Data!$AI$2:$AI$745,0))="","",INDEX(Data!$I$2:$I$745,MATCH(29,Data!$AI$2:$AI$745,0))),""))</f>
        <v/>
      </c>
      <c r="F43" s="27">
        <f>IF(B43="","",IFERROR(IF(INDEX(Data!$AJ$2:$AJ$745,MATCH(29,Data!$AI$2:$AI$745,0))="","",INDEX(Data!$AJ$2:$AJ$745,MATCH(29,Data!$AI$2:$AI$745,0))),""))</f>
        <v/>
      </c>
      <c r="G43" s="27">
        <f>IF(B43="","",TRIM(IFERROR(IF(INDEX(Data!$AF$2:$AF$745,MATCH(29,Data!$AI$2:$AI$745,0))="","",INDEX(Data!$AF$2:$AF$745,MATCH(29,Data!$AI$2:$AI$745,0))),"")&amp;" "&amp;IFERROR(IF(INDEX(Data!$AG$2:$AG$745,MATCH(29,Data!$AI$2:$AI$745,0))="","",INDEX(Data!$AG$2:$AG$745,MATCH(29,Data!$AI$2:$AI$745,0))),"")))</f>
        <v/>
      </c>
      <c r="H43" s="37">
        <f>IF(B43="","",IFERROR(IF(INDEX(Data!$N$2:$N$745,MATCH(29,Data!$AI$2:$AI$745,0))="","",INDEX(Data!$N$2:$N$745,MATCH(29,Data!$AI$2:$AI$745,0))),""))</f>
        <v/>
      </c>
      <c r="I43" s="37">
        <f>IF(B43="","",IFERROR(IF(INDEX(Data!$O$2:$O$745,MATCH(29,Data!$AI$2:$AI$745,0))="","",INDEX(Data!$O$2:$O$745,MATCH(29,Data!$AI$2:$AI$745,0))),""))</f>
        <v/>
      </c>
      <c r="J43" s="31">
        <f>IF(B43="","",IFERROR(IF(INDEX(Data!$P$2:$P$745,MATCH(29,Data!$AI$2:$AI$745,0))="","",INDEX(Data!$P$2:$P$745,MATCH(29,Data!$AI$2:$AI$745,0))),""))</f>
        <v/>
      </c>
      <c r="K43" s="32">
        <f>IF(B43="","",IFERROR(IF(INDEX(Data!$R$2:$R$745,MATCH(29,Data!$AI$2:$AI$745,0))="","",INDEX(Data!$R$2:$R$745,MATCH(29,Data!$AI$2:$AI$745,0))),""))</f>
        <v/>
      </c>
      <c r="L43" s="33">
        <f>IF(B43="","",IFERROR(IF(INDEX(Data!$S$2:$S$745,MATCH(29,Data!$AI$2:$AI$745,0))="","",INDEX(Data!$S$2:$S$745,MATCH(29,Data!$AI$2:$AI$745,0))),""))</f>
        <v/>
      </c>
      <c r="M43" s="33">
        <f>IF(B43="","",IFERROR(IF(INDEX(Data!$T$2:$T$745,MATCH(29,Data!$AI$2:$AI$745,0))="","",INDEX(Data!$T$2:$T$745,MATCH(29,Data!$AI$2:$AI$745,0))),""))</f>
        <v/>
      </c>
      <c r="N43" s="34">
        <f>IF(B43="","",IFERROR(IF(INDEX(Data!$U$2:$U$745,MATCH(29,Data!$AI$2:$AI$745,0))="","",INDEX(Data!$U$2:$U$745,MATCH(29,Data!$AI$2:$AI$745,0))),""))</f>
        <v/>
      </c>
      <c r="O43" s="33">
        <f>IF(B43="","",IFERROR(IF(INDEX(Data!$V$2:$V$745,MATCH(29,Data!$AI$2:$AI$745,0))="","",INDEX(Data!$V$2:$V$745,MATCH(29,Data!$AI$2:$AI$745,0))),""))</f>
        <v/>
      </c>
      <c r="P43" s="33">
        <f>IF(B43="","",IFERROR(IF(INDEX(Data!$M$2:$M$745,MATCH(29,Data!$AI$2:$AI$745,0))="","",INDEX(Data!$M$2:$M$745,MATCH(29,Data!$AI$2:$AI$745,0))),""))</f>
        <v/>
      </c>
      <c r="Q43" s="31">
        <f>IF(B43="","",IFERROR(IF(INDEX(Data!$AD$2:$AD$745,MATCH(29,Data!$AI$2:$AI$745,0))="","",INDEX(Data!$AD$2:$AD$745,MATCH(29,Data!$AI$2:$AI$745,0))),""))</f>
        <v/>
      </c>
      <c r="R43" s="27">
        <f>IF(B43="","",IFERROR(IF(INDEX(Data!$L$2:$L$745,MATCH(29,Data!$AI$2:$AI$745,0))="","",INDEX(Data!$L$2:$L$745,MATCH(29,Data!$AI$2:$AI$745,0))),""))</f>
        <v/>
      </c>
      <c r="AB43" t="inlineStr">
        <is>
          <t>CGK Unlimited</t>
        </is>
      </c>
    </row>
    <row r="44" ht="62" customHeight="1">
      <c r="B44" s="27">
        <f>IF(30&lt;=COUNTIF(Data!$AH$2:$AH$745,TRUE),30,"")</f>
        <v/>
      </c>
      <c r="C44" s="28">
        <f>IF(B44="","",IFERROR(_xlfn.IMAGE(IFERROR(IF(INDEX(Data!$J$2:$J$745,MATCH(30,Data!$AI$2:$AI$745,0))="","",INDEX(Data!$J$2:$J$745,MATCH(30,Data!$AI$2:$AI$745,0))),"")),"IMAGE COMING SOON"))</f>
        <v/>
      </c>
      <c r="D44" s="29">
        <f>IF(B44="","",IFERROR(IF(INDEX(Data!$G$2:$G$745,MATCH(30,Data!$AI$2:$AI$745,0))="","",INDEX(Data!$G$2:$G$745,MATCH(30,Data!$AI$2:$AI$745,0))),"")&amp;CHAR(10)&amp;IFERROR(IF(INDEX(Data!$H$2:$H$745,MATCH(30,Data!$AI$2:$AI$745,0))="","",INDEX(Data!$H$2:$H$745,MATCH(30,Data!$AI$2:$AI$745,0))),""))</f>
        <v/>
      </c>
      <c r="E44" s="27">
        <f>IF(B44="","",IFERROR(IF(INDEX(Data!$I$2:$I$745,MATCH(30,Data!$AI$2:$AI$745,0))="","",INDEX(Data!$I$2:$I$745,MATCH(30,Data!$AI$2:$AI$745,0))),""))</f>
        <v/>
      </c>
      <c r="F44" s="27">
        <f>IF(B44="","",IFERROR(IF(INDEX(Data!$AJ$2:$AJ$745,MATCH(30,Data!$AI$2:$AI$745,0))="","",INDEX(Data!$AJ$2:$AJ$745,MATCH(30,Data!$AI$2:$AI$745,0))),""))</f>
        <v/>
      </c>
      <c r="G44" s="27">
        <f>IF(B44="","",TRIM(IFERROR(IF(INDEX(Data!$AF$2:$AF$745,MATCH(30,Data!$AI$2:$AI$745,0))="","",INDEX(Data!$AF$2:$AF$745,MATCH(30,Data!$AI$2:$AI$745,0))),"")&amp;" "&amp;IFERROR(IF(INDEX(Data!$AG$2:$AG$745,MATCH(30,Data!$AI$2:$AI$745,0))="","",INDEX(Data!$AG$2:$AG$745,MATCH(30,Data!$AI$2:$AI$745,0))),"")))</f>
        <v/>
      </c>
      <c r="H44" s="37">
        <f>IF(B44="","",IFERROR(IF(INDEX(Data!$N$2:$N$745,MATCH(30,Data!$AI$2:$AI$745,0))="","",INDEX(Data!$N$2:$N$745,MATCH(30,Data!$AI$2:$AI$745,0))),""))</f>
        <v/>
      </c>
      <c r="I44" s="37">
        <f>IF(B44="","",IFERROR(IF(INDEX(Data!$O$2:$O$745,MATCH(30,Data!$AI$2:$AI$745,0))="","",INDEX(Data!$O$2:$O$745,MATCH(30,Data!$AI$2:$AI$745,0))),""))</f>
        <v/>
      </c>
      <c r="J44" s="31">
        <f>IF(B44="","",IFERROR(IF(INDEX(Data!$P$2:$P$745,MATCH(30,Data!$AI$2:$AI$745,0))="","",INDEX(Data!$P$2:$P$745,MATCH(30,Data!$AI$2:$AI$745,0))),""))</f>
        <v/>
      </c>
      <c r="K44" s="32">
        <f>IF(B44="","",IFERROR(IF(INDEX(Data!$R$2:$R$745,MATCH(30,Data!$AI$2:$AI$745,0))="","",INDEX(Data!$R$2:$R$745,MATCH(30,Data!$AI$2:$AI$745,0))),""))</f>
        <v/>
      </c>
      <c r="L44" s="33">
        <f>IF(B44="","",IFERROR(IF(INDEX(Data!$S$2:$S$745,MATCH(30,Data!$AI$2:$AI$745,0))="","",INDEX(Data!$S$2:$S$745,MATCH(30,Data!$AI$2:$AI$745,0))),""))</f>
        <v/>
      </c>
      <c r="M44" s="33">
        <f>IF(B44="","",IFERROR(IF(INDEX(Data!$T$2:$T$745,MATCH(30,Data!$AI$2:$AI$745,0))="","",INDEX(Data!$T$2:$T$745,MATCH(30,Data!$AI$2:$AI$745,0))),""))</f>
        <v/>
      </c>
      <c r="N44" s="34">
        <f>IF(B44="","",IFERROR(IF(INDEX(Data!$U$2:$U$745,MATCH(30,Data!$AI$2:$AI$745,0))="","",INDEX(Data!$U$2:$U$745,MATCH(30,Data!$AI$2:$AI$745,0))),""))</f>
        <v/>
      </c>
      <c r="O44" s="33">
        <f>IF(B44="","",IFERROR(IF(INDEX(Data!$V$2:$V$745,MATCH(30,Data!$AI$2:$AI$745,0))="","",INDEX(Data!$V$2:$V$745,MATCH(30,Data!$AI$2:$AI$745,0))),""))</f>
        <v/>
      </c>
      <c r="P44" s="33">
        <f>IF(B44="","",IFERROR(IF(INDEX(Data!$M$2:$M$745,MATCH(30,Data!$AI$2:$AI$745,0))="","",INDEX(Data!$M$2:$M$745,MATCH(30,Data!$AI$2:$AI$745,0))),""))</f>
        <v/>
      </c>
      <c r="Q44" s="31">
        <f>IF(B44="","",IFERROR(IF(INDEX(Data!$AD$2:$AD$745,MATCH(30,Data!$AI$2:$AI$745,0))="","",INDEX(Data!$AD$2:$AD$745,MATCH(30,Data!$AI$2:$AI$745,0))),""))</f>
        <v/>
      </c>
      <c r="R44" s="27">
        <f>IF(B44="","",IFERROR(IF(INDEX(Data!$L$2:$L$745,MATCH(30,Data!$AI$2:$AI$745,0))="","",INDEX(Data!$L$2:$L$745,MATCH(30,Data!$AI$2:$AI$745,0))),""))</f>
        <v/>
      </c>
      <c r="AB44" t="inlineStr">
        <is>
          <t>CHOSHOME</t>
        </is>
      </c>
    </row>
    <row r="45" ht="62" customHeight="1">
      <c r="B45" s="27">
        <f>IF(31&lt;=COUNTIF(Data!$AH$2:$AH$745,TRUE),31,"")</f>
        <v/>
      </c>
      <c r="C45" s="28">
        <f>IF(B45="","",IFERROR(_xlfn.IMAGE(IFERROR(IF(INDEX(Data!$J$2:$J$745,MATCH(31,Data!$AI$2:$AI$745,0))="","",INDEX(Data!$J$2:$J$745,MATCH(31,Data!$AI$2:$AI$745,0))),"")),"IMAGE COMING SOON"))</f>
        <v/>
      </c>
      <c r="D45" s="29">
        <f>IF(B45="","",IFERROR(IF(INDEX(Data!$G$2:$G$745,MATCH(31,Data!$AI$2:$AI$745,0))="","",INDEX(Data!$G$2:$G$745,MATCH(31,Data!$AI$2:$AI$745,0))),"")&amp;CHAR(10)&amp;IFERROR(IF(INDEX(Data!$H$2:$H$745,MATCH(31,Data!$AI$2:$AI$745,0))="","",INDEX(Data!$H$2:$H$745,MATCH(31,Data!$AI$2:$AI$745,0))),""))</f>
        <v/>
      </c>
      <c r="E45" s="27">
        <f>IF(B45="","",IFERROR(IF(INDEX(Data!$I$2:$I$745,MATCH(31,Data!$AI$2:$AI$745,0))="","",INDEX(Data!$I$2:$I$745,MATCH(31,Data!$AI$2:$AI$745,0))),""))</f>
        <v/>
      </c>
      <c r="F45" s="27">
        <f>IF(B45="","",IFERROR(IF(INDEX(Data!$AJ$2:$AJ$745,MATCH(31,Data!$AI$2:$AI$745,0))="","",INDEX(Data!$AJ$2:$AJ$745,MATCH(31,Data!$AI$2:$AI$745,0))),""))</f>
        <v/>
      </c>
      <c r="G45" s="27">
        <f>IF(B45="","",TRIM(IFERROR(IF(INDEX(Data!$AF$2:$AF$745,MATCH(31,Data!$AI$2:$AI$745,0))="","",INDEX(Data!$AF$2:$AF$745,MATCH(31,Data!$AI$2:$AI$745,0))),"")&amp;" "&amp;IFERROR(IF(INDEX(Data!$AG$2:$AG$745,MATCH(31,Data!$AI$2:$AI$745,0))="","",INDEX(Data!$AG$2:$AG$745,MATCH(31,Data!$AI$2:$AI$745,0))),"")))</f>
        <v/>
      </c>
      <c r="H45" s="37">
        <f>IF(B45="","",IFERROR(IF(INDEX(Data!$N$2:$N$745,MATCH(31,Data!$AI$2:$AI$745,0))="","",INDEX(Data!$N$2:$N$745,MATCH(31,Data!$AI$2:$AI$745,0))),""))</f>
        <v/>
      </c>
      <c r="I45" s="37">
        <f>IF(B45="","",IFERROR(IF(INDEX(Data!$O$2:$O$745,MATCH(31,Data!$AI$2:$AI$745,0))="","",INDEX(Data!$O$2:$O$745,MATCH(31,Data!$AI$2:$AI$745,0))),""))</f>
        <v/>
      </c>
      <c r="J45" s="31">
        <f>IF(B45="","",IFERROR(IF(INDEX(Data!$P$2:$P$745,MATCH(31,Data!$AI$2:$AI$745,0))="","",INDEX(Data!$P$2:$P$745,MATCH(31,Data!$AI$2:$AI$745,0))),""))</f>
        <v/>
      </c>
      <c r="K45" s="32">
        <f>IF(B45="","",IFERROR(IF(INDEX(Data!$R$2:$R$745,MATCH(31,Data!$AI$2:$AI$745,0))="","",INDEX(Data!$R$2:$R$745,MATCH(31,Data!$AI$2:$AI$745,0))),""))</f>
        <v/>
      </c>
      <c r="L45" s="33">
        <f>IF(B45="","",IFERROR(IF(INDEX(Data!$S$2:$S$745,MATCH(31,Data!$AI$2:$AI$745,0))="","",INDEX(Data!$S$2:$S$745,MATCH(31,Data!$AI$2:$AI$745,0))),""))</f>
        <v/>
      </c>
      <c r="M45" s="33">
        <f>IF(B45="","",IFERROR(IF(INDEX(Data!$T$2:$T$745,MATCH(31,Data!$AI$2:$AI$745,0))="","",INDEX(Data!$T$2:$T$745,MATCH(31,Data!$AI$2:$AI$745,0))),""))</f>
        <v/>
      </c>
      <c r="N45" s="34">
        <f>IF(B45="","",IFERROR(IF(INDEX(Data!$U$2:$U$745,MATCH(31,Data!$AI$2:$AI$745,0))="","",INDEX(Data!$U$2:$U$745,MATCH(31,Data!$AI$2:$AI$745,0))),""))</f>
        <v/>
      </c>
      <c r="O45" s="33">
        <f>IF(B45="","",IFERROR(IF(INDEX(Data!$V$2:$V$745,MATCH(31,Data!$AI$2:$AI$745,0))="","",INDEX(Data!$V$2:$V$745,MATCH(31,Data!$AI$2:$AI$745,0))),""))</f>
        <v/>
      </c>
      <c r="P45" s="33">
        <f>IF(B45="","",IFERROR(IF(INDEX(Data!$M$2:$M$745,MATCH(31,Data!$AI$2:$AI$745,0))="","",INDEX(Data!$M$2:$M$745,MATCH(31,Data!$AI$2:$AI$745,0))),""))</f>
        <v/>
      </c>
      <c r="Q45" s="31">
        <f>IF(B45="","",IFERROR(IF(INDEX(Data!$AD$2:$AD$745,MATCH(31,Data!$AI$2:$AI$745,0))="","",INDEX(Data!$AD$2:$AD$745,MATCH(31,Data!$AI$2:$AI$745,0))),""))</f>
        <v/>
      </c>
      <c r="R45" s="27">
        <f>IF(B45="","",IFERROR(IF(INDEX(Data!$L$2:$L$745,MATCH(31,Data!$AI$2:$AI$745,0))="","",INDEX(Data!$L$2:$L$745,MATCH(31,Data!$AI$2:$AI$745,0))),""))</f>
        <v/>
      </c>
      <c r="AB45" t="inlineStr">
        <is>
          <t>Cobedzy</t>
        </is>
      </c>
    </row>
    <row r="46" ht="62" customHeight="1">
      <c r="B46" s="27">
        <f>IF(32&lt;=COUNTIF(Data!$AH$2:$AH$745,TRUE),32,"")</f>
        <v/>
      </c>
      <c r="C46" s="28">
        <f>IF(B46="","",IFERROR(_xlfn.IMAGE(IFERROR(IF(INDEX(Data!$J$2:$J$745,MATCH(32,Data!$AI$2:$AI$745,0))="","",INDEX(Data!$J$2:$J$745,MATCH(32,Data!$AI$2:$AI$745,0))),"")),"IMAGE COMING SOON"))</f>
        <v/>
      </c>
      <c r="D46" s="29">
        <f>IF(B46="","",IFERROR(IF(INDEX(Data!$G$2:$G$745,MATCH(32,Data!$AI$2:$AI$745,0))="","",INDEX(Data!$G$2:$G$745,MATCH(32,Data!$AI$2:$AI$745,0))),"")&amp;CHAR(10)&amp;IFERROR(IF(INDEX(Data!$H$2:$H$745,MATCH(32,Data!$AI$2:$AI$745,0))="","",INDEX(Data!$H$2:$H$745,MATCH(32,Data!$AI$2:$AI$745,0))),""))</f>
        <v/>
      </c>
      <c r="E46" s="27">
        <f>IF(B46="","",IFERROR(IF(INDEX(Data!$I$2:$I$745,MATCH(32,Data!$AI$2:$AI$745,0))="","",INDEX(Data!$I$2:$I$745,MATCH(32,Data!$AI$2:$AI$745,0))),""))</f>
        <v/>
      </c>
      <c r="F46" s="27">
        <f>IF(B46="","",IFERROR(IF(INDEX(Data!$AJ$2:$AJ$745,MATCH(32,Data!$AI$2:$AI$745,0))="","",INDEX(Data!$AJ$2:$AJ$745,MATCH(32,Data!$AI$2:$AI$745,0))),""))</f>
        <v/>
      </c>
      <c r="G46" s="27">
        <f>IF(B46="","",TRIM(IFERROR(IF(INDEX(Data!$AF$2:$AF$745,MATCH(32,Data!$AI$2:$AI$745,0))="","",INDEX(Data!$AF$2:$AF$745,MATCH(32,Data!$AI$2:$AI$745,0))),"")&amp;" "&amp;IFERROR(IF(INDEX(Data!$AG$2:$AG$745,MATCH(32,Data!$AI$2:$AI$745,0))="","",INDEX(Data!$AG$2:$AG$745,MATCH(32,Data!$AI$2:$AI$745,0))),"")))</f>
        <v/>
      </c>
      <c r="H46" s="37">
        <f>IF(B46="","",IFERROR(IF(INDEX(Data!$N$2:$N$745,MATCH(32,Data!$AI$2:$AI$745,0))="","",INDEX(Data!$N$2:$N$745,MATCH(32,Data!$AI$2:$AI$745,0))),""))</f>
        <v/>
      </c>
      <c r="I46" s="37">
        <f>IF(B46="","",IFERROR(IF(INDEX(Data!$O$2:$O$745,MATCH(32,Data!$AI$2:$AI$745,0))="","",INDEX(Data!$O$2:$O$745,MATCH(32,Data!$AI$2:$AI$745,0))),""))</f>
        <v/>
      </c>
      <c r="J46" s="31">
        <f>IF(B46="","",IFERROR(IF(INDEX(Data!$P$2:$P$745,MATCH(32,Data!$AI$2:$AI$745,0))="","",INDEX(Data!$P$2:$P$745,MATCH(32,Data!$AI$2:$AI$745,0))),""))</f>
        <v/>
      </c>
      <c r="K46" s="32">
        <f>IF(B46="","",IFERROR(IF(INDEX(Data!$R$2:$R$745,MATCH(32,Data!$AI$2:$AI$745,0))="","",INDEX(Data!$R$2:$R$745,MATCH(32,Data!$AI$2:$AI$745,0))),""))</f>
        <v/>
      </c>
      <c r="L46" s="33">
        <f>IF(B46="","",IFERROR(IF(INDEX(Data!$S$2:$S$745,MATCH(32,Data!$AI$2:$AI$745,0))="","",INDEX(Data!$S$2:$S$745,MATCH(32,Data!$AI$2:$AI$745,0))),""))</f>
        <v/>
      </c>
      <c r="M46" s="33">
        <f>IF(B46="","",IFERROR(IF(INDEX(Data!$T$2:$T$745,MATCH(32,Data!$AI$2:$AI$745,0))="","",INDEX(Data!$T$2:$T$745,MATCH(32,Data!$AI$2:$AI$745,0))),""))</f>
        <v/>
      </c>
      <c r="N46" s="34">
        <f>IF(B46="","",IFERROR(IF(INDEX(Data!$U$2:$U$745,MATCH(32,Data!$AI$2:$AI$745,0))="","",INDEX(Data!$U$2:$U$745,MATCH(32,Data!$AI$2:$AI$745,0))),""))</f>
        <v/>
      </c>
      <c r="O46" s="33">
        <f>IF(B46="","",IFERROR(IF(INDEX(Data!$V$2:$V$745,MATCH(32,Data!$AI$2:$AI$745,0))="","",INDEX(Data!$V$2:$V$745,MATCH(32,Data!$AI$2:$AI$745,0))),""))</f>
        <v/>
      </c>
      <c r="P46" s="33">
        <f>IF(B46="","",IFERROR(IF(INDEX(Data!$M$2:$M$745,MATCH(32,Data!$AI$2:$AI$745,0))="","",INDEX(Data!$M$2:$M$745,MATCH(32,Data!$AI$2:$AI$745,0))),""))</f>
        <v/>
      </c>
      <c r="Q46" s="31">
        <f>IF(B46="","",IFERROR(IF(INDEX(Data!$AD$2:$AD$745,MATCH(32,Data!$AI$2:$AI$745,0))="","",INDEX(Data!$AD$2:$AD$745,MATCH(32,Data!$AI$2:$AI$745,0))),""))</f>
        <v/>
      </c>
      <c r="R46" s="27">
        <f>IF(B46="","",IFERROR(IF(INDEX(Data!$L$2:$L$745,MATCH(32,Data!$AI$2:$AI$745,0))="","",INDEX(Data!$L$2:$L$745,MATCH(32,Data!$AI$2:$AI$745,0))),""))</f>
        <v/>
      </c>
      <c r="AB46" t="inlineStr">
        <is>
          <t>Colorado Home Co</t>
        </is>
      </c>
    </row>
    <row r="47" ht="62" customHeight="1">
      <c r="B47" s="27">
        <f>IF(33&lt;=COUNTIF(Data!$AH$2:$AH$745,TRUE),33,"")</f>
        <v/>
      </c>
      <c r="C47" s="28">
        <f>IF(B47="","",IFERROR(_xlfn.IMAGE(IFERROR(IF(INDEX(Data!$J$2:$J$745,MATCH(33,Data!$AI$2:$AI$745,0))="","",INDEX(Data!$J$2:$J$745,MATCH(33,Data!$AI$2:$AI$745,0))),"")),"IMAGE COMING SOON"))</f>
        <v/>
      </c>
      <c r="D47" s="29">
        <f>IF(B47="","",IFERROR(IF(INDEX(Data!$G$2:$G$745,MATCH(33,Data!$AI$2:$AI$745,0))="","",INDEX(Data!$G$2:$G$745,MATCH(33,Data!$AI$2:$AI$745,0))),"")&amp;CHAR(10)&amp;IFERROR(IF(INDEX(Data!$H$2:$H$745,MATCH(33,Data!$AI$2:$AI$745,0))="","",INDEX(Data!$H$2:$H$745,MATCH(33,Data!$AI$2:$AI$745,0))),""))</f>
        <v/>
      </c>
      <c r="E47" s="27">
        <f>IF(B47="","",IFERROR(IF(INDEX(Data!$I$2:$I$745,MATCH(33,Data!$AI$2:$AI$745,0))="","",INDEX(Data!$I$2:$I$745,MATCH(33,Data!$AI$2:$AI$745,0))),""))</f>
        <v/>
      </c>
      <c r="F47" s="27">
        <f>IF(B47="","",IFERROR(IF(INDEX(Data!$AJ$2:$AJ$745,MATCH(33,Data!$AI$2:$AI$745,0))="","",INDEX(Data!$AJ$2:$AJ$745,MATCH(33,Data!$AI$2:$AI$745,0))),""))</f>
        <v/>
      </c>
      <c r="G47" s="27">
        <f>IF(B47="","",TRIM(IFERROR(IF(INDEX(Data!$AF$2:$AF$745,MATCH(33,Data!$AI$2:$AI$745,0))="","",INDEX(Data!$AF$2:$AF$745,MATCH(33,Data!$AI$2:$AI$745,0))),"")&amp;" "&amp;IFERROR(IF(INDEX(Data!$AG$2:$AG$745,MATCH(33,Data!$AI$2:$AI$745,0))="","",INDEX(Data!$AG$2:$AG$745,MATCH(33,Data!$AI$2:$AI$745,0))),"")))</f>
        <v/>
      </c>
      <c r="H47" s="37">
        <f>IF(B47="","",IFERROR(IF(INDEX(Data!$N$2:$N$745,MATCH(33,Data!$AI$2:$AI$745,0))="","",INDEX(Data!$N$2:$N$745,MATCH(33,Data!$AI$2:$AI$745,0))),""))</f>
        <v/>
      </c>
      <c r="I47" s="37">
        <f>IF(B47="","",IFERROR(IF(INDEX(Data!$O$2:$O$745,MATCH(33,Data!$AI$2:$AI$745,0))="","",INDEX(Data!$O$2:$O$745,MATCH(33,Data!$AI$2:$AI$745,0))),""))</f>
        <v/>
      </c>
      <c r="J47" s="31">
        <f>IF(B47="","",IFERROR(IF(INDEX(Data!$P$2:$P$745,MATCH(33,Data!$AI$2:$AI$745,0))="","",INDEX(Data!$P$2:$P$745,MATCH(33,Data!$AI$2:$AI$745,0))),""))</f>
        <v/>
      </c>
      <c r="K47" s="32">
        <f>IF(B47="","",IFERROR(IF(INDEX(Data!$R$2:$R$745,MATCH(33,Data!$AI$2:$AI$745,0))="","",INDEX(Data!$R$2:$R$745,MATCH(33,Data!$AI$2:$AI$745,0))),""))</f>
        <v/>
      </c>
      <c r="L47" s="33">
        <f>IF(B47="","",IFERROR(IF(INDEX(Data!$S$2:$S$745,MATCH(33,Data!$AI$2:$AI$745,0))="","",INDEX(Data!$S$2:$S$745,MATCH(33,Data!$AI$2:$AI$745,0))),""))</f>
        <v/>
      </c>
      <c r="M47" s="33">
        <f>IF(B47="","",IFERROR(IF(INDEX(Data!$T$2:$T$745,MATCH(33,Data!$AI$2:$AI$745,0))="","",INDEX(Data!$T$2:$T$745,MATCH(33,Data!$AI$2:$AI$745,0))),""))</f>
        <v/>
      </c>
      <c r="N47" s="34">
        <f>IF(B47="","",IFERROR(IF(INDEX(Data!$U$2:$U$745,MATCH(33,Data!$AI$2:$AI$745,0))="","",INDEX(Data!$U$2:$U$745,MATCH(33,Data!$AI$2:$AI$745,0))),""))</f>
        <v/>
      </c>
      <c r="O47" s="33">
        <f>IF(B47="","",IFERROR(IF(INDEX(Data!$V$2:$V$745,MATCH(33,Data!$AI$2:$AI$745,0))="","",INDEX(Data!$V$2:$V$745,MATCH(33,Data!$AI$2:$AI$745,0))),""))</f>
        <v/>
      </c>
      <c r="P47" s="33">
        <f>IF(B47="","",IFERROR(IF(INDEX(Data!$M$2:$M$745,MATCH(33,Data!$AI$2:$AI$745,0))="","",INDEX(Data!$M$2:$M$745,MATCH(33,Data!$AI$2:$AI$745,0))),""))</f>
        <v/>
      </c>
      <c r="Q47" s="31">
        <f>IF(B47="","",IFERROR(IF(INDEX(Data!$AD$2:$AD$745,MATCH(33,Data!$AI$2:$AI$745,0))="","",INDEX(Data!$AD$2:$AD$745,MATCH(33,Data!$AI$2:$AI$745,0))),""))</f>
        <v/>
      </c>
      <c r="R47" s="27">
        <f>IF(B47="","",IFERROR(IF(INDEX(Data!$L$2:$L$745,MATCH(33,Data!$AI$2:$AI$745,0))="","",INDEX(Data!$L$2:$L$745,MATCH(33,Data!$AI$2:$AI$745,0))),""))</f>
        <v/>
      </c>
      <c r="AB47" t="inlineStr">
        <is>
          <t>Comfort Spaces</t>
        </is>
      </c>
    </row>
    <row r="48" ht="62" customHeight="1">
      <c r="B48" s="27">
        <f>IF(34&lt;=COUNTIF(Data!$AH$2:$AH$745,TRUE),34,"")</f>
        <v/>
      </c>
      <c r="C48" s="28">
        <f>IF(B48="","",IFERROR(_xlfn.IMAGE(IFERROR(IF(INDEX(Data!$J$2:$J$745,MATCH(34,Data!$AI$2:$AI$745,0))="","",INDEX(Data!$J$2:$J$745,MATCH(34,Data!$AI$2:$AI$745,0))),"")),"IMAGE COMING SOON"))</f>
        <v/>
      </c>
      <c r="D48" s="29">
        <f>IF(B48="","",IFERROR(IF(INDEX(Data!$G$2:$G$745,MATCH(34,Data!$AI$2:$AI$745,0))="","",INDEX(Data!$G$2:$G$745,MATCH(34,Data!$AI$2:$AI$745,0))),"")&amp;CHAR(10)&amp;IFERROR(IF(INDEX(Data!$H$2:$H$745,MATCH(34,Data!$AI$2:$AI$745,0))="","",INDEX(Data!$H$2:$H$745,MATCH(34,Data!$AI$2:$AI$745,0))),""))</f>
        <v/>
      </c>
      <c r="E48" s="27">
        <f>IF(B48="","",IFERROR(IF(INDEX(Data!$I$2:$I$745,MATCH(34,Data!$AI$2:$AI$745,0))="","",INDEX(Data!$I$2:$I$745,MATCH(34,Data!$AI$2:$AI$745,0))),""))</f>
        <v/>
      </c>
      <c r="F48" s="27">
        <f>IF(B48="","",IFERROR(IF(INDEX(Data!$AJ$2:$AJ$745,MATCH(34,Data!$AI$2:$AI$745,0))="","",INDEX(Data!$AJ$2:$AJ$745,MATCH(34,Data!$AI$2:$AI$745,0))),""))</f>
        <v/>
      </c>
      <c r="G48" s="27">
        <f>IF(B48="","",TRIM(IFERROR(IF(INDEX(Data!$AF$2:$AF$745,MATCH(34,Data!$AI$2:$AI$745,0))="","",INDEX(Data!$AF$2:$AF$745,MATCH(34,Data!$AI$2:$AI$745,0))),"")&amp;" "&amp;IFERROR(IF(INDEX(Data!$AG$2:$AG$745,MATCH(34,Data!$AI$2:$AI$745,0))="","",INDEX(Data!$AG$2:$AG$745,MATCH(34,Data!$AI$2:$AI$745,0))),"")))</f>
        <v/>
      </c>
      <c r="H48" s="37">
        <f>IF(B48="","",IFERROR(IF(INDEX(Data!$N$2:$N$745,MATCH(34,Data!$AI$2:$AI$745,0))="","",INDEX(Data!$N$2:$N$745,MATCH(34,Data!$AI$2:$AI$745,0))),""))</f>
        <v/>
      </c>
      <c r="I48" s="37">
        <f>IF(B48="","",IFERROR(IF(INDEX(Data!$O$2:$O$745,MATCH(34,Data!$AI$2:$AI$745,0))="","",INDEX(Data!$O$2:$O$745,MATCH(34,Data!$AI$2:$AI$745,0))),""))</f>
        <v/>
      </c>
      <c r="J48" s="31">
        <f>IF(B48="","",IFERROR(IF(INDEX(Data!$P$2:$P$745,MATCH(34,Data!$AI$2:$AI$745,0))="","",INDEX(Data!$P$2:$P$745,MATCH(34,Data!$AI$2:$AI$745,0))),""))</f>
        <v/>
      </c>
      <c r="K48" s="32">
        <f>IF(B48="","",IFERROR(IF(INDEX(Data!$R$2:$R$745,MATCH(34,Data!$AI$2:$AI$745,0))="","",INDEX(Data!$R$2:$R$745,MATCH(34,Data!$AI$2:$AI$745,0))),""))</f>
        <v/>
      </c>
      <c r="L48" s="33">
        <f>IF(B48="","",IFERROR(IF(INDEX(Data!$S$2:$S$745,MATCH(34,Data!$AI$2:$AI$745,0))="","",INDEX(Data!$S$2:$S$745,MATCH(34,Data!$AI$2:$AI$745,0))),""))</f>
        <v/>
      </c>
      <c r="M48" s="33">
        <f>IF(B48="","",IFERROR(IF(INDEX(Data!$T$2:$T$745,MATCH(34,Data!$AI$2:$AI$745,0))="","",INDEX(Data!$T$2:$T$745,MATCH(34,Data!$AI$2:$AI$745,0))),""))</f>
        <v/>
      </c>
      <c r="N48" s="34">
        <f>IF(B48="","",IFERROR(IF(INDEX(Data!$U$2:$U$745,MATCH(34,Data!$AI$2:$AI$745,0))="","",INDEX(Data!$U$2:$U$745,MATCH(34,Data!$AI$2:$AI$745,0))),""))</f>
        <v/>
      </c>
      <c r="O48" s="33">
        <f>IF(B48="","",IFERROR(IF(INDEX(Data!$V$2:$V$745,MATCH(34,Data!$AI$2:$AI$745,0))="","",INDEX(Data!$V$2:$V$745,MATCH(34,Data!$AI$2:$AI$745,0))),""))</f>
        <v/>
      </c>
      <c r="P48" s="33">
        <f>IF(B48="","",IFERROR(IF(INDEX(Data!$M$2:$M$745,MATCH(34,Data!$AI$2:$AI$745,0))="","",INDEX(Data!$M$2:$M$745,MATCH(34,Data!$AI$2:$AI$745,0))),""))</f>
        <v/>
      </c>
      <c r="Q48" s="31">
        <f>IF(B48="","",IFERROR(IF(INDEX(Data!$AD$2:$AD$745,MATCH(34,Data!$AI$2:$AI$745,0))="","",INDEX(Data!$AD$2:$AD$745,MATCH(34,Data!$AI$2:$AI$745,0))),""))</f>
        <v/>
      </c>
      <c r="R48" s="27">
        <f>IF(B48="","",IFERROR(IF(INDEX(Data!$L$2:$L$745,MATCH(34,Data!$AI$2:$AI$745,0))="","",INDEX(Data!$L$2:$L$745,MATCH(34,Data!$AI$2:$AI$745,0))),""))</f>
        <v/>
      </c>
      <c r="AB48" t="inlineStr">
        <is>
          <t>comurdyo</t>
        </is>
      </c>
    </row>
    <row r="49" ht="62" customHeight="1">
      <c r="B49" s="27">
        <f>IF(35&lt;=COUNTIF(Data!$AH$2:$AH$745,TRUE),35,"")</f>
        <v/>
      </c>
      <c r="C49" s="28">
        <f>IF(B49="","",IFERROR(_xlfn.IMAGE(IFERROR(IF(INDEX(Data!$J$2:$J$745,MATCH(35,Data!$AI$2:$AI$745,0))="","",INDEX(Data!$J$2:$J$745,MATCH(35,Data!$AI$2:$AI$745,0))),"")),"IMAGE COMING SOON"))</f>
        <v/>
      </c>
      <c r="D49" s="29">
        <f>IF(B49="","",IFERROR(IF(INDEX(Data!$G$2:$G$745,MATCH(35,Data!$AI$2:$AI$745,0))="","",INDEX(Data!$G$2:$G$745,MATCH(35,Data!$AI$2:$AI$745,0))),"")&amp;CHAR(10)&amp;IFERROR(IF(INDEX(Data!$H$2:$H$745,MATCH(35,Data!$AI$2:$AI$745,0))="","",INDEX(Data!$H$2:$H$745,MATCH(35,Data!$AI$2:$AI$745,0))),""))</f>
        <v/>
      </c>
      <c r="E49" s="27">
        <f>IF(B49="","",IFERROR(IF(INDEX(Data!$I$2:$I$745,MATCH(35,Data!$AI$2:$AI$745,0))="","",INDEX(Data!$I$2:$I$745,MATCH(35,Data!$AI$2:$AI$745,0))),""))</f>
        <v/>
      </c>
      <c r="F49" s="27">
        <f>IF(B49="","",IFERROR(IF(INDEX(Data!$AJ$2:$AJ$745,MATCH(35,Data!$AI$2:$AI$745,0))="","",INDEX(Data!$AJ$2:$AJ$745,MATCH(35,Data!$AI$2:$AI$745,0))),""))</f>
        <v/>
      </c>
      <c r="G49" s="27">
        <f>IF(B49="","",TRIM(IFERROR(IF(INDEX(Data!$AF$2:$AF$745,MATCH(35,Data!$AI$2:$AI$745,0))="","",INDEX(Data!$AF$2:$AF$745,MATCH(35,Data!$AI$2:$AI$745,0))),"")&amp;" "&amp;IFERROR(IF(INDEX(Data!$AG$2:$AG$745,MATCH(35,Data!$AI$2:$AI$745,0))="","",INDEX(Data!$AG$2:$AG$745,MATCH(35,Data!$AI$2:$AI$745,0))),"")))</f>
        <v/>
      </c>
      <c r="H49" s="37">
        <f>IF(B49="","",IFERROR(IF(INDEX(Data!$N$2:$N$745,MATCH(35,Data!$AI$2:$AI$745,0))="","",INDEX(Data!$N$2:$N$745,MATCH(35,Data!$AI$2:$AI$745,0))),""))</f>
        <v/>
      </c>
      <c r="I49" s="37">
        <f>IF(B49="","",IFERROR(IF(INDEX(Data!$O$2:$O$745,MATCH(35,Data!$AI$2:$AI$745,0))="","",INDEX(Data!$O$2:$O$745,MATCH(35,Data!$AI$2:$AI$745,0))),""))</f>
        <v/>
      </c>
      <c r="J49" s="31">
        <f>IF(B49="","",IFERROR(IF(INDEX(Data!$P$2:$P$745,MATCH(35,Data!$AI$2:$AI$745,0))="","",INDEX(Data!$P$2:$P$745,MATCH(35,Data!$AI$2:$AI$745,0))),""))</f>
        <v/>
      </c>
      <c r="K49" s="32">
        <f>IF(B49="","",IFERROR(IF(INDEX(Data!$R$2:$R$745,MATCH(35,Data!$AI$2:$AI$745,0))="","",INDEX(Data!$R$2:$R$745,MATCH(35,Data!$AI$2:$AI$745,0))),""))</f>
        <v/>
      </c>
      <c r="L49" s="33">
        <f>IF(B49="","",IFERROR(IF(INDEX(Data!$S$2:$S$745,MATCH(35,Data!$AI$2:$AI$745,0))="","",INDEX(Data!$S$2:$S$745,MATCH(35,Data!$AI$2:$AI$745,0))),""))</f>
        <v/>
      </c>
      <c r="M49" s="33">
        <f>IF(B49="","",IFERROR(IF(INDEX(Data!$T$2:$T$745,MATCH(35,Data!$AI$2:$AI$745,0))="","",INDEX(Data!$T$2:$T$745,MATCH(35,Data!$AI$2:$AI$745,0))),""))</f>
        <v/>
      </c>
      <c r="N49" s="34">
        <f>IF(B49="","",IFERROR(IF(INDEX(Data!$U$2:$U$745,MATCH(35,Data!$AI$2:$AI$745,0))="","",INDEX(Data!$U$2:$U$745,MATCH(35,Data!$AI$2:$AI$745,0))),""))</f>
        <v/>
      </c>
      <c r="O49" s="33">
        <f>IF(B49="","",IFERROR(IF(INDEX(Data!$V$2:$V$745,MATCH(35,Data!$AI$2:$AI$745,0))="","",INDEX(Data!$V$2:$V$745,MATCH(35,Data!$AI$2:$AI$745,0))),""))</f>
        <v/>
      </c>
      <c r="P49" s="33">
        <f>IF(B49="","",IFERROR(IF(INDEX(Data!$M$2:$M$745,MATCH(35,Data!$AI$2:$AI$745,0))="","",INDEX(Data!$M$2:$M$745,MATCH(35,Data!$AI$2:$AI$745,0))),""))</f>
        <v/>
      </c>
      <c r="Q49" s="31">
        <f>IF(B49="","",IFERROR(IF(INDEX(Data!$AD$2:$AD$745,MATCH(35,Data!$AI$2:$AI$745,0))="","",INDEX(Data!$AD$2:$AD$745,MATCH(35,Data!$AI$2:$AI$745,0))),""))</f>
        <v/>
      </c>
      <c r="R49" s="27">
        <f>IF(B49="","",IFERROR(IF(INDEX(Data!$L$2:$L$745,MATCH(35,Data!$AI$2:$AI$745,0))="","",INDEX(Data!$L$2:$L$745,MATCH(35,Data!$AI$2:$AI$745,0))),""))</f>
        <v/>
      </c>
      <c r="AB49" t="inlineStr">
        <is>
          <t>Consevisen</t>
        </is>
      </c>
    </row>
    <row r="50" ht="62" customHeight="1">
      <c r="B50" s="27">
        <f>IF(36&lt;=COUNTIF(Data!$AH$2:$AH$745,TRUE),36,"")</f>
        <v/>
      </c>
      <c r="C50" s="28">
        <f>IF(B50="","",IFERROR(_xlfn.IMAGE(IFERROR(IF(INDEX(Data!$J$2:$J$745,MATCH(36,Data!$AI$2:$AI$745,0))="","",INDEX(Data!$J$2:$J$745,MATCH(36,Data!$AI$2:$AI$745,0))),"")),"IMAGE COMING SOON"))</f>
        <v/>
      </c>
      <c r="D50" s="29">
        <f>IF(B50="","",IFERROR(IF(INDEX(Data!$G$2:$G$745,MATCH(36,Data!$AI$2:$AI$745,0))="","",INDEX(Data!$G$2:$G$745,MATCH(36,Data!$AI$2:$AI$745,0))),"")&amp;CHAR(10)&amp;IFERROR(IF(INDEX(Data!$H$2:$H$745,MATCH(36,Data!$AI$2:$AI$745,0))="","",INDEX(Data!$H$2:$H$745,MATCH(36,Data!$AI$2:$AI$745,0))),""))</f>
        <v/>
      </c>
      <c r="E50" s="27">
        <f>IF(B50="","",IFERROR(IF(INDEX(Data!$I$2:$I$745,MATCH(36,Data!$AI$2:$AI$745,0))="","",INDEX(Data!$I$2:$I$745,MATCH(36,Data!$AI$2:$AI$745,0))),""))</f>
        <v/>
      </c>
      <c r="F50" s="27">
        <f>IF(B50="","",IFERROR(IF(INDEX(Data!$AJ$2:$AJ$745,MATCH(36,Data!$AI$2:$AI$745,0))="","",INDEX(Data!$AJ$2:$AJ$745,MATCH(36,Data!$AI$2:$AI$745,0))),""))</f>
        <v/>
      </c>
      <c r="G50" s="27">
        <f>IF(B50="","",TRIM(IFERROR(IF(INDEX(Data!$AF$2:$AF$745,MATCH(36,Data!$AI$2:$AI$745,0))="","",INDEX(Data!$AF$2:$AF$745,MATCH(36,Data!$AI$2:$AI$745,0))),"")&amp;" "&amp;IFERROR(IF(INDEX(Data!$AG$2:$AG$745,MATCH(36,Data!$AI$2:$AI$745,0))="","",INDEX(Data!$AG$2:$AG$745,MATCH(36,Data!$AI$2:$AI$745,0))),"")))</f>
        <v/>
      </c>
      <c r="H50" s="37">
        <f>IF(B50="","",IFERROR(IF(INDEX(Data!$N$2:$N$745,MATCH(36,Data!$AI$2:$AI$745,0))="","",INDEX(Data!$N$2:$N$745,MATCH(36,Data!$AI$2:$AI$745,0))),""))</f>
        <v/>
      </c>
      <c r="I50" s="37">
        <f>IF(B50="","",IFERROR(IF(INDEX(Data!$O$2:$O$745,MATCH(36,Data!$AI$2:$AI$745,0))="","",INDEX(Data!$O$2:$O$745,MATCH(36,Data!$AI$2:$AI$745,0))),""))</f>
        <v/>
      </c>
      <c r="J50" s="31">
        <f>IF(B50="","",IFERROR(IF(INDEX(Data!$P$2:$P$745,MATCH(36,Data!$AI$2:$AI$745,0))="","",INDEX(Data!$P$2:$P$745,MATCH(36,Data!$AI$2:$AI$745,0))),""))</f>
        <v/>
      </c>
      <c r="K50" s="32">
        <f>IF(B50="","",IFERROR(IF(INDEX(Data!$R$2:$R$745,MATCH(36,Data!$AI$2:$AI$745,0))="","",INDEX(Data!$R$2:$R$745,MATCH(36,Data!$AI$2:$AI$745,0))),""))</f>
        <v/>
      </c>
      <c r="L50" s="33">
        <f>IF(B50="","",IFERROR(IF(INDEX(Data!$S$2:$S$745,MATCH(36,Data!$AI$2:$AI$745,0))="","",INDEX(Data!$S$2:$S$745,MATCH(36,Data!$AI$2:$AI$745,0))),""))</f>
        <v/>
      </c>
      <c r="M50" s="33">
        <f>IF(B50="","",IFERROR(IF(INDEX(Data!$T$2:$T$745,MATCH(36,Data!$AI$2:$AI$745,0))="","",INDEX(Data!$T$2:$T$745,MATCH(36,Data!$AI$2:$AI$745,0))),""))</f>
        <v/>
      </c>
      <c r="N50" s="34">
        <f>IF(B50="","",IFERROR(IF(INDEX(Data!$U$2:$U$745,MATCH(36,Data!$AI$2:$AI$745,0))="","",INDEX(Data!$U$2:$U$745,MATCH(36,Data!$AI$2:$AI$745,0))),""))</f>
        <v/>
      </c>
      <c r="O50" s="33">
        <f>IF(B50="","",IFERROR(IF(INDEX(Data!$V$2:$V$745,MATCH(36,Data!$AI$2:$AI$745,0))="","",INDEX(Data!$V$2:$V$745,MATCH(36,Data!$AI$2:$AI$745,0))),""))</f>
        <v/>
      </c>
      <c r="P50" s="33">
        <f>IF(B50="","",IFERROR(IF(INDEX(Data!$M$2:$M$745,MATCH(36,Data!$AI$2:$AI$745,0))="","",INDEX(Data!$M$2:$M$745,MATCH(36,Data!$AI$2:$AI$745,0))),""))</f>
        <v/>
      </c>
      <c r="Q50" s="31">
        <f>IF(B50="","",IFERROR(IF(INDEX(Data!$AD$2:$AD$745,MATCH(36,Data!$AI$2:$AI$745,0))="","",INDEX(Data!$AD$2:$AD$745,MATCH(36,Data!$AI$2:$AI$745,0))),""))</f>
        <v/>
      </c>
      <c r="R50" s="27">
        <f>IF(B50="","",IFERROR(IF(INDEX(Data!$L$2:$L$745,MATCH(36,Data!$AI$2:$AI$745,0))="","",INDEX(Data!$L$2:$L$745,MATCH(36,Data!$AI$2:$AI$745,0))),""))</f>
        <v/>
      </c>
      <c r="AB50" t="inlineStr">
        <is>
          <t>Coop Home Goods</t>
        </is>
      </c>
    </row>
    <row r="51" ht="62" customHeight="1">
      <c r="B51" s="27">
        <f>IF(37&lt;=COUNTIF(Data!$AH$2:$AH$745,TRUE),37,"")</f>
        <v/>
      </c>
      <c r="C51" s="28">
        <f>IF(B51="","",IFERROR(_xlfn.IMAGE(IFERROR(IF(INDEX(Data!$J$2:$J$745,MATCH(37,Data!$AI$2:$AI$745,0))="","",INDEX(Data!$J$2:$J$745,MATCH(37,Data!$AI$2:$AI$745,0))),"")),"IMAGE COMING SOON"))</f>
        <v/>
      </c>
      <c r="D51" s="29">
        <f>IF(B51="","",IFERROR(IF(INDEX(Data!$G$2:$G$745,MATCH(37,Data!$AI$2:$AI$745,0))="","",INDEX(Data!$G$2:$G$745,MATCH(37,Data!$AI$2:$AI$745,0))),"")&amp;CHAR(10)&amp;IFERROR(IF(INDEX(Data!$H$2:$H$745,MATCH(37,Data!$AI$2:$AI$745,0))="","",INDEX(Data!$H$2:$H$745,MATCH(37,Data!$AI$2:$AI$745,0))),""))</f>
        <v/>
      </c>
      <c r="E51" s="27">
        <f>IF(B51="","",IFERROR(IF(INDEX(Data!$I$2:$I$745,MATCH(37,Data!$AI$2:$AI$745,0))="","",INDEX(Data!$I$2:$I$745,MATCH(37,Data!$AI$2:$AI$745,0))),""))</f>
        <v/>
      </c>
      <c r="F51" s="27">
        <f>IF(B51="","",IFERROR(IF(INDEX(Data!$AJ$2:$AJ$745,MATCH(37,Data!$AI$2:$AI$745,0))="","",INDEX(Data!$AJ$2:$AJ$745,MATCH(37,Data!$AI$2:$AI$745,0))),""))</f>
        <v/>
      </c>
      <c r="G51" s="27">
        <f>IF(B51="","",TRIM(IFERROR(IF(INDEX(Data!$AF$2:$AF$745,MATCH(37,Data!$AI$2:$AI$745,0))="","",INDEX(Data!$AF$2:$AF$745,MATCH(37,Data!$AI$2:$AI$745,0))),"")&amp;" "&amp;IFERROR(IF(INDEX(Data!$AG$2:$AG$745,MATCH(37,Data!$AI$2:$AI$745,0))="","",INDEX(Data!$AG$2:$AG$745,MATCH(37,Data!$AI$2:$AI$745,0))),"")))</f>
        <v/>
      </c>
      <c r="H51" s="37">
        <f>IF(B51="","",IFERROR(IF(INDEX(Data!$N$2:$N$745,MATCH(37,Data!$AI$2:$AI$745,0))="","",INDEX(Data!$N$2:$N$745,MATCH(37,Data!$AI$2:$AI$745,0))),""))</f>
        <v/>
      </c>
      <c r="I51" s="37">
        <f>IF(B51="","",IFERROR(IF(INDEX(Data!$O$2:$O$745,MATCH(37,Data!$AI$2:$AI$745,0))="","",INDEX(Data!$O$2:$O$745,MATCH(37,Data!$AI$2:$AI$745,0))),""))</f>
        <v/>
      </c>
      <c r="J51" s="31">
        <f>IF(B51="","",IFERROR(IF(INDEX(Data!$P$2:$P$745,MATCH(37,Data!$AI$2:$AI$745,0))="","",INDEX(Data!$P$2:$P$745,MATCH(37,Data!$AI$2:$AI$745,0))),""))</f>
        <v/>
      </c>
      <c r="K51" s="32">
        <f>IF(B51="","",IFERROR(IF(INDEX(Data!$R$2:$R$745,MATCH(37,Data!$AI$2:$AI$745,0))="","",INDEX(Data!$R$2:$R$745,MATCH(37,Data!$AI$2:$AI$745,0))),""))</f>
        <v/>
      </c>
      <c r="L51" s="33">
        <f>IF(B51="","",IFERROR(IF(INDEX(Data!$S$2:$S$745,MATCH(37,Data!$AI$2:$AI$745,0))="","",INDEX(Data!$S$2:$S$745,MATCH(37,Data!$AI$2:$AI$745,0))),""))</f>
        <v/>
      </c>
      <c r="M51" s="33">
        <f>IF(B51="","",IFERROR(IF(INDEX(Data!$T$2:$T$745,MATCH(37,Data!$AI$2:$AI$745,0))="","",INDEX(Data!$T$2:$T$745,MATCH(37,Data!$AI$2:$AI$745,0))),""))</f>
        <v/>
      </c>
      <c r="N51" s="34">
        <f>IF(B51="","",IFERROR(IF(INDEX(Data!$U$2:$U$745,MATCH(37,Data!$AI$2:$AI$745,0))="","",INDEX(Data!$U$2:$U$745,MATCH(37,Data!$AI$2:$AI$745,0))),""))</f>
        <v/>
      </c>
      <c r="O51" s="33">
        <f>IF(B51="","",IFERROR(IF(INDEX(Data!$V$2:$V$745,MATCH(37,Data!$AI$2:$AI$745,0))="","",INDEX(Data!$V$2:$V$745,MATCH(37,Data!$AI$2:$AI$745,0))),""))</f>
        <v/>
      </c>
      <c r="P51" s="33">
        <f>IF(B51="","",IFERROR(IF(INDEX(Data!$M$2:$M$745,MATCH(37,Data!$AI$2:$AI$745,0))="","",INDEX(Data!$M$2:$M$745,MATCH(37,Data!$AI$2:$AI$745,0))),""))</f>
        <v/>
      </c>
      <c r="Q51" s="31">
        <f>IF(B51="","",IFERROR(IF(INDEX(Data!$AD$2:$AD$745,MATCH(37,Data!$AI$2:$AI$745,0))="","",INDEX(Data!$AD$2:$AD$745,MATCH(37,Data!$AI$2:$AI$745,0))),""))</f>
        <v/>
      </c>
      <c r="R51" s="27">
        <f>IF(B51="","",IFERROR(IF(INDEX(Data!$L$2:$L$745,MATCH(37,Data!$AI$2:$AI$745,0))="","",INDEX(Data!$L$2:$L$745,MATCH(37,Data!$AI$2:$AI$745,0))),""))</f>
        <v/>
      </c>
      <c r="AB51" t="inlineStr">
        <is>
          <t>Cosy House Collection</t>
        </is>
      </c>
    </row>
    <row r="52" ht="62" customHeight="1">
      <c r="B52" s="27">
        <f>IF(38&lt;=COUNTIF(Data!$AH$2:$AH$745,TRUE),38,"")</f>
        <v/>
      </c>
      <c r="C52" s="28">
        <f>IF(B52="","",IFERROR(_xlfn.IMAGE(IFERROR(IF(INDEX(Data!$J$2:$J$745,MATCH(38,Data!$AI$2:$AI$745,0))="","",INDEX(Data!$J$2:$J$745,MATCH(38,Data!$AI$2:$AI$745,0))),"")),"IMAGE COMING SOON"))</f>
        <v/>
      </c>
      <c r="D52" s="29">
        <f>IF(B52="","",IFERROR(IF(INDEX(Data!$G$2:$G$745,MATCH(38,Data!$AI$2:$AI$745,0))="","",INDEX(Data!$G$2:$G$745,MATCH(38,Data!$AI$2:$AI$745,0))),"")&amp;CHAR(10)&amp;IFERROR(IF(INDEX(Data!$H$2:$H$745,MATCH(38,Data!$AI$2:$AI$745,0))="","",INDEX(Data!$H$2:$H$745,MATCH(38,Data!$AI$2:$AI$745,0))),""))</f>
        <v/>
      </c>
      <c r="E52" s="27">
        <f>IF(B52="","",IFERROR(IF(INDEX(Data!$I$2:$I$745,MATCH(38,Data!$AI$2:$AI$745,0))="","",INDEX(Data!$I$2:$I$745,MATCH(38,Data!$AI$2:$AI$745,0))),""))</f>
        <v/>
      </c>
      <c r="F52" s="27">
        <f>IF(B52="","",IFERROR(IF(INDEX(Data!$AJ$2:$AJ$745,MATCH(38,Data!$AI$2:$AI$745,0))="","",INDEX(Data!$AJ$2:$AJ$745,MATCH(38,Data!$AI$2:$AI$745,0))),""))</f>
        <v/>
      </c>
      <c r="G52" s="27">
        <f>IF(B52="","",TRIM(IFERROR(IF(INDEX(Data!$AF$2:$AF$745,MATCH(38,Data!$AI$2:$AI$745,0))="","",INDEX(Data!$AF$2:$AF$745,MATCH(38,Data!$AI$2:$AI$745,0))),"")&amp;" "&amp;IFERROR(IF(INDEX(Data!$AG$2:$AG$745,MATCH(38,Data!$AI$2:$AI$745,0))="","",INDEX(Data!$AG$2:$AG$745,MATCH(38,Data!$AI$2:$AI$745,0))),"")))</f>
        <v/>
      </c>
      <c r="H52" s="37">
        <f>IF(B52="","",IFERROR(IF(INDEX(Data!$N$2:$N$745,MATCH(38,Data!$AI$2:$AI$745,0))="","",INDEX(Data!$N$2:$N$745,MATCH(38,Data!$AI$2:$AI$745,0))),""))</f>
        <v/>
      </c>
      <c r="I52" s="37">
        <f>IF(B52="","",IFERROR(IF(INDEX(Data!$O$2:$O$745,MATCH(38,Data!$AI$2:$AI$745,0))="","",INDEX(Data!$O$2:$O$745,MATCH(38,Data!$AI$2:$AI$745,0))),""))</f>
        <v/>
      </c>
      <c r="J52" s="31">
        <f>IF(B52="","",IFERROR(IF(INDEX(Data!$P$2:$P$745,MATCH(38,Data!$AI$2:$AI$745,0))="","",INDEX(Data!$P$2:$P$745,MATCH(38,Data!$AI$2:$AI$745,0))),""))</f>
        <v/>
      </c>
      <c r="K52" s="32">
        <f>IF(B52="","",IFERROR(IF(INDEX(Data!$R$2:$R$745,MATCH(38,Data!$AI$2:$AI$745,0))="","",INDEX(Data!$R$2:$R$745,MATCH(38,Data!$AI$2:$AI$745,0))),""))</f>
        <v/>
      </c>
      <c r="L52" s="33">
        <f>IF(B52="","",IFERROR(IF(INDEX(Data!$S$2:$S$745,MATCH(38,Data!$AI$2:$AI$745,0))="","",INDEX(Data!$S$2:$S$745,MATCH(38,Data!$AI$2:$AI$745,0))),""))</f>
        <v/>
      </c>
      <c r="M52" s="33">
        <f>IF(B52="","",IFERROR(IF(INDEX(Data!$T$2:$T$745,MATCH(38,Data!$AI$2:$AI$745,0))="","",INDEX(Data!$T$2:$T$745,MATCH(38,Data!$AI$2:$AI$745,0))),""))</f>
        <v/>
      </c>
      <c r="N52" s="34">
        <f>IF(B52="","",IFERROR(IF(INDEX(Data!$U$2:$U$745,MATCH(38,Data!$AI$2:$AI$745,0))="","",INDEX(Data!$U$2:$U$745,MATCH(38,Data!$AI$2:$AI$745,0))),""))</f>
        <v/>
      </c>
      <c r="O52" s="33">
        <f>IF(B52="","",IFERROR(IF(INDEX(Data!$V$2:$V$745,MATCH(38,Data!$AI$2:$AI$745,0))="","",INDEX(Data!$V$2:$V$745,MATCH(38,Data!$AI$2:$AI$745,0))),""))</f>
        <v/>
      </c>
      <c r="P52" s="33">
        <f>IF(B52="","",IFERROR(IF(INDEX(Data!$M$2:$M$745,MATCH(38,Data!$AI$2:$AI$745,0))="","",INDEX(Data!$M$2:$M$745,MATCH(38,Data!$AI$2:$AI$745,0))),""))</f>
        <v/>
      </c>
      <c r="Q52" s="31">
        <f>IF(B52="","",IFERROR(IF(INDEX(Data!$AD$2:$AD$745,MATCH(38,Data!$AI$2:$AI$745,0))="","",INDEX(Data!$AD$2:$AD$745,MATCH(38,Data!$AI$2:$AI$745,0))),""))</f>
        <v/>
      </c>
      <c r="R52" s="27">
        <f>IF(B52="","",IFERROR(IF(INDEX(Data!$L$2:$L$745,MATCH(38,Data!$AI$2:$AI$745,0))="","",INDEX(Data!$L$2:$L$745,MATCH(38,Data!$AI$2:$AI$745,0))),""))</f>
        <v/>
      </c>
      <c r="AB52" t="inlineStr">
        <is>
          <t>Cozy Bliss</t>
        </is>
      </c>
    </row>
    <row r="53" ht="62" customHeight="1">
      <c r="B53" s="27">
        <f>IF(39&lt;=COUNTIF(Data!$AH$2:$AH$745,TRUE),39,"")</f>
        <v/>
      </c>
      <c r="C53" s="28">
        <f>IF(B53="","",IFERROR(_xlfn.IMAGE(IFERROR(IF(INDEX(Data!$J$2:$J$745,MATCH(39,Data!$AI$2:$AI$745,0))="","",INDEX(Data!$J$2:$J$745,MATCH(39,Data!$AI$2:$AI$745,0))),"")),"IMAGE COMING SOON"))</f>
        <v/>
      </c>
      <c r="D53" s="29">
        <f>IF(B53="","",IFERROR(IF(INDEX(Data!$G$2:$G$745,MATCH(39,Data!$AI$2:$AI$745,0))="","",INDEX(Data!$G$2:$G$745,MATCH(39,Data!$AI$2:$AI$745,0))),"")&amp;CHAR(10)&amp;IFERROR(IF(INDEX(Data!$H$2:$H$745,MATCH(39,Data!$AI$2:$AI$745,0))="","",INDEX(Data!$H$2:$H$745,MATCH(39,Data!$AI$2:$AI$745,0))),""))</f>
        <v/>
      </c>
      <c r="E53" s="27">
        <f>IF(B53="","",IFERROR(IF(INDEX(Data!$I$2:$I$745,MATCH(39,Data!$AI$2:$AI$745,0))="","",INDEX(Data!$I$2:$I$745,MATCH(39,Data!$AI$2:$AI$745,0))),""))</f>
        <v/>
      </c>
      <c r="F53" s="27">
        <f>IF(B53="","",IFERROR(IF(INDEX(Data!$AJ$2:$AJ$745,MATCH(39,Data!$AI$2:$AI$745,0))="","",INDEX(Data!$AJ$2:$AJ$745,MATCH(39,Data!$AI$2:$AI$745,0))),""))</f>
        <v/>
      </c>
      <c r="G53" s="27">
        <f>IF(B53="","",TRIM(IFERROR(IF(INDEX(Data!$AF$2:$AF$745,MATCH(39,Data!$AI$2:$AI$745,0))="","",INDEX(Data!$AF$2:$AF$745,MATCH(39,Data!$AI$2:$AI$745,0))),"")&amp;" "&amp;IFERROR(IF(INDEX(Data!$AG$2:$AG$745,MATCH(39,Data!$AI$2:$AI$745,0))="","",INDEX(Data!$AG$2:$AG$745,MATCH(39,Data!$AI$2:$AI$745,0))),"")))</f>
        <v/>
      </c>
      <c r="H53" s="37">
        <f>IF(B53="","",IFERROR(IF(INDEX(Data!$N$2:$N$745,MATCH(39,Data!$AI$2:$AI$745,0))="","",INDEX(Data!$N$2:$N$745,MATCH(39,Data!$AI$2:$AI$745,0))),""))</f>
        <v/>
      </c>
      <c r="I53" s="37">
        <f>IF(B53="","",IFERROR(IF(INDEX(Data!$O$2:$O$745,MATCH(39,Data!$AI$2:$AI$745,0))="","",INDEX(Data!$O$2:$O$745,MATCH(39,Data!$AI$2:$AI$745,0))),""))</f>
        <v/>
      </c>
      <c r="J53" s="31">
        <f>IF(B53="","",IFERROR(IF(INDEX(Data!$P$2:$P$745,MATCH(39,Data!$AI$2:$AI$745,0))="","",INDEX(Data!$P$2:$P$745,MATCH(39,Data!$AI$2:$AI$745,0))),""))</f>
        <v/>
      </c>
      <c r="K53" s="32">
        <f>IF(B53="","",IFERROR(IF(INDEX(Data!$R$2:$R$745,MATCH(39,Data!$AI$2:$AI$745,0))="","",INDEX(Data!$R$2:$R$745,MATCH(39,Data!$AI$2:$AI$745,0))),""))</f>
        <v/>
      </c>
      <c r="L53" s="33">
        <f>IF(B53="","",IFERROR(IF(INDEX(Data!$S$2:$S$745,MATCH(39,Data!$AI$2:$AI$745,0))="","",INDEX(Data!$S$2:$S$745,MATCH(39,Data!$AI$2:$AI$745,0))),""))</f>
        <v/>
      </c>
      <c r="M53" s="33">
        <f>IF(B53="","",IFERROR(IF(INDEX(Data!$T$2:$T$745,MATCH(39,Data!$AI$2:$AI$745,0))="","",INDEX(Data!$T$2:$T$745,MATCH(39,Data!$AI$2:$AI$745,0))),""))</f>
        <v/>
      </c>
      <c r="N53" s="34">
        <f>IF(B53="","",IFERROR(IF(INDEX(Data!$U$2:$U$745,MATCH(39,Data!$AI$2:$AI$745,0))="","",INDEX(Data!$U$2:$U$745,MATCH(39,Data!$AI$2:$AI$745,0))),""))</f>
        <v/>
      </c>
      <c r="O53" s="33">
        <f>IF(B53="","",IFERROR(IF(INDEX(Data!$V$2:$V$745,MATCH(39,Data!$AI$2:$AI$745,0))="","",INDEX(Data!$V$2:$V$745,MATCH(39,Data!$AI$2:$AI$745,0))),""))</f>
        <v/>
      </c>
      <c r="P53" s="33">
        <f>IF(B53="","",IFERROR(IF(INDEX(Data!$M$2:$M$745,MATCH(39,Data!$AI$2:$AI$745,0))="","",INDEX(Data!$M$2:$M$745,MATCH(39,Data!$AI$2:$AI$745,0))),""))</f>
        <v/>
      </c>
      <c r="Q53" s="31">
        <f>IF(B53="","",IFERROR(IF(INDEX(Data!$AD$2:$AD$745,MATCH(39,Data!$AI$2:$AI$745,0))="","",INDEX(Data!$AD$2:$AD$745,MATCH(39,Data!$AI$2:$AI$745,0))),""))</f>
        <v/>
      </c>
      <c r="R53" s="27">
        <f>IF(B53="","",IFERROR(IF(INDEX(Data!$L$2:$L$745,MATCH(39,Data!$AI$2:$AI$745,0))="","",INDEX(Data!$L$2:$L$745,MATCH(39,Data!$AI$2:$AI$745,0))),""))</f>
        <v/>
      </c>
      <c r="AB53" t="inlineStr">
        <is>
          <t>Cozy Earth</t>
        </is>
      </c>
    </row>
    <row r="54" ht="62" customHeight="1">
      <c r="B54" s="27">
        <f>IF(40&lt;=COUNTIF(Data!$AH$2:$AH$745,TRUE),40,"")</f>
        <v/>
      </c>
      <c r="C54" s="28">
        <f>IF(B54="","",IFERROR(_xlfn.IMAGE(IFERROR(IF(INDEX(Data!$J$2:$J$745,MATCH(40,Data!$AI$2:$AI$745,0))="","",INDEX(Data!$J$2:$J$745,MATCH(40,Data!$AI$2:$AI$745,0))),"")),"IMAGE COMING SOON"))</f>
        <v/>
      </c>
      <c r="D54" s="29">
        <f>IF(B54="","",IFERROR(IF(INDEX(Data!$G$2:$G$745,MATCH(40,Data!$AI$2:$AI$745,0))="","",INDEX(Data!$G$2:$G$745,MATCH(40,Data!$AI$2:$AI$745,0))),"")&amp;CHAR(10)&amp;IFERROR(IF(INDEX(Data!$H$2:$H$745,MATCH(40,Data!$AI$2:$AI$745,0))="","",INDEX(Data!$H$2:$H$745,MATCH(40,Data!$AI$2:$AI$745,0))),""))</f>
        <v/>
      </c>
      <c r="E54" s="27">
        <f>IF(B54="","",IFERROR(IF(INDEX(Data!$I$2:$I$745,MATCH(40,Data!$AI$2:$AI$745,0))="","",INDEX(Data!$I$2:$I$745,MATCH(40,Data!$AI$2:$AI$745,0))),""))</f>
        <v/>
      </c>
      <c r="F54" s="27">
        <f>IF(B54="","",IFERROR(IF(INDEX(Data!$AJ$2:$AJ$745,MATCH(40,Data!$AI$2:$AI$745,0))="","",INDEX(Data!$AJ$2:$AJ$745,MATCH(40,Data!$AI$2:$AI$745,0))),""))</f>
        <v/>
      </c>
      <c r="G54" s="27">
        <f>IF(B54="","",TRIM(IFERROR(IF(INDEX(Data!$AF$2:$AF$745,MATCH(40,Data!$AI$2:$AI$745,0))="","",INDEX(Data!$AF$2:$AF$745,MATCH(40,Data!$AI$2:$AI$745,0))),"")&amp;" "&amp;IFERROR(IF(INDEX(Data!$AG$2:$AG$745,MATCH(40,Data!$AI$2:$AI$745,0))="","",INDEX(Data!$AG$2:$AG$745,MATCH(40,Data!$AI$2:$AI$745,0))),"")))</f>
        <v/>
      </c>
      <c r="H54" s="37">
        <f>IF(B54="","",IFERROR(IF(INDEX(Data!$N$2:$N$745,MATCH(40,Data!$AI$2:$AI$745,0))="","",INDEX(Data!$N$2:$N$745,MATCH(40,Data!$AI$2:$AI$745,0))),""))</f>
        <v/>
      </c>
      <c r="I54" s="37">
        <f>IF(B54="","",IFERROR(IF(INDEX(Data!$O$2:$O$745,MATCH(40,Data!$AI$2:$AI$745,0))="","",INDEX(Data!$O$2:$O$745,MATCH(40,Data!$AI$2:$AI$745,0))),""))</f>
        <v/>
      </c>
      <c r="J54" s="31">
        <f>IF(B54="","",IFERROR(IF(INDEX(Data!$P$2:$P$745,MATCH(40,Data!$AI$2:$AI$745,0))="","",INDEX(Data!$P$2:$P$745,MATCH(40,Data!$AI$2:$AI$745,0))),""))</f>
        <v/>
      </c>
      <c r="K54" s="32">
        <f>IF(B54="","",IFERROR(IF(INDEX(Data!$R$2:$R$745,MATCH(40,Data!$AI$2:$AI$745,0))="","",INDEX(Data!$R$2:$R$745,MATCH(40,Data!$AI$2:$AI$745,0))),""))</f>
        <v/>
      </c>
      <c r="L54" s="33">
        <f>IF(B54="","",IFERROR(IF(INDEX(Data!$S$2:$S$745,MATCH(40,Data!$AI$2:$AI$745,0))="","",INDEX(Data!$S$2:$S$745,MATCH(40,Data!$AI$2:$AI$745,0))),""))</f>
        <v/>
      </c>
      <c r="M54" s="33">
        <f>IF(B54="","",IFERROR(IF(INDEX(Data!$T$2:$T$745,MATCH(40,Data!$AI$2:$AI$745,0))="","",INDEX(Data!$T$2:$T$745,MATCH(40,Data!$AI$2:$AI$745,0))),""))</f>
        <v/>
      </c>
      <c r="N54" s="34">
        <f>IF(B54="","",IFERROR(IF(INDEX(Data!$U$2:$U$745,MATCH(40,Data!$AI$2:$AI$745,0))="","",INDEX(Data!$U$2:$U$745,MATCH(40,Data!$AI$2:$AI$745,0))),""))</f>
        <v/>
      </c>
      <c r="O54" s="33">
        <f>IF(B54="","",IFERROR(IF(INDEX(Data!$V$2:$V$745,MATCH(40,Data!$AI$2:$AI$745,0))="","",INDEX(Data!$V$2:$V$745,MATCH(40,Data!$AI$2:$AI$745,0))),""))</f>
        <v/>
      </c>
      <c r="P54" s="33">
        <f>IF(B54="","",IFERROR(IF(INDEX(Data!$M$2:$M$745,MATCH(40,Data!$AI$2:$AI$745,0))="","",INDEX(Data!$M$2:$M$745,MATCH(40,Data!$AI$2:$AI$745,0))),""))</f>
        <v/>
      </c>
      <c r="Q54" s="31">
        <f>IF(B54="","",IFERROR(IF(INDEX(Data!$AD$2:$AD$745,MATCH(40,Data!$AI$2:$AI$745,0))="","",INDEX(Data!$AD$2:$AD$745,MATCH(40,Data!$AI$2:$AI$745,0))),""))</f>
        <v/>
      </c>
      <c r="R54" s="27">
        <f>IF(B54="","",IFERROR(IF(INDEX(Data!$L$2:$L$745,MATCH(40,Data!$AI$2:$AI$745,0))="","",INDEX(Data!$L$2:$L$745,MATCH(40,Data!$AI$2:$AI$745,0))),""))</f>
        <v/>
      </c>
      <c r="AB54" t="inlineStr">
        <is>
          <t>CozyLux</t>
        </is>
      </c>
    </row>
    <row r="55" ht="62" customHeight="1">
      <c r="B55" s="27">
        <f>IF(41&lt;=COUNTIF(Data!$AH$2:$AH$745,TRUE),41,"")</f>
        <v/>
      </c>
      <c r="C55" s="28">
        <f>IF(B55="","",IFERROR(_xlfn.IMAGE(IFERROR(IF(INDEX(Data!$J$2:$J$745,MATCH(41,Data!$AI$2:$AI$745,0))="","",INDEX(Data!$J$2:$J$745,MATCH(41,Data!$AI$2:$AI$745,0))),"")),"IMAGE COMING SOON"))</f>
        <v/>
      </c>
      <c r="D55" s="29">
        <f>IF(B55="","",IFERROR(IF(INDEX(Data!$G$2:$G$745,MATCH(41,Data!$AI$2:$AI$745,0))="","",INDEX(Data!$G$2:$G$745,MATCH(41,Data!$AI$2:$AI$745,0))),"")&amp;CHAR(10)&amp;IFERROR(IF(INDEX(Data!$H$2:$H$745,MATCH(41,Data!$AI$2:$AI$745,0))="","",INDEX(Data!$H$2:$H$745,MATCH(41,Data!$AI$2:$AI$745,0))),""))</f>
        <v/>
      </c>
      <c r="E55" s="27">
        <f>IF(B55="","",IFERROR(IF(INDEX(Data!$I$2:$I$745,MATCH(41,Data!$AI$2:$AI$745,0))="","",INDEX(Data!$I$2:$I$745,MATCH(41,Data!$AI$2:$AI$745,0))),""))</f>
        <v/>
      </c>
      <c r="F55" s="27">
        <f>IF(B55="","",IFERROR(IF(INDEX(Data!$AJ$2:$AJ$745,MATCH(41,Data!$AI$2:$AI$745,0))="","",INDEX(Data!$AJ$2:$AJ$745,MATCH(41,Data!$AI$2:$AI$745,0))),""))</f>
        <v/>
      </c>
      <c r="G55" s="27">
        <f>IF(B55="","",TRIM(IFERROR(IF(INDEX(Data!$AF$2:$AF$745,MATCH(41,Data!$AI$2:$AI$745,0))="","",INDEX(Data!$AF$2:$AF$745,MATCH(41,Data!$AI$2:$AI$745,0))),"")&amp;" "&amp;IFERROR(IF(INDEX(Data!$AG$2:$AG$745,MATCH(41,Data!$AI$2:$AI$745,0))="","",INDEX(Data!$AG$2:$AG$745,MATCH(41,Data!$AI$2:$AI$745,0))),"")))</f>
        <v/>
      </c>
      <c r="H55" s="37">
        <f>IF(B55="","",IFERROR(IF(INDEX(Data!$N$2:$N$745,MATCH(41,Data!$AI$2:$AI$745,0))="","",INDEX(Data!$N$2:$N$745,MATCH(41,Data!$AI$2:$AI$745,0))),""))</f>
        <v/>
      </c>
      <c r="I55" s="37">
        <f>IF(B55="","",IFERROR(IF(INDEX(Data!$O$2:$O$745,MATCH(41,Data!$AI$2:$AI$745,0))="","",INDEX(Data!$O$2:$O$745,MATCH(41,Data!$AI$2:$AI$745,0))),""))</f>
        <v/>
      </c>
      <c r="J55" s="31">
        <f>IF(B55="","",IFERROR(IF(INDEX(Data!$P$2:$P$745,MATCH(41,Data!$AI$2:$AI$745,0))="","",INDEX(Data!$P$2:$P$745,MATCH(41,Data!$AI$2:$AI$745,0))),""))</f>
        <v/>
      </c>
      <c r="K55" s="32">
        <f>IF(B55="","",IFERROR(IF(INDEX(Data!$R$2:$R$745,MATCH(41,Data!$AI$2:$AI$745,0))="","",INDEX(Data!$R$2:$R$745,MATCH(41,Data!$AI$2:$AI$745,0))),""))</f>
        <v/>
      </c>
      <c r="L55" s="33">
        <f>IF(B55="","",IFERROR(IF(INDEX(Data!$S$2:$S$745,MATCH(41,Data!$AI$2:$AI$745,0))="","",INDEX(Data!$S$2:$S$745,MATCH(41,Data!$AI$2:$AI$745,0))),""))</f>
        <v/>
      </c>
      <c r="M55" s="33">
        <f>IF(B55="","",IFERROR(IF(INDEX(Data!$T$2:$T$745,MATCH(41,Data!$AI$2:$AI$745,0))="","",INDEX(Data!$T$2:$T$745,MATCH(41,Data!$AI$2:$AI$745,0))),""))</f>
        <v/>
      </c>
      <c r="N55" s="34">
        <f>IF(B55="","",IFERROR(IF(INDEX(Data!$U$2:$U$745,MATCH(41,Data!$AI$2:$AI$745,0))="","",INDEX(Data!$U$2:$U$745,MATCH(41,Data!$AI$2:$AI$745,0))),""))</f>
        <v/>
      </c>
      <c r="O55" s="33">
        <f>IF(B55="","",IFERROR(IF(INDEX(Data!$V$2:$V$745,MATCH(41,Data!$AI$2:$AI$745,0))="","",INDEX(Data!$V$2:$V$745,MATCH(41,Data!$AI$2:$AI$745,0))),""))</f>
        <v/>
      </c>
      <c r="P55" s="33">
        <f>IF(B55="","",IFERROR(IF(INDEX(Data!$M$2:$M$745,MATCH(41,Data!$AI$2:$AI$745,0))="","",INDEX(Data!$M$2:$M$745,MATCH(41,Data!$AI$2:$AI$745,0))),""))</f>
        <v/>
      </c>
      <c r="Q55" s="31">
        <f>IF(B55="","",IFERROR(IF(INDEX(Data!$AD$2:$AD$745,MATCH(41,Data!$AI$2:$AI$745,0))="","",INDEX(Data!$AD$2:$AD$745,MATCH(41,Data!$AI$2:$AI$745,0))),""))</f>
        <v/>
      </c>
      <c r="R55" s="27">
        <f>IF(B55="","",IFERROR(IF(INDEX(Data!$L$2:$L$745,MATCH(41,Data!$AI$2:$AI$745,0))="","",INDEX(Data!$L$2:$L$745,MATCH(41,Data!$AI$2:$AI$745,0))),""))</f>
        <v/>
      </c>
      <c r="AB55" t="inlineStr">
        <is>
          <t>CUCRAF</t>
        </is>
      </c>
    </row>
    <row r="56" ht="62" customHeight="1">
      <c r="B56" s="27">
        <f>IF(42&lt;=COUNTIF(Data!$AH$2:$AH$745,TRUE),42,"")</f>
        <v/>
      </c>
      <c r="C56" s="28">
        <f>IF(B56="","",IFERROR(_xlfn.IMAGE(IFERROR(IF(INDEX(Data!$J$2:$J$745,MATCH(42,Data!$AI$2:$AI$745,0))="","",INDEX(Data!$J$2:$J$745,MATCH(42,Data!$AI$2:$AI$745,0))),"")),"IMAGE COMING SOON"))</f>
        <v/>
      </c>
      <c r="D56" s="29">
        <f>IF(B56="","",IFERROR(IF(INDEX(Data!$G$2:$G$745,MATCH(42,Data!$AI$2:$AI$745,0))="","",INDEX(Data!$G$2:$G$745,MATCH(42,Data!$AI$2:$AI$745,0))),"")&amp;CHAR(10)&amp;IFERROR(IF(INDEX(Data!$H$2:$H$745,MATCH(42,Data!$AI$2:$AI$745,0))="","",INDEX(Data!$H$2:$H$745,MATCH(42,Data!$AI$2:$AI$745,0))),""))</f>
        <v/>
      </c>
      <c r="E56" s="27">
        <f>IF(B56="","",IFERROR(IF(INDEX(Data!$I$2:$I$745,MATCH(42,Data!$AI$2:$AI$745,0))="","",INDEX(Data!$I$2:$I$745,MATCH(42,Data!$AI$2:$AI$745,0))),""))</f>
        <v/>
      </c>
      <c r="F56" s="27">
        <f>IF(B56="","",IFERROR(IF(INDEX(Data!$AJ$2:$AJ$745,MATCH(42,Data!$AI$2:$AI$745,0))="","",INDEX(Data!$AJ$2:$AJ$745,MATCH(42,Data!$AI$2:$AI$745,0))),""))</f>
        <v/>
      </c>
      <c r="G56" s="27">
        <f>IF(B56="","",TRIM(IFERROR(IF(INDEX(Data!$AF$2:$AF$745,MATCH(42,Data!$AI$2:$AI$745,0))="","",INDEX(Data!$AF$2:$AF$745,MATCH(42,Data!$AI$2:$AI$745,0))),"")&amp;" "&amp;IFERROR(IF(INDEX(Data!$AG$2:$AG$745,MATCH(42,Data!$AI$2:$AI$745,0))="","",INDEX(Data!$AG$2:$AG$745,MATCH(42,Data!$AI$2:$AI$745,0))),"")))</f>
        <v/>
      </c>
      <c r="H56" s="37">
        <f>IF(B56="","",IFERROR(IF(INDEX(Data!$N$2:$N$745,MATCH(42,Data!$AI$2:$AI$745,0))="","",INDEX(Data!$N$2:$N$745,MATCH(42,Data!$AI$2:$AI$745,0))),""))</f>
        <v/>
      </c>
      <c r="I56" s="37">
        <f>IF(B56="","",IFERROR(IF(INDEX(Data!$O$2:$O$745,MATCH(42,Data!$AI$2:$AI$745,0))="","",INDEX(Data!$O$2:$O$745,MATCH(42,Data!$AI$2:$AI$745,0))),""))</f>
        <v/>
      </c>
      <c r="J56" s="31">
        <f>IF(B56="","",IFERROR(IF(INDEX(Data!$P$2:$P$745,MATCH(42,Data!$AI$2:$AI$745,0))="","",INDEX(Data!$P$2:$P$745,MATCH(42,Data!$AI$2:$AI$745,0))),""))</f>
        <v/>
      </c>
      <c r="K56" s="32">
        <f>IF(B56="","",IFERROR(IF(INDEX(Data!$R$2:$R$745,MATCH(42,Data!$AI$2:$AI$745,0))="","",INDEX(Data!$R$2:$R$745,MATCH(42,Data!$AI$2:$AI$745,0))),""))</f>
        <v/>
      </c>
      <c r="L56" s="33">
        <f>IF(B56="","",IFERROR(IF(INDEX(Data!$S$2:$S$745,MATCH(42,Data!$AI$2:$AI$745,0))="","",INDEX(Data!$S$2:$S$745,MATCH(42,Data!$AI$2:$AI$745,0))),""))</f>
        <v/>
      </c>
      <c r="M56" s="33">
        <f>IF(B56="","",IFERROR(IF(INDEX(Data!$T$2:$T$745,MATCH(42,Data!$AI$2:$AI$745,0))="","",INDEX(Data!$T$2:$T$745,MATCH(42,Data!$AI$2:$AI$745,0))),""))</f>
        <v/>
      </c>
      <c r="N56" s="34">
        <f>IF(B56="","",IFERROR(IF(INDEX(Data!$U$2:$U$745,MATCH(42,Data!$AI$2:$AI$745,0))="","",INDEX(Data!$U$2:$U$745,MATCH(42,Data!$AI$2:$AI$745,0))),""))</f>
        <v/>
      </c>
      <c r="O56" s="33">
        <f>IF(B56="","",IFERROR(IF(INDEX(Data!$V$2:$V$745,MATCH(42,Data!$AI$2:$AI$745,0))="","",INDEX(Data!$V$2:$V$745,MATCH(42,Data!$AI$2:$AI$745,0))),""))</f>
        <v/>
      </c>
      <c r="P56" s="33">
        <f>IF(B56="","",IFERROR(IF(INDEX(Data!$M$2:$M$745,MATCH(42,Data!$AI$2:$AI$745,0))="","",INDEX(Data!$M$2:$M$745,MATCH(42,Data!$AI$2:$AI$745,0))),""))</f>
        <v/>
      </c>
      <c r="Q56" s="31">
        <f>IF(B56="","",IFERROR(IF(INDEX(Data!$AD$2:$AD$745,MATCH(42,Data!$AI$2:$AI$745,0))="","",INDEX(Data!$AD$2:$AD$745,MATCH(42,Data!$AI$2:$AI$745,0))),""))</f>
        <v/>
      </c>
      <c r="R56" s="27">
        <f>IF(B56="","",IFERROR(IF(INDEX(Data!$L$2:$L$745,MATCH(42,Data!$AI$2:$AI$745,0))="","",INDEX(Data!$L$2:$L$745,MATCH(42,Data!$AI$2:$AI$745,0))),""))</f>
        <v/>
      </c>
      <c r="AB56" t="inlineStr">
        <is>
          <t>David's Home</t>
        </is>
      </c>
    </row>
    <row r="57" ht="62" customHeight="1">
      <c r="B57" s="27">
        <f>IF(43&lt;=COUNTIF(Data!$AH$2:$AH$745,TRUE),43,"")</f>
        <v/>
      </c>
      <c r="C57" s="28">
        <f>IF(B57="","",IFERROR(_xlfn.IMAGE(IFERROR(IF(INDEX(Data!$J$2:$J$745,MATCH(43,Data!$AI$2:$AI$745,0))="","",INDEX(Data!$J$2:$J$745,MATCH(43,Data!$AI$2:$AI$745,0))),"")),"IMAGE COMING SOON"))</f>
        <v/>
      </c>
      <c r="D57" s="29">
        <f>IF(B57="","",IFERROR(IF(INDEX(Data!$G$2:$G$745,MATCH(43,Data!$AI$2:$AI$745,0))="","",INDEX(Data!$G$2:$G$745,MATCH(43,Data!$AI$2:$AI$745,0))),"")&amp;CHAR(10)&amp;IFERROR(IF(INDEX(Data!$H$2:$H$745,MATCH(43,Data!$AI$2:$AI$745,0))="","",INDEX(Data!$H$2:$H$745,MATCH(43,Data!$AI$2:$AI$745,0))),""))</f>
        <v/>
      </c>
      <c r="E57" s="27">
        <f>IF(B57="","",IFERROR(IF(INDEX(Data!$I$2:$I$745,MATCH(43,Data!$AI$2:$AI$745,0))="","",INDEX(Data!$I$2:$I$745,MATCH(43,Data!$AI$2:$AI$745,0))),""))</f>
        <v/>
      </c>
      <c r="F57" s="27">
        <f>IF(B57="","",IFERROR(IF(INDEX(Data!$AJ$2:$AJ$745,MATCH(43,Data!$AI$2:$AI$745,0))="","",INDEX(Data!$AJ$2:$AJ$745,MATCH(43,Data!$AI$2:$AI$745,0))),""))</f>
        <v/>
      </c>
      <c r="G57" s="27">
        <f>IF(B57="","",TRIM(IFERROR(IF(INDEX(Data!$AF$2:$AF$745,MATCH(43,Data!$AI$2:$AI$745,0))="","",INDEX(Data!$AF$2:$AF$745,MATCH(43,Data!$AI$2:$AI$745,0))),"")&amp;" "&amp;IFERROR(IF(INDEX(Data!$AG$2:$AG$745,MATCH(43,Data!$AI$2:$AI$745,0))="","",INDEX(Data!$AG$2:$AG$745,MATCH(43,Data!$AI$2:$AI$745,0))),"")))</f>
        <v/>
      </c>
      <c r="H57" s="37">
        <f>IF(B57="","",IFERROR(IF(INDEX(Data!$N$2:$N$745,MATCH(43,Data!$AI$2:$AI$745,0))="","",INDEX(Data!$N$2:$N$745,MATCH(43,Data!$AI$2:$AI$745,0))),""))</f>
        <v/>
      </c>
      <c r="I57" s="37">
        <f>IF(B57="","",IFERROR(IF(INDEX(Data!$O$2:$O$745,MATCH(43,Data!$AI$2:$AI$745,0))="","",INDEX(Data!$O$2:$O$745,MATCH(43,Data!$AI$2:$AI$745,0))),""))</f>
        <v/>
      </c>
      <c r="J57" s="31">
        <f>IF(B57="","",IFERROR(IF(INDEX(Data!$P$2:$P$745,MATCH(43,Data!$AI$2:$AI$745,0))="","",INDEX(Data!$P$2:$P$745,MATCH(43,Data!$AI$2:$AI$745,0))),""))</f>
        <v/>
      </c>
      <c r="K57" s="32">
        <f>IF(B57="","",IFERROR(IF(INDEX(Data!$R$2:$R$745,MATCH(43,Data!$AI$2:$AI$745,0))="","",INDEX(Data!$R$2:$R$745,MATCH(43,Data!$AI$2:$AI$745,0))),""))</f>
        <v/>
      </c>
      <c r="L57" s="33">
        <f>IF(B57="","",IFERROR(IF(INDEX(Data!$S$2:$S$745,MATCH(43,Data!$AI$2:$AI$745,0))="","",INDEX(Data!$S$2:$S$745,MATCH(43,Data!$AI$2:$AI$745,0))),""))</f>
        <v/>
      </c>
      <c r="M57" s="33">
        <f>IF(B57="","",IFERROR(IF(INDEX(Data!$T$2:$T$745,MATCH(43,Data!$AI$2:$AI$745,0))="","",INDEX(Data!$T$2:$T$745,MATCH(43,Data!$AI$2:$AI$745,0))),""))</f>
        <v/>
      </c>
      <c r="N57" s="34">
        <f>IF(B57="","",IFERROR(IF(INDEX(Data!$U$2:$U$745,MATCH(43,Data!$AI$2:$AI$745,0))="","",INDEX(Data!$U$2:$U$745,MATCH(43,Data!$AI$2:$AI$745,0))),""))</f>
        <v/>
      </c>
      <c r="O57" s="33">
        <f>IF(B57="","",IFERROR(IF(INDEX(Data!$V$2:$V$745,MATCH(43,Data!$AI$2:$AI$745,0))="","",INDEX(Data!$V$2:$V$745,MATCH(43,Data!$AI$2:$AI$745,0))),""))</f>
        <v/>
      </c>
      <c r="P57" s="33">
        <f>IF(B57="","",IFERROR(IF(INDEX(Data!$M$2:$M$745,MATCH(43,Data!$AI$2:$AI$745,0))="","",INDEX(Data!$M$2:$M$745,MATCH(43,Data!$AI$2:$AI$745,0))),""))</f>
        <v/>
      </c>
      <c r="Q57" s="31">
        <f>IF(B57="","",IFERROR(IF(INDEX(Data!$AD$2:$AD$745,MATCH(43,Data!$AI$2:$AI$745,0))="","",INDEX(Data!$AD$2:$AD$745,MATCH(43,Data!$AI$2:$AI$745,0))),""))</f>
        <v/>
      </c>
      <c r="R57" s="27">
        <f>IF(B57="","",IFERROR(IF(INDEX(Data!$L$2:$L$745,MATCH(43,Data!$AI$2:$AI$745,0))="","",INDEX(Data!$L$2:$L$745,MATCH(43,Data!$AI$2:$AI$745,0))),""))</f>
        <v/>
      </c>
      <c r="AB57" t="inlineStr">
        <is>
          <t>Davmabcjy</t>
        </is>
      </c>
    </row>
    <row r="58" ht="62" customHeight="1">
      <c r="B58" s="27">
        <f>IF(44&lt;=COUNTIF(Data!$AH$2:$AH$745,TRUE),44,"")</f>
        <v/>
      </c>
      <c r="C58" s="28">
        <f>IF(B58="","",IFERROR(_xlfn.IMAGE(IFERROR(IF(INDEX(Data!$J$2:$J$745,MATCH(44,Data!$AI$2:$AI$745,0))="","",INDEX(Data!$J$2:$J$745,MATCH(44,Data!$AI$2:$AI$745,0))),"")),"IMAGE COMING SOON"))</f>
        <v/>
      </c>
      <c r="D58" s="29">
        <f>IF(B58="","",IFERROR(IF(INDEX(Data!$G$2:$G$745,MATCH(44,Data!$AI$2:$AI$745,0))="","",INDEX(Data!$G$2:$G$745,MATCH(44,Data!$AI$2:$AI$745,0))),"")&amp;CHAR(10)&amp;IFERROR(IF(INDEX(Data!$H$2:$H$745,MATCH(44,Data!$AI$2:$AI$745,0))="","",INDEX(Data!$H$2:$H$745,MATCH(44,Data!$AI$2:$AI$745,0))),""))</f>
        <v/>
      </c>
      <c r="E58" s="27">
        <f>IF(B58="","",IFERROR(IF(INDEX(Data!$I$2:$I$745,MATCH(44,Data!$AI$2:$AI$745,0))="","",INDEX(Data!$I$2:$I$745,MATCH(44,Data!$AI$2:$AI$745,0))),""))</f>
        <v/>
      </c>
      <c r="F58" s="27">
        <f>IF(B58="","",IFERROR(IF(INDEX(Data!$AJ$2:$AJ$745,MATCH(44,Data!$AI$2:$AI$745,0))="","",INDEX(Data!$AJ$2:$AJ$745,MATCH(44,Data!$AI$2:$AI$745,0))),""))</f>
        <v/>
      </c>
      <c r="G58" s="27">
        <f>IF(B58="","",TRIM(IFERROR(IF(INDEX(Data!$AF$2:$AF$745,MATCH(44,Data!$AI$2:$AI$745,0))="","",INDEX(Data!$AF$2:$AF$745,MATCH(44,Data!$AI$2:$AI$745,0))),"")&amp;" "&amp;IFERROR(IF(INDEX(Data!$AG$2:$AG$745,MATCH(44,Data!$AI$2:$AI$745,0))="","",INDEX(Data!$AG$2:$AG$745,MATCH(44,Data!$AI$2:$AI$745,0))),"")))</f>
        <v/>
      </c>
      <c r="H58" s="37">
        <f>IF(B58="","",IFERROR(IF(INDEX(Data!$N$2:$N$745,MATCH(44,Data!$AI$2:$AI$745,0))="","",INDEX(Data!$N$2:$N$745,MATCH(44,Data!$AI$2:$AI$745,0))),""))</f>
        <v/>
      </c>
      <c r="I58" s="37">
        <f>IF(B58="","",IFERROR(IF(INDEX(Data!$O$2:$O$745,MATCH(44,Data!$AI$2:$AI$745,0))="","",INDEX(Data!$O$2:$O$745,MATCH(44,Data!$AI$2:$AI$745,0))),""))</f>
        <v/>
      </c>
      <c r="J58" s="31">
        <f>IF(B58="","",IFERROR(IF(INDEX(Data!$P$2:$P$745,MATCH(44,Data!$AI$2:$AI$745,0))="","",INDEX(Data!$P$2:$P$745,MATCH(44,Data!$AI$2:$AI$745,0))),""))</f>
        <v/>
      </c>
      <c r="K58" s="32">
        <f>IF(B58="","",IFERROR(IF(INDEX(Data!$R$2:$R$745,MATCH(44,Data!$AI$2:$AI$745,0))="","",INDEX(Data!$R$2:$R$745,MATCH(44,Data!$AI$2:$AI$745,0))),""))</f>
        <v/>
      </c>
      <c r="L58" s="33">
        <f>IF(B58="","",IFERROR(IF(INDEX(Data!$S$2:$S$745,MATCH(44,Data!$AI$2:$AI$745,0))="","",INDEX(Data!$S$2:$S$745,MATCH(44,Data!$AI$2:$AI$745,0))),""))</f>
        <v/>
      </c>
      <c r="M58" s="33">
        <f>IF(B58="","",IFERROR(IF(INDEX(Data!$T$2:$T$745,MATCH(44,Data!$AI$2:$AI$745,0))="","",INDEX(Data!$T$2:$T$745,MATCH(44,Data!$AI$2:$AI$745,0))),""))</f>
        <v/>
      </c>
      <c r="N58" s="34">
        <f>IF(B58="","",IFERROR(IF(INDEX(Data!$U$2:$U$745,MATCH(44,Data!$AI$2:$AI$745,0))="","",INDEX(Data!$U$2:$U$745,MATCH(44,Data!$AI$2:$AI$745,0))),""))</f>
        <v/>
      </c>
      <c r="O58" s="33">
        <f>IF(B58="","",IFERROR(IF(INDEX(Data!$V$2:$V$745,MATCH(44,Data!$AI$2:$AI$745,0))="","",INDEX(Data!$V$2:$V$745,MATCH(44,Data!$AI$2:$AI$745,0))),""))</f>
        <v/>
      </c>
      <c r="P58" s="33">
        <f>IF(B58="","",IFERROR(IF(INDEX(Data!$M$2:$M$745,MATCH(44,Data!$AI$2:$AI$745,0))="","",INDEX(Data!$M$2:$M$745,MATCH(44,Data!$AI$2:$AI$745,0))),""))</f>
        <v/>
      </c>
      <c r="Q58" s="31">
        <f>IF(B58="","",IFERROR(IF(INDEX(Data!$AD$2:$AD$745,MATCH(44,Data!$AI$2:$AI$745,0))="","",INDEX(Data!$AD$2:$AD$745,MATCH(44,Data!$AI$2:$AI$745,0))),""))</f>
        <v/>
      </c>
      <c r="R58" s="27">
        <f>IF(B58="","",IFERROR(IF(INDEX(Data!$L$2:$L$745,MATCH(44,Data!$AI$2:$AI$745,0))="","",INDEX(Data!$L$2:$L$745,MATCH(44,Data!$AI$2:$AI$745,0))),""))</f>
        <v/>
      </c>
      <c r="AB58" t="inlineStr">
        <is>
          <t>Degrees of Comfort</t>
        </is>
      </c>
    </row>
    <row r="59" ht="62" customHeight="1">
      <c r="B59" s="27">
        <f>IF(45&lt;=COUNTIF(Data!$AH$2:$AH$745,TRUE),45,"")</f>
        <v/>
      </c>
      <c r="C59" s="28">
        <f>IF(B59="","",IFERROR(_xlfn.IMAGE(IFERROR(IF(INDEX(Data!$J$2:$J$745,MATCH(45,Data!$AI$2:$AI$745,0))="","",INDEX(Data!$J$2:$J$745,MATCH(45,Data!$AI$2:$AI$745,0))),"")),"IMAGE COMING SOON"))</f>
        <v/>
      </c>
      <c r="D59" s="29">
        <f>IF(B59="","",IFERROR(IF(INDEX(Data!$G$2:$G$745,MATCH(45,Data!$AI$2:$AI$745,0))="","",INDEX(Data!$G$2:$G$745,MATCH(45,Data!$AI$2:$AI$745,0))),"")&amp;CHAR(10)&amp;IFERROR(IF(INDEX(Data!$H$2:$H$745,MATCH(45,Data!$AI$2:$AI$745,0))="","",INDEX(Data!$H$2:$H$745,MATCH(45,Data!$AI$2:$AI$745,0))),""))</f>
        <v/>
      </c>
      <c r="E59" s="27">
        <f>IF(B59="","",IFERROR(IF(INDEX(Data!$I$2:$I$745,MATCH(45,Data!$AI$2:$AI$745,0))="","",INDEX(Data!$I$2:$I$745,MATCH(45,Data!$AI$2:$AI$745,0))),""))</f>
        <v/>
      </c>
      <c r="F59" s="27">
        <f>IF(B59="","",IFERROR(IF(INDEX(Data!$AJ$2:$AJ$745,MATCH(45,Data!$AI$2:$AI$745,0))="","",INDEX(Data!$AJ$2:$AJ$745,MATCH(45,Data!$AI$2:$AI$745,0))),""))</f>
        <v/>
      </c>
      <c r="G59" s="27">
        <f>IF(B59="","",TRIM(IFERROR(IF(INDEX(Data!$AF$2:$AF$745,MATCH(45,Data!$AI$2:$AI$745,0))="","",INDEX(Data!$AF$2:$AF$745,MATCH(45,Data!$AI$2:$AI$745,0))),"")&amp;" "&amp;IFERROR(IF(INDEX(Data!$AG$2:$AG$745,MATCH(45,Data!$AI$2:$AI$745,0))="","",INDEX(Data!$AG$2:$AG$745,MATCH(45,Data!$AI$2:$AI$745,0))),"")))</f>
        <v/>
      </c>
      <c r="H59" s="37">
        <f>IF(B59="","",IFERROR(IF(INDEX(Data!$N$2:$N$745,MATCH(45,Data!$AI$2:$AI$745,0))="","",INDEX(Data!$N$2:$N$745,MATCH(45,Data!$AI$2:$AI$745,0))),""))</f>
        <v/>
      </c>
      <c r="I59" s="37">
        <f>IF(B59="","",IFERROR(IF(INDEX(Data!$O$2:$O$745,MATCH(45,Data!$AI$2:$AI$745,0))="","",INDEX(Data!$O$2:$O$745,MATCH(45,Data!$AI$2:$AI$745,0))),""))</f>
        <v/>
      </c>
      <c r="J59" s="31">
        <f>IF(B59="","",IFERROR(IF(INDEX(Data!$P$2:$P$745,MATCH(45,Data!$AI$2:$AI$745,0))="","",INDEX(Data!$P$2:$P$745,MATCH(45,Data!$AI$2:$AI$745,0))),""))</f>
        <v/>
      </c>
      <c r="K59" s="32">
        <f>IF(B59="","",IFERROR(IF(INDEX(Data!$R$2:$R$745,MATCH(45,Data!$AI$2:$AI$745,0))="","",INDEX(Data!$R$2:$R$745,MATCH(45,Data!$AI$2:$AI$745,0))),""))</f>
        <v/>
      </c>
      <c r="L59" s="33">
        <f>IF(B59="","",IFERROR(IF(INDEX(Data!$S$2:$S$745,MATCH(45,Data!$AI$2:$AI$745,0))="","",INDEX(Data!$S$2:$S$745,MATCH(45,Data!$AI$2:$AI$745,0))),""))</f>
        <v/>
      </c>
      <c r="M59" s="33">
        <f>IF(B59="","",IFERROR(IF(INDEX(Data!$T$2:$T$745,MATCH(45,Data!$AI$2:$AI$745,0))="","",INDEX(Data!$T$2:$T$745,MATCH(45,Data!$AI$2:$AI$745,0))),""))</f>
        <v/>
      </c>
      <c r="N59" s="34">
        <f>IF(B59="","",IFERROR(IF(INDEX(Data!$U$2:$U$745,MATCH(45,Data!$AI$2:$AI$745,0))="","",INDEX(Data!$U$2:$U$745,MATCH(45,Data!$AI$2:$AI$745,0))),""))</f>
        <v/>
      </c>
      <c r="O59" s="33">
        <f>IF(B59="","",IFERROR(IF(INDEX(Data!$V$2:$V$745,MATCH(45,Data!$AI$2:$AI$745,0))="","",INDEX(Data!$V$2:$V$745,MATCH(45,Data!$AI$2:$AI$745,0))),""))</f>
        <v/>
      </c>
      <c r="P59" s="33">
        <f>IF(B59="","",IFERROR(IF(INDEX(Data!$M$2:$M$745,MATCH(45,Data!$AI$2:$AI$745,0))="","",INDEX(Data!$M$2:$M$745,MATCH(45,Data!$AI$2:$AI$745,0))),""))</f>
        <v/>
      </c>
      <c r="Q59" s="31">
        <f>IF(B59="","",IFERROR(IF(INDEX(Data!$AD$2:$AD$745,MATCH(45,Data!$AI$2:$AI$745,0))="","",INDEX(Data!$AD$2:$AD$745,MATCH(45,Data!$AI$2:$AI$745,0))),""))</f>
        <v/>
      </c>
      <c r="R59" s="27">
        <f>IF(B59="","",IFERROR(IF(INDEX(Data!$L$2:$L$745,MATCH(45,Data!$AI$2:$AI$745,0))="","",INDEX(Data!$L$2:$L$745,MATCH(45,Data!$AI$2:$AI$745,0))),""))</f>
        <v/>
      </c>
      <c r="AB59" t="inlineStr">
        <is>
          <t>DJY</t>
        </is>
      </c>
    </row>
    <row r="60" ht="62" customHeight="1">
      <c r="B60" s="27">
        <f>IF(46&lt;=COUNTIF(Data!$AH$2:$AH$745,TRUE),46,"")</f>
        <v/>
      </c>
      <c r="C60" s="28">
        <f>IF(B60="","",IFERROR(_xlfn.IMAGE(IFERROR(IF(INDEX(Data!$J$2:$J$745,MATCH(46,Data!$AI$2:$AI$745,0))="","",INDEX(Data!$J$2:$J$745,MATCH(46,Data!$AI$2:$AI$745,0))),"")),"IMAGE COMING SOON"))</f>
        <v/>
      </c>
      <c r="D60" s="29">
        <f>IF(B60="","",IFERROR(IF(INDEX(Data!$G$2:$G$745,MATCH(46,Data!$AI$2:$AI$745,0))="","",INDEX(Data!$G$2:$G$745,MATCH(46,Data!$AI$2:$AI$745,0))),"")&amp;CHAR(10)&amp;IFERROR(IF(INDEX(Data!$H$2:$H$745,MATCH(46,Data!$AI$2:$AI$745,0))="","",INDEX(Data!$H$2:$H$745,MATCH(46,Data!$AI$2:$AI$745,0))),""))</f>
        <v/>
      </c>
      <c r="E60" s="27">
        <f>IF(B60="","",IFERROR(IF(INDEX(Data!$I$2:$I$745,MATCH(46,Data!$AI$2:$AI$745,0))="","",INDEX(Data!$I$2:$I$745,MATCH(46,Data!$AI$2:$AI$745,0))),""))</f>
        <v/>
      </c>
      <c r="F60" s="27">
        <f>IF(B60="","",IFERROR(IF(INDEX(Data!$AJ$2:$AJ$745,MATCH(46,Data!$AI$2:$AI$745,0))="","",INDEX(Data!$AJ$2:$AJ$745,MATCH(46,Data!$AI$2:$AI$745,0))),""))</f>
        <v/>
      </c>
      <c r="G60" s="27">
        <f>IF(B60="","",TRIM(IFERROR(IF(INDEX(Data!$AF$2:$AF$745,MATCH(46,Data!$AI$2:$AI$745,0))="","",INDEX(Data!$AF$2:$AF$745,MATCH(46,Data!$AI$2:$AI$745,0))),"")&amp;" "&amp;IFERROR(IF(INDEX(Data!$AG$2:$AG$745,MATCH(46,Data!$AI$2:$AI$745,0))="","",INDEX(Data!$AG$2:$AG$745,MATCH(46,Data!$AI$2:$AI$745,0))),"")))</f>
        <v/>
      </c>
      <c r="H60" s="37">
        <f>IF(B60="","",IFERROR(IF(INDEX(Data!$N$2:$N$745,MATCH(46,Data!$AI$2:$AI$745,0))="","",INDEX(Data!$N$2:$N$745,MATCH(46,Data!$AI$2:$AI$745,0))),""))</f>
        <v/>
      </c>
      <c r="I60" s="37">
        <f>IF(B60="","",IFERROR(IF(INDEX(Data!$O$2:$O$745,MATCH(46,Data!$AI$2:$AI$745,0))="","",INDEX(Data!$O$2:$O$745,MATCH(46,Data!$AI$2:$AI$745,0))),""))</f>
        <v/>
      </c>
      <c r="J60" s="31">
        <f>IF(B60="","",IFERROR(IF(INDEX(Data!$P$2:$P$745,MATCH(46,Data!$AI$2:$AI$745,0))="","",INDEX(Data!$P$2:$P$745,MATCH(46,Data!$AI$2:$AI$745,0))),""))</f>
        <v/>
      </c>
      <c r="K60" s="32">
        <f>IF(B60="","",IFERROR(IF(INDEX(Data!$R$2:$R$745,MATCH(46,Data!$AI$2:$AI$745,0))="","",INDEX(Data!$R$2:$R$745,MATCH(46,Data!$AI$2:$AI$745,0))),""))</f>
        <v/>
      </c>
      <c r="L60" s="33">
        <f>IF(B60="","",IFERROR(IF(INDEX(Data!$S$2:$S$745,MATCH(46,Data!$AI$2:$AI$745,0))="","",INDEX(Data!$S$2:$S$745,MATCH(46,Data!$AI$2:$AI$745,0))),""))</f>
        <v/>
      </c>
      <c r="M60" s="33">
        <f>IF(B60="","",IFERROR(IF(INDEX(Data!$T$2:$T$745,MATCH(46,Data!$AI$2:$AI$745,0))="","",INDEX(Data!$T$2:$T$745,MATCH(46,Data!$AI$2:$AI$745,0))),""))</f>
        <v/>
      </c>
      <c r="N60" s="34">
        <f>IF(B60="","",IFERROR(IF(INDEX(Data!$U$2:$U$745,MATCH(46,Data!$AI$2:$AI$745,0))="","",INDEX(Data!$U$2:$U$745,MATCH(46,Data!$AI$2:$AI$745,0))),""))</f>
        <v/>
      </c>
      <c r="O60" s="33">
        <f>IF(B60="","",IFERROR(IF(INDEX(Data!$V$2:$V$745,MATCH(46,Data!$AI$2:$AI$745,0))="","",INDEX(Data!$V$2:$V$745,MATCH(46,Data!$AI$2:$AI$745,0))),""))</f>
        <v/>
      </c>
      <c r="P60" s="33">
        <f>IF(B60="","",IFERROR(IF(INDEX(Data!$M$2:$M$745,MATCH(46,Data!$AI$2:$AI$745,0))="","",INDEX(Data!$M$2:$M$745,MATCH(46,Data!$AI$2:$AI$745,0))),""))</f>
        <v/>
      </c>
      <c r="Q60" s="31">
        <f>IF(B60="","",IFERROR(IF(INDEX(Data!$AD$2:$AD$745,MATCH(46,Data!$AI$2:$AI$745,0))="","",INDEX(Data!$AD$2:$AD$745,MATCH(46,Data!$AI$2:$AI$745,0))),""))</f>
        <v/>
      </c>
      <c r="R60" s="27">
        <f>IF(B60="","",IFERROR(IF(INDEX(Data!$L$2:$L$745,MATCH(46,Data!$AI$2:$AI$745,0))="","",INDEX(Data!$L$2:$L$745,MATCH(46,Data!$AI$2:$AI$745,0))),""))</f>
        <v/>
      </c>
      <c r="AB60" t="inlineStr">
        <is>
          <t>DKBslik</t>
        </is>
      </c>
    </row>
    <row r="61" ht="62" customHeight="1">
      <c r="B61" s="27">
        <f>IF(47&lt;=COUNTIF(Data!$AH$2:$AH$745,TRUE),47,"")</f>
        <v/>
      </c>
      <c r="C61" s="28">
        <f>IF(B61="","",IFERROR(_xlfn.IMAGE(IFERROR(IF(INDEX(Data!$J$2:$J$745,MATCH(47,Data!$AI$2:$AI$745,0))="","",INDEX(Data!$J$2:$J$745,MATCH(47,Data!$AI$2:$AI$745,0))),"")),"IMAGE COMING SOON"))</f>
        <v/>
      </c>
      <c r="D61" s="29">
        <f>IF(B61="","",IFERROR(IF(INDEX(Data!$G$2:$G$745,MATCH(47,Data!$AI$2:$AI$745,0))="","",INDEX(Data!$G$2:$G$745,MATCH(47,Data!$AI$2:$AI$745,0))),"")&amp;CHAR(10)&amp;IFERROR(IF(INDEX(Data!$H$2:$H$745,MATCH(47,Data!$AI$2:$AI$745,0))="","",INDEX(Data!$H$2:$H$745,MATCH(47,Data!$AI$2:$AI$745,0))),""))</f>
        <v/>
      </c>
      <c r="E61" s="27">
        <f>IF(B61="","",IFERROR(IF(INDEX(Data!$I$2:$I$745,MATCH(47,Data!$AI$2:$AI$745,0))="","",INDEX(Data!$I$2:$I$745,MATCH(47,Data!$AI$2:$AI$745,0))),""))</f>
        <v/>
      </c>
      <c r="F61" s="27">
        <f>IF(B61="","",IFERROR(IF(INDEX(Data!$AJ$2:$AJ$745,MATCH(47,Data!$AI$2:$AI$745,0))="","",INDEX(Data!$AJ$2:$AJ$745,MATCH(47,Data!$AI$2:$AI$745,0))),""))</f>
        <v/>
      </c>
      <c r="G61" s="27">
        <f>IF(B61="","",TRIM(IFERROR(IF(INDEX(Data!$AF$2:$AF$745,MATCH(47,Data!$AI$2:$AI$745,0))="","",INDEX(Data!$AF$2:$AF$745,MATCH(47,Data!$AI$2:$AI$745,0))),"")&amp;" "&amp;IFERROR(IF(INDEX(Data!$AG$2:$AG$745,MATCH(47,Data!$AI$2:$AI$745,0))="","",INDEX(Data!$AG$2:$AG$745,MATCH(47,Data!$AI$2:$AI$745,0))),"")))</f>
        <v/>
      </c>
      <c r="H61" s="37">
        <f>IF(B61="","",IFERROR(IF(INDEX(Data!$N$2:$N$745,MATCH(47,Data!$AI$2:$AI$745,0))="","",INDEX(Data!$N$2:$N$745,MATCH(47,Data!$AI$2:$AI$745,0))),""))</f>
        <v/>
      </c>
      <c r="I61" s="37">
        <f>IF(B61="","",IFERROR(IF(INDEX(Data!$O$2:$O$745,MATCH(47,Data!$AI$2:$AI$745,0))="","",INDEX(Data!$O$2:$O$745,MATCH(47,Data!$AI$2:$AI$745,0))),""))</f>
        <v/>
      </c>
      <c r="J61" s="31">
        <f>IF(B61="","",IFERROR(IF(INDEX(Data!$P$2:$P$745,MATCH(47,Data!$AI$2:$AI$745,0))="","",INDEX(Data!$P$2:$P$745,MATCH(47,Data!$AI$2:$AI$745,0))),""))</f>
        <v/>
      </c>
      <c r="K61" s="32">
        <f>IF(B61="","",IFERROR(IF(INDEX(Data!$R$2:$R$745,MATCH(47,Data!$AI$2:$AI$745,0))="","",INDEX(Data!$R$2:$R$745,MATCH(47,Data!$AI$2:$AI$745,0))),""))</f>
        <v/>
      </c>
      <c r="L61" s="33">
        <f>IF(B61="","",IFERROR(IF(INDEX(Data!$S$2:$S$745,MATCH(47,Data!$AI$2:$AI$745,0))="","",INDEX(Data!$S$2:$S$745,MATCH(47,Data!$AI$2:$AI$745,0))),""))</f>
        <v/>
      </c>
      <c r="M61" s="33">
        <f>IF(B61="","",IFERROR(IF(INDEX(Data!$T$2:$T$745,MATCH(47,Data!$AI$2:$AI$745,0))="","",INDEX(Data!$T$2:$T$745,MATCH(47,Data!$AI$2:$AI$745,0))),""))</f>
        <v/>
      </c>
      <c r="N61" s="34">
        <f>IF(B61="","",IFERROR(IF(INDEX(Data!$U$2:$U$745,MATCH(47,Data!$AI$2:$AI$745,0))="","",INDEX(Data!$U$2:$U$745,MATCH(47,Data!$AI$2:$AI$745,0))),""))</f>
        <v/>
      </c>
      <c r="O61" s="33">
        <f>IF(B61="","",IFERROR(IF(INDEX(Data!$V$2:$V$745,MATCH(47,Data!$AI$2:$AI$745,0))="","",INDEX(Data!$V$2:$V$745,MATCH(47,Data!$AI$2:$AI$745,0))),""))</f>
        <v/>
      </c>
      <c r="P61" s="33">
        <f>IF(B61="","",IFERROR(IF(INDEX(Data!$M$2:$M$745,MATCH(47,Data!$AI$2:$AI$745,0))="","",INDEX(Data!$M$2:$M$745,MATCH(47,Data!$AI$2:$AI$745,0))),""))</f>
        <v/>
      </c>
      <c r="Q61" s="31">
        <f>IF(B61="","",IFERROR(IF(INDEX(Data!$AD$2:$AD$745,MATCH(47,Data!$AI$2:$AI$745,0))="","",INDEX(Data!$AD$2:$AD$745,MATCH(47,Data!$AI$2:$AI$745,0))),""))</f>
        <v/>
      </c>
      <c r="R61" s="27">
        <f>IF(B61="","",IFERROR(IF(INDEX(Data!$L$2:$L$745,MATCH(47,Data!$AI$2:$AI$745,0))="","",INDEX(Data!$L$2:$L$745,MATCH(47,Data!$AI$2:$AI$745,0))),""))</f>
        <v/>
      </c>
      <c r="AB61" t="inlineStr">
        <is>
          <t>Dlerom</t>
        </is>
      </c>
    </row>
    <row r="62" ht="62" customHeight="1">
      <c r="B62" s="27">
        <f>IF(48&lt;=COUNTIF(Data!$AH$2:$AH$745,TRUE),48,"")</f>
        <v/>
      </c>
      <c r="C62" s="28">
        <f>IF(B62="","",IFERROR(_xlfn.IMAGE(IFERROR(IF(INDEX(Data!$J$2:$J$745,MATCH(48,Data!$AI$2:$AI$745,0))="","",INDEX(Data!$J$2:$J$745,MATCH(48,Data!$AI$2:$AI$745,0))),"")),"IMAGE COMING SOON"))</f>
        <v/>
      </c>
      <c r="D62" s="29">
        <f>IF(B62="","",IFERROR(IF(INDEX(Data!$G$2:$G$745,MATCH(48,Data!$AI$2:$AI$745,0))="","",INDEX(Data!$G$2:$G$745,MATCH(48,Data!$AI$2:$AI$745,0))),"")&amp;CHAR(10)&amp;IFERROR(IF(INDEX(Data!$H$2:$H$745,MATCH(48,Data!$AI$2:$AI$745,0))="","",INDEX(Data!$H$2:$H$745,MATCH(48,Data!$AI$2:$AI$745,0))),""))</f>
        <v/>
      </c>
      <c r="E62" s="27">
        <f>IF(B62="","",IFERROR(IF(INDEX(Data!$I$2:$I$745,MATCH(48,Data!$AI$2:$AI$745,0))="","",INDEX(Data!$I$2:$I$745,MATCH(48,Data!$AI$2:$AI$745,0))),""))</f>
        <v/>
      </c>
      <c r="F62" s="27">
        <f>IF(B62="","",IFERROR(IF(INDEX(Data!$AJ$2:$AJ$745,MATCH(48,Data!$AI$2:$AI$745,0))="","",INDEX(Data!$AJ$2:$AJ$745,MATCH(48,Data!$AI$2:$AI$745,0))),""))</f>
        <v/>
      </c>
      <c r="G62" s="27">
        <f>IF(B62="","",TRIM(IFERROR(IF(INDEX(Data!$AF$2:$AF$745,MATCH(48,Data!$AI$2:$AI$745,0))="","",INDEX(Data!$AF$2:$AF$745,MATCH(48,Data!$AI$2:$AI$745,0))),"")&amp;" "&amp;IFERROR(IF(INDEX(Data!$AG$2:$AG$745,MATCH(48,Data!$AI$2:$AI$745,0))="","",INDEX(Data!$AG$2:$AG$745,MATCH(48,Data!$AI$2:$AI$745,0))),"")))</f>
        <v/>
      </c>
      <c r="H62" s="37">
        <f>IF(B62="","",IFERROR(IF(INDEX(Data!$N$2:$N$745,MATCH(48,Data!$AI$2:$AI$745,0))="","",INDEX(Data!$N$2:$N$745,MATCH(48,Data!$AI$2:$AI$745,0))),""))</f>
        <v/>
      </c>
      <c r="I62" s="37">
        <f>IF(B62="","",IFERROR(IF(INDEX(Data!$O$2:$O$745,MATCH(48,Data!$AI$2:$AI$745,0))="","",INDEX(Data!$O$2:$O$745,MATCH(48,Data!$AI$2:$AI$745,0))),""))</f>
        <v/>
      </c>
      <c r="J62" s="31">
        <f>IF(B62="","",IFERROR(IF(INDEX(Data!$P$2:$P$745,MATCH(48,Data!$AI$2:$AI$745,0))="","",INDEX(Data!$P$2:$P$745,MATCH(48,Data!$AI$2:$AI$745,0))),""))</f>
        <v/>
      </c>
      <c r="K62" s="32">
        <f>IF(B62="","",IFERROR(IF(INDEX(Data!$R$2:$R$745,MATCH(48,Data!$AI$2:$AI$745,0))="","",INDEX(Data!$R$2:$R$745,MATCH(48,Data!$AI$2:$AI$745,0))),""))</f>
        <v/>
      </c>
      <c r="L62" s="33">
        <f>IF(B62="","",IFERROR(IF(INDEX(Data!$S$2:$S$745,MATCH(48,Data!$AI$2:$AI$745,0))="","",INDEX(Data!$S$2:$S$745,MATCH(48,Data!$AI$2:$AI$745,0))),""))</f>
        <v/>
      </c>
      <c r="M62" s="33">
        <f>IF(B62="","",IFERROR(IF(INDEX(Data!$T$2:$T$745,MATCH(48,Data!$AI$2:$AI$745,0))="","",INDEX(Data!$T$2:$T$745,MATCH(48,Data!$AI$2:$AI$745,0))),""))</f>
        <v/>
      </c>
      <c r="N62" s="34">
        <f>IF(B62="","",IFERROR(IF(INDEX(Data!$U$2:$U$745,MATCH(48,Data!$AI$2:$AI$745,0))="","",INDEX(Data!$U$2:$U$745,MATCH(48,Data!$AI$2:$AI$745,0))),""))</f>
        <v/>
      </c>
      <c r="O62" s="33">
        <f>IF(B62="","",IFERROR(IF(INDEX(Data!$V$2:$V$745,MATCH(48,Data!$AI$2:$AI$745,0))="","",INDEX(Data!$V$2:$V$745,MATCH(48,Data!$AI$2:$AI$745,0))),""))</f>
        <v/>
      </c>
      <c r="P62" s="33">
        <f>IF(B62="","",IFERROR(IF(INDEX(Data!$M$2:$M$745,MATCH(48,Data!$AI$2:$AI$745,0))="","",INDEX(Data!$M$2:$M$745,MATCH(48,Data!$AI$2:$AI$745,0))),""))</f>
        <v/>
      </c>
      <c r="Q62" s="31">
        <f>IF(B62="","",IFERROR(IF(INDEX(Data!$AD$2:$AD$745,MATCH(48,Data!$AI$2:$AI$745,0))="","",INDEX(Data!$AD$2:$AD$745,MATCH(48,Data!$AI$2:$AI$745,0))),""))</f>
        <v/>
      </c>
      <c r="R62" s="27">
        <f>IF(B62="","",IFERROR(IF(INDEX(Data!$L$2:$L$745,MATCH(48,Data!$AI$2:$AI$745,0))="","",INDEX(Data!$L$2:$L$745,MATCH(48,Data!$AI$2:$AI$745,0))),""))</f>
        <v/>
      </c>
      <c r="AB62" t="inlineStr">
        <is>
          <t>DOUSUI</t>
        </is>
      </c>
    </row>
    <row r="63" ht="62" customHeight="1">
      <c r="B63" s="27">
        <f>IF(49&lt;=COUNTIF(Data!$AH$2:$AH$745,TRUE),49,"")</f>
        <v/>
      </c>
      <c r="C63" s="28">
        <f>IF(B63="","",IFERROR(_xlfn.IMAGE(IFERROR(IF(INDEX(Data!$J$2:$J$745,MATCH(49,Data!$AI$2:$AI$745,0))="","",INDEX(Data!$J$2:$J$745,MATCH(49,Data!$AI$2:$AI$745,0))),"")),"IMAGE COMING SOON"))</f>
        <v/>
      </c>
      <c r="D63" s="29">
        <f>IF(B63="","",IFERROR(IF(INDEX(Data!$G$2:$G$745,MATCH(49,Data!$AI$2:$AI$745,0))="","",INDEX(Data!$G$2:$G$745,MATCH(49,Data!$AI$2:$AI$745,0))),"")&amp;CHAR(10)&amp;IFERROR(IF(INDEX(Data!$H$2:$H$745,MATCH(49,Data!$AI$2:$AI$745,0))="","",INDEX(Data!$H$2:$H$745,MATCH(49,Data!$AI$2:$AI$745,0))),""))</f>
        <v/>
      </c>
      <c r="E63" s="27">
        <f>IF(B63="","",IFERROR(IF(INDEX(Data!$I$2:$I$745,MATCH(49,Data!$AI$2:$AI$745,0))="","",INDEX(Data!$I$2:$I$745,MATCH(49,Data!$AI$2:$AI$745,0))),""))</f>
        <v/>
      </c>
      <c r="F63" s="27">
        <f>IF(B63="","",IFERROR(IF(INDEX(Data!$AJ$2:$AJ$745,MATCH(49,Data!$AI$2:$AI$745,0))="","",INDEX(Data!$AJ$2:$AJ$745,MATCH(49,Data!$AI$2:$AI$745,0))),""))</f>
        <v/>
      </c>
      <c r="G63" s="27">
        <f>IF(B63="","",TRIM(IFERROR(IF(INDEX(Data!$AF$2:$AF$745,MATCH(49,Data!$AI$2:$AI$745,0))="","",INDEX(Data!$AF$2:$AF$745,MATCH(49,Data!$AI$2:$AI$745,0))),"")&amp;" "&amp;IFERROR(IF(INDEX(Data!$AG$2:$AG$745,MATCH(49,Data!$AI$2:$AI$745,0))="","",INDEX(Data!$AG$2:$AG$745,MATCH(49,Data!$AI$2:$AI$745,0))),"")))</f>
        <v/>
      </c>
      <c r="H63" s="37">
        <f>IF(B63="","",IFERROR(IF(INDEX(Data!$N$2:$N$745,MATCH(49,Data!$AI$2:$AI$745,0))="","",INDEX(Data!$N$2:$N$745,MATCH(49,Data!$AI$2:$AI$745,0))),""))</f>
        <v/>
      </c>
      <c r="I63" s="37">
        <f>IF(B63="","",IFERROR(IF(INDEX(Data!$O$2:$O$745,MATCH(49,Data!$AI$2:$AI$745,0))="","",INDEX(Data!$O$2:$O$745,MATCH(49,Data!$AI$2:$AI$745,0))),""))</f>
        <v/>
      </c>
      <c r="J63" s="31">
        <f>IF(B63="","",IFERROR(IF(INDEX(Data!$P$2:$P$745,MATCH(49,Data!$AI$2:$AI$745,0))="","",INDEX(Data!$P$2:$P$745,MATCH(49,Data!$AI$2:$AI$745,0))),""))</f>
        <v/>
      </c>
      <c r="K63" s="32">
        <f>IF(B63="","",IFERROR(IF(INDEX(Data!$R$2:$R$745,MATCH(49,Data!$AI$2:$AI$745,0))="","",INDEX(Data!$R$2:$R$745,MATCH(49,Data!$AI$2:$AI$745,0))),""))</f>
        <v/>
      </c>
      <c r="L63" s="33">
        <f>IF(B63="","",IFERROR(IF(INDEX(Data!$S$2:$S$745,MATCH(49,Data!$AI$2:$AI$745,0))="","",INDEX(Data!$S$2:$S$745,MATCH(49,Data!$AI$2:$AI$745,0))),""))</f>
        <v/>
      </c>
      <c r="M63" s="33">
        <f>IF(B63="","",IFERROR(IF(INDEX(Data!$T$2:$T$745,MATCH(49,Data!$AI$2:$AI$745,0))="","",INDEX(Data!$T$2:$T$745,MATCH(49,Data!$AI$2:$AI$745,0))),""))</f>
        <v/>
      </c>
      <c r="N63" s="34">
        <f>IF(B63="","",IFERROR(IF(INDEX(Data!$U$2:$U$745,MATCH(49,Data!$AI$2:$AI$745,0))="","",INDEX(Data!$U$2:$U$745,MATCH(49,Data!$AI$2:$AI$745,0))),""))</f>
        <v/>
      </c>
      <c r="O63" s="33">
        <f>IF(B63="","",IFERROR(IF(INDEX(Data!$V$2:$V$745,MATCH(49,Data!$AI$2:$AI$745,0))="","",INDEX(Data!$V$2:$V$745,MATCH(49,Data!$AI$2:$AI$745,0))),""))</f>
        <v/>
      </c>
      <c r="P63" s="33">
        <f>IF(B63="","",IFERROR(IF(INDEX(Data!$M$2:$M$745,MATCH(49,Data!$AI$2:$AI$745,0))="","",INDEX(Data!$M$2:$M$745,MATCH(49,Data!$AI$2:$AI$745,0))),""))</f>
        <v/>
      </c>
      <c r="Q63" s="31">
        <f>IF(B63="","",IFERROR(IF(INDEX(Data!$AD$2:$AD$745,MATCH(49,Data!$AI$2:$AI$745,0))="","",INDEX(Data!$AD$2:$AD$745,MATCH(49,Data!$AI$2:$AI$745,0))),""))</f>
        <v/>
      </c>
      <c r="R63" s="27">
        <f>IF(B63="","",IFERROR(IF(INDEX(Data!$L$2:$L$745,MATCH(49,Data!$AI$2:$AI$745,0))="","",INDEX(Data!$L$2:$L$745,MATCH(49,Data!$AI$2:$AI$745,0))),""))</f>
        <v/>
      </c>
      <c r="AB63" t="inlineStr">
        <is>
          <t>DOWNCOOL</t>
        </is>
      </c>
    </row>
    <row r="64" ht="62" customHeight="1">
      <c r="B64" s="27">
        <f>IF(50&lt;=COUNTIF(Data!$AH$2:$AH$745,TRUE),50,"")</f>
        <v/>
      </c>
      <c r="C64" s="28">
        <f>IF(B64="","",IFERROR(_xlfn.IMAGE(IFERROR(IF(INDEX(Data!$J$2:$J$745,MATCH(50,Data!$AI$2:$AI$745,0))="","",INDEX(Data!$J$2:$J$745,MATCH(50,Data!$AI$2:$AI$745,0))),"")),"IMAGE COMING SOON"))</f>
        <v/>
      </c>
      <c r="D64" s="29">
        <f>IF(B64="","",IFERROR(IF(INDEX(Data!$G$2:$G$745,MATCH(50,Data!$AI$2:$AI$745,0))="","",INDEX(Data!$G$2:$G$745,MATCH(50,Data!$AI$2:$AI$745,0))),"")&amp;CHAR(10)&amp;IFERROR(IF(INDEX(Data!$H$2:$H$745,MATCH(50,Data!$AI$2:$AI$745,0))="","",INDEX(Data!$H$2:$H$745,MATCH(50,Data!$AI$2:$AI$745,0))),""))</f>
        <v/>
      </c>
      <c r="E64" s="27">
        <f>IF(B64="","",IFERROR(IF(INDEX(Data!$I$2:$I$745,MATCH(50,Data!$AI$2:$AI$745,0))="","",INDEX(Data!$I$2:$I$745,MATCH(50,Data!$AI$2:$AI$745,0))),""))</f>
        <v/>
      </c>
      <c r="F64" s="27">
        <f>IF(B64="","",IFERROR(IF(INDEX(Data!$AJ$2:$AJ$745,MATCH(50,Data!$AI$2:$AI$745,0))="","",INDEX(Data!$AJ$2:$AJ$745,MATCH(50,Data!$AI$2:$AI$745,0))),""))</f>
        <v/>
      </c>
      <c r="G64" s="27">
        <f>IF(B64="","",TRIM(IFERROR(IF(INDEX(Data!$AF$2:$AF$745,MATCH(50,Data!$AI$2:$AI$745,0))="","",INDEX(Data!$AF$2:$AF$745,MATCH(50,Data!$AI$2:$AI$745,0))),"")&amp;" "&amp;IFERROR(IF(INDEX(Data!$AG$2:$AG$745,MATCH(50,Data!$AI$2:$AI$745,0))="","",INDEX(Data!$AG$2:$AG$745,MATCH(50,Data!$AI$2:$AI$745,0))),"")))</f>
        <v/>
      </c>
      <c r="H64" s="37">
        <f>IF(B64="","",IFERROR(IF(INDEX(Data!$N$2:$N$745,MATCH(50,Data!$AI$2:$AI$745,0))="","",INDEX(Data!$N$2:$N$745,MATCH(50,Data!$AI$2:$AI$745,0))),""))</f>
        <v/>
      </c>
      <c r="I64" s="37">
        <f>IF(B64="","",IFERROR(IF(INDEX(Data!$O$2:$O$745,MATCH(50,Data!$AI$2:$AI$745,0))="","",INDEX(Data!$O$2:$O$745,MATCH(50,Data!$AI$2:$AI$745,0))),""))</f>
        <v/>
      </c>
      <c r="J64" s="31">
        <f>IF(B64="","",IFERROR(IF(INDEX(Data!$P$2:$P$745,MATCH(50,Data!$AI$2:$AI$745,0))="","",INDEX(Data!$P$2:$P$745,MATCH(50,Data!$AI$2:$AI$745,0))),""))</f>
        <v/>
      </c>
      <c r="K64" s="32">
        <f>IF(B64="","",IFERROR(IF(INDEX(Data!$R$2:$R$745,MATCH(50,Data!$AI$2:$AI$745,0))="","",INDEX(Data!$R$2:$R$745,MATCH(50,Data!$AI$2:$AI$745,0))),""))</f>
        <v/>
      </c>
      <c r="L64" s="33">
        <f>IF(B64="","",IFERROR(IF(INDEX(Data!$S$2:$S$745,MATCH(50,Data!$AI$2:$AI$745,0))="","",INDEX(Data!$S$2:$S$745,MATCH(50,Data!$AI$2:$AI$745,0))),""))</f>
        <v/>
      </c>
      <c r="M64" s="33">
        <f>IF(B64="","",IFERROR(IF(INDEX(Data!$T$2:$T$745,MATCH(50,Data!$AI$2:$AI$745,0))="","",INDEX(Data!$T$2:$T$745,MATCH(50,Data!$AI$2:$AI$745,0))),""))</f>
        <v/>
      </c>
      <c r="N64" s="34">
        <f>IF(B64="","",IFERROR(IF(INDEX(Data!$U$2:$U$745,MATCH(50,Data!$AI$2:$AI$745,0))="","",INDEX(Data!$U$2:$U$745,MATCH(50,Data!$AI$2:$AI$745,0))),""))</f>
        <v/>
      </c>
      <c r="O64" s="33">
        <f>IF(B64="","",IFERROR(IF(INDEX(Data!$V$2:$V$745,MATCH(50,Data!$AI$2:$AI$745,0))="","",INDEX(Data!$V$2:$V$745,MATCH(50,Data!$AI$2:$AI$745,0))),""))</f>
        <v/>
      </c>
      <c r="P64" s="33">
        <f>IF(B64="","",IFERROR(IF(INDEX(Data!$M$2:$M$745,MATCH(50,Data!$AI$2:$AI$745,0))="","",INDEX(Data!$M$2:$M$745,MATCH(50,Data!$AI$2:$AI$745,0))),""))</f>
        <v/>
      </c>
      <c r="Q64" s="31">
        <f>IF(B64="","",IFERROR(IF(INDEX(Data!$AD$2:$AD$745,MATCH(50,Data!$AI$2:$AI$745,0))="","",INDEX(Data!$AD$2:$AD$745,MATCH(50,Data!$AI$2:$AI$745,0))),""))</f>
        <v/>
      </c>
      <c r="R64" s="27">
        <f>IF(B64="","",IFERROR(IF(INDEX(Data!$L$2:$L$745,MATCH(50,Data!$AI$2:$AI$745,0))="","",INDEX(Data!$L$2:$L$745,MATCH(50,Data!$AI$2:$AI$745,0))),""))</f>
        <v/>
      </c>
      <c r="AB64" t="inlineStr">
        <is>
          <t>DOZ by SIJO</t>
        </is>
      </c>
    </row>
    <row r="65" ht="62" customHeight="1">
      <c r="B65" s="27">
        <f>IF(51&lt;=COUNTIF(Data!$AH$2:$AH$745,TRUE),51,"")</f>
        <v/>
      </c>
      <c r="C65" s="28">
        <f>IF(B65="","",IFERROR(_xlfn.IMAGE(IFERROR(IF(INDEX(Data!$J$2:$J$745,MATCH(51,Data!$AI$2:$AI$745,0))="","",INDEX(Data!$J$2:$J$745,MATCH(51,Data!$AI$2:$AI$745,0))),"")),"IMAGE COMING SOON"))</f>
        <v/>
      </c>
      <c r="D65" s="29">
        <f>IF(B65="","",IFERROR(IF(INDEX(Data!$G$2:$G$745,MATCH(51,Data!$AI$2:$AI$745,0))="","",INDEX(Data!$G$2:$G$745,MATCH(51,Data!$AI$2:$AI$745,0))),"")&amp;CHAR(10)&amp;IFERROR(IF(INDEX(Data!$H$2:$H$745,MATCH(51,Data!$AI$2:$AI$745,0))="","",INDEX(Data!$H$2:$H$745,MATCH(51,Data!$AI$2:$AI$745,0))),""))</f>
        <v/>
      </c>
      <c r="E65" s="27">
        <f>IF(B65="","",IFERROR(IF(INDEX(Data!$I$2:$I$745,MATCH(51,Data!$AI$2:$AI$745,0))="","",INDEX(Data!$I$2:$I$745,MATCH(51,Data!$AI$2:$AI$745,0))),""))</f>
        <v/>
      </c>
      <c r="F65" s="27">
        <f>IF(B65="","",IFERROR(IF(INDEX(Data!$AJ$2:$AJ$745,MATCH(51,Data!$AI$2:$AI$745,0))="","",INDEX(Data!$AJ$2:$AJ$745,MATCH(51,Data!$AI$2:$AI$745,0))),""))</f>
        <v/>
      </c>
      <c r="G65" s="27">
        <f>IF(B65="","",TRIM(IFERROR(IF(INDEX(Data!$AF$2:$AF$745,MATCH(51,Data!$AI$2:$AI$745,0))="","",INDEX(Data!$AF$2:$AF$745,MATCH(51,Data!$AI$2:$AI$745,0))),"")&amp;" "&amp;IFERROR(IF(INDEX(Data!$AG$2:$AG$745,MATCH(51,Data!$AI$2:$AI$745,0))="","",INDEX(Data!$AG$2:$AG$745,MATCH(51,Data!$AI$2:$AI$745,0))),"")))</f>
        <v/>
      </c>
      <c r="H65" s="37">
        <f>IF(B65="","",IFERROR(IF(INDEX(Data!$N$2:$N$745,MATCH(51,Data!$AI$2:$AI$745,0))="","",INDEX(Data!$N$2:$N$745,MATCH(51,Data!$AI$2:$AI$745,0))),""))</f>
        <v/>
      </c>
      <c r="I65" s="37">
        <f>IF(B65="","",IFERROR(IF(INDEX(Data!$O$2:$O$745,MATCH(51,Data!$AI$2:$AI$745,0))="","",INDEX(Data!$O$2:$O$745,MATCH(51,Data!$AI$2:$AI$745,0))),""))</f>
        <v/>
      </c>
      <c r="J65" s="31">
        <f>IF(B65="","",IFERROR(IF(INDEX(Data!$P$2:$P$745,MATCH(51,Data!$AI$2:$AI$745,0))="","",INDEX(Data!$P$2:$P$745,MATCH(51,Data!$AI$2:$AI$745,0))),""))</f>
        <v/>
      </c>
      <c r="K65" s="32">
        <f>IF(B65="","",IFERROR(IF(INDEX(Data!$R$2:$R$745,MATCH(51,Data!$AI$2:$AI$745,0))="","",INDEX(Data!$R$2:$R$745,MATCH(51,Data!$AI$2:$AI$745,0))),""))</f>
        <v/>
      </c>
      <c r="L65" s="33">
        <f>IF(B65="","",IFERROR(IF(INDEX(Data!$S$2:$S$745,MATCH(51,Data!$AI$2:$AI$745,0))="","",INDEX(Data!$S$2:$S$745,MATCH(51,Data!$AI$2:$AI$745,0))),""))</f>
        <v/>
      </c>
      <c r="M65" s="33">
        <f>IF(B65="","",IFERROR(IF(INDEX(Data!$T$2:$T$745,MATCH(51,Data!$AI$2:$AI$745,0))="","",INDEX(Data!$T$2:$T$745,MATCH(51,Data!$AI$2:$AI$745,0))),""))</f>
        <v/>
      </c>
      <c r="N65" s="34">
        <f>IF(B65="","",IFERROR(IF(INDEX(Data!$U$2:$U$745,MATCH(51,Data!$AI$2:$AI$745,0))="","",INDEX(Data!$U$2:$U$745,MATCH(51,Data!$AI$2:$AI$745,0))),""))</f>
        <v/>
      </c>
      <c r="O65" s="33">
        <f>IF(B65="","",IFERROR(IF(INDEX(Data!$V$2:$V$745,MATCH(51,Data!$AI$2:$AI$745,0))="","",INDEX(Data!$V$2:$V$745,MATCH(51,Data!$AI$2:$AI$745,0))),""))</f>
        <v/>
      </c>
      <c r="P65" s="33">
        <f>IF(B65="","",IFERROR(IF(INDEX(Data!$M$2:$M$745,MATCH(51,Data!$AI$2:$AI$745,0))="","",INDEX(Data!$M$2:$M$745,MATCH(51,Data!$AI$2:$AI$745,0))),""))</f>
        <v/>
      </c>
      <c r="Q65" s="31">
        <f>IF(B65="","",IFERROR(IF(INDEX(Data!$AD$2:$AD$745,MATCH(51,Data!$AI$2:$AI$745,0))="","",INDEX(Data!$AD$2:$AD$745,MATCH(51,Data!$AI$2:$AI$745,0))),""))</f>
        <v/>
      </c>
      <c r="R65" s="27">
        <f>IF(B65="","",IFERROR(IF(INDEX(Data!$L$2:$L$745,MATCH(51,Data!$AI$2:$AI$745,0))="","",INDEX(Data!$L$2:$L$745,MATCH(51,Data!$AI$2:$AI$745,0))),""))</f>
        <v/>
      </c>
      <c r="AB65" t="inlineStr">
        <is>
          <t>DREAMCARE</t>
        </is>
      </c>
    </row>
    <row r="66" ht="62" customHeight="1">
      <c r="B66" s="27">
        <f>IF(52&lt;=COUNTIF(Data!$AH$2:$AH$745,TRUE),52,"")</f>
        <v/>
      </c>
      <c r="C66" s="28">
        <f>IF(B66="","",IFERROR(_xlfn.IMAGE(IFERROR(IF(INDEX(Data!$J$2:$J$745,MATCH(52,Data!$AI$2:$AI$745,0))="","",INDEX(Data!$J$2:$J$745,MATCH(52,Data!$AI$2:$AI$745,0))),"")),"IMAGE COMING SOON"))</f>
        <v/>
      </c>
      <c r="D66" s="29">
        <f>IF(B66="","",IFERROR(IF(INDEX(Data!$G$2:$G$745,MATCH(52,Data!$AI$2:$AI$745,0))="","",INDEX(Data!$G$2:$G$745,MATCH(52,Data!$AI$2:$AI$745,0))),"")&amp;CHAR(10)&amp;IFERROR(IF(INDEX(Data!$H$2:$H$745,MATCH(52,Data!$AI$2:$AI$745,0))="","",INDEX(Data!$H$2:$H$745,MATCH(52,Data!$AI$2:$AI$745,0))),""))</f>
        <v/>
      </c>
      <c r="E66" s="27">
        <f>IF(B66="","",IFERROR(IF(INDEX(Data!$I$2:$I$745,MATCH(52,Data!$AI$2:$AI$745,0))="","",INDEX(Data!$I$2:$I$745,MATCH(52,Data!$AI$2:$AI$745,0))),""))</f>
        <v/>
      </c>
      <c r="F66" s="27">
        <f>IF(B66="","",IFERROR(IF(INDEX(Data!$AJ$2:$AJ$745,MATCH(52,Data!$AI$2:$AI$745,0))="","",INDEX(Data!$AJ$2:$AJ$745,MATCH(52,Data!$AI$2:$AI$745,0))),""))</f>
        <v/>
      </c>
      <c r="G66" s="27">
        <f>IF(B66="","",TRIM(IFERROR(IF(INDEX(Data!$AF$2:$AF$745,MATCH(52,Data!$AI$2:$AI$745,0))="","",INDEX(Data!$AF$2:$AF$745,MATCH(52,Data!$AI$2:$AI$745,0))),"")&amp;" "&amp;IFERROR(IF(INDEX(Data!$AG$2:$AG$745,MATCH(52,Data!$AI$2:$AI$745,0))="","",INDEX(Data!$AG$2:$AG$745,MATCH(52,Data!$AI$2:$AI$745,0))),"")))</f>
        <v/>
      </c>
      <c r="H66" s="37">
        <f>IF(B66="","",IFERROR(IF(INDEX(Data!$N$2:$N$745,MATCH(52,Data!$AI$2:$AI$745,0))="","",INDEX(Data!$N$2:$N$745,MATCH(52,Data!$AI$2:$AI$745,0))),""))</f>
        <v/>
      </c>
      <c r="I66" s="37">
        <f>IF(B66="","",IFERROR(IF(INDEX(Data!$O$2:$O$745,MATCH(52,Data!$AI$2:$AI$745,0))="","",INDEX(Data!$O$2:$O$745,MATCH(52,Data!$AI$2:$AI$745,0))),""))</f>
        <v/>
      </c>
      <c r="J66" s="31">
        <f>IF(B66="","",IFERROR(IF(INDEX(Data!$P$2:$P$745,MATCH(52,Data!$AI$2:$AI$745,0))="","",INDEX(Data!$P$2:$P$745,MATCH(52,Data!$AI$2:$AI$745,0))),""))</f>
        <v/>
      </c>
      <c r="K66" s="32">
        <f>IF(B66="","",IFERROR(IF(INDEX(Data!$R$2:$R$745,MATCH(52,Data!$AI$2:$AI$745,0))="","",INDEX(Data!$R$2:$R$745,MATCH(52,Data!$AI$2:$AI$745,0))),""))</f>
        <v/>
      </c>
      <c r="L66" s="33">
        <f>IF(B66="","",IFERROR(IF(INDEX(Data!$S$2:$S$745,MATCH(52,Data!$AI$2:$AI$745,0))="","",INDEX(Data!$S$2:$S$745,MATCH(52,Data!$AI$2:$AI$745,0))),""))</f>
        <v/>
      </c>
      <c r="M66" s="33">
        <f>IF(B66="","",IFERROR(IF(INDEX(Data!$T$2:$T$745,MATCH(52,Data!$AI$2:$AI$745,0))="","",INDEX(Data!$T$2:$T$745,MATCH(52,Data!$AI$2:$AI$745,0))),""))</f>
        <v/>
      </c>
      <c r="N66" s="34">
        <f>IF(B66="","",IFERROR(IF(INDEX(Data!$U$2:$U$745,MATCH(52,Data!$AI$2:$AI$745,0))="","",INDEX(Data!$U$2:$U$745,MATCH(52,Data!$AI$2:$AI$745,0))),""))</f>
        <v/>
      </c>
      <c r="O66" s="33">
        <f>IF(B66="","",IFERROR(IF(INDEX(Data!$V$2:$V$745,MATCH(52,Data!$AI$2:$AI$745,0))="","",INDEX(Data!$V$2:$V$745,MATCH(52,Data!$AI$2:$AI$745,0))),""))</f>
        <v/>
      </c>
      <c r="P66" s="33">
        <f>IF(B66="","",IFERROR(IF(INDEX(Data!$M$2:$M$745,MATCH(52,Data!$AI$2:$AI$745,0))="","",INDEX(Data!$M$2:$M$745,MATCH(52,Data!$AI$2:$AI$745,0))),""))</f>
        <v/>
      </c>
      <c r="Q66" s="31">
        <f>IF(B66="","",IFERROR(IF(INDEX(Data!$AD$2:$AD$745,MATCH(52,Data!$AI$2:$AI$745,0))="","",INDEX(Data!$AD$2:$AD$745,MATCH(52,Data!$AI$2:$AI$745,0))),""))</f>
        <v/>
      </c>
      <c r="R66" s="27">
        <f>IF(B66="","",IFERROR(IF(INDEX(Data!$L$2:$L$745,MATCH(52,Data!$AI$2:$AI$745,0))="","",INDEX(Data!$L$2:$L$745,MATCH(52,Data!$AI$2:$AI$745,0))),""))</f>
        <v/>
      </c>
      <c r="AB66" t="inlineStr">
        <is>
          <t>DROWSY</t>
        </is>
      </c>
    </row>
    <row r="67" ht="62" customHeight="1">
      <c r="B67" s="27">
        <f>IF(53&lt;=COUNTIF(Data!$AH$2:$AH$745,TRUE),53,"")</f>
        <v/>
      </c>
      <c r="C67" s="28">
        <f>IF(B67="","",IFERROR(_xlfn.IMAGE(IFERROR(IF(INDEX(Data!$J$2:$J$745,MATCH(53,Data!$AI$2:$AI$745,0))="","",INDEX(Data!$J$2:$J$745,MATCH(53,Data!$AI$2:$AI$745,0))),"")),"IMAGE COMING SOON"))</f>
        <v/>
      </c>
      <c r="D67" s="29">
        <f>IF(B67="","",IFERROR(IF(INDEX(Data!$G$2:$G$745,MATCH(53,Data!$AI$2:$AI$745,0))="","",INDEX(Data!$G$2:$G$745,MATCH(53,Data!$AI$2:$AI$745,0))),"")&amp;CHAR(10)&amp;IFERROR(IF(INDEX(Data!$H$2:$H$745,MATCH(53,Data!$AI$2:$AI$745,0))="","",INDEX(Data!$H$2:$H$745,MATCH(53,Data!$AI$2:$AI$745,0))),""))</f>
        <v/>
      </c>
      <c r="E67" s="27">
        <f>IF(B67="","",IFERROR(IF(INDEX(Data!$I$2:$I$745,MATCH(53,Data!$AI$2:$AI$745,0))="","",INDEX(Data!$I$2:$I$745,MATCH(53,Data!$AI$2:$AI$745,0))),""))</f>
        <v/>
      </c>
      <c r="F67" s="27">
        <f>IF(B67="","",IFERROR(IF(INDEX(Data!$AJ$2:$AJ$745,MATCH(53,Data!$AI$2:$AI$745,0))="","",INDEX(Data!$AJ$2:$AJ$745,MATCH(53,Data!$AI$2:$AI$745,0))),""))</f>
        <v/>
      </c>
      <c r="G67" s="27">
        <f>IF(B67="","",TRIM(IFERROR(IF(INDEX(Data!$AF$2:$AF$745,MATCH(53,Data!$AI$2:$AI$745,0))="","",INDEX(Data!$AF$2:$AF$745,MATCH(53,Data!$AI$2:$AI$745,0))),"")&amp;" "&amp;IFERROR(IF(INDEX(Data!$AG$2:$AG$745,MATCH(53,Data!$AI$2:$AI$745,0))="","",INDEX(Data!$AG$2:$AG$745,MATCH(53,Data!$AI$2:$AI$745,0))),"")))</f>
        <v/>
      </c>
      <c r="H67" s="37">
        <f>IF(B67="","",IFERROR(IF(INDEX(Data!$N$2:$N$745,MATCH(53,Data!$AI$2:$AI$745,0))="","",INDEX(Data!$N$2:$N$745,MATCH(53,Data!$AI$2:$AI$745,0))),""))</f>
        <v/>
      </c>
      <c r="I67" s="37">
        <f>IF(B67="","",IFERROR(IF(INDEX(Data!$O$2:$O$745,MATCH(53,Data!$AI$2:$AI$745,0))="","",INDEX(Data!$O$2:$O$745,MATCH(53,Data!$AI$2:$AI$745,0))),""))</f>
        <v/>
      </c>
      <c r="J67" s="31">
        <f>IF(B67="","",IFERROR(IF(INDEX(Data!$P$2:$P$745,MATCH(53,Data!$AI$2:$AI$745,0))="","",INDEX(Data!$P$2:$P$745,MATCH(53,Data!$AI$2:$AI$745,0))),""))</f>
        <v/>
      </c>
      <c r="K67" s="32">
        <f>IF(B67="","",IFERROR(IF(INDEX(Data!$R$2:$R$745,MATCH(53,Data!$AI$2:$AI$745,0))="","",INDEX(Data!$R$2:$R$745,MATCH(53,Data!$AI$2:$AI$745,0))),""))</f>
        <v/>
      </c>
      <c r="L67" s="33">
        <f>IF(B67="","",IFERROR(IF(INDEX(Data!$S$2:$S$745,MATCH(53,Data!$AI$2:$AI$745,0))="","",INDEX(Data!$S$2:$S$745,MATCH(53,Data!$AI$2:$AI$745,0))),""))</f>
        <v/>
      </c>
      <c r="M67" s="33">
        <f>IF(B67="","",IFERROR(IF(INDEX(Data!$T$2:$T$745,MATCH(53,Data!$AI$2:$AI$745,0))="","",INDEX(Data!$T$2:$T$745,MATCH(53,Data!$AI$2:$AI$745,0))),""))</f>
        <v/>
      </c>
      <c r="N67" s="34">
        <f>IF(B67="","",IFERROR(IF(INDEX(Data!$U$2:$U$745,MATCH(53,Data!$AI$2:$AI$745,0))="","",INDEX(Data!$U$2:$U$745,MATCH(53,Data!$AI$2:$AI$745,0))),""))</f>
        <v/>
      </c>
      <c r="O67" s="33">
        <f>IF(B67="","",IFERROR(IF(INDEX(Data!$V$2:$V$745,MATCH(53,Data!$AI$2:$AI$745,0))="","",INDEX(Data!$V$2:$V$745,MATCH(53,Data!$AI$2:$AI$745,0))),""))</f>
        <v/>
      </c>
      <c r="P67" s="33">
        <f>IF(B67="","",IFERROR(IF(INDEX(Data!$M$2:$M$745,MATCH(53,Data!$AI$2:$AI$745,0))="","",INDEX(Data!$M$2:$M$745,MATCH(53,Data!$AI$2:$AI$745,0))),""))</f>
        <v/>
      </c>
      <c r="Q67" s="31">
        <f>IF(B67="","",IFERROR(IF(INDEX(Data!$AD$2:$AD$745,MATCH(53,Data!$AI$2:$AI$745,0))="","",INDEX(Data!$AD$2:$AD$745,MATCH(53,Data!$AI$2:$AI$745,0))),""))</f>
        <v/>
      </c>
      <c r="R67" s="27">
        <f>IF(B67="","",IFERROR(IF(INDEX(Data!$L$2:$L$745,MATCH(53,Data!$AI$2:$AI$745,0))="","",INDEX(Data!$L$2:$L$745,MATCH(53,Data!$AI$2:$AI$745,0))),""))</f>
        <v/>
      </c>
      <c r="AB67" t="inlineStr">
        <is>
          <t>EASELAND</t>
        </is>
      </c>
    </row>
    <row r="68" ht="62" customHeight="1">
      <c r="B68" s="27">
        <f>IF(54&lt;=COUNTIF(Data!$AH$2:$AH$745,TRUE),54,"")</f>
        <v/>
      </c>
      <c r="C68" s="28">
        <f>IF(B68="","",IFERROR(_xlfn.IMAGE(IFERROR(IF(INDEX(Data!$J$2:$J$745,MATCH(54,Data!$AI$2:$AI$745,0))="","",INDEX(Data!$J$2:$J$745,MATCH(54,Data!$AI$2:$AI$745,0))),"")),"IMAGE COMING SOON"))</f>
        <v/>
      </c>
      <c r="D68" s="29">
        <f>IF(B68="","",IFERROR(IF(INDEX(Data!$G$2:$G$745,MATCH(54,Data!$AI$2:$AI$745,0))="","",INDEX(Data!$G$2:$G$745,MATCH(54,Data!$AI$2:$AI$745,0))),"")&amp;CHAR(10)&amp;IFERROR(IF(INDEX(Data!$H$2:$H$745,MATCH(54,Data!$AI$2:$AI$745,0))="","",INDEX(Data!$H$2:$H$745,MATCH(54,Data!$AI$2:$AI$745,0))),""))</f>
        <v/>
      </c>
      <c r="E68" s="27">
        <f>IF(B68="","",IFERROR(IF(INDEX(Data!$I$2:$I$745,MATCH(54,Data!$AI$2:$AI$745,0))="","",INDEX(Data!$I$2:$I$745,MATCH(54,Data!$AI$2:$AI$745,0))),""))</f>
        <v/>
      </c>
      <c r="F68" s="27">
        <f>IF(B68="","",IFERROR(IF(INDEX(Data!$AJ$2:$AJ$745,MATCH(54,Data!$AI$2:$AI$745,0))="","",INDEX(Data!$AJ$2:$AJ$745,MATCH(54,Data!$AI$2:$AI$745,0))),""))</f>
        <v/>
      </c>
      <c r="G68" s="27">
        <f>IF(B68="","",TRIM(IFERROR(IF(INDEX(Data!$AF$2:$AF$745,MATCH(54,Data!$AI$2:$AI$745,0))="","",INDEX(Data!$AF$2:$AF$745,MATCH(54,Data!$AI$2:$AI$745,0))),"")&amp;" "&amp;IFERROR(IF(INDEX(Data!$AG$2:$AG$745,MATCH(54,Data!$AI$2:$AI$745,0))="","",INDEX(Data!$AG$2:$AG$745,MATCH(54,Data!$AI$2:$AI$745,0))),"")))</f>
        <v/>
      </c>
      <c r="H68" s="37">
        <f>IF(B68="","",IFERROR(IF(INDEX(Data!$N$2:$N$745,MATCH(54,Data!$AI$2:$AI$745,0))="","",INDEX(Data!$N$2:$N$745,MATCH(54,Data!$AI$2:$AI$745,0))),""))</f>
        <v/>
      </c>
      <c r="I68" s="37">
        <f>IF(B68="","",IFERROR(IF(INDEX(Data!$O$2:$O$745,MATCH(54,Data!$AI$2:$AI$745,0))="","",INDEX(Data!$O$2:$O$745,MATCH(54,Data!$AI$2:$AI$745,0))),""))</f>
        <v/>
      </c>
      <c r="J68" s="31">
        <f>IF(B68="","",IFERROR(IF(INDEX(Data!$P$2:$P$745,MATCH(54,Data!$AI$2:$AI$745,0))="","",INDEX(Data!$P$2:$P$745,MATCH(54,Data!$AI$2:$AI$745,0))),""))</f>
        <v/>
      </c>
      <c r="K68" s="32">
        <f>IF(B68="","",IFERROR(IF(INDEX(Data!$R$2:$R$745,MATCH(54,Data!$AI$2:$AI$745,0))="","",INDEX(Data!$R$2:$R$745,MATCH(54,Data!$AI$2:$AI$745,0))),""))</f>
        <v/>
      </c>
      <c r="L68" s="33">
        <f>IF(B68="","",IFERROR(IF(INDEX(Data!$S$2:$S$745,MATCH(54,Data!$AI$2:$AI$745,0))="","",INDEX(Data!$S$2:$S$745,MATCH(54,Data!$AI$2:$AI$745,0))),""))</f>
        <v/>
      </c>
      <c r="M68" s="33">
        <f>IF(B68="","",IFERROR(IF(INDEX(Data!$T$2:$T$745,MATCH(54,Data!$AI$2:$AI$745,0))="","",INDEX(Data!$T$2:$T$745,MATCH(54,Data!$AI$2:$AI$745,0))),""))</f>
        <v/>
      </c>
      <c r="N68" s="34">
        <f>IF(B68="","",IFERROR(IF(INDEX(Data!$U$2:$U$745,MATCH(54,Data!$AI$2:$AI$745,0))="","",INDEX(Data!$U$2:$U$745,MATCH(54,Data!$AI$2:$AI$745,0))),""))</f>
        <v/>
      </c>
      <c r="O68" s="33">
        <f>IF(B68="","",IFERROR(IF(INDEX(Data!$V$2:$V$745,MATCH(54,Data!$AI$2:$AI$745,0))="","",INDEX(Data!$V$2:$V$745,MATCH(54,Data!$AI$2:$AI$745,0))),""))</f>
        <v/>
      </c>
      <c r="P68" s="33">
        <f>IF(B68="","",IFERROR(IF(INDEX(Data!$M$2:$M$745,MATCH(54,Data!$AI$2:$AI$745,0))="","",INDEX(Data!$M$2:$M$745,MATCH(54,Data!$AI$2:$AI$745,0))),""))</f>
        <v/>
      </c>
      <c r="Q68" s="31">
        <f>IF(B68="","",IFERROR(IF(INDEX(Data!$AD$2:$AD$745,MATCH(54,Data!$AI$2:$AI$745,0))="","",INDEX(Data!$AD$2:$AD$745,MATCH(54,Data!$AI$2:$AI$745,0))),""))</f>
        <v/>
      </c>
      <c r="R68" s="27">
        <f>IF(B68="","",IFERROR(IF(INDEX(Data!$L$2:$L$745,MATCH(54,Data!$AI$2:$AI$745,0))="","",INDEX(Data!$L$2:$L$745,MATCH(54,Data!$AI$2:$AI$745,0))),""))</f>
        <v/>
      </c>
      <c r="AB68" t="inlineStr">
        <is>
          <t>Easy-Going</t>
        </is>
      </c>
    </row>
    <row r="69" ht="62" customHeight="1">
      <c r="B69" s="27">
        <f>IF(55&lt;=COUNTIF(Data!$AH$2:$AH$745,TRUE),55,"")</f>
        <v/>
      </c>
      <c r="C69" s="28">
        <f>IF(B69="","",IFERROR(_xlfn.IMAGE(IFERROR(IF(INDEX(Data!$J$2:$J$745,MATCH(55,Data!$AI$2:$AI$745,0))="","",INDEX(Data!$J$2:$J$745,MATCH(55,Data!$AI$2:$AI$745,0))),"")),"IMAGE COMING SOON"))</f>
        <v/>
      </c>
      <c r="D69" s="29">
        <f>IF(B69="","",IFERROR(IF(INDEX(Data!$G$2:$G$745,MATCH(55,Data!$AI$2:$AI$745,0))="","",INDEX(Data!$G$2:$G$745,MATCH(55,Data!$AI$2:$AI$745,0))),"")&amp;CHAR(10)&amp;IFERROR(IF(INDEX(Data!$H$2:$H$745,MATCH(55,Data!$AI$2:$AI$745,0))="","",INDEX(Data!$H$2:$H$745,MATCH(55,Data!$AI$2:$AI$745,0))),""))</f>
        <v/>
      </c>
      <c r="E69" s="27">
        <f>IF(B69="","",IFERROR(IF(INDEX(Data!$I$2:$I$745,MATCH(55,Data!$AI$2:$AI$745,0))="","",INDEX(Data!$I$2:$I$745,MATCH(55,Data!$AI$2:$AI$745,0))),""))</f>
        <v/>
      </c>
      <c r="F69" s="27">
        <f>IF(B69="","",IFERROR(IF(INDEX(Data!$AJ$2:$AJ$745,MATCH(55,Data!$AI$2:$AI$745,0))="","",INDEX(Data!$AJ$2:$AJ$745,MATCH(55,Data!$AI$2:$AI$745,0))),""))</f>
        <v/>
      </c>
      <c r="G69" s="27">
        <f>IF(B69="","",TRIM(IFERROR(IF(INDEX(Data!$AF$2:$AF$745,MATCH(55,Data!$AI$2:$AI$745,0))="","",INDEX(Data!$AF$2:$AF$745,MATCH(55,Data!$AI$2:$AI$745,0))),"")&amp;" "&amp;IFERROR(IF(INDEX(Data!$AG$2:$AG$745,MATCH(55,Data!$AI$2:$AI$745,0))="","",INDEX(Data!$AG$2:$AG$745,MATCH(55,Data!$AI$2:$AI$745,0))),"")))</f>
        <v/>
      </c>
      <c r="H69" s="37">
        <f>IF(B69="","",IFERROR(IF(INDEX(Data!$N$2:$N$745,MATCH(55,Data!$AI$2:$AI$745,0))="","",INDEX(Data!$N$2:$N$745,MATCH(55,Data!$AI$2:$AI$745,0))),""))</f>
        <v/>
      </c>
      <c r="I69" s="37">
        <f>IF(B69="","",IFERROR(IF(INDEX(Data!$O$2:$O$745,MATCH(55,Data!$AI$2:$AI$745,0))="","",INDEX(Data!$O$2:$O$745,MATCH(55,Data!$AI$2:$AI$745,0))),""))</f>
        <v/>
      </c>
      <c r="J69" s="31">
        <f>IF(B69="","",IFERROR(IF(INDEX(Data!$P$2:$P$745,MATCH(55,Data!$AI$2:$AI$745,0))="","",INDEX(Data!$P$2:$P$745,MATCH(55,Data!$AI$2:$AI$745,0))),""))</f>
        <v/>
      </c>
      <c r="K69" s="32">
        <f>IF(B69="","",IFERROR(IF(INDEX(Data!$R$2:$R$745,MATCH(55,Data!$AI$2:$AI$745,0))="","",INDEX(Data!$R$2:$R$745,MATCH(55,Data!$AI$2:$AI$745,0))),""))</f>
        <v/>
      </c>
      <c r="L69" s="33">
        <f>IF(B69="","",IFERROR(IF(INDEX(Data!$S$2:$S$745,MATCH(55,Data!$AI$2:$AI$745,0))="","",INDEX(Data!$S$2:$S$745,MATCH(55,Data!$AI$2:$AI$745,0))),""))</f>
        <v/>
      </c>
      <c r="M69" s="33">
        <f>IF(B69="","",IFERROR(IF(INDEX(Data!$T$2:$T$745,MATCH(55,Data!$AI$2:$AI$745,0))="","",INDEX(Data!$T$2:$T$745,MATCH(55,Data!$AI$2:$AI$745,0))),""))</f>
        <v/>
      </c>
      <c r="N69" s="34">
        <f>IF(B69="","",IFERROR(IF(INDEX(Data!$U$2:$U$745,MATCH(55,Data!$AI$2:$AI$745,0))="","",INDEX(Data!$U$2:$U$745,MATCH(55,Data!$AI$2:$AI$745,0))),""))</f>
        <v/>
      </c>
      <c r="O69" s="33">
        <f>IF(B69="","",IFERROR(IF(INDEX(Data!$V$2:$V$745,MATCH(55,Data!$AI$2:$AI$745,0))="","",INDEX(Data!$V$2:$V$745,MATCH(55,Data!$AI$2:$AI$745,0))),""))</f>
        <v/>
      </c>
      <c r="P69" s="33">
        <f>IF(B69="","",IFERROR(IF(INDEX(Data!$M$2:$M$745,MATCH(55,Data!$AI$2:$AI$745,0))="","",INDEX(Data!$M$2:$M$745,MATCH(55,Data!$AI$2:$AI$745,0))),""))</f>
        <v/>
      </c>
      <c r="Q69" s="31">
        <f>IF(B69="","",IFERROR(IF(INDEX(Data!$AD$2:$AD$745,MATCH(55,Data!$AI$2:$AI$745,0))="","",INDEX(Data!$AD$2:$AD$745,MATCH(55,Data!$AI$2:$AI$745,0))),""))</f>
        <v/>
      </c>
      <c r="R69" s="27">
        <f>IF(B69="","",IFERROR(IF(INDEX(Data!$L$2:$L$745,MATCH(55,Data!$AI$2:$AI$745,0))="","",INDEX(Data!$L$2:$L$745,MATCH(55,Data!$AI$2:$AI$745,0))),""))</f>
        <v/>
      </c>
      <c r="AB69" t="inlineStr">
        <is>
          <t>Elegear</t>
        </is>
      </c>
    </row>
    <row r="70" ht="62" customHeight="1">
      <c r="B70" s="27">
        <f>IF(56&lt;=COUNTIF(Data!$AH$2:$AH$745,TRUE),56,"")</f>
        <v/>
      </c>
      <c r="C70" s="28">
        <f>IF(B70="","",IFERROR(_xlfn.IMAGE(IFERROR(IF(INDEX(Data!$J$2:$J$745,MATCH(56,Data!$AI$2:$AI$745,0))="","",INDEX(Data!$J$2:$J$745,MATCH(56,Data!$AI$2:$AI$745,0))),"")),"IMAGE COMING SOON"))</f>
        <v/>
      </c>
      <c r="D70" s="29">
        <f>IF(B70="","",IFERROR(IF(INDEX(Data!$G$2:$G$745,MATCH(56,Data!$AI$2:$AI$745,0))="","",INDEX(Data!$G$2:$G$745,MATCH(56,Data!$AI$2:$AI$745,0))),"")&amp;CHAR(10)&amp;IFERROR(IF(INDEX(Data!$H$2:$H$745,MATCH(56,Data!$AI$2:$AI$745,0))="","",INDEX(Data!$H$2:$H$745,MATCH(56,Data!$AI$2:$AI$745,0))),""))</f>
        <v/>
      </c>
      <c r="E70" s="27">
        <f>IF(B70="","",IFERROR(IF(INDEX(Data!$I$2:$I$745,MATCH(56,Data!$AI$2:$AI$745,0))="","",INDEX(Data!$I$2:$I$745,MATCH(56,Data!$AI$2:$AI$745,0))),""))</f>
        <v/>
      </c>
      <c r="F70" s="27">
        <f>IF(B70="","",IFERROR(IF(INDEX(Data!$AJ$2:$AJ$745,MATCH(56,Data!$AI$2:$AI$745,0))="","",INDEX(Data!$AJ$2:$AJ$745,MATCH(56,Data!$AI$2:$AI$745,0))),""))</f>
        <v/>
      </c>
      <c r="G70" s="27">
        <f>IF(B70="","",TRIM(IFERROR(IF(INDEX(Data!$AF$2:$AF$745,MATCH(56,Data!$AI$2:$AI$745,0))="","",INDEX(Data!$AF$2:$AF$745,MATCH(56,Data!$AI$2:$AI$745,0))),"")&amp;" "&amp;IFERROR(IF(INDEX(Data!$AG$2:$AG$745,MATCH(56,Data!$AI$2:$AI$745,0))="","",INDEX(Data!$AG$2:$AG$745,MATCH(56,Data!$AI$2:$AI$745,0))),"")))</f>
        <v/>
      </c>
      <c r="H70" s="37">
        <f>IF(B70="","",IFERROR(IF(INDEX(Data!$N$2:$N$745,MATCH(56,Data!$AI$2:$AI$745,0))="","",INDEX(Data!$N$2:$N$745,MATCH(56,Data!$AI$2:$AI$745,0))),""))</f>
        <v/>
      </c>
      <c r="I70" s="37">
        <f>IF(B70="","",IFERROR(IF(INDEX(Data!$O$2:$O$745,MATCH(56,Data!$AI$2:$AI$745,0))="","",INDEX(Data!$O$2:$O$745,MATCH(56,Data!$AI$2:$AI$745,0))),""))</f>
        <v/>
      </c>
      <c r="J70" s="31">
        <f>IF(B70="","",IFERROR(IF(INDEX(Data!$P$2:$P$745,MATCH(56,Data!$AI$2:$AI$745,0))="","",INDEX(Data!$P$2:$P$745,MATCH(56,Data!$AI$2:$AI$745,0))),""))</f>
        <v/>
      </c>
      <c r="K70" s="32">
        <f>IF(B70="","",IFERROR(IF(INDEX(Data!$R$2:$R$745,MATCH(56,Data!$AI$2:$AI$745,0))="","",INDEX(Data!$R$2:$R$745,MATCH(56,Data!$AI$2:$AI$745,0))),""))</f>
        <v/>
      </c>
      <c r="L70" s="33">
        <f>IF(B70="","",IFERROR(IF(INDEX(Data!$S$2:$S$745,MATCH(56,Data!$AI$2:$AI$745,0))="","",INDEX(Data!$S$2:$S$745,MATCH(56,Data!$AI$2:$AI$745,0))),""))</f>
        <v/>
      </c>
      <c r="M70" s="33">
        <f>IF(B70="","",IFERROR(IF(INDEX(Data!$T$2:$T$745,MATCH(56,Data!$AI$2:$AI$745,0))="","",INDEX(Data!$T$2:$T$745,MATCH(56,Data!$AI$2:$AI$745,0))),""))</f>
        <v/>
      </c>
      <c r="N70" s="34">
        <f>IF(B70="","",IFERROR(IF(INDEX(Data!$U$2:$U$745,MATCH(56,Data!$AI$2:$AI$745,0))="","",INDEX(Data!$U$2:$U$745,MATCH(56,Data!$AI$2:$AI$745,0))),""))</f>
        <v/>
      </c>
      <c r="O70" s="33">
        <f>IF(B70="","",IFERROR(IF(INDEX(Data!$V$2:$V$745,MATCH(56,Data!$AI$2:$AI$745,0))="","",INDEX(Data!$V$2:$V$745,MATCH(56,Data!$AI$2:$AI$745,0))),""))</f>
        <v/>
      </c>
      <c r="P70" s="33">
        <f>IF(B70="","",IFERROR(IF(INDEX(Data!$M$2:$M$745,MATCH(56,Data!$AI$2:$AI$745,0))="","",INDEX(Data!$M$2:$M$745,MATCH(56,Data!$AI$2:$AI$745,0))),""))</f>
        <v/>
      </c>
      <c r="Q70" s="31">
        <f>IF(B70="","",IFERROR(IF(INDEX(Data!$AD$2:$AD$745,MATCH(56,Data!$AI$2:$AI$745,0))="","",INDEX(Data!$AD$2:$AD$745,MATCH(56,Data!$AI$2:$AI$745,0))),""))</f>
        <v/>
      </c>
      <c r="R70" s="27">
        <f>IF(B70="","",IFERROR(IF(INDEX(Data!$L$2:$L$745,MATCH(56,Data!$AI$2:$AI$745,0))="","",INDEX(Data!$L$2:$L$745,MATCH(56,Data!$AI$2:$AI$745,0))),""))</f>
        <v/>
      </c>
      <c r="AB70" t="inlineStr">
        <is>
          <t>ELIBABA</t>
        </is>
      </c>
    </row>
    <row r="71" ht="62" customHeight="1">
      <c r="B71" s="27">
        <f>IF(57&lt;=COUNTIF(Data!$AH$2:$AH$745,TRUE),57,"")</f>
        <v/>
      </c>
      <c r="C71" s="28">
        <f>IF(B71="","",IFERROR(_xlfn.IMAGE(IFERROR(IF(INDEX(Data!$J$2:$J$745,MATCH(57,Data!$AI$2:$AI$745,0))="","",INDEX(Data!$J$2:$J$745,MATCH(57,Data!$AI$2:$AI$745,0))),"")),"IMAGE COMING SOON"))</f>
        <v/>
      </c>
      <c r="D71" s="29">
        <f>IF(B71="","",IFERROR(IF(INDEX(Data!$G$2:$G$745,MATCH(57,Data!$AI$2:$AI$745,0))="","",INDEX(Data!$G$2:$G$745,MATCH(57,Data!$AI$2:$AI$745,0))),"")&amp;CHAR(10)&amp;IFERROR(IF(INDEX(Data!$H$2:$H$745,MATCH(57,Data!$AI$2:$AI$745,0))="","",INDEX(Data!$H$2:$H$745,MATCH(57,Data!$AI$2:$AI$745,0))),""))</f>
        <v/>
      </c>
      <c r="E71" s="27">
        <f>IF(B71="","",IFERROR(IF(INDEX(Data!$I$2:$I$745,MATCH(57,Data!$AI$2:$AI$745,0))="","",INDEX(Data!$I$2:$I$745,MATCH(57,Data!$AI$2:$AI$745,0))),""))</f>
        <v/>
      </c>
      <c r="F71" s="27">
        <f>IF(B71="","",IFERROR(IF(INDEX(Data!$AJ$2:$AJ$745,MATCH(57,Data!$AI$2:$AI$745,0))="","",INDEX(Data!$AJ$2:$AJ$745,MATCH(57,Data!$AI$2:$AI$745,0))),""))</f>
        <v/>
      </c>
      <c r="G71" s="27">
        <f>IF(B71="","",TRIM(IFERROR(IF(INDEX(Data!$AF$2:$AF$745,MATCH(57,Data!$AI$2:$AI$745,0))="","",INDEX(Data!$AF$2:$AF$745,MATCH(57,Data!$AI$2:$AI$745,0))),"")&amp;" "&amp;IFERROR(IF(INDEX(Data!$AG$2:$AG$745,MATCH(57,Data!$AI$2:$AI$745,0))="","",INDEX(Data!$AG$2:$AG$745,MATCH(57,Data!$AI$2:$AI$745,0))),"")))</f>
        <v/>
      </c>
      <c r="H71" s="37">
        <f>IF(B71="","",IFERROR(IF(INDEX(Data!$N$2:$N$745,MATCH(57,Data!$AI$2:$AI$745,0))="","",INDEX(Data!$N$2:$N$745,MATCH(57,Data!$AI$2:$AI$745,0))),""))</f>
        <v/>
      </c>
      <c r="I71" s="37">
        <f>IF(B71="","",IFERROR(IF(INDEX(Data!$O$2:$O$745,MATCH(57,Data!$AI$2:$AI$745,0))="","",INDEX(Data!$O$2:$O$745,MATCH(57,Data!$AI$2:$AI$745,0))),""))</f>
        <v/>
      </c>
      <c r="J71" s="31">
        <f>IF(B71="","",IFERROR(IF(INDEX(Data!$P$2:$P$745,MATCH(57,Data!$AI$2:$AI$745,0))="","",INDEX(Data!$P$2:$P$745,MATCH(57,Data!$AI$2:$AI$745,0))),""))</f>
        <v/>
      </c>
      <c r="K71" s="32">
        <f>IF(B71="","",IFERROR(IF(INDEX(Data!$R$2:$R$745,MATCH(57,Data!$AI$2:$AI$745,0))="","",INDEX(Data!$R$2:$R$745,MATCH(57,Data!$AI$2:$AI$745,0))),""))</f>
        <v/>
      </c>
      <c r="L71" s="33">
        <f>IF(B71="","",IFERROR(IF(INDEX(Data!$S$2:$S$745,MATCH(57,Data!$AI$2:$AI$745,0))="","",INDEX(Data!$S$2:$S$745,MATCH(57,Data!$AI$2:$AI$745,0))),""))</f>
        <v/>
      </c>
      <c r="M71" s="33">
        <f>IF(B71="","",IFERROR(IF(INDEX(Data!$T$2:$T$745,MATCH(57,Data!$AI$2:$AI$745,0))="","",INDEX(Data!$T$2:$T$745,MATCH(57,Data!$AI$2:$AI$745,0))),""))</f>
        <v/>
      </c>
      <c r="N71" s="34">
        <f>IF(B71="","",IFERROR(IF(INDEX(Data!$U$2:$U$745,MATCH(57,Data!$AI$2:$AI$745,0))="","",INDEX(Data!$U$2:$U$745,MATCH(57,Data!$AI$2:$AI$745,0))),""))</f>
        <v/>
      </c>
      <c r="O71" s="33">
        <f>IF(B71="","",IFERROR(IF(INDEX(Data!$V$2:$V$745,MATCH(57,Data!$AI$2:$AI$745,0))="","",INDEX(Data!$V$2:$V$745,MATCH(57,Data!$AI$2:$AI$745,0))),""))</f>
        <v/>
      </c>
      <c r="P71" s="33">
        <f>IF(B71="","",IFERROR(IF(INDEX(Data!$M$2:$M$745,MATCH(57,Data!$AI$2:$AI$745,0))="","",INDEX(Data!$M$2:$M$745,MATCH(57,Data!$AI$2:$AI$745,0))),""))</f>
        <v/>
      </c>
      <c r="Q71" s="31">
        <f>IF(B71="","",IFERROR(IF(INDEX(Data!$AD$2:$AD$745,MATCH(57,Data!$AI$2:$AI$745,0))="","",INDEX(Data!$AD$2:$AD$745,MATCH(57,Data!$AI$2:$AI$745,0))),""))</f>
        <v/>
      </c>
      <c r="R71" s="27">
        <f>IF(B71="","",IFERROR(IF(INDEX(Data!$L$2:$L$745,MATCH(57,Data!$AI$2:$AI$745,0))="","",INDEX(Data!$L$2:$L$745,MATCH(57,Data!$AI$2:$AI$745,0))),""))</f>
        <v/>
      </c>
      <c r="AB71" t="inlineStr">
        <is>
          <t>EverGrace</t>
        </is>
      </c>
    </row>
    <row r="72" ht="62" customHeight="1">
      <c r="B72" s="27">
        <f>IF(58&lt;=COUNTIF(Data!$AH$2:$AH$745,TRUE),58,"")</f>
        <v/>
      </c>
      <c r="C72" s="28">
        <f>IF(B72="","",IFERROR(_xlfn.IMAGE(IFERROR(IF(INDEX(Data!$J$2:$J$745,MATCH(58,Data!$AI$2:$AI$745,0))="","",INDEX(Data!$J$2:$J$745,MATCH(58,Data!$AI$2:$AI$745,0))),"")),"IMAGE COMING SOON"))</f>
        <v/>
      </c>
      <c r="D72" s="29">
        <f>IF(B72="","",IFERROR(IF(INDEX(Data!$G$2:$G$745,MATCH(58,Data!$AI$2:$AI$745,0))="","",INDEX(Data!$G$2:$G$745,MATCH(58,Data!$AI$2:$AI$745,0))),"")&amp;CHAR(10)&amp;IFERROR(IF(INDEX(Data!$H$2:$H$745,MATCH(58,Data!$AI$2:$AI$745,0))="","",INDEX(Data!$H$2:$H$745,MATCH(58,Data!$AI$2:$AI$745,0))),""))</f>
        <v/>
      </c>
      <c r="E72" s="27">
        <f>IF(B72="","",IFERROR(IF(INDEX(Data!$I$2:$I$745,MATCH(58,Data!$AI$2:$AI$745,0))="","",INDEX(Data!$I$2:$I$745,MATCH(58,Data!$AI$2:$AI$745,0))),""))</f>
        <v/>
      </c>
      <c r="F72" s="27">
        <f>IF(B72="","",IFERROR(IF(INDEX(Data!$AJ$2:$AJ$745,MATCH(58,Data!$AI$2:$AI$745,0))="","",INDEX(Data!$AJ$2:$AJ$745,MATCH(58,Data!$AI$2:$AI$745,0))),""))</f>
        <v/>
      </c>
      <c r="G72" s="27">
        <f>IF(B72="","",TRIM(IFERROR(IF(INDEX(Data!$AF$2:$AF$745,MATCH(58,Data!$AI$2:$AI$745,0))="","",INDEX(Data!$AF$2:$AF$745,MATCH(58,Data!$AI$2:$AI$745,0))),"")&amp;" "&amp;IFERROR(IF(INDEX(Data!$AG$2:$AG$745,MATCH(58,Data!$AI$2:$AI$745,0))="","",INDEX(Data!$AG$2:$AG$745,MATCH(58,Data!$AI$2:$AI$745,0))),"")))</f>
        <v/>
      </c>
      <c r="H72" s="37">
        <f>IF(B72="","",IFERROR(IF(INDEX(Data!$N$2:$N$745,MATCH(58,Data!$AI$2:$AI$745,0))="","",INDEX(Data!$N$2:$N$745,MATCH(58,Data!$AI$2:$AI$745,0))),""))</f>
        <v/>
      </c>
      <c r="I72" s="37">
        <f>IF(B72="","",IFERROR(IF(INDEX(Data!$O$2:$O$745,MATCH(58,Data!$AI$2:$AI$745,0))="","",INDEX(Data!$O$2:$O$745,MATCH(58,Data!$AI$2:$AI$745,0))),""))</f>
        <v/>
      </c>
      <c r="J72" s="31">
        <f>IF(B72="","",IFERROR(IF(INDEX(Data!$P$2:$P$745,MATCH(58,Data!$AI$2:$AI$745,0))="","",INDEX(Data!$P$2:$P$745,MATCH(58,Data!$AI$2:$AI$745,0))),""))</f>
        <v/>
      </c>
      <c r="K72" s="32">
        <f>IF(B72="","",IFERROR(IF(INDEX(Data!$R$2:$R$745,MATCH(58,Data!$AI$2:$AI$745,0))="","",INDEX(Data!$R$2:$R$745,MATCH(58,Data!$AI$2:$AI$745,0))),""))</f>
        <v/>
      </c>
      <c r="L72" s="33">
        <f>IF(B72="","",IFERROR(IF(INDEX(Data!$S$2:$S$745,MATCH(58,Data!$AI$2:$AI$745,0))="","",INDEX(Data!$S$2:$S$745,MATCH(58,Data!$AI$2:$AI$745,0))),""))</f>
        <v/>
      </c>
      <c r="M72" s="33">
        <f>IF(B72="","",IFERROR(IF(INDEX(Data!$T$2:$T$745,MATCH(58,Data!$AI$2:$AI$745,0))="","",INDEX(Data!$T$2:$T$745,MATCH(58,Data!$AI$2:$AI$745,0))),""))</f>
        <v/>
      </c>
      <c r="N72" s="34">
        <f>IF(B72="","",IFERROR(IF(INDEX(Data!$U$2:$U$745,MATCH(58,Data!$AI$2:$AI$745,0))="","",INDEX(Data!$U$2:$U$745,MATCH(58,Data!$AI$2:$AI$745,0))),""))</f>
        <v/>
      </c>
      <c r="O72" s="33">
        <f>IF(B72="","",IFERROR(IF(INDEX(Data!$V$2:$V$745,MATCH(58,Data!$AI$2:$AI$745,0))="","",INDEX(Data!$V$2:$V$745,MATCH(58,Data!$AI$2:$AI$745,0))),""))</f>
        <v/>
      </c>
      <c r="P72" s="33">
        <f>IF(B72="","",IFERROR(IF(INDEX(Data!$M$2:$M$745,MATCH(58,Data!$AI$2:$AI$745,0))="","",INDEX(Data!$M$2:$M$745,MATCH(58,Data!$AI$2:$AI$745,0))),""))</f>
        <v/>
      </c>
      <c r="Q72" s="31">
        <f>IF(B72="","",IFERROR(IF(INDEX(Data!$AD$2:$AD$745,MATCH(58,Data!$AI$2:$AI$745,0))="","",INDEX(Data!$AD$2:$AD$745,MATCH(58,Data!$AI$2:$AI$745,0))),""))</f>
        <v/>
      </c>
      <c r="R72" s="27">
        <f>IF(B72="","",IFERROR(IF(INDEX(Data!$L$2:$L$745,MATCH(58,Data!$AI$2:$AI$745,0))="","",INDEX(Data!$L$2:$L$745,MATCH(58,Data!$AI$2:$AI$745,0))),""))</f>
        <v/>
      </c>
      <c r="AB72" t="inlineStr">
        <is>
          <t>Exclusivo Mezcla</t>
        </is>
      </c>
    </row>
    <row r="73" ht="62" customHeight="1">
      <c r="B73" s="27">
        <f>IF(59&lt;=COUNTIF(Data!$AH$2:$AH$745,TRUE),59,"")</f>
        <v/>
      </c>
      <c r="C73" s="28">
        <f>IF(B73="","",IFERROR(_xlfn.IMAGE(IFERROR(IF(INDEX(Data!$J$2:$J$745,MATCH(59,Data!$AI$2:$AI$745,0))="","",INDEX(Data!$J$2:$J$745,MATCH(59,Data!$AI$2:$AI$745,0))),"")),"IMAGE COMING SOON"))</f>
        <v/>
      </c>
      <c r="D73" s="29">
        <f>IF(B73="","",IFERROR(IF(INDEX(Data!$G$2:$G$745,MATCH(59,Data!$AI$2:$AI$745,0))="","",INDEX(Data!$G$2:$G$745,MATCH(59,Data!$AI$2:$AI$745,0))),"")&amp;CHAR(10)&amp;IFERROR(IF(INDEX(Data!$H$2:$H$745,MATCH(59,Data!$AI$2:$AI$745,0))="","",INDEX(Data!$H$2:$H$745,MATCH(59,Data!$AI$2:$AI$745,0))),""))</f>
        <v/>
      </c>
      <c r="E73" s="27">
        <f>IF(B73="","",IFERROR(IF(INDEX(Data!$I$2:$I$745,MATCH(59,Data!$AI$2:$AI$745,0))="","",INDEX(Data!$I$2:$I$745,MATCH(59,Data!$AI$2:$AI$745,0))),""))</f>
        <v/>
      </c>
      <c r="F73" s="27">
        <f>IF(B73="","",IFERROR(IF(INDEX(Data!$AJ$2:$AJ$745,MATCH(59,Data!$AI$2:$AI$745,0))="","",INDEX(Data!$AJ$2:$AJ$745,MATCH(59,Data!$AI$2:$AI$745,0))),""))</f>
        <v/>
      </c>
      <c r="G73" s="27">
        <f>IF(B73="","",TRIM(IFERROR(IF(INDEX(Data!$AF$2:$AF$745,MATCH(59,Data!$AI$2:$AI$745,0))="","",INDEX(Data!$AF$2:$AF$745,MATCH(59,Data!$AI$2:$AI$745,0))),"")&amp;" "&amp;IFERROR(IF(INDEX(Data!$AG$2:$AG$745,MATCH(59,Data!$AI$2:$AI$745,0))="","",INDEX(Data!$AG$2:$AG$745,MATCH(59,Data!$AI$2:$AI$745,0))),"")))</f>
        <v/>
      </c>
      <c r="H73" s="37">
        <f>IF(B73="","",IFERROR(IF(INDEX(Data!$N$2:$N$745,MATCH(59,Data!$AI$2:$AI$745,0))="","",INDEX(Data!$N$2:$N$745,MATCH(59,Data!$AI$2:$AI$745,0))),""))</f>
        <v/>
      </c>
      <c r="I73" s="37">
        <f>IF(B73="","",IFERROR(IF(INDEX(Data!$O$2:$O$745,MATCH(59,Data!$AI$2:$AI$745,0))="","",INDEX(Data!$O$2:$O$745,MATCH(59,Data!$AI$2:$AI$745,0))),""))</f>
        <v/>
      </c>
      <c r="J73" s="31">
        <f>IF(B73="","",IFERROR(IF(INDEX(Data!$P$2:$P$745,MATCH(59,Data!$AI$2:$AI$745,0))="","",INDEX(Data!$P$2:$P$745,MATCH(59,Data!$AI$2:$AI$745,0))),""))</f>
        <v/>
      </c>
      <c r="K73" s="32">
        <f>IF(B73="","",IFERROR(IF(INDEX(Data!$R$2:$R$745,MATCH(59,Data!$AI$2:$AI$745,0))="","",INDEX(Data!$R$2:$R$745,MATCH(59,Data!$AI$2:$AI$745,0))),""))</f>
        <v/>
      </c>
      <c r="L73" s="33">
        <f>IF(B73="","",IFERROR(IF(INDEX(Data!$S$2:$S$745,MATCH(59,Data!$AI$2:$AI$745,0))="","",INDEX(Data!$S$2:$S$745,MATCH(59,Data!$AI$2:$AI$745,0))),""))</f>
        <v/>
      </c>
      <c r="M73" s="33">
        <f>IF(B73="","",IFERROR(IF(INDEX(Data!$T$2:$T$745,MATCH(59,Data!$AI$2:$AI$745,0))="","",INDEX(Data!$T$2:$T$745,MATCH(59,Data!$AI$2:$AI$745,0))),""))</f>
        <v/>
      </c>
      <c r="N73" s="34">
        <f>IF(B73="","",IFERROR(IF(INDEX(Data!$U$2:$U$745,MATCH(59,Data!$AI$2:$AI$745,0))="","",INDEX(Data!$U$2:$U$745,MATCH(59,Data!$AI$2:$AI$745,0))),""))</f>
        <v/>
      </c>
      <c r="O73" s="33">
        <f>IF(B73="","",IFERROR(IF(INDEX(Data!$V$2:$V$745,MATCH(59,Data!$AI$2:$AI$745,0))="","",INDEX(Data!$V$2:$V$745,MATCH(59,Data!$AI$2:$AI$745,0))),""))</f>
        <v/>
      </c>
      <c r="P73" s="33">
        <f>IF(B73="","",IFERROR(IF(INDEX(Data!$M$2:$M$745,MATCH(59,Data!$AI$2:$AI$745,0))="","",INDEX(Data!$M$2:$M$745,MATCH(59,Data!$AI$2:$AI$745,0))),""))</f>
        <v/>
      </c>
      <c r="Q73" s="31">
        <f>IF(B73="","",IFERROR(IF(INDEX(Data!$AD$2:$AD$745,MATCH(59,Data!$AI$2:$AI$745,0))="","",INDEX(Data!$AD$2:$AD$745,MATCH(59,Data!$AI$2:$AI$745,0))),""))</f>
        <v/>
      </c>
      <c r="R73" s="27">
        <f>IF(B73="","",IFERROR(IF(INDEX(Data!$L$2:$L$745,MATCH(59,Data!$AI$2:$AI$745,0))="","",INDEX(Data!$L$2:$L$745,MATCH(59,Data!$AI$2:$AI$745,0))),""))</f>
        <v/>
      </c>
      <c r="AB73" t="inlineStr">
        <is>
          <t>Fafua</t>
        </is>
      </c>
    </row>
    <row r="74" ht="62" customHeight="1">
      <c r="B74" s="27">
        <f>IF(60&lt;=COUNTIF(Data!$AH$2:$AH$745,TRUE),60,"")</f>
        <v/>
      </c>
      <c r="C74" s="28">
        <f>IF(B74="","",IFERROR(_xlfn.IMAGE(IFERROR(IF(INDEX(Data!$J$2:$J$745,MATCH(60,Data!$AI$2:$AI$745,0))="","",INDEX(Data!$J$2:$J$745,MATCH(60,Data!$AI$2:$AI$745,0))),"")),"IMAGE COMING SOON"))</f>
        <v/>
      </c>
      <c r="D74" s="29">
        <f>IF(B74="","",IFERROR(IF(INDEX(Data!$G$2:$G$745,MATCH(60,Data!$AI$2:$AI$745,0))="","",INDEX(Data!$G$2:$G$745,MATCH(60,Data!$AI$2:$AI$745,0))),"")&amp;CHAR(10)&amp;IFERROR(IF(INDEX(Data!$H$2:$H$745,MATCH(60,Data!$AI$2:$AI$745,0))="","",INDEX(Data!$H$2:$H$745,MATCH(60,Data!$AI$2:$AI$745,0))),""))</f>
        <v/>
      </c>
      <c r="E74" s="27">
        <f>IF(B74="","",IFERROR(IF(INDEX(Data!$I$2:$I$745,MATCH(60,Data!$AI$2:$AI$745,0))="","",INDEX(Data!$I$2:$I$745,MATCH(60,Data!$AI$2:$AI$745,0))),""))</f>
        <v/>
      </c>
      <c r="F74" s="27">
        <f>IF(B74="","",IFERROR(IF(INDEX(Data!$AJ$2:$AJ$745,MATCH(60,Data!$AI$2:$AI$745,0))="","",INDEX(Data!$AJ$2:$AJ$745,MATCH(60,Data!$AI$2:$AI$745,0))),""))</f>
        <v/>
      </c>
      <c r="G74" s="27">
        <f>IF(B74="","",TRIM(IFERROR(IF(INDEX(Data!$AF$2:$AF$745,MATCH(60,Data!$AI$2:$AI$745,0))="","",INDEX(Data!$AF$2:$AF$745,MATCH(60,Data!$AI$2:$AI$745,0))),"")&amp;" "&amp;IFERROR(IF(INDEX(Data!$AG$2:$AG$745,MATCH(60,Data!$AI$2:$AI$745,0))="","",INDEX(Data!$AG$2:$AG$745,MATCH(60,Data!$AI$2:$AI$745,0))),"")))</f>
        <v/>
      </c>
      <c r="H74" s="37">
        <f>IF(B74="","",IFERROR(IF(INDEX(Data!$N$2:$N$745,MATCH(60,Data!$AI$2:$AI$745,0))="","",INDEX(Data!$N$2:$N$745,MATCH(60,Data!$AI$2:$AI$745,0))),""))</f>
        <v/>
      </c>
      <c r="I74" s="37">
        <f>IF(B74="","",IFERROR(IF(INDEX(Data!$O$2:$O$745,MATCH(60,Data!$AI$2:$AI$745,0))="","",INDEX(Data!$O$2:$O$745,MATCH(60,Data!$AI$2:$AI$745,0))),""))</f>
        <v/>
      </c>
      <c r="J74" s="31">
        <f>IF(B74="","",IFERROR(IF(INDEX(Data!$P$2:$P$745,MATCH(60,Data!$AI$2:$AI$745,0))="","",INDEX(Data!$P$2:$P$745,MATCH(60,Data!$AI$2:$AI$745,0))),""))</f>
        <v/>
      </c>
      <c r="K74" s="32">
        <f>IF(B74="","",IFERROR(IF(INDEX(Data!$R$2:$R$745,MATCH(60,Data!$AI$2:$AI$745,0))="","",INDEX(Data!$R$2:$R$745,MATCH(60,Data!$AI$2:$AI$745,0))),""))</f>
        <v/>
      </c>
      <c r="L74" s="33">
        <f>IF(B74="","",IFERROR(IF(INDEX(Data!$S$2:$S$745,MATCH(60,Data!$AI$2:$AI$745,0))="","",INDEX(Data!$S$2:$S$745,MATCH(60,Data!$AI$2:$AI$745,0))),""))</f>
        <v/>
      </c>
      <c r="M74" s="33">
        <f>IF(B74="","",IFERROR(IF(INDEX(Data!$T$2:$T$745,MATCH(60,Data!$AI$2:$AI$745,0))="","",INDEX(Data!$T$2:$T$745,MATCH(60,Data!$AI$2:$AI$745,0))),""))</f>
        <v/>
      </c>
      <c r="N74" s="34">
        <f>IF(B74="","",IFERROR(IF(INDEX(Data!$U$2:$U$745,MATCH(60,Data!$AI$2:$AI$745,0))="","",INDEX(Data!$U$2:$U$745,MATCH(60,Data!$AI$2:$AI$745,0))),""))</f>
        <v/>
      </c>
      <c r="O74" s="33">
        <f>IF(B74="","",IFERROR(IF(INDEX(Data!$V$2:$V$745,MATCH(60,Data!$AI$2:$AI$745,0))="","",INDEX(Data!$V$2:$V$745,MATCH(60,Data!$AI$2:$AI$745,0))),""))</f>
        <v/>
      </c>
      <c r="P74" s="33">
        <f>IF(B74="","",IFERROR(IF(INDEX(Data!$M$2:$M$745,MATCH(60,Data!$AI$2:$AI$745,0))="","",INDEX(Data!$M$2:$M$745,MATCH(60,Data!$AI$2:$AI$745,0))),""))</f>
        <v/>
      </c>
      <c r="Q74" s="31">
        <f>IF(B74="","",IFERROR(IF(INDEX(Data!$AD$2:$AD$745,MATCH(60,Data!$AI$2:$AI$745,0))="","",INDEX(Data!$AD$2:$AD$745,MATCH(60,Data!$AI$2:$AI$745,0))),""))</f>
        <v/>
      </c>
      <c r="R74" s="27">
        <f>IF(B74="","",IFERROR(IF(INDEX(Data!$L$2:$L$745,MATCH(60,Data!$AI$2:$AI$745,0))="","",INDEX(Data!$L$2:$L$745,MATCH(60,Data!$AI$2:$AI$745,0))),""))</f>
        <v/>
      </c>
      <c r="AB74" t="inlineStr">
        <is>
          <t>FengXinZi Store</t>
        </is>
      </c>
    </row>
    <row r="75" ht="62" customHeight="1">
      <c r="B75" s="27">
        <f>IF(61&lt;=COUNTIF(Data!$AH$2:$AH$745,TRUE),61,"")</f>
        <v/>
      </c>
      <c r="C75" s="28">
        <f>IF(B75="","",IFERROR(_xlfn.IMAGE(IFERROR(IF(INDEX(Data!$J$2:$J$745,MATCH(61,Data!$AI$2:$AI$745,0))="","",INDEX(Data!$J$2:$J$745,MATCH(61,Data!$AI$2:$AI$745,0))),"")),"IMAGE COMING SOON"))</f>
        <v/>
      </c>
      <c r="D75" s="29">
        <f>IF(B75="","",IFERROR(IF(INDEX(Data!$G$2:$G$745,MATCH(61,Data!$AI$2:$AI$745,0))="","",INDEX(Data!$G$2:$G$745,MATCH(61,Data!$AI$2:$AI$745,0))),"")&amp;CHAR(10)&amp;IFERROR(IF(INDEX(Data!$H$2:$H$745,MATCH(61,Data!$AI$2:$AI$745,0))="","",INDEX(Data!$H$2:$H$745,MATCH(61,Data!$AI$2:$AI$745,0))),""))</f>
        <v/>
      </c>
      <c r="E75" s="27">
        <f>IF(B75="","",IFERROR(IF(INDEX(Data!$I$2:$I$745,MATCH(61,Data!$AI$2:$AI$745,0))="","",INDEX(Data!$I$2:$I$745,MATCH(61,Data!$AI$2:$AI$745,0))),""))</f>
        <v/>
      </c>
      <c r="F75" s="27">
        <f>IF(B75="","",IFERROR(IF(INDEX(Data!$AJ$2:$AJ$745,MATCH(61,Data!$AI$2:$AI$745,0))="","",INDEX(Data!$AJ$2:$AJ$745,MATCH(61,Data!$AI$2:$AI$745,0))),""))</f>
        <v/>
      </c>
      <c r="G75" s="27">
        <f>IF(B75="","",TRIM(IFERROR(IF(INDEX(Data!$AF$2:$AF$745,MATCH(61,Data!$AI$2:$AI$745,0))="","",INDEX(Data!$AF$2:$AF$745,MATCH(61,Data!$AI$2:$AI$745,0))),"")&amp;" "&amp;IFERROR(IF(INDEX(Data!$AG$2:$AG$745,MATCH(61,Data!$AI$2:$AI$745,0))="","",INDEX(Data!$AG$2:$AG$745,MATCH(61,Data!$AI$2:$AI$745,0))),"")))</f>
        <v/>
      </c>
      <c r="H75" s="37">
        <f>IF(B75="","",IFERROR(IF(INDEX(Data!$N$2:$N$745,MATCH(61,Data!$AI$2:$AI$745,0))="","",INDEX(Data!$N$2:$N$745,MATCH(61,Data!$AI$2:$AI$745,0))),""))</f>
        <v/>
      </c>
      <c r="I75" s="37">
        <f>IF(B75="","",IFERROR(IF(INDEX(Data!$O$2:$O$745,MATCH(61,Data!$AI$2:$AI$745,0))="","",INDEX(Data!$O$2:$O$745,MATCH(61,Data!$AI$2:$AI$745,0))),""))</f>
        <v/>
      </c>
      <c r="J75" s="31">
        <f>IF(B75="","",IFERROR(IF(INDEX(Data!$P$2:$P$745,MATCH(61,Data!$AI$2:$AI$745,0))="","",INDEX(Data!$P$2:$P$745,MATCH(61,Data!$AI$2:$AI$745,0))),""))</f>
        <v/>
      </c>
      <c r="K75" s="32">
        <f>IF(B75="","",IFERROR(IF(INDEX(Data!$R$2:$R$745,MATCH(61,Data!$AI$2:$AI$745,0))="","",INDEX(Data!$R$2:$R$745,MATCH(61,Data!$AI$2:$AI$745,0))),""))</f>
        <v/>
      </c>
      <c r="L75" s="33">
        <f>IF(B75="","",IFERROR(IF(INDEX(Data!$S$2:$S$745,MATCH(61,Data!$AI$2:$AI$745,0))="","",INDEX(Data!$S$2:$S$745,MATCH(61,Data!$AI$2:$AI$745,0))),""))</f>
        <v/>
      </c>
      <c r="M75" s="33">
        <f>IF(B75="","",IFERROR(IF(INDEX(Data!$T$2:$T$745,MATCH(61,Data!$AI$2:$AI$745,0))="","",INDEX(Data!$T$2:$T$745,MATCH(61,Data!$AI$2:$AI$745,0))),""))</f>
        <v/>
      </c>
      <c r="N75" s="34">
        <f>IF(B75="","",IFERROR(IF(INDEX(Data!$U$2:$U$745,MATCH(61,Data!$AI$2:$AI$745,0))="","",INDEX(Data!$U$2:$U$745,MATCH(61,Data!$AI$2:$AI$745,0))),""))</f>
        <v/>
      </c>
      <c r="O75" s="33">
        <f>IF(B75="","",IFERROR(IF(INDEX(Data!$V$2:$V$745,MATCH(61,Data!$AI$2:$AI$745,0))="","",INDEX(Data!$V$2:$V$745,MATCH(61,Data!$AI$2:$AI$745,0))),""))</f>
        <v/>
      </c>
      <c r="P75" s="33">
        <f>IF(B75="","",IFERROR(IF(INDEX(Data!$M$2:$M$745,MATCH(61,Data!$AI$2:$AI$745,0))="","",INDEX(Data!$M$2:$M$745,MATCH(61,Data!$AI$2:$AI$745,0))),""))</f>
        <v/>
      </c>
      <c r="Q75" s="31">
        <f>IF(B75="","",IFERROR(IF(INDEX(Data!$AD$2:$AD$745,MATCH(61,Data!$AI$2:$AI$745,0))="","",INDEX(Data!$AD$2:$AD$745,MATCH(61,Data!$AI$2:$AI$745,0))),""))</f>
        <v/>
      </c>
      <c r="R75" s="27">
        <f>IF(B75="","",IFERROR(IF(INDEX(Data!$L$2:$L$745,MATCH(61,Data!$AI$2:$AI$745,0))="","",INDEX(Data!$L$2:$L$745,MATCH(61,Data!$AI$2:$AI$745,0))),""))</f>
        <v/>
      </c>
      <c r="AB75" t="inlineStr">
        <is>
          <t>FESHKA</t>
        </is>
      </c>
    </row>
    <row r="76" ht="62" customHeight="1">
      <c r="B76" s="27">
        <f>IF(62&lt;=COUNTIF(Data!$AH$2:$AH$745,TRUE),62,"")</f>
        <v/>
      </c>
      <c r="C76" s="28">
        <f>IF(B76="","",IFERROR(_xlfn.IMAGE(IFERROR(IF(INDEX(Data!$J$2:$J$745,MATCH(62,Data!$AI$2:$AI$745,0))="","",INDEX(Data!$J$2:$J$745,MATCH(62,Data!$AI$2:$AI$745,0))),"")),"IMAGE COMING SOON"))</f>
        <v/>
      </c>
      <c r="D76" s="29">
        <f>IF(B76="","",IFERROR(IF(INDEX(Data!$G$2:$G$745,MATCH(62,Data!$AI$2:$AI$745,0))="","",INDEX(Data!$G$2:$G$745,MATCH(62,Data!$AI$2:$AI$745,0))),"")&amp;CHAR(10)&amp;IFERROR(IF(INDEX(Data!$H$2:$H$745,MATCH(62,Data!$AI$2:$AI$745,0))="","",INDEX(Data!$H$2:$H$745,MATCH(62,Data!$AI$2:$AI$745,0))),""))</f>
        <v/>
      </c>
      <c r="E76" s="27">
        <f>IF(B76="","",IFERROR(IF(INDEX(Data!$I$2:$I$745,MATCH(62,Data!$AI$2:$AI$745,0))="","",INDEX(Data!$I$2:$I$745,MATCH(62,Data!$AI$2:$AI$745,0))),""))</f>
        <v/>
      </c>
      <c r="F76" s="27">
        <f>IF(B76="","",IFERROR(IF(INDEX(Data!$AJ$2:$AJ$745,MATCH(62,Data!$AI$2:$AI$745,0))="","",INDEX(Data!$AJ$2:$AJ$745,MATCH(62,Data!$AI$2:$AI$745,0))),""))</f>
        <v/>
      </c>
      <c r="G76" s="27">
        <f>IF(B76="","",TRIM(IFERROR(IF(INDEX(Data!$AF$2:$AF$745,MATCH(62,Data!$AI$2:$AI$745,0))="","",INDEX(Data!$AF$2:$AF$745,MATCH(62,Data!$AI$2:$AI$745,0))),"")&amp;" "&amp;IFERROR(IF(INDEX(Data!$AG$2:$AG$745,MATCH(62,Data!$AI$2:$AI$745,0))="","",INDEX(Data!$AG$2:$AG$745,MATCH(62,Data!$AI$2:$AI$745,0))),"")))</f>
        <v/>
      </c>
      <c r="H76" s="37">
        <f>IF(B76="","",IFERROR(IF(INDEX(Data!$N$2:$N$745,MATCH(62,Data!$AI$2:$AI$745,0))="","",INDEX(Data!$N$2:$N$745,MATCH(62,Data!$AI$2:$AI$745,0))),""))</f>
        <v/>
      </c>
      <c r="I76" s="37">
        <f>IF(B76="","",IFERROR(IF(INDEX(Data!$O$2:$O$745,MATCH(62,Data!$AI$2:$AI$745,0))="","",INDEX(Data!$O$2:$O$745,MATCH(62,Data!$AI$2:$AI$745,0))),""))</f>
        <v/>
      </c>
      <c r="J76" s="31">
        <f>IF(B76="","",IFERROR(IF(INDEX(Data!$P$2:$P$745,MATCH(62,Data!$AI$2:$AI$745,0))="","",INDEX(Data!$P$2:$P$745,MATCH(62,Data!$AI$2:$AI$745,0))),""))</f>
        <v/>
      </c>
      <c r="K76" s="32">
        <f>IF(B76="","",IFERROR(IF(INDEX(Data!$R$2:$R$745,MATCH(62,Data!$AI$2:$AI$745,0))="","",INDEX(Data!$R$2:$R$745,MATCH(62,Data!$AI$2:$AI$745,0))),""))</f>
        <v/>
      </c>
      <c r="L76" s="33">
        <f>IF(B76="","",IFERROR(IF(INDEX(Data!$S$2:$S$745,MATCH(62,Data!$AI$2:$AI$745,0))="","",INDEX(Data!$S$2:$S$745,MATCH(62,Data!$AI$2:$AI$745,0))),""))</f>
        <v/>
      </c>
      <c r="M76" s="33">
        <f>IF(B76="","",IFERROR(IF(INDEX(Data!$T$2:$T$745,MATCH(62,Data!$AI$2:$AI$745,0))="","",INDEX(Data!$T$2:$T$745,MATCH(62,Data!$AI$2:$AI$745,0))),""))</f>
        <v/>
      </c>
      <c r="N76" s="34">
        <f>IF(B76="","",IFERROR(IF(INDEX(Data!$U$2:$U$745,MATCH(62,Data!$AI$2:$AI$745,0))="","",INDEX(Data!$U$2:$U$745,MATCH(62,Data!$AI$2:$AI$745,0))),""))</f>
        <v/>
      </c>
      <c r="O76" s="33">
        <f>IF(B76="","",IFERROR(IF(INDEX(Data!$V$2:$V$745,MATCH(62,Data!$AI$2:$AI$745,0))="","",INDEX(Data!$V$2:$V$745,MATCH(62,Data!$AI$2:$AI$745,0))),""))</f>
        <v/>
      </c>
      <c r="P76" s="33">
        <f>IF(B76="","",IFERROR(IF(INDEX(Data!$M$2:$M$745,MATCH(62,Data!$AI$2:$AI$745,0))="","",INDEX(Data!$M$2:$M$745,MATCH(62,Data!$AI$2:$AI$745,0))),""))</f>
        <v/>
      </c>
      <c r="Q76" s="31">
        <f>IF(B76="","",IFERROR(IF(INDEX(Data!$AD$2:$AD$745,MATCH(62,Data!$AI$2:$AI$745,0))="","",INDEX(Data!$AD$2:$AD$745,MATCH(62,Data!$AI$2:$AI$745,0))),""))</f>
        <v/>
      </c>
      <c r="R76" s="27">
        <f>IF(B76="","",IFERROR(IF(INDEX(Data!$L$2:$L$745,MATCH(62,Data!$AI$2:$AI$745,0))="","",INDEX(Data!$L$2:$L$745,MATCH(62,Data!$AI$2:$AI$745,0))),""))</f>
        <v/>
      </c>
      <c r="AB76" t="inlineStr">
        <is>
          <t>Fishers Finery</t>
        </is>
      </c>
    </row>
    <row r="77" ht="62" customHeight="1">
      <c r="B77" s="27">
        <f>IF(63&lt;=COUNTIF(Data!$AH$2:$AH$745,TRUE),63,"")</f>
        <v/>
      </c>
      <c r="C77" s="28">
        <f>IF(B77="","",IFERROR(_xlfn.IMAGE(IFERROR(IF(INDEX(Data!$J$2:$J$745,MATCH(63,Data!$AI$2:$AI$745,0))="","",INDEX(Data!$J$2:$J$745,MATCH(63,Data!$AI$2:$AI$745,0))),"")),"IMAGE COMING SOON"))</f>
        <v/>
      </c>
      <c r="D77" s="29">
        <f>IF(B77="","",IFERROR(IF(INDEX(Data!$G$2:$G$745,MATCH(63,Data!$AI$2:$AI$745,0))="","",INDEX(Data!$G$2:$G$745,MATCH(63,Data!$AI$2:$AI$745,0))),"")&amp;CHAR(10)&amp;IFERROR(IF(INDEX(Data!$H$2:$H$745,MATCH(63,Data!$AI$2:$AI$745,0))="","",INDEX(Data!$H$2:$H$745,MATCH(63,Data!$AI$2:$AI$745,0))),""))</f>
        <v/>
      </c>
      <c r="E77" s="27">
        <f>IF(B77="","",IFERROR(IF(INDEX(Data!$I$2:$I$745,MATCH(63,Data!$AI$2:$AI$745,0))="","",INDEX(Data!$I$2:$I$745,MATCH(63,Data!$AI$2:$AI$745,0))),""))</f>
        <v/>
      </c>
      <c r="F77" s="27">
        <f>IF(B77="","",IFERROR(IF(INDEX(Data!$AJ$2:$AJ$745,MATCH(63,Data!$AI$2:$AI$745,0))="","",INDEX(Data!$AJ$2:$AJ$745,MATCH(63,Data!$AI$2:$AI$745,0))),""))</f>
        <v/>
      </c>
      <c r="G77" s="27">
        <f>IF(B77="","",TRIM(IFERROR(IF(INDEX(Data!$AF$2:$AF$745,MATCH(63,Data!$AI$2:$AI$745,0))="","",INDEX(Data!$AF$2:$AF$745,MATCH(63,Data!$AI$2:$AI$745,0))),"")&amp;" "&amp;IFERROR(IF(INDEX(Data!$AG$2:$AG$745,MATCH(63,Data!$AI$2:$AI$745,0))="","",INDEX(Data!$AG$2:$AG$745,MATCH(63,Data!$AI$2:$AI$745,0))),"")))</f>
        <v/>
      </c>
      <c r="H77" s="37">
        <f>IF(B77="","",IFERROR(IF(INDEX(Data!$N$2:$N$745,MATCH(63,Data!$AI$2:$AI$745,0))="","",INDEX(Data!$N$2:$N$745,MATCH(63,Data!$AI$2:$AI$745,0))),""))</f>
        <v/>
      </c>
      <c r="I77" s="37">
        <f>IF(B77="","",IFERROR(IF(INDEX(Data!$O$2:$O$745,MATCH(63,Data!$AI$2:$AI$745,0))="","",INDEX(Data!$O$2:$O$745,MATCH(63,Data!$AI$2:$AI$745,0))),""))</f>
        <v/>
      </c>
      <c r="J77" s="31">
        <f>IF(B77="","",IFERROR(IF(INDEX(Data!$P$2:$P$745,MATCH(63,Data!$AI$2:$AI$745,0))="","",INDEX(Data!$P$2:$P$745,MATCH(63,Data!$AI$2:$AI$745,0))),""))</f>
        <v/>
      </c>
      <c r="K77" s="32">
        <f>IF(B77="","",IFERROR(IF(INDEX(Data!$R$2:$R$745,MATCH(63,Data!$AI$2:$AI$745,0))="","",INDEX(Data!$R$2:$R$745,MATCH(63,Data!$AI$2:$AI$745,0))),""))</f>
        <v/>
      </c>
      <c r="L77" s="33">
        <f>IF(B77="","",IFERROR(IF(INDEX(Data!$S$2:$S$745,MATCH(63,Data!$AI$2:$AI$745,0))="","",INDEX(Data!$S$2:$S$745,MATCH(63,Data!$AI$2:$AI$745,0))),""))</f>
        <v/>
      </c>
      <c r="M77" s="33">
        <f>IF(B77="","",IFERROR(IF(INDEX(Data!$T$2:$T$745,MATCH(63,Data!$AI$2:$AI$745,0))="","",INDEX(Data!$T$2:$T$745,MATCH(63,Data!$AI$2:$AI$745,0))),""))</f>
        <v/>
      </c>
      <c r="N77" s="34">
        <f>IF(B77="","",IFERROR(IF(INDEX(Data!$U$2:$U$745,MATCH(63,Data!$AI$2:$AI$745,0))="","",INDEX(Data!$U$2:$U$745,MATCH(63,Data!$AI$2:$AI$745,0))),""))</f>
        <v/>
      </c>
      <c r="O77" s="33">
        <f>IF(B77="","",IFERROR(IF(INDEX(Data!$V$2:$V$745,MATCH(63,Data!$AI$2:$AI$745,0))="","",INDEX(Data!$V$2:$V$745,MATCH(63,Data!$AI$2:$AI$745,0))),""))</f>
        <v/>
      </c>
      <c r="P77" s="33">
        <f>IF(B77="","",IFERROR(IF(INDEX(Data!$M$2:$M$745,MATCH(63,Data!$AI$2:$AI$745,0))="","",INDEX(Data!$M$2:$M$745,MATCH(63,Data!$AI$2:$AI$745,0))),""))</f>
        <v/>
      </c>
      <c r="Q77" s="31">
        <f>IF(B77="","",IFERROR(IF(INDEX(Data!$AD$2:$AD$745,MATCH(63,Data!$AI$2:$AI$745,0))="","",INDEX(Data!$AD$2:$AD$745,MATCH(63,Data!$AI$2:$AI$745,0))),""))</f>
        <v/>
      </c>
      <c r="R77" s="27">
        <f>IF(B77="","",IFERROR(IF(INDEX(Data!$L$2:$L$745,MATCH(63,Data!$AI$2:$AI$745,0))="","",INDEX(Data!$L$2:$L$745,MATCH(63,Data!$AI$2:$AI$745,0))),""))</f>
        <v/>
      </c>
      <c r="AB77" t="inlineStr">
        <is>
          <t>Fittia</t>
        </is>
      </c>
    </row>
    <row r="78" ht="62" customHeight="1">
      <c r="B78" s="27">
        <f>IF(64&lt;=COUNTIF(Data!$AH$2:$AH$745,TRUE),64,"")</f>
        <v/>
      </c>
      <c r="C78" s="28">
        <f>IF(B78="","",IFERROR(_xlfn.IMAGE(IFERROR(IF(INDEX(Data!$J$2:$J$745,MATCH(64,Data!$AI$2:$AI$745,0))="","",INDEX(Data!$J$2:$J$745,MATCH(64,Data!$AI$2:$AI$745,0))),"")),"IMAGE COMING SOON"))</f>
        <v/>
      </c>
      <c r="D78" s="29">
        <f>IF(B78="","",IFERROR(IF(INDEX(Data!$G$2:$G$745,MATCH(64,Data!$AI$2:$AI$745,0))="","",INDEX(Data!$G$2:$G$745,MATCH(64,Data!$AI$2:$AI$745,0))),"")&amp;CHAR(10)&amp;IFERROR(IF(INDEX(Data!$H$2:$H$745,MATCH(64,Data!$AI$2:$AI$745,0))="","",INDEX(Data!$H$2:$H$745,MATCH(64,Data!$AI$2:$AI$745,0))),""))</f>
        <v/>
      </c>
      <c r="E78" s="27">
        <f>IF(B78="","",IFERROR(IF(INDEX(Data!$I$2:$I$745,MATCH(64,Data!$AI$2:$AI$745,0))="","",INDEX(Data!$I$2:$I$745,MATCH(64,Data!$AI$2:$AI$745,0))),""))</f>
        <v/>
      </c>
      <c r="F78" s="27">
        <f>IF(B78="","",IFERROR(IF(INDEX(Data!$AJ$2:$AJ$745,MATCH(64,Data!$AI$2:$AI$745,0))="","",INDEX(Data!$AJ$2:$AJ$745,MATCH(64,Data!$AI$2:$AI$745,0))),""))</f>
        <v/>
      </c>
      <c r="G78" s="27">
        <f>IF(B78="","",TRIM(IFERROR(IF(INDEX(Data!$AF$2:$AF$745,MATCH(64,Data!$AI$2:$AI$745,0))="","",INDEX(Data!$AF$2:$AF$745,MATCH(64,Data!$AI$2:$AI$745,0))),"")&amp;" "&amp;IFERROR(IF(INDEX(Data!$AG$2:$AG$745,MATCH(64,Data!$AI$2:$AI$745,0))="","",INDEX(Data!$AG$2:$AG$745,MATCH(64,Data!$AI$2:$AI$745,0))),"")))</f>
        <v/>
      </c>
      <c r="H78" s="37">
        <f>IF(B78="","",IFERROR(IF(INDEX(Data!$N$2:$N$745,MATCH(64,Data!$AI$2:$AI$745,0))="","",INDEX(Data!$N$2:$N$745,MATCH(64,Data!$AI$2:$AI$745,0))),""))</f>
        <v/>
      </c>
      <c r="I78" s="37">
        <f>IF(B78="","",IFERROR(IF(INDEX(Data!$O$2:$O$745,MATCH(64,Data!$AI$2:$AI$745,0))="","",INDEX(Data!$O$2:$O$745,MATCH(64,Data!$AI$2:$AI$745,0))),""))</f>
        <v/>
      </c>
      <c r="J78" s="31">
        <f>IF(B78="","",IFERROR(IF(INDEX(Data!$P$2:$P$745,MATCH(64,Data!$AI$2:$AI$745,0))="","",INDEX(Data!$P$2:$P$745,MATCH(64,Data!$AI$2:$AI$745,0))),""))</f>
        <v/>
      </c>
      <c r="K78" s="32">
        <f>IF(B78="","",IFERROR(IF(INDEX(Data!$R$2:$R$745,MATCH(64,Data!$AI$2:$AI$745,0))="","",INDEX(Data!$R$2:$R$745,MATCH(64,Data!$AI$2:$AI$745,0))),""))</f>
        <v/>
      </c>
      <c r="L78" s="33">
        <f>IF(B78="","",IFERROR(IF(INDEX(Data!$S$2:$S$745,MATCH(64,Data!$AI$2:$AI$745,0))="","",INDEX(Data!$S$2:$S$745,MATCH(64,Data!$AI$2:$AI$745,0))),""))</f>
        <v/>
      </c>
      <c r="M78" s="33">
        <f>IF(B78="","",IFERROR(IF(INDEX(Data!$T$2:$T$745,MATCH(64,Data!$AI$2:$AI$745,0))="","",INDEX(Data!$T$2:$T$745,MATCH(64,Data!$AI$2:$AI$745,0))),""))</f>
        <v/>
      </c>
      <c r="N78" s="34">
        <f>IF(B78="","",IFERROR(IF(INDEX(Data!$U$2:$U$745,MATCH(64,Data!$AI$2:$AI$745,0))="","",INDEX(Data!$U$2:$U$745,MATCH(64,Data!$AI$2:$AI$745,0))),""))</f>
        <v/>
      </c>
      <c r="O78" s="33">
        <f>IF(B78="","",IFERROR(IF(INDEX(Data!$V$2:$V$745,MATCH(64,Data!$AI$2:$AI$745,0))="","",INDEX(Data!$V$2:$V$745,MATCH(64,Data!$AI$2:$AI$745,0))),""))</f>
        <v/>
      </c>
      <c r="P78" s="33">
        <f>IF(B78="","",IFERROR(IF(INDEX(Data!$M$2:$M$745,MATCH(64,Data!$AI$2:$AI$745,0))="","",INDEX(Data!$M$2:$M$745,MATCH(64,Data!$AI$2:$AI$745,0))),""))</f>
        <v/>
      </c>
      <c r="Q78" s="31">
        <f>IF(B78="","",IFERROR(IF(INDEX(Data!$AD$2:$AD$745,MATCH(64,Data!$AI$2:$AI$745,0))="","",INDEX(Data!$AD$2:$AD$745,MATCH(64,Data!$AI$2:$AI$745,0))),""))</f>
        <v/>
      </c>
      <c r="R78" s="27">
        <f>IF(B78="","",IFERROR(IF(INDEX(Data!$L$2:$L$745,MATCH(64,Data!$AI$2:$AI$745,0))="","",INDEX(Data!$L$2:$L$745,MATCH(64,Data!$AI$2:$AI$745,0))),""))</f>
        <v/>
      </c>
      <c r="AB78" t="inlineStr">
        <is>
          <t>FLCA</t>
        </is>
      </c>
    </row>
    <row r="79" ht="62" customHeight="1">
      <c r="B79" s="27">
        <f>IF(65&lt;=COUNTIF(Data!$AH$2:$AH$745,TRUE),65,"")</f>
        <v/>
      </c>
      <c r="C79" s="28">
        <f>IF(B79="","",IFERROR(_xlfn.IMAGE(IFERROR(IF(INDEX(Data!$J$2:$J$745,MATCH(65,Data!$AI$2:$AI$745,0))="","",INDEX(Data!$J$2:$J$745,MATCH(65,Data!$AI$2:$AI$745,0))),"")),"IMAGE COMING SOON"))</f>
        <v/>
      </c>
      <c r="D79" s="29">
        <f>IF(B79="","",IFERROR(IF(INDEX(Data!$G$2:$G$745,MATCH(65,Data!$AI$2:$AI$745,0))="","",INDEX(Data!$G$2:$G$745,MATCH(65,Data!$AI$2:$AI$745,0))),"")&amp;CHAR(10)&amp;IFERROR(IF(INDEX(Data!$H$2:$H$745,MATCH(65,Data!$AI$2:$AI$745,0))="","",INDEX(Data!$H$2:$H$745,MATCH(65,Data!$AI$2:$AI$745,0))),""))</f>
        <v/>
      </c>
      <c r="E79" s="27">
        <f>IF(B79="","",IFERROR(IF(INDEX(Data!$I$2:$I$745,MATCH(65,Data!$AI$2:$AI$745,0))="","",INDEX(Data!$I$2:$I$745,MATCH(65,Data!$AI$2:$AI$745,0))),""))</f>
        <v/>
      </c>
      <c r="F79" s="27">
        <f>IF(B79="","",IFERROR(IF(INDEX(Data!$AJ$2:$AJ$745,MATCH(65,Data!$AI$2:$AI$745,0))="","",INDEX(Data!$AJ$2:$AJ$745,MATCH(65,Data!$AI$2:$AI$745,0))),""))</f>
        <v/>
      </c>
      <c r="G79" s="27">
        <f>IF(B79="","",TRIM(IFERROR(IF(INDEX(Data!$AF$2:$AF$745,MATCH(65,Data!$AI$2:$AI$745,0))="","",INDEX(Data!$AF$2:$AF$745,MATCH(65,Data!$AI$2:$AI$745,0))),"")&amp;" "&amp;IFERROR(IF(INDEX(Data!$AG$2:$AG$745,MATCH(65,Data!$AI$2:$AI$745,0))="","",INDEX(Data!$AG$2:$AG$745,MATCH(65,Data!$AI$2:$AI$745,0))),"")))</f>
        <v/>
      </c>
      <c r="H79" s="37">
        <f>IF(B79="","",IFERROR(IF(INDEX(Data!$N$2:$N$745,MATCH(65,Data!$AI$2:$AI$745,0))="","",INDEX(Data!$N$2:$N$745,MATCH(65,Data!$AI$2:$AI$745,0))),""))</f>
        <v/>
      </c>
      <c r="I79" s="37">
        <f>IF(B79="","",IFERROR(IF(INDEX(Data!$O$2:$O$745,MATCH(65,Data!$AI$2:$AI$745,0))="","",INDEX(Data!$O$2:$O$745,MATCH(65,Data!$AI$2:$AI$745,0))),""))</f>
        <v/>
      </c>
      <c r="J79" s="31">
        <f>IF(B79="","",IFERROR(IF(INDEX(Data!$P$2:$P$745,MATCH(65,Data!$AI$2:$AI$745,0))="","",INDEX(Data!$P$2:$P$745,MATCH(65,Data!$AI$2:$AI$745,0))),""))</f>
        <v/>
      </c>
      <c r="K79" s="32">
        <f>IF(B79="","",IFERROR(IF(INDEX(Data!$R$2:$R$745,MATCH(65,Data!$AI$2:$AI$745,0))="","",INDEX(Data!$R$2:$R$745,MATCH(65,Data!$AI$2:$AI$745,0))),""))</f>
        <v/>
      </c>
      <c r="L79" s="33">
        <f>IF(B79="","",IFERROR(IF(INDEX(Data!$S$2:$S$745,MATCH(65,Data!$AI$2:$AI$745,0))="","",INDEX(Data!$S$2:$S$745,MATCH(65,Data!$AI$2:$AI$745,0))),""))</f>
        <v/>
      </c>
      <c r="M79" s="33">
        <f>IF(B79="","",IFERROR(IF(INDEX(Data!$T$2:$T$745,MATCH(65,Data!$AI$2:$AI$745,0))="","",INDEX(Data!$T$2:$T$745,MATCH(65,Data!$AI$2:$AI$745,0))),""))</f>
        <v/>
      </c>
      <c r="N79" s="34">
        <f>IF(B79="","",IFERROR(IF(INDEX(Data!$U$2:$U$745,MATCH(65,Data!$AI$2:$AI$745,0))="","",INDEX(Data!$U$2:$U$745,MATCH(65,Data!$AI$2:$AI$745,0))),""))</f>
        <v/>
      </c>
      <c r="O79" s="33">
        <f>IF(B79="","",IFERROR(IF(INDEX(Data!$V$2:$V$745,MATCH(65,Data!$AI$2:$AI$745,0))="","",INDEX(Data!$V$2:$V$745,MATCH(65,Data!$AI$2:$AI$745,0))),""))</f>
        <v/>
      </c>
      <c r="P79" s="33">
        <f>IF(B79="","",IFERROR(IF(INDEX(Data!$M$2:$M$745,MATCH(65,Data!$AI$2:$AI$745,0))="","",INDEX(Data!$M$2:$M$745,MATCH(65,Data!$AI$2:$AI$745,0))),""))</f>
        <v/>
      </c>
      <c r="Q79" s="31">
        <f>IF(B79="","",IFERROR(IF(INDEX(Data!$AD$2:$AD$745,MATCH(65,Data!$AI$2:$AI$745,0))="","",INDEX(Data!$AD$2:$AD$745,MATCH(65,Data!$AI$2:$AI$745,0))),""))</f>
        <v/>
      </c>
      <c r="R79" s="27">
        <f>IF(B79="","",IFERROR(IF(INDEX(Data!$L$2:$L$745,MATCH(65,Data!$AI$2:$AI$745,0))="","",INDEX(Data!$L$2:$L$745,MATCH(65,Data!$AI$2:$AI$745,0))),""))</f>
        <v/>
      </c>
      <c r="AB79" t="inlineStr">
        <is>
          <t>flowtorely</t>
        </is>
      </c>
    </row>
    <row r="80" ht="62" customHeight="1">
      <c r="B80" s="27">
        <f>IF(66&lt;=COUNTIF(Data!$AH$2:$AH$745,TRUE),66,"")</f>
        <v/>
      </c>
      <c r="C80" s="28">
        <f>IF(B80="","",IFERROR(_xlfn.IMAGE(IFERROR(IF(INDEX(Data!$J$2:$J$745,MATCH(66,Data!$AI$2:$AI$745,0))="","",INDEX(Data!$J$2:$J$745,MATCH(66,Data!$AI$2:$AI$745,0))),"")),"IMAGE COMING SOON"))</f>
        <v/>
      </c>
      <c r="D80" s="29">
        <f>IF(B80="","",IFERROR(IF(INDEX(Data!$G$2:$G$745,MATCH(66,Data!$AI$2:$AI$745,0))="","",INDEX(Data!$G$2:$G$745,MATCH(66,Data!$AI$2:$AI$745,0))),"")&amp;CHAR(10)&amp;IFERROR(IF(INDEX(Data!$H$2:$H$745,MATCH(66,Data!$AI$2:$AI$745,0))="","",INDEX(Data!$H$2:$H$745,MATCH(66,Data!$AI$2:$AI$745,0))),""))</f>
        <v/>
      </c>
      <c r="E80" s="27">
        <f>IF(B80="","",IFERROR(IF(INDEX(Data!$I$2:$I$745,MATCH(66,Data!$AI$2:$AI$745,0))="","",INDEX(Data!$I$2:$I$745,MATCH(66,Data!$AI$2:$AI$745,0))),""))</f>
        <v/>
      </c>
      <c r="F80" s="27">
        <f>IF(B80="","",IFERROR(IF(INDEX(Data!$AJ$2:$AJ$745,MATCH(66,Data!$AI$2:$AI$745,0))="","",INDEX(Data!$AJ$2:$AJ$745,MATCH(66,Data!$AI$2:$AI$745,0))),""))</f>
        <v/>
      </c>
      <c r="G80" s="27">
        <f>IF(B80="","",TRIM(IFERROR(IF(INDEX(Data!$AF$2:$AF$745,MATCH(66,Data!$AI$2:$AI$745,0))="","",INDEX(Data!$AF$2:$AF$745,MATCH(66,Data!$AI$2:$AI$745,0))),"")&amp;" "&amp;IFERROR(IF(INDEX(Data!$AG$2:$AG$745,MATCH(66,Data!$AI$2:$AI$745,0))="","",INDEX(Data!$AG$2:$AG$745,MATCH(66,Data!$AI$2:$AI$745,0))),"")))</f>
        <v/>
      </c>
      <c r="H80" s="37">
        <f>IF(B80="","",IFERROR(IF(INDEX(Data!$N$2:$N$745,MATCH(66,Data!$AI$2:$AI$745,0))="","",INDEX(Data!$N$2:$N$745,MATCH(66,Data!$AI$2:$AI$745,0))),""))</f>
        <v/>
      </c>
      <c r="I80" s="37">
        <f>IF(B80="","",IFERROR(IF(INDEX(Data!$O$2:$O$745,MATCH(66,Data!$AI$2:$AI$745,0))="","",INDEX(Data!$O$2:$O$745,MATCH(66,Data!$AI$2:$AI$745,0))),""))</f>
        <v/>
      </c>
      <c r="J80" s="31">
        <f>IF(B80="","",IFERROR(IF(INDEX(Data!$P$2:$P$745,MATCH(66,Data!$AI$2:$AI$745,0))="","",INDEX(Data!$P$2:$P$745,MATCH(66,Data!$AI$2:$AI$745,0))),""))</f>
        <v/>
      </c>
      <c r="K80" s="32">
        <f>IF(B80="","",IFERROR(IF(INDEX(Data!$R$2:$R$745,MATCH(66,Data!$AI$2:$AI$745,0))="","",INDEX(Data!$R$2:$R$745,MATCH(66,Data!$AI$2:$AI$745,0))),""))</f>
        <v/>
      </c>
      <c r="L80" s="33">
        <f>IF(B80="","",IFERROR(IF(INDEX(Data!$S$2:$S$745,MATCH(66,Data!$AI$2:$AI$745,0))="","",INDEX(Data!$S$2:$S$745,MATCH(66,Data!$AI$2:$AI$745,0))),""))</f>
        <v/>
      </c>
      <c r="M80" s="33">
        <f>IF(B80="","",IFERROR(IF(INDEX(Data!$T$2:$T$745,MATCH(66,Data!$AI$2:$AI$745,0))="","",INDEX(Data!$T$2:$T$745,MATCH(66,Data!$AI$2:$AI$745,0))),""))</f>
        <v/>
      </c>
      <c r="N80" s="34">
        <f>IF(B80="","",IFERROR(IF(INDEX(Data!$U$2:$U$745,MATCH(66,Data!$AI$2:$AI$745,0))="","",INDEX(Data!$U$2:$U$745,MATCH(66,Data!$AI$2:$AI$745,0))),""))</f>
        <v/>
      </c>
      <c r="O80" s="33">
        <f>IF(B80="","",IFERROR(IF(INDEX(Data!$V$2:$V$745,MATCH(66,Data!$AI$2:$AI$745,0))="","",INDEX(Data!$V$2:$V$745,MATCH(66,Data!$AI$2:$AI$745,0))),""))</f>
        <v/>
      </c>
      <c r="P80" s="33">
        <f>IF(B80="","",IFERROR(IF(INDEX(Data!$M$2:$M$745,MATCH(66,Data!$AI$2:$AI$745,0))="","",INDEX(Data!$M$2:$M$745,MATCH(66,Data!$AI$2:$AI$745,0))),""))</f>
        <v/>
      </c>
      <c r="Q80" s="31">
        <f>IF(B80="","",IFERROR(IF(INDEX(Data!$AD$2:$AD$745,MATCH(66,Data!$AI$2:$AI$745,0))="","",INDEX(Data!$AD$2:$AD$745,MATCH(66,Data!$AI$2:$AI$745,0))),""))</f>
        <v/>
      </c>
      <c r="R80" s="27">
        <f>IF(B80="","",IFERROR(IF(INDEX(Data!$L$2:$L$745,MATCH(66,Data!$AI$2:$AI$745,0))="","",INDEX(Data!$L$2:$L$745,MATCH(66,Data!$AI$2:$AI$745,0))),""))</f>
        <v/>
      </c>
      <c r="AB80" t="inlineStr">
        <is>
          <t>FLYMME</t>
        </is>
      </c>
    </row>
    <row r="81" ht="62" customHeight="1">
      <c r="B81" s="27">
        <f>IF(67&lt;=COUNTIF(Data!$AH$2:$AH$745,TRUE),67,"")</f>
        <v/>
      </c>
      <c r="C81" s="28">
        <f>IF(B81="","",IFERROR(_xlfn.IMAGE(IFERROR(IF(INDEX(Data!$J$2:$J$745,MATCH(67,Data!$AI$2:$AI$745,0))="","",INDEX(Data!$J$2:$J$745,MATCH(67,Data!$AI$2:$AI$745,0))),"")),"IMAGE COMING SOON"))</f>
        <v/>
      </c>
      <c r="D81" s="29">
        <f>IF(B81="","",IFERROR(IF(INDEX(Data!$G$2:$G$745,MATCH(67,Data!$AI$2:$AI$745,0))="","",INDEX(Data!$G$2:$G$745,MATCH(67,Data!$AI$2:$AI$745,0))),"")&amp;CHAR(10)&amp;IFERROR(IF(INDEX(Data!$H$2:$H$745,MATCH(67,Data!$AI$2:$AI$745,0))="","",INDEX(Data!$H$2:$H$745,MATCH(67,Data!$AI$2:$AI$745,0))),""))</f>
        <v/>
      </c>
      <c r="E81" s="27">
        <f>IF(B81="","",IFERROR(IF(INDEX(Data!$I$2:$I$745,MATCH(67,Data!$AI$2:$AI$745,0))="","",INDEX(Data!$I$2:$I$745,MATCH(67,Data!$AI$2:$AI$745,0))),""))</f>
        <v/>
      </c>
      <c r="F81" s="27">
        <f>IF(B81="","",IFERROR(IF(INDEX(Data!$AJ$2:$AJ$745,MATCH(67,Data!$AI$2:$AI$745,0))="","",INDEX(Data!$AJ$2:$AJ$745,MATCH(67,Data!$AI$2:$AI$745,0))),""))</f>
        <v/>
      </c>
      <c r="G81" s="27">
        <f>IF(B81="","",TRIM(IFERROR(IF(INDEX(Data!$AF$2:$AF$745,MATCH(67,Data!$AI$2:$AI$745,0))="","",INDEX(Data!$AF$2:$AF$745,MATCH(67,Data!$AI$2:$AI$745,0))),"")&amp;" "&amp;IFERROR(IF(INDEX(Data!$AG$2:$AG$745,MATCH(67,Data!$AI$2:$AI$745,0))="","",INDEX(Data!$AG$2:$AG$745,MATCH(67,Data!$AI$2:$AI$745,0))),"")))</f>
        <v/>
      </c>
      <c r="H81" s="37">
        <f>IF(B81="","",IFERROR(IF(INDEX(Data!$N$2:$N$745,MATCH(67,Data!$AI$2:$AI$745,0))="","",INDEX(Data!$N$2:$N$745,MATCH(67,Data!$AI$2:$AI$745,0))),""))</f>
        <v/>
      </c>
      <c r="I81" s="37">
        <f>IF(B81="","",IFERROR(IF(INDEX(Data!$O$2:$O$745,MATCH(67,Data!$AI$2:$AI$745,0))="","",INDEX(Data!$O$2:$O$745,MATCH(67,Data!$AI$2:$AI$745,0))),""))</f>
        <v/>
      </c>
      <c r="J81" s="31">
        <f>IF(B81="","",IFERROR(IF(INDEX(Data!$P$2:$P$745,MATCH(67,Data!$AI$2:$AI$745,0))="","",INDEX(Data!$P$2:$P$745,MATCH(67,Data!$AI$2:$AI$745,0))),""))</f>
        <v/>
      </c>
      <c r="K81" s="32">
        <f>IF(B81="","",IFERROR(IF(INDEX(Data!$R$2:$R$745,MATCH(67,Data!$AI$2:$AI$745,0))="","",INDEX(Data!$R$2:$R$745,MATCH(67,Data!$AI$2:$AI$745,0))),""))</f>
        <v/>
      </c>
      <c r="L81" s="33">
        <f>IF(B81="","",IFERROR(IF(INDEX(Data!$S$2:$S$745,MATCH(67,Data!$AI$2:$AI$745,0))="","",INDEX(Data!$S$2:$S$745,MATCH(67,Data!$AI$2:$AI$745,0))),""))</f>
        <v/>
      </c>
      <c r="M81" s="33">
        <f>IF(B81="","",IFERROR(IF(INDEX(Data!$T$2:$T$745,MATCH(67,Data!$AI$2:$AI$745,0))="","",INDEX(Data!$T$2:$T$745,MATCH(67,Data!$AI$2:$AI$745,0))),""))</f>
        <v/>
      </c>
      <c r="N81" s="34">
        <f>IF(B81="","",IFERROR(IF(INDEX(Data!$U$2:$U$745,MATCH(67,Data!$AI$2:$AI$745,0))="","",INDEX(Data!$U$2:$U$745,MATCH(67,Data!$AI$2:$AI$745,0))),""))</f>
        <v/>
      </c>
      <c r="O81" s="33">
        <f>IF(B81="","",IFERROR(IF(INDEX(Data!$V$2:$V$745,MATCH(67,Data!$AI$2:$AI$745,0))="","",INDEX(Data!$V$2:$V$745,MATCH(67,Data!$AI$2:$AI$745,0))),""))</f>
        <v/>
      </c>
      <c r="P81" s="33">
        <f>IF(B81="","",IFERROR(IF(INDEX(Data!$M$2:$M$745,MATCH(67,Data!$AI$2:$AI$745,0))="","",INDEX(Data!$M$2:$M$745,MATCH(67,Data!$AI$2:$AI$745,0))),""))</f>
        <v/>
      </c>
      <c r="Q81" s="31">
        <f>IF(B81="","",IFERROR(IF(INDEX(Data!$AD$2:$AD$745,MATCH(67,Data!$AI$2:$AI$745,0))="","",INDEX(Data!$AD$2:$AD$745,MATCH(67,Data!$AI$2:$AI$745,0))),""))</f>
        <v/>
      </c>
      <c r="R81" s="27">
        <f>IF(B81="","",IFERROR(IF(INDEX(Data!$L$2:$L$745,MATCH(67,Data!$AI$2:$AI$745,0))="","",INDEX(Data!$L$2:$L$745,MATCH(67,Data!$AI$2:$AI$745,0))),""))</f>
        <v/>
      </c>
      <c r="AB81" t="inlineStr">
        <is>
          <t>FORCHEER</t>
        </is>
      </c>
    </row>
    <row r="82" ht="62" customHeight="1">
      <c r="B82" s="27">
        <f>IF(68&lt;=COUNTIF(Data!$AH$2:$AH$745,TRUE),68,"")</f>
        <v/>
      </c>
      <c r="C82" s="28">
        <f>IF(B82="","",IFERROR(_xlfn.IMAGE(IFERROR(IF(INDEX(Data!$J$2:$J$745,MATCH(68,Data!$AI$2:$AI$745,0))="","",INDEX(Data!$J$2:$J$745,MATCH(68,Data!$AI$2:$AI$745,0))),"")),"IMAGE COMING SOON"))</f>
        <v/>
      </c>
      <c r="D82" s="29">
        <f>IF(B82="","",IFERROR(IF(INDEX(Data!$G$2:$G$745,MATCH(68,Data!$AI$2:$AI$745,0))="","",INDEX(Data!$G$2:$G$745,MATCH(68,Data!$AI$2:$AI$745,0))),"")&amp;CHAR(10)&amp;IFERROR(IF(INDEX(Data!$H$2:$H$745,MATCH(68,Data!$AI$2:$AI$745,0))="","",INDEX(Data!$H$2:$H$745,MATCH(68,Data!$AI$2:$AI$745,0))),""))</f>
        <v/>
      </c>
      <c r="E82" s="27">
        <f>IF(B82="","",IFERROR(IF(INDEX(Data!$I$2:$I$745,MATCH(68,Data!$AI$2:$AI$745,0))="","",INDEX(Data!$I$2:$I$745,MATCH(68,Data!$AI$2:$AI$745,0))),""))</f>
        <v/>
      </c>
      <c r="F82" s="27">
        <f>IF(B82="","",IFERROR(IF(INDEX(Data!$AJ$2:$AJ$745,MATCH(68,Data!$AI$2:$AI$745,0))="","",INDEX(Data!$AJ$2:$AJ$745,MATCH(68,Data!$AI$2:$AI$745,0))),""))</f>
        <v/>
      </c>
      <c r="G82" s="27">
        <f>IF(B82="","",TRIM(IFERROR(IF(INDEX(Data!$AF$2:$AF$745,MATCH(68,Data!$AI$2:$AI$745,0))="","",INDEX(Data!$AF$2:$AF$745,MATCH(68,Data!$AI$2:$AI$745,0))),"")&amp;" "&amp;IFERROR(IF(INDEX(Data!$AG$2:$AG$745,MATCH(68,Data!$AI$2:$AI$745,0))="","",INDEX(Data!$AG$2:$AG$745,MATCH(68,Data!$AI$2:$AI$745,0))),"")))</f>
        <v/>
      </c>
      <c r="H82" s="37">
        <f>IF(B82="","",IFERROR(IF(INDEX(Data!$N$2:$N$745,MATCH(68,Data!$AI$2:$AI$745,0))="","",INDEX(Data!$N$2:$N$745,MATCH(68,Data!$AI$2:$AI$745,0))),""))</f>
        <v/>
      </c>
      <c r="I82" s="37">
        <f>IF(B82="","",IFERROR(IF(INDEX(Data!$O$2:$O$745,MATCH(68,Data!$AI$2:$AI$745,0))="","",INDEX(Data!$O$2:$O$745,MATCH(68,Data!$AI$2:$AI$745,0))),""))</f>
        <v/>
      </c>
      <c r="J82" s="31">
        <f>IF(B82="","",IFERROR(IF(INDEX(Data!$P$2:$P$745,MATCH(68,Data!$AI$2:$AI$745,0))="","",INDEX(Data!$P$2:$P$745,MATCH(68,Data!$AI$2:$AI$745,0))),""))</f>
        <v/>
      </c>
      <c r="K82" s="32">
        <f>IF(B82="","",IFERROR(IF(INDEX(Data!$R$2:$R$745,MATCH(68,Data!$AI$2:$AI$745,0))="","",INDEX(Data!$R$2:$R$745,MATCH(68,Data!$AI$2:$AI$745,0))),""))</f>
        <v/>
      </c>
      <c r="L82" s="33">
        <f>IF(B82="","",IFERROR(IF(INDEX(Data!$S$2:$S$745,MATCH(68,Data!$AI$2:$AI$745,0))="","",INDEX(Data!$S$2:$S$745,MATCH(68,Data!$AI$2:$AI$745,0))),""))</f>
        <v/>
      </c>
      <c r="M82" s="33">
        <f>IF(B82="","",IFERROR(IF(INDEX(Data!$T$2:$T$745,MATCH(68,Data!$AI$2:$AI$745,0))="","",INDEX(Data!$T$2:$T$745,MATCH(68,Data!$AI$2:$AI$745,0))),""))</f>
        <v/>
      </c>
      <c r="N82" s="34">
        <f>IF(B82="","",IFERROR(IF(INDEX(Data!$U$2:$U$745,MATCH(68,Data!$AI$2:$AI$745,0))="","",INDEX(Data!$U$2:$U$745,MATCH(68,Data!$AI$2:$AI$745,0))),""))</f>
        <v/>
      </c>
      <c r="O82" s="33">
        <f>IF(B82="","",IFERROR(IF(INDEX(Data!$V$2:$V$745,MATCH(68,Data!$AI$2:$AI$745,0))="","",INDEX(Data!$V$2:$V$745,MATCH(68,Data!$AI$2:$AI$745,0))),""))</f>
        <v/>
      </c>
      <c r="P82" s="33">
        <f>IF(B82="","",IFERROR(IF(INDEX(Data!$M$2:$M$745,MATCH(68,Data!$AI$2:$AI$745,0))="","",INDEX(Data!$M$2:$M$745,MATCH(68,Data!$AI$2:$AI$745,0))),""))</f>
        <v/>
      </c>
      <c r="Q82" s="31">
        <f>IF(B82="","",IFERROR(IF(INDEX(Data!$AD$2:$AD$745,MATCH(68,Data!$AI$2:$AI$745,0))="","",INDEX(Data!$AD$2:$AD$745,MATCH(68,Data!$AI$2:$AI$745,0))),""))</f>
        <v/>
      </c>
      <c r="R82" s="27">
        <f>IF(B82="","",IFERROR(IF(INDEX(Data!$L$2:$L$745,MATCH(68,Data!$AI$2:$AI$745,0))="","",INDEX(Data!$L$2:$L$745,MATCH(68,Data!$AI$2:$AI$745,0))),""))</f>
        <v/>
      </c>
      <c r="AB82" t="inlineStr">
        <is>
          <t>FreshCulture</t>
        </is>
      </c>
    </row>
    <row r="83" ht="62" customHeight="1">
      <c r="B83" s="27">
        <f>IF(69&lt;=COUNTIF(Data!$AH$2:$AH$745,TRUE),69,"")</f>
        <v/>
      </c>
      <c r="C83" s="28">
        <f>IF(B83="","",IFERROR(_xlfn.IMAGE(IFERROR(IF(INDEX(Data!$J$2:$J$745,MATCH(69,Data!$AI$2:$AI$745,0))="","",INDEX(Data!$J$2:$J$745,MATCH(69,Data!$AI$2:$AI$745,0))),"")),"IMAGE COMING SOON"))</f>
        <v/>
      </c>
      <c r="D83" s="29">
        <f>IF(B83="","",IFERROR(IF(INDEX(Data!$G$2:$G$745,MATCH(69,Data!$AI$2:$AI$745,0))="","",INDEX(Data!$G$2:$G$745,MATCH(69,Data!$AI$2:$AI$745,0))),"")&amp;CHAR(10)&amp;IFERROR(IF(INDEX(Data!$H$2:$H$745,MATCH(69,Data!$AI$2:$AI$745,0))="","",INDEX(Data!$H$2:$H$745,MATCH(69,Data!$AI$2:$AI$745,0))),""))</f>
        <v/>
      </c>
      <c r="E83" s="27">
        <f>IF(B83="","",IFERROR(IF(INDEX(Data!$I$2:$I$745,MATCH(69,Data!$AI$2:$AI$745,0))="","",INDEX(Data!$I$2:$I$745,MATCH(69,Data!$AI$2:$AI$745,0))),""))</f>
        <v/>
      </c>
      <c r="F83" s="27">
        <f>IF(B83="","",IFERROR(IF(INDEX(Data!$AJ$2:$AJ$745,MATCH(69,Data!$AI$2:$AI$745,0))="","",INDEX(Data!$AJ$2:$AJ$745,MATCH(69,Data!$AI$2:$AI$745,0))),""))</f>
        <v/>
      </c>
      <c r="G83" s="27">
        <f>IF(B83="","",TRIM(IFERROR(IF(INDEX(Data!$AF$2:$AF$745,MATCH(69,Data!$AI$2:$AI$745,0))="","",INDEX(Data!$AF$2:$AF$745,MATCH(69,Data!$AI$2:$AI$745,0))),"")&amp;" "&amp;IFERROR(IF(INDEX(Data!$AG$2:$AG$745,MATCH(69,Data!$AI$2:$AI$745,0))="","",INDEX(Data!$AG$2:$AG$745,MATCH(69,Data!$AI$2:$AI$745,0))),"")))</f>
        <v/>
      </c>
      <c r="H83" s="37">
        <f>IF(B83="","",IFERROR(IF(INDEX(Data!$N$2:$N$745,MATCH(69,Data!$AI$2:$AI$745,0))="","",INDEX(Data!$N$2:$N$745,MATCH(69,Data!$AI$2:$AI$745,0))),""))</f>
        <v/>
      </c>
      <c r="I83" s="37">
        <f>IF(B83="","",IFERROR(IF(INDEX(Data!$O$2:$O$745,MATCH(69,Data!$AI$2:$AI$745,0))="","",INDEX(Data!$O$2:$O$745,MATCH(69,Data!$AI$2:$AI$745,0))),""))</f>
        <v/>
      </c>
      <c r="J83" s="31">
        <f>IF(B83="","",IFERROR(IF(INDEX(Data!$P$2:$P$745,MATCH(69,Data!$AI$2:$AI$745,0))="","",INDEX(Data!$P$2:$P$745,MATCH(69,Data!$AI$2:$AI$745,0))),""))</f>
        <v/>
      </c>
      <c r="K83" s="32">
        <f>IF(B83="","",IFERROR(IF(INDEX(Data!$R$2:$R$745,MATCH(69,Data!$AI$2:$AI$745,0))="","",INDEX(Data!$R$2:$R$745,MATCH(69,Data!$AI$2:$AI$745,0))),""))</f>
        <v/>
      </c>
      <c r="L83" s="33">
        <f>IF(B83="","",IFERROR(IF(INDEX(Data!$S$2:$S$745,MATCH(69,Data!$AI$2:$AI$745,0))="","",INDEX(Data!$S$2:$S$745,MATCH(69,Data!$AI$2:$AI$745,0))),""))</f>
        <v/>
      </c>
      <c r="M83" s="33">
        <f>IF(B83="","",IFERROR(IF(INDEX(Data!$T$2:$T$745,MATCH(69,Data!$AI$2:$AI$745,0))="","",INDEX(Data!$T$2:$T$745,MATCH(69,Data!$AI$2:$AI$745,0))),""))</f>
        <v/>
      </c>
      <c r="N83" s="34">
        <f>IF(B83="","",IFERROR(IF(INDEX(Data!$U$2:$U$745,MATCH(69,Data!$AI$2:$AI$745,0))="","",INDEX(Data!$U$2:$U$745,MATCH(69,Data!$AI$2:$AI$745,0))),""))</f>
        <v/>
      </c>
      <c r="O83" s="33">
        <f>IF(B83="","",IFERROR(IF(INDEX(Data!$V$2:$V$745,MATCH(69,Data!$AI$2:$AI$745,0))="","",INDEX(Data!$V$2:$V$745,MATCH(69,Data!$AI$2:$AI$745,0))),""))</f>
        <v/>
      </c>
      <c r="P83" s="33">
        <f>IF(B83="","",IFERROR(IF(INDEX(Data!$M$2:$M$745,MATCH(69,Data!$AI$2:$AI$745,0))="","",INDEX(Data!$M$2:$M$745,MATCH(69,Data!$AI$2:$AI$745,0))),""))</f>
        <v/>
      </c>
      <c r="Q83" s="31">
        <f>IF(B83="","",IFERROR(IF(INDEX(Data!$AD$2:$AD$745,MATCH(69,Data!$AI$2:$AI$745,0))="","",INDEX(Data!$AD$2:$AD$745,MATCH(69,Data!$AI$2:$AI$745,0))),""))</f>
        <v/>
      </c>
      <c r="R83" s="27">
        <f>IF(B83="","",IFERROR(IF(INDEX(Data!$L$2:$L$745,MATCH(69,Data!$AI$2:$AI$745,0))="","",INDEX(Data!$L$2:$L$745,MATCH(69,Data!$AI$2:$AI$745,0))),""))</f>
        <v/>
      </c>
      <c r="AB83" t="inlineStr">
        <is>
          <t>Gabire</t>
        </is>
      </c>
    </row>
    <row r="84" ht="62" customHeight="1">
      <c r="B84" s="27">
        <f>IF(70&lt;=COUNTIF(Data!$AH$2:$AH$745,TRUE),70,"")</f>
        <v/>
      </c>
      <c r="C84" s="28">
        <f>IF(B84="","",IFERROR(_xlfn.IMAGE(IFERROR(IF(INDEX(Data!$J$2:$J$745,MATCH(70,Data!$AI$2:$AI$745,0))="","",INDEX(Data!$J$2:$J$745,MATCH(70,Data!$AI$2:$AI$745,0))),"")),"IMAGE COMING SOON"))</f>
        <v/>
      </c>
      <c r="D84" s="29">
        <f>IF(B84="","",IFERROR(IF(INDEX(Data!$G$2:$G$745,MATCH(70,Data!$AI$2:$AI$745,0))="","",INDEX(Data!$G$2:$G$745,MATCH(70,Data!$AI$2:$AI$745,0))),"")&amp;CHAR(10)&amp;IFERROR(IF(INDEX(Data!$H$2:$H$745,MATCH(70,Data!$AI$2:$AI$745,0))="","",INDEX(Data!$H$2:$H$745,MATCH(70,Data!$AI$2:$AI$745,0))),""))</f>
        <v/>
      </c>
      <c r="E84" s="27">
        <f>IF(B84="","",IFERROR(IF(INDEX(Data!$I$2:$I$745,MATCH(70,Data!$AI$2:$AI$745,0))="","",INDEX(Data!$I$2:$I$745,MATCH(70,Data!$AI$2:$AI$745,0))),""))</f>
        <v/>
      </c>
      <c r="F84" s="27">
        <f>IF(B84="","",IFERROR(IF(INDEX(Data!$AJ$2:$AJ$745,MATCH(70,Data!$AI$2:$AI$745,0))="","",INDEX(Data!$AJ$2:$AJ$745,MATCH(70,Data!$AI$2:$AI$745,0))),""))</f>
        <v/>
      </c>
      <c r="G84" s="27">
        <f>IF(B84="","",TRIM(IFERROR(IF(INDEX(Data!$AF$2:$AF$745,MATCH(70,Data!$AI$2:$AI$745,0))="","",INDEX(Data!$AF$2:$AF$745,MATCH(70,Data!$AI$2:$AI$745,0))),"")&amp;" "&amp;IFERROR(IF(INDEX(Data!$AG$2:$AG$745,MATCH(70,Data!$AI$2:$AI$745,0))="","",INDEX(Data!$AG$2:$AG$745,MATCH(70,Data!$AI$2:$AI$745,0))),"")))</f>
        <v/>
      </c>
      <c r="H84" s="37">
        <f>IF(B84="","",IFERROR(IF(INDEX(Data!$N$2:$N$745,MATCH(70,Data!$AI$2:$AI$745,0))="","",INDEX(Data!$N$2:$N$745,MATCH(70,Data!$AI$2:$AI$745,0))),""))</f>
        <v/>
      </c>
      <c r="I84" s="37">
        <f>IF(B84="","",IFERROR(IF(INDEX(Data!$O$2:$O$745,MATCH(70,Data!$AI$2:$AI$745,0))="","",INDEX(Data!$O$2:$O$745,MATCH(70,Data!$AI$2:$AI$745,0))),""))</f>
        <v/>
      </c>
      <c r="J84" s="31">
        <f>IF(B84="","",IFERROR(IF(INDEX(Data!$P$2:$P$745,MATCH(70,Data!$AI$2:$AI$745,0))="","",INDEX(Data!$P$2:$P$745,MATCH(70,Data!$AI$2:$AI$745,0))),""))</f>
        <v/>
      </c>
      <c r="K84" s="32">
        <f>IF(B84="","",IFERROR(IF(INDEX(Data!$R$2:$R$745,MATCH(70,Data!$AI$2:$AI$745,0))="","",INDEX(Data!$R$2:$R$745,MATCH(70,Data!$AI$2:$AI$745,0))),""))</f>
        <v/>
      </c>
      <c r="L84" s="33">
        <f>IF(B84="","",IFERROR(IF(INDEX(Data!$S$2:$S$745,MATCH(70,Data!$AI$2:$AI$745,0))="","",INDEX(Data!$S$2:$S$745,MATCH(70,Data!$AI$2:$AI$745,0))),""))</f>
        <v/>
      </c>
      <c r="M84" s="33">
        <f>IF(B84="","",IFERROR(IF(INDEX(Data!$T$2:$T$745,MATCH(70,Data!$AI$2:$AI$745,0))="","",INDEX(Data!$T$2:$T$745,MATCH(70,Data!$AI$2:$AI$745,0))),""))</f>
        <v/>
      </c>
      <c r="N84" s="34">
        <f>IF(B84="","",IFERROR(IF(INDEX(Data!$U$2:$U$745,MATCH(70,Data!$AI$2:$AI$745,0))="","",INDEX(Data!$U$2:$U$745,MATCH(70,Data!$AI$2:$AI$745,0))),""))</f>
        <v/>
      </c>
      <c r="O84" s="33">
        <f>IF(B84="","",IFERROR(IF(INDEX(Data!$V$2:$V$745,MATCH(70,Data!$AI$2:$AI$745,0))="","",INDEX(Data!$V$2:$V$745,MATCH(70,Data!$AI$2:$AI$745,0))),""))</f>
        <v/>
      </c>
      <c r="P84" s="33">
        <f>IF(B84="","",IFERROR(IF(INDEX(Data!$M$2:$M$745,MATCH(70,Data!$AI$2:$AI$745,0))="","",INDEX(Data!$M$2:$M$745,MATCH(70,Data!$AI$2:$AI$745,0))),""))</f>
        <v/>
      </c>
      <c r="Q84" s="31">
        <f>IF(B84="","",IFERROR(IF(INDEX(Data!$AD$2:$AD$745,MATCH(70,Data!$AI$2:$AI$745,0))="","",INDEX(Data!$AD$2:$AD$745,MATCH(70,Data!$AI$2:$AI$745,0))),""))</f>
        <v/>
      </c>
      <c r="R84" s="27">
        <f>IF(B84="","",IFERROR(IF(INDEX(Data!$L$2:$L$745,MATCH(70,Data!$AI$2:$AI$745,0))="","",INDEX(Data!$L$2:$L$745,MATCH(70,Data!$AI$2:$AI$745,0))),""))</f>
        <v/>
      </c>
      <c r="AB84" t="inlineStr">
        <is>
          <t>Gehtmnl</t>
        </is>
      </c>
    </row>
    <row r="85" ht="62" customHeight="1">
      <c r="B85" s="27">
        <f>IF(71&lt;=COUNTIF(Data!$AH$2:$AH$745,TRUE),71,"")</f>
        <v/>
      </c>
      <c r="C85" s="28">
        <f>IF(B85="","",IFERROR(_xlfn.IMAGE(IFERROR(IF(INDEX(Data!$J$2:$J$745,MATCH(71,Data!$AI$2:$AI$745,0))="","",INDEX(Data!$J$2:$J$745,MATCH(71,Data!$AI$2:$AI$745,0))),"")),"IMAGE COMING SOON"))</f>
        <v/>
      </c>
      <c r="D85" s="29">
        <f>IF(B85="","",IFERROR(IF(INDEX(Data!$G$2:$G$745,MATCH(71,Data!$AI$2:$AI$745,0))="","",INDEX(Data!$G$2:$G$745,MATCH(71,Data!$AI$2:$AI$745,0))),"")&amp;CHAR(10)&amp;IFERROR(IF(INDEX(Data!$H$2:$H$745,MATCH(71,Data!$AI$2:$AI$745,0))="","",INDEX(Data!$H$2:$H$745,MATCH(71,Data!$AI$2:$AI$745,0))),""))</f>
        <v/>
      </c>
      <c r="E85" s="27">
        <f>IF(B85="","",IFERROR(IF(INDEX(Data!$I$2:$I$745,MATCH(71,Data!$AI$2:$AI$745,0))="","",INDEX(Data!$I$2:$I$745,MATCH(71,Data!$AI$2:$AI$745,0))),""))</f>
        <v/>
      </c>
      <c r="F85" s="27">
        <f>IF(B85="","",IFERROR(IF(INDEX(Data!$AJ$2:$AJ$745,MATCH(71,Data!$AI$2:$AI$745,0))="","",INDEX(Data!$AJ$2:$AJ$745,MATCH(71,Data!$AI$2:$AI$745,0))),""))</f>
        <v/>
      </c>
      <c r="G85" s="27">
        <f>IF(B85="","",TRIM(IFERROR(IF(INDEX(Data!$AF$2:$AF$745,MATCH(71,Data!$AI$2:$AI$745,0))="","",INDEX(Data!$AF$2:$AF$745,MATCH(71,Data!$AI$2:$AI$745,0))),"")&amp;" "&amp;IFERROR(IF(INDEX(Data!$AG$2:$AG$745,MATCH(71,Data!$AI$2:$AI$745,0))="","",INDEX(Data!$AG$2:$AG$745,MATCH(71,Data!$AI$2:$AI$745,0))),"")))</f>
        <v/>
      </c>
      <c r="H85" s="37">
        <f>IF(B85="","",IFERROR(IF(INDEX(Data!$N$2:$N$745,MATCH(71,Data!$AI$2:$AI$745,0))="","",INDEX(Data!$N$2:$N$745,MATCH(71,Data!$AI$2:$AI$745,0))),""))</f>
        <v/>
      </c>
      <c r="I85" s="37">
        <f>IF(B85="","",IFERROR(IF(INDEX(Data!$O$2:$O$745,MATCH(71,Data!$AI$2:$AI$745,0))="","",INDEX(Data!$O$2:$O$745,MATCH(71,Data!$AI$2:$AI$745,0))),""))</f>
        <v/>
      </c>
      <c r="J85" s="31">
        <f>IF(B85="","",IFERROR(IF(INDEX(Data!$P$2:$P$745,MATCH(71,Data!$AI$2:$AI$745,0))="","",INDEX(Data!$P$2:$P$745,MATCH(71,Data!$AI$2:$AI$745,0))),""))</f>
        <v/>
      </c>
      <c r="K85" s="32">
        <f>IF(B85="","",IFERROR(IF(INDEX(Data!$R$2:$R$745,MATCH(71,Data!$AI$2:$AI$745,0))="","",INDEX(Data!$R$2:$R$745,MATCH(71,Data!$AI$2:$AI$745,0))),""))</f>
        <v/>
      </c>
      <c r="L85" s="33">
        <f>IF(B85="","",IFERROR(IF(INDEX(Data!$S$2:$S$745,MATCH(71,Data!$AI$2:$AI$745,0))="","",INDEX(Data!$S$2:$S$745,MATCH(71,Data!$AI$2:$AI$745,0))),""))</f>
        <v/>
      </c>
      <c r="M85" s="33">
        <f>IF(B85="","",IFERROR(IF(INDEX(Data!$T$2:$T$745,MATCH(71,Data!$AI$2:$AI$745,0))="","",INDEX(Data!$T$2:$T$745,MATCH(71,Data!$AI$2:$AI$745,0))),""))</f>
        <v/>
      </c>
      <c r="N85" s="34">
        <f>IF(B85="","",IFERROR(IF(INDEX(Data!$U$2:$U$745,MATCH(71,Data!$AI$2:$AI$745,0))="","",INDEX(Data!$U$2:$U$745,MATCH(71,Data!$AI$2:$AI$745,0))),""))</f>
        <v/>
      </c>
      <c r="O85" s="33">
        <f>IF(B85="","",IFERROR(IF(INDEX(Data!$V$2:$V$745,MATCH(71,Data!$AI$2:$AI$745,0))="","",INDEX(Data!$V$2:$V$745,MATCH(71,Data!$AI$2:$AI$745,0))),""))</f>
        <v/>
      </c>
      <c r="P85" s="33">
        <f>IF(B85="","",IFERROR(IF(INDEX(Data!$M$2:$M$745,MATCH(71,Data!$AI$2:$AI$745,0))="","",INDEX(Data!$M$2:$M$745,MATCH(71,Data!$AI$2:$AI$745,0))),""))</f>
        <v/>
      </c>
      <c r="Q85" s="31">
        <f>IF(B85="","",IFERROR(IF(INDEX(Data!$AD$2:$AD$745,MATCH(71,Data!$AI$2:$AI$745,0))="","",INDEX(Data!$AD$2:$AD$745,MATCH(71,Data!$AI$2:$AI$745,0))),""))</f>
        <v/>
      </c>
      <c r="R85" s="27">
        <f>IF(B85="","",IFERROR(IF(INDEX(Data!$L$2:$L$745,MATCH(71,Data!$AI$2:$AI$745,0))="","",INDEX(Data!$L$2:$L$745,MATCH(71,Data!$AI$2:$AI$745,0))),""))</f>
        <v/>
      </c>
      <c r="AB85" t="inlineStr">
        <is>
          <t>Genina</t>
        </is>
      </c>
    </row>
    <row r="86" ht="62" customHeight="1">
      <c r="B86" s="27">
        <f>IF(72&lt;=COUNTIF(Data!$AH$2:$AH$745,TRUE),72,"")</f>
        <v/>
      </c>
      <c r="C86" s="28">
        <f>IF(B86="","",IFERROR(_xlfn.IMAGE(IFERROR(IF(INDEX(Data!$J$2:$J$745,MATCH(72,Data!$AI$2:$AI$745,0))="","",INDEX(Data!$J$2:$J$745,MATCH(72,Data!$AI$2:$AI$745,0))),"")),"IMAGE COMING SOON"))</f>
        <v/>
      </c>
      <c r="D86" s="29">
        <f>IF(B86="","",IFERROR(IF(INDEX(Data!$G$2:$G$745,MATCH(72,Data!$AI$2:$AI$745,0))="","",INDEX(Data!$G$2:$G$745,MATCH(72,Data!$AI$2:$AI$745,0))),"")&amp;CHAR(10)&amp;IFERROR(IF(INDEX(Data!$H$2:$H$745,MATCH(72,Data!$AI$2:$AI$745,0))="","",INDEX(Data!$H$2:$H$745,MATCH(72,Data!$AI$2:$AI$745,0))),""))</f>
        <v/>
      </c>
      <c r="E86" s="27">
        <f>IF(B86="","",IFERROR(IF(INDEX(Data!$I$2:$I$745,MATCH(72,Data!$AI$2:$AI$745,0))="","",INDEX(Data!$I$2:$I$745,MATCH(72,Data!$AI$2:$AI$745,0))),""))</f>
        <v/>
      </c>
      <c r="F86" s="27">
        <f>IF(B86="","",IFERROR(IF(INDEX(Data!$AJ$2:$AJ$745,MATCH(72,Data!$AI$2:$AI$745,0))="","",INDEX(Data!$AJ$2:$AJ$745,MATCH(72,Data!$AI$2:$AI$745,0))),""))</f>
        <v/>
      </c>
      <c r="G86" s="27">
        <f>IF(B86="","",TRIM(IFERROR(IF(INDEX(Data!$AF$2:$AF$745,MATCH(72,Data!$AI$2:$AI$745,0))="","",INDEX(Data!$AF$2:$AF$745,MATCH(72,Data!$AI$2:$AI$745,0))),"")&amp;" "&amp;IFERROR(IF(INDEX(Data!$AG$2:$AG$745,MATCH(72,Data!$AI$2:$AI$745,0))="","",INDEX(Data!$AG$2:$AG$745,MATCH(72,Data!$AI$2:$AI$745,0))),"")))</f>
        <v/>
      </c>
      <c r="H86" s="37">
        <f>IF(B86="","",IFERROR(IF(INDEX(Data!$N$2:$N$745,MATCH(72,Data!$AI$2:$AI$745,0))="","",INDEX(Data!$N$2:$N$745,MATCH(72,Data!$AI$2:$AI$745,0))),""))</f>
        <v/>
      </c>
      <c r="I86" s="37">
        <f>IF(B86="","",IFERROR(IF(INDEX(Data!$O$2:$O$745,MATCH(72,Data!$AI$2:$AI$745,0))="","",INDEX(Data!$O$2:$O$745,MATCH(72,Data!$AI$2:$AI$745,0))),""))</f>
        <v/>
      </c>
      <c r="J86" s="31">
        <f>IF(B86="","",IFERROR(IF(INDEX(Data!$P$2:$P$745,MATCH(72,Data!$AI$2:$AI$745,0))="","",INDEX(Data!$P$2:$P$745,MATCH(72,Data!$AI$2:$AI$745,0))),""))</f>
        <v/>
      </c>
      <c r="K86" s="32">
        <f>IF(B86="","",IFERROR(IF(INDEX(Data!$R$2:$R$745,MATCH(72,Data!$AI$2:$AI$745,0))="","",INDEX(Data!$R$2:$R$745,MATCH(72,Data!$AI$2:$AI$745,0))),""))</f>
        <v/>
      </c>
      <c r="L86" s="33">
        <f>IF(B86="","",IFERROR(IF(INDEX(Data!$S$2:$S$745,MATCH(72,Data!$AI$2:$AI$745,0))="","",INDEX(Data!$S$2:$S$745,MATCH(72,Data!$AI$2:$AI$745,0))),""))</f>
        <v/>
      </c>
      <c r="M86" s="33">
        <f>IF(B86="","",IFERROR(IF(INDEX(Data!$T$2:$T$745,MATCH(72,Data!$AI$2:$AI$745,0))="","",INDEX(Data!$T$2:$T$745,MATCH(72,Data!$AI$2:$AI$745,0))),""))</f>
        <v/>
      </c>
      <c r="N86" s="34">
        <f>IF(B86="","",IFERROR(IF(INDEX(Data!$U$2:$U$745,MATCH(72,Data!$AI$2:$AI$745,0))="","",INDEX(Data!$U$2:$U$745,MATCH(72,Data!$AI$2:$AI$745,0))),""))</f>
        <v/>
      </c>
      <c r="O86" s="33">
        <f>IF(B86="","",IFERROR(IF(INDEX(Data!$V$2:$V$745,MATCH(72,Data!$AI$2:$AI$745,0))="","",INDEX(Data!$V$2:$V$745,MATCH(72,Data!$AI$2:$AI$745,0))),""))</f>
        <v/>
      </c>
      <c r="P86" s="33">
        <f>IF(B86="","",IFERROR(IF(INDEX(Data!$M$2:$M$745,MATCH(72,Data!$AI$2:$AI$745,0))="","",INDEX(Data!$M$2:$M$745,MATCH(72,Data!$AI$2:$AI$745,0))),""))</f>
        <v/>
      </c>
      <c r="Q86" s="31">
        <f>IF(B86="","",IFERROR(IF(INDEX(Data!$AD$2:$AD$745,MATCH(72,Data!$AI$2:$AI$745,0))="","",INDEX(Data!$AD$2:$AD$745,MATCH(72,Data!$AI$2:$AI$745,0))),""))</f>
        <v/>
      </c>
      <c r="R86" s="27">
        <f>IF(B86="","",IFERROR(IF(INDEX(Data!$L$2:$L$745,MATCH(72,Data!$AI$2:$AI$745,0))="","",INDEX(Data!$L$2:$L$745,MATCH(72,Data!$AI$2:$AI$745,0))),""))</f>
        <v/>
      </c>
      <c r="AB86" t="inlineStr">
        <is>
          <t>GOKOTTA</t>
        </is>
      </c>
    </row>
    <row r="87" ht="62" customHeight="1">
      <c r="B87" s="27">
        <f>IF(73&lt;=COUNTIF(Data!$AH$2:$AH$745,TRUE),73,"")</f>
        <v/>
      </c>
      <c r="C87" s="28">
        <f>IF(B87="","",IFERROR(_xlfn.IMAGE(IFERROR(IF(INDEX(Data!$J$2:$J$745,MATCH(73,Data!$AI$2:$AI$745,0))="","",INDEX(Data!$J$2:$J$745,MATCH(73,Data!$AI$2:$AI$745,0))),"")),"IMAGE COMING SOON"))</f>
        <v/>
      </c>
      <c r="D87" s="29">
        <f>IF(B87="","",IFERROR(IF(INDEX(Data!$G$2:$G$745,MATCH(73,Data!$AI$2:$AI$745,0))="","",INDEX(Data!$G$2:$G$745,MATCH(73,Data!$AI$2:$AI$745,0))),"")&amp;CHAR(10)&amp;IFERROR(IF(INDEX(Data!$H$2:$H$745,MATCH(73,Data!$AI$2:$AI$745,0))="","",INDEX(Data!$H$2:$H$745,MATCH(73,Data!$AI$2:$AI$745,0))),""))</f>
        <v/>
      </c>
      <c r="E87" s="27">
        <f>IF(B87="","",IFERROR(IF(INDEX(Data!$I$2:$I$745,MATCH(73,Data!$AI$2:$AI$745,0))="","",INDEX(Data!$I$2:$I$745,MATCH(73,Data!$AI$2:$AI$745,0))),""))</f>
        <v/>
      </c>
      <c r="F87" s="27">
        <f>IF(B87="","",IFERROR(IF(INDEX(Data!$AJ$2:$AJ$745,MATCH(73,Data!$AI$2:$AI$745,0))="","",INDEX(Data!$AJ$2:$AJ$745,MATCH(73,Data!$AI$2:$AI$745,0))),""))</f>
        <v/>
      </c>
      <c r="G87" s="27">
        <f>IF(B87="","",TRIM(IFERROR(IF(INDEX(Data!$AF$2:$AF$745,MATCH(73,Data!$AI$2:$AI$745,0))="","",INDEX(Data!$AF$2:$AF$745,MATCH(73,Data!$AI$2:$AI$745,0))),"")&amp;" "&amp;IFERROR(IF(INDEX(Data!$AG$2:$AG$745,MATCH(73,Data!$AI$2:$AI$745,0))="","",INDEX(Data!$AG$2:$AG$745,MATCH(73,Data!$AI$2:$AI$745,0))),"")))</f>
        <v/>
      </c>
      <c r="H87" s="37">
        <f>IF(B87="","",IFERROR(IF(INDEX(Data!$N$2:$N$745,MATCH(73,Data!$AI$2:$AI$745,0))="","",INDEX(Data!$N$2:$N$745,MATCH(73,Data!$AI$2:$AI$745,0))),""))</f>
        <v/>
      </c>
      <c r="I87" s="37">
        <f>IF(B87="","",IFERROR(IF(INDEX(Data!$O$2:$O$745,MATCH(73,Data!$AI$2:$AI$745,0))="","",INDEX(Data!$O$2:$O$745,MATCH(73,Data!$AI$2:$AI$745,0))),""))</f>
        <v/>
      </c>
      <c r="J87" s="31">
        <f>IF(B87="","",IFERROR(IF(INDEX(Data!$P$2:$P$745,MATCH(73,Data!$AI$2:$AI$745,0))="","",INDEX(Data!$P$2:$P$745,MATCH(73,Data!$AI$2:$AI$745,0))),""))</f>
        <v/>
      </c>
      <c r="K87" s="32">
        <f>IF(B87="","",IFERROR(IF(INDEX(Data!$R$2:$R$745,MATCH(73,Data!$AI$2:$AI$745,0))="","",INDEX(Data!$R$2:$R$745,MATCH(73,Data!$AI$2:$AI$745,0))),""))</f>
        <v/>
      </c>
      <c r="L87" s="33">
        <f>IF(B87="","",IFERROR(IF(INDEX(Data!$S$2:$S$745,MATCH(73,Data!$AI$2:$AI$745,0))="","",INDEX(Data!$S$2:$S$745,MATCH(73,Data!$AI$2:$AI$745,0))),""))</f>
        <v/>
      </c>
      <c r="M87" s="33">
        <f>IF(B87="","",IFERROR(IF(INDEX(Data!$T$2:$T$745,MATCH(73,Data!$AI$2:$AI$745,0))="","",INDEX(Data!$T$2:$T$745,MATCH(73,Data!$AI$2:$AI$745,0))),""))</f>
        <v/>
      </c>
      <c r="N87" s="34">
        <f>IF(B87="","",IFERROR(IF(INDEX(Data!$U$2:$U$745,MATCH(73,Data!$AI$2:$AI$745,0))="","",INDEX(Data!$U$2:$U$745,MATCH(73,Data!$AI$2:$AI$745,0))),""))</f>
        <v/>
      </c>
      <c r="O87" s="33">
        <f>IF(B87="","",IFERROR(IF(INDEX(Data!$V$2:$V$745,MATCH(73,Data!$AI$2:$AI$745,0))="","",INDEX(Data!$V$2:$V$745,MATCH(73,Data!$AI$2:$AI$745,0))),""))</f>
        <v/>
      </c>
      <c r="P87" s="33">
        <f>IF(B87="","",IFERROR(IF(INDEX(Data!$M$2:$M$745,MATCH(73,Data!$AI$2:$AI$745,0))="","",INDEX(Data!$M$2:$M$745,MATCH(73,Data!$AI$2:$AI$745,0))),""))</f>
        <v/>
      </c>
      <c r="Q87" s="31">
        <f>IF(B87="","",IFERROR(IF(INDEX(Data!$AD$2:$AD$745,MATCH(73,Data!$AI$2:$AI$745,0))="","",INDEX(Data!$AD$2:$AD$745,MATCH(73,Data!$AI$2:$AI$745,0))),""))</f>
        <v/>
      </c>
      <c r="R87" s="27">
        <f>IF(B87="","",IFERROR(IF(INDEX(Data!$L$2:$L$745,MATCH(73,Data!$AI$2:$AI$745,0))="","",INDEX(Data!$L$2:$L$745,MATCH(73,Data!$AI$2:$AI$745,0))),""))</f>
        <v/>
      </c>
      <c r="AB87" t="inlineStr">
        <is>
          <t>GOLAL</t>
        </is>
      </c>
    </row>
    <row r="88" ht="62" customHeight="1">
      <c r="B88" s="27">
        <f>IF(74&lt;=COUNTIF(Data!$AH$2:$AH$745,TRUE),74,"")</f>
        <v/>
      </c>
      <c r="C88" s="28">
        <f>IF(B88="","",IFERROR(_xlfn.IMAGE(IFERROR(IF(INDEX(Data!$J$2:$J$745,MATCH(74,Data!$AI$2:$AI$745,0))="","",INDEX(Data!$J$2:$J$745,MATCH(74,Data!$AI$2:$AI$745,0))),"")),"IMAGE COMING SOON"))</f>
        <v/>
      </c>
      <c r="D88" s="29">
        <f>IF(B88="","",IFERROR(IF(INDEX(Data!$G$2:$G$745,MATCH(74,Data!$AI$2:$AI$745,0))="","",INDEX(Data!$G$2:$G$745,MATCH(74,Data!$AI$2:$AI$745,0))),"")&amp;CHAR(10)&amp;IFERROR(IF(INDEX(Data!$H$2:$H$745,MATCH(74,Data!$AI$2:$AI$745,0))="","",INDEX(Data!$H$2:$H$745,MATCH(74,Data!$AI$2:$AI$745,0))),""))</f>
        <v/>
      </c>
      <c r="E88" s="27">
        <f>IF(B88="","",IFERROR(IF(INDEX(Data!$I$2:$I$745,MATCH(74,Data!$AI$2:$AI$745,0))="","",INDEX(Data!$I$2:$I$745,MATCH(74,Data!$AI$2:$AI$745,0))),""))</f>
        <v/>
      </c>
      <c r="F88" s="27">
        <f>IF(B88="","",IFERROR(IF(INDEX(Data!$AJ$2:$AJ$745,MATCH(74,Data!$AI$2:$AI$745,0))="","",INDEX(Data!$AJ$2:$AJ$745,MATCH(74,Data!$AI$2:$AI$745,0))),""))</f>
        <v/>
      </c>
      <c r="G88" s="27">
        <f>IF(B88="","",TRIM(IFERROR(IF(INDEX(Data!$AF$2:$AF$745,MATCH(74,Data!$AI$2:$AI$745,0))="","",INDEX(Data!$AF$2:$AF$745,MATCH(74,Data!$AI$2:$AI$745,0))),"")&amp;" "&amp;IFERROR(IF(INDEX(Data!$AG$2:$AG$745,MATCH(74,Data!$AI$2:$AI$745,0))="","",INDEX(Data!$AG$2:$AG$745,MATCH(74,Data!$AI$2:$AI$745,0))),"")))</f>
        <v/>
      </c>
      <c r="H88" s="37">
        <f>IF(B88="","",IFERROR(IF(INDEX(Data!$N$2:$N$745,MATCH(74,Data!$AI$2:$AI$745,0))="","",INDEX(Data!$N$2:$N$745,MATCH(74,Data!$AI$2:$AI$745,0))),""))</f>
        <v/>
      </c>
      <c r="I88" s="37">
        <f>IF(B88="","",IFERROR(IF(INDEX(Data!$O$2:$O$745,MATCH(74,Data!$AI$2:$AI$745,0))="","",INDEX(Data!$O$2:$O$745,MATCH(74,Data!$AI$2:$AI$745,0))),""))</f>
        <v/>
      </c>
      <c r="J88" s="31">
        <f>IF(B88="","",IFERROR(IF(INDEX(Data!$P$2:$P$745,MATCH(74,Data!$AI$2:$AI$745,0))="","",INDEX(Data!$P$2:$P$745,MATCH(74,Data!$AI$2:$AI$745,0))),""))</f>
        <v/>
      </c>
      <c r="K88" s="32">
        <f>IF(B88="","",IFERROR(IF(INDEX(Data!$R$2:$R$745,MATCH(74,Data!$AI$2:$AI$745,0))="","",INDEX(Data!$R$2:$R$745,MATCH(74,Data!$AI$2:$AI$745,0))),""))</f>
        <v/>
      </c>
      <c r="L88" s="33">
        <f>IF(B88="","",IFERROR(IF(INDEX(Data!$S$2:$S$745,MATCH(74,Data!$AI$2:$AI$745,0))="","",INDEX(Data!$S$2:$S$745,MATCH(74,Data!$AI$2:$AI$745,0))),""))</f>
        <v/>
      </c>
      <c r="M88" s="33">
        <f>IF(B88="","",IFERROR(IF(INDEX(Data!$T$2:$T$745,MATCH(74,Data!$AI$2:$AI$745,0))="","",INDEX(Data!$T$2:$T$745,MATCH(74,Data!$AI$2:$AI$745,0))),""))</f>
        <v/>
      </c>
      <c r="N88" s="34">
        <f>IF(B88="","",IFERROR(IF(INDEX(Data!$U$2:$U$745,MATCH(74,Data!$AI$2:$AI$745,0))="","",INDEX(Data!$U$2:$U$745,MATCH(74,Data!$AI$2:$AI$745,0))),""))</f>
        <v/>
      </c>
      <c r="O88" s="33">
        <f>IF(B88="","",IFERROR(IF(INDEX(Data!$V$2:$V$745,MATCH(74,Data!$AI$2:$AI$745,0))="","",INDEX(Data!$V$2:$V$745,MATCH(74,Data!$AI$2:$AI$745,0))),""))</f>
        <v/>
      </c>
      <c r="P88" s="33">
        <f>IF(B88="","",IFERROR(IF(INDEX(Data!$M$2:$M$745,MATCH(74,Data!$AI$2:$AI$745,0))="","",INDEX(Data!$M$2:$M$745,MATCH(74,Data!$AI$2:$AI$745,0))),""))</f>
        <v/>
      </c>
      <c r="Q88" s="31">
        <f>IF(B88="","",IFERROR(IF(INDEX(Data!$AD$2:$AD$745,MATCH(74,Data!$AI$2:$AI$745,0))="","",INDEX(Data!$AD$2:$AD$745,MATCH(74,Data!$AI$2:$AI$745,0))),""))</f>
        <v/>
      </c>
      <c r="R88" s="27">
        <f>IF(B88="","",IFERROR(IF(INDEX(Data!$L$2:$L$745,MATCH(74,Data!$AI$2:$AI$745,0))="","",INDEX(Data!$L$2:$L$745,MATCH(74,Data!$AI$2:$AI$745,0))),""))</f>
        <v/>
      </c>
      <c r="AB88" t="inlineStr">
        <is>
          <t>Goroly Home</t>
        </is>
      </c>
    </row>
    <row r="89" ht="62" customHeight="1">
      <c r="B89" s="27">
        <f>IF(75&lt;=COUNTIF(Data!$AH$2:$AH$745,TRUE),75,"")</f>
        <v/>
      </c>
      <c r="C89" s="28">
        <f>IF(B89="","",IFERROR(_xlfn.IMAGE(IFERROR(IF(INDEX(Data!$J$2:$J$745,MATCH(75,Data!$AI$2:$AI$745,0))="","",INDEX(Data!$J$2:$J$745,MATCH(75,Data!$AI$2:$AI$745,0))),"")),"IMAGE COMING SOON"))</f>
        <v/>
      </c>
      <c r="D89" s="29">
        <f>IF(B89="","",IFERROR(IF(INDEX(Data!$G$2:$G$745,MATCH(75,Data!$AI$2:$AI$745,0))="","",INDEX(Data!$G$2:$G$745,MATCH(75,Data!$AI$2:$AI$745,0))),"")&amp;CHAR(10)&amp;IFERROR(IF(INDEX(Data!$H$2:$H$745,MATCH(75,Data!$AI$2:$AI$745,0))="","",INDEX(Data!$H$2:$H$745,MATCH(75,Data!$AI$2:$AI$745,0))),""))</f>
        <v/>
      </c>
      <c r="E89" s="27">
        <f>IF(B89="","",IFERROR(IF(INDEX(Data!$I$2:$I$745,MATCH(75,Data!$AI$2:$AI$745,0))="","",INDEX(Data!$I$2:$I$745,MATCH(75,Data!$AI$2:$AI$745,0))),""))</f>
        <v/>
      </c>
      <c r="F89" s="27">
        <f>IF(B89="","",IFERROR(IF(INDEX(Data!$AJ$2:$AJ$745,MATCH(75,Data!$AI$2:$AI$745,0))="","",INDEX(Data!$AJ$2:$AJ$745,MATCH(75,Data!$AI$2:$AI$745,0))),""))</f>
        <v/>
      </c>
      <c r="G89" s="27">
        <f>IF(B89="","",TRIM(IFERROR(IF(INDEX(Data!$AF$2:$AF$745,MATCH(75,Data!$AI$2:$AI$745,0))="","",INDEX(Data!$AF$2:$AF$745,MATCH(75,Data!$AI$2:$AI$745,0))),"")&amp;" "&amp;IFERROR(IF(INDEX(Data!$AG$2:$AG$745,MATCH(75,Data!$AI$2:$AI$745,0))="","",INDEX(Data!$AG$2:$AG$745,MATCH(75,Data!$AI$2:$AI$745,0))),"")))</f>
        <v/>
      </c>
      <c r="H89" s="37">
        <f>IF(B89="","",IFERROR(IF(INDEX(Data!$N$2:$N$745,MATCH(75,Data!$AI$2:$AI$745,0))="","",INDEX(Data!$N$2:$N$745,MATCH(75,Data!$AI$2:$AI$745,0))),""))</f>
        <v/>
      </c>
      <c r="I89" s="37">
        <f>IF(B89="","",IFERROR(IF(INDEX(Data!$O$2:$O$745,MATCH(75,Data!$AI$2:$AI$745,0))="","",INDEX(Data!$O$2:$O$745,MATCH(75,Data!$AI$2:$AI$745,0))),""))</f>
        <v/>
      </c>
      <c r="J89" s="31">
        <f>IF(B89="","",IFERROR(IF(INDEX(Data!$P$2:$P$745,MATCH(75,Data!$AI$2:$AI$745,0))="","",INDEX(Data!$P$2:$P$745,MATCH(75,Data!$AI$2:$AI$745,0))),""))</f>
        <v/>
      </c>
      <c r="K89" s="32">
        <f>IF(B89="","",IFERROR(IF(INDEX(Data!$R$2:$R$745,MATCH(75,Data!$AI$2:$AI$745,0))="","",INDEX(Data!$R$2:$R$745,MATCH(75,Data!$AI$2:$AI$745,0))),""))</f>
        <v/>
      </c>
      <c r="L89" s="33">
        <f>IF(B89="","",IFERROR(IF(INDEX(Data!$S$2:$S$745,MATCH(75,Data!$AI$2:$AI$745,0))="","",INDEX(Data!$S$2:$S$745,MATCH(75,Data!$AI$2:$AI$745,0))),""))</f>
        <v/>
      </c>
      <c r="M89" s="33">
        <f>IF(B89="","",IFERROR(IF(INDEX(Data!$T$2:$T$745,MATCH(75,Data!$AI$2:$AI$745,0))="","",INDEX(Data!$T$2:$T$745,MATCH(75,Data!$AI$2:$AI$745,0))),""))</f>
        <v/>
      </c>
      <c r="N89" s="34">
        <f>IF(B89="","",IFERROR(IF(INDEX(Data!$U$2:$U$745,MATCH(75,Data!$AI$2:$AI$745,0))="","",INDEX(Data!$U$2:$U$745,MATCH(75,Data!$AI$2:$AI$745,0))),""))</f>
        <v/>
      </c>
      <c r="O89" s="33">
        <f>IF(B89="","",IFERROR(IF(INDEX(Data!$V$2:$V$745,MATCH(75,Data!$AI$2:$AI$745,0))="","",INDEX(Data!$V$2:$V$745,MATCH(75,Data!$AI$2:$AI$745,0))),""))</f>
        <v/>
      </c>
      <c r="P89" s="33">
        <f>IF(B89="","",IFERROR(IF(INDEX(Data!$M$2:$M$745,MATCH(75,Data!$AI$2:$AI$745,0))="","",INDEX(Data!$M$2:$M$745,MATCH(75,Data!$AI$2:$AI$745,0))),""))</f>
        <v/>
      </c>
      <c r="Q89" s="31">
        <f>IF(B89="","",IFERROR(IF(INDEX(Data!$AD$2:$AD$745,MATCH(75,Data!$AI$2:$AI$745,0))="","",INDEX(Data!$AD$2:$AD$745,MATCH(75,Data!$AI$2:$AI$745,0))),""))</f>
        <v/>
      </c>
      <c r="R89" s="27">
        <f>IF(B89="","",IFERROR(IF(INDEX(Data!$L$2:$L$745,MATCH(75,Data!$AI$2:$AI$745,0))="","",INDEX(Data!$L$2:$L$745,MATCH(75,Data!$AI$2:$AI$745,0))),""))</f>
        <v/>
      </c>
      <c r="AB89" t="inlineStr">
        <is>
          <t>Guken</t>
        </is>
      </c>
    </row>
    <row r="90" ht="62" customHeight="1">
      <c r="B90" s="27">
        <f>IF(76&lt;=COUNTIF(Data!$AH$2:$AH$745,TRUE),76,"")</f>
        <v/>
      </c>
      <c r="C90" s="28">
        <f>IF(B90="","",IFERROR(_xlfn.IMAGE(IFERROR(IF(INDEX(Data!$J$2:$J$745,MATCH(76,Data!$AI$2:$AI$745,0))="","",INDEX(Data!$J$2:$J$745,MATCH(76,Data!$AI$2:$AI$745,0))),"")),"IMAGE COMING SOON"))</f>
        <v/>
      </c>
      <c r="D90" s="29">
        <f>IF(B90="","",IFERROR(IF(INDEX(Data!$G$2:$G$745,MATCH(76,Data!$AI$2:$AI$745,0))="","",INDEX(Data!$G$2:$G$745,MATCH(76,Data!$AI$2:$AI$745,0))),"")&amp;CHAR(10)&amp;IFERROR(IF(INDEX(Data!$H$2:$H$745,MATCH(76,Data!$AI$2:$AI$745,0))="","",INDEX(Data!$H$2:$H$745,MATCH(76,Data!$AI$2:$AI$745,0))),""))</f>
        <v/>
      </c>
      <c r="E90" s="27">
        <f>IF(B90="","",IFERROR(IF(INDEX(Data!$I$2:$I$745,MATCH(76,Data!$AI$2:$AI$745,0))="","",INDEX(Data!$I$2:$I$745,MATCH(76,Data!$AI$2:$AI$745,0))),""))</f>
        <v/>
      </c>
      <c r="F90" s="27">
        <f>IF(B90="","",IFERROR(IF(INDEX(Data!$AJ$2:$AJ$745,MATCH(76,Data!$AI$2:$AI$745,0))="","",INDEX(Data!$AJ$2:$AJ$745,MATCH(76,Data!$AI$2:$AI$745,0))),""))</f>
        <v/>
      </c>
      <c r="G90" s="27">
        <f>IF(B90="","",TRIM(IFERROR(IF(INDEX(Data!$AF$2:$AF$745,MATCH(76,Data!$AI$2:$AI$745,0))="","",INDEX(Data!$AF$2:$AF$745,MATCH(76,Data!$AI$2:$AI$745,0))),"")&amp;" "&amp;IFERROR(IF(INDEX(Data!$AG$2:$AG$745,MATCH(76,Data!$AI$2:$AI$745,0))="","",INDEX(Data!$AG$2:$AG$745,MATCH(76,Data!$AI$2:$AI$745,0))),"")))</f>
        <v/>
      </c>
      <c r="H90" s="37">
        <f>IF(B90="","",IFERROR(IF(INDEX(Data!$N$2:$N$745,MATCH(76,Data!$AI$2:$AI$745,0))="","",INDEX(Data!$N$2:$N$745,MATCH(76,Data!$AI$2:$AI$745,0))),""))</f>
        <v/>
      </c>
      <c r="I90" s="37">
        <f>IF(B90="","",IFERROR(IF(INDEX(Data!$O$2:$O$745,MATCH(76,Data!$AI$2:$AI$745,0))="","",INDEX(Data!$O$2:$O$745,MATCH(76,Data!$AI$2:$AI$745,0))),""))</f>
        <v/>
      </c>
      <c r="J90" s="31">
        <f>IF(B90="","",IFERROR(IF(INDEX(Data!$P$2:$P$745,MATCH(76,Data!$AI$2:$AI$745,0))="","",INDEX(Data!$P$2:$P$745,MATCH(76,Data!$AI$2:$AI$745,0))),""))</f>
        <v/>
      </c>
      <c r="K90" s="32">
        <f>IF(B90="","",IFERROR(IF(INDEX(Data!$R$2:$R$745,MATCH(76,Data!$AI$2:$AI$745,0))="","",INDEX(Data!$R$2:$R$745,MATCH(76,Data!$AI$2:$AI$745,0))),""))</f>
        <v/>
      </c>
      <c r="L90" s="33">
        <f>IF(B90="","",IFERROR(IF(INDEX(Data!$S$2:$S$745,MATCH(76,Data!$AI$2:$AI$745,0))="","",INDEX(Data!$S$2:$S$745,MATCH(76,Data!$AI$2:$AI$745,0))),""))</f>
        <v/>
      </c>
      <c r="M90" s="33">
        <f>IF(B90="","",IFERROR(IF(INDEX(Data!$T$2:$T$745,MATCH(76,Data!$AI$2:$AI$745,0))="","",INDEX(Data!$T$2:$T$745,MATCH(76,Data!$AI$2:$AI$745,0))),""))</f>
        <v/>
      </c>
      <c r="N90" s="34">
        <f>IF(B90="","",IFERROR(IF(INDEX(Data!$U$2:$U$745,MATCH(76,Data!$AI$2:$AI$745,0))="","",INDEX(Data!$U$2:$U$745,MATCH(76,Data!$AI$2:$AI$745,0))),""))</f>
        <v/>
      </c>
      <c r="O90" s="33">
        <f>IF(B90="","",IFERROR(IF(INDEX(Data!$V$2:$V$745,MATCH(76,Data!$AI$2:$AI$745,0))="","",INDEX(Data!$V$2:$V$745,MATCH(76,Data!$AI$2:$AI$745,0))),""))</f>
        <v/>
      </c>
      <c r="P90" s="33">
        <f>IF(B90="","",IFERROR(IF(INDEX(Data!$M$2:$M$745,MATCH(76,Data!$AI$2:$AI$745,0))="","",INDEX(Data!$M$2:$M$745,MATCH(76,Data!$AI$2:$AI$745,0))),""))</f>
        <v/>
      </c>
      <c r="Q90" s="31">
        <f>IF(B90="","",IFERROR(IF(INDEX(Data!$AD$2:$AD$745,MATCH(76,Data!$AI$2:$AI$745,0))="","",INDEX(Data!$AD$2:$AD$745,MATCH(76,Data!$AI$2:$AI$745,0))),""))</f>
        <v/>
      </c>
      <c r="R90" s="27">
        <f>IF(B90="","",IFERROR(IF(INDEX(Data!$L$2:$L$745,MATCH(76,Data!$AI$2:$AI$745,0))="","",INDEX(Data!$L$2:$L$745,MATCH(76,Data!$AI$2:$AI$745,0))),""))</f>
        <v/>
      </c>
      <c r="AB90" t="inlineStr">
        <is>
          <t>H.VERSAILTEX</t>
        </is>
      </c>
    </row>
    <row r="91" ht="62" customHeight="1">
      <c r="B91" s="27">
        <f>IF(77&lt;=COUNTIF(Data!$AH$2:$AH$745,TRUE),77,"")</f>
        <v/>
      </c>
      <c r="C91" s="28">
        <f>IF(B91="","",IFERROR(_xlfn.IMAGE(IFERROR(IF(INDEX(Data!$J$2:$J$745,MATCH(77,Data!$AI$2:$AI$745,0))="","",INDEX(Data!$J$2:$J$745,MATCH(77,Data!$AI$2:$AI$745,0))),"")),"IMAGE COMING SOON"))</f>
        <v/>
      </c>
      <c r="D91" s="29">
        <f>IF(B91="","",IFERROR(IF(INDEX(Data!$G$2:$G$745,MATCH(77,Data!$AI$2:$AI$745,0))="","",INDEX(Data!$G$2:$G$745,MATCH(77,Data!$AI$2:$AI$745,0))),"")&amp;CHAR(10)&amp;IFERROR(IF(INDEX(Data!$H$2:$H$745,MATCH(77,Data!$AI$2:$AI$745,0))="","",INDEX(Data!$H$2:$H$745,MATCH(77,Data!$AI$2:$AI$745,0))),""))</f>
        <v/>
      </c>
      <c r="E91" s="27">
        <f>IF(B91="","",IFERROR(IF(INDEX(Data!$I$2:$I$745,MATCH(77,Data!$AI$2:$AI$745,0))="","",INDEX(Data!$I$2:$I$745,MATCH(77,Data!$AI$2:$AI$745,0))),""))</f>
        <v/>
      </c>
      <c r="F91" s="27">
        <f>IF(B91="","",IFERROR(IF(INDEX(Data!$AJ$2:$AJ$745,MATCH(77,Data!$AI$2:$AI$745,0))="","",INDEX(Data!$AJ$2:$AJ$745,MATCH(77,Data!$AI$2:$AI$745,0))),""))</f>
        <v/>
      </c>
      <c r="G91" s="27">
        <f>IF(B91="","",TRIM(IFERROR(IF(INDEX(Data!$AF$2:$AF$745,MATCH(77,Data!$AI$2:$AI$745,0))="","",INDEX(Data!$AF$2:$AF$745,MATCH(77,Data!$AI$2:$AI$745,0))),"")&amp;" "&amp;IFERROR(IF(INDEX(Data!$AG$2:$AG$745,MATCH(77,Data!$AI$2:$AI$745,0))="","",INDEX(Data!$AG$2:$AG$745,MATCH(77,Data!$AI$2:$AI$745,0))),"")))</f>
        <v/>
      </c>
      <c r="H91" s="37">
        <f>IF(B91="","",IFERROR(IF(INDEX(Data!$N$2:$N$745,MATCH(77,Data!$AI$2:$AI$745,0))="","",INDEX(Data!$N$2:$N$745,MATCH(77,Data!$AI$2:$AI$745,0))),""))</f>
        <v/>
      </c>
      <c r="I91" s="37">
        <f>IF(B91="","",IFERROR(IF(INDEX(Data!$O$2:$O$745,MATCH(77,Data!$AI$2:$AI$745,0))="","",INDEX(Data!$O$2:$O$745,MATCH(77,Data!$AI$2:$AI$745,0))),""))</f>
        <v/>
      </c>
      <c r="J91" s="31">
        <f>IF(B91="","",IFERROR(IF(INDEX(Data!$P$2:$P$745,MATCH(77,Data!$AI$2:$AI$745,0))="","",INDEX(Data!$P$2:$P$745,MATCH(77,Data!$AI$2:$AI$745,0))),""))</f>
        <v/>
      </c>
      <c r="K91" s="32">
        <f>IF(B91="","",IFERROR(IF(INDEX(Data!$R$2:$R$745,MATCH(77,Data!$AI$2:$AI$745,0))="","",INDEX(Data!$R$2:$R$745,MATCH(77,Data!$AI$2:$AI$745,0))),""))</f>
        <v/>
      </c>
      <c r="L91" s="33">
        <f>IF(B91="","",IFERROR(IF(INDEX(Data!$S$2:$S$745,MATCH(77,Data!$AI$2:$AI$745,0))="","",INDEX(Data!$S$2:$S$745,MATCH(77,Data!$AI$2:$AI$745,0))),""))</f>
        <v/>
      </c>
      <c r="M91" s="33">
        <f>IF(B91="","",IFERROR(IF(INDEX(Data!$T$2:$T$745,MATCH(77,Data!$AI$2:$AI$745,0))="","",INDEX(Data!$T$2:$T$745,MATCH(77,Data!$AI$2:$AI$745,0))),""))</f>
        <v/>
      </c>
      <c r="N91" s="34">
        <f>IF(B91="","",IFERROR(IF(INDEX(Data!$U$2:$U$745,MATCH(77,Data!$AI$2:$AI$745,0))="","",INDEX(Data!$U$2:$U$745,MATCH(77,Data!$AI$2:$AI$745,0))),""))</f>
        <v/>
      </c>
      <c r="O91" s="33">
        <f>IF(B91="","",IFERROR(IF(INDEX(Data!$V$2:$V$745,MATCH(77,Data!$AI$2:$AI$745,0))="","",INDEX(Data!$V$2:$V$745,MATCH(77,Data!$AI$2:$AI$745,0))),""))</f>
        <v/>
      </c>
      <c r="P91" s="33">
        <f>IF(B91="","",IFERROR(IF(INDEX(Data!$M$2:$M$745,MATCH(77,Data!$AI$2:$AI$745,0))="","",INDEX(Data!$M$2:$M$745,MATCH(77,Data!$AI$2:$AI$745,0))),""))</f>
        <v/>
      </c>
      <c r="Q91" s="31">
        <f>IF(B91="","",IFERROR(IF(INDEX(Data!$AD$2:$AD$745,MATCH(77,Data!$AI$2:$AI$745,0))="","",INDEX(Data!$AD$2:$AD$745,MATCH(77,Data!$AI$2:$AI$745,0))),""))</f>
        <v/>
      </c>
      <c r="R91" s="27">
        <f>IF(B91="","",IFERROR(IF(INDEX(Data!$L$2:$L$745,MATCH(77,Data!$AI$2:$AI$745,0))="","",INDEX(Data!$L$2:$L$745,MATCH(77,Data!$AI$2:$AI$745,0))),""))</f>
        <v/>
      </c>
      <c r="AB91" t="inlineStr">
        <is>
          <t>Hansleep</t>
        </is>
      </c>
    </row>
    <row r="92" ht="62" customHeight="1">
      <c r="B92" s="27">
        <f>IF(78&lt;=COUNTIF(Data!$AH$2:$AH$745,TRUE),78,"")</f>
        <v/>
      </c>
      <c r="C92" s="28">
        <f>IF(B92="","",IFERROR(_xlfn.IMAGE(IFERROR(IF(INDEX(Data!$J$2:$J$745,MATCH(78,Data!$AI$2:$AI$745,0))="","",INDEX(Data!$J$2:$J$745,MATCH(78,Data!$AI$2:$AI$745,0))),"")),"IMAGE COMING SOON"))</f>
        <v/>
      </c>
      <c r="D92" s="29">
        <f>IF(B92="","",IFERROR(IF(INDEX(Data!$G$2:$G$745,MATCH(78,Data!$AI$2:$AI$745,0))="","",INDEX(Data!$G$2:$G$745,MATCH(78,Data!$AI$2:$AI$745,0))),"")&amp;CHAR(10)&amp;IFERROR(IF(INDEX(Data!$H$2:$H$745,MATCH(78,Data!$AI$2:$AI$745,0))="","",INDEX(Data!$H$2:$H$745,MATCH(78,Data!$AI$2:$AI$745,0))),""))</f>
        <v/>
      </c>
      <c r="E92" s="27">
        <f>IF(B92="","",IFERROR(IF(INDEX(Data!$I$2:$I$745,MATCH(78,Data!$AI$2:$AI$745,0))="","",INDEX(Data!$I$2:$I$745,MATCH(78,Data!$AI$2:$AI$745,0))),""))</f>
        <v/>
      </c>
      <c r="F92" s="27">
        <f>IF(B92="","",IFERROR(IF(INDEX(Data!$AJ$2:$AJ$745,MATCH(78,Data!$AI$2:$AI$745,0))="","",INDEX(Data!$AJ$2:$AJ$745,MATCH(78,Data!$AI$2:$AI$745,0))),""))</f>
        <v/>
      </c>
      <c r="G92" s="27">
        <f>IF(B92="","",TRIM(IFERROR(IF(INDEX(Data!$AF$2:$AF$745,MATCH(78,Data!$AI$2:$AI$745,0))="","",INDEX(Data!$AF$2:$AF$745,MATCH(78,Data!$AI$2:$AI$745,0))),"")&amp;" "&amp;IFERROR(IF(INDEX(Data!$AG$2:$AG$745,MATCH(78,Data!$AI$2:$AI$745,0))="","",INDEX(Data!$AG$2:$AG$745,MATCH(78,Data!$AI$2:$AI$745,0))),"")))</f>
        <v/>
      </c>
      <c r="H92" s="37">
        <f>IF(B92="","",IFERROR(IF(INDEX(Data!$N$2:$N$745,MATCH(78,Data!$AI$2:$AI$745,0))="","",INDEX(Data!$N$2:$N$745,MATCH(78,Data!$AI$2:$AI$745,0))),""))</f>
        <v/>
      </c>
      <c r="I92" s="37">
        <f>IF(B92="","",IFERROR(IF(INDEX(Data!$O$2:$O$745,MATCH(78,Data!$AI$2:$AI$745,0))="","",INDEX(Data!$O$2:$O$745,MATCH(78,Data!$AI$2:$AI$745,0))),""))</f>
        <v/>
      </c>
      <c r="J92" s="31">
        <f>IF(B92="","",IFERROR(IF(INDEX(Data!$P$2:$P$745,MATCH(78,Data!$AI$2:$AI$745,0))="","",INDEX(Data!$P$2:$P$745,MATCH(78,Data!$AI$2:$AI$745,0))),""))</f>
        <v/>
      </c>
      <c r="K92" s="32">
        <f>IF(B92="","",IFERROR(IF(INDEX(Data!$R$2:$R$745,MATCH(78,Data!$AI$2:$AI$745,0))="","",INDEX(Data!$R$2:$R$745,MATCH(78,Data!$AI$2:$AI$745,0))),""))</f>
        <v/>
      </c>
      <c r="L92" s="33">
        <f>IF(B92="","",IFERROR(IF(INDEX(Data!$S$2:$S$745,MATCH(78,Data!$AI$2:$AI$745,0))="","",INDEX(Data!$S$2:$S$745,MATCH(78,Data!$AI$2:$AI$745,0))),""))</f>
        <v/>
      </c>
      <c r="M92" s="33">
        <f>IF(B92="","",IFERROR(IF(INDEX(Data!$T$2:$T$745,MATCH(78,Data!$AI$2:$AI$745,0))="","",INDEX(Data!$T$2:$T$745,MATCH(78,Data!$AI$2:$AI$745,0))),""))</f>
        <v/>
      </c>
      <c r="N92" s="34">
        <f>IF(B92="","",IFERROR(IF(INDEX(Data!$U$2:$U$745,MATCH(78,Data!$AI$2:$AI$745,0))="","",INDEX(Data!$U$2:$U$745,MATCH(78,Data!$AI$2:$AI$745,0))),""))</f>
        <v/>
      </c>
      <c r="O92" s="33">
        <f>IF(B92="","",IFERROR(IF(INDEX(Data!$V$2:$V$745,MATCH(78,Data!$AI$2:$AI$745,0))="","",INDEX(Data!$V$2:$V$745,MATCH(78,Data!$AI$2:$AI$745,0))),""))</f>
        <v/>
      </c>
      <c r="P92" s="33">
        <f>IF(B92="","",IFERROR(IF(INDEX(Data!$M$2:$M$745,MATCH(78,Data!$AI$2:$AI$745,0))="","",INDEX(Data!$M$2:$M$745,MATCH(78,Data!$AI$2:$AI$745,0))),""))</f>
        <v/>
      </c>
      <c r="Q92" s="31">
        <f>IF(B92="","",IFERROR(IF(INDEX(Data!$AD$2:$AD$745,MATCH(78,Data!$AI$2:$AI$745,0))="","",INDEX(Data!$AD$2:$AD$745,MATCH(78,Data!$AI$2:$AI$745,0))),""))</f>
        <v/>
      </c>
      <c r="R92" s="27">
        <f>IF(B92="","",IFERROR(IF(INDEX(Data!$L$2:$L$745,MATCH(78,Data!$AI$2:$AI$745,0))="","",INDEX(Data!$L$2:$L$745,MATCH(78,Data!$AI$2:$AI$745,0))),""))</f>
        <v/>
      </c>
      <c r="AB92" t="inlineStr">
        <is>
          <t>HENGWEITEXT</t>
        </is>
      </c>
    </row>
    <row r="93" ht="62" customHeight="1">
      <c r="B93" s="27">
        <f>IF(79&lt;=COUNTIF(Data!$AH$2:$AH$745,TRUE),79,"")</f>
        <v/>
      </c>
      <c r="C93" s="28">
        <f>IF(B93="","",IFERROR(_xlfn.IMAGE(IFERROR(IF(INDEX(Data!$J$2:$J$745,MATCH(79,Data!$AI$2:$AI$745,0))="","",INDEX(Data!$J$2:$J$745,MATCH(79,Data!$AI$2:$AI$745,0))),"")),"IMAGE COMING SOON"))</f>
        <v/>
      </c>
      <c r="D93" s="29">
        <f>IF(B93="","",IFERROR(IF(INDEX(Data!$G$2:$G$745,MATCH(79,Data!$AI$2:$AI$745,0))="","",INDEX(Data!$G$2:$G$745,MATCH(79,Data!$AI$2:$AI$745,0))),"")&amp;CHAR(10)&amp;IFERROR(IF(INDEX(Data!$H$2:$H$745,MATCH(79,Data!$AI$2:$AI$745,0))="","",INDEX(Data!$H$2:$H$745,MATCH(79,Data!$AI$2:$AI$745,0))),""))</f>
        <v/>
      </c>
      <c r="E93" s="27">
        <f>IF(B93="","",IFERROR(IF(INDEX(Data!$I$2:$I$745,MATCH(79,Data!$AI$2:$AI$745,0))="","",INDEX(Data!$I$2:$I$745,MATCH(79,Data!$AI$2:$AI$745,0))),""))</f>
        <v/>
      </c>
      <c r="F93" s="27">
        <f>IF(B93="","",IFERROR(IF(INDEX(Data!$AJ$2:$AJ$745,MATCH(79,Data!$AI$2:$AI$745,0))="","",INDEX(Data!$AJ$2:$AJ$745,MATCH(79,Data!$AI$2:$AI$745,0))),""))</f>
        <v/>
      </c>
      <c r="G93" s="27">
        <f>IF(B93="","",TRIM(IFERROR(IF(INDEX(Data!$AF$2:$AF$745,MATCH(79,Data!$AI$2:$AI$745,0))="","",INDEX(Data!$AF$2:$AF$745,MATCH(79,Data!$AI$2:$AI$745,0))),"")&amp;" "&amp;IFERROR(IF(INDEX(Data!$AG$2:$AG$745,MATCH(79,Data!$AI$2:$AI$745,0))="","",INDEX(Data!$AG$2:$AG$745,MATCH(79,Data!$AI$2:$AI$745,0))),"")))</f>
        <v/>
      </c>
      <c r="H93" s="37">
        <f>IF(B93="","",IFERROR(IF(INDEX(Data!$N$2:$N$745,MATCH(79,Data!$AI$2:$AI$745,0))="","",INDEX(Data!$N$2:$N$745,MATCH(79,Data!$AI$2:$AI$745,0))),""))</f>
        <v/>
      </c>
      <c r="I93" s="37">
        <f>IF(B93="","",IFERROR(IF(INDEX(Data!$O$2:$O$745,MATCH(79,Data!$AI$2:$AI$745,0))="","",INDEX(Data!$O$2:$O$745,MATCH(79,Data!$AI$2:$AI$745,0))),""))</f>
        <v/>
      </c>
      <c r="J93" s="31">
        <f>IF(B93="","",IFERROR(IF(INDEX(Data!$P$2:$P$745,MATCH(79,Data!$AI$2:$AI$745,0))="","",INDEX(Data!$P$2:$P$745,MATCH(79,Data!$AI$2:$AI$745,0))),""))</f>
        <v/>
      </c>
      <c r="K93" s="32">
        <f>IF(B93="","",IFERROR(IF(INDEX(Data!$R$2:$R$745,MATCH(79,Data!$AI$2:$AI$745,0))="","",INDEX(Data!$R$2:$R$745,MATCH(79,Data!$AI$2:$AI$745,0))),""))</f>
        <v/>
      </c>
      <c r="L93" s="33">
        <f>IF(B93="","",IFERROR(IF(INDEX(Data!$S$2:$S$745,MATCH(79,Data!$AI$2:$AI$745,0))="","",INDEX(Data!$S$2:$S$745,MATCH(79,Data!$AI$2:$AI$745,0))),""))</f>
        <v/>
      </c>
      <c r="M93" s="33">
        <f>IF(B93="","",IFERROR(IF(INDEX(Data!$T$2:$T$745,MATCH(79,Data!$AI$2:$AI$745,0))="","",INDEX(Data!$T$2:$T$745,MATCH(79,Data!$AI$2:$AI$745,0))),""))</f>
        <v/>
      </c>
      <c r="N93" s="34">
        <f>IF(B93="","",IFERROR(IF(INDEX(Data!$U$2:$U$745,MATCH(79,Data!$AI$2:$AI$745,0))="","",INDEX(Data!$U$2:$U$745,MATCH(79,Data!$AI$2:$AI$745,0))),""))</f>
        <v/>
      </c>
      <c r="O93" s="33">
        <f>IF(B93="","",IFERROR(IF(INDEX(Data!$V$2:$V$745,MATCH(79,Data!$AI$2:$AI$745,0))="","",INDEX(Data!$V$2:$V$745,MATCH(79,Data!$AI$2:$AI$745,0))),""))</f>
        <v/>
      </c>
      <c r="P93" s="33">
        <f>IF(B93="","",IFERROR(IF(INDEX(Data!$M$2:$M$745,MATCH(79,Data!$AI$2:$AI$745,0))="","",INDEX(Data!$M$2:$M$745,MATCH(79,Data!$AI$2:$AI$745,0))),""))</f>
        <v/>
      </c>
      <c r="Q93" s="31">
        <f>IF(B93="","",IFERROR(IF(INDEX(Data!$AD$2:$AD$745,MATCH(79,Data!$AI$2:$AI$745,0))="","",INDEX(Data!$AD$2:$AD$745,MATCH(79,Data!$AI$2:$AI$745,0))),""))</f>
        <v/>
      </c>
      <c r="R93" s="27">
        <f>IF(B93="","",IFERROR(IF(INDEX(Data!$L$2:$L$745,MATCH(79,Data!$AI$2:$AI$745,0))="","",INDEX(Data!$L$2:$L$745,MATCH(79,Data!$AI$2:$AI$745,0))),""))</f>
        <v/>
      </c>
      <c r="AB93" t="inlineStr">
        <is>
          <t>Hentonwell</t>
        </is>
      </c>
    </row>
    <row r="94" ht="62" customHeight="1">
      <c r="B94" s="27">
        <f>IF(80&lt;=COUNTIF(Data!$AH$2:$AH$745,TRUE),80,"")</f>
        <v/>
      </c>
      <c r="C94" s="28">
        <f>IF(B94="","",IFERROR(_xlfn.IMAGE(IFERROR(IF(INDEX(Data!$J$2:$J$745,MATCH(80,Data!$AI$2:$AI$745,0))="","",INDEX(Data!$J$2:$J$745,MATCH(80,Data!$AI$2:$AI$745,0))),"")),"IMAGE COMING SOON"))</f>
        <v/>
      </c>
      <c r="D94" s="29">
        <f>IF(B94="","",IFERROR(IF(INDEX(Data!$G$2:$G$745,MATCH(80,Data!$AI$2:$AI$745,0))="","",INDEX(Data!$G$2:$G$745,MATCH(80,Data!$AI$2:$AI$745,0))),"")&amp;CHAR(10)&amp;IFERROR(IF(INDEX(Data!$H$2:$H$745,MATCH(80,Data!$AI$2:$AI$745,0))="","",INDEX(Data!$H$2:$H$745,MATCH(80,Data!$AI$2:$AI$745,0))),""))</f>
        <v/>
      </c>
      <c r="E94" s="27">
        <f>IF(B94="","",IFERROR(IF(INDEX(Data!$I$2:$I$745,MATCH(80,Data!$AI$2:$AI$745,0))="","",INDEX(Data!$I$2:$I$745,MATCH(80,Data!$AI$2:$AI$745,0))),""))</f>
        <v/>
      </c>
      <c r="F94" s="27">
        <f>IF(B94="","",IFERROR(IF(INDEX(Data!$AJ$2:$AJ$745,MATCH(80,Data!$AI$2:$AI$745,0))="","",INDEX(Data!$AJ$2:$AJ$745,MATCH(80,Data!$AI$2:$AI$745,0))),""))</f>
        <v/>
      </c>
      <c r="G94" s="27">
        <f>IF(B94="","",TRIM(IFERROR(IF(INDEX(Data!$AF$2:$AF$745,MATCH(80,Data!$AI$2:$AI$745,0))="","",INDEX(Data!$AF$2:$AF$745,MATCH(80,Data!$AI$2:$AI$745,0))),"")&amp;" "&amp;IFERROR(IF(INDEX(Data!$AG$2:$AG$745,MATCH(80,Data!$AI$2:$AI$745,0))="","",INDEX(Data!$AG$2:$AG$745,MATCH(80,Data!$AI$2:$AI$745,0))),"")))</f>
        <v/>
      </c>
      <c r="H94" s="37">
        <f>IF(B94="","",IFERROR(IF(INDEX(Data!$N$2:$N$745,MATCH(80,Data!$AI$2:$AI$745,0))="","",INDEX(Data!$N$2:$N$745,MATCH(80,Data!$AI$2:$AI$745,0))),""))</f>
        <v/>
      </c>
      <c r="I94" s="37">
        <f>IF(B94="","",IFERROR(IF(INDEX(Data!$O$2:$O$745,MATCH(80,Data!$AI$2:$AI$745,0))="","",INDEX(Data!$O$2:$O$745,MATCH(80,Data!$AI$2:$AI$745,0))),""))</f>
        <v/>
      </c>
      <c r="J94" s="31">
        <f>IF(B94="","",IFERROR(IF(INDEX(Data!$P$2:$P$745,MATCH(80,Data!$AI$2:$AI$745,0))="","",INDEX(Data!$P$2:$P$745,MATCH(80,Data!$AI$2:$AI$745,0))),""))</f>
        <v/>
      </c>
      <c r="K94" s="32">
        <f>IF(B94="","",IFERROR(IF(INDEX(Data!$R$2:$R$745,MATCH(80,Data!$AI$2:$AI$745,0))="","",INDEX(Data!$R$2:$R$745,MATCH(80,Data!$AI$2:$AI$745,0))),""))</f>
        <v/>
      </c>
      <c r="L94" s="33">
        <f>IF(B94="","",IFERROR(IF(INDEX(Data!$S$2:$S$745,MATCH(80,Data!$AI$2:$AI$745,0))="","",INDEX(Data!$S$2:$S$745,MATCH(80,Data!$AI$2:$AI$745,0))),""))</f>
        <v/>
      </c>
      <c r="M94" s="33">
        <f>IF(B94="","",IFERROR(IF(INDEX(Data!$T$2:$T$745,MATCH(80,Data!$AI$2:$AI$745,0))="","",INDEX(Data!$T$2:$T$745,MATCH(80,Data!$AI$2:$AI$745,0))),""))</f>
        <v/>
      </c>
      <c r="N94" s="34">
        <f>IF(B94="","",IFERROR(IF(INDEX(Data!$U$2:$U$745,MATCH(80,Data!$AI$2:$AI$745,0))="","",INDEX(Data!$U$2:$U$745,MATCH(80,Data!$AI$2:$AI$745,0))),""))</f>
        <v/>
      </c>
      <c r="O94" s="33">
        <f>IF(B94="","",IFERROR(IF(INDEX(Data!$V$2:$V$745,MATCH(80,Data!$AI$2:$AI$745,0))="","",INDEX(Data!$V$2:$V$745,MATCH(80,Data!$AI$2:$AI$745,0))),""))</f>
        <v/>
      </c>
      <c r="P94" s="33">
        <f>IF(B94="","",IFERROR(IF(INDEX(Data!$M$2:$M$745,MATCH(80,Data!$AI$2:$AI$745,0))="","",INDEX(Data!$M$2:$M$745,MATCH(80,Data!$AI$2:$AI$745,0))),""))</f>
        <v/>
      </c>
      <c r="Q94" s="31">
        <f>IF(B94="","",IFERROR(IF(INDEX(Data!$AD$2:$AD$745,MATCH(80,Data!$AI$2:$AI$745,0))="","",INDEX(Data!$AD$2:$AD$745,MATCH(80,Data!$AI$2:$AI$745,0))),""))</f>
        <v/>
      </c>
      <c r="R94" s="27">
        <f>IF(B94="","",IFERROR(IF(INDEX(Data!$L$2:$L$745,MATCH(80,Data!$AI$2:$AI$745,0))="","",INDEX(Data!$L$2:$L$745,MATCH(80,Data!$AI$2:$AI$745,0))),""))</f>
        <v/>
      </c>
      <c r="AB94" t="inlineStr">
        <is>
          <t>HOMFINE</t>
        </is>
      </c>
    </row>
    <row r="95">
      <c r="AB95" t="inlineStr">
        <is>
          <t>Homiest</t>
        </is>
      </c>
    </row>
    <row r="96">
      <c r="AB96" t="inlineStr">
        <is>
          <t>HommxJF</t>
        </is>
      </c>
    </row>
    <row r="97">
      <c r="AB97" t="inlineStr">
        <is>
          <t>homuvdok</t>
        </is>
      </c>
    </row>
    <row r="98">
      <c r="AB98" t="inlineStr">
        <is>
          <t>Horbaunal</t>
        </is>
      </c>
    </row>
    <row r="99">
      <c r="AB99" t="inlineStr">
        <is>
          <t>HORIMOTE HOME</t>
        </is>
      </c>
    </row>
    <row r="100">
      <c r="AB100" t="inlineStr">
        <is>
          <t>HOT SLEEPER SHEETS</t>
        </is>
      </c>
    </row>
    <row r="101">
      <c r="AB101" t="inlineStr">
        <is>
          <t>Hotel Sheets Direct</t>
        </is>
      </c>
    </row>
    <row r="102">
      <c r="AB102" t="inlineStr">
        <is>
          <t>Howhic</t>
        </is>
      </c>
    </row>
    <row r="103">
      <c r="AB103" t="inlineStr">
        <is>
          <t>iCooBreeze</t>
        </is>
      </c>
    </row>
    <row r="104">
      <c r="AB104" t="inlineStr">
        <is>
          <t>INFIIXSO</t>
        </is>
      </c>
    </row>
    <row r="105">
      <c r="AB105" t="inlineStr">
        <is>
          <t>INOVADAY</t>
        </is>
      </c>
    </row>
    <row r="106">
      <c r="AB106" t="inlineStr">
        <is>
          <t>INSSL</t>
        </is>
      </c>
    </row>
    <row r="107">
      <c r="AB107" t="inlineStr">
        <is>
          <t>J JIMOO</t>
        </is>
      </c>
    </row>
    <row r="108">
      <c r="AB108" t="inlineStr">
        <is>
          <t>Jersey Slumber</t>
        </is>
      </c>
    </row>
    <row r="109">
      <c r="AB109" t="inlineStr">
        <is>
          <t>jiaao</t>
        </is>
      </c>
    </row>
    <row r="110">
      <c r="AB110" t="inlineStr">
        <is>
          <t>Jocoku</t>
        </is>
      </c>
    </row>
    <row r="111">
      <c r="AB111" t="inlineStr">
        <is>
          <t>JOGJUE</t>
        </is>
      </c>
    </row>
    <row r="112">
      <c r="AB112" t="inlineStr">
        <is>
          <t>Jowels</t>
        </is>
      </c>
    </row>
    <row r="113">
      <c r="AB113" t="inlineStr">
        <is>
          <t>Joydeco</t>
        </is>
      </c>
    </row>
    <row r="114">
      <c r="AB114" t="inlineStr">
        <is>
          <t>Joyreap</t>
        </is>
      </c>
    </row>
    <row r="115">
      <c r="AB115" t="inlineStr">
        <is>
          <t>JSD</t>
        </is>
      </c>
    </row>
    <row r="116">
      <c r="AB116" t="inlineStr">
        <is>
          <t>Juicy Couture</t>
        </is>
      </c>
    </row>
    <row r="117">
      <c r="AB117" t="inlineStr">
        <is>
          <t>JUWENIN</t>
        </is>
      </c>
    </row>
    <row r="118">
      <c r="AB118" t="inlineStr">
        <is>
          <t>KAKIJUMN</t>
        </is>
      </c>
    </row>
    <row r="119">
      <c r="AB119" t="inlineStr">
        <is>
          <t>KARISSA MAE</t>
        </is>
      </c>
    </row>
    <row r="120">
      <c r="AB120" t="inlineStr">
        <is>
          <t>Kickoff Home</t>
        </is>
      </c>
    </row>
    <row r="121">
      <c r="AB121" t="inlineStr">
        <is>
          <t>Kinself</t>
        </is>
      </c>
    </row>
    <row r="122">
      <c r="AB122" t="inlineStr">
        <is>
          <t>Kitsch</t>
        </is>
      </c>
    </row>
    <row r="123">
      <c r="AB123" t="inlineStr">
        <is>
          <t>KRIMANO</t>
        </is>
      </c>
    </row>
    <row r="124">
      <c r="AB124" t="inlineStr">
        <is>
          <t>Lajode</t>
        </is>
      </c>
    </row>
    <row r="125">
      <c r="AB125" t="inlineStr">
        <is>
          <t>Lalluxy</t>
        </is>
      </c>
    </row>
    <row r="126">
      <c r="AB126" t="inlineStr">
        <is>
          <t>Lanest Housing</t>
        </is>
      </c>
    </row>
    <row r="127">
      <c r="AB127" t="inlineStr">
        <is>
          <t>Laura Ashley</t>
        </is>
      </c>
    </row>
    <row r="128">
      <c r="AB128" t="inlineStr">
        <is>
          <t>LB Luxury Bamboo Market</t>
        </is>
      </c>
    </row>
    <row r="129">
      <c r="AB129" t="inlineStr">
        <is>
          <t>LBRO2M</t>
        </is>
      </c>
    </row>
    <row r="130">
      <c r="AB130" t="inlineStr">
        <is>
          <t>LianheCy</t>
        </is>
      </c>
    </row>
    <row r="131">
      <c r="AB131" t="inlineStr">
        <is>
          <t>LIFCOM</t>
        </is>
      </c>
    </row>
    <row r="132">
      <c r="AB132" t="inlineStr">
        <is>
          <t>Lirex</t>
        </is>
      </c>
    </row>
    <row r="133">
      <c r="AB133" t="inlineStr">
        <is>
          <t>LitBear</t>
        </is>
      </c>
    </row>
    <row r="134">
      <c r="AB134" t="inlineStr">
        <is>
          <t>Love's cabin</t>
        </is>
      </c>
    </row>
    <row r="135">
      <c r="AB135" t="inlineStr">
        <is>
          <t>LULUSILK</t>
        </is>
      </c>
    </row>
    <row r="136">
      <c r="AB136" t="inlineStr">
        <is>
          <t>Luxbedding</t>
        </is>
      </c>
    </row>
    <row r="137">
      <c r="AB137" t="inlineStr">
        <is>
          <t>LUXEAR</t>
        </is>
      </c>
    </row>
    <row r="138">
      <c r="AB138" t="inlineStr">
        <is>
          <t>Luxudecor</t>
        </is>
      </c>
    </row>
    <row r="139">
      <c r="AB139" t="inlineStr">
        <is>
          <t>Madison Park</t>
        </is>
      </c>
    </row>
    <row r="140">
      <c r="AB140" t="inlineStr">
        <is>
          <t>Manta Sleep</t>
        </is>
      </c>
    </row>
    <row r="141">
      <c r="AB141" t="inlineStr">
        <is>
          <t>Manyshofu</t>
        </is>
      </c>
    </row>
    <row r="142">
      <c r="AB142" t="inlineStr">
        <is>
          <t>Maple&amp;Stone</t>
        </is>
      </c>
    </row>
    <row r="143">
      <c r="AB143" t="inlineStr">
        <is>
          <t>Marchpower</t>
        </is>
      </c>
    </row>
    <row r="144">
      <c r="AB144" t="inlineStr">
        <is>
          <t>Martex</t>
        </is>
      </c>
    </row>
    <row r="145">
      <c r="AB145" t="inlineStr">
        <is>
          <t>MASVIS</t>
        </is>
      </c>
    </row>
    <row r="146">
      <c r="AB146" t="inlineStr">
        <is>
          <t>MCO</t>
        </is>
      </c>
    </row>
    <row r="147">
      <c r="AB147" t="inlineStr">
        <is>
          <t>Mebien touche de la nature</t>
        </is>
      </c>
    </row>
    <row r="148">
      <c r="AB148" t="inlineStr">
        <is>
          <t>MIULEE</t>
        </is>
      </c>
    </row>
    <row r="149">
      <c r="AB149" t="inlineStr">
        <is>
          <t>MK Home</t>
        </is>
      </c>
    </row>
    <row r="150">
      <c r="AB150" t="inlineStr">
        <is>
          <t>MODE HOME</t>
        </is>
      </c>
    </row>
    <row r="151">
      <c r="AB151" t="inlineStr">
        <is>
          <t>MONJITA</t>
        </is>
      </c>
    </row>
    <row r="152">
      <c r="AB152" t="inlineStr">
        <is>
          <t>MR&amp;HM</t>
        </is>
      </c>
    </row>
    <row r="153">
      <c r="AB153" t="inlineStr">
        <is>
          <t>MRIDU</t>
        </is>
      </c>
    </row>
    <row r="154">
      <c r="AB154" t="inlineStr">
        <is>
          <t>Mybedsoul</t>
        </is>
      </c>
    </row>
    <row r="155">
      <c r="AB155" t="inlineStr">
        <is>
          <t>MZOO</t>
        </is>
      </c>
    </row>
    <row r="156">
      <c r="AB156" t="inlineStr">
        <is>
          <t>Nanspring</t>
        </is>
      </c>
    </row>
    <row r="157">
      <c r="AB157" t="inlineStr">
        <is>
          <t>Nature Is Gift</t>
        </is>
      </c>
    </row>
    <row r="158">
      <c r="AB158" t="inlineStr">
        <is>
          <t>Niagara Sleep Solution</t>
        </is>
      </c>
    </row>
    <row r="159">
      <c r="AB159" t="inlineStr">
        <is>
          <t>NICETOWN</t>
        </is>
      </c>
    </row>
    <row r="160">
      <c r="AB160" t="inlineStr">
        <is>
          <t>NSGZ</t>
        </is>
      </c>
    </row>
    <row r="161">
      <c r="AB161" t="inlineStr">
        <is>
          <t>OLESILK</t>
        </is>
      </c>
    </row>
    <row r="162">
      <c r="AB162" t="inlineStr">
        <is>
          <t>OMERAI</t>
        </is>
      </c>
    </row>
    <row r="163">
      <c r="AB163" t="inlineStr">
        <is>
          <t>Organic Cotton Mart</t>
        </is>
      </c>
    </row>
    <row r="164">
      <c r="AB164" t="inlineStr">
        <is>
          <t>P Pothuiny</t>
        </is>
      </c>
    </row>
    <row r="165">
      <c r="AB165" t="inlineStr">
        <is>
          <t>PARK&amp;OZ</t>
        </is>
      </c>
    </row>
    <row r="166">
      <c r="AB166" t="inlineStr">
        <is>
          <t>PERFNIQUE</t>
        </is>
      </c>
    </row>
    <row r="167">
      <c r="AB167" t="inlineStr">
        <is>
          <t>Pillcase</t>
        </is>
      </c>
    </row>
    <row r="168">
      <c r="AB168" t="inlineStr">
        <is>
          <t>Pitalk</t>
        </is>
      </c>
    </row>
    <row r="169">
      <c r="AB169" t="inlineStr">
        <is>
          <t>PONY DANCE</t>
        </is>
      </c>
    </row>
    <row r="170">
      <c r="AB170" t="inlineStr">
        <is>
          <t>PROMEED</t>
        </is>
      </c>
    </row>
    <row r="171">
      <c r="AB171" t="inlineStr">
        <is>
          <t>Pure Bamboo</t>
        </is>
      </c>
    </row>
    <row r="172">
      <c r="AB172" t="inlineStr">
        <is>
          <t>Pure Bedding</t>
        </is>
      </c>
    </row>
    <row r="173">
      <c r="AB173" t="inlineStr">
        <is>
          <t>QUTOOL</t>
        </is>
      </c>
    </row>
    <row r="174">
      <c r="AB174" t="inlineStr">
        <is>
          <t>Ravmix</t>
        </is>
      </c>
    </row>
    <row r="175">
      <c r="AB175" t="inlineStr">
        <is>
          <t>RENESSY</t>
        </is>
      </c>
    </row>
    <row r="176">
      <c r="AB176" t="inlineStr">
        <is>
          <t>REST</t>
        </is>
      </c>
    </row>
    <row r="177">
      <c r="AB177" t="inlineStr">
        <is>
          <t>Rifens</t>
        </is>
      </c>
    </row>
    <row r="178">
      <c r="AB178" t="inlineStr">
        <is>
          <t>RLWangChao</t>
        </is>
      </c>
    </row>
    <row r="179">
      <c r="AB179" t="inlineStr">
        <is>
          <t>ROSEWARD</t>
        </is>
      </c>
    </row>
    <row r="180">
      <c r="AB180" t="inlineStr">
        <is>
          <t>RYB HOME</t>
        </is>
      </c>
    </row>
    <row r="181">
      <c r="AB181" t="inlineStr">
        <is>
          <t>Salt Earth</t>
        </is>
      </c>
    </row>
    <row r="182">
      <c r="AB182" t="inlineStr">
        <is>
          <t>Sasttie</t>
        </is>
      </c>
    </row>
    <row r="183">
      <c r="AB183" t="inlineStr">
        <is>
          <t>SearchI</t>
        </is>
      </c>
    </row>
    <row r="184">
      <c r="AB184" t="inlineStr">
        <is>
          <t>Secgo</t>
        </is>
      </c>
    </row>
    <row r="185">
      <c r="AB185" t="inlineStr">
        <is>
          <t>SECZIPE</t>
        </is>
      </c>
    </row>
    <row r="186">
      <c r="AB186" t="inlineStr">
        <is>
          <t>Seimip</t>
        </is>
      </c>
    </row>
    <row r="187">
      <c r="AB187" t="inlineStr">
        <is>
          <t>Serta</t>
        </is>
      </c>
    </row>
    <row r="188">
      <c r="AB188" t="inlineStr">
        <is>
          <t>SGMSILK</t>
        </is>
      </c>
    </row>
    <row r="189">
      <c r="AB189" t="inlineStr">
        <is>
          <t>SHEEX</t>
        </is>
      </c>
    </row>
    <row r="190">
      <c r="AB190" t="inlineStr">
        <is>
          <t>Shilucheng</t>
        </is>
      </c>
    </row>
    <row r="191">
      <c r="AB191" t="inlineStr">
        <is>
          <t>Shunjie.Home</t>
        </is>
      </c>
    </row>
    <row r="192">
      <c r="AB192" t="inlineStr">
        <is>
          <t>SiinvdaBZX</t>
        </is>
      </c>
    </row>
    <row r="193">
      <c r="AB193" t="inlineStr">
        <is>
          <t>SIYUAN</t>
        </is>
      </c>
    </row>
    <row r="194">
      <c r="AB194" t="inlineStr">
        <is>
          <t>SLIP</t>
        </is>
      </c>
    </row>
    <row r="195">
      <c r="AB195" t="inlineStr">
        <is>
          <t>Slpbaby</t>
        </is>
      </c>
    </row>
    <row r="196">
      <c r="AB196" t="inlineStr">
        <is>
          <t>Smiry</t>
        </is>
      </c>
    </row>
    <row r="197">
      <c r="AB197" t="inlineStr">
        <is>
          <t>SMYRNA TURKISH COTTON</t>
        </is>
      </c>
    </row>
    <row r="198">
      <c r="AB198" t="inlineStr">
        <is>
          <t>SONORO KATE</t>
        </is>
      </c>
    </row>
    <row r="199">
      <c r="AB199" t="inlineStr">
        <is>
          <t>spacepower</t>
        </is>
      </c>
    </row>
    <row r="200">
      <c r="AB200" t="inlineStr">
        <is>
          <t>SPRINGRICO</t>
        </is>
      </c>
    </row>
    <row r="201">
      <c r="AB201" t="inlineStr">
        <is>
          <t>SRSZHIYUE</t>
        </is>
      </c>
    </row>
    <row r="202">
      <c r="AB202" t="inlineStr">
        <is>
          <t>Suatien</t>
        </is>
      </c>
    </row>
    <row r="203">
      <c r="AB203" t="inlineStr">
        <is>
          <t>Sufdari</t>
        </is>
      </c>
    </row>
    <row r="204">
      <c r="AB204" t="inlineStr">
        <is>
          <t>SUNSPUN LINENS</t>
        </is>
      </c>
    </row>
    <row r="205">
      <c r="AB205" t="inlineStr">
        <is>
          <t>Surfapans</t>
        </is>
      </c>
    </row>
    <row r="206">
      <c r="AB206" t="inlineStr">
        <is>
          <t>Sweave</t>
        </is>
      </c>
    </row>
    <row r="207">
      <c r="AB207" t="inlineStr">
        <is>
          <t>Tafts</t>
        </is>
      </c>
    </row>
    <row r="208">
      <c r="AB208" t="inlineStr">
        <is>
          <t>TheSleepGuard</t>
        </is>
      </c>
    </row>
    <row r="209">
      <c r="AB209" t="inlineStr">
        <is>
          <t>Threadmade</t>
        </is>
      </c>
    </row>
    <row r="210">
      <c r="AB210" t="inlineStr">
        <is>
          <t>Topcee</t>
        </is>
      </c>
    </row>
    <row r="211">
      <c r="AB211" t="inlineStr">
        <is>
          <t>Topfinel</t>
        </is>
      </c>
    </row>
    <row r="212">
      <c r="AB212" t="inlineStr">
        <is>
          <t>TOSMO</t>
        </is>
      </c>
    </row>
    <row r="213">
      <c r="AB213" t="inlineStr">
        <is>
          <t>TQianJiang</t>
        </is>
      </c>
    </row>
    <row r="214">
      <c r="AB214" t="inlineStr">
        <is>
          <t>TREELY</t>
        </is>
      </c>
    </row>
    <row r="215">
      <c r="AB215" t="inlineStr">
        <is>
          <t>TRUE BAMBOO</t>
        </is>
      </c>
    </row>
    <row r="216">
      <c r="AB216" t="inlineStr">
        <is>
          <t>TWK</t>
        </is>
      </c>
    </row>
    <row r="217">
      <c r="AB217" t="inlineStr">
        <is>
          <t>Tyrot</t>
        </is>
      </c>
    </row>
    <row r="218">
      <c r="AB218" t="inlineStr">
        <is>
          <t>Umisleep Store</t>
        </is>
      </c>
    </row>
    <row r="219">
      <c r="AB219" t="inlineStr">
        <is>
          <t>uxcell</t>
        </is>
      </c>
    </row>
    <row r="220">
      <c r="AB220" t="inlineStr">
        <is>
          <t>VACVELT</t>
        </is>
      </c>
    </row>
    <row r="221">
      <c r="AB221" t="inlineStr">
        <is>
          <t>Vesta</t>
        </is>
      </c>
    </row>
    <row r="222">
      <c r="AB222" t="inlineStr">
        <is>
          <t>Vine Voice</t>
        </is>
      </c>
    </row>
    <row r="223">
      <c r="AB223" t="inlineStr">
        <is>
          <t>Vipfree</t>
        </is>
      </c>
    </row>
    <row r="224">
      <c r="AB224" t="inlineStr">
        <is>
          <t>Viviland</t>
        </is>
      </c>
    </row>
    <row r="225">
      <c r="AB225" t="inlineStr">
        <is>
          <t>Vonty</t>
        </is>
      </c>
    </row>
    <row r="226">
      <c r="AB226" t="inlineStr">
        <is>
          <t>Wake In Cloud</t>
        </is>
      </c>
    </row>
    <row r="227">
      <c r="AB227" t="inlineStr">
        <is>
          <t>WDCOZY</t>
        </is>
      </c>
    </row>
    <row r="228">
      <c r="AB228" t="inlineStr">
        <is>
          <t>WETCAT</t>
        </is>
      </c>
    </row>
    <row r="229">
      <c r="AB229" t="inlineStr">
        <is>
          <t>WISHSMILE</t>
        </is>
      </c>
    </row>
    <row r="230">
      <c r="AB230" t="inlineStr">
        <is>
          <t>WLOSJ</t>
        </is>
      </c>
    </row>
    <row r="231">
      <c r="AB231" t="inlineStr">
        <is>
          <t>Wolliwa</t>
        </is>
      </c>
    </row>
    <row r="232">
      <c r="AB232" t="inlineStr">
        <is>
          <t>WRENSONGE</t>
        </is>
      </c>
    </row>
    <row r="233">
      <c r="AB233" t="inlineStr">
        <is>
          <t>Yakamok</t>
        </is>
      </c>
    </row>
    <row r="234">
      <c r="AB234" t="inlineStr">
        <is>
          <t>Yalikop</t>
        </is>
      </c>
    </row>
    <row r="235">
      <c r="AB235" t="inlineStr">
        <is>
          <t>YASMENG</t>
        </is>
      </c>
    </row>
    <row r="236">
      <c r="AB236" t="inlineStr">
        <is>
          <t>Ycosy</t>
        </is>
      </c>
    </row>
    <row r="237">
      <c r="AB237" t="inlineStr">
        <is>
          <t>YEMYHOM</t>
        </is>
      </c>
    </row>
    <row r="238">
      <c r="AB238" t="inlineStr">
        <is>
          <t>YFONG</t>
        </is>
      </c>
    </row>
    <row r="239">
      <c r="AB239" t="inlineStr">
        <is>
          <t>YoungsTex</t>
        </is>
      </c>
    </row>
    <row r="240">
      <c r="AB240" t="inlineStr">
        <is>
          <t>Your Choice</t>
        </is>
      </c>
    </row>
    <row r="241">
      <c r="AB241" t="inlineStr">
        <is>
          <t>YUEANG</t>
        </is>
      </c>
    </row>
    <row r="242">
      <c r="AB242" t="inlineStr">
        <is>
          <t>Zaizaihome</t>
        </is>
      </c>
    </row>
    <row r="243">
      <c r="AB243" t="inlineStr">
        <is>
          <t>Zenssia</t>
        </is>
      </c>
    </row>
    <row r="244">
      <c r="AB244" t="inlineStr">
        <is>
          <t>ZIMASILK</t>
        </is>
      </c>
    </row>
    <row r="245">
      <c r="AB245" t="inlineStr">
        <is>
          <t>Zyvola</t>
        </is>
      </c>
    </row>
    <row r="246">
      <c r="AB246" t="inlineStr">
        <is>
          <t>Zyvola Store</t>
        </is>
      </c>
    </row>
  </sheetData>
  <mergeCells count="29">
    <mergeCell ref="P4:Q4"/>
    <mergeCell ref="P8:Q9"/>
    <mergeCell ref="L7:M7"/>
    <mergeCell ref="N7:O7"/>
    <mergeCell ref="G11:K11"/>
    <mergeCell ref="B3:R3"/>
    <mergeCell ref="R4:S4"/>
    <mergeCell ref="G8:K8"/>
    <mergeCell ref="G7:K7"/>
    <mergeCell ref="R7:S7"/>
    <mergeCell ref="G10:K10"/>
    <mergeCell ref="B2:R2"/>
    <mergeCell ref="P5:Q6"/>
    <mergeCell ref="G6:K6"/>
    <mergeCell ref="R5:S6"/>
    <mergeCell ref="B1:R1"/>
    <mergeCell ref="R8:S9"/>
    <mergeCell ref="L4:M4"/>
    <mergeCell ref="B13:R13"/>
    <mergeCell ref="P7:Q7"/>
    <mergeCell ref="G5:K5"/>
    <mergeCell ref="G4:K4"/>
    <mergeCell ref="E4:E10"/>
    <mergeCell ref="L5:M6"/>
    <mergeCell ref="N5:O6"/>
    <mergeCell ref="L8:M9"/>
    <mergeCell ref="G9:K9"/>
    <mergeCell ref="N4:O4"/>
    <mergeCell ref="N8:O9"/>
  </mergeCells>
  <conditionalFormatting sqref="K15:K94">
    <cfRule type="expression" priority="1" dxfId="0">
      <formula>AND(ISNUMBER(K15),K15&lt;0)</formula>
    </cfRule>
  </conditionalFormatting>
  <conditionalFormatting sqref="J15:J94">
    <cfRule type="expression" priority="2" dxfId="1">
      <formula>AND(ISNUMBER(J15),J15&gt;0,J15&lt;=0.12)</formula>
    </cfRule>
  </conditionalFormatting>
  <conditionalFormatting sqref="F15:F94">
    <cfRule type="expression" priority="3" dxfId="1">
      <formula>F15="Direct"</formula>
    </cfRule>
    <cfRule type="expression" priority="4" dxfId="2">
      <formula>F15="Alternative material"</formula>
    </cfRule>
    <cfRule type="expression" priority="5" dxfId="3">
      <formula>F15="Material not verified"</formula>
    </cfRule>
    <cfRule type="expression" priority="6" dxfId="4">
      <formula>F15="Different product type"</formula>
    </cfRule>
  </conditionalFormatting>
  <dataValidations count="5">
    <dataValidation sqref="C4" showDropDown="0" showInputMessage="1" showErrorMessage="1" allowBlank="0" errorTitle="Product" error="Please pick a value from the list." promptTitle="Product" prompt="Pick from the list" type="list">
      <formula1>$AA$1:$AA$7</formula1>
    </dataValidation>
    <dataValidation sqref="C5" showDropDown="0" showInputMessage="1" showErrorMessage="1" allowBlank="0" errorTitle="Brand" error="Please pick a value from the list." promptTitle="Brand" prompt="Pick from the list" type="list">
      <formula1>$AB$1:$AB$246</formula1>
    </dataValidation>
    <dataValidation sqref="C6" showDropDown="0" showInputMessage="1" showErrorMessage="1" allowBlank="0" errorTitle="Tier" error="Please pick a value from the list." promptTitle="Tier" prompt="Pick from the list" type="list">
      <formula1>$AC$1:$AC$5</formula1>
    </dataValidation>
    <dataValidation sqref="C7" showDropDown="0" showInputMessage="1" showErrorMessage="1" allowBlank="0" errorTitle="Family" error="Please pick a value from the list." promptTitle="Family" prompt="Pick from the list" type="list">
      <formula1>$AD$1:$AD$6</formula1>
    </dataValidation>
    <dataValidation sqref="C8" showDropDown="0" showInputMessage="1" showErrorMessage="1" allowBlank="0" errorTitle="Competitor type" error="Please pick a value from the list." promptTitle="Competitor type" prompt="Pick from the list" type="list">
      <formula1>$AE$1:$AE$6</formula1>
    </dataValidation>
  </dataValidations>
  <hyperlinks>
    <hyperlink ref="B9" location="'US Dashboard'!A1" display="→ US Dashboard"/>
    <hyperlink ref="B10" location="'BFCM Stock'!A1" display="→ BFCM Stock"/>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8" customWidth="1" min="3" max="3"/>
    <col width="10" customWidth="1" min="4" max="4"/>
    <col width="40" customWidth="1" min="5" max="5"/>
    <col width="5" customWidth="1" min="6" max="6"/>
    <col width="11" customWidth="1" min="7" max="7"/>
    <col width="8" customWidth="1" min="8" max="8"/>
    <col width="14" customWidth="1" min="9" max="9"/>
    <col width="8" customWidth="1" min="10" max="10"/>
    <col width="9" customWidth="1" min="11" max="11"/>
    <col width="14" customWidth="1" min="12" max="12"/>
    <col width="8" customWidth="1" min="13" max="13"/>
    <col width="9" customWidth="1" min="14" max="14"/>
    <col width="8" customWidth="1" min="15" max="15"/>
    <col width="8" customWidth="1" min="16" max="16"/>
    <col width="20" customWidth="1" min="17" max="17"/>
    <col width="14" customWidth="1" min="18" max="18"/>
  </cols>
  <sheetData>
    <row r="1" ht="30" customHeight="1">
      <c r="A1" s="26" t="inlineStr">
        <is>
          <t>Image</t>
        </is>
      </c>
      <c r="B1" s="26" t="inlineStr">
        <is>
          <t>Product tab</t>
        </is>
      </c>
      <c r="C1" s="26" t="inlineStr">
        <is>
          <t>Family</t>
        </is>
      </c>
      <c r="D1" s="26" t="inlineStr">
        <is>
          <t>Brand</t>
        </is>
      </c>
      <c r="E1" s="26" t="inlineStr">
        <is>
          <t>Title</t>
        </is>
      </c>
      <c r="F1" s="26" t="inlineStr">
        <is>
          <t>Mkt</t>
        </is>
      </c>
      <c r="G1" s="26" t="inlineStr">
        <is>
          <t>Parent ASIN (Amazon)</t>
        </is>
      </c>
      <c r="H1" s="26" t="inlineStr">
        <is>
          <t>Variations</t>
        </is>
      </c>
      <c r="I1" s="26" t="inlineStr">
        <is>
          <t>Sizes</t>
        </is>
      </c>
      <c r="J1" s="26" t="inlineStr">
        <is>
          <t>Colours</t>
        </is>
      </c>
      <c r="K1" s="26" t="inlineStr">
        <is>
          <t>Our price ($)</t>
        </is>
      </c>
      <c r="L1" s="26" t="inlineStr">
        <is>
          <t>Our price: source, date</t>
        </is>
      </c>
      <c r="M1" s="26" t="inlineStr">
        <is>
          <t>Units 28d</t>
        </is>
      </c>
      <c r="N1" s="26" t="inlineStr">
        <is>
          <t>Competitors mapped</t>
        </is>
      </c>
      <c r="O1" s="26" t="inlineStr">
        <is>
          <t>BFCM 2025 lift</t>
        </is>
      </c>
      <c r="P1" s="26" t="inlineStr">
        <is>
          <t>BFCM 2025 TACoS</t>
        </is>
      </c>
      <c r="Q1" s="26" t="inlineStr">
        <is>
          <t>BFCM role</t>
        </is>
      </c>
      <c r="R1" s="26" t="inlineStr">
        <is>
          <t>Scope</t>
        </is>
      </c>
    </row>
    <row r="2" ht="62" customHeight="1">
      <c r="A2" s="12">
        <f>_xlfn.IMAGE("https://m.media-amazon.com/images/I/81E9bvs4TYL._AC_SL1500_.jpg")</f>
        <v/>
      </c>
      <c r="B2" s="38" t="inlineStr">
        <is>
          <t>US DC B4</t>
        </is>
      </c>
      <c r="C2" s="39" t="inlineStr">
        <is>
          <t>Bamboo</t>
        </is>
      </c>
      <c r="D2" s="39" t="inlineStr">
        <is>
          <t>Decolure</t>
        </is>
      </c>
      <c r="E2" s="39" t="inlineStr">
        <is>
          <t>DECOLURE 100% Viscose from Bamboo Sheets King Size | 4 Pc Cooling Bed Set</t>
        </is>
      </c>
      <c r="F2" s="39" t="inlineStr">
        <is>
          <t>US</t>
        </is>
      </c>
      <c r="G2" s="39" t="inlineStr">
        <is>
          <t>B0HJCSXJQ6</t>
        </is>
      </c>
      <c r="H2" s="39" t="n">
        <v>81</v>
      </c>
      <c r="I2" s="39" t="inlineStr">
        <is>
          <t>California King, Full, King, Queen, Twin</t>
        </is>
      </c>
      <c r="J2" s="39" t="n">
        <v>16</v>
      </c>
      <c r="K2" s="40" t="n">
        <v>94.98999999999999</v>
      </c>
      <c r="L2" s="39" t="inlineStr">
        <is>
          <t>catalog price, 2026-10-13</t>
        </is>
      </c>
      <c r="M2" s="39" t="n">
        <v>1813</v>
      </c>
      <c r="N2" s="39" t="n">
        <v>61</v>
      </c>
      <c r="O2" s="41" t="n">
        <v>4.254998421726247</v>
      </c>
      <c r="P2" s="42" t="n">
        <v>0.06252858933328141</v>
      </c>
      <c r="Q2" s="39" t="inlineStr">
        <is>
          <t>Hero: rank and profit</t>
        </is>
      </c>
      <c r="R2" s="43" t="inlineStr">
        <is>
          <t>Core</t>
        </is>
      </c>
    </row>
    <row r="3" ht="62" customHeight="1">
      <c r="A3" s="12">
        <f>_xlfn.IMAGE("https://m.media-amazon.com/images/I/81E9bvs4TYL._AC_SL1500_.jpg")</f>
        <v/>
      </c>
      <c r="B3" s="38" t="inlineStr">
        <is>
          <t>CA DC B4</t>
        </is>
      </c>
      <c r="C3" s="39" t="inlineStr">
        <is>
          <t>Bamboo</t>
        </is>
      </c>
      <c r="D3" s="39" t="inlineStr">
        <is>
          <t>Decolure</t>
        </is>
      </c>
      <c r="E3" s="39" t="inlineStr">
        <is>
          <t>DECOLURE 100% Organic Bamboo Viscose Sheets Queen Size 4 pcs - Ultra Soft &amp; Luxuriously Cooling, 16" Deep Pocket, Double Stitching, Perfect for Hot Sleepers - Luxury Queen Bed Sheets Set (White)</t>
        </is>
      </c>
      <c r="F3" s="39" t="inlineStr">
        <is>
          <t>CA</t>
        </is>
      </c>
      <c r="G3" s="39" t="inlineStr">
        <is>
          <t>B08LW37SB9</t>
        </is>
      </c>
      <c r="H3" s="39" t="n">
        <v>80</v>
      </c>
      <c r="I3" s="39" t="inlineStr">
        <is>
          <t>California King, Full, King, Queen, Twin</t>
        </is>
      </c>
      <c r="J3" s="39" t="n">
        <v>16</v>
      </c>
      <c r="K3" s="40" t="n">
        <v>99.98999999999999</v>
      </c>
      <c r="L3" s="39" t="inlineStr">
        <is>
          <t>catalog price (CAD), 2026-10-14</t>
        </is>
      </c>
      <c r="M3" s="39" t="n">
        <v>479</v>
      </c>
      <c r="N3" s="39" t="n">
        <v>15</v>
      </c>
      <c r="O3" s="41" t="n">
        <v>3.078191309030253</v>
      </c>
      <c r="P3" s="42" t="n">
        <v>0.1150265547667106</v>
      </c>
      <c r="Q3" s="39" t="inlineStr">
        <is>
          <t>Hero: rank and profit</t>
        </is>
      </c>
      <c r="R3" s="43" t="inlineStr">
        <is>
          <t>Core</t>
        </is>
      </c>
    </row>
    <row r="4" ht="62" customHeight="1">
      <c r="A4" s="12">
        <f>_xlfn.IMAGE("https://m.media-amazon.com/images/I/81fJLSDJpFL._AC_SL1500_.jpg")</f>
        <v/>
      </c>
      <c r="B4" s="38" t="inlineStr">
        <is>
          <t>US DC B6</t>
        </is>
      </c>
      <c r="C4" s="39" t="inlineStr">
        <is>
          <t>Bamboo</t>
        </is>
      </c>
      <c r="D4" s="39" t="inlineStr">
        <is>
          <t>Decolure</t>
        </is>
      </c>
      <c r="E4" s="39" t="inlineStr">
        <is>
          <t>DECOLURE 100% Viscose from Bamboo Sheets King Size | 6 Pc Cooling Bed Set</t>
        </is>
      </c>
      <c r="F4" s="39" t="inlineStr">
        <is>
          <t>US</t>
        </is>
      </c>
      <c r="G4" s="39" t="inlineStr">
        <is>
          <t>B0H6335KNV</t>
        </is>
      </c>
      <c r="H4" s="39" t="n">
        <v>86</v>
      </c>
      <c r="I4" s="39" t="inlineStr">
        <is>
          <t>California King, Cal King, Full, King, Queen, Twin</t>
        </is>
      </c>
      <c r="J4" s="39" t="n">
        <v>17</v>
      </c>
      <c r="K4" s="40" t="n">
        <v>99.98999999999999</v>
      </c>
      <c r="L4" s="39" t="inlineStr">
        <is>
          <t>catalog price, 2026-10-13</t>
        </is>
      </c>
      <c r="M4" s="39" t="n">
        <v>1905</v>
      </c>
      <c r="N4" s="39" t="n">
        <v>61</v>
      </c>
      <c r="O4" s="41" t="n">
        <v>2.488302390613161</v>
      </c>
      <c r="P4" s="42" t="n">
        <v>0.06403236527090554</v>
      </c>
      <c r="Q4" s="39" t="inlineStr">
        <is>
          <t>Hero: rank and profit</t>
        </is>
      </c>
      <c r="R4" s="43" t="inlineStr">
        <is>
          <t>Core</t>
        </is>
      </c>
    </row>
    <row r="5" ht="62" customHeight="1">
      <c r="A5" s="12">
        <f>_xlfn.IMAGE("https://m.media-amazon.com/images/I/81JHZOIZl1L._AC_SL1500_.jpg")</f>
        <v/>
      </c>
      <c r="B5" s="38" t="inlineStr">
        <is>
          <t>CA DC B6</t>
        </is>
      </c>
      <c r="C5" s="39" t="inlineStr">
        <is>
          <t>Bamboo</t>
        </is>
      </c>
      <c r="D5" s="39" t="inlineStr">
        <is>
          <t>Decolure</t>
        </is>
      </c>
      <c r="E5" s="39" t="inlineStr">
        <is>
          <t>DECOLURE 100% Organic Viscose Derived from Bamboo Sheets King Size 6pcs - Ultra Soft &amp; Luxuriously Cooling, 17" Deep Pocket, Double Stitching, Perfect for Hot Sleepers - King Bed Sheets (Taupe)</t>
        </is>
      </c>
      <c r="F5" s="39" t="inlineStr">
        <is>
          <t>CA</t>
        </is>
      </c>
      <c r="G5" s="39" t="inlineStr">
        <is>
          <t>B0D71YJYNL</t>
        </is>
      </c>
      <c r="H5" s="39" t="n">
        <v>80</v>
      </c>
      <c r="I5" s="39" t="inlineStr">
        <is>
          <t>California King, Full, King, Queen, Twin</t>
        </is>
      </c>
      <c r="J5" s="39" t="n">
        <v>16</v>
      </c>
      <c r="K5" s="40" t="n">
        <v>99.98999999999999</v>
      </c>
      <c r="L5" s="39" t="inlineStr">
        <is>
          <t>catalog price (CAD), 2026-10-14</t>
        </is>
      </c>
      <c r="M5" s="39" t="n">
        <v>714</v>
      </c>
      <c r="N5" s="39" t="n">
        <v>8</v>
      </c>
      <c r="O5" s="41" t="n">
        <v>3.068801601841503</v>
      </c>
      <c r="P5" s="42" t="n">
        <v>0.06088840788657071</v>
      </c>
      <c r="Q5" s="39" t="inlineStr">
        <is>
          <t>Hero: rank and profit</t>
        </is>
      </c>
      <c r="R5" s="43" t="inlineStr">
        <is>
          <t>Core</t>
        </is>
      </c>
    </row>
    <row r="6" ht="62" customHeight="1">
      <c r="A6" s="12">
        <f>_xlfn.IMAGE("https://m.media-amazon.com/images/I/81rHI1QN6jL._AC_SL1500_.jpg")</f>
        <v/>
      </c>
      <c r="B6" s="38" t="inlineStr">
        <is>
          <t>US SL B6</t>
        </is>
      </c>
      <c r="C6" s="39" t="inlineStr">
        <is>
          <t>Bamboo</t>
        </is>
      </c>
      <c r="D6" s="39" t="inlineStr">
        <is>
          <t>Sleephoria</t>
        </is>
      </c>
      <c r="E6" s="39" t="inlineStr">
        <is>
          <t>SLEEP SANCTUARY 100% Viscose Derived from Bamboo Sheets King Size, 6 Pc Set | Cooling BamBliss Comfort for Hot Sleepers | Cloud Soft | Deep 17" Pocket w Corner Straps | Luxury Bed Set | Taupe</t>
        </is>
      </c>
      <c r="F6" s="39" t="inlineStr">
        <is>
          <t>US</t>
        </is>
      </c>
      <c r="G6" s="39" t="inlineStr">
        <is>
          <t>B0HBWXDWJ5</t>
        </is>
      </c>
      <c r="H6" s="39" t="n">
        <v>78</v>
      </c>
      <c r="I6" s="39" t="inlineStr">
        <is>
          <t>California King, Full, King, Queen, Twin</t>
        </is>
      </c>
      <c r="J6" s="39" t="n">
        <v>16</v>
      </c>
      <c r="K6" s="40" t="n">
        <v>69.98999999999999</v>
      </c>
      <c r="L6" s="39" t="inlineStr">
        <is>
          <t>catalog price, 2026-10-13</t>
        </is>
      </c>
      <c r="M6" s="39" t="n">
        <v>91</v>
      </c>
      <c r="N6" s="39" t="n">
        <v>30</v>
      </c>
      <c r="O6" s="41" t="n">
        <v>1.201290037023195</v>
      </c>
      <c r="P6" s="42" t="n">
        <v>0.1870162054834399</v>
      </c>
      <c r="Q6" s="39" t="inlineStr">
        <is>
          <t>Core</t>
        </is>
      </c>
      <c r="R6" s="43" t="inlineStr">
        <is>
          <t>Core</t>
        </is>
      </c>
    </row>
    <row r="7" ht="62" customHeight="1">
      <c r="A7" s="12">
        <f>_xlfn.IMAGE("https://m.media-amazon.com/images/I/81ukKa0CsPL._AC_SL1500_.jpg")</f>
        <v/>
      </c>
      <c r="B7" s="38" t="inlineStr">
        <is>
          <t>US SL B4</t>
        </is>
      </c>
      <c r="C7" s="39" t="inlineStr">
        <is>
          <t>Bamboo</t>
        </is>
      </c>
      <c r="D7" s="39" t="inlineStr">
        <is>
          <t>Sleephoria</t>
        </is>
      </c>
      <c r="E7" s="39" t="inlineStr">
        <is>
          <t>SLEEP SANCTUARY 100% Viscose Derived from Bamboo Sheets Twin Size, 4 Pc Set</t>
        </is>
      </c>
      <c r="F7" s="39" t="inlineStr">
        <is>
          <t>US</t>
        </is>
      </c>
      <c r="G7" s="39" t="inlineStr">
        <is>
          <t>B0F54RNQPT</t>
        </is>
      </c>
      <c r="H7" s="39" t="n">
        <v>84</v>
      </c>
      <c r="I7" s="39" t="inlineStr">
        <is>
          <t>California King, Full, King, Queen, Twin</t>
        </is>
      </c>
      <c r="J7" s="39" t="n">
        <v>16</v>
      </c>
      <c r="K7" s="40" t="n">
        <v>61.99</v>
      </c>
      <c r="L7" s="39" t="inlineStr">
        <is>
          <t>catalog price, 2026-10-13</t>
        </is>
      </c>
      <c r="M7" s="39" t="n">
        <v>2</v>
      </c>
      <c r="N7" s="39" t="n">
        <v>28</v>
      </c>
      <c r="O7" s="41" t="n"/>
      <c r="P7" s="42" t="n"/>
      <c r="Q7" s="39" t="inlineStr">
        <is>
          <t>Not launched yet</t>
        </is>
      </c>
      <c r="R7" s="44" t="inlineStr">
        <is>
          <t>Not launched</t>
        </is>
      </c>
    </row>
    <row r="8" ht="62" customHeight="1">
      <c r="A8" s="12">
        <f>_xlfn.IMAGE("https://m.media-amazon.com/images/I/81pO8+MuzxL._AC_SL1500_.jpg")</f>
        <v/>
      </c>
      <c r="B8" s="38" t="inlineStr">
        <is>
          <t>US DC Bamboo Fitted</t>
        </is>
      </c>
      <c r="C8" s="39" t="inlineStr">
        <is>
          <t>Bamboo</t>
        </is>
      </c>
      <c r="D8" s="39" t="inlineStr">
        <is>
          <t>Decolure</t>
        </is>
      </c>
      <c r="E8" s="39" t="inlineStr">
        <is>
          <t>DECOLURE 100% Viscose Derived from Bamboo Fitted Sheet | King Size Fitted Sheet Only | Ultra Soft Cooling Sheets for Hot Sleepers, 17" Deep Pocket w/Corner Straps, Breathable, Oeko-Tex (Burgundy)</t>
        </is>
      </c>
      <c r="F8" s="39" t="inlineStr">
        <is>
          <t>US</t>
        </is>
      </c>
      <c r="G8" s="39" t="inlineStr">
        <is>
          <t>B0H8596KK1</t>
        </is>
      </c>
      <c r="H8" s="39" t="n">
        <v>22</v>
      </c>
      <c r="I8" s="39" t="inlineStr">
        <is>
          <t>King, Queen</t>
        </is>
      </c>
      <c r="J8" s="39" t="n">
        <v>11</v>
      </c>
      <c r="K8" s="40" t="n">
        <v>39.95</v>
      </c>
      <c r="L8" s="39" t="inlineStr">
        <is>
          <t>catalog price, 2026-10-13</t>
        </is>
      </c>
      <c r="M8" s="39" t="n">
        <v>102</v>
      </c>
      <c r="N8" s="39" t="n">
        <v>15</v>
      </c>
      <c r="O8" s="41" t="n"/>
      <c r="P8" s="42" t="n"/>
      <c r="Q8" s="39" t="inlineStr">
        <is>
          <t>Excluded (ranking variations OOS to Dec 3)</t>
        </is>
      </c>
      <c r="R8" s="43" t="inlineStr">
        <is>
          <t>Core</t>
        </is>
      </c>
    </row>
    <row r="9" ht="62" customHeight="1">
      <c r="A9" s="45" t="inlineStr">
        <is>
          <t>COMING SOON</t>
        </is>
      </c>
      <c r="B9" s="38" t="inlineStr">
        <is>
          <t>US SL Bamboo Pillowcase</t>
        </is>
      </c>
      <c r="C9" s="39" t="inlineStr">
        <is>
          <t>Bamboo</t>
        </is>
      </c>
      <c r="D9" s="39" t="inlineStr">
        <is>
          <t>Sleephoria</t>
        </is>
      </c>
      <c r="E9" s="39" t="inlineStr">
        <is>
          <t>SLEEPHORIA 100% Viscose Dervied from Bamboo Pillowcase King Size 2-Pieces (Black)</t>
        </is>
      </c>
      <c r="F9" s="39" t="inlineStr">
        <is>
          <t>US</t>
        </is>
      </c>
      <c r="G9" s="39" t="inlineStr">
        <is>
          <t>B0FX2RDXXR</t>
        </is>
      </c>
      <c r="H9" s="39" t="n">
        <v>54</v>
      </c>
      <c r="I9" s="39" t="inlineStr">
        <is>
          <t>King, Queen, Standard</t>
        </is>
      </c>
      <c r="J9" s="39" t="n">
        <v>18</v>
      </c>
      <c r="K9" s="40" t="n"/>
      <c r="L9" s="39" t="inlineStr">
        <is>
          <t>No current price for this child</t>
        </is>
      </c>
      <c r="M9" s="39" t="n">
        <v>0</v>
      </c>
      <c r="N9" s="39" t="n">
        <v>6</v>
      </c>
      <c r="O9" s="41" t="n"/>
      <c r="P9" s="42" t="n"/>
      <c r="Q9" s="39" t="inlineStr">
        <is>
          <t>Other</t>
        </is>
      </c>
      <c r="R9" s="44" t="inlineStr">
        <is>
          <t>Not launched</t>
        </is>
      </c>
    </row>
    <row r="10" ht="62" customHeight="1">
      <c r="A10" s="12">
        <f>_xlfn.IMAGE("https://m.media-amazon.com/images/I/81s3ROxMWEL._AC_SL1500_.jpg")</f>
        <v/>
      </c>
      <c r="B10" s="38" t="inlineStr">
        <is>
          <t>US DC S4</t>
        </is>
      </c>
      <c r="C10" s="39" t="inlineStr">
        <is>
          <t>Satin</t>
        </is>
      </c>
      <c r="D10" s="39" t="inlineStr">
        <is>
          <t>Decolure</t>
        </is>
      </c>
      <c r="E10" s="39" t="inlineStr">
        <is>
          <t>DECOLURE Satin Sheets Queen Size | Softer Than Silk | Luxury 4 Pc Bed Set</t>
        </is>
      </c>
      <c r="F10" s="39" t="inlineStr">
        <is>
          <t>US</t>
        </is>
      </c>
      <c r="G10" s="39" t="inlineStr">
        <is>
          <t>B0H631FLT8</t>
        </is>
      </c>
      <c r="H10" s="39" t="n">
        <v>118</v>
      </c>
      <c r="I10" s="39" t="inlineStr">
        <is>
          <t>Full, King, Queen, Twin</t>
        </is>
      </c>
      <c r="J10" s="39" t="n">
        <v>29</v>
      </c>
      <c r="K10" s="40" t="n">
        <v>29.95</v>
      </c>
      <c r="L10" s="39" t="inlineStr">
        <is>
          <t>catalog price, 2026-10-13</t>
        </is>
      </c>
      <c r="M10" s="39" t="n">
        <v>2620</v>
      </c>
      <c r="N10" s="39" t="n">
        <v>26</v>
      </c>
      <c r="O10" s="41" t="n">
        <v>2.637148735359062</v>
      </c>
      <c r="P10" s="42" t="n">
        <v>0.04860525396789848</v>
      </c>
      <c r="Q10" s="39" t="inlineStr">
        <is>
          <t>Clearance with margin</t>
        </is>
      </c>
      <c r="R10" s="43" t="inlineStr">
        <is>
          <t>Core</t>
        </is>
      </c>
    </row>
    <row r="11" ht="62" customHeight="1">
      <c r="A11" s="12">
        <f>_xlfn.IMAGE("https://m.media-amazon.com/images/I/81s3ROxMWEL._AC_SL1500_.jpg")</f>
        <v/>
      </c>
      <c r="B11" s="38" t="inlineStr">
        <is>
          <t>CA DC S4</t>
        </is>
      </c>
      <c r="C11" s="39" t="inlineStr">
        <is>
          <t>Satin</t>
        </is>
      </c>
      <c r="D11" s="39" t="inlineStr">
        <is>
          <t>Decolure</t>
        </is>
      </c>
      <c r="E11" s="39" t="inlineStr">
        <is>
          <t>DECOLURE Satin Bed Sheets - 4 Piece Luxury Silky Queen Size Bedding Set - Softer Than Silk, Wrinkle-Free with 15” Deep Pocket Fitted Sheet, Perfect for Hair &amp; Skin, Gifts for Women (Black)</t>
        </is>
      </c>
      <c r="F11" s="39" t="inlineStr">
        <is>
          <t>CA</t>
        </is>
      </c>
      <c r="G11" s="39" t="inlineStr">
        <is>
          <t>B0CT3HF44M</t>
        </is>
      </c>
      <c r="H11" s="39" t="n">
        <v>127</v>
      </c>
      <c r="I11" s="39" t="inlineStr">
        <is>
          <t>Full, King, Queen, Twin</t>
        </is>
      </c>
      <c r="J11" s="39" t="n">
        <v>36</v>
      </c>
      <c r="K11" s="40" t="n">
        <v>47.99</v>
      </c>
      <c r="L11" s="39" t="inlineStr">
        <is>
          <t>catalog price (CAD), 2026-10-14</t>
        </is>
      </c>
      <c r="M11" s="39" t="n">
        <v>455</v>
      </c>
      <c r="N11" s="39" t="n">
        <v>15</v>
      </c>
      <c r="O11" s="41" t="n">
        <v>3.269015911297535</v>
      </c>
      <c r="P11" s="42" t="n">
        <v>0.1005642820456278</v>
      </c>
      <c r="Q11" s="39" t="inlineStr">
        <is>
          <t>Clearance with margin</t>
        </is>
      </c>
      <c r="R11" s="43" t="inlineStr">
        <is>
          <t>Core</t>
        </is>
      </c>
    </row>
    <row r="12" ht="62" customHeight="1">
      <c r="A12" s="12">
        <f>_xlfn.IMAGE("https://m.media-amazon.com/images/I/81C4Dr0ylML._AC_SL1500_.jpg")</f>
        <v/>
      </c>
      <c r="B12" s="38" t="inlineStr">
        <is>
          <t>US DC S6</t>
        </is>
      </c>
      <c r="C12" s="39" t="inlineStr">
        <is>
          <t>Satin</t>
        </is>
      </c>
      <c r="D12" s="39" t="inlineStr">
        <is>
          <t>Decolure</t>
        </is>
      </c>
      <c r="E12" s="39" t="inlineStr">
        <is>
          <t>DECOLURE Satin Sheets King Size | Softer Than Silk | Luxury 6 Pc Bed Set</t>
        </is>
      </c>
      <c r="F12" s="39" t="inlineStr">
        <is>
          <t>US</t>
        </is>
      </c>
      <c r="G12" s="39" t="inlineStr">
        <is>
          <t>B0HDTF4MN2</t>
        </is>
      </c>
      <c r="H12" s="39" t="n">
        <v>118</v>
      </c>
      <c r="I12" s="39" t="inlineStr">
        <is>
          <t>Full, King, Queen, Twin</t>
        </is>
      </c>
      <c r="J12" s="39" t="n">
        <v>29</v>
      </c>
      <c r="K12" s="40" t="n">
        <v>33.95</v>
      </c>
      <c r="L12" s="39" t="inlineStr">
        <is>
          <t>catalog price, 2026-10-13</t>
        </is>
      </c>
      <c r="M12" s="39" t="n">
        <v>486</v>
      </c>
      <c r="N12" s="39" t="n">
        <v>26</v>
      </c>
      <c r="O12" s="41" t="n">
        <v>3.076042012896364</v>
      </c>
      <c r="P12" s="42" t="n">
        <v>0.1484492240692087</v>
      </c>
      <c r="Q12" s="39" t="inlineStr">
        <is>
          <t>Clearance with margin</t>
        </is>
      </c>
      <c r="R12" s="43" t="inlineStr">
        <is>
          <t>Core</t>
        </is>
      </c>
    </row>
    <row r="13" ht="62" customHeight="1">
      <c r="A13" s="12">
        <f>_xlfn.IMAGE("https://m.media-amazon.com/images/I/81C4Dr0ylML._AC_SL1500_.jpg")</f>
        <v/>
      </c>
      <c r="B13" s="38" t="inlineStr">
        <is>
          <t>CA DC S6</t>
        </is>
      </c>
      <c r="C13" s="39" t="inlineStr">
        <is>
          <t>Satin</t>
        </is>
      </c>
      <c r="D13" s="39" t="inlineStr">
        <is>
          <t>Decolure</t>
        </is>
      </c>
      <c r="E13" s="39" t="inlineStr">
        <is>
          <t>DECOLURE Satin Bed Sheets - 6 Piece Luxury Silky Queen Size Bedding Set - Softer Than Silk, Wrinkle-Free with 15” Deep Pocket Fitted Sheet, Perfect for Hair &amp; Skin, Gifts for Women (Black)</t>
        </is>
      </c>
      <c r="F13" s="39" t="inlineStr">
        <is>
          <t>CA</t>
        </is>
      </c>
      <c r="G13" s="39" t="inlineStr">
        <is>
          <t>B0CJSDXDJW</t>
        </is>
      </c>
      <c r="H13" s="39" t="n">
        <v>111</v>
      </c>
      <c r="I13" s="39" t="inlineStr">
        <is>
          <t>Full, King, Queen, Twin</t>
        </is>
      </c>
      <c r="J13" s="39" t="n">
        <v>31</v>
      </c>
      <c r="K13" s="40" t="n">
        <v>47.99</v>
      </c>
      <c r="L13" s="39" t="inlineStr">
        <is>
          <t>catalog price (CAD), 2026-10-14</t>
        </is>
      </c>
      <c r="M13" s="39" t="n">
        <v>326</v>
      </c>
      <c r="N13" s="39" t="n">
        <v>15</v>
      </c>
      <c r="O13" s="41" t="n">
        <v>2.976101755543345</v>
      </c>
      <c r="P13" s="42" t="n">
        <v>0.1350115077192009</v>
      </c>
      <c r="Q13" s="39" t="inlineStr">
        <is>
          <t>Clearance with margin</t>
        </is>
      </c>
      <c r="R13" s="43" t="inlineStr">
        <is>
          <t>Core</t>
        </is>
      </c>
    </row>
    <row r="14" ht="62" customHeight="1">
      <c r="A14" s="12">
        <f>_xlfn.IMAGE("https://m.media-amazon.com/images/I/81GoZ+gTjbL._AC_SL1500_.jpg")</f>
        <v/>
      </c>
      <c r="B14" s="38" t="inlineStr">
        <is>
          <t>US SSS4</t>
        </is>
      </c>
      <c r="C14" s="39" t="inlineStr">
        <is>
          <t>Satin</t>
        </is>
      </c>
      <c r="D14" s="39" t="inlineStr">
        <is>
          <t>Sleephoria</t>
        </is>
      </c>
      <c r="E14" s="39" t="inlineStr">
        <is>
          <t>SLEEP SANCTUARY Satin Sheets Queen Size – 4 Piece Luxury Silky Bed Set, Softer Than Silk, 15" Deep Pocket, Cooling &amp; Wrinkle-Free, Moisture-Wicking &amp; Breathable for Hair &amp; Skin (Navy Blue)</t>
        </is>
      </c>
      <c r="F14" s="39" t="inlineStr">
        <is>
          <t>US</t>
        </is>
      </c>
      <c r="G14" s="39" t="inlineStr">
        <is>
          <t>B0HFWXSCFP</t>
        </is>
      </c>
      <c r="H14" s="39" t="n">
        <v>116</v>
      </c>
      <c r="I14" s="39" t="inlineStr">
        <is>
          <t>Full, King, Queen, Twin</t>
        </is>
      </c>
      <c r="J14" s="39" t="n">
        <v>29</v>
      </c>
      <c r="K14" s="40" t="n">
        <v>33.95</v>
      </c>
      <c r="L14" s="39" t="inlineStr">
        <is>
          <t>catalog price, 2026-10-13</t>
        </is>
      </c>
      <c r="M14" s="39" t="n">
        <v>700</v>
      </c>
      <c r="N14" s="39" t="n">
        <v>29</v>
      </c>
      <c r="O14" s="41" t="n">
        <v>2.589722433600953</v>
      </c>
      <c r="P14" s="42" t="n">
        <v>0.1576554888332635</v>
      </c>
      <c r="Q14" s="39" t="inlineStr">
        <is>
          <t>Clearance with margin</t>
        </is>
      </c>
      <c r="R14" s="43" t="inlineStr">
        <is>
          <t>Core</t>
        </is>
      </c>
    </row>
    <row r="15" ht="62" customHeight="1">
      <c r="A15" s="12">
        <f>_xlfn.IMAGE("https://m.media-amazon.com/images/I/816QTAjFcGL._AC_SL1500_.jpg")</f>
        <v/>
      </c>
      <c r="B15" s="38" t="inlineStr">
        <is>
          <t>CA SSS4</t>
        </is>
      </c>
      <c r="C15" s="39" t="inlineStr">
        <is>
          <t>Satin</t>
        </is>
      </c>
      <c r="D15" s="39" t="inlineStr">
        <is>
          <t>Sleephoria</t>
        </is>
      </c>
      <c r="E15" s="39" t="inlineStr">
        <is>
          <t>Sleep Sanctuary Satin Sheets King Size – 4 Piece Luxury Silky Bed Set, Softer Than Silk, 15" Deep Pocket, Cooling &amp; Wrinkle-Free, Moisture-Wicking &amp; Breathable for Hair &amp; Skin (Stone Grey)</t>
        </is>
      </c>
      <c r="F15" s="39" t="inlineStr">
        <is>
          <t>CA</t>
        </is>
      </c>
      <c r="G15" s="39" t="inlineStr">
        <is>
          <t>B0F2Z7C4ST</t>
        </is>
      </c>
      <c r="H15" s="39" t="n">
        <v>116</v>
      </c>
      <c r="I15" s="39" t="inlineStr">
        <is>
          <t>Full, King, Queen, Twin</t>
        </is>
      </c>
      <c r="J15" s="39" t="n">
        <v>29</v>
      </c>
      <c r="K15" s="40" t="n">
        <v>49.95</v>
      </c>
      <c r="L15" s="39" t="inlineStr">
        <is>
          <t>catalog price (CAD), 2026-10-14</t>
        </is>
      </c>
      <c r="M15" s="39" t="n">
        <v>31</v>
      </c>
      <c r="N15" s="39" t="n">
        <v>15</v>
      </c>
      <c r="O15" s="41" t="n">
        <v>1.515000903668896</v>
      </c>
      <c r="P15" s="42" t="n">
        <v>0</v>
      </c>
      <c r="Q15" s="39" t="inlineStr">
        <is>
          <t>Clearance with margin</t>
        </is>
      </c>
      <c r="R15" s="43" t="inlineStr">
        <is>
          <t>Core</t>
        </is>
      </c>
    </row>
    <row r="16" ht="62" customHeight="1">
      <c r="A16" s="45" t="inlineStr">
        <is>
          <t>COMING SOON</t>
        </is>
      </c>
      <c r="B16" s="38" t="inlineStr">
        <is>
          <t>US SL Satin 6pc</t>
        </is>
      </c>
      <c r="C16" s="39" t="inlineStr">
        <is>
          <t>Satin</t>
        </is>
      </c>
      <c r="D16" s="39" t="inlineStr">
        <is>
          <t>Sleephoria</t>
        </is>
      </c>
      <c r="E16" s="39" t="inlineStr">
        <is>
          <t>SLEEPHORIA Satin Bed Sheets - 6 Piece Luxury Silky Full Size Bedding Set - Softer Than Silk, Wrinkle-Free with 15” Deep Pocket Fitted Sheet, Perfect for Hair &amp; Skin, Gifts for Women (Baby Blue)</t>
        </is>
      </c>
      <c r="F16" s="39" t="inlineStr">
        <is>
          <t>US</t>
        </is>
      </c>
      <c r="G16" s="39" t="inlineStr">
        <is>
          <t>B0H41WN38B</t>
        </is>
      </c>
      <c r="H16" s="39" t="n">
        <v>116</v>
      </c>
      <c r="I16" s="39" t="inlineStr">
        <is>
          <t>Full, King, Queen, Twin</t>
        </is>
      </c>
      <c r="J16" s="39" t="n">
        <v>29</v>
      </c>
      <c r="K16" s="40" t="n"/>
      <c r="L16" s="39" t="inlineStr">
        <is>
          <t>No current price for this child</t>
        </is>
      </c>
      <c r="M16" s="39" t="n">
        <v>0</v>
      </c>
      <c r="N16" s="39" t="n">
        <v>27</v>
      </c>
      <c r="O16" s="41" t="n"/>
      <c r="P16" s="42" t="n"/>
      <c r="Q16" s="39" t="inlineStr">
        <is>
          <t>Clearance with margin</t>
        </is>
      </c>
      <c r="R16" s="44" t="inlineStr">
        <is>
          <t>Not launched</t>
        </is>
      </c>
    </row>
    <row r="17" ht="62" customHeight="1">
      <c r="A17" s="12">
        <f>_xlfn.IMAGE("https://m.media-amazon.com/images/I/71APUp+JE3L._AC_SL1500_.jpg")</f>
        <v/>
      </c>
      <c r="B17" s="38" t="inlineStr">
        <is>
          <t>US DC Satin Fitted</t>
        </is>
      </c>
      <c r="C17" s="39" t="inlineStr">
        <is>
          <t>Satin</t>
        </is>
      </c>
      <c r="D17" s="39" t="inlineStr">
        <is>
          <t>Decolure</t>
        </is>
      </c>
      <c r="E17" s="39" t="inlineStr">
        <is>
          <t>DECOLURE Satin Fitted Sheet Queen Size | Softer Than Silk | Luxury 1 Pc Set</t>
        </is>
      </c>
      <c r="F17" s="39" t="inlineStr">
        <is>
          <t>US</t>
        </is>
      </c>
      <c r="G17" s="39" t="inlineStr">
        <is>
          <t>B0DZ17NCJ4</t>
        </is>
      </c>
      <c r="H17" s="39" t="n">
        <v>68</v>
      </c>
      <c r="I17" s="39" t="inlineStr">
        <is>
          <t>Full, King, Queen, Twin</t>
        </is>
      </c>
      <c r="J17" s="39" t="n">
        <v>17</v>
      </c>
      <c r="K17" s="40" t="n">
        <v>21.95</v>
      </c>
      <c r="L17" s="39" t="inlineStr">
        <is>
          <t>catalog price, 2026-10-13</t>
        </is>
      </c>
      <c r="M17" s="39" t="n">
        <v>759</v>
      </c>
      <c r="N17" s="39" t="n">
        <v>14</v>
      </c>
      <c r="O17" s="41" t="n">
        <v>2.469333719911087</v>
      </c>
      <c r="P17" s="42" t="n">
        <v>0.07783778166607172</v>
      </c>
      <c r="Q17" s="39" t="inlineStr">
        <is>
          <t>Opportunistic</t>
        </is>
      </c>
      <c r="R17" s="43" t="inlineStr">
        <is>
          <t>Core</t>
        </is>
      </c>
    </row>
    <row r="18" ht="62" customHeight="1">
      <c r="A18" s="12">
        <f>_xlfn.IMAGE("https://m.media-amazon.com/images/I/71APUp+JE3L._AC_SL1500_.jpg")</f>
        <v/>
      </c>
      <c r="B18" s="38" t="inlineStr">
        <is>
          <t>CA DC Satin Fitted</t>
        </is>
      </c>
      <c r="C18" s="39" t="inlineStr">
        <is>
          <t>Satin</t>
        </is>
      </c>
      <c r="D18" s="39" t="inlineStr">
        <is>
          <t>Decolure</t>
        </is>
      </c>
      <c r="E18" s="39" t="inlineStr">
        <is>
          <t>DECOLURE Satin Fitted Sheet Queen Size (1 PC) – Luxuriously Smooth &amp; Softer Than Silk Bed Sheets w/ 15 Inch Deep Pocket Hypoallergenic Wrinkle Free, Secure Snug Fit, Elastic Corner Straps (Black)</t>
        </is>
      </c>
      <c r="F18" s="39" t="inlineStr">
        <is>
          <t>CA</t>
        </is>
      </c>
      <c r="G18" s="39" t="inlineStr">
        <is>
          <t>B0FQC9C5QT</t>
        </is>
      </c>
      <c r="H18" s="39" t="n">
        <v>68</v>
      </c>
      <c r="I18" s="39" t="inlineStr">
        <is>
          <t>Full, King, Queen, Twin</t>
        </is>
      </c>
      <c r="J18" s="39" t="n">
        <v>17</v>
      </c>
      <c r="K18" s="40" t="n">
        <v>22.95</v>
      </c>
      <c r="L18" s="39" t="inlineStr">
        <is>
          <t>catalog price (CAD), 2026-10-14</t>
        </is>
      </c>
      <c r="M18" s="39" t="n">
        <v>204</v>
      </c>
      <c r="N18" s="39" t="n">
        <v>15</v>
      </c>
      <c r="O18" s="41" t="n">
        <v>0.7378515542397971</v>
      </c>
      <c r="P18" s="42" t="n">
        <v>0.01296334064141131</v>
      </c>
      <c r="Q18" s="39" t="inlineStr">
        <is>
          <t>Opportunistic</t>
        </is>
      </c>
      <c r="R18" s="43" t="inlineStr">
        <is>
          <t>Core</t>
        </is>
      </c>
    </row>
    <row r="19" ht="62" customHeight="1">
      <c r="A19" s="12">
        <f>_xlfn.IMAGE("https://images-na.ssl-images-amazon.com/images/I/81Rbj21EicL.jpg")</f>
        <v/>
      </c>
      <c r="B19" s="38" t="inlineStr">
        <is>
          <t>US DC Silk Pillowcase</t>
        </is>
      </c>
      <c r="C19" s="39" t="inlineStr">
        <is>
          <t>Silk</t>
        </is>
      </c>
      <c r="D19" s="39" t="inlineStr">
        <is>
          <t>Decolure</t>
        </is>
      </c>
      <c r="E19" s="39" t="inlineStr">
        <is>
          <t>DECOLURE 100% Pure Mulberry Silk Pillow Case Standard Size – Highest Grade 30 Momme 6A+, Luxuriously Soft &amp; Cooling Silk Pillowcase for Hair &amp; Skin, Hypoallergenic, Breathable, Hidden Zipper (White)</t>
        </is>
      </c>
      <c r="F19" s="39" t="inlineStr">
        <is>
          <t>US</t>
        </is>
      </c>
      <c r="G19" s="39" t="inlineStr">
        <is>
          <t>B0DQQQWYPT</t>
        </is>
      </c>
      <c r="H19" s="39" t="n">
        <v>18</v>
      </c>
      <c r="I19" s="39" t="inlineStr">
        <is>
          <t>King, Queen, Standard</t>
        </is>
      </c>
      <c r="J19" s="39" t="n">
        <v>6</v>
      </c>
      <c r="K19" s="40" t="n">
        <v>44.95</v>
      </c>
      <c r="L19" s="39" t="inlineStr">
        <is>
          <t>catalog price, 2026-10-13</t>
        </is>
      </c>
      <c r="M19" s="39" t="n">
        <v>125</v>
      </c>
      <c r="N19" s="39" t="n">
        <v>29</v>
      </c>
      <c r="O19" s="41" t="n">
        <v>1.352847893136792</v>
      </c>
      <c r="P19" s="42" t="n">
        <v>0.3357161191963349</v>
      </c>
      <c r="Q19" s="39" t="inlineStr">
        <is>
          <t>Gifting</t>
        </is>
      </c>
      <c r="R19" s="46" t="inlineStr">
        <is>
          <t>Other</t>
        </is>
      </c>
    </row>
    <row r="20" ht="62" customHeight="1">
      <c r="A20" s="12">
        <f>_xlfn.IMAGE("https://images-na.ssl-images-amazon.com/images/I/71JEybynRcL.jpg")</f>
        <v/>
      </c>
      <c r="B20" s="38" t="inlineStr">
        <is>
          <t>US SL Mask Contoured</t>
        </is>
      </c>
      <c r="C20" s="39" t="inlineStr">
        <is>
          <t>Silk</t>
        </is>
      </c>
      <c r="D20" s="39" t="inlineStr">
        <is>
          <t>Sleephoria</t>
        </is>
      </c>
      <c r="E20" s="39" t="inlineStr">
        <is>
          <t>SLEEP SANCTUARY 100% Pure Mulberry Silk Sleep Mask - 22 Momme Light Blocking 3D Contour Silk Eye Mask for Sleeping - Secure Fit for Side Sleepers, Women &amp; Men - Cloud Soft (Peacock Blue)</t>
        </is>
      </c>
      <c r="F20" s="39" t="inlineStr">
        <is>
          <t>US</t>
        </is>
      </c>
      <c r="G20" s="39" t="inlineStr">
        <is>
          <t>B0GDML4FK7</t>
        </is>
      </c>
      <c r="H20" s="39" t="n">
        <v>4</v>
      </c>
      <c r="I20" s="39" t="inlineStr">
        <is>
          <t>One Size</t>
        </is>
      </c>
      <c r="J20" s="39" t="n">
        <v>4</v>
      </c>
      <c r="K20" s="40" t="n"/>
      <c r="L20" s="39" t="inlineStr">
        <is>
          <t>No current price for this child</t>
        </is>
      </c>
      <c r="M20" s="39" t="n">
        <v>4</v>
      </c>
      <c r="N20" s="39" t="n">
        <v>27</v>
      </c>
      <c r="O20" s="41" t="n">
        <v>3.666666666666667</v>
      </c>
      <c r="P20" s="42" t="n"/>
      <c r="Q20" s="39" t="inlineStr">
        <is>
          <t>Gifting</t>
        </is>
      </c>
      <c r="R20" s="46" t="inlineStr">
        <is>
          <t>Other</t>
        </is>
      </c>
    </row>
    <row r="21" ht="62" customHeight="1">
      <c r="A21" s="12">
        <f>_xlfn.IMAGE("https://images-na.ssl-images-amazon.com/images/I/61Z2DkWXasL.jpg")</f>
        <v/>
      </c>
      <c r="B21" s="38" t="inlineStr">
        <is>
          <t>US SL Mask Velcro</t>
        </is>
      </c>
      <c r="C21" s="39" t="inlineStr">
        <is>
          <t>Silk</t>
        </is>
      </c>
      <c r="D21" s="39" t="inlineStr">
        <is>
          <t>Sleephoria</t>
        </is>
      </c>
      <c r="E21" s="39" t="inlineStr">
        <is>
          <t>SLEEP SANCTUARY 100% Pure Mulberry Silk Sleep Mask - 22 Momme Light Blocking Hook &amp; Loop Silk Eye Mask for Sleeping - Secure Fit for Side Sleepers, Women &amp; Men - Cloud Soft (Black)</t>
        </is>
      </c>
      <c r="F21" s="39" t="inlineStr">
        <is>
          <t>US</t>
        </is>
      </c>
      <c r="G21" s="39" t="inlineStr">
        <is>
          <t>B0GDMSK15Z</t>
        </is>
      </c>
      <c r="H21" s="39" t="n">
        <v>4</v>
      </c>
      <c r="I21" s="39" t="inlineStr">
        <is>
          <t>One Size</t>
        </is>
      </c>
      <c r="J21" s="39" t="n">
        <v>4</v>
      </c>
      <c r="K21" s="40" t="n">
        <v>17.99</v>
      </c>
      <c r="L21" s="39" t="inlineStr">
        <is>
          <t>catalog price, 2026-10-13</t>
        </is>
      </c>
      <c r="M21" s="39" t="n">
        <v>13</v>
      </c>
      <c r="N21" s="39" t="n">
        <v>15</v>
      </c>
      <c r="O21" s="41" t="n">
        <v>1</v>
      </c>
      <c r="P21" s="42" t="n"/>
      <c r="Q21" s="39" t="inlineStr">
        <is>
          <t>Gifting</t>
        </is>
      </c>
      <c r="R21" s="46" t="inlineStr">
        <is>
          <t>Other</t>
        </is>
      </c>
    </row>
    <row r="22" ht="62" customHeight="1">
      <c r="A22" s="12">
        <f>_xlfn.IMAGE("https://m.media-amazon.com/images/I/81+QctNV9NL._AC_SL1500_.jpg")</f>
        <v/>
      </c>
      <c r="B22" s="38" t="inlineStr">
        <is>
          <t>US DC Cooling 4pc</t>
        </is>
      </c>
      <c r="C22" s="39" t="inlineStr">
        <is>
          <t>Cooling</t>
        </is>
      </c>
      <c r="D22" s="39" t="inlineStr">
        <is>
          <t>Decolure</t>
        </is>
      </c>
      <c r="E22" s="39" t="inlineStr">
        <is>
          <t>DECOLURE Cooling Sheets Queen Set 4pcs - Luxurious &amp; Ultra-Soft Cooling Bed Sheets Queen Size for Hot Sleepers - Comfortable Bamboo Viscose Microfiber Queen Bed Sheets Set Cooling (Navy)</t>
        </is>
      </c>
      <c r="F22" s="39" t="inlineStr">
        <is>
          <t>US</t>
        </is>
      </c>
      <c r="G22" s="39" t="inlineStr">
        <is>
          <t>B0HLLHYGLQ</t>
        </is>
      </c>
      <c r="H22" s="39" t="n">
        <v>61</v>
      </c>
      <c r="I22" s="39" t="inlineStr">
        <is>
          <t>California King, Cal King, Full, King, Queen, Twin</t>
        </is>
      </c>
      <c r="J22" s="39" t="n">
        <v>16</v>
      </c>
      <c r="K22" s="40" t="n">
        <v>37.95</v>
      </c>
      <c r="L22" s="39" t="inlineStr">
        <is>
          <t>catalog price, 2026-10-13</t>
        </is>
      </c>
      <c r="M22" s="39" t="n">
        <v>89</v>
      </c>
      <c r="N22" s="39" t="n">
        <v>28</v>
      </c>
      <c r="O22" s="41" t="n">
        <v>1.628391436777328</v>
      </c>
      <c r="P22" s="42" t="n">
        <v>0.06846895500103245</v>
      </c>
      <c r="Q22" s="39" t="inlineStr">
        <is>
          <t>Off-season (aged variations only)</t>
        </is>
      </c>
      <c r="R22" s="43" t="inlineStr">
        <is>
          <t>Core</t>
        </is>
      </c>
    </row>
    <row r="23" ht="62" customHeight="1">
      <c r="A23" s="12">
        <f>_xlfn.IMAGE("https://m.media-amazon.com/images/I/71IsX4lcKOL._AC_SL1500_.jpg")</f>
        <v/>
      </c>
      <c r="B23" s="38" t="inlineStr">
        <is>
          <t>US SL Cooling 4pc</t>
        </is>
      </c>
      <c r="C23" s="39" t="inlineStr">
        <is>
          <t>Cooling</t>
        </is>
      </c>
      <c r="D23" s="39" t="inlineStr">
        <is>
          <t>Sleephoria</t>
        </is>
      </c>
      <c r="E23" s="39" t="inlineStr">
        <is>
          <t>SLEEPHORIA Cooling Sheets - BreezeWeave 4 PC King Size Cooling Bed Sheets for Hot Sleepers &amp; Deep, Cool Rest - Cloud Soft, Silky Smooth, 16 in Deep Pocket, Ultra Durable (Light Grey)</t>
        </is>
      </c>
      <c r="F23" s="39" t="inlineStr">
        <is>
          <t>US</t>
        </is>
      </c>
      <c r="G23" s="39" t="inlineStr">
        <is>
          <t>B0H8PNVWP1</t>
        </is>
      </c>
      <c r="H23" s="39" t="n">
        <v>61</v>
      </c>
      <c r="I23" s="39" t="inlineStr">
        <is>
          <t>Cal King, Full, King, Queen, Twin</t>
        </is>
      </c>
      <c r="J23" s="39" t="n">
        <v>13</v>
      </c>
      <c r="K23" s="40" t="n">
        <v>84.98999999999999</v>
      </c>
      <c r="L23" s="39" t="inlineStr">
        <is>
          <t>catalog price, 2026-10-13</t>
        </is>
      </c>
      <c r="M23" s="39" t="n">
        <v>332</v>
      </c>
      <c r="N23" s="39" t="n">
        <v>36</v>
      </c>
      <c r="O23" s="41" t="n">
        <v>1.158552710930541</v>
      </c>
      <c r="P23" s="42" t="n">
        <v>0.01606180979144857</v>
      </c>
      <c r="Q23" s="39" t="inlineStr">
        <is>
          <t>Off-season (aged variations only)</t>
        </is>
      </c>
      <c r="R23" s="43" t="inlineStr">
        <is>
          <t>Core</t>
        </is>
      </c>
    </row>
    <row r="24" ht="62" customHeight="1">
      <c r="A24" s="45" t="inlineStr">
        <is>
          <t>COMING SOON</t>
        </is>
      </c>
      <c r="B24" s="38" t="inlineStr">
        <is>
          <t>US SL Cooling 6pc</t>
        </is>
      </c>
      <c r="C24" s="39" t="inlineStr">
        <is>
          <t>Cooling</t>
        </is>
      </c>
      <c r="D24" s="39" t="inlineStr">
        <is>
          <t>Sleephoria</t>
        </is>
      </c>
      <c r="E24" s="39" t="inlineStr">
        <is>
          <t>SLEEPHORIA Cooling Sheets - BreezeWeave 6 PC California King Size Cooling Bed Sheets for Hot Sleepers &amp; Deep, Cool Rest - Cloud Soft, Silky Smooth, 16 in Deep Pocket, Ultra Durable (Beige)</t>
        </is>
      </c>
      <c r="F24" s="39" t="inlineStr">
        <is>
          <t>US</t>
        </is>
      </c>
      <c r="G24" s="39" t="inlineStr">
        <is>
          <t>B0H7JVGTZW</t>
        </is>
      </c>
      <c r="H24" s="39" t="n">
        <v>60</v>
      </c>
      <c r="I24" s="39" t="inlineStr">
        <is>
          <t>California King, Full, King, Queen, Twin</t>
        </is>
      </c>
      <c r="J24" s="39" t="n">
        <v>12</v>
      </c>
      <c r="K24" s="40" t="n"/>
      <c r="L24" s="39" t="inlineStr">
        <is>
          <t>No current price for this child</t>
        </is>
      </c>
      <c r="M24" s="39" t="n">
        <v>0</v>
      </c>
      <c r="N24" s="39" t="n">
        <v>7</v>
      </c>
      <c r="O24" s="41" t="n"/>
      <c r="P24" s="42" t="n"/>
      <c r="Q24" s="39" t="inlineStr">
        <is>
          <t>Off-season (aged variations only)</t>
        </is>
      </c>
      <c r="R24" s="44" t="inlineStr">
        <is>
          <t>Not launched</t>
        </is>
      </c>
    </row>
    <row r="25" ht="62" customHeight="1">
      <c r="A25" s="12">
        <f>_xlfn.IMAGE("https://m.media-amazon.com/images/I/81GLNCr7elL.jpg")</f>
        <v/>
      </c>
      <c r="B25" s="38" t="inlineStr">
        <is>
          <t>US CL Cooling Sheets</t>
        </is>
      </c>
      <c r="C25" s="39" t="inlineStr">
        <is>
          <t>Cooling</t>
        </is>
      </c>
      <c r="D25" s="39" t="inlineStr">
        <is>
          <t>CooLinens</t>
        </is>
      </c>
      <c r="E25" s="39" t="inlineStr">
        <is>
          <t>COOLINENS Cooling Sheets Queen Size | 4 Piece Set for Hot Sleepers</t>
        </is>
      </c>
      <c r="F25" s="39" t="inlineStr">
        <is>
          <t>US</t>
        </is>
      </c>
      <c r="G25" s="39" t="inlineStr">
        <is>
          <t>B0H6K5RPX6</t>
        </is>
      </c>
      <c r="H25" s="39" t="n">
        <v>60</v>
      </c>
      <c r="I25" s="39" t="inlineStr">
        <is>
          <t>California King, Full, King, Queen, Twin</t>
        </is>
      </c>
      <c r="J25" s="39" t="n">
        <v>12</v>
      </c>
      <c r="K25" s="40" t="n">
        <v>87.98999999999999</v>
      </c>
      <c r="L25" s="39" t="inlineStr">
        <is>
          <t>Queen launch price, live Oct 15, 2026</t>
        </is>
      </c>
      <c r="M25" s="39" t="n">
        <v>42</v>
      </c>
      <c r="N25" s="39" t="n">
        <v>38</v>
      </c>
      <c r="O25" s="41" t="n"/>
      <c r="P25" s="42" t="n"/>
      <c r="Q25" s="39" t="inlineStr">
        <is>
          <t>Launch</t>
        </is>
      </c>
      <c r="R25" s="46" t="inlineStr">
        <is>
          <t>Other</t>
        </is>
      </c>
    </row>
    <row r="26" ht="62" customHeight="1">
      <c r="A26" s="12">
        <f>_xlfn.IMAGE("https://m.media-amazon.com/images/I/71xw+HPSbYL._AC_SL1500_.jpg")</f>
        <v/>
      </c>
      <c r="B26" s="38" t="inlineStr">
        <is>
          <t>US CL Pillowcases</t>
        </is>
      </c>
      <c r="C26" s="39" t="inlineStr">
        <is>
          <t>Cooling</t>
        </is>
      </c>
      <c r="D26" s="39" t="inlineStr">
        <is>
          <t>CooLinens</t>
        </is>
      </c>
      <c r="E26" s="39" t="inlineStr">
        <is>
          <t>COOLINENS Cooling Pillow Cases Queen Size | Set of 2 for Hot Sleepers</t>
        </is>
      </c>
      <c r="F26" s="39" t="inlineStr">
        <is>
          <t>US</t>
        </is>
      </c>
      <c r="G26" s="39" t="inlineStr">
        <is>
          <t>B0HLSNQNCK</t>
        </is>
      </c>
      <c r="H26" s="39" t="n">
        <v>12</v>
      </c>
      <c r="I26" s="39" t="inlineStr">
        <is>
          <t>King, Queen, Standard</t>
        </is>
      </c>
      <c r="J26" s="39" t="n">
        <v>4</v>
      </c>
      <c r="K26" s="40" t="n">
        <v>19.99</v>
      </c>
      <c r="L26" s="39" t="inlineStr">
        <is>
          <t>catalog price, 2026-10-13</t>
        </is>
      </c>
      <c r="M26" s="39" t="n">
        <v>310</v>
      </c>
      <c r="N26" s="39" t="n">
        <v>15</v>
      </c>
      <c r="O26" s="41" t="n"/>
      <c r="P26" s="42" t="n"/>
      <c r="Q26" s="39" t="inlineStr">
        <is>
          <t>Launch</t>
        </is>
      </c>
      <c r="R26" s="46" t="inlineStr">
        <is>
          <t>Other</t>
        </is>
      </c>
    </row>
    <row r="27" ht="62" customHeight="1">
      <c r="A27" s="12">
        <f>_xlfn.IMAGE("https://images-na.ssl-images-amazon.com/images/I/71Y1j274VYL.jpg")</f>
        <v/>
      </c>
      <c r="B27" s="38" t="inlineStr">
        <is>
          <t>US SL Cooling Pillowcase</t>
        </is>
      </c>
      <c r="C27" s="39" t="inlineStr">
        <is>
          <t>Cooling</t>
        </is>
      </c>
      <c r="D27" s="39" t="inlineStr">
        <is>
          <t>Sleephoria</t>
        </is>
      </c>
      <c r="E27" s="39" t="inlineStr">
        <is>
          <t>SLEEPHORIA Cooling Pillow Cases - BreezeWeave Queen Size Set of 2 Pillowcases for Hot Sleepers &amp; Cool, Deep Rest - Cloud Soft, Silky Smooth, Ultra Durable, Easy Care, Hidden Zipper (Blue)</t>
        </is>
      </c>
      <c r="F27" s="39" t="inlineStr">
        <is>
          <t>US</t>
        </is>
      </c>
      <c r="G27" s="39" t="inlineStr">
        <is>
          <t>B0FTSVDG77</t>
        </is>
      </c>
      <c r="H27" s="39" t="n">
        <v>12</v>
      </c>
      <c r="I27" s="39" t="inlineStr">
        <is>
          <t>King, Queen, Standard</t>
        </is>
      </c>
      <c r="J27" s="39" t="n">
        <v>4</v>
      </c>
      <c r="K27" s="40" t="n"/>
      <c r="L27" s="39" t="inlineStr">
        <is>
          <t>No current price for this child</t>
        </is>
      </c>
      <c r="M27" s="39" t="n">
        <v>54</v>
      </c>
      <c r="N27" s="39" t="n">
        <v>21</v>
      </c>
      <c r="O27" s="41" t="n">
        <v>0.7673585255948454</v>
      </c>
      <c r="P27" s="42" t="n"/>
      <c r="Q27" s="39" t="inlineStr">
        <is>
          <t>Off-season</t>
        </is>
      </c>
      <c r="R27" s="43" t="inlineStr">
        <is>
          <t>Core</t>
        </is>
      </c>
    </row>
    <row r="28" ht="62" customHeight="1">
      <c r="A28" s="12">
        <f>_xlfn.IMAGE("https://images-na.ssl-images-amazon.com/images/I/81srgWQ0iXL.jpg")</f>
        <v/>
      </c>
      <c r="B28" s="38" t="inlineStr">
        <is>
          <t>US SL Cooling Comforter</t>
        </is>
      </c>
      <c r="C28" s="39" t="inlineStr">
        <is>
          <t>Cooling</t>
        </is>
      </c>
      <c r="D28" s="39" t="inlineStr">
        <is>
          <t>Sleephoria</t>
        </is>
      </c>
      <c r="E28" s="39" t="inlineStr">
        <is>
          <t>SLEEPHORIA Cooling Comforter - BreezeWeave Cooling Blanket King Size for Hot Sleepers &amp; Deep Rest - Cloud Soft, Breathable, Ultra Durable, Easy Care, Reversible - 108 x 90 in (Light Grey &amp; Dark Grey)</t>
        </is>
      </c>
      <c r="F28" s="39" t="inlineStr">
        <is>
          <t>US</t>
        </is>
      </c>
      <c r="G28" s="39" t="inlineStr">
        <is>
          <t>B0FTG1NNKG</t>
        </is>
      </c>
      <c r="H28" s="39" t="n">
        <v>20</v>
      </c>
      <c r="I28" s="39" t="inlineStr">
        <is>
          <t>Full, King, Queen, Twin</t>
        </is>
      </c>
      <c r="J28" s="39" t="n">
        <v>5</v>
      </c>
      <c r="K28" s="40" t="n"/>
      <c r="L28" s="39" t="inlineStr">
        <is>
          <t>No current price for this child</t>
        </is>
      </c>
      <c r="M28" s="39" t="n">
        <v>78</v>
      </c>
      <c r="N28" s="39" t="n">
        <v>18</v>
      </c>
      <c r="O28" s="41" t="n">
        <v>3.393762896244322</v>
      </c>
      <c r="P28" s="42" t="n">
        <v>0.122837052752191</v>
      </c>
      <c r="Q28" s="39" t="inlineStr">
        <is>
          <t>Off-season (lost $2.4K at BFCM 2025)</t>
        </is>
      </c>
      <c r="R28" s="43" t="inlineStr">
        <is>
          <t>Core</t>
        </is>
      </c>
    </row>
    <row r="29" ht="62" customHeight="1">
      <c r="A29" s="12">
        <f>_xlfn.IMAGE("https://m.media-amazon.com/images/I/81G7yE5OfqL._AC_SL1500_.jpg")</f>
        <v/>
      </c>
      <c r="B29" s="38" t="inlineStr">
        <is>
          <t>US SL Cooling Fitted</t>
        </is>
      </c>
      <c r="C29" s="39" t="inlineStr">
        <is>
          <t>Cooling</t>
        </is>
      </c>
      <c r="D29" s="39" t="inlineStr">
        <is>
          <t>Sleephoria</t>
        </is>
      </c>
      <c r="E29" s="39" t="inlineStr">
        <is>
          <t>SLEEPHORIA Cooling Fitted Sheet King Size - 1 PC BreezeWeave Cooling Sheets for Hot Sleepers &amp; Cool Rest w/ 16 in Deep Pocket - Corner Straps, Cloud Soft, Ultra Durable - 73 x 77 in (White)</t>
        </is>
      </c>
      <c r="F29" s="39" t="inlineStr">
        <is>
          <t>US</t>
        </is>
      </c>
      <c r="G29" s="39" t="inlineStr">
        <is>
          <t>B0GR6GBJYC</t>
        </is>
      </c>
      <c r="H29" s="39" t="n">
        <v>65</v>
      </c>
      <c r="I29" s="39" t="inlineStr">
        <is>
          <t>Cal King, Full, King, Queen, Twin</t>
        </is>
      </c>
      <c r="J29" s="39" t="n">
        <v>13</v>
      </c>
      <c r="K29" s="40" t="n">
        <v>39.99</v>
      </c>
      <c r="L29" s="39" t="inlineStr">
        <is>
          <t>catalog price, 2026-10-13</t>
        </is>
      </c>
      <c r="M29" s="39" t="n">
        <v>513</v>
      </c>
      <c r="N29" s="39" t="n">
        <v>11</v>
      </c>
      <c r="O29" s="41" t="n">
        <v>0.9827610124981451</v>
      </c>
      <c r="P29" s="42" t="n">
        <v>0</v>
      </c>
      <c r="Q29" s="39" t="inlineStr">
        <is>
          <t>Off-season</t>
        </is>
      </c>
      <c r="R29" s="43" t="inlineStr">
        <is>
          <t>Core</t>
        </is>
      </c>
    </row>
    <row r="30" ht="62" customHeight="1">
      <c r="A30" s="12">
        <f>_xlfn.IMAGE("https://images-na.ssl-images-amazon.com/images/I/81RVSwrWFUL.jpg")</f>
        <v/>
      </c>
      <c r="B30" s="38" t="inlineStr">
        <is>
          <t>US SL Quilt Set</t>
        </is>
      </c>
      <c r="C30" s="39" t="inlineStr">
        <is>
          <t>Other</t>
        </is>
      </c>
      <c r="D30" s="39" t="inlineStr">
        <is>
          <t>Sleephoria</t>
        </is>
      </c>
      <c r="E30" s="39" t="inlineStr">
        <is>
          <t>SLEEPHORIA Queen Quilt Bedding Set | Lightweight Summer Bedspread 3 Pc</t>
        </is>
      </c>
      <c r="F30" s="39" t="inlineStr">
        <is>
          <t>US</t>
        </is>
      </c>
      <c r="G30" s="39" t="inlineStr">
        <is>
          <t>B0GZW9QWJM</t>
        </is>
      </c>
      <c r="H30" s="39" t="n">
        <v>21</v>
      </c>
      <c r="I30" s="39" t="inlineStr">
        <is>
          <t>King, Queen, Twin</t>
        </is>
      </c>
      <c r="J30" s="39" t="n">
        <v>7</v>
      </c>
      <c r="K30" s="40" t="n">
        <v>41.99</v>
      </c>
      <c r="L30" s="39" t="inlineStr">
        <is>
          <t>catalog price, 2026-10-13</t>
        </is>
      </c>
      <c r="M30" s="39" t="n">
        <v>32</v>
      </c>
      <c r="N30" s="39" t="n">
        <v>19</v>
      </c>
      <c r="O30" s="41" t="n"/>
      <c r="P30" s="42" t="n"/>
      <c r="Q30" s="39" t="inlineStr">
        <is>
          <t>Liquidation</t>
        </is>
      </c>
      <c r="R30" s="46" t="inlineStr">
        <is>
          <t>Other</t>
        </is>
      </c>
    </row>
    <row r="31" ht="62" customHeight="1">
      <c r="A31" s="12">
        <f>_xlfn.IMAGE("https://images-na.ssl-images-amazon.com/images/I/81sMgyPyWQL.jpg")</f>
        <v/>
      </c>
      <c r="B31" s="38" t="inlineStr">
        <is>
          <t>US DC Linen Curtains</t>
        </is>
      </c>
      <c r="C31" s="39" t="inlineStr">
        <is>
          <t>Other</t>
        </is>
      </c>
      <c r="D31" s="39" t="inlineStr">
        <is>
          <t>Decolure</t>
        </is>
      </c>
      <c r="E31" s="39" t="inlineStr">
        <is>
          <t>DECOLURE 100% Blackout Linen Curtains 108 Inches Long | Ivory</t>
        </is>
      </c>
      <c r="F31" s="39" t="inlineStr">
        <is>
          <t>US</t>
        </is>
      </c>
      <c r="G31" s="39" t="inlineStr">
        <is>
          <t>B0H2Z62MJZ</t>
        </is>
      </c>
      <c r="H31" s="39" t="n">
        <v>42</v>
      </c>
      <c r="I31" s="39" t="inlineStr">
        <is>
          <t>52x108, 52x120, 52x63, 52x72, 52x84, 52x90, 52x96</t>
        </is>
      </c>
      <c r="J31" s="39" t="n">
        <v>6</v>
      </c>
      <c r="K31" s="40" t="n">
        <v>34.99</v>
      </c>
      <c r="L31" s="39" t="inlineStr">
        <is>
          <t>catalog price, 2026-10-13</t>
        </is>
      </c>
      <c r="M31" s="39" t="n">
        <v>12</v>
      </c>
      <c r="N31" s="39" t="n">
        <v>21</v>
      </c>
      <c r="O31" s="41" t="n"/>
      <c r="P31" s="42" t="n"/>
      <c r="Q31" s="39" t="inlineStr">
        <is>
          <t>Liquidation</t>
        </is>
      </c>
      <c r="R31" s="46" t="inlineStr">
        <is>
          <t>Other</t>
        </is>
      </c>
    </row>
    <row r="32" ht="62" customHeight="1">
      <c r="A32" s="12">
        <f>_xlfn.IMAGE("https://images-na.ssl-images-amazon.com/images/I/81ZamyVE0yL.jpg")</f>
        <v/>
      </c>
      <c r="B32" s="38" t="inlineStr">
        <is>
          <t>US DC Beach Towel</t>
        </is>
      </c>
      <c r="C32" s="39" t="inlineStr">
        <is>
          <t>Other</t>
        </is>
      </c>
      <c r="D32" s="39" t="inlineStr">
        <is>
          <t>Decolure</t>
        </is>
      </c>
      <c r="E32" s="39" t="inlineStr">
        <is>
          <t>DECOLURE Turkish Beach Towel Oversized 39x73 Inch - 100% Turkish Cotton, Quick Dry and Sand Free Beach Towels for Travel - Lightweight, Absorbent &amp; Soft Peshtemal Towel - (Gray Wave)</t>
        </is>
      </c>
      <c r="F32" s="39" t="inlineStr">
        <is>
          <t>US</t>
        </is>
      </c>
      <c r="G32" s="39" t="inlineStr">
        <is>
          <t>B0GZVXL6DZ</t>
        </is>
      </c>
      <c r="H32" s="39" t="n">
        <v>14</v>
      </c>
      <c r="I32" s="39" t="inlineStr">
        <is>
          <t>39" x 73"</t>
        </is>
      </c>
      <c r="J32" s="39" t="n">
        <v>7</v>
      </c>
      <c r="K32" s="40" t="n"/>
      <c r="L32" s="39" t="inlineStr">
        <is>
          <t>No current price for this child</t>
        </is>
      </c>
      <c r="M32" s="39" t="n">
        <v>2</v>
      </c>
      <c r="N32" s="39" t="n">
        <v>13</v>
      </c>
      <c r="O32" s="41" t="n"/>
      <c r="P32" s="42" t="n"/>
      <c r="Q32" s="39" t="inlineStr">
        <is>
          <t>Other</t>
        </is>
      </c>
      <c r="R32" s="46" t="inlineStr">
        <is>
          <t>Other</t>
        </is>
      </c>
    </row>
    <row r="33" ht="62" customHeight="1">
      <c r="A33" s="12">
        <f>_xlfn.IMAGE("https://images-na.ssl-images-amazon.com/images/I/71PaUaKaW9L.jpg")</f>
        <v/>
      </c>
      <c r="B33" s="38" t="inlineStr">
        <is>
          <t>US DC Welcome Sign</t>
        </is>
      </c>
      <c r="C33" s="39" t="inlineStr">
        <is>
          <t>Other</t>
        </is>
      </c>
      <c r="D33" s="39" t="inlineStr">
        <is>
          <t>Decolure</t>
        </is>
      </c>
      <c r="E33" s="39" t="inlineStr">
        <is>
          <t>DECOLURE Welcome Sign for Front Porch - Tall Solid Wood Porch Door Sign with 10 Magnetic Seasonal &amp; Holiday Pieces, Rustic Farmhouse Outdoor Decor for Year Round Welcoming Entryway (Porch Brown)</t>
        </is>
      </c>
      <c r="F33" s="39" t="inlineStr">
        <is>
          <t>US</t>
        </is>
      </c>
      <c r="G33" s="39" t="inlineStr">
        <is>
          <t>B0H1N61MK6</t>
        </is>
      </c>
      <c r="H33" s="39" t="n">
        <v>7</v>
      </c>
      <c r="I33" s="39" t="inlineStr">
        <is>
          <t>One Size</t>
        </is>
      </c>
      <c r="J33" s="39" t="n">
        <v>7</v>
      </c>
      <c r="K33" s="40" t="n"/>
      <c r="L33" s="39" t="inlineStr">
        <is>
          <t>No current price for this child</t>
        </is>
      </c>
      <c r="M33" s="39" t="n">
        <v>2</v>
      </c>
      <c r="N33" s="39" t="n">
        <v>17</v>
      </c>
      <c r="O33" s="41" t="n"/>
      <c r="P33" s="42" t="n"/>
      <c r="Q33" s="39" t="inlineStr">
        <is>
          <t>Other</t>
        </is>
      </c>
      <c r="R33" s="46" t="inlineStr">
        <is>
          <t>Other</t>
        </is>
      </c>
    </row>
    <row r="34" ht="62" customHeight="1">
      <c r="A34" s="12">
        <f>_xlfn.IMAGE("https://images-na.ssl-images-amazon.com/images/I/814u78HU6WL.jpg")</f>
        <v/>
      </c>
      <c r="B34" s="38" t="inlineStr">
        <is>
          <t>US DC Chair Cover</t>
        </is>
      </c>
      <c r="C34" s="39" t="inlineStr">
        <is>
          <t>Other</t>
        </is>
      </c>
      <c r="D34" s="39" t="inlineStr">
        <is>
          <t>Decolure</t>
        </is>
      </c>
      <c r="E34" s="39" t="inlineStr">
        <is>
          <t>Waterproof Dining Chair Covers Set of 6 - 3 Layers Thick Fabric Parsons Chair Slip Covers - Jacquard Kitchen Chair Covers &amp; Stretch Protectors Dining Room, Restaurant - Removable Washable (Chocolate)</t>
        </is>
      </c>
      <c r="F34" s="39" t="inlineStr">
        <is>
          <t>US</t>
        </is>
      </c>
      <c r="G34" s="39" t="inlineStr">
        <is>
          <t>B0FB6DM5X9</t>
        </is>
      </c>
      <c r="H34" s="39" t="n">
        <v>12</v>
      </c>
      <c r="I34" s="39" t="inlineStr">
        <is>
          <t>Pack of 4, Pack of 6</t>
        </is>
      </c>
      <c r="J34" s="39" t="n">
        <v>6</v>
      </c>
      <c r="K34" s="40" t="n">
        <v>39.99</v>
      </c>
      <c r="L34" s="39" t="inlineStr">
        <is>
          <t>catalog price, 2026-10-13</t>
        </is>
      </c>
      <c r="M34" s="39" t="n">
        <v>30</v>
      </c>
      <c r="N34" s="39" t="n">
        <v>23</v>
      </c>
      <c r="O34" s="41" t="n">
        <v>0.6578754953716566</v>
      </c>
      <c r="P34" s="42" t="n"/>
      <c r="Q34" s="39" t="inlineStr">
        <is>
          <t>Other</t>
        </is>
      </c>
      <c r="R34" s="46" t="inlineStr">
        <is>
          <t>Other</t>
        </is>
      </c>
    </row>
  </sheetData>
  <hyperlinks>
    <hyperlink ref="B2" location="'US DC B4'!A1" display="US DC B4"/>
    <hyperlink ref="B3" location="'CA DC B4'!A1" display="CA DC B4"/>
    <hyperlink ref="B4" location="'US DC B6'!A1" display="US DC B6"/>
    <hyperlink ref="B5" location="'CA DC B6'!A1" display="CA DC B6"/>
    <hyperlink ref="B6" location="'US SL B6'!A1" display="US SL B6"/>
    <hyperlink ref="B7" location="'US SL B4'!A1" display="US SL B4"/>
    <hyperlink ref="B8" location="'US DC Bamboo Fitted'!A1" display="US DC Bamboo Fitted"/>
    <hyperlink ref="B9" location="'US SL Bamboo Pillowcase'!A1" display="US SL Bamboo Pillowcase"/>
    <hyperlink ref="B10" location="'US DC S4'!A1" display="US DC S4"/>
    <hyperlink ref="B11" location="'CA DC S4'!A1" display="CA DC S4"/>
    <hyperlink ref="B12" location="'US DC S6'!A1" display="US DC S6"/>
    <hyperlink ref="B13" location="'CA DC S6'!A1" display="CA DC S6"/>
    <hyperlink ref="B14" location="'US SSS4'!A1" display="US SSS4"/>
    <hyperlink ref="B15" location="'CA SSS4'!A1" display="CA SSS4"/>
    <hyperlink ref="B16" location="'US SL Satin 6pc'!A1" display="US SL Satin 6pc"/>
    <hyperlink ref="B17" location="'US DC Satin Fitted'!A1" display="US DC Satin Fitted"/>
    <hyperlink ref="B18" location="'CA DC Satin Fitted'!A1" display="CA DC Satin Fitted"/>
    <hyperlink ref="B19" location="'US DC Silk Pillowcase'!A1" display="US DC Silk Pillowcase"/>
    <hyperlink ref="B20" location="'US SL Mask Contoured'!A1" display="US SL Mask Contoured"/>
    <hyperlink ref="B21" location="'US SL Mask Velcro'!A1" display="US SL Mask Velcro"/>
    <hyperlink ref="B22" location="'US DC Cooling 4pc'!A1" display="US DC Cooling 4pc"/>
    <hyperlink ref="B23" location="'US SL Cooling 4pc'!A1" display="US SL Cooling 4pc"/>
    <hyperlink ref="B24" location="'US SL Cooling 6pc'!A1" display="US SL Cooling 6pc"/>
    <hyperlink ref="B25" location="'US CL Cooling Sheets'!A1" display="US CL Cooling Sheets"/>
    <hyperlink ref="B26" location="'US CL Pillowcases'!A1" display="US CL Pillowcases"/>
    <hyperlink ref="B27" location="'US SL Cooling Pillowcase'!A1" display="US SL Cooling Pillowcase"/>
    <hyperlink ref="B28" location="'US SL Cooling Comforter'!A1" display="US SL Cooling Comforter"/>
    <hyperlink ref="B29" location="'US SL Cooling Fitted'!A1" display="US SL Cooling Fitted"/>
    <hyperlink ref="B30" location="'US SL Quilt Set'!A1" display="US SL Quilt Set"/>
    <hyperlink ref="B31" location="'US DC Linen Curtains'!A1" display="US DC Linen Curtains"/>
    <hyperlink ref="B32" location="'US DC Beach Towel'!A1" display="US DC Beach Towel"/>
    <hyperlink ref="B33" location="'US DC Welcome Sign'!A1" display="US DC Welcome Sign"/>
    <hyperlink ref="B34" location="'US DC Chair Cover'!A1" display="US DC Chair Cover"/>
  </hyperlink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1420"/>
  <sheetViews>
    <sheetView showGridLines="0" workbookViewId="0">
      <pane xSplit="3" ySplit="37" topLeftCell="D38"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12" customWidth="1" min="3" max="3"/>
    <col width="22" customWidth="1" min="4" max="4"/>
    <col width="9" customWidth="1" min="5" max="5"/>
    <col width="11" customWidth="1" min="6" max="6"/>
    <col width="9" customWidth="1" min="7" max="7"/>
    <col width="9" customWidth="1" min="8" max="8"/>
    <col width="30" customWidth="1" min="9" max="9"/>
    <col width="8" customWidth="1" min="10" max="10"/>
    <col width="16" customWidth="1" min="11" max="11"/>
    <col width="7" customWidth="1" min="12" max="12"/>
    <col width="22" customWidth="1" min="13" max="13"/>
    <col width="10" customWidth="1" min="14" max="14"/>
    <col width="9" customWidth="1" min="15" max="15"/>
    <col width="11" customWidth="1" min="16" max="16"/>
    <col width="11" customWidth="1" min="17" max="17"/>
    <col width="18" customWidth="1" min="18" max="18"/>
    <col width="9" customWidth="1" min="19" max="19"/>
    <col width="10" customWidth="1" min="20" max="20"/>
  </cols>
  <sheetData>
    <row r="1">
      <c r="A1" s="47" t="inlineStr">
        <is>
          <t>BFCM 2026 stock outlook: will each variation last to Nov 30?</t>
        </is>
      </c>
    </row>
    <row r="2" ht="52" customHeight="1">
      <c r="A2" s="48" t="inlineStr">
        <is>
          <t>account data inventory pulled Oct 15, 2026 (Amazon.com 2,084 and Amazon.ca 831 ASINs). On hand = units at Amazon (FBA stock + moving between warehouses). Inbound = units already sent to Amazon (account data 'sent to FBA'); account data holds no ETA, so shipments are listed by Amazon status. Demand: Oct 16 - Nov 18 (34 days) at account data's current velocity, Nov 19 - 30 (12 days) at velocity x BFCM lift. Lift = the product's own BFCM 2025 lift where reliable; otherwise ASSUMED at the account's BFCM 2025 lift (US 2.74x, CA 3.14x). account data's velocity runs about 1.5x the 28-day units on the big products (its window includes Prime Big Deal Days and the late-September deals), so the outlook leans cautious; the 28-day pace is shown beside it as a cross-check. Blue cells are inputs; the rest are formulas.</t>
        </is>
      </c>
    </row>
    <row r="3"/>
    <row r="4" ht="36" customHeight="1">
      <c r="A4" s="26" t="inlineStr">
        <is>
          <t>Product tab</t>
        </is>
      </c>
      <c r="B4" s="26" t="inlineStr">
        <is>
          <t>Mkt</t>
        </is>
      </c>
      <c r="C4" s="26" t="inlineStr">
        <is>
          <t>Variations</t>
        </is>
      </c>
      <c r="D4" s="26" t="inlineStr">
        <is>
          <t>On hand</t>
        </is>
      </c>
      <c r="E4" s="26" t="inlineStr">
        <is>
          <t>Inbound</t>
        </is>
      </c>
      <c r="F4" s="26" t="inlineStr">
        <is>
          <t>Sales a day</t>
        </is>
      </c>
      <c r="G4" s="26" t="inlineStr">
        <is>
          <t>BFCM lift</t>
        </is>
      </c>
      <c r="H4" s="26" t="inlineStr">
        <is>
          <t>Units needed to Nov 30</t>
        </is>
      </c>
      <c r="I4" s="26" t="inlineStr">
        <is>
          <t>Short even with inbound</t>
        </is>
      </c>
      <c r="J4" s="26" t="inlineStr">
        <is>
          <t>Covered</t>
        </is>
      </c>
      <c r="K4" s="26" t="inlineStr">
        <is>
          <t>Need inbound in time</t>
        </is>
      </c>
      <c r="L4" s="26" t="inlineStr">
        <is>
          <t>Short with inbound</t>
        </is>
      </c>
      <c r="M4" s="26" t="inlineStr">
        <is>
          <t>Out of stock now</t>
        </is>
      </c>
      <c r="N4" s="26" t="inlineStr">
        <is>
          <t>Lift source</t>
        </is>
      </c>
      <c r="O4" s="26" t="inlineStr">
        <is>
          <t>Units needed at the 28-day pace (cross-check)</t>
        </is>
      </c>
    </row>
    <row r="5">
      <c r="A5" s="49" t="inlineStr">
        <is>
          <t>US DC B4</t>
        </is>
      </c>
      <c r="B5" s="49" t="inlineStr">
        <is>
          <t>US</t>
        </is>
      </c>
      <c r="C5" s="49">
        <f>COUNTIFS($A$38:$A$1420,A5,$B$38:$B$1420,B5)</f>
        <v/>
      </c>
      <c r="D5" s="50">
        <f>SUMIFS($G$38:$G$1420,$A$38:$A$1420,A5,$B$38:$B$1420,B5)</f>
        <v/>
      </c>
      <c r="E5" s="50">
        <f>SUMIFS($H$38:$H$1420,$A$38:$A$1420,A5,$B$38:$B$1420,B5)</f>
        <v/>
      </c>
      <c r="F5" s="51">
        <f>SUMIFS($J$38:$J$1420,$A$38:$A$1420,A5,$B$38:$B$1420,B5)</f>
        <v/>
      </c>
      <c r="G5" s="52" t="n">
        <v>4.254998421726247</v>
      </c>
      <c r="H5" s="50">
        <f>SUMIFS($N$38:$N$1420,$A$38:$A$1420,A5,$B$38:$B$1420,B5)</f>
        <v/>
      </c>
      <c r="I5" s="50">
        <f>SUMIFS($O$38:$O$1420,$A$38:$A$1420,A5,$B$38:$B$1420,B5)</f>
        <v/>
      </c>
      <c r="J5" s="49">
        <f>COUNTIFS($A$38:$A$1420,A5,$B$38:$B$1420,B5,$R$38:$R$1420,"Covered to Nov 30")</f>
        <v/>
      </c>
      <c r="K5" s="49">
        <f>COUNTIFS($A$38:$A$1420,A5,$B$38:$B$1420,B5,$R$38:$R$1420,"Needs inbound in time")</f>
        <v/>
      </c>
      <c r="L5" s="49">
        <f>COUNTIFS($A$38:$A$1420,A5,$B$38:$B$1420,B5,$R$38:$R$1420,"Short even with inbound")</f>
        <v/>
      </c>
      <c r="M5" s="49">
        <f>COUNTIFS($A$38:$A$1420,A5,$B$38:$B$1420,B5,$R$38:$R$1420,"Out of stock now")</f>
        <v/>
      </c>
      <c r="N5" s="49" t="inlineStr">
        <is>
          <t>own BFCM 2025 lift (account data)</t>
        </is>
      </c>
      <c r="O5" s="50">
        <f>SUMIFS($T$38:$T$1420,$A$38:$A$1420,A5,$B$38:$B$1420,B5)</f>
        <v/>
      </c>
    </row>
    <row r="6">
      <c r="A6" s="49" t="inlineStr">
        <is>
          <t>CA DC B4</t>
        </is>
      </c>
      <c r="B6" s="49" t="inlineStr">
        <is>
          <t>CA</t>
        </is>
      </c>
      <c r="C6" s="49">
        <f>COUNTIFS($A$38:$A$1420,A6,$B$38:$B$1420,B6)</f>
        <v/>
      </c>
      <c r="D6" s="50">
        <f>SUMIFS($G$38:$G$1420,$A$38:$A$1420,A6,$B$38:$B$1420,B6)</f>
        <v/>
      </c>
      <c r="E6" s="50">
        <f>SUMIFS($H$38:$H$1420,$A$38:$A$1420,A6,$B$38:$B$1420,B6)</f>
        <v/>
      </c>
      <c r="F6" s="51">
        <f>SUMIFS($J$38:$J$1420,$A$38:$A$1420,A6,$B$38:$B$1420,B6)</f>
        <v/>
      </c>
      <c r="G6" s="52" t="n">
        <v>3.078191309030253</v>
      </c>
      <c r="H6" s="50">
        <f>SUMIFS($N$38:$N$1420,$A$38:$A$1420,A6,$B$38:$B$1420,B6)</f>
        <v/>
      </c>
      <c r="I6" s="50">
        <f>SUMIFS($O$38:$O$1420,$A$38:$A$1420,A6,$B$38:$B$1420,B6)</f>
        <v/>
      </c>
      <c r="J6" s="49">
        <f>COUNTIFS($A$38:$A$1420,A6,$B$38:$B$1420,B6,$R$38:$R$1420,"Covered to Nov 30")</f>
        <v/>
      </c>
      <c r="K6" s="49">
        <f>COUNTIFS($A$38:$A$1420,A6,$B$38:$B$1420,B6,$R$38:$R$1420,"Needs inbound in time")</f>
        <v/>
      </c>
      <c r="L6" s="49">
        <f>COUNTIFS($A$38:$A$1420,A6,$B$38:$B$1420,B6,$R$38:$R$1420,"Short even with inbound")</f>
        <v/>
      </c>
      <c r="M6" s="49">
        <f>COUNTIFS($A$38:$A$1420,A6,$B$38:$B$1420,B6,$R$38:$R$1420,"Out of stock now")</f>
        <v/>
      </c>
      <c r="N6" s="49" t="inlineStr">
        <is>
          <t>own BFCM 2025 lift (account data)</t>
        </is>
      </c>
      <c r="O6" s="50">
        <f>SUMIFS($T$38:$T$1420,$A$38:$A$1420,A6,$B$38:$B$1420,B6)</f>
        <v/>
      </c>
    </row>
    <row r="7">
      <c r="A7" s="49" t="inlineStr">
        <is>
          <t>US DC B6</t>
        </is>
      </c>
      <c r="B7" s="49" t="inlineStr">
        <is>
          <t>US</t>
        </is>
      </c>
      <c r="C7" s="49">
        <f>COUNTIFS($A$38:$A$1420,A7,$B$38:$B$1420,B7)</f>
        <v/>
      </c>
      <c r="D7" s="50">
        <f>SUMIFS($G$38:$G$1420,$A$38:$A$1420,A7,$B$38:$B$1420,B7)</f>
        <v/>
      </c>
      <c r="E7" s="50">
        <f>SUMIFS($H$38:$H$1420,$A$38:$A$1420,A7,$B$38:$B$1420,B7)</f>
        <v/>
      </c>
      <c r="F7" s="51">
        <f>SUMIFS($J$38:$J$1420,$A$38:$A$1420,A7,$B$38:$B$1420,B7)</f>
        <v/>
      </c>
      <c r="G7" s="52" t="n">
        <v>2.488302390613161</v>
      </c>
      <c r="H7" s="50">
        <f>SUMIFS($N$38:$N$1420,$A$38:$A$1420,A7,$B$38:$B$1420,B7)</f>
        <v/>
      </c>
      <c r="I7" s="50">
        <f>SUMIFS($O$38:$O$1420,$A$38:$A$1420,A7,$B$38:$B$1420,B7)</f>
        <v/>
      </c>
      <c r="J7" s="49">
        <f>COUNTIFS($A$38:$A$1420,A7,$B$38:$B$1420,B7,$R$38:$R$1420,"Covered to Nov 30")</f>
        <v/>
      </c>
      <c r="K7" s="49">
        <f>COUNTIFS($A$38:$A$1420,A7,$B$38:$B$1420,B7,$R$38:$R$1420,"Needs inbound in time")</f>
        <v/>
      </c>
      <c r="L7" s="49">
        <f>COUNTIFS($A$38:$A$1420,A7,$B$38:$B$1420,B7,$R$38:$R$1420,"Short even with inbound")</f>
        <v/>
      </c>
      <c r="M7" s="49">
        <f>COUNTIFS($A$38:$A$1420,A7,$B$38:$B$1420,B7,$R$38:$R$1420,"Out of stock now")</f>
        <v/>
      </c>
      <c r="N7" s="49" t="inlineStr">
        <is>
          <t>own BFCM 2025 lift (account data)</t>
        </is>
      </c>
      <c r="O7" s="50">
        <f>SUMIFS($T$38:$T$1420,$A$38:$A$1420,A7,$B$38:$B$1420,B7)</f>
        <v/>
      </c>
    </row>
    <row r="8">
      <c r="A8" s="49" t="inlineStr">
        <is>
          <t>CA DC B6</t>
        </is>
      </c>
      <c r="B8" s="49" t="inlineStr">
        <is>
          <t>CA</t>
        </is>
      </c>
      <c r="C8" s="49">
        <f>COUNTIFS($A$38:$A$1420,A8,$B$38:$B$1420,B8)</f>
        <v/>
      </c>
      <c r="D8" s="50">
        <f>SUMIFS($G$38:$G$1420,$A$38:$A$1420,A8,$B$38:$B$1420,B8)</f>
        <v/>
      </c>
      <c r="E8" s="50">
        <f>SUMIFS($H$38:$H$1420,$A$38:$A$1420,A8,$B$38:$B$1420,B8)</f>
        <v/>
      </c>
      <c r="F8" s="51">
        <f>SUMIFS($J$38:$J$1420,$A$38:$A$1420,A8,$B$38:$B$1420,B8)</f>
        <v/>
      </c>
      <c r="G8" s="52" t="n">
        <v>3.068801601841503</v>
      </c>
      <c r="H8" s="50">
        <f>SUMIFS($N$38:$N$1420,$A$38:$A$1420,A8,$B$38:$B$1420,B8)</f>
        <v/>
      </c>
      <c r="I8" s="50">
        <f>SUMIFS($O$38:$O$1420,$A$38:$A$1420,A8,$B$38:$B$1420,B8)</f>
        <v/>
      </c>
      <c r="J8" s="49">
        <f>COUNTIFS($A$38:$A$1420,A8,$B$38:$B$1420,B8,$R$38:$R$1420,"Covered to Nov 30")</f>
        <v/>
      </c>
      <c r="K8" s="49">
        <f>COUNTIFS($A$38:$A$1420,A8,$B$38:$B$1420,B8,$R$38:$R$1420,"Needs inbound in time")</f>
        <v/>
      </c>
      <c r="L8" s="49">
        <f>COUNTIFS($A$38:$A$1420,A8,$B$38:$B$1420,B8,$R$38:$R$1420,"Short even with inbound")</f>
        <v/>
      </c>
      <c r="M8" s="49">
        <f>COUNTIFS($A$38:$A$1420,A8,$B$38:$B$1420,B8,$R$38:$R$1420,"Out of stock now")</f>
        <v/>
      </c>
      <c r="N8" s="49" t="inlineStr">
        <is>
          <t>own BFCM 2025 lift (account data)</t>
        </is>
      </c>
      <c r="O8" s="50">
        <f>SUMIFS($T$38:$T$1420,$A$38:$A$1420,A8,$B$38:$B$1420,B8)</f>
        <v/>
      </c>
    </row>
    <row r="9">
      <c r="A9" s="49" t="inlineStr">
        <is>
          <t>US SL B6</t>
        </is>
      </c>
      <c r="B9" s="49" t="inlineStr">
        <is>
          <t>US</t>
        </is>
      </c>
      <c r="C9" s="49">
        <f>COUNTIFS($A$38:$A$1420,A9,$B$38:$B$1420,B9)</f>
        <v/>
      </c>
      <c r="D9" s="50">
        <f>SUMIFS($G$38:$G$1420,$A$38:$A$1420,A9,$B$38:$B$1420,B9)</f>
        <v/>
      </c>
      <c r="E9" s="50">
        <f>SUMIFS($H$38:$H$1420,$A$38:$A$1420,A9,$B$38:$B$1420,B9)</f>
        <v/>
      </c>
      <c r="F9" s="51">
        <f>SUMIFS($J$38:$J$1420,$A$38:$A$1420,A9,$B$38:$B$1420,B9)</f>
        <v/>
      </c>
      <c r="G9" s="52" t="n">
        <v>1.201290037023195</v>
      </c>
      <c r="H9" s="50">
        <f>SUMIFS($N$38:$N$1420,$A$38:$A$1420,A9,$B$38:$B$1420,B9)</f>
        <v/>
      </c>
      <c r="I9" s="50">
        <f>SUMIFS($O$38:$O$1420,$A$38:$A$1420,A9,$B$38:$B$1420,B9)</f>
        <v/>
      </c>
      <c r="J9" s="49">
        <f>COUNTIFS($A$38:$A$1420,A9,$B$38:$B$1420,B9,$R$38:$R$1420,"Covered to Nov 30")</f>
        <v/>
      </c>
      <c r="K9" s="49">
        <f>COUNTIFS($A$38:$A$1420,A9,$B$38:$B$1420,B9,$R$38:$R$1420,"Needs inbound in time")</f>
        <v/>
      </c>
      <c r="L9" s="49">
        <f>COUNTIFS($A$38:$A$1420,A9,$B$38:$B$1420,B9,$R$38:$R$1420,"Short even with inbound")</f>
        <v/>
      </c>
      <c r="M9" s="49">
        <f>COUNTIFS($A$38:$A$1420,A9,$B$38:$B$1420,B9,$R$38:$R$1420,"Out of stock now")</f>
        <v/>
      </c>
      <c r="N9" s="49" t="inlineStr">
        <is>
          <t>own BFCM 2025 lift (account data)</t>
        </is>
      </c>
      <c r="O9" s="50">
        <f>SUMIFS($T$38:$T$1420,$A$38:$A$1420,A9,$B$38:$B$1420,B9)</f>
        <v/>
      </c>
    </row>
    <row r="10">
      <c r="A10" s="49" t="inlineStr">
        <is>
          <t>US SL B4</t>
        </is>
      </c>
      <c r="B10" s="49" t="inlineStr">
        <is>
          <t>US</t>
        </is>
      </c>
      <c r="C10" s="49">
        <f>COUNTIFS($A$38:$A$1420,A10,$B$38:$B$1420,B10)</f>
        <v/>
      </c>
      <c r="D10" s="50">
        <f>SUMIFS($G$38:$G$1420,$A$38:$A$1420,A10,$B$38:$B$1420,B10)</f>
        <v/>
      </c>
      <c r="E10" s="50">
        <f>SUMIFS($H$38:$H$1420,$A$38:$A$1420,A10,$B$38:$B$1420,B10)</f>
        <v/>
      </c>
      <c r="F10" s="51">
        <f>SUMIFS($J$38:$J$1420,$A$38:$A$1420,A10,$B$38:$B$1420,B10)</f>
        <v/>
      </c>
      <c r="G10" s="52" t="n">
        <v>2.739572896439673</v>
      </c>
      <c r="H10" s="50">
        <f>SUMIFS($N$38:$N$1420,$A$38:$A$1420,A10,$B$38:$B$1420,B10)</f>
        <v/>
      </c>
      <c r="I10" s="50">
        <f>SUMIFS($O$38:$O$1420,$A$38:$A$1420,A10,$B$38:$B$1420,B10)</f>
        <v/>
      </c>
      <c r="J10" s="49">
        <f>COUNTIFS($A$38:$A$1420,A10,$B$38:$B$1420,B10,$R$38:$R$1420,"Covered to Nov 30")</f>
        <v/>
      </c>
      <c r="K10" s="49">
        <f>COUNTIFS($A$38:$A$1420,A10,$B$38:$B$1420,B10,$R$38:$R$1420,"Needs inbound in time")</f>
        <v/>
      </c>
      <c r="L10" s="49">
        <f>COUNTIFS($A$38:$A$1420,A10,$B$38:$B$1420,B10,$R$38:$R$1420,"Short even with inbound")</f>
        <v/>
      </c>
      <c r="M10" s="49">
        <f>COUNTIFS($A$38:$A$1420,A10,$B$38:$B$1420,B10,$R$38:$R$1420,"Out of stock now")</f>
        <v/>
      </c>
      <c r="N10" s="49" t="inlineStr">
        <is>
          <t>ASSUMED: account BFCM 2025 lift (US); product's own 2025 lift not available</t>
        </is>
      </c>
      <c r="O10" s="50">
        <f>SUMIFS($T$38:$T$1420,$A$38:$A$1420,A10,$B$38:$B$1420,B10)</f>
        <v/>
      </c>
    </row>
    <row r="11">
      <c r="A11" s="49" t="inlineStr">
        <is>
          <t>US DC Bamboo Fitted</t>
        </is>
      </c>
      <c r="B11" s="49" t="inlineStr">
        <is>
          <t>US</t>
        </is>
      </c>
      <c r="C11" s="49">
        <f>COUNTIFS($A$38:$A$1420,A11,$B$38:$B$1420,B11)</f>
        <v/>
      </c>
      <c r="D11" s="50">
        <f>SUMIFS($G$38:$G$1420,$A$38:$A$1420,A11,$B$38:$B$1420,B11)</f>
        <v/>
      </c>
      <c r="E11" s="50">
        <f>SUMIFS($H$38:$H$1420,$A$38:$A$1420,A11,$B$38:$B$1420,B11)</f>
        <v/>
      </c>
      <c r="F11" s="51">
        <f>SUMIFS($J$38:$J$1420,$A$38:$A$1420,A11,$B$38:$B$1420,B11)</f>
        <v/>
      </c>
      <c r="G11" s="52" t="n">
        <v>2.739572896439673</v>
      </c>
      <c r="H11" s="50">
        <f>SUMIFS($N$38:$N$1420,$A$38:$A$1420,A11,$B$38:$B$1420,B11)</f>
        <v/>
      </c>
      <c r="I11" s="50">
        <f>SUMIFS($O$38:$O$1420,$A$38:$A$1420,A11,$B$38:$B$1420,B11)</f>
        <v/>
      </c>
      <c r="J11" s="49">
        <f>COUNTIFS($A$38:$A$1420,A11,$B$38:$B$1420,B11,$R$38:$R$1420,"Covered to Nov 30")</f>
        <v/>
      </c>
      <c r="K11" s="49">
        <f>COUNTIFS($A$38:$A$1420,A11,$B$38:$B$1420,B11,$R$38:$R$1420,"Needs inbound in time")</f>
        <v/>
      </c>
      <c r="L11" s="49">
        <f>COUNTIFS($A$38:$A$1420,A11,$B$38:$B$1420,B11,$R$38:$R$1420,"Short even with inbound")</f>
        <v/>
      </c>
      <c r="M11" s="49">
        <f>COUNTIFS($A$38:$A$1420,A11,$B$38:$B$1420,B11,$R$38:$R$1420,"Out of stock now")</f>
        <v/>
      </c>
      <c r="N11" s="49" t="inlineStr">
        <is>
          <t>ASSUMED: account BFCM 2025 lift (US); product's own 2025 lift not available</t>
        </is>
      </c>
      <c r="O11" s="50">
        <f>SUMIFS($T$38:$T$1420,$A$38:$A$1420,A11,$B$38:$B$1420,B11)</f>
        <v/>
      </c>
    </row>
    <row r="12">
      <c r="A12" s="49" t="inlineStr">
        <is>
          <t>US DC S4</t>
        </is>
      </c>
      <c r="B12" s="49" t="inlineStr">
        <is>
          <t>US</t>
        </is>
      </c>
      <c r="C12" s="49">
        <f>COUNTIFS($A$38:$A$1420,A12,$B$38:$B$1420,B12)</f>
        <v/>
      </c>
      <c r="D12" s="50">
        <f>SUMIFS($G$38:$G$1420,$A$38:$A$1420,A12,$B$38:$B$1420,B12)</f>
        <v/>
      </c>
      <c r="E12" s="50">
        <f>SUMIFS($H$38:$H$1420,$A$38:$A$1420,A12,$B$38:$B$1420,B12)</f>
        <v/>
      </c>
      <c r="F12" s="51">
        <f>SUMIFS($J$38:$J$1420,$A$38:$A$1420,A12,$B$38:$B$1420,B12)</f>
        <v/>
      </c>
      <c r="G12" s="52" t="n">
        <v>2.637148735359062</v>
      </c>
      <c r="H12" s="50">
        <f>SUMIFS($N$38:$N$1420,$A$38:$A$1420,A12,$B$38:$B$1420,B12)</f>
        <v/>
      </c>
      <c r="I12" s="50">
        <f>SUMIFS($O$38:$O$1420,$A$38:$A$1420,A12,$B$38:$B$1420,B12)</f>
        <v/>
      </c>
      <c r="J12" s="49">
        <f>COUNTIFS($A$38:$A$1420,A12,$B$38:$B$1420,B12,$R$38:$R$1420,"Covered to Nov 30")</f>
        <v/>
      </c>
      <c r="K12" s="49">
        <f>COUNTIFS($A$38:$A$1420,A12,$B$38:$B$1420,B12,$R$38:$R$1420,"Needs inbound in time")</f>
        <v/>
      </c>
      <c r="L12" s="49">
        <f>COUNTIFS($A$38:$A$1420,A12,$B$38:$B$1420,B12,$R$38:$R$1420,"Short even with inbound")</f>
        <v/>
      </c>
      <c r="M12" s="49">
        <f>COUNTIFS($A$38:$A$1420,A12,$B$38:$B$1420,B12,$R$38:$R$1420,"Out of stock now")</f>
        <v/>
      </c>
      <c r="N12" s="49" t="inlineStr">
        <is>
          <t>own BFCM 2025 lift (account data)</t>
        </is>
      </c>
      <c r="O12" s="50">
        <f>SUMIFS($T$38:$T$1420,$A$38:$A$1420,A12,$B$38:$B$1420,B12)</f>
        <v/>
      </c>
    </row>
    <row r="13">
      <c r="A13" s="49" t="inlineStr">
        <is>
          <t>CA DC S4</t>
        </is>
      </c>
      <c r="B13" s="49" t="inlineStr">
        <is>
          <t>CA</t>
        </is>
      </c>
      <c r="C13" s="49">
        <f>COUNTIFS($A$38:$A$1420,A13,$B$38:$B$1420,B13)</f>
        <v/>
      </c>
      <c r="D13" s="50">
        <f>SUMIFS($G$38:$G$1420,$A$38:$A$1420,A13,$B$38:$B$1420,B13)</f>
        <v/>
      </c>
      <c r="E13" s="50">
        <f>SUMIFS($H$38:$H$1420,$A$38:$A$1420,A13,$B$38:$B$1420,B13)</f>
        <v/>
      </c>
      <c r="F13" s="51">
        <f>SUMIFS($J$38:$J$1420,$A$38:$A$1420,A13,$B$38:$B$1420,B13)</f>
        <v/>
      </c>
      <c r="G13" s="52" t="n">
        <v>3.269015911297535</v>
      </c>
      <c r="H13" s="50">
        <f>SUMIFS($N$38:$N$1420,$A$38:$A$1420,A13,$B$38:$B$1420,B13)</f>
        <v/>
      </c>
      <c r="I13" s="50">
        <f>SUMIFS($O$38:$O$1420,$A$38:$A$1420,A13,$B$38:$B$1420,B13)</f>
        <v/>
      </c>
      <c r="J13" s="49">
        <f>COUNTIFS($A$38:$A$1420,A13,$B$38:$B$1420,B13,$R$38:$R$1420,"Covered to Nov 30")</f>
        <v/>
      </c>
      <c r="K13" s="49">
        <f>COUNTIFS($A$38:$A$1420,A13,$B$38:$B$1420,B13,$R$38:$R$1420,"Needs inbound in time")</f>
        <v/>
      </c>
      <c r="L13" s="49">
        <f>COUNTIFS($A$38:$A$1420,A13,$B$38:$B$1420,B13,$R$38:$R$1420,"Short even with inbound")</f>
        <v/>
      </c>
      <c r="M13" s="49">
        <f>COUNTIFS($A$38:$A$1420,A13,$B$38:$B$1420,B13,$R$38:$R$1420,"Out of stock now")</f>
        <v/>
      </c>
      <c r="N13" s="49" t="inlineStr">
        <is>
          <t>own BFCM 2025 lift (account data)</t>
        </is>
      </c>
      <c r="O13" s="50">
        <f>SUMIFS($T$38:$T$1420,$A$38:$A$1420,A13,$B$38:$B$1420,B13)</f>
        <v/>
      </c>
    </row>
    <row r="14">
      <c r="A14" s="49" t="inlineStr">
        <is>
          <t>US DC S6</t>
        </is>
      </c>
      <c r="B14" s="49" t="inlineStr">
        <is>
          <t>US</t>
        </is>
      </c>
      <c r="C14" s="49">
        <f>COUNTIFS($A$38:$A$1420,A14,$B$38:$B$1420,B14)</f>
        <v/>
      </c>
      <c r="D14" s="50">
        <f>SUMIFS($G$38:$G$1420,$A$38:$A$1420,A14,$B$38:$B$1420,B14)</f>
        <v/>
      </c>
      <c r="E14" s="50">
        <f>SUMIFS($H$38:$H$1420,$A$38:$A$1420,A14,$B$38:$B$1420,B14)</f>
        <v/>
      </c>
      <c r="F14" s="51">
        <f>SUMIFS($J$38:$J$1420,$A$38:$A$1420,A14,$B$38:$B$1420,B14)</f>
        <v/>
      </c>
      <c r="G14" s="52" t="n">
        <v>3.076042012896364</v>
      </c>
      <c r="H14" s="50">
        <f>SUMIFS($N$38:$N$1420,$A$38:$A$1420,A14,$B$38:$B$1420,B14)</f>
        <v/>
      </c>
      <c r="I14" s="50">
        <f>SUMIFS($O$38:$O$1420,$A$38:$A$1420,A14,$B$38:$B$1420,B14)</f>
        <v/>
      </c>
      <c r="J14" s="49">
        <f>COUNTIFS($A$38:$A$1420,A14,$B$38:$B$1420,B14,$R$38:$R$1420,"Covered to Nov 30")</f>
        <v/>
      </c>
      <c r="K14" s="49">
        <f>COUNTIFS($A$38:$A$1420,A14,$B$38:$B$1420,B14,$R$38:$R$1420,"Needs inbound in time")</f>
        <v/>
      </c>
      <c r="L14" s="49">
        <f>COUNTIFS($A$38:$A$1420,A14,$B$38:$B$1420,B14,$R$38:$R$1420,"Short even with inbound")</f>
        <v/>
      </c>
      <c r="M14" s="49">
        <f>COUNTIFS($A$38:$A$1420,A14,$B$38:$B$1420,B14,$R$38:$R$1420,"Out of stock now")</f>
        <v/>
      </c>
      <c r="N14" s="49" t="inlineStr">
        <is>
          <t>own BFCM 2025 lift (account data)</t>
        </is>
      </c>
      <c r="O14" s="50">
        <f>SUMIFS($T$38:$T$1420,$A$38:$A$1420,A14,$B$38:$B$1420,B14)</f>
        <v/>
      </c>
    </row>
    <row r="15">
      <c r="A15" s="49" t="inlineStr">
        <is>
          <t>CA DC S6</t>
        </is>
      </c>
      <c r="B15" s="49" t="inlineStr">
        <is>
          <t>CA</t>
        </is>
      </c>
      <c r="C15" s="49">
        <f>COUNTIFS($A$38:$A$1420,A15,$B$38:$B$1420,B15)</f>
        <v/>
      </c>
      <c r="D15" s="50">
        <f>SUMIFS($G$38:$G$1420,$A$38:$A$1420,A15,$B$38:$B$1420,B15)</f>
        <v/>
      </c>
      <c r="E15" s="50">
        <f>SUMIFS($H$38:$H$1420,$A$38:$A$1420,A15,$B$38:$B$1420,B15)</f>
        <v/>
      </c>
      <c r="F15" s="51">
        <f>SUMIFS($J$38:$J$1420,$A$38:$A$1420,A15,$B$38:$B$1420,B15)</f>
        <v/>
      </c>
      <c r="G15" s="52" t="n">
        <v>2.976101755543345</v>
      </c>
      <c r="H15" s="50">
        <f>SUMIFS($N$38:$N$1420,$A$38:$A$1420,A15,$B$38:$B$1420,B15)</f>
        <v/>
      </c>
      <c r="I15" s="50">
        <f>SUMIFS($O$38:$O$1420,$A$38:$A$1420,A15,$B$38:$B$1420,B15)</f>
        <v/>
      </c>
      <c r="J15" s="49">
        <f>COUNTIFS($A$38:$A$1420,A15,$B$38:$B$1420,B15,$R$38:$R$1420,"Covered to Nov 30")</f>
        <v/>
      </c>
      <c r="K15" s="49">
        <f>COUNTIFS($A$38:$A$1420,A15,$B$38:$B$1420,B15,$R$38:$R$1420,"Needs inbound in time")</f>
        <v/>
      </c>
      <c r="L15" s="49">
        <f>COUNTIFS($A$38:$A$1420,A15,$B$38:$B$1420,B15,$R$38:$R$1420,"Short even with inbound")</f>
        <v/>
      </c>
      <c r="M15" s="49">
        <f>COUNTIFS($A$38:$A$1420,A15,$B$38:$B$1420,B15,$R$38:$R$1420,"Out of stock now")</f>
        <v/>
      </c>
      <c r="N15" s="49" t="inlineStr">
        <is>
          <t>own BFCM 2025 lift (account data)</t>
        </is>
      </c>
      <c r="O15" s="50">
        <f>SUMIFS($T$38:$T$1420,$A$38:$A$1420,A15,$B$38:$B$1420,B15)</f>
        <v/>
      </c>
    </row>
    <row r="16">
      <c r="A16" s="49" t="inlineStr">
        <is>
          <t>US SSS4</t>
        </is>
      </c>
      <c r="B16" s="49" t="inlineStr">
        <is>
          <t>US</t>
        </is>
      </c>
      <c r="C16" s="49">
        <f>COUNTIFS($A$38:$A$1420,A16,$B$38:$B$1420,B16)</f>
        <v/>
      </c>
      <c r="D16" s="50">
        <f>SUMIFS($G$38:$G$1420,$A$38:$A$1420,A16,$B$38:$B$1420,B16)</f>
        <v/>
      </c>
      <c r="E16" s="50">
        <f>SUMIFS($H$38:$H$1420,$A$38:$A$1420,A16,$B$38:$B$1420,B16)</f>
        <v/>
      </c>
      <c r="F16" s="51">
        <f>SUMIFS($J$38:$J$1420,$A$38:$A$1420,A16,$B$38:$B$1420,B16)</f>
        <v/>
      </c>
      <c r="G16" s="52" t="n">
        <v>2.589722433600953</v>
      </c>
      <c r="H16" s="50">
        <f>SUMIFS($N$38:$N$1420,$A$38:$A$1420,A16,$B$38:$B$1420,B16)</f>
        <v/>
      </c>
      <c r="I16" s="50">
        <f>SUMIFS($O$38:$O$1420,$A$38:$A$1420,A16,$B$38:$B$1420,B16)</f>
        <v/>
      </c>
      <c r="J16" s="49">
        <f>COUNTIFS($A$38:$A$1420,A16,$B$38:$B$1420,B16,$R$38:$R$1420,"Covered to Nov 30")</f>
        <v/>
      </c>
      <c r="K16" s="49">
        <f>COUNTIFS($A$38:$A$1420,A16,$B$38:$B$1420,B16,$R$38:$R$1420,"Needs inbound in time")</f>
        <v/>
      </c>
      <c r="L16" s="49">
        <f>COUNTIFS($A$38:$A$1420,A16,$B$38:$B$1420,B16,$R$38:$R$1420,"Short even with inbound")</f>
        <v/>
      </c>
      <c r="M16" s="49">
        <f>COUNTIFS($A$38:$A$1420,A16,$B$38:$B$1420,B16,$R$38:$R$1420,"Out of stock now")</f>
        <v/>
      </c>
      <c r="N16" s="49" t="inlineStr">
        <is>
          <t>own BFCM 2025 lift (account data)</t>
        </is>
      </c>
      <c r="O16" s="50">
        <f>SUMIFS($T$38:$T$1420,$A$38:$A$1420,A16,$B$38:$B$1420,B16)</f>
        <v/>
      </c>
    </row>
    <row r="17">
      <c r="A17" s="49" t="inlineStr">
        <is>
          <t>CA SSS4</t>
        </is>
      </c>
      <c r="B17" s="49" t="inlineStr">
        <is>
          <t>CA</t>
        </is>
      </c>
      <c r="C17" s="49">
        <f>COUNTIFS($A$38:$A$1420,A17,$B$38:$B$1420,B17)</f>
        <v/>
      </c>
      <c r="D17" s="50">
        <f>SUMIFS($G$38:$G$1420,$A$38:$A$1420,A17,$B$38:$B$1420,B17)</f>
        <v/>
      </c>
      <c r="E17" s="50">
        <f>SUMIFS($H$38:$H$1420,$A$38:$A$1420,A17,$B$38:$B$1420,B17)</f>
        <v/>
      </c>
      <c r="F17" s="51">
        <f>SUMIFS($J$38:$J$1420,$A$38:$A$1420,A17,$B$38:$B$1420,B17)</f>
        <v/>
      </c>
      <c r="G17" s="52" t="n">
        <v>1.515000903668896</v>
      </c>
      <c r="H17" s="50">
        <f>SUMIFS($N$38:$N$1420,$A$38:$A$1420,A17,$B$38:$B$1420,B17)</f>
        <v/>
      </c>
      <c r="I17" s="50">
        <f>SUMIFS($O$38:$O$1420,$A$38:$A$1420,A17,$B$38:$B$1420,B17)</f>
        <v/>
      </c>
      <c r="J17" s="49">
        <f>COUNTIFS($A$38:$A$1420,A17,$B$38:$B$1420,B17,$R$38:$R$1420,"Covered to Nov 30")</f>
        <v/>
      </c>
      <c r="K17" s="49">
        <f>COUNTIFS($A$38:$A$1420,A17,$B$38:$B$1420,B17,$R$38:$R$1420,"Needs inbound in time")</f>
        <v/>
      </c>
      <c r="L17" s="49">
        <f>COUNTIFS($A$38:$A$1420,A17,$B$38:$B$1420,B17,$R$38:$R$1420,"Short even with inbound")</f>
        <v/>
      </c>
      <c r="M17" s="49">
        <f>COUNTIFS($A$38:$A$1420,A17,$B$38:$B$1420,B17,$R$38:$R$1420,"Out of stock now")</f>
        <v/>
      </c>
      <c r="N17" s="49" t="inlineStr">
        <is>
          <t>own BFCM 2025 lift (account data)</t>
        </is>
      </c>
      <c r="O17" s="50">
        <f>SUMIFS($T$38:$T$1420,$A$38:$A$1420,A17,$B$38:$B$1420,B17)</f>
        <v/>
      </c>
    </row>
    <row r="18">
      <c r="A18" s="49" t="inlineStr">
        <is>
          <t>US DC Satin Fitted</t>
        </is>
      </c>
      <c r="B18" s="49" t="inlineStr">
        <is>
          <t>US</t>
        </is>
      </c>
      <c r="C18" s="49">
        <f>COUNTIFS($A$38:$A$1420,A18,$B$38:$B$1420,B18)</f>
        <v/>
      </c>
      <c r="D18" s="50">
        <f>SUMIFS($G$38:$G$1420,$A$38:$A$1420,A18,$B$38:$B$1420,B18)</f>
        <v/>
      </c>
      <c r="E18" s="50">
        <f>SUMIFS($H$38:$H$1420,$A$38:$A$1420,A18,$B$38:$B$1420,B18)</f>
        <v/>
      </c>
      <c r="F18" s="51">
        <f>SUMIFS($J$38:$J$1420,$A$38:$A$1420,A18,$B$38:$B$1420,B18)</f>
        <v/>
      </c>
      <c r="G18" s="52" t="n">
        <v>2.469333719911087</v>
      </c>
      <c r="H18" s="50">
        <f>SUMIFS($N$38:$N$1420,$A$38:$A$1420,A18,$B$38:$B$1420,B18)</f>
        <v/>
      </c>
      <c r="I18" s="50">
        <f>SUMIFS($O$38:$O$1420,$A$38:$A$1420,A18,$B$38:$B$1420,B18)</f>
        <v/>
      </c>
      <c r="J18" s="49">
        <f>COUNTIFS($A$38:$A$1420,A18,$B$38:$B$1420,B18,$R$38:$R$1420,"Covered to Nov 30")</f>
        <v/>
      </c>
      <c r="K18" s="49">
        <f>COUNTIFS($A$38:$A$1420,A18,$B$38:$B$1420,B18,$R$38:$R$1420,"Needs inbound in time")</f>
        <v/>
      </c>
      <c r="L18" s="49">
        <f>COUNTIFS($A$38:$A$1420,A18,$B$38:$B$1420,B18,$R$38:$R$1420,"Short even with inbound")</f>
        <v/>
      </c>
      <c r="M18" s="49">
        <f>COUNTIFS($A$38:$A$1420,A18,$B$38:$B$1420,B18,$R$38:$R$1420,"Out of stock now")</f>
        <v/>
      </c>
      <c r="N18" s="49" t="inlineStr">
        <is>
          <t>own BFCM 2025 lift (account data)</t>
        </is>
      </c>
      <c r="O18" s="50">
        <f>SUMIFS($T$38:$T$1420,$A$38:$A$1420,A18,$B$38:$B$1420,B18)</f>
        <v/>
      </c>
    </row>
    <row r="19">
      <c r="A19" s="49" t="inlineStr">
        <is>
          <t>CA DC Satin Fitted</t>
        </is>
      </c>
      <c r="B19" s="49" t="inlineStr">
        <is>
          <t>CA</t>
        </is>
      </c>
      <c r="C19" s="49">
        <f>COUNTIFS($A$38:$A$1420,A19,$B$38:$B$1420,B19)</f>
        <v/>
      </c>
      <c r="D19" s="50">
        <f>SUMIFS($G$38:$G$1420,$A$38:$A$1420,A19,$B$38:$B$1420,B19)</f>
        <v/>
      </c>
      <c r="E19" s="50">
        <f>SUMIFS($H$38:$H$1420,$A$38:$A$1420,A19,$B$38:$B$1420,B19)</f>
        <v/>
      </c>
      <c r="F19" s="51">
        <f>SUMIFS($J$38:$J$1420,$A$38:$A$1420,A19,$B$38:$B$1420,B19)</f>
        <v/>
      </c>
      <c r="G19" s="52" t="n">
        <v>3.13892392925028</v>
      </c>
      <c r="H19" s="50">
        <f>SUMIFS($N$38:$N$1420,$A$38:$A$1420,A19,$B$38:$B$1420,B19)</f>
        <v/>
      </c>
      <c r="I19" s="50">
        <f>SUMIFS($O$38:$O$1420,$A$38:$A$1420,A19,$B$38:$B$1420,B19)</f>
        <v/>
      </c>
      <c r="J19" s="49">
        <f>COUNTIFS($A$38:$A$1420,A19,$B$38:$B$1420,B19,$R$38:$R$1420,"Covered to Nov 30")</f>
        <v/>
      </c>
      <c r="K19" s="49">
        <f>COUNTIFS($A$38:$A$1420,A19,$B$38:$B$1420,B19,$R$38:$R$1420,"Needs inbound in time")</f>
        <v/>
      </c>
      <c r="L19" s="49">
        <f>COUNTIFS($A$38:$A$1420,A19,$B$38:$B$1420,B19,$R$38:$R$1420,"Short even with inbound")</f>
        <v/>
      </c>
      <c r="M19" s="49">
        <f>COUNTIFS($A$38:$A$1420,A19,$B$38:$B$1420,B19,$R$38:$R$1420,"Out of stock now")</f>
        <v/>
      </c>
      <c r="N19" s="49" t="inlineStr">
        <is>
          <t>ASSUMED: account BFCM 2025 lift (CA); product's own 2025 lift not reliable</t>
        </is>
      </c>
      <c r="O19" s="50">
        <f>SUMIFS($T$38:$T$1420,$A$38:$A$1420,A19,$B$38:$B$1420,B19)</f>
        <v/>
      </c>
    </row>
    <row r="20">
      <c r="A20" s="49" t="inlineStr">
        <is>
          <t>US DC Silk Pillowcase</t>
        </is>
      </c>
      <c r="B20" s="49" t="inlineStr">
        <is>
          <t>US</t>
        </is>
      </c>
      <c r="C20" s="49">
        <f>COUNTIFS($A$38:$A$1420,A20,$B$38:$B$1420,B20)</f>
        <v/>
      </c>
      <c r="D20" s="50">
        <f>SUMIFS($G$38:$G$1420,$A$38:$A$1420,A20,$B$38:$B$1420,B20)</f>
        <v/>
      </c>
      <c r="E20" s="50">
        <f>SUMIFS($H$38:$H$1420,$A$38:$A$1420,A20,$B$38:$B$1420,B20)</f>
        <v/>
      </c>
      <c r="F20" s="51">
        <f>SUMIFS($J$38:$J$1420,$A$38:$A$1420,A20,$B$38:$B$1420,B20)</f>
        <v/>
      </c>
      <c r="G20" s="52" t="n">
        <v>1.352847893136792</v>
      </c>
      <c r="H20" s="50">
        <f>SUMIFS($N$38:$N$1420,$A$38:$A$1420,A20,$B$38:$B$1420,B20)</f>
        <v/>
      </c>
      <c r="I20" s="50">
        <f>SUMIFS($O$38:$O$1420,$A$38:$A$1420,A20,$B$38:$B$1420,B20)</f>
        <v/>
      </c>
      <c r="J20" s="49">
        <f>COUNTIFS($A$38:$A$1420,A20,$B$38:$B$1420,B20,$R$38:$R$1420,"Covered to Nov 30")</f>
        <v/>
      </c>
      <c r="K20" s="49">
        <f>COUNTIFS($A$38:$A$1420,A20,$B$38:$B$1420,B20,$R$38:$R$1420,"Needs inbound in time")</f>
        <v/>
      </c>
      <c r="L20" s="49">
        <f>COUNTIFS($A$38:$A$1420,A20,$B$38:$B$1420,B20,$R$38:$R$1420,"Short even with inbound")</f>
        <v/>
      </c>
      <c r="M20" s="49">
        <f>COUNTIFS($A$38:$A$1420,A20,$B$38:$B$1420,B20,$R$38:$R$1420,"Out of stock now")</f>
        <v/>
      </c>
      <c r="N20" s="49" t="inlineStr">
        <is>
          <t>own BFCM 2025 lift (account data)</t>
        </is>
      </c>
      <c r="O20" s="50">
        <f>SUMIFS($T$38:$T$1420,$A$38:$A$1420,A20,$B$38:$B$1420,B20)</f>
        <v/>
      </c>
    </row>
    <row r="21">
      <c r="A21" s="49" t="inlineStr">
        <is>
          <t>US SL Mask Contoured</t>
        </is>
      </c>
      <c r="B21" s="49" t="inlineStr">
        <is>
          <t>US</t>
        </is>
      </c>
      <c r="C21" s="49">
        <f>COUNTIFS($A$38:$A$1420,A21,$B$38:$B$1420,B21)</f>
        <v/>
      </c>
      <c r="D21" s="50">
        <f>SUMIFS($G$38:$G$1420,$A$38:$A$1420,A21,$B$38:$B$1420,B21)</f>
        <v/>
      </c>
      <c r="E21" s="50">
        <f>SUMIFS($H$38:$H$1420,$A$38:$A$1420,A21,$B$38:$B$1420,B21)</f>
        <v/>
      </c>
      <c r="F21" s="51">
        <f>SUMIFS($J$38:$J$1420,$A$38:$A$1420,A21,$B$38:$B$1420,B21)</f>
        <v/>
      </c>
      <c r="G21" s="52" t="n">
        <v>3.666666666666667</v>
      </c>
      <c r="H21" s="50">
        <f>SUMIFS($N$38:$N$1420,$A$38:$A$1420,A21,$B$38:$B$1420,B21)</f>
        <v/>
      </c>
      <c r="I21" s="50">
        <f>SUMIFS($O$38:$O$1420,$A$38:$A$1420,A21,$B$38:$B$1420,B21)</f>
        <v/>
      </c>
      <c r="J21" s="49">
        <f>COUNTIFS($A$38:$A$1420,A21,$B$38:$B$1420,B21,$R$38:$R$1420,"Covered to Nov 30")</f>
        <v/>
      </c>
      <c r="K21" s="49">
        <f>COUNTIFS($A$38:$A$1420,A21,$B$38:$B$1420,B21,$R$38:$R$1420,"Needs inbound in time")</f>
        <v/>
      </c>
      <c r="L21" s="49">
        <f>COUNTIFS($A$38:$A$1420,A21,$B$38:$B$1420,B21,$R$38:$R$1420,"Short even with inbound")</f>
        <v/>
      </c>
      <c r="M21" s="49">
        <f>COUNTIFS($A$38:$A$1420,A21,$B$38:$B$1420,B21,$R$38:$R$1420,"Out of stock now")</f>
        <v/>
      </c>
      <c r="N21" s="49" t="inlineStr">
        <is>
          <t>own BFCM 2025 lift (account data)</t>
        </is>
      </c>
      <c r="O21" s="50">
        <f>SUMIFS($T$38:$T$1420,$A$38:$A$1420,A21,$B$38:$B$1420,B21)</f>
        <v/>
      </c>
    </row>
    <row r="22">
      <c r="A22" s="49" t="inlineStr">
        <is>
          <t>US SL Mask Velcro</t>
        </is>
      </c>
      <c r="B22" s="49" t="inlineStr">
        <is>
          <t>US</t>
        </is>
      </c>
      <c r="C22" s="49">
        <f>COUNTIFS($A$38:$A$1420,A22,$B$38:$B$1420,B22)</f>
        <v/>
      </c>
      <c r="D22" s="50">
        <f>SUMIFS($G$38:$G$1420,$A$38:$A$1420,A22,$B$38:$B$1420,B22)</f>
        <v/>
      </c>
      <c r="E22" s="50">
        <f>SUMIFS($H$38:$H$1420,$A$38:$A$1420,A22,$B$38:$B$1420,B22)</f>
        <v/>
      </c>
      <c r="F22" s="51">
        <f>SUMIFS($J$38:$J$1420,$A$38:$A$1420,A22,$B$38:$B$1420,B22)</f>
        <v/>
      </c>
      <c r="G22" s="52" t="n">
        <v>1</v>
      </c>
      <c r="H22" s="50">
        <f>SUMIFS($N$38:$N$1420,$A$38:$A$1420,A22,$B$38:$B$1420,B22)</f>
        <v/>
      </c>
      <c r="I22" s="50">
        <f>SUMIFS($O$38:$O$1420,$A$38:$A$1420,A22,$B$38:$B$1420,B22)</f>
        <v/>
      </c>
      <c r="J22" s="49">
        <f>COUNTIFS($A$38:$A$1420,A22,$B$38:$B$1420,B22,$R$38:$R$1420,"Covered to Nov 30")</f>
        <v/>
      </c>
      <c r="K22" s="49">
        <f>COUNTIFS($A$38:$A$1420,A22,$B$38:$B$1420,B22,$R$38:$R$1420,"Needs inbound in time")</f>
        <v/>
      </c>
      <c r="L22" s="49">
        <f>COUNTIFS($A$38:$A$1420,A22,$B$38:$B$1420,B22,$R$38:$R$1420,"Short even with inbound")</f>
        <v/>
      </c>
      <c r="M22" s="49">
        <f>COUNTIFS($A$38:$A$1420,A22,$B$38:$B$1420,B22,$R$38:$R$1420,"Out of stock now")</f>
        <v/>
      </c>
      <c r="N22" s="49" t="inlineStr">
        <is>
          <t>own BFCM 2025 lift (account data)</t>
        </is>
      </c>
      <c r="O22" s="50">
        <f>SUMIFS($T$38:$T$1420,$A$38:$A$1420,A22,$B$38:$B$1420,B22)</f>
        <v/>
      </c>
    </row>
    <row r="23">
      <c r="A23" s="49" t="inlineStr">
        <is>
          <t>US DC Cooling 4pc</t>
        </is>
      </c>
      <c r="B23" s="49" t="inlineStr">
        <is>
          <t>US</t>
        </is>
      </c>
      <c r="C23" s="49">
        <f>COUNTIFS($A$38:$A$1420,A23,$B$38:$B$1420,B23)</f>
        <v/>
      </c>
      <c r="D23" s="50">
        <f>SUMIFS($G$38:$G$1420,$A$38:$A$1420,A23,$B$38:$B$1420,B23)</f>
        <v/>
      </c>
      <c r="E23" s="50">
        <f>SUMIFS($H$38:$H$1420,$A$38:$A$1420,A23,$B$38:$B$1420,B23)</f>
        <v/>
      </c>
      <c r="F23" s="51">
        <f>SUMIFS($J$38:$J$1420,$A$38:$A$1420,A23,$B$38:$B$1420,B23)</f>
        <v/>
      </c>
      <c r="G23" s="52" t="n">
        <v>1.628391436777328</v>
      </c>
      <c r="H23" s="50">
        <f>SUMIFS($N$38:$N$1420,$A$38:$A$1420,A23,$B$38:$B$1420,B23)</f>
        <v/>
      </c>
      <c r="I23" s="50">
        <f>SUMIFS($O$38:$O$1420,$A$38:$A$1420,A23,$B$38:$B$1420,B23)</f>
        <v/>
      </c>
      <c r="J23" s="49">
        <f>COUNTIFS($A$38:$A$1420,A23,$B$38:$B$1420,B23,$R$38:$R$1420,"Covered to Nov 30")</f>
        <v/>
      </c>
      <c r="K23" s="49">
        <f>COUNTIFS($A$38:$A$1420,A23,$B$38:$B$1420,B23,$R$38:$R$1420,"Needs inbound in time")</f>
        <v/>
      </c>
      <c r="L23" s="49">
        <f>COUNTIFS($A$38:$A$1420,A23,$B$38:$B$1420,B23,$R$38:$R$1420,"Short even with inbound")</f>
        <v/>
      </c>
      <c r="M23" s="49">
        <f>COUNTIFS($A$38:$A$1420,A23,$B$38:$B$1420,B23,$R$38:$R$1420,"Out of stock now")</f>
        <v/>
      </c>
      <c r="N23" s="49" t="inlineStr">
        <is>
          <t>own BFCM 2025 lift (account data)</t>
        </is>
      </c>
      <c r="O23" s="50">
        <f>SUMIFS($T$38:$T$1420,$A$38:$A$1420,A23,$B$38:$B$1420,B23)</f>
        <v/>
      </c>
    </row>
    <row r="24">
      <c r="A24" s="49" t="inlineStr">
        <is>
          <t>US SL Cooling 4pc</t>
        </is>
      </c>
      <c r="B24" s="49" t="inlineStr">
        <is>
          <t>US</t>
        </is>
      </c>
      <c r="C24" s="49">
        <f>COUNTIFS($A$38:$A$1420,A24,$B$38:$B$1420,B24)</f>
        <v/>
      </c>
      <c r="D24" s="50">
        <f>SUMIFS($G$38:$G$1420,$A$38:$A$1420,A24,$B$38:$B$1420,B24)</f>
        <v/>
      </c>
      <c r="E24" s="50">
        <f>SUMIFS($H$38:$H$1420,$A$38:$A$1420,A24,$B$38:$B$1420,B24)</f>
        <v/>
      </c>
      <c r="F24" s="51">
        <f>SUMIFS($J$38:$J$1420,$A$38:$A$1420,A24,$B$38:$B$1420,B24)</f>
        <v/>
      </c>
      <c r="G24" s="52" t="n">
        <v>1.158552710930541</v>
      </c>
      <c r="H24" s="50">
        <f>SUMIFS($N$38:$N$1420,$A$38:$A$1420,A24,$B$38:$B$1420,B24)</f>
        <v/>
      </c>
      <c r="I24" s="50">
        <f>SUMIFS($O$38:$O$1420,$A$38:$A$1420,A24,$B$38:$B$1420,B24)</f>
        <v/>
      </c>
      <c r="J24" s="49">
        <f>COUNTIFS($A$38:$A$1420,A24,$B$38:$B$1420,B24,$R$38:$R$1420,"Covered to Nov 30")</f>
        <v/>
      </c>
      <c r="K24" s="49">
        <f>COUNTIFS($A$38:$A$1420,A24,$B$38:$B$1420,B24,$R$38:$R$1420,"Needs inbound in time")</f>
        <v/>
      </c>
      <c r="L24" s="49">
        <f>COUNTIFS($A$38:$A$1420,A24,$B$38:$B$1420,B24,$R$38:$R$1420,"Short even with inbound")</f>
        <v/>
      </c>
      <c r="M24" s="49">
        <f>COUNTIFS($A$38:$A$1420,A24,$B$38:$B$1420,B24,$R$38:$R$1420,"Out of stock now")</f>
        <v/>
      </c>
      <c r="N24" s="49" t="inlineStr">
        <is>
          <t>own BFCM 2025 lift (account data)</t>
        </is>
      </c>
      <c r="O24" s="50">
        <f>SUMIFS($T$38:$T$1420,$A$38:$A$1420,A24,$B$38:$B$1420,B24)</f>
        <v/>
      </c>
    </row>
    <row r="25">
      <c r="A25" s="49" t="inlineStr">
        <is>
          <t>US CL Cooling Sheets</t>
        </is>
      </c>
      <c r="B25" s="49" t="inlineStr">
        <is>
          <t>US</t>
        </is>
      </c>
      <c r="C25" s="49">
        <f>COUNTIFS($A$38:$A$1420,A25,$B$38:$B$1420,B25)</f>
        <v/>
      </c>
      <c r="D25" s="50">
        <f>SUMIFS($G$38:$G$1420,$A$38:$A$1420,A25,$B$38:$B$1420,B25)</f>
        <v/>
      </c>
      <c r="E25" s="50">
        <f>SUMIFS($H$38:$H$1420,$A$38:$A$1420,A25,$B$38:$B$1420,B25)</f>
        <v/>
      </c>
      <c r="F25" s="51">
        <f>SUMIFS($J$38:$J$1420,$A$38:$A$1420,A25,$B$38:$B$1420,B25)</f>
        <v/>
      </c>
      <c r="G25" s="52" t="n">
        <v>2.739572896439673</v>
      </c>
      <c r="H25" s="50">
        <f>SUMIFS($N$38:$N$1420,$A$38:$A$1420,A25,$B$38:$B$1420,B25)</f>
        <v/>
      </c>
      <c r="I25" s="50">
        <f>SUMIFS($O$38:$O$1420,$A$38:$A$1420,A25,$B$38:$B$1420,B25)</f>
        <v/>
      </c>
      <c r="J25" s="49">
        <f>COUNTIFS($A$38:$A$1420,A25,$B$38:$B$1420,B25,$R$38:$R$1420,"Covered to Nov 30")</f>
        <v/>
      </c>
      <c r="K25" s="49">
        <f>COUNTIFS($A$38:$A$1420,A25,$B$38:$B$1420,B25,$R$38:$R$1420,"Needs inbound in time")</f>
        <v/>
      </c>
      <c r="L25" s="49">
        <f>COUNTIFS($A$38:$A$1420,A25,$B$38:$B$1420,B25,$R$38:$R$1420,"Short even with inbound")</f>
        <v/>
      </c>
      <c r="M25" s="49">
        <f>COUNTIFS($A$38:$A$1420,A25,$B$38:$B$1420,B25,$R$38:$R$1420,"Out of stock now")</f>
        <v/>
      </c>
      <c r="N25" s="49" t="inlineStr">
        <is>
          <t>ASSUMED: account BFCM 2025 lift (US); product's own 2025 lift not available</t>
        </is>
      </c>
      <c r="O25" s="50">
        <f>SUMIFS($T$38:$T$1420,$A$38:$A$1420,A25,$B$38:$B$1420,B25)</f>
        <v/>
      </c>
    </row>
    <row r="26">
      <c r="A26" s="49" t="inlineStr">
        <is>
          <t>US CL Pillowcases</t>
        </is>
      </c>
      <c r="B26" s="49" t="inlineStr">
        <is>
          <t>US</t>
        </is>
      </c>
      <c r="C26" s="49">
        <f>COUNTIFS($A$38:$A$1420,A26,$B$38:$B$1420,B26)</f>
        <v/>
      </c>
      <c r="D26" s="50">
        <f>SUMIFS($G$38:$G$1420,$A$38:$A$1420,A26,$B$38:$B$1420,B26)</f>
        <v/>
      </c>
      <c r="E26" s="50">
        <f>SUMIFS($H$38:$H$1420,$A$38:$A$1420,A26,$B$38:$B$1420,B26)</f>
        <v/>
      </c>
      <c r="F26" s="51">
        <f>SUMIFS($J$38:$J$1420,$A$38:$A$1420,A26,$B$38:$B$1420,B26)</f>
        <v/>
      </c>
      <c r="G26" s="52" t="n">
        <v>2.739572896439673</v>
      </c>
      <c r="H26" s="50">
        <f>SUMIFS($N$38:$N$1420,$A$38:$A$1420,A26,$B$38:$B$1420,B26)</f>
        <v/>
      </c>
      <c r="I26" s="50">
        <f>SUMIFS($O$38:$O$1420,$A$38:$A$1420,A26,$B$38:$B$1420,B26)</f>
        <v/>
      </c>
      <c r="J26" s="49">
        <f>COUNTIFS($A$38:$A$1420,A26,$B$38:$B$1420,B26,$R$38:$R$1420,"Covered to Nov 30")</f>
        <v/>
      </c>
      <c r="K26" s="49">
        <f>COUNTIFS($A$38:$A$1420,A26,$B$38:$B$1420,B26,$R$38:$R$1420,"Needs inbound in time")</f>
        <v/>
      </c>
      <c r="L26" s="49">
        <f>COUNTIFS($A$38:$A$1420,A26,$B$38:$B$1420,B26,$R$38:$R$1420,"Short even with inbound")</f>
        <v/>
      </c>
      <c r="M26" s="49">
        <f>COUNTIFS($A$38:$A$1420,A26,$B$38:$B$1420,B26,$R$38:$R$1420,"Out of stock now")</f>
        <v/>
      </c>
      <c r="N26" s="49" t="inlineStr">
        <is>
          <t>ASSUMED: account BFCM 2025 lift (US); product's own 2025 lift not available</t>
        </is>
      </c>
      <c r="O26" s="50">
        <f>SUMIFS($T$38:$T$1420,$A$38:$A$1420,A26,$B$38:$B$1420,B26)</f>
        <v/>
      </c>
    </row>
    <row r="27">
      <c r="A27" s="49" t="inlineStr">
        <is>
          <t>US SL Cooling Pillowcase</t>
        </is>
      </c>
      <c r="B27" s="49" t="inlineStr">
        <is>
          <t>US</t>
        </is>
      </c>
      <c r="C27" s="49">
        <f>COUNTIFS($A$38:$A$1420,A27,$B$38:$B$1420,B27)</f>
        <v/>
      </c>
      <c r="D27" s="50">
        <f>SUMIFS($G$38:$G$1420,$A$38:$A$1420,A27,$B$38:$B$1420,B27)</f>
        <v/>
      </c>
      <c r="E27" s="50">
        <f>SUMIFS($H$38:$H$1420,$A$38:$A$1420,A27,$B$38:$B$1420,B27)</f>
        <v/>
      </c>
      <c r="F27" s="51">
        <f>SUMIFS($J$38:$J$1420,$A$38:$A$1420,A27,$B$38:$B$1420,B27)</f>
        <v/>
      </c>
      <c r="G27" s="52" t="n">
        <v>2.739572896439673</v>
      </c>
      <c r="H27" s="50">
        <f>SUMIFS($N$38:$N$1420,$A$38:$A$1420,A27,$B$38:$B$1420,B27)</f>
        <v/>
      </c>
      <c r="I27" s="50">
        <f>SUMIFS($O$38:$O$1420,$A$38:$A$1420,A27,$B$38:$B$1420,B27)</f>
        <v/>
      </c>
      <c r="J27" s="49">
        <f>COUNTIFS($A$38:$A$1420,A27,$B$38:$B$1420,B27,$R$38:$R$1420,"Covered to Nov 30")</f>
        <v/>
      </c>
      <c r="K27" s="49">
        <f>COUNTIFS($A$38:$A$1420,A27,$B$38:$B$1420,B27,$R$38:$R$1420,"Needs inbound in time")</f>
        <v/>
      </c>
      <c r="L27" s="49">
        <f>COUNTIFS($A$38:$A$1420,A27,$B$38:$B$1420,B27,$R$38:$R$1420,"Short even with inbound")</f>
        <v/>
      </c>
      <c r="M27" s="49">
        <f>COUNTIFS($A$38:$A$1420,A27,$B$38:$B$1420,B27,$R$38:$R$1420,"Out of stock now")</f>
        <v/>
      </c>
      <c r="N27" s="49" t="inlineStr">
        <is>
          <t>ASSUMED: account BFCM 2025 lift (US); product's own 2025 lift not reliable</t>
        </is>
      </c>
      <c r="O27" s="50">
        <f>SUMIFS($T$38:$T$1420,$A$38:$A$1420,A27,$B$38:$B$1420,B27)</f>
        <v/>
      </c>
    </row>
    <row r="28">
      <c r="A28" s="49" t="inlineStr">
        <is>
          <t>US SL Cooling Comforter</t>
        </is>
      </c>
      <c r="B28" s="49" t="inlineStr">
        <is>
          <t>US</t>
        </is>
      </c>
      <c r="C28" s="49">
        <f>COUNTIFS($A$38:$A$1420,A28,$B$38:$B$1420,B28)</f>
        <v/>
      </c>
      <c r="D28" s="50">
        <f>SUMIFS($G$38:$G$1420,$A$38:$A$1420,A28,$B$38:$B$1420,B28)</f>
        <v/>
      </c>
      <c r="E28" s="50">
        <f>SUMIFS($H$38:$H$1420,$A$38:$A$1420,A28,$B$38:$B$1420,B28)</f>
        <v/>
      </c>
      <c r="F28" s="51">
        <f>SUMIFS($J$38:$J$1420,$A$38:$A$1420,A28,$B$38:$B$1420,B28)</f>
        <v/>
      </c>
      <c r="G28" s="52" t="n">
        <v>3.393762896244322</v>
      </c>
      <c r="H28" s="50">
        <f>SUMIFS($N$38:$N$1420,$A$38:$A$1420,A28,$B$38:$B$1420,B28)</f>
        <v/>
      </c>
      <c r="I28" s="50">
        <f>SUMIFS($O$38:$O$1420,$A$38:$A$1420,A28,$B$38:$B$1420,B28)</f>
        <v/>
      </c>
      <c r="J28" s="49">
        <f>COUNTIFS($A$38:$A$1420,A28,$B$38:$B$1420,B28,$R$38:$R$1420,"Covered to Nov 30")</f>
        <v/>
      </c>
      <c r="K28" s="49">
        <f>COUNTIFS($A$38:$A$1420,A28,$B$38:$B$1420,B28,$R$38:$R$1420,"Needs inbound in time")</f>
        <v/>
      </c>
      <c r="L28" s="49">
        <f>COUNTIFS($A$38:$A$1420,A28,$B$38:$B$1420,B28,$R$38:$R$1420,"Short even with inbound")</f>
        <v/>
      </c>
      <c r="M28" s="49">
        <f>COUNTIFS($A$38:$A$1420,A28,$B$38:$B$1420,B28,$R$38:$R$1420,"Out of stock now")</f>
        <v/>
      </c>
      <c r="N28" s="49" t="inlineStr">
        <is>
          <t>own BFCM 2025 lift (account data)</t>
        </is>
      </c>
      <c r="O28" s="50">
        <f>SUMIFS($T$38:$T$1420,$A$38:$A$1420,A28,$B$38:$B$1420,B28)</f>
        <v/>
      </c>
    </row>
    <row r="29">
      <c r="A29" s="49" t="inlineStr">
        <is>
          <t>US SL Cooling Fitted</t>
        </is>
      </c>
      <c r="B29" s="49" t="inlineStr">
        <is>
          <t>US</t>
        </is>
      </c>
      <c r="C29" s="49">
        <f>COUNTIFS($A$38:$A$1420,A29,$B$38:$B$1420,B29)</f>
        <v/>
      </c>
      <c r="D29" s="50">
        <f>SUMIFS($G$38:$G$1420,$A$38:$A$1420,A29,$B$38:$B$1420,B29)</f>
        <v/>
      </c>
      <c r="E29" s="50">
        <f>SUMIFS($H$38:$H$1420,$A$38:$A$1420,A29,$B$38:$B$1420,B29)</f>
        <v/>
      </c>
      <c r="F29" s="51">
        <f>SUMIFS($J$38:$J$1420,$A$38:$A$1420,A29,$B$38:$B$1420,B29)</f>
        <v/>
      </c>
      <c r="G29" s="52" t="n">
        <v>0.9827610124981451</v>
      </c>
      <c r="H29" s="50">
        <f>SUMIFS($N$38:$N$1420,$A$38:$A$1420,A29,$B$38:$B$1420,B29)</f>
        <v/>
      </c>
      <c r="I29" s="50">
        <f>SUMIFS($O$38:$O$1420,$A$38:$A$1420,A29,$B$38:$B$1420,B29)</f>
        <v/>
      </c>
      <c r="J29" s="49">
        <f>COUNTIFS($A$38:$A$1420,A29,$B$38:$B$1420,B29,$R$38:$R$1420,"Covered to Nov 30")</f>
        <v/>
      </c>
      <c r="K29" s="49">
        <f>COUNTIFS($A$38:$A$1420,A29,$B$38:$B$1420,B29,$R$38:$R$1420,"Needs inbound in time")</f>
        <v/>
      </c>
      <c r="L29" s="49">
        <f>COUNTIFS($A$38:$A$1420,A29,$B$38:$B$1420,B29,$R$38:$R$1420,"Short even with inbound")</f>
        <v/>
      </c>
      <c r="M29" s="49">
        <f>COUNTIFS($A$38:$A$1420,A29,$B$38:$B$1420,B29,$R$38:$R$1420,"Out of stock now")</f>
        <v/>
      </c>
      <c r="N29" s="49" t="inlineStr">
        <is>
          <t>own BFCM 2025 lift (account data)</t>
        </is>
      </c>
      <c r="O29" s="50">
        <f>SUMIFS($T$38:$T$1420,$A$38:$A$1420,A29,$B$38:$B$1420,B29)</f>
        <v/>
      </c>
    </row>
    <row r="30">
      <c r="A30" s="49" t="inlineStr">
        <is>
          <t>US SL Quilt Set</t>
        </is>
      </c>
      <c r="B30" s="49" t="inlineStr">
        <is>
          <t>US</t>
        </is>
      </c>
      <c r="C30" s="49">
        <f>COUNTIFS($A$38:$A$1420,A30,$B$38:$B$1420,B30)</f>
        <v/>
      </c>
      <c r="D30" s="50">
        <f>SUMIFS($G$38:$G$1420,$A$38:$A$1420,A30,$B$38:$B$1420,B30)</f>
        <v/>
      </c>
      <c r="E30" s="50">
        <f>SUMIFS($H$38:$H$1420,$A$38:$A$1420,A30,$B$38:$B$1420,B30)</f>
        <v/>
      </c>
      <c r="F30" s="51">
        <f>SUMIFS($J$38:$J$1420,$A$38:$A$1420,A30,$B$38:$B$1420,B30)</f>
        <v/>
      </c>
      <c r="G30" s="52" t="n">
        <v>2.739572896439673</v>
      </c>
      <c r="H30" s="50">
        <f>SUMIFS($N$38:$N$1420,$A$38:$A$1420,A30,$B$38:$B$1420,B30)</f>
        <v/>
      </c>
      <c r="I30" s="50">
        <f>SUMIFS($O$38:$O$1420,$A$38:$A$1420,A30,$B$38:$B$1420,B30)</f>
        <v/>
      </c>
      <c r="J30" s="49">
        <f>COUNTIFS($A$38:$A$1420,A30,$B$38:$B$1420,B30,$R$38:$R$1420,"Covered to Nov 30")</f>
        <v/>
      </c>
      <c r="K30" s="49">
        <f>COUNTIFS($A$38:$A$1420,A30,$B$38:$B$1420,B30,$R$38:$R$1420,"Needs inbound in time")</f>
        <v/>
      </c>
      <c r="L30" s="49">
        <f>COUNTIFS($A$38:$A$1420,A30,$B$38:$B$1420,B30,$R$38:$R$1420,"Short even with inbound")</f>
        <v/>
      </c>
      <c r="M30" s="49">
        <f>COUNTIFS($A$38:$A$1420,A30,$B$38:$B$1420,B30,$R$38:$R$1420,"Out of stock now")</f>
        <v/>
      </c>
      <c r="N30" s="49" t="inlineStr">
        <is>
          <t>ASSUMED: account BFCM 2025 lift (US); product's own 2025 lift not available</t>
        </is>
      </c>
      <c r="O30" s="50">
        <f>SUMIFS($T$38:$T$1420,$A$38:$A$1420,A30,$B$38:$B$1420,B30)</f>
        <v/>
      </c>
    </row>
    <row r="31">
      <c r="A31" s="49" t="inlineStr">
        <is>
          <t>US DC Linen Curtains</t>
        </is>
      </c>
      <c r="B31" s="49" t="inlineStr">
        <is>
          <t>US</t>
        </is>
      </c>
      <c r="C31" s="49">
        <f>COUNTIFS($A$38:$A$1420,A31,$B$38:$B$1420,B31)</f>
        <v/>
      </c>
      <c r="D31" s="50">
        <f>SUMIFS($G$38:$G$1420,$A$38:$A$1420,A31,$B$38:$B$1420,B31)</f>
        <v/>
      </c>
      <c r="E31" s="50">
        <f>SUMIFS($H$38:$H$1420,$A$38:$A$1420,A31,$B$38:$B$1420,B31)</f>
        <v/>
      </c>
      <c r="F31" s="51">
        <f>SUMIFS($J$38:$J$1420,$A$38:$A$1420,A31,$B$38:$B$1420,B31)</f>
        <v/>
      </c>
      <c r="G31" s="52" t="n">
        <v>2.739572896439673</v>
      </c>
      <c r="H31" s="50">
        <f>SUMIFS($N$38:$N$1420,$A$38:$A$1420,A31,$B$38:$B$1420,B31)</f>
        <v/>
      </c>
      <c r="I31" s="50">
        <f>SUMIFS($O$38:$O$1420,$A$38:$A$1420,A31,$B$38:$B$1420,B31)</f>
        <v/>
      </c>
      <c r="J31" s="49">
        <f>COUNTIFS($A$38:$A$1420,A31,$B$38:$B$1420,B31,$R$38:$R$1420,"Covered to Nov 30")</f>
        <v/>
      </c>
      <c r="K31" s="49">
        <f>COUNTIFS($A$38:$A$1420,A31,$B$38:$B$1420,B31,$R$38:$R$1420,"Needs inbound in time")</f>
        <v/>
      </c>
      <c r="L31" s="49">
        <f>COUNTIFS($A$38:$A$1420,A31,$B$38:$B$1420,B31,$R$38:$R$1420,"Short even with inbound")</f>
        <v/>
      </c>
      <c r="M31" s="49">
        <f>COUNTIFS($A$38:$A$1420,A31,$B$38:$B$1420,B31,$R$38:$R$1420,"Out of stock now")</f>
        <v/>
      </c>
      <c r="N31" s="49" t="inlineStr">
        <is>
          <t>ASSUMED: account BFCM 2025 lift (US); product's own 2025 lift not available</t>
        </is>
      </c>
      <c r="O31" s="50">
        <f>SUMIFS($T$38:$T$1420,$A$38:$A$1420,A31,$B$38:$B$1420,B31)</f>
        <v/>
      </c>
    </row>
    <row r="32">
      <c r="A32" s="49" t="inlineStr">
        <is>
          <t>US DC Beach Towel</t>
        </is>
      </c>
      <c r="B32" s="49" t="inlineStr">
        <is>
          <t>US</t>
        </is>
      </c>
      <c r="C32" s="49">
        <f>COUNTIFS($A$38:$A$1420,A32,$B$38:$B$1420,B32)</f>
        <v/>
      </c>
      <c r="D32" s="50">
        <f>SUMIFS($G$38:$G$1420,$A$38:$A$1420,A32,$B$38:$B$1420,B32)</f>
        <v/>
      </c>
      <c r="E32" s="50">
        <f>SUMIFS($H$38:$H$1420,$A$38:$A$1420,A32,$B$38:$B$1420,B32)</f>
        <v/>
      </c>
      <c r="F32" s="51">
        <f>SUMIFS($J$38:$J$1420,$A$38:$A$1420,A32,$B$38:$B$1420,B32)</f>
        <v/>
      </c>
      <c r="G32" s="52" t="n">
        <v>2.739572896439673</v>
      </c>
      <c r="H32" s="50">
        <f>SUMIFS($N$38:$N$1420,$A$38:$A$1420,A32,$B$38:$B$1420,B32)</f>
        <v/>
      </c>
      <c r="I32" s="50">
        <f>SUMIFS($O$38:$O$1420,$A$38:$A$1420,A32,$B$38:$B$1420,B32)</f>
        <v/>
      </c>
      <c r="J32" s="49">
        <f>COUNTIFS($A$38:$A$1420,A32,$B$38:$B$1420,B32,$R$38:$R$1420,"Covered to Nov 30")</f>
        <v/>
      </c>
      <c r="K32" s="49">
        <f>COUNTIFS($A$38:$A$1420,A32,$B$38:$B$1420,B32,$R$38:$R$1420,"Needs inbound in time")</f>
        <v/>
      </c>
      <c r="L32" s="49">
        <f>COUNTIFS($A$38:$A$1420,A32,$B$38:$B$1420,B32,$R$38:$R$1420,"Short even with inbound")</f>
        <v/>
      </c>
      <c r="M32" s="49">
        <f>COUNTIFS($A$38:$A$1420,A32,$B$38:$B$1420,B32,$R$38:$R$1420,"Out of stock now")</f>
        <v/>
      </c>
      <c r="N32" s="49" t="inlineStr">
        <is>
          <t>ASSUMED: account BFCM 2025 lift (US); product's own 2025 lift not available</t>
        </is>
      </c>
      <c r="O32" s="50">
        <f>SUMIFS($T$38:$T$1420,$A$38:$A$1420,A32,$B$38:$B$1420,B32)</f>
        <v/>
      </c>
    </row>
    <row r="33">
      <c r="A33" s="49" t="inlineStr">
        <is>
          <t>US DC Welcome Sign</t>
        </is>
      </c>
      <c r="B33" s="49" t="inlineStr">
        <is>
          <t>US</t>
        </is>
      </c>
      <c r="C33" s="49">
        <f>COUNTIFS($A$38:$A$1420,A33,$B$38:$B$1420,B33)</f>
        <v/>
      </c>
      <c r="D33" s="50">
        <f>SUMIFS($G$38:$G$1420,$A$38:$A$1420,A33,$B$38:$B$1420,B33)</f>
        <v/>
      </c>
      <c r="E33" s="50">
        <f>SUMIFS($H$38:$H$1420,$A$38:$A$1420,A33,$B$38:$B$1420,B33)</f>
        <v/>
      </c>
      <c r="F33" s="51">
        <f>SUMIFS($J$38:$J$1420,$A$38:$A$1420,A33,$B$38:$B$1420,B33)</f>
        <v/>
      </c>
      <c r="G33" s="52" t="n">
        <v>2.739572896439673</v>
      </c>
      <c r="H33" s="50">
        <f>SUMIFS($N$38:$N$1420,$A$38:$A$1420,A33,$B$38:$B$1420,B33)</f>
        <v/>
      </c>
      <c r="I33" s="50">
        <f>SUMIFS($O$38:$O$1420,$A$38:$A$1420,A33,$B$38:$B$1420,B33)</f>
        <v/>
      </c>
      <c r="J33" s="49">
        <f>COUNTIFS($A$38:$A$1420,A33,$B$38:$B$1420,B33,$R$38:$R$1420,"Covered to Nov 30")</f>
        <v/>
      </c>
      <c r="K33" s="49">
        <f>COUNTIFS($A$38:$A$1420,A33,$B$38:$B$1420,B33,$R$38:$R$1420,"Needs inbound in time")</f>
        <v/>
      </c>
      <c r="L33" s="49">
        <f>COUNTIFS($A$38:$A$1420,A33,$B$38:$B$1420,B33,$R$38:$R$1420,"Short even with inbound")</f>
        <v/>
      </c>
      <c r="M33" s="49">
        <f>COUNTIFS($A$38:$A$1420,A33,$B$38:$B$1420,B33,$R$38:$R$1420,"Out of stock now")</f>
        <v/>
      </c>
      <c r="N33" s="49" t="inlineStr">
        <is>
          <t>ASSUMED: account BFCM 2025 lift (US); product's own 2025 lift not available</t>
        </is>
      </c>
      <c r="O33" s="50">
        <f>SUMIFS($T$38:$T$1420,$A$38:$A$1420,A33,$B$38:$B$1420,B33)</f>
        <v/>
      </c>
    </row>
    <row r="34">
      <c r="A34" s="49" t="inlineStr">
        <is>
          <t>US DC Chair Cover</t>
        </is>
      </c>
      <c r="B34" s="49" t="inlineStr">
        <is>
          <t>US</t>
        </is>
      </c>
      <c r="C34" s="49">
        <f>COUNTIFS($A$38:$A$1420,A34,$B$38:$B$1420,B34)</f>
        <v/>
      </c>
      <c r="D34" s="50">
        <f>SUMIFS($G$38:$G$1420,$A$38:$A$1420,A34,$B$38:$B$1420,B34)</f>
        <v/>
      </c>
      <c r="E34" s="50">
        <f>SUMIFS($H$38:$H$1420,$A$38:$A$1420,A34,$B$38:$B$1420,B34)</f>
        <v/>
      </c>
      <c r="F34" s="51">
        <f>SUMIFS($J$38:$J$1420,$A$38:$A$1420,A34,$B$38:$B$1420,B34)</f>
        <v/>
      </c>
      <c r="G34" s="52" t="n">
        <v>2.739572896439673</v>
      </c>
      <c r="H34" s="50">
        <f>SUMIFS($N$38:$N$1420,$A$38:$A$1420,A34,$B$38:$B$1420,B34)</f>
        <v/>
      </c>
      <c r="I34" s="50">
        <f>SUMIFS($O$38:$O$1420,$A$38:$A$1420,A34,$B$38:$B$1420,B34)</f>
        <v/>
      </c>
      <c r="J34" s="49">
        <f>COUNTIFS($A$38:$A$1420,A34,$B$38:$B$1420,B34,$R$38:$R$1420,"Covered to Nov 30")</f>
        <v/>
      </c>
      <c r="K34" s="49">
        <f>COUNTIFS($A$38:$A$1420,A34,$B$38:$B$1420,B34,$R$38:$R$1420,"Needs inbound in time")</f>
        <v/>
      </c>
      <c r="L34" s="49">
        <f>COUNTIFS($A$38:$A$1420,A34,$B$38:$B$1420,B34,$R$38:$R$1420,"Short even with inbound")</f>
        <v/>
      </c>
      <c r="M34" s="49">
        <f>COUNTIFS($A$38:$A$1420,A34,$B$38:$B$1420,B34,$R$38:$R$1420,"Out of stock now")</f>
        <v/>
      </c>
      <c r="N34" s="49" t="inlineStr">
        <is>
          <t>ASSUMED: account BFCM 2025 lift (US); product's own 2025 lift not reliable</t>
        </is>
      </c>
      <c r="O34" s="50">
        <f>SUMIFS($T$38:$T$1420,$A$38:$A$1420,A34,$B$38:$B$1420,B34)</f>
        <v/>
      </c>
    </row>
    <row r="35"/>
    <row r="36">
      <c r="A36" s="53" t="inlineStr">
        <is>
          <t>Every variation with stock, inbound or sales (sorted by sales a day within each product)</t>
        </is>
      </c>
    </row>
    <row r="37" ht="40" customHeight="1">
      <c r="A37" s="26" t="inlineStr">
        <is>
          <t>Product tab</t>
        </is>
      </c>
      <c r="B37" s="26" t="inlineStr">
        <is>
          <t>Mkt</t>
        </is>
      </c>
      <c r="C37" s="26" t="inlineStr">
        <is>
          <t>Child ASIN</t>
        </is>
      </c>
      <c r="D37" s="26" t="inlineStr">
        <is>
          <t>SKU</t>
        </is>
      </c>
      <c r="E37" s="26" t="inlineStr">
        <is>
          <t>Size</t>
        </is>
      </c>
      <c r="F37" s="26" t="inlineStr">
        <is>
          <t>Colour</t>
        </is>
      </c>
      <c r="G37" s="26" t="inlineStr">
        <is>
          <t>On hand at Amazon</t>
        </is>
      </c>
      <c r="H37" s="26" t="inlineStr">
        <is>
          <t>Inbound (sent to FBA)</t>
        </is>
      </c>
      <c r="I37" s="26" t="inlineStr">
        <is>
          <t>Inbound shipments (status: units)</t>
        </is>
      </c>
      <c r="J37" s="26" t="inlineStr">
        <is>
          <t>Sales a day now</t>
        </is>
      </c>
      <c r="K37" s="26" t="inlineStr">
        <is>
          <t>Velocity source</t>
        </is>
      </c>
      <c r="L37" s="26" t="inlineStr">
        <is>
          <t>BFCM lift used</t>
        </is>
      </c>
      <c r="M37" s="26" t="inlineStr">
        <is>
          <t>Lift source</t>
        </is>
      </c>
      <c r="N37" s="26" t="inlineStr">
        <is>
          <t>Units needed Oct 16 - Nov 30</t>
        </is>
      </c>
      <c r="O37" s="26" t="inlineStr">
        <is>
          <t>Short even with inbound</t>
        </is>
      </c>
      <c r="P37" s="26" t="inlineStr">
        <is>
          <t>Runs out (on hand only)</t>
        </is>
      </c>
      <c r="Q37" s="26" t="inlineStr">
        <is>
          <t>Runs out (with inbound)</t>
        </is>
      </c>
      <c r="R37" s="26" t="inlineStr">
        <is>
          <t>Status</t>
        </is>
      </c>
      <c r="S37" s="26" t="inlineStr">
        <is>
          <t>Sales a day, 28-day units / 28 (cross-check)</t>
        </is>
      </c>
      <c r="T37" s="26" t="inlineStr">
        <is>
          <t>Units needed at the 28-day pace</t>
        </is>
      </c>
    </row>
    <row r="38">
      <c r="A38" s="54" t="inlineStr">
        <is>
          <t>US DC B4</t>
        </is>
      </c>
      <c r="B38" s="54" t="inlineStr">
        <is>
          <t>US</t>
        </is>
      </c>
      <c r="C38" s="54" t="inlineStr">
        <is>
          <t>B08KQHRDDG</t>
        </is>
      </c>
      <c r="D38" s="54" t="inlineStr">
        <is>
          <t>BAMBOO-KING-WHITE</t>
        </is>
      </c>
      <c r="E38" s="54" t="inlineStr">
        <is>
          <t>King</t>
        </is>
      </c>
      <c r="F38" s="54" t="inlineStr">
        <is>
          <t>White</t>
        </is>
      </c>
      <c r="G38" s="55" t="n">
        <v>2225</v>
      </c>
      <c r="H38" s="55" t="n">
        <v>10</v>
      </c>
      <c r="I38" s="56" t="inlineStr">
        <is>
          <t>FBA19MRB64ZM receiving: 4; FBA19LNNN07V receiving: 5; FBA19LNL8KBZ receiving: 1</t>
        </is>
      </c>
      <c r="J38" s="57" t="n">
        <v>9.109999999999999</v>
      </c>
      <c r="K38" s="56" t="inlineStr">
        <is>
          <t>account data velocity</t>
        </is>
      </c>
      <c r="L38" s="58" t="n">
        <v>4.255</v>
      </c>
      <c r="M38" s="56" t="inlineStr">
        <is>
          <t>own BFCM 2025 lift (account data)</t>
        </is>
      </c>
      <c r="N38" s="59">
        <f>J38*34+J38*L38*12</f>
        <v/>
      </c>
      <c r="O38" s="59">
        <f>MAX(0,N38-G38-H38)</f>
        <v/>
      </c>
      <c r="P38" s="60">
        <f>IF(J38=0,"",IF(G38&lt;J38*34,DATE(2026,10,15)+G38/J38,IF(G38&lt;N38,DATE(2026,11,18)+(G38-J38*34)/(J38*L38),"after Nov 30")))</f>
        <v/>
      </c>
      <c r="Q38" s="60">
        <f>IF(J38=0,"",IF(G38+H38&lt;J38*34,DATE(2026,10,15)+(G38+H38)/J38,IF(G38+H38&lt;N38,DATE(2026,11,18)+(G38+H38-J38*34)/(J38*L38),"after Nov 30")))</f>
        <v/>
      </c>
      <c r="R38" s="54">
        <f>IF(AND(G38&lt;=0,J38&gt;0),"Out of stock now",IF(G38&gt;=N38,"Covered to Nov 30",IF(G38+H38&gt;=N38,"Needs inbound in time","Short even with inbound")))</f>
        <v/>
      </c>
      <c r="S38" s="57" t="n">
        <v>7.071</v>
      </c>
      <c r="T38" s="59">
        <f>IF(S38="","",S38*34+S38*L38*12)</f>
        <v/>
      </c>
    </row>
    <row r="39">
      <c r="A39" s="54" t="inlineStr">
        <is>
          <t>US DC B4</t>
        </is>
      </c>
      <c r="B39" s="54" t="inlineStr">
        <is>
          <t>US</t>
        </is>
      </c>
      <c r="C39" s="54" t="inlineStr">
        <is>
          <t>B08KQJGM74</t>
        </is>
      </c>
      <c r="D39" s="54" t="inlineStr">
        <is>
          <t>BAMBOO-QUEEN-WHITE</t>
        </is>
      </c>
      <c r="E39" s="54" t="inlineStr">
        <is>
          <t>Queen</t>
        </is>
      </c>
      <c r="F39" s="54" t="inlineStr">
        <is>
          <t>White</t>
        </is>
      </c>
      <c r="G39" s="55" t="n">
        <v>353</v>
      </c>
      <c r="H39" s="55" t="n">
        <v>372</v>
      </c>
      <c r="I39" s="56" t="inlineStr">
        <is>
          <t>FBA19N7WSG18 in transit: 120; FBA19N7RP6W7 in transit: 174; FBA19N7RQF4Q ready to ship: 78</t>
        </is>
      </c>
      <c r="J39" s="57" t="n">
        <v>5.7</v>
      </c>
      <c r="K39" s="56" t="inlineStr">
        <is>
          <t>account data velocity</t>
        </is>
      </c>
      <c r="L39" s="58" t="n">
        <v>4.255</v>
      </c>
      <c r="M39" s="56" t="inlineStr">
        <is>
          <t>own BFCM 2025 lift (account data)</t>
        </is>
      </c>
      <c r="N39" s="59">
        <f>J39*34+J39*L39*12</f>
        <v/>
      </c>
      <c r="O39" s="59">
        <f>MAX(0,N39-G39-H39)</f>
        <v/>
      </c>
      <c r="P39" s="60">
        <f>IF(J39=0,"",IF(G39&lt;J39*34,DATE(2026,10,15)+G39/J39,IF(G39&lt;N39,DATE(2026,11,18)+(G39-J39*34)/(J39*L39),"after Nov 30")))</f>
        <v/>
      </c>
      <c r="Q39" s="60">
        <f>IF(J39=0,"",IF(G39+H39&lt;J39*34,DATE(2026,10,15)+(G39+H39)/J39,IF(G39+H39&lt;N39,DATE(2026,11,18)+(G39+H39-J39*34)/(J39*L39),"after Nov 30")))</f>
        <v/>
      </c>
      <c r="R39" s="54">
        <f>IF(AND(G39&lt;=0,J39&gt;0),"Out of stock now",IF(G39&gt;=N39,"Covered to Nov 30",IF(G39+H39&gt;=N39,"Needs inbound in time","Short even with inbound")))</f>
        <v/>
      </c>
      <c r="S39" s="57" t="n">
        <v>3.929</v>
      </c>
      <c r="T39" s="59">
        <f>IF(S39="","",S39*34+S39*L39*12)</f>
        <v/>
      </c>
    </row>
    <row r="40">
      <c r="A40" s="54" t="inlineStr">
        <is>
          <t>US DC B4</t>
        </is>
      </c>
      <c r="B40" s="54" t="inlineStr">
        <is>
          <t>US</t>
        </is>
      </c>
      <c r="C40" s="54" t="inlineStr">
        <is>
          <t>B08KQJ62YC</t>
        </is>
      </c>
      <c r="D40" s="54" t="inlineStr">
        <is>
          <t>BAMBOO-KING-CREME</t>
        </is>
      </c>
      <c r="E40" s="54" t="inlineStr">
        <is>
          <t>King</t>
        </is>
      </c>
      <c r="F40" s="54" t="inlineStr">
        <is>
          <t>Creme</t>
        </is>
      </c>
      <c r="G40" s="55" t="n">
        <v>442</v>
      </c>
      <c r="H40" s="55" t="n">
        <v>516</v>
      </c>
      <c r="I40" s="56" t="inlineStr">
        <is>
          <t>FBA19STZ9LHZ ready to ship: 84; FBA19STRJMC3 ready to ship: 72; FBA19SV47PX1 ready to ship: 162; FBA19SV1CLVT ready to ship: 132; FBA19STYQSF4 ready to ship: 48; FBA19N82086K ready to ship: 60; FBA19P55072C in transit: 18</t>
        </is>
      </c>
      <c r="J40" s="57" t="n">
        <v>5.15</v>
      </c>
      <c r="K40" s="56" t="inlineStr">
        <is>
          <t>account data velocity</t>
        </is>
      </c>
      <c r="L40" s="58" t="n">
        <v>4.255</v>
      </c>
      <c r="M40" s="56" t="inlineStr">
        <is>
          <t>own BFCM 2025 lift (account data)</t>
        </is>
      </c>
      <c r="N40" s="59">
        <f>J40*34+J40*L40*12</f>
        <v/>
      </c>
      <c r="O40" s="59">
        <f>MAX(0,N40-G40-H40)</f>
        <v/>
      </c>
      <c r="P40" s="60">
        <f>IF(J40=0,"",IF(G40&lt;J40*34,DATE(2026,10,15)+G40/J40,IF(G40&lt;N40,DATE(2026,11,18)+(G40-J40*34)/(J40*L40),"after Nov 30")))</f>
        <v/>
      </c>
      <c r="Q40" s="60">
        <f>IF(J40=0,"",IF(G40+H40&lt;J40*34,DATE(2026,10,15)+(G40+H40)/J40,IF(G40+H40&lt;N40,DATE(2026,11,18)+(G40+H40-J40*34)/(J40*L40),"after Nov 30")))</f>
        <v/>
      </c>
      <c r="R40" s="54">
        <f>IF(AND(G40&lt;=0,J40&gt;0),"Out of stock now",IF(G40&gt;=N40,"Covered to Nov 30",IF(G40+H40&gt;=N40,"Needs inbound in time","Short even with inbound")))</f>
        <v/>
      </c>
      <c r="S40" s="57" t="n">
        <v>3.25</v>
      </c>
      <c r="T40" s="59">
        <f>IF(S40="","",S40*34+S40*L40*12)</f>
        <v/>
      </c>
    </row>
    <row r="41">
      <c r="A41" s="54" t="inlineStr">
        <is>
          <t>US DC B4</t>
        </is>
      </c>
      <c r="B41" s="54" t="inlineStr">
        <is>
          <t>US</t>
        </is>
      </c>
      <c r="C41" s="54" t="inlineStr">
        <is>
          <t>B08KQJMZ8Q</t>
        </is>
      </c>
      <c r="D41" s="54" t="inlineStr">
        <is>
          <t>BAMBOO-QUEEN-TAUPE</t>
        </is>
      </c>
      <c r="E41" s="54" t="inlineStr">
        <is>
          <t>Queen</t>
        </is>
      </c>
      <c r="F41" s="54" t="inlineStr">
        <is>
          <t>Taupe</t>
        </is>
      </c>
      <c r="G41" s="55" t="n">
        <v>332</v>
      </c>
      <c r="H41" s="55" t="n">
        <v>528</v>
      </c>
      <c r="I41" s="56" t="inlineStr">
        <is>
          <t>FBA19STZ9LHZ ready to ship: 54; FBA19STRJMC3 ready to ship: 36; FBA19SV47PX1 ready to ship: 36; FBA19SV1CLVT ready to ship: 48; FBA19STYQSF4 ready to ship: 24; FBA19P55072C in transit: 60; FBA19N7WSG18 in transit: 96; FBA19N7RP6W7 in transit: 114; FBA19N7RQF4Q ready to ship: 60</t>
        </is>
      </c>
      <c r="J41" s="57" t="n">
        <v>4.62</v>
      </c>
      <c r="K41" s="56" t="inlineStr">
        <is>
          <t>account data velocity</t>
        </is>
      </c>
      <c r="L41" s="58" t="n">
        <v>4.255</v>
      </c>
      <c r="M41" s="56" t="inlineStr">
        <is>
          <t>own BFCM 2025 lift (account data)</t>
        </is>
      </c>
      <c r="N41" s="59">
        <f>J41*34+J41*L41*12</f>
        <v/>
      </c>
      <c r="O41" s="59">
        <f>MAX(0,N41-G41-H41)</f>
        <v/>
      </c>
      <c r="P41" s="60">
        <f>IF(J41=0,"",IF(G41&lt;J41*34,DATE(2026,10,15)+G41/J41,IF(G41&lt;N41,DATE(2026,11,18)+(G41-J41*34)/(J41*L41),"after Nov 30")))</f>
        <v/>
      </c>
      <c r="Q41" s="60">
        <f>IF(J41=0,"",IF(G41+H41&lt;J41*34,DATE(2026,10,15)+(G41+H41)/J41,IF(G41+H41&lt;N41,DATE(2026,11,18)+(G41+H41-J41*34)/(J41*L41),"after Nov 30")))</f>
        <v/>
      </c>
      <c r="R41" s="54">
        <f>IF(AND(G41&lt;=0,J41&gt;0),"Out of stock now",IF(G41&gt;=N41,"Covered to Nov 30",IF(G41+H41&gt;=N41,"Needs inbound in time","Short even with inbound")))</f>
        <v/>
      </c>
      <c r="S41" s="57" t="n">
        <v>2.036</v>
      </c>
      <c r="T41" s="59">
        <f>IF(S41="","",S41*34+S41*L41*12)</f>
        <v/>
      </c>
    </row>
    <row r="42">
      <c r="A42" s="54" t="inlineStr">
        <is>
          <t>US DC B4</t>
        </is>
      </c>
      <c r="B42" s="54" t="inlineStr">
        <is>
          <t>US</t>
        </is>
      </c>
      <c r="C42" s="54" t="inlineStr">
        <is>
          <t>B08KQLK2HK</t>
        </is>
      </c>
      <c r="D42" s="54" t="inlineStr">
        <is>
          <t>BAMBOO-KING-OLIVE</t>
        </is>
      </c>
      <c r="E42" s="54" t="inlineStr">
        <is>
          <t>King</t>
        </is>
      </c>
      <c r="F42" s="54" t="inlineStr">
        <is>
          <t>Olive</t>
        </is>
      </c>
      <c r="G42" s="55" t="n">
        <v>230</v>
      </c>
      <c r="H42" s="55" t="n">
        <v>54</v>
      </c>
      <c r="I42" s="56" t="inlineStr">
        <is>
          <t>FBA19STZ9LHZ ready to ship: 12; FBA19STRJMC3 ready to ship: 6; FBA19SV47PX1 ready to ship: 12; FBA19SV1CLVT ready to ship: 18; FBA19STYQSF4 ready to ship: 6</t>
        </is>
      </c>
      <c r="J42" s="57" t="n">
        <v>3.94</v>
      </c>
      <c r="K42" s="56" t="inlineStr">
        <is>
          <t>account data velocity</t>
        </is>
      </c>
      <c r="L42" s="58" t="n">
        <v>4.255</v>
      </c>
      <c r="M42" s="56" t="inlineStr">
        <is>
          <t>own BFCM 2025 lift (account data)</t>
        </is>
      </c>
      <c r="N42" s="59">
        <f>J42*34+J42*L42*12</f>
        <v/>
      </c>
      <c r="O42" s="59">
        <f>MAX(0,N42-G42-H42)</f>
        <v/>
      </c>
      <c r="P42" s="60">
        <f>IF(J42=0,"",IF(G42&lt;J42*34,DATE(2026,10,15)+G42/J42,IF(G42&lt;N42,DATE(2026,11,18)+(G42-J42*34)/(J42*L42),"after Nov 30")))</f>
        <v/>
      </c>
      <c r="Q42" s="60">
        <f>IF(J42=0,"",IF(G42+H42&lt;J42*34,DATE(2026,10,15)+(G42+H42)/J42,IF(G42+H42&lt;N42,DATE(2026,11,18)+(G42+H42-J42*34)/(J42*L42),"after Nov 30")))</f>
        <v/>
      </c>
      <c r="R42" s="54">
        <f>IF(AND(G42&lt;=0,J42&gt;0),"Out of stock now",IF(G42&gt;=N42,"Covered to Nov 30",IF(G42+H42&gt;=N42,"Needs inbound in time","Short even with inbound")))</f>
        <v/>
      </c>
      <c r="S42" s="57" t="n">
        <v>2.214</v>
      </c>
      <c r="T42" s="59">
        <f>IF(S42="","",S42*34+S42*L42*12)</f>
        <v/>
      </c>
    </row>
    <row r="43">
      <c r="A43" s="54" t="inlineStr">
        <is>
          <t>US DC B4</t>
        </is>
      </c>
      <c r="B43" s="54" t="inlineStr">
        <is>
          <t>US</t>
        </is>
      </c>
      <c r="C43" s="54" t="inlineStr">
        <is>
          <t>B08KQJ3M9N</t>
        </is>
      </c>
      <c r="D43" s="54" t="inlineStr">
        <is>
          <t>BAMBOO-KING-LIGHTGREY</t>
        </is>
      </c>
      <c r="E43" s="54" t="inlineStr">
        <is>
          <t>King</t>
        </is>
      </c>
      <c r="F43" s="54" t="inlineStr">
        <is>
          <t>Light Grey</t>
        </is>
      </c>
      <c r="G43" s="55" t="n">
        <v>366</v>
      </c>
      <c r="H43" s="55" t="n">
        <v>210</v>
      </c>
      <c r="I43" s="56" t="inlineStr">
        <is>
          <t>FBA19STZ9LHZ ready to ship: 6; FBA19STRJMC3 ready to ship: 6; FBA19SV47PX1 ready to ship: 6; FBA19SV1CLVT ready to ship: 6; FBA19STYQSF4 ready to ship: 6; FBA19P55072C in transit: 180</t>
        </is>
      </c>
      <c r="J43" s="57" t="n">
        <v>3.93</v>
      </c>
      <c r="K43" s="56" t="inlineStr">
        <is>
          <t>account data velocity</t>
        </is>
      </c>
      <c r="L43" s="58" t="n">
        <v>4.255</v>
      </c>
      <c r="M43" s="56" t="inlineStr">
        <is>
          <t>own BFCM 2025 lift (account data)</t>
        </is>
      </c>
      <c r="N43" s="59">
        <f>J43*34+J43*L43*12</f>
        <v/>
      </c>
      <c r="O43" s="59">
        <f>MAX(0,N43-G43-H43)</f>
        <v/>
      </c>
      <c r="P43" s="60">
        <f>IF(J43=0,"",IF(G43&lt;J43*34,DATE(2026,10,15)+G43/J43,IF(G43&lt;N43,DATE(2026,11,18)+(G43-J43*34)/(J43*L43),"after Nov 30")))</f>
        <v/>
      </c>
      <c r="Q43" s="60">
        <f>IF(J43=0,"",IF(G43+H43&lt;J43*34,DATE(2026,10,15)+(G43+H43)/J43,IF(G43+H43&lt;N43,DATE(2026,11,18)+(G43+H43-J43*34)/(J43*L43),"after Nov 30")))</f>
        <v/>
      </c>
      <c r="R43" s="54">
        <f>IF(AND(G43&lt;=0,J43&gt;0),"Out of stock now",IF(G43&gt;=N43,"Covered to Nov 30",IF(G43+H43&gt;=N43,"Needs inbound in time","Short even with inbound")))</f>
        <v/>
      </c>
      <c r="S43" s="57" t="n">
        <v>2.857</v>
      </c>
      <c r="T43" s="59">
        <f>IF(S43="","",S43*34+S43*L43*12)</f>
        <v/>
      </c>
    </row>
    <row r="44">
      <c r="A44" s="54" t="inlineStr">
        <is>
          <t>US DC B4</t>
        </is>
      </c>
      <c r="B44" s="54" t="inlineStr">
        <is>
          <t>US</t>
        </is>
      </c>
      <c r="C44" s="54" t="inlineStr">
        <is>
          <t>B08KQK9WCY</t>
        </is>
      </c>
      <c r="D44" s="54" t="inlineStr">
        <is>
          <t>BAMBOO-KING-NAVYBLUE</t>
        </is>
      </c>
      <c r="E44" s="54" t="inlineStr">
        <is>
          <t>King</t>
        </is>
      </c>
      <c r="F44" s="54" t="inlineStr">
        <is>
          <t>Navy Blue</t>
        </is>
      </c>
      <c r="G44" s="55" t="n">
        <v>245</v>
      </c>
      <c r="H44" s="55" t="n">
        <v>156</v>
      </c>
      <c r="I44" s="56" t="inlineStr">
        <is>
          <t>FBA19N82086K ready to ship: 48; FBA19P55072C in transit: 78; FBA19N7WSG18 in transit: 24; FBA19N7RP6W7 in transit: 42; FBA19N7RQF4Q ready to ship: 6; FBA19JY3ZHW1 receiving: 6</t>
        </is>
      </c>
      <c r="J44" s="57" t="n">
        <v>3.62</v>
      </c>
      <c r="K44" s="56" t="inlineStr">
        <is>
          <t>account data velocity</t>
        </is>
      </c>
      <c r="L44" s="58" t="n">
        <v>4.255</v>
      </c>
      <c r="M44" s="56" t="inlineStr">
        <is>
          <t>own BFCM 2025 lift (account data)</t>
        </is>
      </c>
      <c r="N44" s="59">
        <f>J44*34+J44*L44*12</f>
        <v/>
      </c>
      <c r="O44" s="59">
        <f>MAX(0,N44-G44-H44)</f>
        <v/>
      </c>
      <c r="P44" s="60">
        <f>IF(J44=0,"",IF(G44&lt;J44*34,DATE(2026,10,15)+G44/J44,IF(G44&lt;N44,DATE(2026,11,18)+(G44-J44*34)/(J44*L44),"after Nov 30")))</f>
        <v/>
      </c>
      <c r="Q44" s="60">
        <f>IF(J44=0,"",IF(G44+H44&lt;J44*34,DATE(2026,10,15)+(G44+H44)/J44,IF(G44+H44&lt;N44,DATE(2026,11,18)+(G44+H44-J44*34)/(J44*L44),"after Nov 30")))</f>
        <v/>
      </c>
      <c r="R44" s="54">
        <f>IF(AND(G44&lt;=0,J44&gt;0),"Out of stock now",IF(G44&gt;=N44,"Covered to Nov 30",IF(G44+H44&gt;=N44,"Needs inbound in time","Short even with inbound")))</f>
        <v/>
      </c>
      <c r="S44" s="57" t="n">
        <v>3.429</v>
      </c>
      <c r="T44" s="59">
        <f>IF(S44="","",S44*34+S44*L44*12)</f>
        <v/>
      </c>
    </row>
    <row r="45">
      <c r="A45" s="54" t="inlineStr">
        <is>
          <t>US DC B4</t>
        </is>
      </c>
      <c r="B45" s="54" t="inlineStr">
        <is>
          <t>US</t>
        </is>
      </c>
      <c r="C45" s="54" t="inlineStr">
        <is>
          <t>B0CRHYYVZQ</t>
        </is>
      </c>
      <c r="D45" s="54" t="inlineStr">
        <is>
          <t>BAMBOO-KING-BURGUNDY-NEW</t>
        </is>
      </c>
      <c r="E45" s="54" t="inlineStr">
        <is>
          <t>King</t>
        </is>
      </c>
      <c r="F45" s="54" t="inlineStr">
        <is>
          <t>Burgundy</t>
        </is>
      </c>
      <c r="G45" s="55" t="n">
        <v>219</v>
      </c>
      <c r="H45" s="55" t="n">
        <v>270</v>
      </c>
      <c r="I45" s="56" t="inlineStr">
        <is>
          <t>FBA19STZ9LHZ ready to ship: 54; FBA19STRJMC3 ready to ship: 36; FBA19SV47PX1 ready to ship: 48; FBA19SV1CLVT ready to ship: 60; FBA19STYQSF4 ready to ship: 24; FBA19N7WSG18 in transit: 12; FBA19N7RP6W7 in transit: 18; FBA19N7RQF4Q ready to ship: 18</t>
        </is>
      </c>
      <c r="J45" s="57" t="n">
        <v>3.27</v>
      </c>
      <c r="K45" s="56" t="inlineStr">
        <is>
          <t>account data velocity</t>
        </is>
      </c>
      <c r="L45" s="58" t="n">
        <v>4.255</v>
      </c>
      <c r="M45" s="56" t="inlineStr">
        <is>
          <t>own BFCM 2025 lift (account data)</t>
        </is>
      </c>
      <c r="N45" s="59">
        <f>J45*34+J45*L45*12</f>
        <v/>
      </c>
      <c r="O45" s="59">
        <f>MAX(0,N45-G45-H45)</f>
        <v/>
      </c>
      <c r="P45" s="60">
        <f>IF(J45=0,"",IF(G45&lt;J45*34,DATE(2026,10,15)+G45/J45,IF(G45&lt;N45,DATE(2026,11,18)+(G45-J45*34)/(J45*L45),"after Nov 30")))</f>
        <v/>
      </c>
      <c r="Q45" s="60">
        <f>IF(J45=0,"",IF(G45+H45&lt;J45*34,DATE(2026,10,15)+(G45+H45)/J45,IF(G45+H45&lt;N45,DATE(2026,11,18)+(G45+H45-J45*34)/(J45*L45),"after Nov 30")))</f>
        <v/>
      </c>
      <c r="R45" s="54">
        <f>IF(AND(G45&lt;=0,J45&gt;0),"Out of stock now",IF(G45&gt;=N45,"Covered to Nov 30",IF(G45+H45&gt;=N45,"Needs inbound in time","Short even with inbound")))</f>
        <v/>
      </c>
      <c r="S45" s="57" t="n">
        <v>2.536</v>
      </c>
      <c r="T45" s="59">
        <f>IF(S45="","",S45*34+S45*L45*12)</f>
        <v/>
      </c>
    </row>
    <row r="46">
      <c r="A46" s="54" t="inlineStr">
        <is>
          <t>US DC B4</t>
        </is>
      </c>
      <c r="B46" s="54" t="inlineStr">
        <is>
          <t>US</t>
        </is>
      </c>
      <c r="C46" s="54" t="inlineStr">
        <is>
          <t>B08KQJRSW6</t>
        </is>
      </c>
      <c r="D46" s="54" t="inlineStr">
        <is>
          <t>BAMBOO-QUEEN-OLIVE</t>
        </is>
      </c>
      <c r="E46" s="54" t="inlineStr">
        <is>
          <t>Queen</t>
        </is>
      </c>
      <c r="F46" s="54" t="inlineStr">
        <is>
          <t>Olive</t>
        </is>
      </c>
      <c r="G46" s="55" t="n">
        <v>262</v>
      </c>
      <c r="H46" s="55" t="n">
        <v>216</v>
      </c>
      <c r="I46" s="56" t="inlineStr">
        <is>
          <t>FBA19STZ9LHZ ready to ship: 54; FBA19STRJMC3 ready to ship: 36; FBA19SV47PX1 ready to ship: 42; FBA19SV1CLVT ready to ship: 54; FBA19STYQSF4 ready to ship: 30</t>
        </is>
      </c>
      <c r="J46" s="57" t="n">
        <v>3.24</v>
      </c>
      <c r="K46" s="56" t="inlineStr">
        <is>
          <t>account data velocity</t>
        </is>
      </c>
      <c r="L46" s="58" t="n">
        <v>4.255</v>
      </c>
      <c r="M46" s="56" t="inlineStr">
        <is>
          <t>own BFCM 2025 lift (account data)</t>
        </is>
      </c>
      <c r="N46" s="59">
        <f>J46*34+J46*L46*12</f>
        <v/>
      </c>
      <c r="O46" s="59">
        <f>MAX(0,N46-G46-H46)</f>
        <v/>
      </c>
      <c r="P46" s="60">
        <f>IF(J46=0,"",IF(G46&lt;J46*34,DATE(2026,10,15)+G46/J46,IF(G46&lt;N46,DATE(2026,11,18)+(G46-J46*34)/(J46*L46),"after Nov 30")))</f>
        <v/>
      </c>
      <c r="Q46" s="60">
        <f>IF(J46=0,"",IF(G46+H46&lt;J46*34,DATE(2026,10,15)+(G46+H46)/J46,IF(G46+H46&lt;N46,DATE(2026,11,18)+(G46+H46-J46*34)/(J46*L46),"after Nov 30")))</f>
        <v/>
      </c>
      <c r="R46" s="54">
        <f>IF(AND(G46&lt;=0,J46&gt;0),"Out of stock now",IF(G46&gt;=N46,"Covered to Nov 30",IF(G46+H46&gt;=N46,"Needs inbound in time","Short even with inbound")))</f>
        <v/>
      </c>
      <c r="S46" s="57" t="n">
        <v>2.393</v>
      </c>
      <c r="T46" s="59">
        <f>IF(S46="","",S46*34+S46*L46*12)</f>
        <v/>
      </c>
    </row>
    <row r="47">
      <c r="A47" s="54" t="inlineStr">
        <is>
          <t>US DC B4</t>
        </is>
      </c>
      <c r="B47" s="54" t="inlineStr">
        <is>
          <t>US</t>
        </is>
      </c>
      <c r="C47" s="54" t="inlineStr">
        <is>
          <t>B08KQKXQLS</t>
        </is>
      </c>
      <c r="D47" s="54" t="inlineStr">
        <is>
          <t>BAMBOO-QUEEN-LIGHTBLUE</t>
        </is>
      </c>
      <c r="E47" s="54" t="inlineStr">
        <is>
          <t>Queen</t>
        </is>
      </c>
      <c r="F47" s="54" t="inlineStr">
        <is>
          <t>Light Blue</t>
        </is>
      </c>
      <c r="G47" s="55" t="n">
        <v>286</v>
      </c>
      <c r="H47" s="55" t="n">
        <v>384</v>
      </c>
      <c r="I47" s="56" t="inlineStr">
        <is>
          <t>FBA19SV5KWMR ready to ship: 30; FBA19STZ9LHZ ready to ship: 90; FBA19STRJMC3 ready to ship: 78; FBA19SV47PX1 ready to ship: 96; FBA19SV1CLVT ready to ship: 72; FBA19STYQSF4 ready to ship: 48</t>
        </is>
      </c>
      <c r="J47" s="57" t="n">
        <v>3.13</v>
      </c>
      <c r="K47" s="56" t="inlineStr">
        <is>
          <t>account data velocity</t>
        </is>
      </c>
      <c r="L47" s="58" t="n">
        <v>4.255</v>
      </c>
      <c r="M47" s="56" t="inlineStr">
        <is>
          <t>own BFCM 2025 lift (account data)</t>
        </is>
      </c>
      <c r="N47" s="59">
        <f>J47*34+J47*L47*12</f>
        <v/>
      </c>
      <c r="O47" s="59">
        <f>MAX(0,N47-G47-H47)</f>
        <v/>
      </c>
      <c r="P47" s="60">
        <f>IF(J47=0,"",IF(G47&lt;J47*34,DATE(2026,10,15)+G47/J47,IF(G47&lt;N47,DATE(2026,11,18)+(G47-J47*34)/(J47*L47),"after Nov 30")))</f>
        <v/>
      </c>
      <c r="Q47" s="60">
        <f>IF(J47=0,"",IF(G47+H47&lt;J47*34,DATE(2026,10,15)+(G47+H47)/J47,IF(G47+H47&lt;N47,DATE(2026,11,18)+(G47+H47-J47*34)/(J47*L47),"after Nov 30")))</f>
        <v/>
      </c>
      <c r="R47" s="54">
        <f>IF(AND(G47&lt;=0,J47&gt;0),"Out of stock now",IF(G47&gt;=N47,"Covered to Nov 30",IF(G47+H47&gt;=N47,"Needs inbound in time","Short even with inbound")))</f>
        <v/>
      </c>
      <c r="S47" s="57" t="n">
        <v>2.321</v>
      </c>
      <c r="T47" s="59">
        <f>IF(S47="","",S47*34+S47*L47*12)</f>
        <v/>
      </c>
    </row>
    <row r="48">
      <c r="A48" s="54" t="inlineStr">
        <is>
          <t>US DC B4</t>
        </is>
      </c>
      <c r="B48" s="54" t="inlineStr">
        <is>
          <t>US</t>
        </is>
      </c>
      <c r="C48" s="54" t="inlineStr">
        <is>
          <t>B08KQL6HKG</t>
        </is>
      </c>
      <c r="D48" s="54" t="inlineStr">
        <is>
          <t>BAMBOO-KING-LIGHTBLUE</t>
        </is>
      </c>
      <c r="E48" s="54" t="inlineStr">
        <is>
          <t>King</t>
        </is>
      </c>
      <c r="F48" s="54" t="inlineStr">
        <is>
          <t>Light Blue</t>
        </is>
      </c>
      <c r="G48" s="55" t="n">
        <v>378</v>
      </c>
      <c r="H48" s="55" t="n">
        <v>66</v>
      </c>
      <c r="I48" s="56" t="inlineStr">
        <is>
          <t>FBA19STZ9LHZ ready to ship: 12; FBA19STRJMC3 ready to ship: 12; FBA19SV47PX1 ready to ship: 24; FBA19SV1CLVT ready to ship: 12; FBA19STYQSF4 ready to ship: 6</t>
        </is>
      </c>
      <c r="J48" s="57" t="n">
        <v>3.05</v>
      </c>
      <c r="K48" s="56" t="inlineStr">
        <is>
          <t>account data velocity</t>
        </is>
      </c>
      <c r="L48" s="58" t="n">
        <v>4.255</v>
      </c>
      <c r="M48" s="56" t="inlineStr">
        <is>
          <t>own BFCM 2025 lift (account data)</t>
        </is>
      </c>
      <c r="N48" s="59">
        <f>J48*34+J48*L48*12</f>
        <v/>
      </c>
      <c r="O48" s="59">
        <f>MAX(0,N48-G48-H48)</f>
        <v/>
      </c>
      <c r="P48" s="60">
        <f>IF(J48=0,"",IF(G48&lt;J48*34,DATE(2026,10,15)+G48/J48,IF(G48&lt;N48,DATE(2026,11,18)+(G48-J48*34)/(J48*L48),"after Nov 30")))</f>
        <v/>
      </c>
      <c r="Q48" s="60">
        <f>IF(J48=0,"",IF(G48+H48&lt;J48*34,DATE(2026,10,15)+(G48+H48)/J48,IF(G48+H48&lt;N48,DATE(2026,11,18)+(G48+H48-J48*34)/(J48*L48),"after Nov 30")))</f>
        <v/>
      </c>
      <c r="R48" s="54">
        <f>IF(AND(G48&lt;=0,J48&gt;0),"Out of stock now",IF(G48&gt;=N48,"Covered to Nov 30",IF(G48+H48&gt;=N48,"Needs inbound in time","Short even with inbound")))</f>
        <v/>
      </c>
      <c r="S48" s="57" t="n">
        <v>2.071</v>
      </c>
      <c r="T48" s="59">
        <f>IF(S48="","",S48*34+S48*L48*12)</f>
        <v/>
      </c>
    </row>
    <row r="49">
      <c r="A49" s="54" t="inlineStr">
        <is>
          <t>US DC B4</t>
        </is>
      </c>
      <c r="B49" s="54" t="inlineStr">
        <is>
          <t>US</t>
        </is>
      </c>
      <c r="C49" s="54" t="inlineStr">
        <is>
          <t>B0BZPZ2L1R</t>
        </is>
      </c>
      <c r="D49" s="54" t="inlineStr">
        <is>
          <t>BAMBOO-KING-BLACK</t>
        </is>
      </c>
      <c r="E49" s="54" t="inlineStr">
        <is>
          <t>King</t>
        </is>
      </c>
      <c r="F49" s="54" t="inlineStr">
        <is>
          <t>Black</t>
        </is>
      </c>
      <c r="G49" s="55" t="n">
        <v>171</v>
      </c>
      <c r="H49" s="55" t="n">
        <v>174</v>
      </c>
      <c r="I49" s="56" t="inlineStr">
        <is>
          <t>FBA19STZ9LHZ ready to ship: 30; FBA19STRJMC3 ready to ship: 18; FBA19SV47PX1 ready to ship: 24; FBA19SV1CLVT ready to ship: 30; FBA19STYQSF4 ready to ship: 12; FBA19QLJLR1F shipped: 12; FBA19QLKCVBW shipped: 12; FBA19QLK9CYH shipped: 6; FBA19QLKHC6Q shipped: 12; FBA19QLJ0ZP4 shipped: 18</t>
        </is>
      </c>
      <c r="J49" s="57" t="n">
        <v>2.87</v>
      </c>
      <c r="K49" s="56" t="inlineStr">
        <is>
          <t>account data velocity</t>
        </is>
      </c>
      <c r="L49" s="58" t="n">
        <v>4.255</v>
      </c>
      <c r="M49" s="56" t="inlineStr">
        <is>
          <t>own BFCM 2025 lift (account data)</t>
        </is>
      </c>
      <c r="N49" s="59">
        <f>J49*34+J49*L49*12</f>
        <v/>
      </c>
      <c r="O49" s="59">
        <f>MAX(0,N49-G49-H49)</f>
        <v/>
      </c>
      <c r="P49" s="60">
        <f>IF(J49=0,"",IF(G49&lt;J49*34,DATE(2026,10,15)+G49/J49,IF(G49&lt;N49,DATE(2026,11,18)+(G49-J49*34)/(J49*L49),"after Nov 30")))</f>
        <v/>
      </c>
      <c r="Q49" s="60">
        <f>IF(J49=0,"",IF(G49+H49&lt;J49*34,DATE(2026,10,15)+(G49+H49)/J49,IF(G49+H49&lt;N49,DATE(2026,11,18)+(G49+H49-J49*34)/(J49*L49),"after Nov 30")))</f>
        <v/>
      </c>
      <c r="R49" s="54">
        <f>IF(AND(G49&lt;=0,J49&gt;0),"Out of stock now",IF(G49&gt;=N49,"Covered to Nov 30",IF(G49+H49&gt;=N49,"Needs inbound in time","Short even with inbound")))</f>
        <v/>
      </c>
      <c r="S49" s="57" t="n">
        <v>1.679</v>
      </c>
      <c r="T49" s="59">
        <f>IF(S49="","",S49*34+S49*L49*12)</f>
        <v/>
      </c>
    </row>
    <row r="50">
      <c r="A50" s="54" t="inlineStr">
        <is>
          <t>US DC B4</t>
        </is>
      </c>
      <c r="B50" s="54" t="inlineStr">
        <is>
          <t>US</t>
        </is>
      </c>
      <c r="C50" s="54" t="inlineStr">
        <is>
          <t>B08KQKKRNC</t>
        </is>
      </c>
      <c r="D50" s="54" t="inlineStr">
        <is>
          <t>BAMBOO-QUEEN-NAVYBLUE</t>
        </is>
      </c>
      <c r="E50" s="54" t="inlineStr">
        <is>
          <t>Queen</t>
        </is>
      </c>
      <c r="F50" s="54" t="inlineStr">
        <is>
          <t>Navy Blue</t>
        </is>
      </c>
      <c r="G50" s="55" t="n">
        <v>204</v>
      </c>
      <c r="H50" s="55" t="n">
        <v>186</v>
      </c>
      <c r="I50" s="56" t="inlineStr">
        <is>
          <t>FBA19STZ9LHZ ready to ship: 12; FBA19STRJMC3 ready to ship: 6; FBA19SV47PX1 ready to ship: 6; FBA19SV1CLVT ready to ship: 6; FBA19STYQSF4 ready to ship: 6; FBA19RS1HC4F shipped: 12; FBA19RRY6QFT shipped: 12; FBA19RS0N5K2 shipped: 6; FBA19RRYCGHJ shipped: 6; FBA19RRY5FBL shipped: 12; FBA19QLJLR1F shipped: 24; FBA19QLKCVBW shipped: 18; FBA19QLK9CYH shipped: 12; FBA19QLKHC6Q shipped: 18; FBA19QLJ0ZP4 shipped: 30</t>
        </is>
      </c>
      <c r="J50" s="57" t="n">
        <v>2.78</v>
      </c>
      <c r="K50" s="56" t="inlineStr">
        <is>
          <t>account data velocity</t>
        </is>
      </c>
      <c r="L50" s="58" t="n">
        <v>4.255</v>
      </c>
      <c r="M50" s="56" t="inlineStr">
        <is>
          <t>own BFCM 2025 lift (account data)</t>
        </is>
      </c>
      <c r="N50" s="59">
        <f>J50*34+J50*L50*12</f>
        <v/>
      </c>
      <c r="O50" s="59">
        <f>MAX(0,N50-G50-H50)</f>
        <v/>
      </c>
      <c r="P50" s="60">
        <f>IF(J50=0,"",IF(G50&lt;J50*34,DATE(2026,10,15)+G50/J50,IF(G50&lt;N50,DATE(2026,11,18)+(G50-J50*34)/(J50*L50),"after Nov 30")))</f>
        <v/>
      </c>
      <c r="Q50" s="60">
        <f>IF(J50=0,"",IF(G50+H50&lt;J50*34,DATE(2026,10,15)+(G50+H50)/J50,IF(G50+H50&lt;N50,DATE(2026,11,18)+(G50+H50-J50*34)/(J50*L50),"after Nov 30")))</f>
        <v/>
      </c>
      <c r="R50" s="54">
        <f>IF(AND(G50&lt;=0,J50&gt;0),"Out of stock now",IF(G50&gt;=N50,"Covered to Nov 30",IF(G50+H50&gt;=N50,"Needs inbound in time","Short even with inbound")))</f>
        <v/>
      </c>
      <c r="S50" s="57" t="n">
        <v>2.179</v>
      </c>
      <c r="T50" s="59">
        <f>IF(S50="","",S50*34+S50*L50*12)</f>
        <v/>
      </c>
    </row>
    <row r="51">
      <c r="A51" s="54" t="inlineStr">
        <is>
          <t>US DC B4</t>
        </is>
      </c>
      <c r="B51" s="54" t="inlineStr">
        <is>
          <t>US</t>
        </is>
      </c>
      <c r="C51" s="54" t="inlineStr">
        <is>
          <t>B08KQK91X7</t>
        </is>
      </c>
      <c r="D51" s="54" t="inlineStr">
        <is>
          <t>BAMBOO-QUEEN-CREME</t>
        </is>
      </c>
      <c r="E51" s="54" t="inlineStr">
        <is>
          <t>Queen</t>
        </is>
      </c>
      <c r="F51" s="54" t="inlineStr">
        <is>
          <t>Creme</t>
        </is>
      </c>
      <c r="G51" s="55" t="n">
        <v>153</v>
      </c>
      <c r="H51" s="55" t="n">
        <v>288</v>
      </c>
      <c r="I51" s="56" t="inlineStr">
        <is>
          <t>FBA19STZ9LHZ ready to ship: 24; FBA19STRJMC3 ready to ship: 24; FBA19SV47PX1 ready to ship: 30; FBA19SV1CLVT ready to ship: 24; FBA19STYQSF4 ready to ship: 12; FBA19N82086K ready to ship: 42; FBA19P55072C in transit: 18; FBA19N7WSG18 in transit: 42; FBA19N7RP6W7 in transit: 72; FBA19N7RQF4Q ready to ship: 42</t>
        </is>
      </c>
      <c r="J51" s="57" t="n">
        <v>2.42</v>
      </c>
      <c r="K51" s="56" t="inlineStr">
        <is>
          <t>account data velocity</t>
        </is>
      </c>
      <c r="L51" s="58" t="n">
        <v>4.255</v>
      </c>
      <c r="M51" s="56" t="inlineStr">
        <is>
          <t>own BFCM 2025 lift (account data)</t>
        </is>
      </c>
      <c r="N51" s="59">
        <f>J51*34+J51*L51*12</f>
        <v/>
      </c>
      <c r="O51" s="59">
        <f>MAX(0,N51-G51-H51)</f>
        <v/>
      </c>
      <c r="P51" s="60">
        <f>IF(J51=0,"",IF(G51&lt;J51*34,DATE(2026,10,15)+G51/J51,IF(G51&lt;N51,DATE(2026,11,18)+(G51-J51*34)/(J51*L51),"after Nov 30")))</f>
        <v/>
      </c>
      <c r="Q51" s="60">
        <f>IF(J51=0,"",IF(G51+H51&lt;J51*34,DATE(2026,10,15)+(G51+H51)/J51,IF(G51+H51&lt;N51,DATE(2026,11,18)+(G51+H51-J51*34)/(J51*L51),"after Nov 30")))</f>
        <v/>
      </c>
      <c r="R51" s="54">
        <f>IF(AND(G51&lt;=0,J51&gt;0),"Out of stock now",IF(G51&gt;=N51,"Covered to Nov 30",IF(G51+H51&gt;=N51,"Needs inbound in time","Short even with inbound")))</f>
        <v/>
      </c>
      <c r="S51" s="57" t="n">
        <v>1.607</v>
      </c>
      <c r="T51" s="59">
        <f>IF(S51="","",S51*34+S51*L51*12)</f>
        <v/>
      </c>
    </row>
    <row r="52">
      <c r="A52" s="54" t="inlineStr">
        <is>
          <t>US DC B4</t>
        </is>
      </c>
      <c r="B52" s="54" t="inlineStr">
        <is>
          <t>US</t>
        </is>
      </c>
      <c r="C52" s="54" t="inlineStr">
        <is>
          <t>B0CRHZ1CK3</t>
        </is>
      </c>
      <c r="D52" s="54" t="inlineStr">
        <is>
          <t>BAMBOO-QUEEN-BURGUNDY-NEW</t>
        </is>
      </c>
      <c r="E52" s="54" t="inlineStr">
        <is>
          <t>Queen</t>
        </is>
      </c>
      <c r="F52" s="54" t="inlineStr">
        <is>
          <t>Burgundy</t>
        </is>
      </c>
      <c r="G52" s="55" t="n">
        <v>139</v>
      </c>
      <c r="H52" s="55" t="n">
        <v>96</v>
      </c>
      <c r="I52" s="56" t="inlineStr">
        <is>
          <t>FBA19N82086K ready to ship: 36; FBA19P55072C in transit: 90; FBA19P570K3X receiving: 6</t>
        </is>
      </c>
      <c r="J52" s="57" t="n">
        <v>2.33</v>
      </c>
      <c r="K52" s="56" t="inlineStr">
        <is>
          <t>account data velocity</t>
        </is>
      </c>
      <c r="L52" s="58" t="n">
        <v>4.255</v>
      </c>
      <c r="M52" s="56" t="inlineStr">
        <is>
          <t>own BFCM 2025 lift (account data)</t>
        </is>
      </c>
      <c r="N52" s="59">
        <f>J52*34+J52*L52*12</f>
        <v/>
      </c>
      <c r="O52" s="59">
        <f>MAX(0,N52-G52-H52)</f>
        <v/>
      </c>
      <c r="P52" s="60">
        <f>IF(J52=0,"",IF(G52&lt;J52*34,DATE(2026,10,15)+G52/J52,IF(G52&lt;N52,DATE(2026,11,18)+(G52-J52*34)/(J52*L52),"after Nov 30")))</f>
        <v/>
      </c>
      <c r="Q52" s="60">
        <f>IF(J52=0,"",IF(G52+H52&lt;J52*34,DATE(2026,10,15)+(G52+H52)/J52,IF(G52+H52&lt;N52,DATE(2026,11,18)+(G52+H52-J52*34)/(J52*L52),"after Nov 30")))</f>
        <v/>
      </c>
      <c r="R52" s="54">
        <f>IF(AND(G52&lt;=0,J52&gt;0),"Out of stock now",IF(G52&gt;=N52,"Covered to Nov 30",IF(G52+H52&gt;=N52,"Needs inbound in time","Short even with inbound")))</f>
        <v/>
      </c>
      <c r="S52" s="57" t="n">
        <v>1.821</v>
      </c>
      <c r="T52" s="59">
        <f>IF(S52="","",S52*34+S52*L52*12)</f>
        <v/>
      </c>
    </row>
    <row r="53">
      <c r="A53" s="54" t="inlineStr">
        <is>
          <t>US DC B4</t>
        </is>
      </c>
      <c r="B53" s="54" t="inlineStr">
        <is>
          <t>US</t>
        </is>
      </c>
      <c r="C53" s="54" t="inlineStr">
        <is>
          <t>B0BZQ18QJB</t>
        </is>
      </c>
      <c r="D53" s="54" t="inlineStr">
        <is>
          <t>BAMBOO-QUEEN-MIDGREY</t>
        </is>
      </c>
      <c r="E53" s="54" t="inlineStr">
        <is>
          <t>Queen</t>
        </is>
      </c>
      <c r="F53" s="54" t="inlineStr">
        <is>
          <t>Midgrey</t>
        </is>
      </c>
      <c r="G53" s="55" t="n">
        <v>145</v>
      </c>
      <c r="H53" s="55" t="n">
        <v>96</v>
      </c>
      <c r="I53" s="56" t="inlineStr">
        <is>
          <t>FBA19STZ9LHZ ready to ship: 24; FBA19STRJMC3 ready to ship: 18; FBA19SV47PX1 ready to ship: 18; FBA19SV1CLVT ready to ship: 24; FBA19STYQSF4 ready to ship: 12</t>
        </is>
      </c>
      <c r="J53" s="57" t="n">
        <v>1.73</v>
      </c>
      <c r="K53" s="56" t="inlineStr">
        <is>
          <t>account data velocity</t>
        </is>
      </c>
      <c r="L53" s="58" t="n">
        <v>4.255</v>
      </c>
      <c r="M53" s="56" t="inlineStr">
        <is>
          <t>own BFCM 2025 lift (account data)</t>
        </is>
      </c>
      <c r="N53" s="59">
        <f>J53*34+J53*L53*12</f>
        <v/>
      </c>
      <c r="O53" s="59">
        <f>MAX(0,N53-G53-H53)</f>
        <v/>
      </c>
      <c r="P53" s="60">
        <f>IF(J53=0,"",IF(G53&lt;J53*34,DATE(2026,10,15)+G53/J53,IF(G53&lt;N53,DATE(2026,11,18)+(G53-J53*34)/(J53*L53),"after Nov 30")))</f>
        <v/>
      </c>
      <c r="Q53" s="60">
        <f>IF(J53=0,"",IF(G53+H53&lt;J53*34,DATE(2026,10,15)+(G53+H53)/J53,IF(G53+H53&lt;N53,DATE(2026,11,18)+(G53+H53-J53*34)/(J53*L53),"after Nov 30")))</f>
        <v/>
      </c>
      <c r="R53" s="54">
        <f>IF(AND(G53&lt;=0,J53&gt;0),"Out of stock now",IF(G53&gt;=N53,"Covered to Nov 30",IF(G53+H53&gt;=N53,"Needs inbound in time","Short even with inbound")))</f>
        <v/>
      </c>
      <c r="S53" s="57" t="n">
        <v>1.714</v>
      </c>
      <c r="T53" s="59">
        <f>IF(S53="","",S53*34+S53*L53*12)</f>
        <v/>
      </c>
    </row>
    <row r="54">
      <c r="A54" s="54" t="inlineStr">
        <is>
          <t>US DC B4</t>
        </is>
      </c>
      <c r="B54" s="54" t="inlineStr">
        <is>
          <t>US</t>
        </is>
      </c>
      <c r="C54" s="54" t="inlineStr">
        <is>
          <t>B08KQJTLZP</t>
        </is>
      </c>
      <c r="D54" s="54" t="inlineStr">
        <is>
          <t>BAMBOO-CALIFKING-TAUPE</t>
        </is>
      </c>
      <c r="E54" s="54" t="inlineStr">
        <is>
          <t>California King</t>
        </is>
      </c>
      <c r="F54" s="54" t="inlineStr">
        <is>
          <t>Taupe</t>
        </is>
      </c>
      <c r="G54" s="55" t="n">
        <v>22</v>
      </c>
      <c r="H54" s="55" t="n">
        <v>60</v>
      </c>
      <c r="I54" s="56" t="inlineStr">
        <is>
          <t>FBA19QLJLR1F shipped: 18; FBA19QLKCVBW shipped: 12; FBA19QLK9CYH shipped: 12; FBA19QLKHC6Q shipped: 6; FBA19QLJ0ZP4 shipped: 12</t>
        </is>
      </c>
      <c r="J54" s="57" t="n">
        <v>1.52</v>
      </c>
      <c r="K54" s="56" t="inlineStr">
        <is>
          <t>account data velocity</t>
        </is>
      </c>
      <c r="L54" s="58" t="n">
        <v>4.255</v>
      </c>
      <c r="M54" s="56" t="inlineStr">
        <is>
          <t>own BFCM 2025 lift (account data)</t>
        </is>
      </c>
      <c r="N54" s="59">
        <f>J54*34+J54*L54*12</f>
        <v/>
      </c>
      <c r="O54" s="59">
        <f>MAX(0,N54-G54-H54)</f>
        <v/>
      </c>
      <c r="P54" s="60">
        <f>IF(J54=0,"",IF(G54&lt;J54*34,DATE(2026,10,15)+G54/J54,IF(G54&lt;N54,DATE(2026,11,18)+(G54-J54*34)/(J54*L54),"after Nov 30")))</f>
        <v/>
      </c>
      <c r="Q54" s="60">
        <f>IF(J54=0,"",IF(G54+H54&lt;J54*34,DATE(2026,10,15)+(G54+H54)/J54,IF(G54+H54&lt;N54,DATE(2026,11,18)+(G54+H54-J54*34)/(J54*L54),"after Nov 30")))</f>
        <v/>
      </c>
      <c r="R54" s="54">
        <f>IF(AND(G54&lt;=0,J54&gt;0),"Out of stock now",IF(G54&gt;=N54,"Covered to Nov 30",IF(G54+H54&gt;=N54,"Needs inbound in time","Short even with inbound")))</f>
        <v/>
      </c>
      <c r="S54" s="57" t="n">
        <v>0.607</v>
      </c>
      <c r="T54" s="59">
        <f>IF(S54="","",S54*34+S54*L54*12)</f>
        <v/>
      </c>
    </row>
    <row r="55">
      <c r="A55" s="54" t="inlineStr">
        <is>
          <t>US DC B4</t>
        </is>
      </c>
      <c r="B55" s="54" t="inlineStr">
        <is>
          <t>US</t>
        </is>
      </c>
      <c r="C55" s="54" t="inlineStr">
        <is>
          <t>B08KQJDSVC</t>
        </is>
      </c>
      <c r="D55" s="54" t="inlineStr">
        <is>
          <t>BAMBOO-QUEEN-LIGHTGREY</t>
        </is>
      </c>
      <c r="E55" s="54" t="inlineStr">
        <is>
          <t>Queen</t>
        </is>
      </c>
      <c r="F55" s="54" t="inlineStr">
        <is>
          <t>Light Grey</t>
        </is>
      </c>
      <c r="G55" s="55" t="n">
        <v>124</v>
      </c>
      <c r="H55" s="55" t="n">
        <v>306</v>
      </c>
      <c r="I55" s="56" t="inlineStr">
        <is>
          <t>FBA19SV5KWMR ready to ship: 12; FBA19STZ9LHZ ready to ship: 48; FBA19STRJMC3 ready to ship: 42; FBA19SV47PX1 ready to ship: 60; FBA19SV1CLVT ready to ship: 48; FBA19STYQSF4 ready to ship: 24; FBA19N82086K ready to ship: 30; FBA19N7WSG18 in transit: 30; FBA19N7RP6W7 in transit: 48; FBA19N7RQF4Q ready to ship: 6</t>
        </is>
      </c>
      <c r="J55" s="57" t="n">
        <v>1.36</v>
      </c>
      <c r="K55" s="56" t="inlineStr">
        <is>
          <t>account data velocity</t>
        </is>
      </c>
      <c r="L55" s="58" t="n">
        <v>4.255</v>
      </c>
      <c r="M55" s="56" t="inlineStr">
        <is>
          <t>own BFCM 2025 lift (account data)</t>
        </is>
      </c>
      <c r="N55" s="59">
        <f>J55*34+J55*L55*12</f>
        <v/>
      </c>
      <c r="O55" s="59">
        <f>MAX(0,N55-G55-H55)</f>
        <v/>
      </c>
      <c r="P55" s="60">
        <f>IF(J55=0,"",IF(G55&lt;J55*34,DATE(2026,10,15)+G55/J55,IF(G55&lt;N55,DATE(2026,11,18)+(G55-J55*34)/(J55*L55),"after Nov 30")))</f>
        <v/>
      </c>
      <c r="Q55" s="60">
        <f>IF(J55=0,"",IF(G55+H55&lt;J55*34,DATE(2026,10,15)+(G55+H55)/J55,IF(G55+H55&lt;N55,DATE(2026,11,18)+(G55+H55-J55*34)/(J55*L55),"after Nov 30")))</f>
        <v/>
      </c>
      <c r="R55" s="54">
        <f>IF(AND(G55&lt;=0,J55&gt;0),"Out of stock now",IF(G55&gt;=N55,"Covered to Nov 30",IF(G55+H55&gt;=N55,"Needs inbound in time","Short even with inbound")))</f>
        <v/>
      </c>
      <c r="S55" s="57" t="n">
        <v>0.571</v>
      </c>
      <c r="T55" s="59">
        <f>IF(S55="","",S55*34+S55*L55*12)</f>
        <v/>
      </c>
    </row>
    <row r="56">
      <c r="A56" s="54" t="inlineStr">
        <is>
          <t>US DC B4</t>
        </is>
      </c>
      <c r="B56" s="54" t="inlineStr">
        <is>
          <t>US</t>
        </is>
      </c>
      <c r="C56" s="54" t="inlineStr">
        <is>
          <t>B0BZPZ588L</t>
        </is>
      </c>
      <c r="D56" s="54" t="inlineStr">
        <is>
          <t>BAMBOO-KING-CHARCOAL</t>
        </is>
      </c>
      <c r="E56" s="54" t="inlineStr">
        <is>
          <t>King</t>
        </is>
      </c>
      <c r="F56" s="54" t="inlineStr">
        <is>
          <t>Charcoal</t>
        </is>
      </c>
      <c r="G56" s="55" t="n">
        <v>4</v>
      </c>
      <c r="H56" s="55" t="n">
        <v>138</v>
      </c>
      <c r="I56" s="56" t="inlineStr">
        <is>
          <t>FBA19STZ9LHZ ready to ship: 24; FBA19STRJMC3 ready to ship: 12; FBA19SV47PX1 ready to ship: 18; FBA19SV1CLVT ready to ship: 18; FBA19STYQSF4 ready to ship: 6; FBA19QLJLR1F shipped: 12; FBA19QLKCVBW shipped: 12; FBA19QLK9CYH shipped: 6; FBA19QLKHC6Q shipped: 12; FBA19QLJ0ZP4 shipped: 18</t>
        </is>
      </c>
      <c r="J56" s="57" t="n">
        <v>1.33</v>
      </c>
      <c r="K56" s="56" t="inlineStr">
        <is>
          <t>account data velocity</t>
        </is>
      </c>
      <c r="L56" s="58" t="n">
        <v>4.255</v>
      </c>
      <c r="M56" s="56" t="inlineStr">
        <is>
          <t>own BFCM 2025 lift (account data)</t>
        </is>
      </c>
      <c r="N56" s="59">
        <f>J56*34+J56*L56*12</f>
        <v/>
      </c>
      <c r="O56" s="59">
        <f>MAX(0,N56-G56-H56)</f>
        <v/>
      </c>
      <c r="P56" s="60">
        <f>IF(J56=0,"",IF(G56&lt;J56*34,DATE(2026,10,15)+G56/J56,IF(G56&lt;N56,DATE(2026,11,18)+(G56-J56*34)/(J56*L56),"after Nov 30")))</f>
        <v/>
      </c>
      <c r="Q56" s="60">
        <f>IF(J56=0,"",IF(G56+H56&lt;J56*34,DATE(2026,10,15)+(G56+H56)/J56,IF(G56+H56&lt;N56,DATE(2026,11,18)+(G56+H56-J56*34)/(J56*L56),"after Nov 30")))</f>
        <v/>
      </c>
      <c r="R56" s="54">
        <f>IF(AND(G56&lt;=0,J56&gt;0),"Out of stock now",IF(G56&gt;=N56,"Covered to Nov 30",IF(G56+H56&gt;=N56,"Needs inbound in time","Short even with inbound")))</f>
        <v/>
      </c>
      <c r="S56" s="57" t="n">
        <v>0.536</v>
      </c>
      <c r="T56" s="59">
        <f>IF(S56="","",S56*34+S56*L56*12)</f>
        <v/>
      </c>
    </row>
    <row r="57">
      <c r="A57" s="54" t="inlineStr">
        <is>
          <t>US DC B4</t>
        </is>
      </c>
      <c r="B57" s="54" t="inlineStr">
        <is>
          <t>US</t>
        </is>
      </c>
      <c r="C57" s="54" t="inlineStr">
        <is>
          <t>B08KQKBM4Q</t>
        </is>
      </c>
      <c r="D57" s="54" t="inlineStr">
        <is>
          <t>BAMBOO-TWIN-WHITE</t>
        </is>
      </c>
      <c r="E57" s="54" t="inlineStr">
        <is>
          <t>Twin</t>
        </is>
      </c>
      <c r="F57" s="54" t="inlineStr">
        <is>
          <t>White</t>
        </is>
      </c>
      <c r="G57" s="55" t="n">
        <v>139</v>
      </c>
      <c r="H57" s="55" t="n">
        <v>0</v>
      </c>
      <c r="I57" s="56" t="n"/>
      <c r="J57" s="57" t="n">
        <v>1.26</v>
      </c>
      <c r="K57" s="56" t="inlineStr">
        <is>
          <t>account data velocity</t>
        </is>
      </c>
      <c r="L57" s="58" t="n">
        <v>4.255</v>
      </c>
      <c r="M57" s="56" t="inlineStr">
        <is>
          <t>own BFCM 2025 lift (account data)</t>
        </is>
      </c>
      <c r="N57" s="59">
        <f>J57*34+J57*L57*12</f>
        <v/>
      </c>
      <c r="O57" s="59">
        <f>MAX(0,N57-G57-H57)</f>
        <v/>
      </c>
      <c r="P57" s="60">
        <f>IF(J57=0,"",IF(G57&lt;J57*34,DATE(2026,10,15)+G57/J57,IF(G57&lt;N57,DATE(2026,11,18)+(G57-J57*34)/(J57*L57),"after Nov 30")))</f>
        <v/>
      </c>
      <c r="Q57" s="60">
        <f>IF(J57=0,"",IF(G57+H57&lt;J57*34,DATE(2026,10,15)+(G57+H57)/J57,IF(G57+H57&lt;N57,DATE(2026,11,18)+(G57+H57-J57*34)/(J57*L57),"after Nov 30")))</f>
        <v/>
      </c>
      <c r="R57" s="54">
        <f>IF(AND(G57&lt;=0,J57&gt;0),"Out of stock now",IF(G57&gt;=N57,"Covered to Nov 30",IF(G57+H57&gt;=N57,"Needs inbound in time","Short even with inbound")))</f>
        <v/>
      </c>
      <c r="S57" s="57" t="n">
        <v>1.071</v>
      </c>
      <c r="T57" s="59">
        <f>IF(S57="","",S57*34+S57*L57*12)</f>
        <v/>
      </c>
    </row>
    <row r="58">
      <c r="A58" s="54" t="inlineStr">
        <is>
          <t>US DC B4</t>
        </is>
      </c>
      <c r="B58" s="54" t="inlineStr">
        <is>
          <t>US</t>
        </is>
      </c>
      <c r="C58" s="54" t="inlineStr">
        <is>
          <t>B0CLK9QXX3</t>
        </is>
      </c>
      <c r="D58" s="54" t="inlineStr">
        <is>
          <t>BAMBOO-KING-LIGHT PINK</t>
        </is>
      </c>
      <c r="E58" s="54" t="inlineStr">
        <is>
          <t>King</t>
        </is>
      </c>
      <c r="F58" s="54" t="inlineStr">
        <is>
          <t>Light Pink</t>
        </is>
      </c>
      <c r="G58" s="55" t="n">
        <v>34</v>
      </c>
      <c r="H58" s="55" t="n">
        <v>90</v>
      </c>
      <c r="I58" s="56" t="inlineStr">
        <is>
          <t>FBA19SV5KWMR ready to ship: 24; FBA19QLJLR1F shipped: 36; FBA19QLKCVBW shipped: 24; FBA19QLK9CYH shipped: 6; FBA19QLKHC6Q shipped: 12; FBA19QLJ0ZP4 shipped: 12</t>
        </is>
      </c>
      <c r="J58" s="57" t="n">
        <v>1.2</v>
      </c>
      <c r="K58" s="56" t="inlineStr">
        <is>
          <t>account data velocity</t>
        </is>
      </c>
      <c r="L58" s="58" t="n">
        <v>4.255</v>
      </c>
      <c r="M58" s="56" t="inlineStr">
        <is>
          <t>own BFCM 2025 lift (account data)</t>
        </is>
      </c>
      <c r="N58" s="59">
        <f>J58*34+J58*L58*12</f>
        <v/>
      </c>
      <c r="O58" s="59">
        <f>MAX(0,N58-G58-H58)</f>
        <v/>
      </c>
      <c r="P58" s="60">
        <f>IF(J58=0,"",IF(G58&lt;J58*34,DATE(2026,10,15)+G58/J58,IF(G58&lt;N58,DATE(2026,11,18)+(G58-J58*34)/(J58*L58),"after Nov 30")))</f>
        <v/>
      </c>
      <c r="Q58" s="60">
        <f>IF(J58=0,"",IF(G58+H58&lt;J58*34,DATE(2026,10,15)+(G58+H58)/J58,IF(G58+H58&lt;N58,DATE(2026,11,18)+(G58+H58-J58*34)/(J58*L58),"after Nov 30")))</f>
        <v/>
      </c>
      <c r="R58" s="54">
        <f>IF(AND(G58&lt;=0,J58&gt;0),"Out of stock now",IF(G58&gt;=N58,"Covered to Nov 30",IF(G58+H58&gt;=N58,"Needs inbound in time","Short even with inbound")))</f>
        <v/>
      </c>
      <c r="S58" s="57" t="n">
        <v>0.857</v>
      </c>
      <c r="T58" s="59">
        <f>IF(S58="","",S58*34+S58*L58*12)</f>
        <v/>
      </c>
    </row>
    <row r="59">
      <c r="A59" s="54" t="inlineStr">
        <is>
          <t>US DC B4</t>
        </is>
      </c>
      <c r="B59" s="54" t="inlineStr">
        <is>
          <t>US</t>
        </is>
      </c>
      <c r="C59" s="54" t="inlineStr">
        <is>
          <t>B0BZQ1JFM7</t>
        </is>
      </c>
      <c r="D59" s="54" t="inlineStr">
        <is>
          <t>BAMBOO-QUEEN-CHARCOAL</t>
        </is>
      </c>
      <c r="E59" s="54" t="inlineStr">
        <is>
          <t>Queen</t>
        </is>
      </c>
      <c r="F59" s="54" t="inlineStr">
        <is>
          <t>Charcoal</t>
        </is>
      </c>
      <c r="G59" s="55" t="n">
        <v>92</v>
      </c>
      <c r="H59" s="55" t="n">
        <v>30</v>
      </c>
      <c r="I59" s="56" t="inlineStr">
        <is>
          <t>FBA19SV5KWMR ready to ship: 78; FBA19STZ9LHZ ready to ship: 6; FBA19STRJMC3 ready to ship: 6; FBA19SV47PX1 ready to ship: 6; FBA19SV1CLVT ready to ship: 6; FBA19STYQSF4 ready to ship: 6</t>
        </is>
      </c>
      <c r="J59" s="57" t="n">
        <v>1.17</v>
      </c>
      <c r="K59" s="56" t="inlineStr">
        <is>
          <t>account data velocity</t>
        </is>
      </c>
      <c r="L59" s="58" t="n">
        <v>4.255</v>
      </c>
      <c r="M59" s="56" t="inlineStr">
        <is>
          <t>own BFCM 2025 lift (account data)</t>
        </is>
      </c>
      <c r="N59" s="59">
        <f>J59*34+J59*L59*12</f>
        <v/>
      </c>
      <c r="O59" s="59">
        <f>MAX(0,N59-G59-H59)</f>
        <v/>
      </c>
      <c r="P59" s="60">
        <f>IF(J59=0,"",IF(G59&lt;J59*34,DATE(2026,10,15)+G59/J59,IF(G59&lt;N59,DATE(2026,11,18)+(G59-J59*34)/(J59*L59),"after Nov 30")))</f>
        <v/>
      </c>
      <c r="Q59" s="60">
        <f>IF(J59=0,"",IF(G59+H59&lt;J59*34,DATE(2026,10,15)+(G59+H59)/J59,IF(G59+H59&lt;N59,DATE(2026,11,18)+(G59+H59-J59*34)/(J59*L59),"after Nov 30")))</f>
        <v/>
      </c>
      <c r="R59" s="54">
        <f>IF(AND(G59&lt;=0,J59&gt;0),"Out of stock now",IF(G59&gt;=N59,"Covered to Nov 30",IF(G59+H59&gt;=N59,"Needs inbound in time","Short even with inbound")))</f>
        <v/>
      </c>
      <c r="S59" s="57" t="n">
        <v>0.786</v>
      </c>
      <c r="T59" s="59">
        <f>IF(S59="","",S59*34+S59*L59*12)</f>
        <v/>
      </c>
    </row>
    <row r="60">
      <c r="A60" s="54" t="inlineStr">
        <is>
          <t>US DC B4</t>
        </is>
      </c>
      <c r="B60" s="54" t="inlineStr">
        <is>
          <t>US</t>
        </is>
      </c>
      <c r="C60" s="54" t="inlineStr">
        <is>
          <t>B08KQ5VVRV</t>
        </is>
      </c>
      <c r="D60" s="54" t="inlineStr">
        <is>
          <t>BAMBOO-QUEEN-GREY</t>
        </is>
      </c>
      <c r="E60" s="54" t="inlineStr">
        <is>
          <t>Queen</t>
        </is>
      </c>
      <c r="F60" s="54" t="inlineStr">
        <is>
          <t>Grey</t>
        </is>
      </c>
      <c r="G60" s="55" t="n">
        <v>69</v>
      </c>
      <c r="H60" s="55" t="n">
        <v>240</v>
      </c>
      <c r="I60" s="56" t="inlineStr">
        <is>
          <t>FBA19SV5KWMR ready to ship: 48; FBA19STZ9LHZ ready to ship: 6; FBA19STRJMC3 ready to ship: 6; FBA19SV47PX1 ready to ship: 6; FBA19SV1CLVT ready to ship: 6; FBA19STYQSF4 ready to ship: 6; FBA19RS1HC4F shipped: 12; FBA19RRY6QFT shipped: 18; FBA19RS0N5K2 shipped: 6; FBA19RRYCGHJ shipped: 18; FBA19RRY5FBL shipped: 18; FBA19QLJLR1F shipped: 30; FBA19QLKCVBW shipped: 30; FBA19QLK9CYH shipped: 18; FBA19QLKHC6Q shipped: 24; FBA19QLJ0ZP4 shipped: 36</t>
        </is>
      </c>
      <c r="J60" s="57" t="n">
        <v>1.13</v>
      </c>
      <c r="K60" s="56" t="inlineStr">
        <is>
          <t>account data velocity</t>
        </is>
      </c>
      <c r="L60" s="58" t="n">
        <v>4.255</v>
      </c>
      <c r="M60" s="56" t="inlineStr">
        <is>
          <t>own BFCM 2025 lift (account data)</t>
        </is>
      </c>
      <c r="N60" s="59">
        <f>J60*34+J60*L60*12</f>
        <v/>
      </c>
      <c r="O60" s="59">
        <f>MAX(0,N60-G60-H60)</f>
        <v/>
      </c>
      <c r="P60" s="60">
        <f>IF(J60=0,"",IF(G60&lt;J60*34,DATE(2026,10,15)+G60/J60,IF(G60&lt;N60,DATE(2026,11,18)+(G60-J60*34)/(J60*L60),"after Nov 30")))</f>
        <v/>
      </c>
      <c r="Q60" s="60">
        <f>IF(J60=0,"",IF(G60+H60&lt;J60*34,DATE(2026,10,15)+(G60+H60)/J60,IF(G60+H60&lt;N60,DATE(2026,11,18)+(G60+H60-J60*34)/(J60*L60),"after Nov 30")))</f>
        <v/>
      </c>
      <c r="R60" s="54">
        <f>IF(AND(G60&lt;=0,J60&gt;0),"Out of stock now",IF(G60&gt;=N60,"Covered to Nov 30",IF(G60+H60&gt;=N60,"Needs inbound in time","Short even with inbound")))</f>
        <v/>
      </c>
      <c r="S60" s="57" t="n">
        <v>0.607</v>
      </c>
      <c r="T60" s="59">
        <f>IF(S60="","",S60*34+S60*L60*12)</f>
        <v/>
      </c>
    </row>
    <row r="61">
      <c r="A61" s="54" t="inlineStr">
        <is>
          <t>US DC B4</t>
        </is>
      </c>
      <c r="B61" s="54" t="inlineStr">
        <is>
          <t>US</t>
        </is>
      </c>
      <c r="C61" s="54" t="inlineStr">
        <is>
          <t>B0BZQ3ZGNG</t>
        </is>
      </c>
      <c r="D61" s="54" t="inlineStr">
        <is>
          <t>BAMBOO-QUEEN-PURPLE</t>
        </is>
      </c>
      <c r="E61" s="54" t="inlineStr">
        <is>
          <t>Queen</t>
        </is>
      </c>
      <c r="F61" s="54" t="inlineStr">
        <is>
          <t>Purple</t>
        </is>
      </c>
      <c r="G61" s="55" t="n">
        <v>15</v>
      </c>
      <c r="H61" s="55" t="n">
        <v>156</v>
      </c>
      <c r="I61" s="56" t="inlineStr">
        <is>
          <t>FBA19SV5KWMR ready to ship: 30; FBA19STZ9LHZ ready to ship: 12; FBA19STRJMC3 ready to ship: 12; FBA19SV47PX1 ready to ship: 12; FBA19SV1CLVT ready to ship: 18; FBA19STYQSF4 ready to ship: 12; FBA19QLJLR1F shipped: 24; FBA19QLKCVBW shipped: 18; FBA19QLK9CYH shipped: 12; FBA19QLKHC6Q shipped: 18; FBA19QLJ0ZP4 shipped: 18</t>
        </is>
      </c>
      <c r="J61" s="57" t="n">
        <v>1.02</v>
      </c>
      <c r="K61" s="56" t="inlineStr">
        <is>
          <t>account data velocity</t>
        </is>
      </c>
      <c r="L61" s="58" t="n">
        <v>4.255</v>
      </c>
      <c r="M61" s="56" t="inlineStr">
        <is>
          <t>own BFCM 2025 lift (account data)</t>
        </is>
      </c>
      <c r="N61" s="59">
        <f>J61*34+J61*L61*12</f>
        <v/>
      </c>
      <c r="O61" s="59">
        <f>MAX(0,N61-G61-H61)</f>
        <v/>
      </c>
      <c r="P61" s="60">
        <f>IF(J61=0,"",IF(G61&lt;J61*34,DATE(2026,10,15)+G61/J61,IF(G61&lt;N61,DATE(2026,11,18)+(G61-J61*34)/(J61*L61),"after Nov 30")))</f>
        <v/>
      </c>
      <c r="Q61" s="60">
        <f>IF(J61=0,"",IF(G61+H61&lt;J61*34,DATE(2026,10,15)+(G61+H61)/J61,IF(G61+H61&lt;N61,DATE(2026,11,18)+(G61+H61-J61*34)/(J61*L61),"after Nov 30")))</f>
        <v/>
      </c>
      <c r="R61" s="54">
        <f>IF(AND(G61&lt;=0,J61&gt;0),"Out of stock now",IF(G61&gt;=N61,"Covered to Nov 30",IF(G61+H61&gt;=N61,"Needs inbound in time","Short even with inbound")))</f>
        <v/>
      </c>
      <c r="S61" s="57" t="n">
        <v>0.5</v>
      </c>
      <c r="T61" s="59">
        <f>IF(S61="","",S61*34+S61*L61*12)</f>
        <v/>
      </c>
    </row>
    <row r="62">
      <c r="A62" s="54" t="inlineStr">
        <is>
          <t>US DC B4</t>
        </is>
      </c>
      <c r="B62" s="54" t="inlineStr">
        <is>
          <t>US</t>
        </is>
      </c>
      <c r="C62" s="54" t="inlineStr">
        <is>
          <t>B0CLKJL9KD</t>
        </is>
      </c>
      <c r="D62" s="54" t="inlineStr">
        <is>
          <t>BAMBOO-QUEEN-SAGE GREEN</t>
        </is>
      </c>
      <c r="E62" s="54" t="inlineStr">
        <is>
          <t>Queen</t>
        </is>
      </c>
      <c r="F62" s="54" t="inlineStr">
        <is>
          <t>Sage Green</t>
        </is>
      </c>
      <c r="G62" s="55" t="n">
        <v>189</v>
      </c>
      <c r="H62" s="55" t="n">
        <v>54</v>
      </c>
      <c r="I62" s="56" t="inlineStr">
        <is>
          <t>FBA19SV5KWMR ready to ship: 96; FBA19STZ9LHZ ready to ship: 12; FBA19STRJMC3 ready to ship: 12; FBA19SV47PX1 ready to ship: 12; FBA19SV1CLVT ready to ship: 12; FBA19STYQSF4 ready to ship: 6</t>
        </is>
      </c>
      <c r="J62" s="57" t="n">
        <v>0.98</v>
      </c>
      <c r="K62" s="56" t="inlineStr">
        <is>
          <t>account data velocity</t>
        </is>
      </c>
      <c r="L62" s="58" t="n">
        <v>4.255</v>
      </c>
      <c r="M62" s="56" t="inlineStr">
        <is>
          <t>own BFCM 2025 lift (account data)</t>
        </is>
      </c>
      <c r="N62" s="59">
        <f>J62*34+J62*L62*12</f>
        <v/>
      </c>
      <c r="O62" s="59">
        <f>MAX(0,N62-G62-H62)</f>
        <v/>
      </c>
      <c r="P62" s="60">
        <f>IF(J62=0,"",IF(G62&lt;J62*34,DATE(2026,10,15)+G62/J62,IF(G62&lt;N62,DATE(2026,11,18)+(G62-J62*34)/(J62*L62),"after Nov 30")))</f>
        <v/>
      </c>
      <c r="Q62" s="60">
        <f>IF(J62=0,"",IF(G62+H62&lt;J62*34,DATE(2026,10,15)+(G62+H62)/J62,IF(G62+H62&lt;N62,DATE(2026,11,18)+(G62+H62-J62*34)/(J62*L62),"after Nov 30")))</f>
        <v/>
      </c>
      <c r="R62" s="54">
        <f>IF(AND(G62&lt;=0,J62&gt;0),"Out of stock now",IF(G62&gt;=N62,"Covered to Nov 30",IF(G62+H62&gt;=N62,"Needs inbound in time","Short even with inbound")))</f>
        <v/>
      </c>
      <c r="S62" s="57" t="n">
        <v>1.071</v>
      </c>
      <c r="T62" s="59">
        <f>IF(S62="","",S62*34+S62*L62*12)</f>
        <v/>
      </c>
    </row>
    <row r="63">
      <c r="A63" s="54" t="inlineStr">
        <is>
          <t>US DC B4</t>
        </is>
      </c>
      <c r="B63" s="54" t="inlineStr">
        <is>
          <t>US</t>
        </is>
      </c>
      <c r="C63" s="54" t="inlineStr">
        <is>
          <t>B08KQKQ44M</t>
        </is>
      </c>
      <c r="D63" s="54" t="inlineStr">
        <is>
          <t>BAMBOO-CALIFKING-WHITE</t>
        </is>
      </c>
      <c r="E63" s="54" t="inlineStr">
        <is>
          <t>California King</t>
        </is>
      </c>
      <c r="F63" s="54" t="inlineStr">
        <is>
          <t>White</t>
        </is>
      </c>
      <c r="G63" s="55" t="n">
        <v>26</v>
      </c>
      <c r="H63" s="55" t="n">
        <v>198</v>
      </c>
      <c r="I63" s="56" t="inlineStr">
        <is>
          <t>FBA19STZ9LHZ ready to ship: 12; FBA19STRJMC3 ready to ship: 6; FBA19SV47PX1 ready to ship: 18; FBA19SV1CLVT ready to ship: 18; FBA19STYQSF4 ready to ship: 24; FBA19QLJLR1F shipped: 30; FBA19QLKCVBW shipped: 24; FBA19QLK9CYH shipped: 36; FBA19QLKHC6Q shipped: 18; FBA19QLJ0ZP4 shipped: 12</t>
        </is>
      </c>
      <c r="J63" s="57" t="n">
        <v>0.98</v>
      </c>
      <c r="K63" s="56" t="inlineStr">
        <is>
          <t>account data velocity</t>
        </is>
      </c>
      <c r="L63" s="58" t="n">
        <v>4.255</v>
      </c>
      <c r="M63" s="56" t="inlineStr">
        <is>
          <t>own BFCM 2025 lift (account data)</t>
        </is>
      </c>
      <c r="N63" s="59">
        <f>J63*34+J63*L63*12</f>
        <v/>
      </c>
      <c r="O63" s="59">
        <f>MAX(0,N63-G63-H63)</f>
        <v/>
      </c>
      <c r="P63" s="60">
        <f>IF(J63=0,"",IF(G63&lt;J63*34,DATE(2026,10,15)+G63/J63,IF(G63&lt;N63,DATE(2026,11,18)+(G63-J63*34)/(J63*L63),"after Nov 30")))</f>
        <v/>
      </c>
      <c r="Q63" s="60">
        <f>IF(J63=0,"",IF(G63+H63&lt;J63*34,DATE(2026,10,15)+(G63+H63)/J63,IF(G63+H63&lt;N63,DATE(2026,11,18)+(G63+H63-J63*34)/(J63*L63),"after Nov 30")))</f>
        <v/>
      </c>
      <c r="R63" s="54">
        <f>IF(AND(G63&lt;=0,J63&gt;0),"Out of stock now",IF(G63&gt;=N63,"Covered to Nov 30",IF(G63+H63&gt;=N63,"Needs inbound in time","Short even with inbound")))</f>
        <v/>
      </c>
      <c r="S63" s="57" t="n">
        <v>0.464</v>
      </c>
      <c r="T63" s="59">
        <f>IF(S63="","",S63*34+S63*L63*12)</f>
        <v/>
      </c>
    </row>
    <row r="64">
      <c r="A64" s="54" t="inlineStr">
        <is>
          <t>US DC B4</t>
        </is>
      </c>
      <c r="B64" s="54" t="inlineStr">
        <is>
          <t>US</t>
        </is>
      </c>
      <c r="C64" s="54" t="inlineStr">
        <is>
          <t>B08KQJTP39</t>
        </is>
      </c>
      <c r="D64" s="54" t="inlineStr">
        <is>
          <t>BAMBOO-FULL-OLIVE</t>
        </is>
      </c>
      <c r="E64" s="54" t="inlineStr">
        <is>
          <t>Full</t>
        </is>
      </c>
      <c r="F64" s="54" t="inlineStr">
        <is>
          <t>Olive</t>
        </is>
      </c>
      <c r="G64" s="55" t="n">
        <v>69</v>
      </c>
      <c r="H64" s="55" t="n">
        <v>0</v>
      </c>
      <c r="I64" s="56" t="n"/>
      <c r="J64" s="57" t="n">
        <v>0.9399999999999999</v>
      </c>
      <c r="K64" s="56" t="inlineStr">
        <is>
          <t>account data velocity</t>
        </is>
      </c>
      <c r="L64" s="58" t="n">
        <v>4.255</v>
      </c>
      <c r="M64" s="56" t="inlineStr">
        <is>
          <t>own BFCM 2025 lift (account data)</t>
        </is>
      </c>
      <c r="N64" s="59">
        <f>J64*34+J64*L64*12</f>
        <v/>
      </c>
      <c r="O64" s="59">
        <f>MAX(0,N64-G64-H64)</f>
        <v/>
      </c>
      <c r="P64" s="60">
        <f>IF(J64=0,"",IF(G64&lt;J64*34,DATE(2026,10,15)+G64/J64,IF(G64&lt;N64,DATE(2026,11,18)+(G64-J64*34)/(J64*L64),"after Nov 30")))</f>
        <v/>
      </c>
      <c r="Q64" s="60">
        <f>IF(J64=0,"",IF(G64+H64&lt;J64*34,DATE(2026,10,15)+(G64+H64)/J64,IF(G64+H64&lt;N64,DATE(2026,11,18)+(G64+H64-J64*34)/(J64*L64),"after Nov 30")))</f>
        <v/>
      </c>
      <c r="R64" s="54">
        <f>IF(AND(G64&lt;=0,J64&gt;0),"Out of stock now",IF(G64&gt;=N64,"Covered to Nov 30",IF(G64+H64&gt;=N64,"Needs inbound in time","Short even with inbound")))</f>
        <v/>
      </c>
      <c r="S64" s="57" t="n">
        <v>1.036</v>
      </c>
      <c r="T64" s="59">
        <f>IF(S64="","",S64*34+S64*L64*12)</f>
        <v/>
      </c>
    </row>
    <row r="65">
      <c r="A65" s="54" t="inlineStr">
        <is>
          <t>US DC B4</t>
        </is>
      </c>
      <c r="B65" s="54" t="inlineStr">
        <is>
          <t>US</t>
        </is>
      </c>
      <c r="C65" s="54" t="inlineStr">
        <is>
          <t>B08KQJRL41</t>
        </is>
      </c>
      <c r="D65" s="54" t="inlineStr">
        <is>
          <t>BAMBOO-TWIN-NAVYBLUE</t>
        </is>
      </c>
      <c r="E65" s="54" t="inlineStr">
        <is>
          <t>Twin</t>
        </is>
      </c>
      <c r="F65" s="54" t="inlineStr">
        <is>
          <t>Navy Blue</t>
        </is>
      </c>
      <c r="G65" s="55" t="n">
        <v>46</v>
      </c>
      <c r="H65" s="55" t="n">
        <v>0</v>
      </c>
      <c r="I65" s="56" t="n"/>
      <c r="J65" s="57" t="n">
        <v>0.91</v>
      </c>
      <c r="K65" s="56" t="inlineStr">
        <is>
          <t>account data velocity</t>
        </is>
      </c>
      <c r="L65" s="58" t="n">
        <v>4.255</v>
      </c>
      <c r="M65" s="56" t="inlineStr">
        <is>
          <t>own BFCM 2025 lift (account data)</t>
        </is>
      </c>
      <c r="N65" s="59">
        <f>J65*34+J65*L65*12</f>
        <v/>
      </c>
      <c r="O65" s="59">
        <f>MAX(0,N65-G65-H65)</f>
        <v/>
      </c>
      <c r="P65" s="60">
        <f>IF(J65=0,"",IF(G65&lt;J65*34,DATE(2026,10,15)+G65/J65,IF(G65&lt;N65,DATE(2026,11,18)+(G65-J65*34)/(J65*L65),"after Nov 30")))</f>
        <v/>
      </c>
      <c r="Q65" s="60">
        <f>IF(J65=0,"",IF(G65+H65&lt;J65*34,DATE(2026,10,15)+(G65+H65)/J65,IF(G65+H65&lt;N65,DATE(2026,11,18)+(G65+H65-J65*34)/(J65*L65),"after Nov 30")))</f>
        <v/>
      </c>
      <c r="R65" s="54">
        <f>IF(AND(G65&lt;=0,J65&gt;0),"Out of stock now",IF(G65&gt;=N65,"Covered to Nov 30",IF(G65+H65&gt;=N65,"Needs inbound in time","Short even with inbound")))</f>
        <v/>
      </c>
      <c r="S65" s="57" t="n">
        <v>0.429</v>
      </c>
      <c r="T65" s="59">
        <f>IF(S65="","",S65*34+S65*L65*12)</f>
        <v/>
      </c>
    </row>
    <row r="66">
      <c r="A66" s="54" t="inlineStr">
        <is>
          <t>US DC B4</t>
        </is>
      </c>
      <c r="B66" s="54" t="inlineStr">
        <is>
          <t>US</t>
        </is>
      </c>
      <c r="C66" s="54" t="inlineStr">
        <is>
          <t>B08KQJZHGC</t>
        </is>
      </c>
      <c r="D66" s="54" t="inlineStr">
        <is>
          <t>BAMBOO-CALIFKING-OLIVE</t>
        </is>
      </c>
      <c r="E66" s="54" t="inlineStr">
        <is>
          <t>California King</t>
        </is>
      </c>
      <c r="F66" s="54" t="inlineStr">
        <is>
          <t>Olive</t>
        </is>
      </c>
      <c r="G66" s="55" t="n">
        <v>60</v>
      </c>
      <c r="H66" s="55" t="n">
        <v>90</v>
      </c>
      <c r="I66" s="56" t="inlineStr">
        <is>
          <t>FBA19STZ9LHZ ready to ship: 12; FBA19STRJMC3 ready to ship: 12; FBA19SV47PX1 ready to ship: 12; FBA19SV1CLVT ready to ship: 12; FBA19STYQSF4 ready to ship: 12; FBA19QLJLR1F shipped: 6; FBA19QLKCVBW shipped: 6; FBA19QLK9CYH shipped: 6; FBA19QLKHC6Q shipped: 6; FBA19QLJ0ZP4 shipped: 6</t>
        </is>
      </c>
      <c r="J66" s="57" t="n">
        <v>0.87</v>
      </c>
      <c r="K66" s="56" t="inlineStr">
        <is>
          <t>account data velocity</t>
        </is>
      </c>
      <c r="L66" s="58" t="n">
        <v>4.255</v>
      </c>
      <c r="M66" s="56" t="inlineStr">
        <is>
          <t>own BFCM 2025 lift (account data)</t>
        </is>
      </c>
      <c r="N66" s="59">
        <f>J66*34+J66*L66*12</f>
        <v/>
      </c>
      <c r="O66" s="59">
        <f>MAX(0,N66-G66-H66)</f>
        <v/>
      </c>
      <c r="P66" s="60">
        <f>IF(J66=0,"",IF(G66&lt;J66*34,DATE(2026,10,15)+G66/J66,IF(G66&lt;N66,DATE(2026,11,18)+(G66-J66*34)/(J66*L66),"after Nov 30")))</f>
        <v/>
      </c>
      <c r="Q66" s="60">
        <f>IF(J66=0,"",IF(G66+H66&lt;J66*34,DATE(2026,10,15)+(G66+H66)/J66,IF(G66+H66&lt;N66,DATE(2026,11,18)+(G66+H66-J66*34)/(J66*L66),"after Nov 30")))</f>
        <v/>
      </c>
      <c r="R66" s="54">
        <f>IF(AND(G66&lt;=0,J66&gt;0),"Out of stock now",IF(G66&gt;=N66,"Covered to Nov 30",IF(G66+H66&gt;=N66,"Needs inbound in time","Short even with inbound")))</f>
        <v/>
      </c>
      <c r="S66" s="57" t="n">
        <v>0.679</v>
      </c>
      <c r="T66" s="59">
        <f>IF(S66="","",S66*34+S66*L66*12)</f>
        <v/>
      </c>
    </row>
    <row r="67">
      <c r="A67" s="54" t="inlineStr">
        <is>
          <t>US DC B4</t>
        </is>
      </c>
      <c r="B67" s="54" t="inlineStr">
        <is>
          <t>US</t>
        </is>
      </c>
      <c r="C67" s="54" t="inlineStr">
        <is>
          <t>B0BZPZP12L</t>
        </is>
      </c>
      <c r="D67" s="54" t="inlineStr">
        <is>
          <t>BAMBOO-KING-LIGHTOLIVE</t>
        </is>
      </c>
      <c r="E67" s="54" t="inlineStr">
        <is>
          <t>King</t>
        </is>
      </c>
      <c r="F67" s="54" t="inlineStr">
        <is>
          <t>Light Olive</t>
        </is>
      </c>
      <c r="G67" s="55" t="n">
        <v>68</v>
      </c>
      <c r="H67" s="55" t="n">
        <v>48</v>
      </c>
      <c r="I67" s="56" t="inlineStr">
        <is>
          <t>FBA19N82086K ready to ship: 30; FBA19RS1HC4F shipped: 12; FBA19RRY6QFT shipped: 6; FBA19RS0N5K2 shipped: 6; FBA19RRYCGHJ shipped: 6; FBA19RRY5FBL shipped: 6; FBA19N7WSG18 in transit: 6; FBA19N7RP6W7 in transit: 6</t>
        </is>
      </c>
      <c r="J67" s="57" t="n">
        <v>0.86</v>
      </c>
      <c r="K67" s="56" t="inlineStr">
        <is>
          <t>account data velocity</t>
        </is>
      </c>
      <c r="L67" s="58" t="n">
        <v>4.255</v>
      </c>
      <c r="M67" s="56" t="inlineStr">
        <is>
          <t>own BFCM 2025 lift (account data)</t>
        </is>
      </c>
      <c r="N67" s="59">
        <f>J67*34+J67*L67*12</f>
        <v/>
      </c>
      <c r="O67" s="59">
        <f>MAX(0,N67-G67-H67)</f>
        <v/>
      </c>
      <c r="P67" s="60">
        <f>IF(J67=0,"",IF(G67&lt;J67*34,DATE(2026,10,15)+G67/J67,IF(G67&lt;N67,DATE(2026,11,18)+(G67-J67*34)/(J67*L67),"after Nov 30")))</f>
        <v/>
      </c>
      <c r="Q67" s="60">
        <f>IF(J67=0,"",IF(G67+H67&lt;J67*34,DATE(2026,10,15)+(G67+H67)/J67,IF(G67+H67&lt;N67,DATE(2026,11,18)+(G67+H67-J67*34)/(J67*L67),"after Nov 30")))</f>
        <v/>
      </c>
      <c r="R67" s="54">
        <f>IF(AND(G67&lt;=0,J67&gt;0),"Out of stock now",IF(G67&gt;=N67,"Covered to Nov 30",IF(G67+H67&gt;=N67,"Needs inbound in time","Short even with inbound")))</f>
        <v/>
      </c>
      <c r="S67" s="57" t="n">
        <v>0.929</v>
      </c>
      <c r="T67" s="59">
        <f>IF(S67="","",S67*34+S67*L67*12)</f>
        <v/>
      </c>
    </row>
    <row r="68">
      <c r="A68" s="54" t="inlineStr">
        <is>
          <t>US DC B4</t>
        </is>
      </c>
      <c r="B68" s="54" t="inlineStr">
        <is>
          <t>US</t>
        </is>
      </c>
      <c r="C68" s="54" t="inlineStr">
        <is>
          <t>B0BZQ43D7W</t>
        </is>
      </c>
      <c r="D68" s="54" t="inlineStr">
        <is>
          <t>BAMBOO-FULL-MIDGREY</t>
        </is>
      </c>
      <c r="E68" s="54" t="inlineStr">
        <is>
          <t>Full</t>
        </is>
      </c>
      <c r="F68" s="54" t="inlineStr">
        <is>
          <t>Midgrey</t>
        </is>
      </c>
      <c r="G68" s="55" t="n">
        <v>39</v>
      </c>
      <c r="H68" s="55" t="n">
        <v>102</v>
      </c>
      <c r="I68" s="56" t="inlineStr">
        <is>
          <t>FBA19STZ9LHZ ready to ship: 12; FBA19STRJMC3 ready to ship: 6; FBA19SV47PX1 ready to ship: 6; FBA19SV1CLVT ready to ship: 6; FBA19STYQSF4 ready to ship: 6; FBA19RS1HC4F shipped: 12; FBA19RRY6QFT shipped: 18; FBA19RS0N5K2 shipped: 6; FBA19RRYCGHJ shipped: 12; FBA19RRY5FBL shipped: 18</t>
        </is>
      </c>
      <c r="J68" s="57" t="n">
        <v>0.78</v>
      </c>
      <c r="K68" s="56" t="inlineStr">
        <is>
          <t>account data velocity</t>
        </is>
      </c>
      <c r="L68" s="58" t="n">
        <v>4.255</v>
      </c>
      <c r="M68" s="56" t="inlineStr">
        <is>
          <t>own BFCM 2025 lift (account data)</t>
        </is>
      </c>
      <c r="N68" s="59">
        <f>J68*34+J68*L68*12</f>
        <v/>
      </c>
      <c r="O68" s="59">
        <f>MAX(0,N68-G68-H68)</f>
        <v/>
      </c>
      <c r="P68" s="60">
        <f>IF(J68=0,"",IF(G68&lt;J68*34,DATE(2026,10,15)+G68/J68,IF(G68&lt;N68,DATE(2026,11,18)+(G68-J68*34)/(J68*L68),"after Nov 30")))</f>
        <v/>
      </c>
      <c r="Q68" s="60">
        <f>IF(J68=0,"",IF(G68+H68&lt;J68*34,DATE(2026,10,15)+(G68+H68)/J68,IF(G68+H68&lt;N68,DATE(2026,11,18)+(G68+H68-J68*34)/(J68*L68),"after Nov 30")))</f>
        <v/>
      </c>
      <c r="R68" s="54">
        <f>IF(AND(G68&lt;=0,J68&gt;0),"Out of stock now",IF(G68&gt;=N68,"Covered to Nov 30",IF(G68+H68&gt;=N68,"Needs inbound in time","Short even with inbound")))</f>
        <v/>
      </c>
      <c r="S68" s="57" t="n">
        <v>0.786</v>
      </c>
      <c r="T68" s="59">
        <f>IF(S68="","",S68*34+S68*L68*12)</f>
        <v/>
      </c>
    </row>
    <row r="69">
      <c r="A69" s="54" t="inlineStr">
        <is>
          <t>US DC B4</t>
        </is>
      </c>
      <c r="B69" s="54" t="inlineStr">
        <is>
          <t>US</t>
        </is>
      </c>
      <c r="C69" s="54" t="inlineStr">
        <is>
          <t>B08KQJQ3C2</t>
        </is>
      </c>
      <c r="D69" s="54" t="inlineStr">
        <is>
          <t>BAMBOO-KING-GREY</t>
        </is>
      </c>
      <c r="E69" s="54" t="inlineStr">
        <is>
          <t>King</t>
        </is>
      </c>
      <c r="F69" s="54" t="inlineStr">
        <is>
          <t>Grey</t>
        </is>
      </c>
      <c r="G69" s="55" t="n">
        <v>107</v>
      </c>
      <c r="H69" s="55" t="n">
        <v>108</v>
      </c>
      <c r="I69" s="56" t="inlineStr">
        <is>
          <t>FBA19N7WSG18 in transit: 24; FBA19N7RP6W7 in transit: 48; FBA19N7RQF4Q ready to ship: 36</t>
        </is>
      </c>
      <c r="J69" s="57" t="n">
        <v>0.78</v>
      </c>
      <c r="K69" s="56" t="inlineStr">
        <is>
          <t>account data velocity</t>
        </is>
      </c>
      <c r="L69" s="58" t="n">
        <v>4.255</v>
      </c>
      <c r="M69" s="56" t="inlineStr">
        <is>
          <t>own BFCM 2025 lift (account data)</t>
        </is>
      </c>
      <c r="N69" s="59">
        <f>J69*34+J69*L69*12</f>
        <v/>
      </c>
      <c r="O69" s="59">
        <f>MAX(0,N69-G69-H69)</f>
        <v/>
      </c>
      <c r="P69" s="60">
        <f>IF(J69=0,"",IF(G69&lt;J69*34,DATE(2026,10,15)+G69/J69,IF(G69&lt;N69,DATE(2026,11,18)+(G69-J69*34)/(J69*L69),"after Nov 30")))</f>
        <v/>
      </c>
      <c r="Q69" s="60">
        <f>IF(J69=0,"",IF(G69+H69&lt;J69*34,DATE(2026,10,15)+(G69+H69)/J69,IF(G69+H69&lt;N69,DATE(2026,11,18)+(G69+H69-J69*34)/(J69*L69),"after Nov 30")))</f>
        <v/>
      </c>
      <c r="R69" s="54">
        <f>IF(AND(G69&lt;=0,J69&gt;0),"Out of stock now",IF(G69&gt;=N69,"Covered to Nov 30",IF(G69+H69&gt;=N69,"Needs inbound in time","Short even with inbound")))</f>
        <v/>
      </c>
      <c r="S69" s="57" t="n">
        <v>0.286</v>
      </c>
      <c r="T69" s="59">
        <f>IF(S69="","",S69*34+S69*L69*12)</f>
        <v/>
      </c>
    </row>
    <row r="70">
      <c r="A70" s="54" t="inlineStr">
        <is>
          <t>US DC B4</t>
        </is>
      </c>
      <c r="B70" s="54" t="inlineStr">
        <is>
          <t>US</t>
        </is>
      </c>
      <c r="C70" s="54" t="inlineStr">
        <is>
          <t>B08KQJBFFZ</t>
        </is>
      </c>
      <c r="D70" s="54" t="inlineStr">
        <is>
          <t>BAMBOO-TWIN-TAUPE</t>
        </is>
      </c>
      <c r="E70" s="54" t="inlineStr">
        <is>
          <t>Twin</t>
        </is>
      </c>
      <c r="F70" s="54" t="inlineStr">
        <is>
          <t>Taupe</t>
        </is>
      </c>
      <c r="G70" s="55" t="n">
        <v>34</v>
      </c>
      <c r="H70" s="55" t="n">
        <v>0</v>
      </c>
      <c r="I70" s="56" t="n"/>
      <c r="J70" s="57" t="n">
        <v>0.77</v>
      </c>
      <c r="K70" s="56" t="inlineStr">
        <is>
          <t>account data velocity</t>
        </is>
      </c>
      <c r="L70" s="58" t="n">
        <v>4.255</v>
      </c>
      <c r="M70" s="56" t="inlineStr">
        <is>
          <t>own BFCM 2025 lift (account data)</t>
        </is>
      </c>
      <c r="N70" s="59">
        <f>J70*34+J70*L70*12</f>
        <v/>
      </c>
      <c r="O70" s="59">
        <f>MAX(0,N70-G70-H70)</f>
        <v/>
      </c>
      <c r="P70" s="60">
        <f>IF(J70=0,"",IF(G70&lt;J70*34,DATE(2026,10,15)+G70/J70,IF(G70&lt;N70,DATE(2026,11,18)+(G70-J70*34)/(J70*L70),"after Nov 30")))</f>
        <v/>
      </c>
      <c r="Q70" s="60">
        <f>IF(J70=0,"",IF(G70+H70&lt;J70*34,DATE(2026,10,15)+(G70+H70)/J70,IF(G70+H70&lt;N70,DATE(2026,11,18)+(G70+H70-J70*34)/(J70*L70),"after Nov 30")))</f>
        <v/>
      </c>
      <c r="R70" s="54">
        <f>IF(AND(G70&lt;=0,J70&gt;0),"Out of stock now",IF(G70&gt;=N70,"Covered to Nov 30",IF(G70+H70&gt;=N70,"Needs inbound in time","Short even with inbound")))</f>
        <v/>
      </c>
      <c r="S70" s="57" t="n">
        <v>0.429</v>
      </c>
      <c r="T70" s="59">
        <f>IF(S70="","",S70*34+S70*L70*12)</f>
        <v/>
      </c>
    </row>
    <row r="71">
      <c r="A71" s="54" t="inlineStr">
        <is>
          <t>US DC B4</t>
        </is>
      </c>
      <c r="B71" s="54" t="inlineStr">
        <is>
          <t>US</t>
        </is>
      </c>
      <c r="C71" s="54" t="inlineStr">
        <is>
          <t>B0BZQ1G5B8</t>
        </is>
      </c>
      <c r="D71" s="54" t="inlineStr">
        <is>
          <t>BAMBOO-CALIFKING-BLACK</t>
        </is>
      </c>
      <c r="E71" s="54" t="inlineStr">
        <is>
          <t>California King</t>
        </is>
      </c>
      <c r="F71" s="54" t="inlineStr">
        <is>
          <t>Black</t>
        </is>
      </c>
      <c r="G71" s="55" t="n">
        <v>47</v>
      </c>
      <c r="H71" s="55" t="n">
        <v>12</v>
      </c>
      <c r="I71" s="56" t="inlineStr">
        <is>
          <t>FBA19P55072C in transit: 12</t>
        </is>
      </c>
      <c r="J71" s="57" t="n">
        <v>0.76</v>
      </c>
      <c r="K71" s="56" t="inlineStr">
        <is>
          <t>account data velocity</t>
        </is>
      </c>
      <c r="L71" s="58" t="n">
        <v>4.255</v>
      </c>
      <c r="M71" s="56" t="inlineStr">
        <is>
          <t>own BFCM 2025 lift (account data)</t>
        </is>
      </c>
      <c r="N71" s="59">
        <f>J71*34+J71*L71*12</f>
        <v/>
      </c>
      <c r="O71" s="59">
        <f>MAX(0,N71-G71-H71)</f>
        <v/>
      </c>
      <c r="P71" s="60">
        <f>IF(J71=0,"",IF(G71&lt;J71*34,DATE(2026,10,15)+G71/J71,IF(G71&lt;N71,DATE(2026,11,18)+(G71-J71*34)/(J71*L71),"after Nov 30")))</f>
        <v/>
      </c>
      <c r="Q71" s="60">
        <f>IF(J71=0,"",IF(G71+H71&lt;J71*34,DATE(2026,10,15)+(G71+H71)/J71,IF(G71+H71&lt;N71,DATE(2026,11,18)+(G71+H71-J71*34)/(J71*L71),"after Nov 30")))</f>
        <v/>
      </c>
      <c r="R71" s="54">
        <f>IF(AND(G71&lt;=0,J71&gt;0),"Out of stock now",IF(G71&gt;=N71,"Covered to Nov 30",IF(G71+H71&gt;=N71,"Needs inbound in time","Short even with inbound")))</f>
        <v/>
      </c>
      <c r="S71" s="57" t="n">
        <v>0.143</v>
      </c>
      <c r="T71" s="59">
        <f>IF(S71="","",S71*34+S71*L71*12)</f>
        <v/>
      </c>
    </row>
    <row r="72">
      <c r="A72" s="54" t="inlineStr">
        <is>
          <t>US DC B4</t>
        </is>
      </c>
      <c r="B72" s="54" t="inlineStr">
        <is>
          <t>US</t>
        </is>
      </c>
      <c r="C72" s="54" t="inlineStr">
        <is>
          <t>B0BZPYZ1XY</t>
        </is>
      </c>
      <c r="D72" s="54" t="inlineStr">
        <is>
          <t>BAMBOO-FULL-BLACK</t>
        </is>
      </c>
      <c r="E72" s="54" t="inlineStr">
        <is>
          <t>Full</t>
        </is>
      </c>
      <c r="F72" s="54" t="inlineStr">
        <is>
          <t>Black</t>
        </is>
      </c>
      <c r="G72" s="55" t="n">
        <v>21</v>
      </c>
      <c r="H72" s="55" t="n">
        <v>30</v>
      </c>
      <c r="I72" s="56" t="inlineStr">
        <is>
          <t>FBA19SV5KWMR ready to ship: 12; FBA19QLJLR1F shipped: 6; FBA19QLKCVBW shipped: 6; FBA19QLK9CYH shipped: 6; FBA19QLKHC6Q shipped: 6; FBA19QLJ0ZP4 shipped: 6</t>
        </is>
      </c>
      <c r="J72" s="57" t="n">
        <v>0.65</v>
      </c>
      <c r="K72" s="56" t="inlineStr">
        <is>
          <t>account data velocity</t>
        </is>
      </c>
      <c r="L72" s="58" t="n">
        <v>4.255</v>
      </c>
      <c r="M72" s="56" t="inlineStr">
        <is>
          <t>own BFCM 2025 lift (account data)</t>
        </is>
      </c>
      <c r="N72" s="59">
        <f>J72*34+J72*L72*12</f>
        <v/>
      </c>
      <c r="O72" s="59">
        <f>MAX(0,N72-G72-H72)</f>
        <v/>
      </c>
      <c r="P72" s="60">
        <f>IF(J72=0,"",IF(G72&lt;J72*34,DATE(2026,10,15)+G72/J72,IF(G72&lt;N72,DATE(2026,11,18)+(G72-J72*34)/(J72*L72),"after Nov 30")))</f>
        <v/>
      </c>
      <c r="Q72" s="60">
        <f>IF(J72=0,"",IF(G72+H72&lt;J72*34,DATE(2026,10,15)+(G72+H72)/J72,IF(G72+H72&lt;N72,DATE(2026,11,18)+(G72+H72-J72*34)/(J72*L72),"after Nov 30")))</f>
        <v/>
      </c>
      <c r="R72" s="54">
        <f>IF(AND(G72&lt;=0,J72&gt;0),"Out of stock now",IF(G72&gt;=N72,"Covered to Nov 30",IF(G72+H72&gt;=N72,"Needs inbound in time","Short even with inbound")))</f>
        <v/>
      </c>
      <c r="S72" s="57" t="n">
        <v>0.536</v>
      </c>
      <c r="T72" s="59">
        <f>IF(S72="","",S72*34+S72*L72*12)</f>
        <v/>
      </c>
    </row>
    <row r="73">
      <c r="A73" s="54" t="inlineStr">
        <is>
          <t>US DC B4</t>
        </is>
      </c>
      <c r="B73" s="54" t="inlineStr">
        <is>
          <t>US</t>
        </is>
      </c>
      <c r="C73" s="54" t="inlineStr">
        <is>
          <t>B0BZPZQCBL</t>
        </is>
      </c>
      <c r="D73" s="54" t="inlineStr">
        <is>
          <t>BAMBOO-CALIFKING-CHARCOAL</t>
        </is>
      </c>
      <c r="E73" s="54" t="inlineStr">
        <is>
          <t>California King</t>
        </is>
      </c>
      <c r="F73" s="54" t="inlineStr">
        <is>
          <t>Charcoal</t>
        </is>
      </c>
      <c r="G73" s="55" t="n">
        <v>8</v>
      </c>
      <c r="H73" s="55" t="n">
        <v>162</v>
      </c>
      <c r="I73" s="56" t="inlineStr">
        <is>
          <t>FBA19STZ9LHZ ready to ship: 36; FBA19STRJMC3 ready to ship: 24; FBA19SV47PX1 ready to ship: 24; FBA19SV1CLVT ready to ship: 18; FBA19STYQSF4 ready to ship: 30; FBA19QLJLR1F shipped: 6; FBA19QLKCVBW shipped: 6; FBA19QLK9CYH shipped: 6; FBA19QLKHC6Q shipped: 6; FBA19QLJ0ZP4 shipped: 6</t>
        </is>
      </c>
      <c r="J73" s="57" t="n">
        <v>0.63</v>
      </c>
      <c r="K73" s="56" t="inlineStr">
        <is>
          <t>account data velocity</t>
        </is>
      </c>
      <c r="L73" s="58" t="n">
        <v>4.255</v>
      </c>
      <c r="M73" s="56" t="inlineStr">
        <is>
          <t>own BFCM 2025 lift (account data)</t>
        </is>
      </c>
      <c r="N73" s="59">
        <f>J73*34+J73*L73*12</f>
        <v/>
      </c>
      <c r="O73" s="59">
        <f>MAX(0,N73-G73-H73)</f>
        <v/>
      </c>
      <c r="P73" s="60">
        <f>IF(J73=0,"",IF(G73&lt;J73*34,DATE(2026,10,15)+G73/J73,IF(G73&lt;N73,DATE(2026,11,18)+(G73-J73*34)/(J73*L73),"after Nov 30")))</f>
        <v/>
      </c>
      <c r="Q73" s="60">
        <f>IF(J73=0,"",IF(G73+H73&lt;J73*34,DATE(2026,10,15)+(G73+H73)/J73,IF(G73+H73&lt;N73,DATE(2026,11,18)+(G73+H73-J73*34)/(J73*L73),"after Nov 30")))</f>
        <v/>
      </c>
      <c r="R73" s="54">
        <f>IF(AND(G73&lt;=0,J73&gt;0),"Out of stock now",IF(G73&gt;=N73,"Covered to Nov 30",IF(G73+H73&gt;=N73,"Needs inbound in time","Short even with inbound")))</f>
        <v/>
      </c>
      <c r="S73" s="57" t="n">
        <v>0.5</v>
      </c>
      <c r="T73" s="59">
        <f>IF(S73="","",S73*34+S73*L73*12)</f>
        <v/>
      </c>
    </row>
    <row r="74">
      <c r="A74" s="54" t="inlineStr">
        <is>
          <t>US DC B4</t>
        </is>
      </c>
      <c r="B74" s="54" t="inlineStr">
        <is>
          <t>US</t>
        </is>
      </c>
      <c r="C74" s="54" t="inlineStr">
        <is>
          <t>B08KQJP1K7</t>
        </is>
      </c>
      <c r="D74" s="54" t="inlineStr">
        <is>
          <t>BAMBOO-FULL-GREY</t>
        </is>
      </c>
      <c r="E74" s="54" t="inlineStr">
        <is>
          <t>Full</t>
        </is>
      </c>
      <c r="F74" s="54" t="inlineStr">
        <is>
          <t>Grey</t>
        </is>
      </c>
      <c r="G74" s="55" t="n">
        <v>11</v>
      </c>
      <c r="H74" s="55" t="n">
        <v>60</v>
      </c>
      <c r="I74" s="56" t="inlineStr">
        <is>
          <t>FBA19SV5KWMR ready to ship: 54; FBA19QLJLR1F shipped: 12; FBA19QLKCVBW shipped: 6; FBA19QLK9CYH shipped: 12; FBA19QLKHC6Q shipped: 18; FBA19QLJ0ZP4 shipped: 12</t>
        </is>
      </c>
      <c r="J74" s="57" t="n">
        <v>0.6</v>
      </c>
      <c r="K74" s="56" t="inlineStr">
        <is>
          <t>account data velocity</t>
        </is>
      </c>
      <c r="L74" s="58" t="n">
        <v>4.255</v>
      </c>
      <c r="M74" s="56" t="inlineStr">
        <is>
          <t>own BFCM 2025 lift (account data)</t>
        </is>
      </c>
      <c r="N74" s="59">
        <f>J74*34+J74*L74*12</f>
        <v/>
      </c>
      <c r="O74" s="59">
        <f>MAX(0,N74-G74-H74)</f>
        <v/>
      </c>
      <c r="P74" s="60">
        <f>IF(J74=0,"",IF(G74&lt;J74*34,DATE(2026,10,15)+G74/J74,IF(G74&lt;N74,DATE(2026,11,18)+(G74-J74*34)/(J74*L74),"after Nov 30")))</f>
        <v/>
      </c>
      <c r="Q74" s="60">
        <f>IF(J74=0,"",IF(G74+H74&lt;J74*34,DATE(2026,10,15)+(G74+H74)/J74,IF(G74+H74&lt;N74,DATE(2026,11,18)+(G74+H74-J74*34)/(J74*L74),"after Nov 30")))</f>
        <v/>
      </c>
      <c r="R74" s="54">
        <f>IF(AND(G74&lt;=0,J74&gt;0),"Out of stock now",IF(G74&gt;=N74,"Covered to Nov 30",IF(G74+H74&gt;=N74,"Needs inbound in time","Short even with inbound")))</f>
        <v/>
      </c>
      <c r="S74" s="57" t="n">
        <v>0.286</v>
      </c>
      <c r="T74" s="59">
        <f>IF(S74="","",S74*34+S74*L74*12)</f>
        <v/>
      </c>
    </row>
    <row r="75">
      <c r="A75" s="54" t="inlineStr">
        <is>
          <t>US DC B4</t>
        </is>
      </c>
      <c r="B75" s="54" t="inlineStr">
        <is>
          <t>US</t>
        </is>
      </c>
      <c r="C75" s="54" t="inlineStr">
        <is>
          <t>B08KQLQ7RG</t>
        </is>
      </c>
      <c r="D75" s="54" t="inlineStr">
        <is>
          <t>BAMBOO-CALIFKING-CREME</t>
        </is>
      </c>
      <c r="E75" s="54" t="inlineStr">
        <is>
          <t>California King</t>
        </is>
      </c>
      <c r="F75" s="54" t="inlineStr">
        <is>
          <t>Creme</t>
        </is>
      </c>
      <c r="G75" s="55" t="n">
        <v>33</v>
      </c>
      <c r="H75" s="55" t="n">
        <v>108</v>
      </c>
      <c r="I75" s="56" t="inlineStr">
        <is>
          <t>FBA19STZ9LHZ ready to ship: 12; FBA19STRJMC3 ready to ship: 6; FBA19SV47PX1 ready to ship: 6; FBA19SV1CLVT ready to ship: 12; FBA19STYQSF4 ready to ship: 12; FBA19QLJLR1F shipped: 18; FBA19QLKCVBW shipped: 12; FBA19QLK9CYH shipped: 12; FBA19QLKHC6Q shipped: 6; FBA19QLJ0ZP4 shipped: 12</t>
        </is>
      </c>
      <c r="J75" s="57" t="n">
        <v>0.5600000000000001</v>
      </c>
      <c r="K75" s="56" t="inlineStr">
        <is>
          <t>account data velocity</t>
        </is>
      </c>
      <c r="L75" s="58" t="n">
        <v>4.255</v>
      </c>
      <c r="M75" s="56" t="inlineStr">
        <is>
          <t>own BFCM 2025 lift (account data)</t>
        </is>
      </c>
      <c r="N75" s="59">
        <f>J75*34+J75*L75*12</f>
        <v/>
      </c>
      <c r="O75" s="59">
        <f>MAX(0,N75-G75-H75)</f>
        <v/>
      </c>
      <c r="P75" s="60">
        <f>IF(J75=0,"",IF(G75&lt;J75*34,DATE(2026,10,15)+G75/J75,IF(G75&lt;N75,DATE(2026,11,18)+(G75-J75*34)/(J75*L75),"after Nov 30")))</f>
        <v/>
      </c>
      <c r="Q75" s="60">
        <f>IF(J75=0,"",IF(G75+H75&lt;J75*34,DATE(2026,10,15)+(G75+H75)/J75,IF(G75+H75&lt;N75,DATE(2026,11,18)+(G75+H75-J75*34)/(J75*L75),"after Nov 30")))</f>
        <v/>
      </c>
      <c r="R75" s="54">
        <f>IF(AND(G75&lt;=0,J75&gt;0),"Out of stock now",IF(G75&gt;=N75,"Covered to Nov 30",IF(G75+H75&gt;=N75,"Needs inbound in time","Short even with inbound")))</f>
        <v/>
      </c>
      <c r="S75" s="57" t="n">
        <v>0.5</v>
      </c>
      <c r="T75" s="59">
        <f>IF(S75="","",S75*34+S75*L75*12)</f>
        <v/>
      </c>
    </row>
    <row r="76">
      <c r="A76" s="54" t="inlineStr">
        <is>
          <t>US DC B4</t>
        </is>
      </c>
      <c r="B76" s="54" t="inlineStr">
        <is>
          <t>US</t>
        </is>
      </c>
      <c r="C76" s="54" t="inlineStr">
        <is>
          <t>B08KQJ3JSW</t>
        </is>
      </c>
      <c r="D76" s="54" t="inlineStr">
        <is>
          <t>BAMBOO-FULL-CREME</t>
        </is>
      </c>
      <c r="E76" s="54" t="inlineStr">
        <is>
          <t>Full</t>
        </is>
      </c>
      <c r="F76" s="54" t="inlineStr">
        <is>
          <t>Creme</t>
        </is>
      </c>
      <c r="G76" s="55" t="n">
        <v>17</v>
      </c>
      <c r="H76" s="55" t="n">
        <v>90</v>
      </c>
      <c r="I76" s="56" t="inlineStr">
        <is>
          <t>FBA19SV5KWMR ready to ship: 18; FBA19QLJLR1F shipped: 18; FBA19QLKCVBW shipped: 18; FBA19QLK9CYH shipped: 12; FBA19QLKHC6Q shipped: 24; FBA19QLJ0ZP4 shipped: 18</t>
        </is>
      </c>
      <c r="J76" s="57" t="n">
        <v>0.5600000000000001</v>
      </c>
      <c r="K76" s="56" t="inlineStr">
        <is>
          <t>account data velocity</t>
        </is>
      </c>
      <c r="L76" s="58" t="n">
        <v>4.255</v>
      </c>
      <c r="M76" s="56" t="inlineStr">
        <is>
          <t>own BFCM 2025 lift (account data)</t>
        </is>
      </c>
      <c r="N76" s="59">
        <f>J76*34+J76*L76*12</f>
        <v/>
      </c>
      <c r="O76" s="59">
        <f>MAX(0,N76-G76-H76)</f>
        <v/>
      </c>
      <c r="P76" s="60">
        <f>IF(J76=0,"",IF(G76&lt;J76*34,DATE(2026,10,15)+G76/J76,IF(G76&lt;N76,DATE(2026,11,18)+(G76-J76*34)/(J76*L76),"after Nov 30")))</f>
        <v/>
      </c>
      <c r="Q76" s="60">
        <f>IF(J76=0,"",IF(G76+H76&lt;J76*34,DATE(2026,10,15)+(G76+H76)/J76,IF(G76+H76&lt;N76,DATE(2026,11,18)+(G76+H76-J76*34)/(J76*L76),"after Nov 30")))</f>
        <v/>
      </c>
      <c r="R76" s="54">
        <f>IF(AND(G76&lt;=0,J76&gt;0),"Out of stock now",IF(G76&gt;=N76,"Covered to Nov 30",IF(G76+H76&gt;=N76,"Needs inbound in time","Short even with inbound")))</f>
        <v/>
      </c>
      <c r="S76" s="57" t="n">
        <v>0.464</v>
      </c>
      <c r="T76" s="59">
        <f>IF(S76="","",S76*34+S76*L76*12)</f>
        <v/>
      </c>
    </row>
    <row r="77">
      <c r="A77" s="54" t="inlineStr">
        <is>
          <t>US DC B4</t>
        </is>
      </c>
      <c r="B77" s="54" t="inlineStr">
        <is>
          <t>US</t>
        </is>
      </c>
      <c r="C77" s="54" t="inlineStr">
        <is>
          <t>B08KQJGSW2</t>
        </is>
      </c>
      <c r="D77" s="54" t="inlineStr">
        <is>
          <t>BAMBOO-TWIN-LIGHTBLUE</t>
        </is>
      </c>
      <c r="E77" s="54" t="inlineStr">
        <is>
          <t>Twin</t>
        </is>
      </c>
      <c r="F77" s="54" t="inlineStr">
        <is>
          <t>Light Blue</t>
        </is>
      </c>
      <c r="G77" s="55" t="n">
        <v>32</v>
      </c>
      <c r="H77" s="55" t="n">
        <v>78</v>
      </c>
      <c r="I77" s="56" t="inlineStr">
        <is>
          <t>FBA19SV5KWMR ready to ship: 12; FBA19RS1HC4F shipped: 12; FBA19RRY6QFT shipped: 18; FBA19RS0N5K2 shipped: 12; FBA19RRYCGHJ shipped: 18; FBA19RRY5FBL shipped: 18</t>
        </is>
      </c>
      <c r="J77" s="57" t="n">
        <v>0.46</v>
      </c>
      <c r="K77" s="56" t="inlineStr">
        <is>
          <t>account data velocity</t>
        </is>
      </c>
      <c r="L77" s="58" t="n">
        <v>4.255</v>
      </c>
      <c r="M77" s="56" t="inlineStr">
        <is>
          <t>own BFCM 2025 lift (account data)</t>
        </is>
      </c>
      <c r="N77" s="59">
        <f>J77*34+J77*L77*12</f>
        <v/>
      </c>
      <c r="O77" s="59">
        <f>MAX(0,N77-G77-H77)</f>
        <v/>
      </c>
      <c r="P77" s="60">
        <f>IF(J77=0,"",IF(G77&lt;J77*34,DATE(2026,10,15)+G77/J77,IF(G77&lt;N77,DATE(2026,11,18)+(G77-J77*34)/(J77*L77),"after Nov 30")))</f>
        <v/>
      </c>
      <c r="Q77" s="60">
        <f>IF(J77=0,"",IF(G77+H77&lt;J77*34,DATE(2026,10,15)+(G77+H77)/J77,IF(G77+H77&lt;N77,DATE(2026,11,18)+(G77+H77-J77*34)/(J77*L77),"after Nov 30")))</f>
        <v/>
      </c>
      <c r="R77" s="54">
        <f>IF(AND(G77&lt;=0,J77&gt;0),"Out of stock now",IF(G77&gt;=N77,"Covered to Nov 30",IF(G77+H77&gt;=N77,"Needs inbound in time","Short even with inbound")))</f>
        <v/>
      </c>
      <c r="S77" s="57" t="n">
        <v>0.429</v>
      </c>
      <c r="T77" s="59">
        <f>IF(S77="","",S77*34+S77*L77*12)</f>
        <v/>
      </c>
    </row>
    <row r="78">
      <c r="A78" s="54" t="inlineStr">
        <is>
          <t>US DC B4</t>
        </is>
      </c>
      <c r="B78" s="54" t="inlineStr">
        <is>
          <t>US</t>
        </is>
      </c>
      <c r="C78" s="54" t="inlineStr">
        <is>
          <t>B08KQHSWSJ</t>
        </is>
      </c>
      <c r="D78" s="54" t="inlineStr">
        <is>
          <t>BAMBOO-CALIFKING-LIGHTBLUE</t>
        </is>
      </c>
      <c r="E78" s="54" t="inlineStr">
        <is>
          <t>California King</t>
        </is>
      </c>
      <c r="F78" s="54" t="inlineStr">
        <is>
          <t>Light Blue</t>
        </is>
      </c>
      <c r="G78" s="55" t="n">
        <v>0</v>
      </c>
      <c r="H78" s="55" t="n">
        <v>48</v>
      </c>
      <c r="I78" s="56" t="inlineStr">
        <is>
          <t>FBA19SV5KWMR ready to ship: 6; FBA19QLJLR1F shipped: 12; FBA19QLKCVBW shipped: 12; FBA19QLK9CYH shipped: 12; FBA19QLKHC6Q shipped: 6; FBA19QLJ0ZP4 shipped: 6</t>
        </is>
      </c>
      <c r="J78" s="57" t="n">
        <v>0.44</v>
      </c>
      <c r="K78" s="56" t="inlineStr">
        <is>
          <t>account data velocity</t>
        </is>
      </c>
      <c r="L78" s="58" t="n">
        <v>4.255</v>
      </c>
      <c r="M78" s="56" t="inlineStr">
        <is>
          <t>own BFCM 2025 lift (account data)</t>
        </is>
      </c>
      <c r="N78" s="59">
        <f>J78*34+J78*L78*12</f>
        <v/>
      </c>
      <c r="O78" s="59">
        <f>MAX(0,N78-G78-H78)</f>
        <v/>
      </c>
      <c r="P78" s="60">
        <f>IF(J78=0,"",IF(G78&lt;J78*34,DATE(2026,10,15)+G78/J78,IF(G78&lt;N78,DATE(2026,11,18)+(G78-J78*34)/(J78*L78),"after Nov 30")))</f>
        <v/>
      </c>
      <c r="Q78" s="60">
        <f>IF(J78=0,"",IF(G78+H78&lt;J78*34,DATE(2026,10,15)+(G78+H78)/J78,IF(G78+H78&lt;N78,DATE(2026,11,18)+(G78+H78-J78*34)/(J78*L78),"after Nov 30")))</f>
        <v/>
      </c>
      <c r="R78" s="54">
        <f>IF(AND(G78&lt;=0,J78&gt;0),"Out of stock now",IF(G78&gt;=N78,"Covered to Nov 30",IF(G78+H78&gt;=N78,"Needs inbound in time","Short even with inbound")))</f>
        <v/>
      </c>
      <c r="S78" s="57" t="n">
        <v>0.429</v>
      </c>
      <c r="T78" s="59">
        <f>IF(S78="","",S78*34+S78*L78*12)</f>
        <v/>
      </c>
    </row>
    <row r="79">
      <c r="A79" s="54" t="inlineStr">
        <is>
          <t>US DC B4</t>
        </is>
      </c>
      <c r="B79" s="54" t="inlineStr">
        <is>
          <t>US</t>
        </is>
      </c>
      <c r="C79" s="54" t="inlineStr">
        <is>
          <t>B0CLKFLJMZ</t>
        </is>
      </c>
      <c r="D79" s="54" t="inlineStr">
        <is>
          <t>BAMBOO-FULL-SAGE GREEN</t>
        </is>
      </c>
      <c r="E79" s="54" t="inlineStr">
        <is>
          <t>Full</t>
        </is>
      </c>
      <c r="F79" s="54" t="inlineStr">
        <is>
          <t>Sage Green</t>
        </is>
      </c>
      <c r="G79" s="55" t="n">
        <v>51</v>
      </c>
      <c r="H79" s="55" t="n">
        <v>30</v>
      </c>
      <c r="I79" s="56" t="inlineStr">
        <is>
          <t>FBA19QLJLR1F shipped: 6; FBA19QLKCVBW shipped: 6; FBA19QLK9CYH shipped: 6; FBA19QLKHC6Q shipped: 6; FBA19QLJ0ZP4 shipped: 6</t>
        </is>
      </c>
      <c r="J79" s="57" t="n">
        <v>0.44</v>
      </c>
      <c r="K79" s="56" t="inlineStr">
        <is>
          <t>account data velocity</t>
        </is>
      </c>
      <c r="L79" s="58" t="n">
        <v>4.255</v>
      </c>
      <c r="M79" s="56" t="inlineStr">
        <is>
          <t>own BFCM 2025 lift (account data)</t>
        </is>
      </c>
      <c r="N79" s="59">
        <f>J79*34+J79*L79*12</f>
        <v/>
      </c>
      <c r="O79" s="59">
        <f>MAX(0,N79-G79-H79)</f>
        <v/>
      </c>
      <c r="P79" s="60">
        <f>IF(J79=0,"",IF(G79&lt;J79*34,DATE(2026,10,15)+G79/J79,IF(G79&lt;N79,DATE(2026,11,18)+(G79-J79*34)/(J79*L79),"after Nov 30")))</f>
        <v/>
      </c>
      <c r="Q79" s="60">
        <f>IF(J79=0,"",IF(G79+H79&lt;J79*34,DATE(2026,10,15)+(G79+H79)/J79,IF(G79+H79&lt;N79,DATE(2026,11,18)+(G79+H79-J79*34)/(J79*L79),"after Nov 30")))</f>
        <v/>
      </c>
      <c r="R79" s="54">
        <f>IF(AND(G79&lt;=0,J79&gt;0),"Out of stock now",IF(G79&gt;=N79,"Covered to Nov 30",IF(G79+H79&gt;=N79,"Needs inbound in time","Short even with inbound")))</f>
        <v/>
      </c>
      <c r="S79" s="57" t="n">
        <v>0.357</v>
      </c>
      <c r="T79" s="59">
        <f>IF(S79="","",S79*34+S79*L79*12)</f>
        <v/>
      </c>
    </row>
    <row r="80">
      <c r="A80" s="54" t="inlineStr">
        <is>
          <t>US DC B4</t>
        </is>
      </c>
      <c r="B80" s="54" t="inlineStr">
        <is>
          <t>US</t>
        </is>
      </c>
      <c r="C80" s="54" t="inlineStr">
        <is>
          <t>B0CRHX3LKM</t>
        </is>
      </c>
      <c r="D80" s="54" t="inlineStr">
        <is>
          <t>BAMBOO-TWIN-BURGUNDY-NEW</t>
        </is>
      </c>
      <c r="E80" s="54" t="inlineStr">
        <is>
          <t>Twin</t>
        </is>
      </c>
      <c r="F80" s="54" t="inlineStr">
        <is>
          <t>Burgundy</t>
        </is>
      </c>
      <c r="G80" s="55" t="n">
        <v>124</v>
      </c>
      <c r="H80" s="55" t="n">
        <v>0</v>
      </c>
      <c r="I80" s="56" t="n"/>
      <c r="J80" s="57" t="n">
        <v>0.44</v>
      </c>
      <c r="K80" s="56" t="inlineStr">
        <is>
          <t>account data velocity</t>
        </is>
      </c>
      <c r="L80" s="58" t="n">
        <v>4.255</v>
      </c>
      <c r="M80" s="56" t="inlineStr">
        <is>
          <t>own BFCM 2025 lift (account data)</t>
        </is>
      </c>
      <c r="N80" s="59">
        <f>J80*34+J80*L80*12</f>
        <v/>
      </c>
      <c r="O80" s="59">
        <f>MAX(0,N80-G80-H80)</f>
        <v/>
      </c>
      <c r="P80" s="60">
        <f>IF(J80=0,"",IF(G80&lt;J80*34,DATE(2026,10,15)+G80/J80,IF(G80&lt;N80,DATE(2026,11,18)+(G80-J80*34)/(J80*L80),"after Nov 30")))</f>
        <v/>
      </c>
      <c r="Q80" s="60">
        <f>IF(J80=0,"",IF(G80+H80&lt;J80*34,DATE(2026,10,15)+(G80+H80)/J80,IF(G80+H80&lt;N80,DATE(2026,11,18)+(G80+H80-J80*34)/(J80*L80),"after Nov 30")))</f>
        <v/>
      </c>
      <c r="R80" s="54">
        <f>IF(AND(G80&lt;=0,J80&gt;0),"Out of stock now",IF(G80&gt;=N80,"Covered to Nov 30",IF(G80+H80&gt;=N80,"Needs inbound in time","Short even with inbound")))</f>
        <v/>
      </c>
      <c r="S80" s="57" t="n">
        <v>0.286</v>
      </c>
      <c r="T80" s="59">
        <f>IF(S80="","",S80*34+S80*L80*12)</f>
        <v/>
      </c>
    </row>
    <row r="81">
      <c r="A81" s="54" t="inlineStr">
        <is>
          <t>US DC B4</t>
        </is>
      </c>
      <c r="B81" s="54" t="inlineStr">
        <is>
          <t>US</t>
        </is>
      </c>
      <c r="C81" s="54" t="inlineStr">
        <is>
          <t>B08KQJHKFJ</t>
        </is>
      </c>
      <c r="D81" s="54" t="inlineStr">
        <is>
          <t>BAMBOO-FULL-LIGHTGREY</t>
        </is>
      </c>
      <c r="E81" s="54" t="inlineStr">
        <is>
          <t>Full</t>
        </is>
      </c>
      <c r="F81" s="54" t="inlineStr">
        <is>
          <t>Light Grey</t>
        </is>
      </c>
      <c r="G81" s="55" t="n">
        <v>24</v>
      </c>
      <c r="H81" s="55" t="n">
        <v>48</v>
      </c>
      <c r="I81" s="56" t="inlineStr">
        <is>
          <t>FBA19SV5KWMR ready to ship: 6; FBA19QLJLR1F shipped: 6; FBA19QLKCVBW shipped: 6; FBA19QLK9CYH shipped: 6; FBA19QLKHC6Q shipped: 6; FBA19QLJ0ZP4 shipped: 6; FBA19N7WSG18 in transit: 6; FBA19N7RP6W7 in transit: 6; FBA19N7RQF4Q ready to ship: 6</t>
        </is>
      </c>
      <c r="J81" s="57" t="n">
        <v>0.43</v>
      </c>
      <c r="K81" s="56" t="inlineStr">
        <is>
          <t>account data velocity</t>
        </is>
      </c>
      <c r="L81" s="58" t="n">
        <v>4.255</v>
      </c>
      <c r="M81" s="56" t="inlineStr">
        <is>
          <t>own BFCM 2025 lift (account data)</t>
        </is>
      </c>
      <c r="N81" s="59">
        <f>J81*34+J81*L81*12</f>
        <v/>
      </c>
      <c r="O81" s="59">
        <f>MAX(0,N81-G81-H81)</f>
        <v/>
      </c>
      <c r="P81" s="60">
        <f>IF(J81=0,"",IF(G81&lt;J81*34,DATE(2026,10,15)+G81/J81,IF(G81&lt;N81,DATE(2026,11,18)+(G81-J81*34)/(J81*L81),"after Nov 30")))</f>
        <v/>
      </c>
      <c r="Q81" s="60">
        <f>IF(J81=0,"",IF(G81+H81&lt;J81*34,DATE(2026,10,15)+(G81+H81)/J81,IF(G81+H81&lt;N81,DATE(2026,11,18)+(G81+H81-J81*34)/(J81*L81),"after Nov 30")))</f>
        <v/>
      </c>
      <c r="R81" s="54">
        <f>IF(AND(G81&lt;=0,J81&gt;0),"Out of stock now",IF(G81&gt;=N81,"Covered to Nov 30",IF(G81+H81&gt;=N81,"Needs inbound in time","Short even with inbound")))</f>
        <v/>
      </c>
      <c r="S81" s="57" t="n">
        <v>0.357</v>
      </c>
      <c r="T81" s="59">
        <f>IF(S81="","",S81*34+S81*L81*12)</f>
        <v/>
      </c>
    </row>
    <row r="82">
      <c r="A82" s="54" t="inlineStr">
        <is>
          <t>US DC B4</t>
        </is>
      </c>
      <c r="B82" s="54" t="inlineStr">
        <is>
          <t>US</t>
        </is>
      </c>
      <c r="C82" s="54" t="inlineStr">
        <is>
          <t>B08KQL2JT8</t>
        </is>
      </c>
      <c r="D82" s="54" t="inlineStr">
        <is>
          <t>BAMBOO-FULL-NAVYBLUE</t>
        </is>
      </c>
      <c r="E82" s="54" t="inlineStr">
        <is>
          <t>Full</t>
        </is>
      </c>
      <c r="F82" s="54" t="inlineStr">
        <is>
          <t>Navy Blue</t>
        </is>
      </c>
      <c r="G82" s="55" t="n">
        <v>65</v>
      </c>
      <c r="H82" s="55" t="n">
        <v>36</v>
      </c>
      <c r="I82" s="56" t="inlineStr">
        <is>
          <t>FBA19N82086K ready to ship: 6; FBA19P55072C in transit: 6; FBA19N7WSG18 in transit: 12; FBA19N7RP6W7 in transit: 12; FBA19N7RQF4Q ready to ship: 6</t>
        </is>
      </c>
      <c r="J82" s="57" t="n">
        <v>0.43</v>
      </c>
      <c r="K82" s="56" t="inlineStr">
        <is>
          <t>account data velocity</t>
        </is>
      </c>
      <c r="L82" s="58" t="n">
        <v>4.255</v>
      </c>
      <c r="M82" s="56" t="inlineStr">
        <is>
          <t>own BFCM 2025 lift (account data)</t>
        </is>
      </c>
      <c r="N82" s="59">
        <f>J82*34+J82*L82*12</f>
        <v/>
      </c>
      <c r="O82" s="59">
        <f>MAX(0,N82-G82-H82)</f>
        <v/>
      </c>
      <c r="P82" s="60">
        <f>IF(J82=0,"",IF(G82&lt;J82*34,DATE(2026,10,15)+G82/J82,IF(G82&lt;N82,DATE(2026,11,18)+(G82-J82*34)/(J82*L82),"after Nov 30")))</f>
        <v/>
      </c>
      <c r="Q82" s="60">
        <f>IF(J82=0,"",IF(G82+H82&lt;J82*34,DATE(2026,10,15)+(G82+H82)/J82,IF(G82+H82&lt;N82,DATE(2026,11,18)+(G82+H82-J82*34)/(J82*L82),"after Nov 30")))</f>
        <v/>
      </c>
      <c r="R82" s="54">
        <f>IF(AND(G82&lt;=0,J82&gt;0),"Out of stock now",IF(G82&gt;=N82,"Covered to Nov 30",IF(G82+H82&gt;=N82,"Needs inbound in time","Short even with inbound")))</f>
        <v/>
      </c>
      <c r="S82" s="57" t="n">
        <v>0.036</v>
      </c>
      <c r="T82" s="59">
        <f>IF(S82="","",S82*34+S82*L82*12)</f>
        <v/>
      </c>
    </row>
    <row r="83">
      <c r="A83" s="54" t="inlineStr">
        <is>
          <t>US DC B4</t>
        </is>
      </c>
      <c r="B83" s="54" t="inlineStr">
        <is>
          <t>US</t>
        </is>
      </c>
      <c r="C83" s="54" t="inlineStr">
        <is>
          <t>B08KQKKVSX</t>
        </is>
      </c>
      <c r="D83" s="54" t="inlineStr">
        <is>
          <t>BAMBOO-TWIN-OLIVE</t>
        </is>
      </c>
      <c r="E83" s="54" t="inlineStr">
        <is>
          <t>Twin</t>
        </is>
      </c>
      <c r="F83" s="54" t="inlineStr">
        <is>
          <t>Olive</t>
        </is>
      </c>
      <c r="G83" s="55" t="n">
        <v>44</v>
      </c>
      <c r="H83" s="55" t="n">
        <v>30</v>
      </c>
      <c r="I83" s="56" t="inlineStr">
        <is>
          <t>FBA19STZ9LHZ ready to ship: 6; FBA19STRJMC3 ready to ship: 6; FBA19SV47PX1 ready to ship: 6; FBA19SV1CLVT ready to ship: 6; FBA19STYQSF4 ready to ship: 6</t>
        </is>
      </c>
      <c r="J83" s="57" t="n">
        <v>0.42</v>
      </c>
      <c r="K83" s="56" t="inlineStr">
        <is>
          <t>account data velocity</t>
        </is>
      </c>
      <c r="L83" s="58" t="n">
        <v>4.255</v>
      </c>
      <c r="M83" s="56" t="inlineStr">
        <is>
          <t>own BFCM 2025 lift (account data)</t>
        </is>
      </c>
      <c r="N83" s="59">
        <f>J83*34+J83*L83*12</f>
        <v/>
      </c>
      <c r="O83" s="59">
        <f>MAX(0,N83-G83-H83)</f>
        <v/>
      </c>
      <c r="P83" s="60">
        <f>IF(J83=0,"",IF(G83&lt;J83*34,DATE(2026,10,15)+G83/J83,IF(G83&lt;N83,DATE(2026,11,18)+(G83-J83*34)/(J83*L83),"after Nov 30")))</f>
        <v/>
      </c>
      <c r="Q83" s="60">
        <f>IF(J83=0,"",IF(G83+H83&lt;J83*34,DATE(2026,10,15)+(G83+H83)/J83,IF(G83+H83&lt;N83,DATE(2026,11,18)+(G83+H83-J83*34)/(J83*L83),"after Nov 30")))</f>
        <v/>
      </c>
      <c r="R83" s="54">
        <f>IF(AND(G83&lt;=0,J83&gt;0),"Out of stock now",IF(G83&gt;=N83,"Covered to Nov 30",IF(G83+H83&gt;=N83,"Needs inbound in time","Short even with inbound")))</f>
        <v/>
      </c>
      <c r="S83" s="57" t="n">
        <v>0.286</v>
      </c>
      <c r="T83" s="59">
        <f>IF(S83="","",S83*34+S83*L83*12)</f>
        <v/>
      </c>
    </row>
    <row r="84">
      <c r="A84" s="54" t="inlineStr">
        <is>
          <t>US DC B4</t>
        </is>
      </c>
      <c r="B84" s="54" t="inlineStr">
        <is>
          <t>US</t>
        </is>
      </c>
      <c r="C84" s="54" t="inlineStr">
        <is>
          <t>B0BZQ19Z44</t>
        </is>
      </c>
      <c r="D84" s="54" t="inlineStr">
        <is>
          <t>BAMBOO-QUEEN-LIGHTOLIVE</t>
        </is>
      </c>
      <c r="E84" s="54" t="inlineStr">
        <is>
          <t>Queen</t>
        </is>
      </c>
      <c r="F84" s="54" t="inlineStr">
        <is>
          <t>Light Olive</t>
        </is>
      </c>
      <c r="G84" s="55" t="n">
        <v>103</v>
      </c>
      <c r="H84" s="55" t="n">
        <v>36</v>
      </c>
      <c r="I84" s="56" t="inlineStr">
        <is>
          <t>FBA19SV5KWMR ready to ship: 30; FBA19STZ9LHZ ready to ship: 12; FBA19STRJMC3 ready to ship: 6; FBA19SV47PX1 ready to ship: 6; FBA19SV1CLVT ready to ship: 6; FBA19STYQSF4 ready to ship: 6</t>
        </is>
      </c>
      <c r="J84" s="57" t="n">
        <v>0.41</v>
      </c>
      <c r="K84" s="56" t="inlineStr">
        <is>
          <t>account data velocity</t>
        </is>
      </c>
      <c r="L84" s="58" t="n">
        <v>4.255</v>
      </c>
      <c r="M84" s="56" t="inlineStr">
        <is>
          <t>own BFCM 2025 lift (account data)</t>
        </is>
      </c>
      <c r="N84" s="59">
        <f>J84*34+J84*L84*12</f>
        <v/>
      </c>
      <c r="O84" s="59">
        <f>MAX(0,N84-G84-H84)</f>
        <v/>
      </c>
      <c r="P84" s="60">
        <f>IF(J84=0,"",IF(G84&lt;J84*34,DATE(2026,10,15)+G84/J84,IF(G84&lt;N84,DATE(2026,11,18)+(G84-J84*34)/(J84*L84),"after Nov 30")))</f>
        <v/>
      </c>
      <c r="Q84" s="60">
        <f>IF(J84=0,"",IF(G84+H84&lt;J84*34,DATE(2026,10,15)+(G84+H84)/J84,IF(G84+H84&lt;N84,DATE(2026,11,18)+(G84+H84-J84*34)/(J84*L84),"after Nov 30")))</f>
        <v/>
      </c>
      <c r="R84" s="54">
        <f>IF(AND(G84&lt;=0,J84&gt;0),"Out of stock now",IF(G84&gt;=N84,"Covered to Nov 30",IF(G84+H84&gt;=N84,"Needs inbound in time","Short even with inbound")))</f>
        <v/>
      </c>
      <c r="S84" s="57" t="n">
        <v>0.357</v>
      </c>
      <c r="T84" s="59">
        <f>IF(S84="","",S84*34+S84*L84*12)</f>
        <v/>
      </c>
    </row>
    <row r="85">
      <c r="A85" s="54" t="inlineStr">
        <is>
          <t>US DC B4</t>
        </is>
      </c>
      <c r="B85" s="54" t="inlineStr">
        <is>
          <t>US</t>
        </is>
      </c>
      <c r="C85" s="54" t="inlineStr">
        <is>
          <t>B0CRHYHS4X</t>
        </is>
      </c>
      <c r="D85" s="54" t="inlineStr">
        <is>
          <t>BAMBOO-CALIFKING-BURGUNDY-NEW</t>
        </is>
      </c>
      <c r="E85" s="54" t="inlineStr">
        <is>
          <t>California King</t>
        </is>
      </c>
      <c r="F85" s="54" t="inlineStr">
        <is>
          <t>Burgundy</t>
        </is>
      </c>
      <c r="G85" s="55" t="n">
        <v>70</v>
      </c>
      <c r="H85" s="55" t="n">
        <v>84</v>
      </c>
      <c r="I85" s="56" t="inlineStr">
        <is>
          <t>FBA19SV5KWMR ready to ship: 6; FBA19STZ9LHZ ready to ship: 12; FBA19STRJMC3 ready to ship: 12; FBA19SV47PX1 ready to ship: 18; FBA19SV1CLVT ready to ship: 18; FBA19STYQSF4 ready to ship: 24</t>
        </is>
      </c>
      <c r="J85" s="57" t="n">
        <v>0.4</v>
      </c>
      <c r="K85" s="56" t="inlineStr">
        <is>
          <t>account data velocity</t>
        </is>
      </c>
      <c r="L85" s="58" t="n">
        <v>4.255</v>
      </c>
      <c r="M85" s="56" t="inlineStr">
        <is>
          <t>own BFCM 2025 lift (account data)</t>
        </is>
      </c>
      <c r="N85" s="59">
        <f>J85*34+J85*L85*12</f>
        <v/>
      </c>
      <c r="O85" s="59">
        <f>MAX(0,N85-G85-H85)</f>
        <v/>
      </c>
      <c r="P85" s="60">
        <f>IF(J85=0,"",IF(G85&lt;J85*34,DATE(2026,10,15)+G85/J85,IF(G85&lt;N85,DATE(2026,11,18)+(G85-J85*34)/(J85*L85),"after Nov 30")))</f>
        <v/>
      </c>
      <c r="Q85" s="60">
        <f>IF(J85=0,"",IF(G85+H85&lt;J85*34,DATE(2026,10,15)+(G85+H85)/J85,IF(G85+H85&lt;N85,DATE(2026,11,18)+(G85+H85-J85*34)/(J85*L85),"after Nov 30")))</f>
        <v/>
      </c>
      <c r="R85" s="54">
        <f>IF(AND(G85&lt;=0,J85&gt;0),"Out of stock now",IF(G85&gt;=N85,"Covered to Nov 30",IF(G85+H85&gt;=N85,"Needs inbound in time","Short even with inbound")))</f>
        <v/>
      </c>
      <c r="S85" s="57" t="n">
        <v>0.393</v>
      </c>
      <c r="T85" s="59">
        <f>IF(S85="","",S85*34+S85*L85*12)</f>
        <v/>
      </c>
    </row>
    <row r="86">
      <c r="A86" s="54" t="inlineStr">
        <is>
          <t>US DC B4</t>
        </is>
      </c>
      <c r="B86" s="54" t="inlineStr">
        <is>
          <t>US</t>
        </is>
      </c>
      <c r="C86" s="54" t="inlineStr">
        <is>
          <t>B0BZPY4PXY</t>
        </is>
      </c>
      <c r="D86" s="54" t="inlineStr">
        <is>
          <t>BAMBOO-FULL-PURPLE</t>
        </is>
      </c>
      <c r="E86" s="54" t="inlineStr">
        <is>
          <t>Full</t>
        </is>
      </c>
      <c r="F86" s="54" t="inlineStr">
        <is>
          <t>Purple</t>
        </is>
      </c>
      <c r="G86" s="55" t="n">
        <v>84</v>
      </c>
      <c r="H86" s="55" t="n">
        <v>30</v>
      </c>
      <c r="I86" s="56" t="inlineStr">
        <is>
          <t>FBA19RS1HC4F shipped: 6; FBA19RRY6QFT shipped: 6; FBA19RS0N5K2 shipped: 6; FBA19RRYCGHJ shipped: 6; FBA19RRY5FBL shipped: 6</t>
        </is>
      </c>
      <c r="J86" s="57" t="n">
        <v>0.36</v>
      </c>
      <c r="K86" s="56" t="inlineStr">
        <is>
          <t>account data velocity</t>
        </is>
      </c>
      <c r="L86" s="58" t="n">
        <v>4.255</v>
      </c>
      <c r="M86" s="56" t="inlineStr">
        <is>
          <t>own BFCM 2025 lift (account data)</t>
        </is>
      </c>
      <c r="N86" s="59">
        <f>J86*34+J86*L86*12</f>
        <v/>
      </c>
      <c r="O86" s="59">
        <f>MAX(0,N86-G86-H86)</f>
        <v/>
      </c>
      <c r="P86" s="60">
        <f>IF(J86=0,"",IF(G86&lt;J86*34,DATE(2026,10,15)+G86/J86,IF(G86&lt;N86,DATE(2026,11,18)+(G86-J86*34)/(J86*L86),"after Nov 30")))</f>
        <v/>
      </c>
      <c r="Q86" s="60">
        <f>IF(J86=0,"",IF(G86+H86&lt;J86*34,DATE(2026,10,15)+(G86+H86)/J86,IF(G86+H86&lt;N86,DATE(2026,11,18)+(G86+H86-J86*34)/(J86*L86),"after Nov 30")))</f>
        <v/>
      </c>
      <c r="R86" s="54">
        <f>IF(AND(G86&lt;=0,J86&gt;0),"Out of stock now",IF(G86&gt;=N86,"Covered to Nov 30",IF(G86+H86&gt;=N86,"Needs inbound in time","Short even with inbound")))</f>
        <v/>
      </c>
      <c r="S86" s="57" t="n">
        <v>0.429</v>
      </c>
      <c r="T86" s="59">
        <f>IF(S86="","",S86*34+S86*L86*12)</f>
        <v/>
      </c>
    </row>
    <row r="87">
      <c r="A87" s="54" t="inlineStr">
        <is>
          <t>US DC B4</t>
        </is>
      </c>
      <c r="B87" s="54" t="inlineStr">
        <is>
          <t>US</t>
        </is>
      </c>
      <c r="C87" s="54" t="inlineStr">
        <is>
          <t>B0BZQ19QT6</t>
        </is>
      </c>
      <c r="D87" s="54" t="inlineStr">
        <is>
          <t>BAMBOO-FULL-CHARCOAL</t>
        </is>
      </c>
      <c r="E87" s="54" t="inlineStr">
        <is>
          <t>Full</t>
        </is>
      </c>
      <c r="F87" s="54" t="inlineStr">
        <is>
          <t>Charcoal</t>
        </is>
      </c>
      <c r="G87" s="55" t="n">
        <v>35</v>
      </c>
      <c r="H87" s="55" t="n">
        <v>48</v>
      </c>
      <c r="I87" s="56" t="inlineStr">
        <is>
          <t>FBA19SV5KWMR ready to ship: 6; FBA19QLJLR1F shipped: 6; FBA19QLKCVBW shipped: 6; FBA19QLK9CYH shipped: 6; FBA19QLKHC6Q shipped: 6; FBA19QLJ0ZP4 shipped: 6; FBA19P55072C in transit: 6; FBA19N7WSG18 in transit: 6; FBA19N7RP6W7 in transit: 6</t>
        </is>
      </c>
      <c r="J87" s="57" t="n">
        <v>0.36</v>
      </c>
      <c r="K87" s="56" t="inlineStr">
        <is>
          <t>account data velocity</t>
        </is>
      </c>
      <c r="L87" s="58" t="n">
        <v>4.255</v>
      </c>
      <c r="M87" s="56" t="inlineStr">
        <is>
          <t>own BFCM 2025 lift (account data)</t>
        </is>
      </c>
      <c r="N87" s="59">
        <f>J87*34+J87*L87*12</f>
        <v/>
      </c>
      <c r="O87" s="59">
        <f>MAX(0,N87-G87-H87)</f>
        <v/>
      </c>
      <c r="P87" s="60">
        <f>IF(J87=0,"",IF(G87&lt;J87*34,DATE(2026,10,15)+G87/J87,IF(G87&lt;N87,DATE(2026,11,18)+(G87-J87*34)/(J87*L87),"after Nov 30")))</f>
        <v/>
      </c>
      <c r="Q87" s="60">
        <f>IF(J87=0,"",IF(G87+H87&lt;J87*34,DATE(2026,10,15)+(G87+H87)/J87,IF(G87+H87&lt;N87,DATE(2026,11,18)+(G87+H87-J87*34)/(J87*L87),"after Nov 30")))</f>
        <v/>
      </c>
      <c r="R87" s="54">
        <f>IF(AND(G87&lt;=0,J87&gt;0),"Out of stock now",IF(G87&gt;=N87,"Covered to Nov 30",IF(G87+H87&gt;=N87,"Needs inbound in time","Short even with inbound")))</f>
        <v/>
      </c>
      <c r="S87" s="57" t="n">
        <v>0.179</v>
      </c>
      <c r="T87" s="59">
        <f>IF(S87="","",S87*34+S87*L87*12)</f>
        <v/>
      </c>
    </row>
    <row r="88">
      <c r="A88" s="54" t="inlineStr">
        <is>
          <t>US DC B4</t>
        </is>
      </c>
      <c r="B88" s="54" t="inlineStr">
        <is>
          <t>US</t>
        </is>
      </c>
      <c r="C88" s="54" t="inlineStr">
        <is>
          <t>B0CLKD23ZH</t>
        </is>
      </c>
      <c r="D88" s="54" t="inlineStr">
        <is>
          <t>BAMBOO-CALIFKING-LIGHT PINK</t>
        </is>
      </c>
      <c r="E88" s="54" t="inlineStr">
        <is>
          <t>California King</t>
        </is>
      </c>
      <c r="F88" s="54" t="inlineStr">
        <is>
          <t>Light Pink</t>
        </is>
      </c>
      <c r="G88" s="55" t="n">
        <v>49</v>
      </c>
      <c r="H88" s="55" t="n">
        <v>78</v>
      </c>
      <c r="I88" s="56" t="inlineStr">
        <is>
          <t>FBA19STZ9LHZ ready to ship: 12; FBA19STRJMC3 ready to ship: 6; FBA19SV47PX1 ready to ship: 6; FBA19SV1CLVT ready to ship: 12; FBA19STYQSF4 ready to ship: 12; FBA19RS1HC4F shipped: 6; FBA19RRY6QFT shipped: 6; FBA19RS0N5K2 shipped: 6; FBA19RRYCGHJ shipped: 6; FBA19RRY5FBL shipped: 6</t>
        </is>
      </c>
      <c r="J88" s="57" t="n">
        <v>0.35</v>
      </c>
      <c r="K88" s="56" t="inlineStr">
        <is>
          <t>account data velocity</t>
        </is>
      </c>
      <c r="L88" s="58" t="n">
        <v>4.255</v>
      </c>
      <c r="M88" s="56" t="inlineStr">
        <is>
          <t>own BFCM 2025 lift (account data)</t>
        </is>
      </c>
      <c r="N88" s="59">
        <f>J88*34+J88*L88*12</f>
        <v/>
      </c>
      <c r="O88" s="59">
        <f>MAX(0,N88-G88-H88)</f>
        <v/>
      </c>
      <c r="P88" s="60">
        <f>IF(J88=0,"",IF(G88&lt;J88*34,DATE(2026,10,15)+G88/J88,IF(G88&lt;N88,DATE(2026,11,18)+(G88-J88*34)/(J88*L88),"after Nov 30")))</f>
        <v/>
      </c>
      <c r="Q88" s="60">
        <f>IF(J88=0,"",IF(G88+H88&lt;J88*34,DATE(2026,10,15)+(G88+H88)/J88,IF(G88+H88&lt;N88,DATE(2026,11,18)+(G88+H88-J88*34)/(J88*L88),"after Nov 30")))</f>
        <v/>
      </c>
      <c r="R88" s="54">
        <f>IF(AND(G88&lt;=0,J88&gt;0),"Out of stock now",IF(G88&gt;=N88,"Covered to Nov 30",IF(G88+H88&gt;=N88,"Needs inbound in time","Short even with inbound")))</f>
        <v/>
      </c>
      <c r="S88" s="57" t="n">
        <v>0.321</v>
      </c>
      <c r="T88" s="59">
        <f>IF(S88="","",S88*34+S88*L88*12)</f>
        <v/>
      </c>
    </row>
    <row r="89">
      <c r="A89" s="54" t="inlineStr">
        <is>
          <t>US DC B4</t>
        </is>
      </c>
      <c r="B89" s="54" t="inlineStr">
        <is>
          <t>US</t>
        </is>
      </c>
      <c r="C89" s="54" t="inlineStr">
        <is>
          <t>B08KQK8Z1J</t>
        </is>
      </c>
      <c r="D89" s="54" t="inlineStr">
        <is>
          <t>BAMBOO-TWIN-LIGHTGREY</t>
        </is>
      </c>
      <c r="E89" s="54" t="inlineStr">
        <is>
          <t>Twin</t>
        </is>
      </c>
      <c r="F89" s="54" t="inlineStr">
        <is>
          <t>Light Grey</t>
        </is>
      </c>
      <c r="G89" s="55" t="n">
        <v>39</v>
      </c>
      <c r="H89" s="55" t="n">
        <v>42</v>
      </c>
      <c r="I89" s="56" t="inlineStr">
        <is>
          <t>FBA19STZ9LHZ ready to ship: 6; FBA19STRJMC3 ready to ship: 6; FBA19SV47PX1 ready to ship: 12; FBA19SV1CLVT ready to ship: 12; FBA19STYQSF4 ready to ship: 6</t>
        </is>
      </c>
      <c r="J89" s="57" t="n">
        <v>0.35</v>
      </c>
      <c r="K89" s="56" t="inlineStr">
        <is>
          <t>account data velocity</t>
        </is>
      </c>
      <c r="L89" s="58" t="n">
        <v>4.255</v>
      </c>
      <c r="M89" s="56" t="inlineStr">
        <is>
          <t>own BFCM 2025 lift (account data)</t>
        </is>
      </c>
      <c r="N89" s="59">
        <f>J89*34+J89*L89*12</f>
        <v/>
      </c>
      <c r="O89" s="59">
        <f>MAX(0,N89-G89-H89)</f>
        <v/>
      </c>
      <c r="P89" s="60">
        <f>IF(J89=0,"",IF(G89&lt;J89*34,DATE(2026,10,15)+G89/J89,IF(G89&lt;N89,DATE(2026,11,18)+(G89-J89*34)/(J89*L89),"after Nov 30")))</f>
        <v/>
      </c>
      <c r="Q89" s="60">
        <f>IF(J89=0,"",IF(G89+H89&lt;J89*34,DATE(2026,10,15)+(G89+H89)/J89,IF(G89+H89&lt;N89,DATE(2026,11,18)+(G89+H89-J89*34)/(J89*L89),"after Nov 30")))</f>
        <v/>
      </c>
      <c r="R89" s="54">
        <f>IF(AND(G89&lt;=0,J89&gt;0),"Out of stock now",IF(G89&gt;=N89,"Covered to Nov 30",IF(G89+H89&gt;=N89,"Needs inbound in time","Short even with inbound")))</f>
        <v/>
      </c>
      <c r="S89" s="57" t="n">
        <v>0.286</v>
      </c>
      <c r="T89" s="59">
        <f>IF(S89="","",S89*34+S89*L89*12)</f>
        <v/>
      </c>
    </row>
    <row r="90">
      <c r="A90" s="54" t="inlineStr">
        <is>
          <t>US DC B4</t>
        </is>
      </c>
      <c r="B90" s="54" t="inlineStr">
        <is>
          <t>US</t>
        </is>
      </c>
      <c r="C90" s="54" t="inlineStr">
        <is>
          <t>B0CLKDMGHC</t>
        </is>
      </c>
      <c r="D90" s="54" t="inlineStr">
        <is>
          <t>BAMBOO-TWIN-LIGHT PINK</t>
        </is>
      </c>
      <c r="E90" s="54" t="inlineStr">
        <is>
          <t>Twin</t>
        </is>
      </c>
      <c r="F90" s="54" t="inlineStr">
        <is>
          <t>Light Pink</t>
        </is>
      </c>
      <c r="G90" s="55" t="n">
        <v>25</v>
      </c>
      <c r="H90" s="55" t="n">
        <v>48</v>
      </c>
      <c r="I90" s="56" t="inlineStr">
        <is>
          <t>FBA19SV5KWMR ready to ship: 6; FBA19QLJLR1F shipped: 6; FBA19QLKCVBW shipped: 6; FBA19QLK9CYH shipped: 6; FBA19QLKHC6Q shipped: 6; FBA19QLJ0ZP4 shipped: 6; FBA19N7WSG18 in transit: 6; FBA19N7RP6W7 in transit: 6; FBA19N7RQF4Q ready to ship: 6</t>
        </is>
      </c>
      <c r="J90" s="57" t="n">
        <v>0.35</v>
      </c>
      <c r="K90" s="56" t="inlineStr">
        <is>
          <t>account data velocity</t>
        </is>
      </c>
      <c r="L90" s="58" t="n">
        <v>4.255</v>
      </c>
      <c r="M90" s="56" t="inlineStr">
        <is>
          <t>own BFCM 2025 lift (account data)</t>
        </is>
      </c>
      <c r="N90" s="59">
        <f>J90*34+J90*L90*12</f>
        <v/>
      </c>
      <c r="O90" s="59">
        <f>MAX(0,N90-G90-H90)</f>
        <v/>
      </c>
      <c r="P90" s="60">
        <f>IF(J90=0,"",IF(G90&lt;J90*34,DATE(2026,10,15)+G90/J90,IF(G90&lt;N90,DATE(2026,11,18)+(G90-J90*34)/(J90*L90),"after Nov 30")))</f>
        <v/>
      </c>
      <c r="Q90" s="60">
        <f>IF(J90=0,"",IF(G90+H90&lt;J90*34,DATE(2026,10,15)+(G90+H90)/J90,IF(G90+H90&lt;N90,DATE(2026,11,18)+(G90+H90-J90*34)/(J90*L90),"after Nov 30")))</f>
        <v/>
      </c>
      <c r="R90" s="54">
        <f>IF(AND(G90&lt;=0,J90&gt;0),"Out of stock now",IF(G90&gt;=N90,"Covered to Nov 30",IF(G90+H90&gt;=N90,"Needs inbound in time","Short even with inbound")))</f>
        <v/>
      </c>
      <c r="S90" s="57" t="n">
        <v>0.286</v>
      </c>
      <c r="T90" s="59">
        <f>IF(S90="","",S90*34+S90*L90*12)</f>
        <v/>
      </c>
    </row>
    <row r="91">
      <c r="A91" s="54" t="inlineStr">
        <is>
          <t>US DC B4</t>
        </is>
      </c>
      <c r="B91" s="54" t="inlineStr">
        <is>
          <t>US</t>
        </is>
      </c>
      <c r="C91" s="54" t="inlineStr">
        <is>
          <t>B0BZQ39BTX</t>
        </is>
      </c>
      <c r="D91" s="54" t="inlineStr">
        <is>
          <t>BAMBOO-TWIN-PURPLE</t>
        </is>
      </c>
      <c r="E91" s="54" t="inlineStr">
        <is>
          <t>Twin</t>
        </is>
      </c>
      <c r="F91" s="54" t="inlineStr">
        <is>
          <t>Purple</t>
        </is>
      </c>
      <c r="G91" s="55" t="n">
        <v>28</v>
      </c>
      <c r="H91" s="55" t="n">
        <v>126</v>
      </c>
      <c r="I91" s="56" t="inlineStr">
        <is>
          <t>FBA19SV5KWMR ready to ship: 6; FBA19STZ9LHZ ready to ship: 36; FBA19STRJMC3 ready to ship: 24; FBA19SV47PX1 ready to ship: 18; FBA19SV1CLVT ready to ship: 24; FBA19STYQSF4 ready to ship: 24</t>
        </is>
      </c>
      <c r="J91" s="57" t="n">
        <v>0.34</v>
      </c>
      <c r="K91" s="56" t="inlineStr">
        <is>
          <t>account data velocity</t>
        </is>
      </c>
      <c r="L91" s="58" t="n">
        <v>4.255</v>
      </c>
      <c r="M91" s="56" t="inlineStr">
        <is>
          <t>own BFCM 2025 lift (account data)</t>
        </is>
      </c>
      <c r="N91" s="59">
        <f>J91*34+J91*L91*12</f>
        <v/>
      </c>
      <c r="O91" s="59">
        <f>MAX(0,N91-G91-H91)</f>
        <v/>
      </c>
      <c r="P91" s="60">
        <f>IF(J91=0,"",IF(G91&lt;J91*34,DATE(2026,10,15)+G91/J91,IF(G91&lt;N91,DATE(2026,11,18)+(G91-J91*34)/(J91*L91),"after Nov 30")))</f>
        <v/>
      </c>
      <c r="Q91" s="60">
        <f>IF(J91=0,"",IF(G91+H91&lt;J91*34,DATE(2026,10,15)+(G91+H91)/J91,IF(G91+H91&lt;N91,DATE(2026,11,18)+(G91+H91-J91*34)/(J91*L91),"after Nov 30")))</f>
        <v/>
      </c>
      <c r="R91" s="54">
        <f>IF(AND(G91&lt;=0,J91&gt;0),"Out of stock now",IF(G91&gt;=N91,"Covered to Nov 30",IF(G91+H91&gt;=N91,"Needs inbound in time","Short even with inbound")))</f>
        <v/>
      </c>
      <c r="S91" s="57" t="n">
        <v>0.25</v>
      </c>
      <c r="T91" s="59">
        <f>IF(S91="","",S91*34+S91*L91*12)</f>
        <v/>
      </c>
    </row>
    <row r="92">
      <c r="A92" s="54" t="inlineStr">
        <is>
          <t>US DC B4</t>
        </is>
      </c>
      <c r="B92" s="54" t="inlineStr">
        <is>
          <t>US</t>
        </is>
      </c>
      <c r="C92" s="54" t="inlineStr">
        <is>
          <t>B08KQJBFFY</t>
        </is>
      </c>
      <c r="D92" s="54" t="inlineStr">
        <is>
          <t>BAMBOO-CALIFKING-GREY</t>
        </is>
      </c>
      <c r="E92" s="54" t="inlineStr">
        <is>
          <t>California King</t>
        </is>
      </c>
      <c r="F92" s="54" t="inlineStr">
        <is>
          <t>Grey</t>
        </is>
      </c>
      <c r="G92" s="55" t="n">
        <v>46</v>
      </c>
      <c r="H92" s="55" t="n">
        <v>60</v>
      </c>
      <c r="I92" s="56" t="inlineStr">
        <is>
          <t>FBA19STZ9LHZ ready to ship: 18; FBA19STRJMC3 ready to ship: 6; FBA19SV47PX1 ready to ship: 12; FBA19SV1CLVT ready to ship: 12; FBA19STYQSF4 ready to ship: 12</t>
        </is>
      </c>
      <c r="J92" s="57" t="n">
        <v>0.32</v>
      </c>
      <c r="K92" s="56" t="inlineStr">
        <is>
          <t>account data velocity</t>
        </is>
      </c>
      <c r="L92" s="58" t="n">
        <v>4.255</v>
      </c>
      <c r="M92" s="56" t="inlineStr">
        <is>
          <t>own BFCM 2025 lift (account data)</t>
        </is>
      </c>
      <c r="N92" s="59">
        <f>J92*34+J92*L92*12</f>
        <v/>
      </c>
      <c r="O92" s="59">
        <f>MAX(0,N92-G92-H92)</f>
        <v/>
      </c>
      <c r="P92" s="60">
        <f>IF(J92=0,"",IF(G92&lt;J92*34,DATE(2026,10,15)+G92/J92,IF(G92&lt;N92,DATE(2026,11,18)+(G92-J92*34)/(J92*L92),"after Nov 30")))</f>
        <v/>
      </c>
      <c r="Q92" s="60">
        <f>IF(J92=0,"",IF(G92+H92&lt;J92*34,DATE(2026,10,15)+(G92+H92)/J92,IF(G92+H92&lt;N92,DATE(2026,11,18)+(G92+H92-J92*34)/(J92*L92),"after Nov 30")))</f>
        <v/>
      </c>
      <c r="R92" s="54">
        <f>IF(AND(G92&lt;=0,J92&gt;0),"Out of stock now",IF(G92&gt;=N92,"Covered to Nov 30",IF(G92+H92&gt;=N92,"Needs inbound in time","Short even with inbound")))</f>
        <v/>
      </c>
      <c r="S92" s="57" t="n">
        <v>0.286</v>
      </c>
      <c r="T92" s="59">
        <f>IF(S92="","",S92*34+S92*L92*12)</f>
        <v/>
      </c>
    </row>
    <row r="93">
      <c r="A93" s="54" t="inlineStr">
        <is>
          <t>US DC B4</t>
        </is>
      </c>
      <c r="B93" s="54" t="inlineStr">
        <is>
          <t>US</t>
        </is>
      </c>
      <c r="C93" s="54" t="inlineStr">
        <is>
          <t>B0BZQ5SDNS</t>
        </is>
      </c>
      <c r="D93" s="54" t="inlineStr">
        <is>
          <t>BAMBOO-CALIFKING-PURPLE</t>
        </is>
      </c>
      <c r="E93" s="54" t="inlineStr">
        <is>
          <t>California King</t>
        </is>
      </c>
      <c r="F93" s="54" t="inlineStr">
        <is>
          <t>Purple</t>
        </is>
      </c>
      <c r="G93" s="55" t="n">
        <v>11</v>
      </c>
      <c r="H93" s="55" t="n">
        <v>60</v>
      </c>
      <c r="I93" s="56" t="inlineStr">
        <is>
          <t>FBA19STZ9LHZ ready to ship: 6; FBA19STRJMC3 ready to ship: 6; FBA19SV47PX1 ready to ship: 6; FBA19SV1CLVT ready to ship: 6; FBA19STYQSF4 ready to ship: 6; FBA19QLJLR1F shipped: 6; FBA19QLKCVBW shipped: 6; FBA19QLK9CYH shipped: 6; FBA19QLKHC6Q shipped: 6; FBA19QLJ0ZP4 shipped: 6</t>
        </is>
      </c>
      <c r="J93" s="57" t="n">
        <v>0.32</v>
      </c>
      <c r="K93" s="56" t="inlineStr">
        <is>
          <t>account data velocity</t>
        </is>
      </c>
      <c r="L93" s="58" t="n">
        <v>4.255</v>
      </c>
      <c r="M93" s="56" t="inlineStr">
        <is>
          <t>own BFCM 2025 lift (account data)</t>
        </is>
      </c>
      <c r="N93" s="59">
        <f>J93*34+J93*L93*12</f>
        <v/>
      </c>
      <c r="O93" s="59">
        <f>MAX(0,N93-G93-H93)</f>
        <v/>
      </c>
      <c r="P93" s="60">
        <f>IF(J93=0,"",IF(G93&lt;J93*34,DATE(2026,10,15)+G93/J93,IF(G93&lt;N93,DATE(2026,11,18)+(G93-J93*34)/(J93*L93),"after Nov 30")))</f>
        <v/>
      </c>
      <c r="Q93" s="60">
        <f>IF(J93=0,"",IF(G93+H93&lt;J93*34,DATE(2026,10,15)+(G93+H93)/J93,IF(G93+H93&lt;N93,DATE(2026,11,18)+(G93+H93-J93*34)/(J93*L93),"after Nov 30")))</f>
        <v/>
      </c>
      <c r="R93" s="54">
        <f>IF(AND(G93&lt;=0,J93&gt;0),"Out of stock now",IF(G93&gt;=N93,"Covered to Nov 30",IF(G93+H93&gt;=N93,"Needs inbound in time","Short even with inbound")))</f>
        <v/>
      </c>
      <c r="S93" s="57" t="n">
        <v>0.107</v>
      </c>
      <c r="T93" s="59">
        <f>IF(S93="","",S93*34+S93*L93*12)</f>
        <v/>
      </c>
    </row>
    <row r="94">
      <c r="A94" s="54" t="inlineStr">
        <is>
          <t>US DC B4</t>
        </is>
      </c>
      <c r="B94" s="54" t="inlineStr">
        <is>
          <t>US</t>
        </is>
      </c>
      <c r="C94" s="54" t="inlineStr">
        <is>
          <t>B08KQKS54Q</t>
        </is>
      </c>
      <c r="D94" s="54" t="inlineStr">
        <is>
          <t>BAMBOO-TWIN-CREME</t>
        </is>
      </c>
      <c r="E94" s="54" t="inlineStr">
        <is>
          <t>Twin</t>
        </is>
      </c>
      <c r="F94" s="54" t="inlineStr">
        <is>
          <t>Creme</t>
        </is>
      </c>
      <c r="G94" s="55" t="n">
        <v>41</v>
      </c>
      <c r="H94" s="55" t="n">
        <v>0</v>
      </c>
      <c r="I94" s="56" t="n"/>
      <c r="J94" s="57" t="n">
        <v>0.31</v>
      </c>
      <c r="K94" s="56" t="inlineStr">
        <is>
          <t>account data velocity</t>
        </is>
      </c>
      <c r="L94" s="58" t="n">
        <v>4.255</v>
      </c>
      <c r="M94" s="56" t="inlineStr">
        <is>
          <t>own BFCM 2025 lift (account data)</t>
        </is>
      </c>
      <c r="N94" s="59">
        <f>J94*34+J94*L94*12</f>
        <v/>
      </c>
      <c r="O94" s="59">
        <f>MAX(0,N94-G94-H94)</f>
        <v/>
      </c>
      <c r="P94" s="60">
        <f>IF(J94=0,"",IF(G94&lt;J94*34,DATE(2026,10,15)+G94/J94,IF(G94&lt;N94,DATE(2026,11,18)+(G94-J94*34)/(J94*L94),"after Nov 30")))</f>
        <v/>
      </c>
      <c r="Q94" s="60">
        <f>IF(J94=0,"",IF(G94+H94&lt;J94*34,DATE(2026,10,15)+(G94+H94)/J94,IF(G94+H94&lt;N94,DATE(2026,11,18)+(G94+H94-J94*34)/(J94*L94),"after Nov 30")))</f>
        <v/>
      </c>
      <c r="R94" s="54">
        <f>IF(AND(G94&lt;=0,J94&gt;0),"Out of stock now",IF(G94&gt;=N94,"Covered to Nov 30",IF(G94+H94&gt;=N94,"Needs inbound in time","Short even with inbound")))</f>
        <v/>
      </c>
      <c r="S94" s="57" t="n">
        <v>0.143</v>
      </c>
      <c r="T94" s="59">
        <f>IF(S94="","",S94*34+S94*L94*12)</f>
        <v/>
      </c>
    </row>
    <row r="95">
      <c r="A95" s="54" t="inlineStr">
        <is>
          <t>US DC B4</t>
        </is>
      </c>
      <c r="B95" s="54" t="inlineStr">
        <is>
          <t>US</t>
        </is>
      </c>
      <c r="C95" s="54" t="inlineStr">
        <is>
          <t>B0BZPZN1GV</t>
        </is>
      </c>
      <c r="D95" s="54" t="inlineStr">
        <is>
          <t>BAMBOO-TWIN-BLACK</t>
        </is>
      </c>
      <c r="E95" s="54" t="inlineStr">
        <is>
          <t>Twin</t>
        </is>
      </c>
      <c r="F95" s="54" t="inlineStr">
        <is>
          <t>Black</t>
        </is>
      </c>
      <c r="G95" s="55" t="n">
        <v>11</v>
      </c>
      <c r="H95" s="55" t="n">
        <v>30</v>
      </c>
      <c r="I95" s="56" t="inlineStr">
        <is>
          <t>FBA19QLJLR1F shipped: 6; FBA19QLKCVBW shipped: 6; FBA19QLK9CYH shipped: 6; FBA19QLKHC6Q shipped: 6; FBA19QLJ0ZP4 shipped: 6</t>
        </is>
      </c>
      <c r="J95" s="57" t="n">
        <v>0.3</v>
      </c>
      <c r="K95" s="56" t="inlineStr">
        <is>
          <t>account data velocity</t>
        </is>
      </c>
      <c r="L95" s="58" t="n">
        <v>4.255</v>
      </c>
      <c r="M95" s="56" t="inlineStr">
        <is>
          <t>own BFCM 2025 lift (account data)</t>
        </is>
      </c>
      <c r="N95" s="59">
        <f>J95*34+J95*L95*12</f>
        <v/>
      </c>
      <c r="O95" s="59">
        <f>MAX(0,N95-G95-H95)</f>
        <v/>
      </c>
      <c r="P95" s="60">
        <f>IF(J95=0,"",IF(G95&lt;J95*34,DATE(2026,10,15)+G95/J95,IF(G95&lt;N95,DATE(2026,11,18)+(G95-J95*34)/(J95*L95),"after Nov 30")))</f>
        <v/>
      </c>
      <c r="Q95" s="60">
        <f>IF(J95=0,"",IF(G95+H95&lt;J95*34,DATE(2026,10,15)+(G95+H95)/J95,IF(G95+H95&lt;N95,DATE(2026,11,18)+(G95+H95-J95*34)/(J95*L95),"after Nov 30")))</f>
        <v/>
      </c>
      <c r="R95" s="54">
        <f>IF(AND(G95&lt;=0,J95&gt;0),"Out of stock now",IF(G95&gt;=N95,"Covered to Nov 30",IF(G95+H95&gt;=N95,"Needs inbound in time","Short even with inbound")))</f>
        <v/>
      </c>
      <c r="S95" s="57" t="n">
        <v>0.214</v>
      </c>
      <c r="T95" s="59">
        <f>IF(S95="","",S95*34+S95*L95*12)</f>
        <v/>
      </c>
    </row>
    <row r="96">
      <c r="A96" s="54" t="inlineStr">
        <is>
          <t>US DC B4</t>
        </is>
      </c>
      <c r="B96" s="54" t="inlineStr">
        <is>
          <t>US</t>
        </is>
      </c>
      <c r="C96" s="54" t="inlineStr">
        <is>
          <t>B08KQJYDCR</t>
        </is>
      </c>
      <c r="D96" s="54" t="inlineStr">
        <is>
          <t>BAMBOO-FULL-LIGHTBLUE</t>
        </is>
      </c>
      <c r="E96" s="54" t="inlineStr">
        <is>
          <t>Full</t>
        </is>
      </c>
      <c r="F96" s="54" t="inlineStr">
        <is>
          <t>Light Blue</t>
        </is>
      </c>
      <c r="G96" s="55" t="n">
        <v>95</v>
      </c>
      <c r="H96" s="55" t="n">
        <v>0</v>
      </c>
      <c r="I96" s="56" t="n"/>
      <c r="J96" s="57" t="n">
        <v>0.29</v>
      </c>
      <c r="K96" s="56" t="inlineStr">
        <is>
          <t>account data velocity</t>
        </is>
      </c>
      <c r="L96" s="58" t="n">
        <v>4.255</v>
      </c>
      <c r="M96" s="56" t="inlineStr">
        <is>
          <t>own BFCM 2025 lift (account data)</t>
        </is>
      </c>
      <c r="N96" s="59">
        <f>J96*34+J96*L96*12</f>
        <v/>
      </c>
      <c r="O96" s="59">
        <f>MAX(0,N96-G96-H96)</f>
        <v/>
      </c>
      <c r="P96" s="60">
        <f>IF(J96=0,"",IF(G96&lt;J96*34,DATE(2026,10,15)+G96/J96,IF(G96&lt;N96,DATE(2026,11,18)+(G96-J96*34)/(J96*L96),"after Nov 30")))</f>
        <v/>
      </c>
      <c r="Q96" s="60">
        <f>IF(J96=0,"",IF(G96+H96&lt;J96*34,DATE(2026,10,15)+(G96+H96)/J96,IF(G96+H96&lt;N96,DATE(2026,11,18)+(G96+H96-J96*34)/(J96*L96),"after Nov 30")))</f>
        <v/>
      </c>
      <c r="R96" s="54">
        <f>IF(AND(G96&lt;=0,J96&gt;0),"Out of stock now",IF(G96&gt;=N96,"Covered to Nov 30",IF(G96+H96&gt;=N96,"Needs inbound in time","Short even with inbound")))</f>
        <v/>
      </c>
      <c r="S96" s="57" t="n">
        <v>0.179</v>
      </c>
      <c r="T96" s="59">
        <f>IF(S96="","",S96*34+S96*L96*12)</f>
        <v/>
      </c>
    </row>
    <row r="97">
      <c r="A97" s="54" t="inlineStr">
        <is>
          <t>US DC B4</t>
        </is>
      </c>
      <c r="B97" s="54" t="inlineStr">
        <is>
          <t>US</t>
        </is>
      </c>
      <c r="C97" s="54" t="inlineStr">
        <is>
          <t>B08KQJV49M</t>
        </is>
      </c>
      <c r="D97" s="54" t="inlineStr">
        <is>
          <t>BAMBOO-FULL-WHITE</t>
        </is>
      </c>
      <c r="E97" s="54" t="inlineStr">
        <is>
          <t>Full</t>
        </is>
      </c>
      <c r="F97" s="54" t="inlineStr">
        <is>
          <t>White</t>
        </is>
      </c>
      <c r="G97" s="55" t="n">
        <v>65</v>
      </c>
      <c r="H97" s="55" t="n">
        <v>252</v>
      </c>
      <c r="I97" s="56" t="inlineStr">
        <is>
          <t>FBA19STZ9LHZ ready to ship: 12; FBA19STRJMC3 ready to ship: 12; FBA19SV47PX1 ready to ship: 12; FBA19SV1CLVT ready to ship: 6; FBA19STYQSF4 ready to ship: 6; FBA19N82086K ready to ship: 12; FBA19RS1HC4F shipped: 18; FBA19RRY6QFT shipped: 24; FBA19RS0N5K2 shipped: 12; FBA19RRYCGHJ shipped: 18; FBA19RRY5FBL shipped: 18; FBA19QLJLR1F shipped: 6; FBA19QLKCVBW shipped: 6; FBA19QLK9CYH shipped: 6; FBA19QLKHC6Q shipped: 12; FBA19QLJ0ZP4 shipped: 6; FBA19P55072C in transit: 6; FBA19N7WSG18 in transit: 24; FBA19N7RP6W7 in transit: 24; FBA19N7RQF4Q ready to ship: 24</t>
        </is>
      </c>
      <c r="J97" s="57" t="n">
        <v>0.29</v>
      </c>
      <c r="K97" s="56" t="inlineStr">
        <is>
          <t>account data velocity</t>
        </is>
      </c>
      <c r="L97" s="58" t="n">
        <v>4.255</v>
      </c>
      <c r="M97" s="56" t="inlineStr">
        <is>
          <t>own BFCM 2025 lift (account data)</t>
        </is>
      </c>
      <c r="N97" s="59">
        <f>J97*34+J97*L97*12</f>
        <v/>
      </c>
      <c r="O97" s="59">
        <f>MAX(0,N97-G97-H97)</f>
        <v/>
      </c>
      <c r="P97" s="60">
        <f>IF(J97=0,"",IF(G97&lt;J97*34,DATE(2026,10,15)+G97/J97,IF(G97&lt;N97,DATE(2026,11,18)+(G97-J97*34)/(J97*L97),"after Nov 30")))</f>
        <v/>
      </c>
      <c r="Q97" s="60">
        <f>IF(J97=0,"",IF(G97+H97&lt;J97*34,DATE(2026,10,15)+(G97+H97)/J97,IF(G97+H97&lt;N97,DATE(2026,11,18)+(G97+H97-J97*34)/(J97*L97),"after Nov 30")))</f>
        <v/>
      </c>
      <c r="R97" s="54">
        <f>IF(AND(G97&lt;=0,J97&gt;0),"Out of stock now",IF(G97&gt;=N97,"Covered to Nov 30",IF(G97+H97&gt;=N97,"Needs inbound in time","Short even with inbound")))</f>
        <v/>
      </c>
      <c r="S97" s="57" t="n">
        <v>0</v>
      </c>
      <c r="T97" s="59">
        <f>IF(S97="","",S97*34+S97*L97*12)</f>
        <v/>
      </c>
    </row>
    <row r="98">
      <c r="A98" s="54" t="inlineStr">
        <is>
          <t>US DC B4</t>
        </is>
      </c>
      <c r="B98" s="54" t="inlineStr">
        <is>
          <t>US</t>
        </is>
      </c>
      <c r="C98" s="54" t="inlineStr">
        <is>
          <t>B0CLKBT95K</t>
        </is>
      </c>
      <c r="D98" s="54" t="inlineStr">
        <is>
          <t>BAMBOO-TWIN-SAGE GREEN</t>
        </is>
      </c>
      <c r="E98" s="54" t="inlineStr">
        <is>
          <t>Twin</t>
        </is>
      </c>
      <c r="F98" s="54" t="inlineStr">
        <is>
          <t>Sage Green</t>
        </is>
      </c>
      <c r="G98" s="55" t="n">
        <v>30</v>
      </c>
      <c r="H98" s="55" t="n">
        <v>0</v>
      </c>
      <c r="I98" s="56" t="n"/>
      <c r="J98" s="57" t="n">
        <v>0.28</v>
      </c>
      <c r="K98" s="56" t="inlineStr">
        <is>
          <t>account data velocity</t>
        </is>
      </c>
      <c r="L98" s="58" t="n">
        <v>4.255</v>
      </c>
      <c r="M98" s="56" t="inlineStr">
        <is>
          <t>own BFCM 2025 lift (account data)</t>
        </is>
      </c>
      <c r="N98" s="59">
        <f>J98*34+J98*L98*12</f>
        <v/>
      </c>
      <c r="O98" s="59">
        <f>MAX(0,N98-G98-H98)</f>
        <v/>
      </c>
      <c r="P98" s="60">
        <f>IF(J98=0,"",IF(G98&lt;J98*34,DATE(2026,10,15)+G98/J98,IF(G98&lt;N98,DATE(2026,11,18)+(G98-J98*34)/(J98*L98),"after Nov 30")))</f>
        <v/>
      </c>
      <c r="Q98" s="60">
        <f>IF(J98=0,"",IF(G98+H98&lt;J98*34,DATE(2026,10,15)+(G98+H98)/J98,IF(G98+H98&lt;N98,DATE(2026,11,18)+(G98+H98-J98*34)/(J98*L98),"after Nov 30")))</f>
        <v/>
      </c>
      <c r="R98" s="54">
        <f>IF(AND(G98&lt;=0,J98&gt;0),"Out of stock now",IF(G98&gt;=N98,"Covered to Nov 30",IF(G98+H98&gt;=N98,"Needs inbound in time","Short even with inbound")))</f>
        <v/>
      </c>
      <c r="S98" s="57" t="n">
        <v>0.321</v>
      </c>
      <c r="T98" s="59">
        <f>IF(S98="","",S98*34+S98*L98*12)</f>
        <v/>
      </c>
    </row>
    <row r="99">
      <c r="A99" s="54" t="inlineStr">
        <is>
          <t>US DC B4</t>
        </is>
      </c>
      <c r="B99" s="54" t="inlineStr">
        <is>
          <t>US</t>
        </is>
      </c>
      <c r="C99" s="54" t="inlineStr">
        <is>
          <t>B0BZPVXR69</t>
        </is>
      </c>
      <c r="D99" s="54" t="inlineStr">
        <is>
          <t>BAMBOO-KING-MIDGREY</t>
        </is>
      </c>
      <c r="E99" s="54" t="inlineStr">
        <is>
          <t>King</t>
        </is>
      </c>
      <c r="F99" s="54" t="inlineStr">
        <is>
          <t>Midgrey</t>
        </is>
      </c>
      <c r="G99" s="55" t="n">
        <v>107</v>
      </c>
      <c r="H99" s="55" t="n">
        <v>240</v>
      </c>
      <c r="I99" s="56" t="inlineStr">
        <is>
          <t>FBA19SV5KWMR ready to ship: 60; FBA19STZ9LHZ ready to ship: 6; FBA19STRJMC3 ready to ship: 6; FBA19SV47PX1 ready to ship: 6; FBA19SV1CLVT ready to ship: 6; FBA19STYQSF4 ready to ship: 6; FBA19RS1HC4F shipped: 18; FBA19RRY6QFT shipped: 12; FBA19RS0N5K2 shipped: 6; FBA19RRYCGHJ shipped: 18; FBA19RRY5FBL shipped: 18; FBA19QLJLR1F shipped: 6; FBA19QLKCVBW shipped: 6; FBA19QLK9CYH shipped: 6; FBA19QLKHC6Q shipped: 6; FBA19QLJ0ZP4 shipped: 6; FBA19N7WSG18 in transit: 36; FBA19N7RP6W7 in transit: 66; FBA19N7RQF4Q ready to ship: 6</t>
        </is>
      </c>
      <c r="J99" s="57" t="n">
        <v>0.28</v>
      </c>
      <c r="K99" s="56" t="inlineStr">
        <is>
          <t>account data velocity</t>
        </is>
      </c>
      <c r="L99" s="58" t="n">
        <v>4.255</v>
      </c>
      <c r="M99" s="56" t="inlineStr">
        <is>
          <t>own BFCM 2025 lift (account data)</t>
        </is>
      </c>
      <c r="N99" s="59">
        <f>J99*34+J99*L99*12</f>
        <v/>
      </c>
      <c r="O99" s="59">
        <f>MAX(0,N99-G99-H99)</f>
        <v/>
      </c>
      <c r="P99" s="60">
        <f>IF(J99=0,"",IF(G99&lt;J99*34,DATE(2026,10,15)+G99/J99,IF(G99&lt;N99,DATE(2026,11,18)+(G99-J99*34)/(J99*L99),"after Nov 30")))</f>
        <v/>
      </c>
      <c r="Q99" s="60">
        <f>IF(J99=0,"",IF(G99+H99&lt;J99*34,DATE(2026,10,15)+(G99+H99)/J99,IF(G99+H99&lt;N99,DATE(2026,11,18)+(G99+H99-J99*34)/(J99*L99),"after Nov 30")))</f>
        <v/>
      </c>
      <c r="R99" s="54">
        <f>IF(AND(G99&lt;=0,J99&gt;0),"Out of stock now",IF(G99&gt;=N99,"Covered to Nov 30",IF(G99+H99&gt;=N99,"Needs inbound in time","Short even with inbound")))</f>
        <v/>
      </c>
      <c r="S99" s="57" t="n">
        <v>0</v>
      </c>
      <c r="T99" s="59">
        <f>IF(S99="","",S99*34+S99*L99*12)</f>
        <v/>
      </c>
    </row>
    <row r="100">
      <c r="A100" s="54" t="inlineStr">
        <is>
          <t>US DC B4</t>
        </is>
      </c>
      <c r="B100" s="54" t="inlineStr">
        <is>
          <t>US</t>
        </is>
      </c>
      <c r="C100" s="54" t="inlineStr">
        <is>
          <t>B0BZPY841G</t>
        </is>
      </c>
      <c r="D100" s="54" t="inlineStr">
        <is>
          <t>BAMBOO-CALIFKING-MIDGREY</t>
        </is>
      </c>
      <c r="E100" s="54" t="inlineStr">
        <is>
          <t>California King</t>
        </is>
      </c>
      <c r="F100" s="54" t="inlineStr">
        <is>
          <t>Midgrey</t>
        </is>
      </c>
      <c r="G100" s="55" t="n">
        <v>114</v>
      </c>
      <c r="H100" s="55" t="n">
        <v>0</v>
      </c>
      <c r="I100" s="56" t="n"/>
      <c r="J100" s="57" t="n">
        <v>0.26</v>
      </c>
      <c r="K100" s="56" t="inlineStr">
        <is>
          <t>account data velocity</t>
        </is>
      </c>
      <c r="L100" s="58" t="n">
        <v>4.255</v>
      </c>
      <c r="M100" s="56" t="inlineStr">
        <is>
          <t>own BFCM 2025 lift (account data)</t>
        </is>
      </c>
      <c r="N100" s="59">
        <f>J100*34+J100*L100*12</f>
        <v/>
      </c>
      <c r="O100" s="59">
        <f>MAX(0,N100-G100-H100)</f>
        <v/>
      </c>
      <c r="P100" s="60">
        <f>IF(J100=0,"",IF(G100&lt;J100*34,DATE(2026,10,15)+G100/J100,IF(G100&lt;N100,DATE(2026,11,18)+(G100-J100*34)/(J100*L100),"after Nov 30")))</f>
        <v/>
      </c>
      <c r="Q100" s="60">
        <f>IF(J100=0,"",IF(G100+H100&lt;J100*34,DATE(2026,10,15)+(G100+H100)/J100,IF(G100+H100&lt;N100,DATE(2026,11,18)+(G100+H100-J100*34)/(J100*L100),"after Nov 30")))</f>
        <v/>
      </c>
      <c r="R100" s="54">
        <f>IF(AND(G100&lt;=0,J100&gt;0),"Out of stock now",IF(G100&gt;=N100,"Covered to Nov 30",IF(G100+H100&gt;=N100,"Needs inbound in time","Short even with inbound")))</f>
        <v/>
      </c>
      <c r="S100" s="57" t="n">
        <v>0.321</v>
      </c>
      <c r="T100" s="59">
        <f>IF(S100="","",S100*34+S100*L100*12)</f>
        <v/>
      </c>
    </row>
    <row r="101">
      <c r="A101" s="54" t="inlineStr">
        <is>
          <t>US DC B4</t>
        </is>
      </c>
      <c r="B101" s="54" t="inlineStr">
        <is>
          <t>US</t>
        </is>
      </c>
      <c r="C101" s="54" t="inlineStr">
        <is>
          <t>B0BZQ228PV</t>
        </is>
      </c>
      <c r="D101" s="54" t="inlineStr">
        <is>
          <t>BAMBOO-TWIN-CHARCOAL</t>
        </is>
      </c>
      <c r="E101" s="54" t="inlineStr">
        <is>
          <t>Twin</t>
        </is>
      </c>
      <c r="F101" s="54" t="inlineStr">
        <is>
          <t>Charcoal</t>
        </is>
      </c>
      <c r="G101" s="55" t="n">
        <v>32</v>
      </c>
      <c r="H101" s="55" t="n">
        <v>0</v>
      </c>
      <c r="I101" s="56" t="n"/>
      <c r="J101" s="57" t="n">
        <v>0.25</v>
      </c>
      <c r="K101" s="56" t="inlineStr">
        <is>
          <t>account data velocity</t>
        </is>
      </c>
      <c r="L101" s="58" t="n">
        <v>4.255</v>
      </c>
      <c r="M101" s="56" t="inlineStr">
        <is>
          <t>own BFCM 2025 lift (account data)</t>
        </is>
      </c>
      <c r="N101" s="59">
        <f>J101*34+J101*L101*12</f>
        <v/>
      </c>
      <c r="O101" s="59">
        <f>MAX(0,N101-G101-H101)</f>
        <v/>
      </c>
      <c r="P101" s="60">
        <f>IF(J101=0,"",IF(G101&lt;J101*34,DATE(2026,10,15)+G101/J101,IF(G101&lt;N101,DATE(2026,11,18)+(G101-J101*34)/(J101*L101),"after Nov 30")))</f>
        <v/>
      </c>
      <c r="Q101" s="60">
        <f>IF(J101=0,"",IF(G101+H101&lt;J101*34,DATE(2026,10,15)+(G101+H101)/J101,IF(G101+H101&lt;N101,DATE(2026,11,18)+(G101+H101-J101*34)/(J101*L101),"after Nov 30")))</f>
        <v/>
      </c>
      <c r="R101" s="54">
        <f>IF(AND(G101&lt;=0,J101&gt;0),"Out of stock now",IF(G101&gt;=N101,"Covered to Nov 30",IF(G101+H101&gt;=N101,"Needs inbound in time","Short even with inbound")))</f>
        <v/>
      </c>
      <c r="S101" s="57" t="n">
        <v>0.07099999999999999</v>
      </c>
      <c r="T101" s="59">
        <f>IF(S101="","",S101*34+S101*L101*12)</f>
        <v/>
      </c>
    </row>
    <row r="102">
      <c r="A102" s="54" t="inlineStr">
        <is>
          <t>US DC B4</t>
        </is>
      </c>
      <c r="B102" s="54" t="inlineStr">
        <is>
          <t>US</t>
        </is>
      </c>
      <c r="C102" s="54" t="inlineStr">
        <is>
          <t>B0CLKCT674</t>
        </is>
      </c>
      <c r="D102" s="54" t="inlineStr">
        <is>
          <t>BAMBOO-QUEEN-LIGHT PINK</t>
        </is>
      </c>
      <c r="E102" s="54" t="inlineStr">
        <is>
          <t>Queen</t>
        </is>
      </c>
      <c r="F102" s="54" t="inlineStr">
        <is>
          <t>Light Pink</t>
        </is>
      </c>
      <c r="G102" s="55" t="n">
        <v>59</v>
      </c>
      <c r="H102" s="55" t="n">
        <v>156</v>
      </c>
      <c r="I102" s="56" t="inlineStr">
        <is>
          <t>FBA19SV5KWMR ready to ship: 6; FBA19N82086K ready to ship: 6; FBA19RS1HC4F shipped: 18; FBA19RRY6QFT shipped: 12; FBA19RS0N5K2 shipped: 6; FBA19RRYCGHJ shipped: 18; FBA19RRY5FBL shipped: 18; FBA19QLJLR1F shipped: 6; FBA19QLKCVBW shipped: 6; FBA19QLK9CYH shipped: 6; FBA19QLKHC6Q shipped: 6; FBA19QLJ0ZP4 shipped: 6; FBA19N7WSG18 in transit: 18; FBA19N7RP6W7 in transit: 24; FBA19N7RQF4Q ready to ship: 12</t>
        </is>
      </c>
      <c r="J102" s="57" t="n">
        <v>0.25</v>
      </c>
      <c r="K102" s="56" t="inlineStr">
        <is>
          <t>account data velocity</t>
        </is>
      </c>
      <c r="L102" s="58" t="n">
        <v>4.255</v>
      </c>
      <c r="M102" s="56" t="inlineStr">
        <is>
          <t>own BFCM 2025 lift (account data)</t>
        </is>
      </c>
      <c r="N102" s="59">
        <f>J102*34+J102*L102*12</f>
        <v/>
      </c>
      <c r="O102" s="59">
        <f>MAX(0,N102-G102-H102)</f>
        <v/>
      </c>
      <c r="P102" s="60">
        <f>IF(J102=0,"",IF(G102&lt;J102*34,DATE(2026,10,15)+G102/J102,IF(G102&lt;N102,DATE(2026,11,18)+(G102-J102*34)/(J102*L102),"after Nov 30")))</f>
        <v/>
      </c>
      <c r="Q102" s="60">
        <f>IF(J102=0,"",IF(G102+H102&lt;J102*34,DATE(2026,10,15)+(G102+H102)/J102,IF(G102+H102&lt;N102,DATE(2026,11,18)+(G102+H102-J102*34)/(J102*L102),"after Nov 30")))</f>
        <v/>
      </c>
      <c r="R102" s="54">
        <f>IF(AND(G102&lt;=0,J102&gt;0),"Out of stock now",IF(G102&gt;=N102,"Covered to Nov 30",IF(G102+H102&gt;=N102,"Needs inbound in time","Short even with inbound")))</f>
        <v/>
      </c>
      <c r="S102" s="57" t="n"/>
      <c r="T102" s="59">
        <f>IF(S102="","",S102*34+S102*L102*12)</f>
        <v/>
      </c>
    </row>
    <row r="103">
      <c r="A103" s="54" t="inlineStr">
        <is>
          <t>US DC B4</t>
        </is>
      </c>
      <c r="B103" s="54" t="inlineStr">
        <is>
          <t>US</t>
        </is>
      </c>
      <c r="C103" s="54" t="inlineStr">
        <is>
          <t>B0BZPZPGDC</t>
        </is>
      </c>
      <c r="D103" s="54" t="inlineStr">
        <is>
          <t>BAMBOO-FULL-LIGHTOLIVE</t>
        </is>
      </c>
      <c r="E103" s="54" t="inlineStr">
        <is>
          <t>Full</t>
        </is>
      </c>
      <c r="F103" s="54" t="inlineStr">
        <is>
          <t>Light Olive</t>
        </is>
      </c>
      <c r="G103" s="55" t="n">
        <v>101</v>
      </c>
      <c r="H103" s="55" t="n">
        <v>0</v>
      </c>
      <c r="I103" s="56" t="inlineStr">
        <is>
          <t>FBA19SV5KWMR ready to ship: 36</t>
        </is>
      </c>
      <c r="J103" s="57" t="n">
        <v>0.24</v>
      </c>
      <c r="K103" s="56" t="inlineStr">
        <is>
          <t>account data velocity</t>
        </is>
      </c>
      <c r="L103" s="58" t="n">
        <v>4.255</v>
      </c>
      <c r="M103" s="56" t="inlineStr">
        <is>
          <t>own BFCM 2025 lift (account data)</t>
        </is>
      </c>
      <c r="N103" s="59">
        <f>J103*34+J103*L103*12</f>
        <v/>
      </c>
      <c r="O103" s="59">
        <f>MAX(0,N103-G103-H103)</f>
        <v/>
      </c>
      <c r="P103" s="60">
        <f>IF(J103=0,"",IF(G103&lt;J103*34,DATE(2026,10,15)+G103/J103,IF(G103&lt;N103,DATE(2026,11,18)+(G103-J103*34)/(J103*L103),"after Nov 30")))</f>
        <v/>
      </c>
      <c r="Q103" s="60">
        <f>IF(J103=0,"",IF(G103+H103&lt;J103*34,DATE(2026,10,15)+(G103+H103)/J103,IF(G103+H103&lt;N103,DATE(2026,11,18)+(G103+H103-J103*34)/(J103*L103),"after Nov 30")))</f>
        <v/>
      </c>
      <c r="R103" s="54">
        <f>IF(AND(G103&lt;=0,J103&gt;0),"Out of stock now",IF(G103&gt;=N103,"Covered to Nov 30",IF(G103+H103&gt;=N103,"Needs inbound in time","Short even with inbound")))</f>
        <v/>
      </c>
      <c r="S103" s="57" t="n">
        <v>0.143</v>
      </c>
      <c r="T103" s="59">
        <f>IF(S103="","",S103*34+S103*L103*12)</f>
        <v/>
      </c>
    </row>
    <row r="104">
      <c r="A104" s="54" t="inlineStr">
        <is>
          <t>US DC B4</t>
        </is>
      </c>
      <c r="B104" s="54" t="inlineStr">
        <is>
          <t>US</t>
        </is>
      </c>
      <c r="C104" s="54" t="inlineStr">
        <is>
          <t>B0CLKCVLRG</t>
        </is>
      </c>
      <c r="D104" s="54" t="inlineStr">
        <is>
          <t>BAMBOO-CALIFKING-SAGE GREEN</t>
        </is>
      </c>
      <c r="E104" s="54" t="inlineStr">
        <is>
          <t>California King</t>
        </is>
      </c>
      <c r="F104" s="54" t="inlineStr">
        <is>
          <t>Sage Green</t>
        </is>
      </c>
      <c r="G104" s="55" t="n">
        <v>11</v>
      </c>
      <c r="H104" s="55" t="n">
        <v>48</v>
      </c>
      <c r="I104" s="56" t="inlineStr">
        <is>
          <t>FBA19QLJLR1F shipped: 6; FBA19QLKCVBW shipped: 6; FBA19QLK9CYH shipped: 12; FBA19QLJ0ZP4 shipped: 6; FBA19N7WSG18 in transit: 6; FBA19N7RP6W7 in transit: 6; FBA19N7RQF4Q ready to ship: 6</t>
        </is>
      </c>
      <c r="J104" s="57" t="n">
        <v>0.24</v>
      </c>
      <c r="K104" s="56" t="inlineStr">
        <is>
          <t>account data velocity</t>
        </is>
      </c>
      <c r="L104" s="58" t="n">
        <v>4.255</v>
      </c>
      <c r="M104" s="56" t="inlineStr">
        <is>
          <t>own BFCM 2025 lift (account data)</t>
        </is>
      </c>
      <c r="N104" s="59">
        <f>J104*34+J104*L104*12</f>
        <v/>
      </c>
      <c r="O104" s="59">
        <f>MAX(0,N104-G104-H104)</f>
        <v/>
      </c>
      <c r="P104" s="60">
        <f>IF(J104=0,"",IF(G104&lt;J104*34,DATE(2026,10,15)+G104/J104,IF(G104&lt;N104,DATE(2026,11,18)+(G104-J104*34)/(J104*L104),"after Nov 30")))</f>
        <v/>
      </c>
      <c r="Q104" s="60">
        <f>IF(J104=0,"",IF(G104+H104&lt;J104*34,DATE(2026,10,15)+(G104+H104)/J104,IF(G104+H104&lt;N104,DATE(2026,11,18)+(G104+H104-J104*34)/(J104*L104),"after Nov 30")))</f>
        <v/>
      </c>
      <c r="R104" s="54">
        <f>IF(AND(G104&lt;=0,J104&gt;0),"Out of stock now",IF(G104&gt;=N104,"Covered to Nov 30",IF(G104+H104&gt;=N104,"Needs inbound in time","Short even with inbound")))</f>
        <v/>
      </c>
      <c r="S104" s="57" t="n">
        <v>0</v>
      </c>
      <c r="T104" s="59">
        <f>IF(S104="","",S104*34+S104*L104*12)</f>
        <v/>
      </c>
    </row>
    <row r="105">
      <c r="A105" s="54" t="inlineStr">
        <is>
          <t>US DC B4</t>
        </is>
      </c>
      <c r="B105" s="54" t="inlineStr">
        <is>
          <t>US</t>
        </is>
      </c>
      <c r="C105" s="54" t="inlineStr">
        <is>
          <t>B08KQLFRVR</t>
        </is>
      </c>
      <c r="D105" s="54" t="inlineStr">
        <is>
          <t>BAMBOO-CALIFKING-LIGHTGREY</t>
        </is>
      </c>
      <c r="E105" s="54" t="inlineStr">
        <is>
          <t>California King</t>
        </is>
      </c>
      <c r="F105" s="54" t="inlineStr">
        <is>
          <t>Light Grey</t>
        </is>
      </c>
      <c r="G105" s="55" t="n">
        <v>30</v>
      </c>
      <c r="H105" s="55" t="n">
        <v>66</v>
      </c>
      <c r="I105" s="56" t="inlineStr">
        <is>
          <t>FBA19SV5KWMR ready to ship: 12; FBA19QLJLR1F shipped: 12; FBA19QLKCVBW shipped: 12; FBA19QLK9CYH shipped: 12; FBA19QLKHC6Q shipped: 6; FBA19QLJ0ZP4 shipped: 12; FBA19N7WSG18 in transit: 6; FBA19N7RP6W7 in transit: 6</t>
        </is>
      </c>
      <c r="J105" s="57" t="n">
        <v>0.22</v>
      </c>
      <c r="K105" s="56" t="inlineStr">
        <is>
          <t>account data velocity</t>
        </is>
      </c>
      <c r="L105" s="58" t="n">
        <v>4.255</v>
      </c>
      <c r="M105" s="56" t="inlineStr">
        <is>
          <t>own BFCM 2025 lift (account data)</t>
        </is>
      </c>
      <c r="N105" s="59">
        <f>J105*34+J105*L105*12</f>
        <v/>
      </c>
      <c r="O105" s="59">
        <f>MAX(0,N105-G105-H105)</f>
        <v/>
      </c>
      <c r="P105" s="60">
        <f>IF(J105=0,"",IF(G105&lt;J105*34,DATE(2026,10,15)+G105/J105,IF(G105&lt;N105,DATE(2026,11,18)+(G105-J105*34)/(J105*L105),"after Nov 30")))</f>
        <v/>
      </c>
      <c r="Q105" s="60">
        <f>IF(J105=0,"",IF(G105+H105&lt;J105*34,DATE(2026,10,15)+(G105+H105)/J105,IF(G105+H105&lt;N105,DATE(2026,11,18)+(G105+H105-J105*34)/(J105*L105),"after Nov 30")))</f>
        <v/>
      </c>
      <c r="R105" s="54">
        <f>IF(AND(G105&lt;=0,J105&gt;0),"Out of stock now",IF(G105&gt;=N105,"Covered to Nov 30",IF(G105+H105&gt;=N105,"Needs inbound in time","Short even with inbound")))</f>
        <v/>
      </c>
      <c r="S105" s="57" t="n">
        <v>0.107</v>
      </c>
      <c r="T105" s="59">
        <f>IF(S105="","",S105*34+S105*L105*12)</f>
        <v/>
      </c>
    </row>
    <row r="106">
      <c r="A106" s="54" t="inlineStr">
        <is>
          <t>US DC B4</t>
        </is>
      </c>
      <c r="B106" s="54" t="inlineStr">
        <is>
          <t>US</t>
        </is>
      </c>
      <c r="C106" s="54" t="inlineStr">
        <is>
          <t>B08KQ3C8BX</t>
        </is>
      </c>
      <c r="D106" s="54" t="inlineStr">
        <is>
          <t>BAMBOO-CALIFKING-NAVYBLUE</t>
        </is>
      </c>
      <c r="E106" s="54" t="inlineStr">
        <is>
          <t>California King</t>
        </is>
      </c>
      <c r="F106" s="54" t="inlineStr">
        <is>
          <t>Navy Blue</t>
        </is>
      </c>
      <c r="G106" s="55" t="n">
        <v>29</v>
      </c>
      <c r="H106" s="55" t="n">
        <v>0</v>
      </c>
      <c r="I106" s="56" t="inlineStr">
        <is>
          <t>FBA19SV5KWMR ready to ship: 36</t>
        </is>
      </c>
      <c r="J106" s="57" t="n">
        <v>0.21</v>
      </c>
      <c r="K106" s="56" t="inlineStr">
        <is>
          <t>account data velocity</t>
        </is>
      </c>
      <c r="L106" s="58" t="n">
        <v>4.255</v>
      </c>
      <c r="M106" s="56" t="inlineStr">
        <is>
          <t>own BFCM 2025 lift (account data)</t>
        </is>
      </c>
      <c r="N106" s="59">
        <f>J106*34+J106*L106*12</f>
        <v/>
      </c>
      <c r="O106" s="59">
        <f>MAX(0,N106-G106-H106)</f>
        <v/>
      </c>
      <c r="P106" s="60">
        <f>IF(J106=0,"",IF(G106&lt;J106*34,DATE(2026,10,15)+G106/J106,IF(G106&lt;N106,DATE(2026,11,18)+(G106-J106*34)/(J106*L106),"after Nov 30")))</f>
        <v/>
      </c>
      <c r="Q106" s="60">
        <f>IF(J106=0,"",IF(G106+H106&lt;J106*34,DATE(2026,10,15)+(G106+H106)/J106,IF(G106+H106&lt;N106,DATE(2026,11,18)+(G106+H106-J106*34)/(J106*L106),"after Nov 30")))</f>
        <v/>
      </c>
      <c r="R106" s="54">
        <f>IF(AND(G106&lt;=0,J106&gt;0),"Out of stock now",IF(G106&gt;=N106,"Covered to Nov 30",IF(G106+H106&gt;=N106,"Needs inbound in time","Short even with inbound")))</f>
        <v/>
      </c>
      <c r="S106" s="57" t="n">
        <v>0.143</v>
      </c>
      <c r="T106" s="59">
        <f>IF(S106="","",S106*34+S106*L106*12)</f>
        <v/>
      </c>
    </row>
    <row r="107">
      <c r="A107" s="54" t="inlineStr">
        <is>
          <t>US DC B4</t>
        </is>
      </c>
      <c r="B107" s="54" t="inlineStr">
        <is>
          <t>US</t>
        </is>
      </c>
      <c r="C107" s="54" t="inlineStr">
        <is>
          <t>B0BZQ3XM7P</t>
        </is>
      </c>
      <c r="D107" s="54" t="inlineStr">
        <is>
          <t>BAMBOO-TWIN-LIGHTOLIVE</t>
        </is>
      </c>
      <c r="E107" s="54" t="inlineStr">
        <is>
          <t>Twin</t>
        </is>
      </c>
      <c r="F107" s="54" t="inlineStr">
        <is>
          <t>Light Olive</t>
        </is>
      </c>
      <c r="G107" s="55" t="n">
        <v>56</v>
      </c>
      <c r="H107" s="55" t="n">
        <v>0</v>
      </c>
      <c r="I107" s="56" t="inlineStr">
        <is>
          <t>FBA19SV5KWMR ready to ship: 42</t>
        </is>
      </c>
      <c r="J107" s="57" t="n">
        <v>0.19</v>
      </c>
      <c r="K107" s="56" t="inlineStr">
        <is>
          <t>account data velocity</t>
        </is>
      </c>
      <c r="L107" s="58" t="n">
        <v>4.255</v>
      </c>
      <c r="M107" s="56" t="inlineStr">
        <is>
          <t>own BFCM 2025 lift (account data)</t>
        </is>
      </c>
      <c r="N107" s="59">
        <f>J107*34+J107*L107*12</f>
        <v/>
      </c>
      <c r="O107" s="59">
        <f>MAX(0,N107-G107-H107)</f>
        <v/>
      </c>
      <c r="P107" s="60">
        <f>IF(J107=0,"",IF(G107&lt;J107*34,DATE(2026,10,15)+G107/J107,IF(G107&lt;N107,DATE(2026,11,18)+(G107-J107*34)/(J107*L107),"after Nov 30")))</f>
        <v/>
      </c>
      <c r="Q107" s="60">
        <f>IF(J107=0,"",IF(G107+H107&lt;J107*34,DATE(2026,10,15)+(G107+H107)/J107,IF(G107+H107&lt;N107,DATE(2026,11,18)+(G107+H107-J107*34)/(J107*L107),"after Nov 30")))</f>
        <v/>
      </c>
      <c r="R107" s="54">
        <f>IF(AND(G107&lt;=0,J107&gt;0),"Out of stock now",IF(G107&gt;=N107,"Covered to Nov 30",IF(G107+H107&gt;=N107,"Needs inbound in time","Short even with inbound")))</f>
        <v/>
      </c>
      <c r="S107" s="57" t="n">
        <v>0</v>
      </c>
      <c r="T107" s="59">
        <f>IF(S107="","",S107*34+S107*L107*12)</f>
        <v/>
      </c>
    </row>
    <row r="108">
      <c r="A108" s="54" t="inlineStr">
        <is>
          <t>US DC B4</t>
        </is>
      </c>
      <c r="B108" s="54" t="inlineStr">
        <is>
          <t>US</t>
        </is>
      </c>
      <c r="C108" s="54" t="inlineStr">
        <is>
          <t>B0CRHYS5KT</t>
        </is>
      </c>
      <c r="D108" s="54" t="inlineStr">
        <is>
          <t>BAMBOO-FULL-BURGUNDY-NEW</t>
        </is>
      </c>
      <c r="E108" s="54" t="inlineStr">
        <is>
          <t>Full</t>
        </is>
      </c>
      <c r="F108" s="54" t="inlineStr">
        <is>
          <t>Burgundy</t>
        </is>
      </c>
      <c r="G108" s="55" t="n">
        <v>0</v>
      </c>
      <c r="H108" s="55" t="n">
        <v>90</v>
      </c>
      <c r="I108" s="56" t="inlineStr">
        <is>
          <t>FBA19STZ9LHZ ready to ship: 6; FBA19STRJMC3 ready to ship: 6; FBA19SV47PX1 ready to ship: 6; FBA19SV1CLVT ready to ship: 6; FBA19STYQSF4 ready to ship: 6; FBA19QLJLR1F shipped: 12; FBA19QLKCVBW shipped: 12; FBA19QLK9CYH shipped: 12; FBA19QLKHC6Q shipped: 12; FBA19QLJ0ZP4 shipped: 12</t>
        </is>
      </c>
      <c r="J108" s="57" t="n">
        <v>0.17</v>
      </c>
      <c r="K108" s="56" t="inlineStr">
        <is>
          <t>account data velocity</t>
        </is>
      </c>
      <c r="L108" s="58" t="n">
        <v>4.255</v>
      </c>
      <c r="M108" s="56" t="inlineStr">
        <is>
          <t>own BFCM 2025 lift (account data)</t>
        </is>
      </c>
      <c r="N108" s="59">
        <f>J108*34+J108*L108*12</f>
        <v/>
      </c>
      <c r="O108" s="59">
        <f>MAX(0,N108-G108-H108)</f>
        <v/>
      </c>
      <c r="P108" s="60">
        <f>IF(J108=0,"",IF(G108&lt;J108*34,DATE(2026,10,15)+G108/J108,IF(G108&lt;N108,DATE(2026,11,18)+(G108-J108*34)/(J108*L108),"after Nov 30")))</f>
        <v/>
      </c>
      <c r="Q108" s="60">
        <f>IF(J108=0,"",IF(G108+H108&lt;J108*34,DATE(2026,10,15)+(G108+H108)/J108,IF(G108+H108&lt;N108,DATE(2026,11,18)+(G108+H108-J108*34)/(J108*L108),"after Nov 30")))</f>
        <v/>
      </c>
      <c r="R108" s="54">
        <f>IF(AND(G108&lt;=0,J108&gt;0),"Out of stock now",IF(G108&gt;=N108,"Covered to Nov 30",IF(G108+H108&gt;=N108,"Needs inbound in time","Short even with inbound")))</f>
        <v/>
      </c>
      <c r="S108" s="57" t="n">
        <v>0.036</v>
      </c>
      <c r="T108" s="59">
        <f>IF(S108="","",S108*34+S108*L108*12)</f>
        <v/>
      </c>
    </row>
    <row r="109">
      <c r="A109" s="54" t="inlineStr">
        <is>
          <t>US DC B4</t>
        </is>
      </c>
      <c r="B109" s="54" t="inlineStr">
        <is>
          <t>US</t>
        </is>
      </c>
      <c r="C109" s="54" t="inlineStr">
        <is>
          <t>B0CLKCDHHS</t>
        </is>
      </c>
      <c r="D109" s="54" t="inlineStr">
        <is>
          <t>BAMBOO-KING-SAGE GREEN</t>
        </is>
      </c>
      <c r="E109" s="54" t="inlineStr">
        <is>
          <t>King</t>
        </is>
      </c>
      <c r="F109" s="54" t="inlineStr">
        <is>
          <t>Sage Green</t>
        </is>
      </c>
      <c r="G109" s="55" t="n">
        <v>108</v>
      </c>
      <c r="H109" s="55" t="n">
        <v>138</v>
      </c>
      <c r="I109" s="56" t="inlineStr">
        <is>
          <t>FBA19SV5KWMR ready to ship: 66; FBA19P55072C in transit: 66; FBA19N7WSG18 in transit: 18; FBA19N7RP6W7 in transit: 36; FBA19N7RQF4Q ready to ship: 18</t>
        </is>
      </c>
      <c r="J109" s="57" t="n">
        <v>0.16</v>
      </c>
      <c r="K109" s="56" t="inlineStr">
        <is>
          <t>account data velocity</t>
        </is>
      </c>
      <c r="L109" s="58" t="n">
        <v>4.255</v>
      </c>
      <c r="M109" s="56" t="inlineStr">
        <is>
          <t>own BFCM 2025 lift (account data)</t>
        </is>
      </c>
      <c r="N109" s="59">
        <f>J109*34+J109*L109*12</f>
        <v/>
      </c>
      <c r="O109" s="59">
        <f>MAX(0,N109-G109-H109)</f>
        <v/>
      </c>
      <c r="P109" s="60">
        <f>IF(J109=0,"",IF(G109&lt;J109*34,DATE(2026,10,15)+G109/J109,IF(G109&lt;N109,DATE(2026,11,18)+(G109-J109*34)/(J109*L109),"after Nov 30")))</f>
        <v/>
      </c>
      <c r="Q109" s="60">
        <f>IF(J109=0,"",IF(G109+H109&lt;J109*34,DATE(2026,10,15)+(G109+H109)/J109,IF(G109+H109&lt;N109,DATE(2026,11,18)+(G109+H109-J109*34)/(J109*L109),"after Nov 30")))</f>
        <v/>
      </c>
      <c r="R109" s="54">
        <f>IF(AND(G109&lt;=0,J109&gt;0),"Out of stock now",IF(G109&gt;=N109,"Covered to Nov 30",IF(G109+H109&gt;=N109,"Needs inbound in time","Short even with inbound")))</f>
        <v/>
      </c>
      <c r="S109" s="57" t="n">
        <v>0.036</v>
      </c>
      <c r="T109" s="59">
        <f>IF(S109="","",S109*34+S109*L109*12)</f>
        <v/>
      </c>
    </row>
    <row r="110">
      <c r="A110" s="54" t="inlineStr">
        <is>
          <t>US DC B4</t>
        </is>
      </c>
      <c r="B110" s="54" t="inlineStr">
        <is>
          <t>US</t>
        </is>
      </c>
      <c r="C110" s="54" t="inlineStr">
        <is>
          <t>B08KQKJXDK</t>
        </is>
      </c>
      <c r="D110" s="54" t="inlineStr">
        <is>
          <t>BAMBOO-TWIN-GREY</t>
        </is>
      </c>
      <c r="E110" s="54" t="inlineStr">
        <is>
          <t>Twin</t>
        </is>
      </c>
      <c r="F110" s="54" t="inlineStr">
        <is>
          <t>Grey</t>
        </is>
      </c>
      <c r="G110" s="55" t="n">
        <v>42</v>
      </c>
      <c r="H110" s="55" t="n">
        <v>48</v>
      </c>
      <c r="I110" s="56" t="inlineStr">
        <is>
          <t>FBA19SV5KWMR ready to ship: 12; FBA19STZ9LHZ ready to ship: 12; FBA19STRJMC3 ready to ship: 12; FBA19SV47PX1 ready to ship: 6; FBA19SV1CLVT ready to ship: 12; FBA19STYQSF4 ready to ship: 6</t>
        </is>
      </c>
      <c r="J110" s="57" t="n">
        <v>0.14</v>
      </c>
      <c r="K110" s="56" t="inlineStr">
        <is>
          <t>account data velocity</t>
        </is>
      </c>
      <c r="L110" s="58" t="n">
        <v>4.255</v>
      </c>
      <c r="M110" s="56" t="inlineStr">
        <is>
          <t>own BFCM 2025 lift (account data)</t>
        </is>
      </c>
      <c r="N110" s="59">
        <f>J110*34+J110*L110*12</f>
        <v/>
      </c>
      <c r="O110" s="59">
        <f>MAX(0,N110-G110-H110)</f>
        <v/>
      </c>
      <c r="P110" s="60">
        <f>IF(J110=0,"",IF(G110&lt;J110*34,DATE(2026,10,15)+G110/J110,IF(G110&lt;N110,DATE(2026,11,18)+(G110-J110*34)/(J110*L110),"after Nov 30")))</f>
        <v/>
      </c>
      <c r="Q110" s="60">
        <f>IF(J110=0,"",IF(G110+H110&lt;J110*34,DATE(2026,10,15)+(G110+H110)/J110,IF(G110+H110&lt;N110,DATE(2026,11,18)+(G110+H110-J110*34)/(J110*L110),"after Nov 30")))</f>
        <v/>
      </c>
      <c r="R110" s="54">
        <f>IF(AND(G110&lt;=0,J110&gt;0),"Out of stock now",IF(G110&gt;=N110,"Covered to Nov 30",IF(G110+H110&gt;=N110,"Needs inbound in time","Short even with inbound")))</f>
        <v/>
      </c>
      <c r="S110" s="57" t="n">
        <v>0.214</v>
      </c>
      <c r="T110" s="59">
        <f>IF(S110="","",S110*34+S110*L110*12)</f>
        <v/>
      </c>
    </row>
    <row r="111">
      <c r="A111" s="54" t="inlineStr">
        <is>
          <t>US DC B4</t>
        </is>
      </c>
      <c r="B111" s="54" t="inlineStr">
        <is>
          <t>US</t>
        </is>
      </c>
      <c r="C111" s="54" t="inlineStr">
        <is>
          <t>B0BZQ21K22</t>
        </is>
      </c>
      <c r="D111" s="54" t="inlineStr">
        <is>
          <t>BAMBOO-TWIN-MIDGREY</t>
        </is>
      </c>
      <c r="E111" s="54" t="inlineStr">
        <is>
          <t>Twin</t>
        </is>
      </c>
      <c r="F111" s="54" t="inlineStr">
        <is>
          <t>Midgrey</t>
        </is>
      </c>
      <c r="G111" s="55" t="n">
        <v>66</v>
      </c>
      <c r="H111" s="55" t="n">
        <v>30</v>
      </c>
      <c r="I111" s="56" t="inlineStr">
        <is>
          <t>FBA19STZ9LHZ ready to ship: 6; FBA19STRJMC3 ready to ship: 6; FBA19SV47PX1 ready to ship: 6; FBA19SV1CLVT ready to ship: 6; FBA19STYQSF4 ready to ship: 6</t>
        </is>
      </c>
      <c r="J111" s="57" t="n">
        <v>0.12</v>
      </c>
      <c r="K111" s="56" t="inlineStr">
        <is>
          <t>account data velocity</t>
        </is>
      </c>
      <c r="L111" s="58" t="n">
        <v>4.255</v>
      </c>
      <c r="M111" s="56" t="inlineStr">
        <is>
          <t>own BFCM 2025 lift (account data)</t>
        </is>
      </c>
      <c r="N111" s="59">
        <f>J111*34+J111*L111*12</f>
        <v/>
      </c>
      <c r="O111" s="59">
        <f>MAX(0,N111-G111-H111)</f>
        <v/>
      </c>
      <c r="P111" s="60">
        <f>IF(J111=0,"",IF(G111&lt;J111*34,DATE(2026,10,15)+G111/J111,IF(G111&lt;N111,DATE(2026,11,18)+(G111-J111*34)/(J111*L111),"after Nov 30")))</f>
        <v/>
      </c>
      <c r="Q111" s="60">
        <f>IF(J111=0,"",IF(G111+H111&lt;J111*34,DATE(2026,10,15)+(G111+H111)/J111,IF(G111+H111&lt;N111,DATE(2026,11,18)+(G111+H111-J111*34)/(J111*L111),"after Nov 30")))</f>
        <v/>
      </c>
      <c r="R111" s="54">
        <f>IF(AND(G111&lt;=0,J111&gt;0),"Out of stock now",IF(G111&gt;=N111,"Covered to Nov 30",IF(G111+H111&gt;=N111,"Needs inbound in time","Short even with inbound")))</f>
        <v/>
      </c>
      <c r="S111" s="57" t="n">
        <v>0.179</v>
      </c>
      <c r="T111" s="59">
        <f>IF(S111="","",S111*34+S111*L111*12)</f>
        <v/>
      </c>
    </row>
    <row r="112">
      <c r="A112" s="54" t="inlineStr">
        <is>
          <t>US DC B4</t>
        </is>
      </c>
      <c r="B112" s="54" t="inlineStr">
        <is>
          <t>US</t>
        </is>
      </c>
      <c r="C112" s="54" t="inlineStr">
        <is>
          <t>B0BZQ1FBJ9</t>
        </is>
      </c>
      <c r="D112" s="54" t="inlineStr">
        <is>
          <t>BAMBOO-QUEEN-BLACK</t>
        </is>
      </c>
      <c r="E112" s="54" t="inlineStr">
        <is>
          <t>Queen</t>
        </is>
      </c>
      <c r="F112" s="54" t="inlineStr">
        <is>
          <t>Black</t>
        </is>
      </c>
      <c r="G112" s="55" t="n">
        <v>0</v>
      </c>
      <c r="H112" s="55" t="n">
        <v>186</v>
      </c>
      <c r="I112" s="56" t="inlineStr">
        <is>
          <t>FBA19SV5KWMR ready to ship: 24; FBA19RS1HC4F shipped: 18; FBA19RRY6QFT shipped: 12; FBA19RS0N5K2 shipped: 6; FBA19RRYCGHJ shipped: 18; FBA19RRY5FBL shipped: 12; FBA19QLJLR1F shipped: 30; FBA19QLKCVBW shipped: 24; FBA19QLK9CYH shipped: 18; FBA19QLKHC6Q shipped: 18; FBA19QLJ0ZP4 shipped: 30</t>
        </is>
      </c>
      <c r="J112" s="57" t="n">
        <v>0.12</v>
      </c>
      <c r="K112" s="56" t="inlineStr">
        <is>
          <t>account data velocity</t>
        </is>
      </c>
      <c r="L112" s="58" t="n">
        <v>4.255</v>
      </c>
      <c r="M112" s="56" t="inlineStr">
        <is>
          <t>own BFCM 2025 lift (account data)</t>
        </is>
      </c>
      <c r="N112" s="59">
        <f>J112*34+J112*L112*12</f>
        <v/>
      </c>
      <c r="O112" s="59">
        <f>MAX(0,N112-G112-H112)</f>
        <v/>
      </c>
      <c r="P112" s="60">
        <f>IF(J112=0,"",IF(G112&lt;J112*34,DATE(2026,10,15)+G112/J112,IF(G112&lt;N112,DATE(2026,11,18)+(G112-J112*34)/(J112*L112),"after Nov 30")))</f>
        <v/>
      </c>
      <c r="Q112" s="60">
        <f>IF(J112=0,"",IF(G112+H112&lt;J112*34,DATE(2026,10,15)+(G112+H112)/J112,IF(G112+H112&lt;N112,DATE(2026,11,18)+(G112+H112-J112*34)/(J112*L112),"after Nov 30")))</f>
        <v/>
      </c>
      <c r="R112" s="54">
        <f>IF(AND(G112&lt;=0,J112&gt;0),"Out of stock now",IF(G112&gt;=N112,"Covered to Nov 30",IF(G112+H112&gt;=N112,"Needs inbound in time","Short even with inbound")))</f>
        <v/>
      </c>
      <c r="S112" s="57" t="n">
        <v>0.036</v>
      </c>
      <c r="T112" s="59">
        <f>IF(S112="","",S112*34+S112*L112*12)</f>
        <v/>
      </c>
    </row>
    <row r="113">
      <c r="A113" s="54" t="inlineStr">
        <is>
          <t>US DC B4</t>
        </is>
      </c>
      <c r="B113" s="54" t="inlineStr">
        <is>
          <t>US</t>
        </is>
      </c>
      <c r="C113" s="54" t="inlineStr">
        <is>
          <t>B0BZQ19Z47</t>
        </is>
      </c>
      <c r="D113" s="54" t="inlineStr">
        <is>
          <t>BAMBOO-CALIFKING-LIGHTOLIVE</t>
        </is>
      </c>
      <c r="E113" s="54" t="inlineStr">
        <is>
          <t>California King</t>
        </is>
      </c>
      <c r="F113" s="54" t="inlineStr">
        <is>
          <t>Light Olive</t>
        </is>
      </c>
      <c r="G113" s="55" t="n">
        <v>18</v>
      </c>
      <c r="H113" s="55" t="n">
        <v>60</v>
      </c>
      <c r="I113" s="56" t="inlineStr">
        <is>
          <t>FBA19SV5KWMR ready to ship: 6; FBA19RS1HC4F shipped: 6; FBA19RRY6QFT shipped: 6; FBA19RS0N5K2 shipped: 6; FBA19RRYCGHJ shipped: 6; FBA19RRY5FBL shipped: 6; FBA19QLJLR1F shipped: 6; FBA19QLKCVBW shipped: 6; FBA19QLK9CYH shipped: 6; FBA19QLKHC6Q shipped: 6; FBA19QLJ0ZP4 shipped: 6</t>
        </is>
      </c>
      <c r="J113" s="57" t="n">
        <v>0.1</v>
      </c>
      <c r="K113" s="56" t="inlineStr">
        <is>
          <t>account data velocity</t>
        </is>
      </c>
      <c r="L113" s="58" t="n">
        <v>4.255</v>
      </c>
      <c r="M113" s="56" t="inlineStr">
        <is>
          <t>own BFCM 2025 lift (account data)</t>
        </is>
      </c>
      <c r="N113" s="59">
        <f>J113*34+J113*L113*12</f>
        <v/>
      </c>
      <c r="O113" s="59">
        <f>MAX(0,N113-G113-H113)</f>
        <v/>
      </c>
      <c r="P113" s="60">
        <f>IF(J113=0,"",IF(G113&lt;J113*34,DATE(2026,10,15)+G113/J113,IF(G113&lt;N113,DATE(2026,11,18)+(G113-J113*34)/(J113*L113),"after Nov 30")))</f>
        <v/>
      </c>
      <c r="Q113" s="60">
        <f>IF(J113=0,"",IF(G113+H113&lt;J113*34,DATE(2026,10,15)+(G113+H113)/J113,IF(G113+H113&lt;N113,DATE(2026,11,18)+(G113+H113-J113*34)/(J113*L113),"after Nov 30")))</f>
        <v/>
      </c>
      <c r="R113" s="54">
        <f>IF(AND(G113&lt;=0,J113&gt;0),"Out of stock now",IF(G113&gt;=N113,"Covered to Nov 30",IF(G113+H113&gt;=N113,"Needs inbound in time","Short even with inbound")))</f>
        <v/>
      </c>
      <c r="S113" s="57" t="n">
        <v>0.179</v>
      </c>
      <c r="T113" s="59">
        <f>IF(S113="","",S113*34+S113*L113*12)</f>
        <v/>
      </c>
    </row>
    <row r="114">
      <c r="A114" s="54" t="inlineStr">
        <is>
          <t>US DC B4</t>
        </is>
      </c>
      <c r="B114" s="54" t="inlineStr">
        <is>
          <t>US</t>
        </is>
      </c>
      <c r="C114" s="54" t="inlineStr">
        <is>
          <t>B0CLKDSVCV</t>
        </is>
      </c>
      <c r="D114" s="54" t="inlineStr">
        <is>
          <t>BAMBOO-FULL-LIGHT PINK</t>
        </is>
      </c>
      <c r="E114" s="54" t="inlineStr">
        <is>
          <t>Full</t>
        </is>
      </c>
      <c r="F114" s="54" t="inlineStr">
        <is>
          <t>Light Pink</t>
        </is>
      </c>
      <c r="G114" s="55" t="n">
        <v>0</v>
      </c>
      <c r="H114" s="55" t="n">
        <v>126</v>
      </c>
      <c r="I114" s="56" t="inlineStr">
        <is>
          <t>FBA19STZ9LHZ ready to ship: 12; FBA19STRJMC3 ready to ship: 6; FBA19SV47PX1 ready to ship: 6; FBA19SV1CLVT ready to ship: 6; FBA19STYQSF4 ready to ship: 6; FBA19QLJLR1F shipped: 18; FBA19QLKCVBW shipped: 24; FBA19QLK9CYH shipped: 12; FBA19QLKHC6Q shipped: 18; FBA19QLJ0ZP4 shipped: 18</t>
        </is>
      </c>
      <c r="J114" s="57" t="n">
        <v>0.09</v>
      </c>
      <c r="K114" s="56" t="inlineStr">
        <is>
          <t>account data velocity</t>
        </is>
      </c>
      <c r="L114" s="58" t="n">
        <v>4.255</v>
      </c>
      <c r="M114" s="56" t="inlineStr">
        <is>
          <t>own BFCM 2025 lift (account data)</t>
        </is>
      </c>
      <c r="N114" s="59">
        <f>J114*34+J114*L114*12</f>
        <v/>
      </c>
      <c r="O114" s="59">
        <f>MAX(0,N114-G114-H114)</f>
        <v/>
      </c>
      <c r="P114" s="60">
        <f>IF(J114=0,"",IF(G114&lt;J114*34,DATE(2026,10,15)+G114/J114,IF(G114&lt;N114,DATE(2026,11,18)+(G114-J114*34)/(J114*L114),"after Nov 30")))</f>
        <v/>
      </c>
      <c r="Q114" s="60">
        <f>IF(J114=0,"",IF(G114+H114&lt;J114*34,DATE(2026,10,15)+(G114+H114)/J114,IF(G114+H114&lt;N114,DATE(2026,11,18)+(G114+H114-J114*34)/(J114*L114),"after Nov 30")))</f>
        <v/>
      </c>
      <c r="R114" s="54">
        <f>IF(AND(G114&lt;=0,J114&gt;0),"Out of stock now",IF(G114&gt;=N114,"Covered to Nov 30",IF(G114+H114&gt;=N114,"Needs inbound in time","Short even with inbound")))</f>
        <v/>
      </c>
      <c r="S114" s="57" t="n">
        <v>0.143</v>
      </c>
      <c r="T114" s="59">
        <f>IF(S114="","",S114*34+S114*L114*12)</f>
        <v/>
      </c>
    </row>
    <row r="115">
      <c r="A115" s="54" t="inlineStr">
        <is>
          <t>US DC B4</t>
        </is>
      </c>
      <c r="B115" s="54" t="inlineStr">
        <is>
          <t>US</t>
        </is>
      </c>
      <c r="C115" s="54" t="inlineStr">
        <is>
          <t>B08KQJ61T7</t>
        </is>
      </c>
      <c r="D115" s="54" t="inlineStr">
        <is>
          <t>BAMBOO-KING-TAUPE</t>
        </is>
      </c>
      <c r="E115" s="54" t="inlineStr">
        <is>
          <t>King</t>
        </is>
      </c>
      <c r="F115" s="54" t="inlineStr">
        <is>
          <t>Taupe</t>
        </is>
      </c>
      <c r="G115" s="55" t="n">
        <v>0</v>
      </c>
      <c r="H115" s="55" t="n">
        <v>360</v>
      </c>
      <c r="I115" s="56" t="inlineStr">
        <is>
          <t>FBA19QLJLR1F shipped: 96; FBA19QLKCVBW shipped: 96; FBA19QLK9CYH shipped: 30; FBA19QLKHC6Q shipped: 54; FBA19QLJ0ZP4 shipped: 84</t>
        </is>
      </c>
      <c r="J115" s="57" t="n">
        <v>0.05</v>
      </c>
      <c r="K115" s="56" t="inlineStr">
        <is>
          <t>account data velocity</t>
        </is>
      </c>
      <c r="L115" s="58" t="n">
        <v>4.255</v>
      </c>
      <c r="M115" s="56" t="inlineStr">
        <is>
          <t>own BFCM 2025 lift (account data)</t>
        </is>
      </c>
      <c r="N115" s="59">
        <f>J115*34+J115*L115*12</f>
        <v/>
      </c>
      <c r="O115" s="59">
        <f>MAX(0,N115-G115-H115)</f>
        <v/>
      </c>
      <c r="P115" s="60">
        <f>IF(J115=0,"",IF(G115&lt;J115*34,DATE(2026,10,15)+G115/J115,IF(G115&lt;N115,DATE(2026,11,18)+(G115-J115*34)/(J115*L115),"after Nov 30")))</f>
        <v/>
      </c>
      <c r="Q115" s="60">
        <f>IF(J115=0,"",IF(G115+H115&lt;J115*34,DATE(2026,10,15)+(G115+H115)/J115,IF(G115+H115&lt;N115,DATE(2026,11,18)+(G115+H115-J115*34)/(J115*L115),"after Nov 30")))</f>
        <v/>
      </c>
      <c r="R115" s="54">
        <f>IF(AND(G115&lt;=0,J115&gt;0),"Out of stock now",IF(G115&gt;=N115,"Covered to Nov 30",IF(G115+H115&gt;=N115,"Needs inbound in time","Short even with inbound")))</f>
        <v/>
      </c>
      <c r="S115" s="57" t="n">
        <v>0</v>
      </c>
      <c r="T115" s="59">
        <f>IF(S115="","",S115*34+S115*L115*12)</f>
        <v/>
      </c>
    </row>
    <row r="116">
      <c r="A116" s="54" t="inlineStr">
        <is>
          <t>US DC B4</t>
        </is>
      </c>
      <c r="B116" s="54" t="inlineStr">
        <is>
          <t>US</t>
        </is>
      </c>
      <c r="C116" s="54" t="inlineStr">
        <is>
          <t>B08KQJBRKM</t>
        </is>
      </c>
      <c r="D116" s="54" t="inlineStr">
        <is>
          <t>BAMBOO-FULL-TAUPE</t>
        </is>
      </c>
      <c r="E116" s="54" t="inlineStr">
        <is>
          <t>Full</t>
        </is>
      </c>
      <c r="F116" s="54" t="inlineStr">
        <is>
          <t>Taupe</t>
        </is>
      </c>
      <c r="G116" s="55" t="n">
        <v>0</v>
      </c>
      <c r="H116" s="55" t="n">
        <v>90</v>
      </c>
      <c r="I116" s="56" t="inlineStr">
        <is>
          <t>FBA19STZ9LHZ ready to ship: 6; FBA19STRJMC3 ready to ship: 6; FBA19SV47PX1 ready to ship: 6; FBA19SV1CLVT ready to ship: 6; FBA19STYQSF4 ready to ship: 6; FBA19QLJLR1F shipped: 12; FBA19QLKCVBW shipped: 12; FBA19QLK9CYH shipped: 12; FBA19QLKHC6Q shipped: 12; FBA19QLJ0ZP4 shipped: 12</t>
        </is>
      </c>
      <c r="J116" s="57" t="n">
        <v>0.04</v>
      </c>
      <c r="K116" s="56" t="inlineStr">
        <is>
          <t>account data velocity</t>
        </is>
      </c>
      <c r="L116" s="58" t="n">
        <v>4.255</v>
      </c>
      <c r="M116" s="56" t="inlineStr">
        <is>
          <t>own BFCM 2025 lift (account data)</t>
        </is>
      </c>
      <c r="N116" s="59">
        <f>J116*34+J116*L116*12</f>
        <v/>
      </c>
      <c r="O116" s="59">
        <f>MAX(0,N116-G116-H116)</f>
        <v/>
      </c>
      <c r="P116" s="60">
        <f>IF(J116=0,"",IF(G116&lt;J116*34,DATE(2026,10,15)+G116/J116,IF(G116&lt;N116,DATE(2026,11,18)+(G116-J116*34)/(J116*L116),"after Nov 30")))</f>
        <v/>
      </c>
      <c r="Q116" s="60">
        <f>IF(J116=0,"",IF(G116+H116&lt;J116*34,DATE(2026,10,15)+(G116+H116)/J116,IF(G116+H116&lt;N116,DATE(2026,11,18)+(G116+H116-J116*34)/(J116*L116),"after Nov 30")))</f>
        <v/>
      </c>
      <c r="R116" s="54">
        <f>IF(AND(G116&lt;=0,J116&gt;0),"Out of stock now",IF(G116&gt;=N116,"Covered to Nov 30",IF(G116+H116&gt;=N116,"Needs inbound in time","Short even with inbound")))</f>
        <v/>
      </c>
      <c r="S116" s="57" t="n">
        <v>0.036</v>
      </c>
      <c r="T116" s="59">
        <f>IF(S116="","",S116*34+S116*L116*12)</f>
        <v/>
      </c>
    </row>
    <row r="117">
      <c r="A117" s="54" t="inlineStr">
        <is>
          <t>US DC B4</t>
        </is>
      </c>
      <c r="B117" s="54" t="inlineStr">
        <is>
          <t>US</t>
        </is>
      </c>
      <c r="C117" s="54" t="inlineStr">
        <is>
          <t>B0BZQ3F8RQ</t>
        </is>
      </c>
      <c r="D117" s="54" t="inlineStr">
        <is>
          <t>BAMBOO-KING-PURPLE</t>
        </is>
      </c>
      <c r="E117" s="54" t="inlineStr">
        <is>
          <t>King</t>
        </is>
      </c>
      <c r="F117" s="54" t="inlineStr">
        <is>
          <t>Purple</t>
        </is>
      </c>
      <c r="G117" s="55" t="n">
        <v>54</v>
      </c>
      <c r="H117" s="55" t="n">
        <v>72</v>
      </c>
      <c r="I117" s="56" t="inlineStr">
        <is>
          <t>FBA19SV5KWMR ready to ship: 54; FBA19N82086K ready to ship: 6; FBA19QLJLR1F shipped: 6; FBA19QLKCVBW shipped: 6; FBA19QLK9CYH shipped: 6; FBA19QLKHC6Q shipped: 6; FBA19QLJ0ZP4 shipped: 6; FBA19N7WSG18 in transit: 12; FBA19N7RP6W7 in transit: 24; FBA19N7RQF4Q ready to ship: 6</t>
        </is>
      </c>
      <c r="J117" s="57" t="n">
        <v>0</v>
      </c>
      <c r="K117" s="56" t="inlineStr">
        <is>
          <t>account data velocity</t>
        </is>
      </c>
      <c r="L117" s="58" t="n">
        <v>4.255</v>
      </c>
      <c r="M117" s="56" t="inlineStr">
        <is>
          <t>own BFCM 2025 lift (account data)</t>
        </is>
      </c>
      <c r="N117" s="59">
        <f>J117*34+J117*L117*12</f>
        <v/>
      </c>
      <c r="O117" s="59">
        <f>MAX(0,N117-G117-H117)</f>
        <v/>
      </c>
      <c r="P117" s="60">
        <f>IF(J117=0,"",IF(G117&lt;J117*34,DATE(2026,10,15)+G117/J117,IF(G117&lt;N117,DATE(2026,11,18)+(G117-J117*34)/(J117*L117),"after Nov 30")))</f>
        <v/>
      </c>
      <c r="Q117" s="60">
        <f>IF(J117=0,"",IF(G117+H117&lt;J117*34,DATE(2026,10,15)+(G117+H117)/J117,IF(G117+H117&lt;N117,DATE(2026,11,18)+(G117+H117-J117*34)/(J117*L117),"after Nov 30")))</f>
        <v/>
      </c>
      <c r="R117" s="54">
        <f>IF(AND(G117&lt;=0,J117&gt;0),"Out of stock now",IF(G117&gt;=N117,"Covered to Nov 30",IF(G117+H117&gt;=N117,"Needs inbound in time","Short even with inbound")))</f>
        <v/>
      </c>
      <c r="S117" s="57" t="n">
        <v>0</v>
      </c>
      <c r="T117" s="59">
        <f>IF(S117="","",S117*34+S117*L117*12)</f>
        <v/>
      </c>
    </row>
    <row r="118">
      <c r="A118" s="54" t="inlineStr">
        <is>
          <t>CA DC B4</t>
        </is>
      </c>
      <c r="B118" s="54" t="inlineStr">
        <is>
          <t>CA</t>
        </is>
      </c>
      <c r="C118" s="54" t="inlineStr">
        <is>
          <t>B0BZPZ588L</t>
        </is>
      </c>
      <c r="D118" s="54" t="inlineStr">
        <is>
          <t>BAMBOO-KING-CHARCOAL</t>
        </is>
      </c>
      <c r="E118" s="54" t="inlineStr">
        <is>
          <t>King</t>
        </is>
      </c>
      <c r="F118" s="54" t="inlineStr">
        <is>
          <t>Charcoal</t>
        </is>
      </c>
      <c r="G118" s="55" t="n">
        <v>0</v>
      </c>
      <c r="H118" s="55" t="n">
        <v>0</v>
      </c>
      <c r="I118" s="56" t="inlineStr">
        <is>
          <t>FBA19QLVD3FK shipped: 18; FBA19MV0YVFX shipped: 30</t>
        </is>
      </c>
      <c r="J118" s="57" t="n">
        <v>2.4</v>
      </c>
      <c r="K118" s="56" t="inlineStr">
        <is>
          <t>account data velocity</t>
        </is>
      </c>
      <c r="L118" s="58" t="n">
        <v>3.0782</v>
      </c>
      <c r="M118" s="56" t="inlineStr">
        <is>
          <t>own BFCM 2025 lift (account data)</t>
        </is>
      </c>
      <c r="N118" s="59">
        <f>J118*34+J118*L118*12</f>
        <v/>
      </c>
      <c r="O118" s="59">
        <f>MAX(0,N118-G118-H118)</f>
        <v/>
      </c>
      <c r="P118" s="60">
        <f>IF(J118=0,"",IF(G118&lt;J118*34,DATE(2026,10,15)+G118/J118,IF(G118&lt;N118,DATE(2026,11,18)+(G118-J118*34)/(J118*L118),"after Nov 30")))</f>
        <v/>
      </c>
      <c r="Q118" s="60">
        <f>IF(J118=0,"",IF(G118+H118&lt;J118*34,DATE(2026,10,15)+(G118+H118)/J118,IF(G118+H118&lt;N118,DATE(2026,11,18)+(G118+H118-J118*34)/(J118*L118),"after Nov 30")))</f>
        <v/>
      </c>
      <c r="R118" s="54">
        <f>IF(AND(G118&lt;=0,J118&gt;0),"Out of stock now",IF(G118&gt;=N118,"Covered to Nov 30",IF(G118+H118&gt;=N118,"Needs inbound in time","Short even with inbound")))</f>
        <v/>
      </c>
      <c r="S118" s="57" t="n">
        <v>0.07099999999999999</v>
      </c>
      <c r="T118" s="59">
        <f>IF(S118="","",S118*34+S118*L118*12)</f>
        <v/>
      </c>
    </row>
    <row r="119">
      <c r="A119" s="54" t="inlineStr">
        <is>
          <t>CA DC B4</t>
        </is>
      </c>
      <c r="B119" s="54" t="inlineStr">
        <is>
          <t>CA</t>
        </is>
      </c>
      <c r="C119" s="54" t="inlineStr">
        <is>
          <t>B0CLKDSVCV</t>
        </is>
      </c>
      <c r="D119" s="54" t="inlineStr">
        <is>
          <t>BAMBOO-FULL-LIGHT PINK</t>
        </is>
      </c>
      <c r="E119" s="54" t="inlineStr">
        <is>
          <t>Full</t>
        </is>
      </c>
      <c r="F119" s="54" t="inlineStr">
        <is>
          <t>Light Pink</t>
        </is>
      </c>
      <c r="G119" s="55" t="n">
        <v>0</v>
      </c>
      <c r="H119" s="55" t="n">
        <v>18</v>
      </c>
      <c r="I119" s="56" t="inlineStr">
        <is>
          <t>FBA19QLVD3FK shipped: 18</t>
        </is>
      </c>
      <c r="J119" s="57" t="n">
        <v>1.8</v>
      </c>
      <c r="K119" s="56" t="inlineStr">
        <is>
          <t>account data velocity</t>
        </is>
      </c>
      <c r="L119" s="58" t="n">
        <v>3.0782</v>
      </c>
      <c r="M119" s="56" t="inlineStr">
        <is>
          <t>own BFCM 2025 lift (account data)</t>
        </is>
      </c>
      <c r="N119" s="59">
        <f>J119*34+J119*L119*12</f>
        <v/>
      </c>
      <c r="O119" s="59">
        <f>MAX(0,N119-G119-H119)</f>
        <v/>
      </c>
      <c r="P119" s="60">
        <f>IF(J119=0,"",IF(G119&lt;J119*34,DATE(2026,10,15)+G119/J119,IF(G119&lt;N119,DATE(2026,11,18)+(G119-J119*34)/(J119*L119),"after Nov 30")))</f>
        <v/>
      </c>
      <c r="Q119" s="60">
        <f>IF(J119=0,"",IF(G119+H119&lt;J119*34,DATE(2026,10,15)+(G119+H119)/J119,IF(G119+H119&lt;N119,DATE(2026,11,18)+(G119+H119-J119*34)/(J119*L119),"after Nov 30")))</f>
        <v/>
      </c>
      <c r="R119" s="54">
        <f>IF(AND(G119&lt;=0,J119&gt;0),"Out of stock now",IF(G119&gt;=N119,"Covered to Nov 30",IF(G119+H119&gt;=N119,"Needs inbound in time","Short even with inbound")))</f>
        <v/>
      </c>
      <c r="S119" s="57" t="n">
        <v>0.107</v>
      </c>
      <c r="T119" s="59">
        <f>IF(S119="","",S119*34+S119*L119*12)</f>
        <v/>
      </c>
    </row>
    <row r="120">
      <c r="A120" s="54" t="inlineStr">
        <is>
          <t>CA DC B4</t>
        </is>
      </c>
      <c r="B120" s="54" t="inlineStr">
        <is>
          <t>CA</t>
        </is>
      </c>
      <c r="C120" s="54" t="inlineStr">
        <is>
          <t>B08KQKKRNC</t>
        </is>
      </c>
      <c r="D120" s="54" t="inlineStr">
        <is>
          <t>BAMBOO-QUEEN-NAVYBLUE</t>
        </is>
      </c>
      <c r="E120" s="54" t="inlineStr">
        <is>
          <t>Queen</t>
        </is>
      </c>
      <c r="F120" s="54" t="inlineStr">
        <is>
          <t>Navy Blue</t>
        </is>
      </c>
      <c r="G120" s="55" t="n">
        <v>10</v>
      </c>
      <c r="H120" s="55" t="n">
        <v>66</v>
      </c>
      <c r="I120" s="56" t="inlineStr">
        <is>
          <t>FBA19QLVD3FK shipped: 60; FBA19LP4SKXM in transit: 6</t>
        </is>
      </c>
      <c r="J120" s="57" t="n">
        <v>1.41</v>
      </c>
      <c r="K120" s="56" t="inlineStr">
        <is>
          <t>account data velocity</t>
        </is>
      </c>
      <c r="L120" s="58" t="n">
        <v>3.0782</v>
      </c>
      <c r="M120" s="56" t="inlineStr">
        <is>
          <t>own BFCM 2025 lift (account data)</t>
        </is>
      </c>
      <c r="N120" s="59">
        <f>J120*34+J120*L120*12</f>
        <v/>
      </c>
      <c r="O120" s="59">
        <f>MAX(0,N120-G120-H120)</f>
        <v/>
      </c>
      <c r="P120" s="60">
        <f>IF(J120=0,"",IF(G120&lt;J120*34,DATE(2026,10,15)+G120/J120,IF(G120&lt;N120,DATE(2026,11,18)+(G120-J120*34)/(J120*L120),"after Nov 30")))</f>
        <v/>
      </c>
      <c r="Q120" s="60">
        <f>IF(J120=0,"",IF(G120+H120&lt;J120*34,DATE(2026,10,15)+(G120+H120)/J120,IF(G120+H120&lt;N120,DATE(2026,11,18)+(G120+H120-J120*34)/(J120*L120),"after Nov 30")))</f>
        <v/>
      </c>
      <c r="R120" s="54">
        <f>IF(AND(G120&lt;=0,J120&gt;0),"Out of stock now",IF(G120&gt;=N120,"Covered to Nov 30",IF(G120+H120&gt;=N120,"Needs inbound in time","Short even with inbound")))</f>
        <v/>
      </c>
      <c r="S120" s="57" t="n">
        <v>0.893</v>
      </c>
      <c r="T120" s="59">
        <f>IF(S120="","",S120*34+S120*L120*12)</f>
        <v/>
      </c>
    </row>
    <row r="121">
      <c r="A121" s="54" t="inlineStr">
        <is>
          <t>CA DC B4</t>
        </is>
      </c>
      <c r="B121" s="54" t="inlineStr">
        <is>
          <t>CA</t>
        </is>
      </c>
      <c r="C121" s="54" t="inlineStr">
        <is>
          <t>B08KQJ61T7</t>
        </is>
      </c>
      <c r="D121" s="54" t="inlineStr">
        <is>
          <t>BAMBOO-KING-TAUPE</t>
        </is>
      </c>
      <c r="E121" s="54" t="inlineStr">
        <is>
          <t>King</t>
        </is>
      </c>
      <c r="F121" s="54" t="inlineStr">
        <is>
          <t>Taupe</t>
        </is>
      </c>
      <c r="G121" s="55" t="n">
        <v>106</v>
      </c>
      <c r="H121" s="55" t="n">
        <v>198</v>
      </c>
      <c r="I121" s="56" t="inlineStr">
        <is>
          <t>FBA19QLVD3FK shipped: 198</t>
        </is>
      </c>
      <c r="J121" s="57" t="n">
        <v>1.34</v>
      </c>
      <c r="K121" s="56" t="inlineStr">
        <is>
          <t>account data velocity</t>
        </is>
      </c>
      <c r="L121" s="58" t="n">
        <v>3.0782</v>
      </c>
      <c r="M121" s="56" t="inlineStr">
        <is>
          <t>own BFCM 2025 lift (account data)</t>
        </is>
      </c>
      <c r="N121" s="59">
        <f>J121*34+J121*L121*12</f>
        <v/>
      </c>
      <c r="O121" s="59">
        <f>MAX(0,N121-G121-H121)</f>
        <v/>
      </c>
      <c r="P121" s="60">
        <f>IF(J121=0,"",IF(G121&lt;J121*34,DATE(2026,10,15)+G121/J121,IF(G121&lt;N121,DATE(2026,11,18)+(G121-J121*34)/(J121*L121),"after Nov 30")))</f>
        <v/>
      </c>
      <c r="Q121" s="60">
        <f>IF(J121=0,"",IF(G121+H121&lt;J121*34,DATE(2026,10,15)+(G121+H121)/J121,IF(G121+H121&lt;N121,DATE(2026,11,18)+(G121+H121-J121*34)/(J121*L121),"after Nov 30")))</f>
        <v/>
      </c>
      <c r="R121" s="54">
        <f>IF(AND(G121&lt;=0,J121&gt;0),"Out of stock now",IF(G121&gt;=N121,"Covered to Nov 30",IF(G121+H121&gt;=N121,"Needs inbound in time","Short even with inbound")))</f>
        <v/>
      </c>
      <c r="S121" s="57" t="n">
        <v>1.071</v>
      </c>
      <c r="T121" s="59">
        <f>IF(S121="","",S121*34+S121*L121*12)</f>
        <v/>
      </c>
    </row>
    <row r="122">
      <c r="A122" s="54" t="inlineStr">
        <is>
          <t>CA DC B4</t>
        </is>
      </c>
      <c r="B122" s="54" t="inlineStr">
        <is>
          <t>CA</t>
        </is>
      </c>
      <c r="C122" s="54" t="inlineStr">
        <is>
          <t>B08KQK9WCY</t>
        </is>
      </c>
      <c r="D122" s="54" t="inlineStr">
        <is>
          <t>BAMBOO-KING-NAVYBLUE</t>
        </is>
      </c>
      <c r="E122" s="54" t="inlineStr">
        <is>
          <t>King</t>
        </is>
      </c>
      <c r="F122" s="54" t="inlineStr">
        <is>
          <t>Navy Blue</t>
        </is>
      </c>
      <c r="G122" s="55" t="n">
        <v>42</v>
      </c>
      <c r="H122" s="55" t="n">
        <v>48</v>
      </c>
      <c r="I122" s="56" t="n"/>
      <c r="J122" s="57" t="n">
        <v>1.2</v>
      </c>
      <c r="K122" s="56" t="inlineStr">
        <is>
          <t>account data velocity</t>
        </is>
      </c>
      <c r="L122" s="58" t="n">
        <v>3.0782</v>
      </c>
      <c r="M122" s="56" t="inlineStr">
        <is>
          <t>own BFCM 2025 lift (account data)</t>
        </is>
      </c>
      <c r="N122" s="59">
        <f>J122*34+J122*L122*12</f>
        <v/>
      </c>
      <c r="O122" s="59">
        <f>MAX(0,N122-G122-H122)</f>
        <v/>
      </c>
      <c r="P122" s="60">
        <f>IF(J122=0,"",IF(G122&lt;J122*34,DATE(2026,10,15)+G122/J122,IF(G122&lt;N122,DATE(2026,11,18)+(G122-J122*34)/(J122*L122),"after Nov 30")))</f>
        <v/>
      </c>
      <c r="Q122" s="60">
        <f>IF(J122=0,"",IF(G122+H122&lt;J122*34,DATE(2026,10,15)+(G122+H122)/J122,IF(G122+H122&lt;N122,DATE(2026,11,18)+(G122+H122-J122*34)/(J122*L122),"after Nov 30")))</f>
        <v/>
      </c>
      <c r="R122" s="54">
        <f>IF(AND(G122&lt;=0,J122&gt;0),"Out of stock now",IF(G122&gt;=N122,"Covered to Nov 30",IF(G122+H122&gt;=N122,"Needs inbound in time","Short even with inbound")))</f>
        <v/>
      </c>
      <c r="S122" s="57" t="n">
        <v>0.036</v>
      </c>
      <c r="T122" s="59">
        <f>IF(S122="","",S122*34+S122*L122*12)</f>
        <v/>
      </c>
    </row>
    <row r="123">
      <c r="A123" s="54" t="inlineStr">
        <is>
          <t>CA DC B4</t>
        </is>
      </c>
      <c r="B123" s="54" t="inlineStr">
        <is>
          <t>CA</t>
        </is>
      </c>
      <c r="C123" s="54" t="inlineStr">
        <is>
          <t>B08KQJGM74</t>
        </is>
      </c>
      <c r="D123" s="54" t="inlineStr">
        <is>
          <t>BAMBOO-QUEEN-WHITE</t>
        </is>
      </c>
      <c r="E123" s="54" t="inlineStr">
        <is>
          <t>Queen</t>
        </is>
      </c>
      <c r="F123" s="54" t="inlineStr">
        <is>
          <t>White</t>
        </is>
      </c>
      <c r="G123" s="55" t="n">
        <v>105</v>
      </c>
      <c r="H123" s="55" t="n">
        <v>186</v>
      </c>
      <c r="I123" s="56" t="inlineStr">
        <is>
          <t>FBA19QLVD3FK shipped: 186</t>
        </is>
      </c>
      <c r="J123" s="57" t="n">
        <v>1.15</v>
      </c>
      <c r="K123" s="56" t="inlineStr">
        <is>
          <t>account data velocity</t>
        </is>
      </c>
      <c r="L123" s="58" t="n">
        <v>3.0782</v>
      </c>
      <c r="M123" s="56" t="inlineStr">
        <is>
          <t>own BFCM 2025 lift (account data)</t>
        </is>
      </c>
      <c r="N123" s="59">
        <f>J123*34+J123*L123*12</f>
        <v/>
      </c>
      <c r="O123" s="59">
        <f>MAX(0,N123-G123-H123)</f>
        <v/>
      </c>
      <c r="P123" s="60">
        <f>IF(J123=0,"",IF(G123&lt;J123*34,DATE(2026,10,15)+G123/J123,IF(G123&lt;N123,DATE(2026,11,18)+(G123-J123*34)/(J123*L123),"after Nov 30")))</f>
        <v/>
      </c>
      <c r="Q123" s="60">
        <f>IF(J123=0,"",IF(G123+H123&lt;J123*34,DATE(2026,10,15)+(G123+H123)/J123,IF(G123+H123&lt;N123,DATE(2026,11,18)+(G123+H123-J123*34)/(J123*L123),"after Nov 30")))</f>
        <v/>
      </c>
      <c r="R123" s="54">
        <f>IF(AND(G123&lt;=0,J123&gt;0),"Out of stock now",IF(G123&gt;=N123,"Covered to Nov 30",IF(G123+H123&gt;=N123,"Needs inbound in time","Short even with inbound")))</f>
        <v/>
      </c>
      <c r="S123" s="57" t="n">
        <v>1.286</v>
      </c>
      <c r="T123" s="59">
        <f>IF(S123="","",S123*34+S123*L123*12)</f>
        <v/>
      </c>
    </row>
    <row r="124">
      <c r="A124" s="54" t="inlineStr">
        <is>
          <t>CA DC B4</t>
        </is>
      </c>
      <c r="B124" s="54" t="inlineStr">
        <is>
          <t>CA</t>
        </is>
      </c>
      <c r="C124" s="54" t="inlineStr">
        <is>
          <t>B08KQJRSW6</t>
        </is>
      </c>
      <c r="D124" s="54" t="inlineStr">
        <is>
          <t>BAMBOO-QUEEN-OLIVE</t>
        </is>
      </c>
      <c r="E124" s="54" t="inlineStr">
        <is>
          <t>Queen</t>
        </is>
      </c>
      <c r="F124" s="54" t="inlineStr">
        <is>
          <t>Olive</t>
        </is>
      </c>
      <c r="G124" s="55" t="n">
        <v>38</v>
      </c>
      <c r="H124" s="55" t="n">
        <v>48</v>
      </c>
      <c r="I124" s="56" t="inlineStr">
        <is>
          <t>FBA19QLVD3FK shipped: 48</t>
        </is>
      </c>
      <c r="J124" s="57" t="n">
        <v>1.13</v>
      </c>
      <c r="K124" s="56" t="inlineStr">
        <is>
          <t>account data velocity</t>
        </is>
      </c>
      <c r="L124" s="58" t="n">
        <v>3.0782</v>
      </c>
      <c r="M124" s="56" t="inlineStr">
        <is>
          <t>own BFCM 2025 lift (account data)</t>
        </is>
      </c>
      <c r="N124" s="59">
        <f>J124*34+J124*L124*12</f>
        <v/>
      </c>
      <c r="O124" s="59">
        <f>MAX(0,N124-G124-H124)</f>
        <v/>
      </c>
      <c r="P124" s="60">
        <f>IF(J124=0,"",IF(G124&lt;J124*34,DATE(2026,10,15)+G124/J124,IF(G124&lt;N124,DATE(2026,11,18)+(G124-J124*34)/(J124*L124),"after Nov 30")))</f>
        <v/>
      </c>
      <c r="Q124" s="60">
        <f>IF(J124=0,"",IF(G124+H124&lt;J124*34,DATE(2026,10,15)+(G124+H124)/J124,IF(G124+H124&lt;N124,DATE(2026,11,18)+(G124+H124-J124*34)/(J124*L124),"after Nov 30")))</f>
        <v/>
      </c>
      <c r="R124" s="54">
        <f>IF(AND(G124&lt;=0,J124&gt;0),"Out of stock now",IF(G124&gt;=N124,"Covered to Nov 30",IF(G124+H124&gt;=N124,"Needs inbound in time","Short even with inbound")))</f>
        <v/>
      </c>
      <c r="S124" s="57" t="n">
        <v>0.75</v>
      </c>
      <c r="T124" s="59">
        <f>IF(S124="","",S124*34+S124*L124*12)</f>
        <v/>
      </c>
    </row>
    <row r="125">
      <c r="A125" s="54" t="inlineStr">
        <is>
          <t>CA DC B4</t>
        </is>
      </c>
      <c r="B125" s="54" t="inlineStr">
        <is>
          <t>CA</t>
        </is>
      </c>
      <c r="C125" s="54" t="inlineStr">
        <is>
          <t>B08KQHRDDG</t>
        </is>
      </c>
      <c r="D125" s="54" t="inlineStr">
        <is>
          <t>BAMBOO-KING-WHITE</t>
        </is>
      </c>
      <c r="E125" s="54" t="inlineStr">
        <is>
          <t>King</t>
        </is>
      </c>
      <c r="F125" s="54" t="inlineStr">
        <is>
          <t>White</t>
        </is>
      </c>
      <c r="G125" s="55" t="n">
        <v>51</v>
      </c>
      <c r="H125" s="55" t="n">
        <v>0</v>
      </c>
      <c r="I125" s="56" t="n"/>
      <c r="J125" s="57" t="n">
        <v>1.1</v>
      </c>
      <c r="K125" s="56" t="inlineStr">
        <is>
          <t>account data velocity</t>
        </is>
      </c>
      <c r="L125" s="58" t="n">
        <v>3.0782</v>
      </c>
      <c r="M125" s="56" t="inlineStr">
        <is>
          <t>own BFCM 2025 lift (account data)</t>
        </is>
      </c>
      <c r="N125" s="59">
        <f>J125*34+J125*L125*12</f>
        <v/>
      </c>
      <c r="O125" s="59">
        <f>MAX(0,N125-G125-H125)</f>
        <v/>
      </c>
      <c r="P125" s="60">
        <f>IF(J125=0,"",IF(G125&lt;J125*34,DATE(2026,10,15)+G125/J125,IF(G125&lt;N125,DATE(2026,11,18)+(G125-J125*34)/(J125*L125),"after Nov 30")))</f>
        <v/>
      </c>
      <c r="Q125" s="60">
        <f>IF(J125=0,"",IF(G125+H125&lt;J125*34,DATE(2026,10,15)+(G125+H125)/J125,IF(G125+H125&lt;N125,DATE(2026,11,18)+(G125+H125-J125*34)/(J125*L125),"after Nov 30")))</f>
        <v/>
      </c>
      <c r="R125" s="54">
        <f>IF(AND(G125&lt;=0,J125&gt;0),"Out of stock now",IF(G125&gt;=N125,"Covered to Nov 30",IF(G125+H125&gt;=N125,"Needs inbound in time","Short even with inbound")))</f>
        <v/>
      </c>
      <c r="S125" s="57" t="n">
        <v>0.964</v>
      </c>
      <c r="T125" s="59">
        <f>IF(S125="","",S125*34+S125*L125*12)</f>
        <v/>
      </c>
    </row>
    <row r="126">
      <c r="A126" s="54" t="inlineStr">
        <is>
          <t>CA DC B4</t>
        </is>
      </c>
      <c r="B126" s="54" t="inlineStr">
        <is>
          <t>CA</t>
        </is>
      </c>
      <c r="C126" s="54" t="inlineStr">
        <is>
          <t>B08KQJTP39</t>
        </is>
      </c>
      <c r="D126" s="54" t="inlineStr">
        <is>
          <t>BAMBOO-FULL-OLIVE</t>
        </is>
      </c>
      <c r="E126" s="54" t="inlineStr">
        <is>
          <t>Full</t>
        </is>
      </c>
      <c r="F126" s="54" t="inlineStr">
        <is>
          <t>Olive</t>
        </is>
      </c>
      <c r="G126" s="55" t="n">
        <v>0</v>
      </c>
      <c r="H126" s="55" t="n">
        <v>0</v>
      </c>
      <c r="I126" s="56" t="n"/>
      <c r="J126" s="57" t="n">
        <v>0.8</v>
      </c>
      <c r="K126" s="56" t="inlineStr">
        <is>
          <t>account data velocity</t>
        </is>
      </c>
      <c r="L126" s="58" t="n">
        <v>3.0782</v>
      </c>
      <c r="M126" s="56" t="inlineStr">
        <is>
          <t>own BFCM 2025 lift (account data)</t>
        </is>
      </c>
      <c r="N126" s="59">
        <f>J126*34+J126*L126*12</f>
        <v/>
      </c>
      <c r="O126" s="59">
        <f>MAX(0,N126-G126-H126)</f>
        <v/>
      </c>
      <c r="P126" s="60">
        <f>IF(J126=0,"",IF(G126&lt;J126*34,DATE(2026,10,15)+G126/J126,IF(G126&lt;N126,DATE(2026,11,18)+(G126-J126*34)/(J126*L126),"after Nov 30")))</f>
        <v/>
      </c>
      <c r="Q126" s="60">
        <f>IF(J126=0,"",IF(G126+H126&lt;J126*34,DATE(2026,10,15)+(G126+H126)/J126,IF(G126+H126&lt;N126,DATE(2026,11,18)+(G126+H126-J126*34)/(J126*L126),"after Nov 30")))</f>
        <v/>
      </c>
      <c r="R126" s="54">
        <f>IF(AND(G126&lt;=0,J126&gt;0),"Out of stock now",IF(G126&gt;=N126,"Covered to Nov 30",IF(G126+H126&gt;=N126,"Needs inbound in time","Short even with inbound")))</f>
        <v/>
      </c>
      <c r="S126" s="57" t="n">
        <v>0.143</v>
      </c>
      <c r="T126" s="59">
        <f>IF(S126="","",S126*34+S126*L126*12)</f>
        <v/>
      </c>
    </row>
    <row r="127">
      <c r="A127" s="54" t="inlineStr">
        <is>
          <t>CA DC B4</t>
        </is>
      </c>
      <c r="B127" s="54" t="inlineStr">
        <is>
          <t>CA</t>
        </is>
      </c>
      <c r="C127" s="54" t="inlineStr">
        <is>
          <t>B08KQJ3M9N</t>
        </is>
      </c>
      <c r="D127" s="54" t="inlineStr">
        <is>
          <t>BAMBOO-KING-LIGHTGREY</t>
        </is>
      </c>
      <c r="E127" s="54" t="inlineStr">
        <is>
          <t>King</t>
        </is>
      </c>
      <c r="F127" s="54" t="inlineStr">
        <is>
          <t>Light Grey</t>
        </is>
      </c>
      <c r="G127" s="55" t="n">
        <v>199</v>
      </c>
      <c r="H127" s="55" t="n">
        <v>30</v>
      </c>
      <c r="I127" s="56" t="inlineStr">
        <is>
          <t>FBA19LP4SKXM in transit: 30</t>
        </is>
      </c>
      <c r="J127" s="57" t="n">
        <v>0.76</v>
      </c>
      <c r="K127" s="56" t="inlineStr">
        <is>
          <t>account data velocity</t>
        </is>
      </c>
      <c r="L127" s="58" t="n">
        <v>3.0782</v>
      </c>
      <c r="M127" s="56" t="inlineStr">
        <is>
          <t>own BFCM 2025 lift (account data)</t>
        </is>
      </c>
      <c r="N127" s="59">
        <f>J127*34+J127*L127*12</f>
        <v/>
      </c>
      <c r="O127" s="59">
        <f>MAX(0,N127-G127-H127)</f>
        <v/>
      </c>
      <c r="P127" s="60">
        <f>IF(J127=0,"",IF(G127&lt;J127*34,DATE(2026,10,15)+G127/J127,IF(G127&lt;N127,DATE(2026,11,18)+(G127-J127*34)/(J127*L127),"after Nov 30")))</f>
        <v/>
      </c>
      <c r="Q127" s="60">
        <f>IF(J127=0,"",IF(G127+H127&lt;J127*34,DATE(2026,10,15)+(G127+H127)/J127,IF(G127+H127&lt;N127,DATE(2026,11,18)+(G127+H127-J127*34)/(J127*L127),"after Nov 30")))</f>
        <v/>
      </c>
      <c r="R127" s="54">
        <f>IF(AND(G127&lt;=0,J127&gt;0),"Out of stock now",IF(G127&gt;=N127,"Covered to Nov 30",IF(G127+H127&gt;=N127,"Needs inbound in time","Short even with inbound")))</f>
        <v/>
      </c>
      <c r="S127" s="57" t="n">
        <v>0.786</v>
      </c>
      <c r="T127" s="59">
        <f>IF(S127="","",S127*34+S127*L127*12)</f>
        <v/>
      </c>
    </row>
    <row r="128">
      <c r="A128" s="54" t="inlineStr">
        <is>
          <t>CA DC B4</t>
        </is>
      </c>
      <c r="B128" s="54" t="inlineStr">
        <is>
          <t>CA</t>
        </is>
      </c>
      <c r="C128" s="54" t="inlineStr">
        <is>
          <t>B08KQJQ3C2</t>
        </is>
      </c>
      <c r="D128" s="54" t="inlineStr">
        <is>
          <t>BAMBOO-KING-GREY</t>
        </is>
      </c>
      <c r="E128" s="54" t="inlineStr">
        <is>
          <t>King</t>
        </is>
      </c>
      <c r="F128" s="54" t="inlineStr">
        <is>
          <t>Grey</t>
        </is>
      </c>
      <c r="G128" s="55" t="n">
        <v>17</v>
      </c>
      <c r="H128" s="55" t="n">
        <v>36</v>
      </c>
      <c r="I128" s="56" t="inlineStr">
        <is>
          <t>FBA19QLVD3FK shipped: 36</t>
        </is>
      </c>
      <c r="J128" s="57" t="n">
        <v>0.71</v>
      </c>
      <c r="K128" s="56" t="inlineStr">
        <is>
          <t>account data velocity</t>
        </is>
      </c>
      <c r="L128" s="58" t="n">
        <v>3.0782</v>
      </c>
      <c r="M128" s="56" t="inlineStr">
        <is>
          <t>own BFCM 2025 lift (account data)</t>
        </is>
      </c>
      <c r="N128" s="59">
        <f>J128*34+J128*L128*12</f>
        <v/>
      </c>
      <c r="O128" s="59">
        <f>MAX(0,N128-G128-H128)</f>
        <v/>
      </c>
      <c r="P128" s="60">
        <f>IF(J128=0,"",IF(G128&lt;J128*34,DATE(2026,10,15)+G128/J128,IF(G128&lt;N128,DATE(2026,11,18)+(G128-J128*34)/(J128*L128),"after Nov 30")))</f>
        <v/>
      </c>
      <c r="Q128" s="60">
        <f>IF(J128=0,"",IF(G128+H128&lt;J128*34,DATE(2026,10,15)+(G128+H128)/J128,IF(G128+H128&lt;N128,DATE(2026,11,18)+(G128+H128-J128*34)/(J128*L128),"after Nov 30")))</f>
        <v/>
      </c>
      <c r="R128" s="54">
        <f>IF(AND(G128&lt;=0,J128&gt;0),"Out of stock now",IF(G128&gt;=N128,"Covered to Nov 30",IF(G128+H128&gt;=N128,"Needs inbound in time","Short even with inbound")))</f>
        <v/>
      </c>
      <c r="S128" s="57" t="n">
        <v>0.679</v>
      </c>
      <c r="T128" s="59">
        <f>IF(S128="","",S128*34+S128*L128*12)</f>
        <v/>
      </c>
    </row>
    <row r="129">
      <c r="A129" s="54" t="inlineStr">
        <is>
          <t>CA DC B4</t>
        </is>
      </c>
      <c r="B129" s="54" t="inlineStr">
        <is>
          <t>CA</t>
        </is>
      </c>
      <c r="C129" s="54" t="inlineStr">
        <is>
          <t>B08KQL6HKG</t>
        </is>
      </c>
      <c r="D129" s="54" t="inlineStr">
        <is>
          <t>BAMBOO-KING-LIGHTBLUE</t>
        </is>
      </c>
      <c r="E129" s="54" t="inlineStr">
        <is>
          <t>King</t>
        </is>
      </c>
      <c r="F129" s="54" t="inlineStr">
        <is>
          <t>Light Blue</t>
        </is>
      </c>
      <c r="G129" s="55" t="n">
        <v>93</v>
      </c>
      <c r="H129" s="55" t="n">
        <v>102</v>
      </c>
      <c r="I129" s="56" t="inlineStr">
        <is>
          <t>FBA19LP4SKXM in transit: 96; FBA19M1BX1SX receiving: 6</t>
        </is>
      </c>
      <c r="J129" s="57" t="n">
        <v>0.7</v>
      </c>
      <c r="K129" s="56" t="inlineStr">
        <is>
          <t>account data velocity</t>
        </is>
      </c>
      <c r="L129" s="58" t="n">
        <v>3.0782</v>
      </c>
      <c r="M129" s="56" t="inlineStr">
        <is>
          <t>own BFCM 2025 lift (account data)</t>
        </is>
      </c>
      <c r="N129" s="59">
        <f>J129*34+J129*L129*12</f>
        <v/>
      </c>
      <c r="O129" s="59">
        <f>MAX(0,N129-G129-H129)</f>
        <v/>
      </c>
      <c r="P129" s="60">
        <f>IF(J129=0,"",IF(G129&lt;J129*34,DATE(2026,10,15)+G129/J129,IF(G129&lt;N129,DATE(2026,11,18)+(G129-J129*34)/(J129*L129),"after Nov 30")))</f>
        <v/>
      </c>
      <c r="Q129" s="60">
        <f>IF(J129=0,"",IF(G129+H129&lt;J129*34,DATE(2026,10,15)+(G129+H129)/J129,IF(G129+H129&lt;N129,DATE(2026,11,18)+(G129+H129-J129*34)/(J129*L129),"after Nov 30")))</f>
        <v/>
      </c>
      <c r="R129" s="54">
        <f>IF(AND(G129&lt;=0,J129&gt;0),"Out of stock now",IF(G129&gt;=N129,"Covered to Nov 30",IF(G129+H129&gt;=N129,"Needs inbound in time","Short even with inbound")))</f>
        <v/>
      </c>
      <c r="S129" s="57" t="n">
        <v>0.75</v>
      </c>
      <c r="T129" s="59">
        <f>IF(S129="","",S129*34+S129*L129*12)</f>
        <v/>
      </c>
    </row>
    <row r="130">
      <c r="A130" s="54" t="inlineStr">
        <is>
          <t>CA DC B4</t>
        </is>
      </c>
      <c r="B130" s="54" t="inlineStr">
        <is>
          <t>CA</t>
        </is>
      </c>
      <c r="C130" s="54" t="inlineStr">
        <is>
          <t>B08KQL2JT8</t>
        </is>
      </c>
      <c r="D130" s="54" t="inlineStr">
        <is>
          <t>BAMBOO-FULL-NAVYBLUE</t>
        </is>
      </c>
      <c r="E130" s="54" t="inlineStr">
        <is>
          <t>Full</t>
        </is>
      </c>
      <c r="F130" s="54" t="inlineStr">
        <is>
          <t>Navy Blue</t>
        </is>
      </c>
      <c r="G130" s="55" t="n">
        <v>78</v>
      </c>
      <c r="H130" s="55" t="n">
        <v>6</v>
      </c>
      <c r="I130" s="56" t="n"/>
      <c r="J130" s="57" t="n">
        <v>0.7</v>
      </c>
      <c r="K130" s="56" t="inlineStr">
        <is>
          <t>account data velocity</t>
        </is>
      </c>
      <c r="L130" s="58" t="n">
        <v>3.0782</v>
      </c>
      <c r="M130" s="56" t="inlineStr">
        <is>
          <t>own BFCM 2025 lift (account data)</t>
        </is>
      </c>
      <c r="N130" s="59">
        <f>J130*34+J130*L130*12</f>
        <v/>
      </c>
      <c r="O130" s="59">
        <f>MAX(0,N130-G130-H130)</f>
        <v/>
      </c>
      <c r="P130" s="60">
        <f>IF(J130=0,"",IF(G130&lt;J130*34,DATE(2026,10,15)+G130/J130,IF(G130&lt;N130,DATE(2026,11,18)+(G130-J130*34)/(J130*L130),"after Nov 30")))</f>
        <v/>
      </c>
      <c r="Q130" s="60">
        <f>IF(J130=0,"",IF(G130+H130&lt;J130*34,DATE(2026,10,15)+(G130+H130)/J130,IF(G130+H130&lt;N130,DATE(2026,11,18)+(G130+H130-J130*34)/(J130*L130),"after Nov 30")))</f>
        <v/>
      </c>
      <c r="R130" s="54">
        <f>IF(AND(G130&lt;=0,J130&gt;0),"Out of stock now",IF(G130&gt;=N130,"Covered to Nov 30",IF(G130+H130&gt;=N130,"Needs inbound in time","Short even with inbound")))</f>
        <v/>
      </c>
      <c r="S130" s="57" t="n">
        <v>0</v>
      </c>
      <c r="T130" s="59">
        <f>IF(S130="","",S130*34+S130*L130*12)</f>
        <v/>
      </c>
    </row>
    <row r="131">
      <c r="A131" s="54" t="inlineStr">
        <is>
          <t>CA DC B4</t>
        </is>
      </c>
      <c r="B131" s="54" t="inlineStr">
        <is>
          <t>CA</t>
        </is>
      </c>
      <c r="C131" s="54" t="inlineStr">
        <is>
          <t>B0BZPZ2L1R</t>
        </is>
      </c>
      <c r="D131" s="54" t="inlineStr">
        <is>
          <t>BAMBOO-KING-BLACK</t>
        </is>
      </c>
      <c r="E131" s="54" t="inlineStr">
        <is>
          <t>King</t>
        </is>
      </c>
      <c r="F131" s="54" t="inlineStr">
        <is>
          <t>Black</t>
        </is>
      </c>
      <c r="G131" s="55" t="n">
        <v>90</v>
      </c>
      <c r="H131" s="55" t="n">
        <v>0</v>
      </c>
      <c r="I131" s="56" t="n"/>
      <c r="J131" s="57" t="n">
        <v>0.6899999999999999</v>
      </c>
      <c r="K131" s="56" t="inlineStr">
        <is>
          <t>account data velocity</t>
        </is>
      </c>
      <c r="L131" s="58" t="n">
        <v>3.0782</v>
      </c>
      <c r="M131" s="56" t="inlineStr">
        <is>
          <t>own BFCM 2025 lift (account data)</t>
        </is>
      </c>
      <c r="N131" s="59">
        <f>J131*34+J131*L131*12</f>
        <v/>
      </c>
      <c r="O131" s="59">
        <f>MAX(0,N131-G131-H131)</f>
        <v/>
      </c>
      <c r="P131" s="60">
        <f>IF(J131=0,"",IF(G131&lt;J131*34,DATE(2026,10,15)+G131/J131,IF(G131&lt;N131,DATE(2026,11,18)+(G131-J131*34)/(J131*L131),"after Nov 30")))</f>
        <v/>
      </c>
      <c r="Q131" s="60">
        <f>IF(J131=0,"",IF(G131+H131&lt;J131*34,DATE(2026,10,15)+(G131+H131)/J131,IF(G131+H131&lt;N131,DATE(2026,11,18)+(G131+H131-J131*34)/(J131*L131),"after Nov 30")))</f>
        <v/>
      </c>
      <c r="R131" s="54">
        <f>IF(AND(G131&lt;=0,J131&gt;0),"Out of stock now",IF(G131&gt;=N131,"Covered to Nov 30",IF(G131+H131&gt;=N131,"Needs inbound in time","Short even with inbound")))</f>
        <v/>
      </c>
      <c r="S131" s="57" t="n">
        <v>0.821</v>
      </c>
      <c r="T131" s="59">
        <f>IF(S131="","",S131*34+S131*L131*12)</f>
        <v/>
      </c>
    </row>
    <row r="132">
      <c r="A132" s="54" t="inlineStr">
        <is>
          <t>CA DC B4</t>
        </is>
      </c>
      <c r="B132" s="54" t="inlineStr">
        <is>
          <t>CA</t>
        </is>
      </c>
      <c r="C132" s="54" t="inlineStr">
        <is>
          <t>B08KQJMZ8Q</t>
        </is>
      </c>
      <c r="D132" s="54" t="inlineStr">
        <is>
          <t>BAMBOO-QUEEN-TAUPE</t>
        </is>
      </c>
      <c r="E132" s="54" t="inlineStr">
        <is>
          <t>Queen</t>
        </is>
      </c>
      <c r="F132" s="54" t="inlineStr">
        <is>
          <t>Taupe</t>
        </is>
      </c>
      <c r="G132" s="55" t="n">
        <v>49</v>
      </c>
      <c r="H132" s="55" t="n">
        <v>366</v>
      </c>
      <c r="I132" s="56" t="inlineStr">
        <is>
          <t>FBA19LP4SKXM in transit: 366</t>
        </is>
      </c>
      <c r="J132" s="57" t="n">
        <v>0.68</v>
      </c>
      <c r="K132" s="56" t="inlineStr">
        <is>
          <t>account data velocity</t>
        </is>
      </c>
      <c r="L132" s="58" t="n">
        <v>3.0782</v>
      </c>
      <c r="M132" s="56" t="inlineStr">
        <is>
          <t>own BFCM 2025 lift (account data)</t>
        </is>
      </c>
      <c r="N132" s="59">
        <f>J132*34+J132*L132*12</f>
        <v/>
      </c>
      <c r="O132" s="59">
        <f>MAX(0,N132-G132-H132)</f>
        <v/>
      </c>
      <c r="P132" s="60">
        <f>IF(J132=0,"",IF(G132&lt;J132*34,DATE(2026,10,15)+G132/J132,IF(G132&lt;N132,DATE(2026,11,18)+(G132-J132*34)/(J132*L132),"after Nov 30")))</f>
        <v/>
      </c>
      <c r="Q132" s="60">
        <f>IF(J132=0,"",IF(G132+H132&lt;J132*34,DATE(2026,10,15)+(G132+H132)/J132,IF(G132+H132&lt;N132,DATE(2026,11,18)+(G132+H132-J132*34)/(J132*L132),"after Nov 30")))</f>
        <v/>
      </c>
      <c r="R132" s="54">
        <f>IF(AND(G132&lt;=0,J132&gt;0),"Out of stock now",IF(G132&gt;=N132,"Covered to Nov 30",IF(G132+H132&gt;=N132,"Needs inbound in time","Short even with inbound")))</f>
        <v/>
      </c>
      <c r="S132" s="57" t="n">
        <v>0.893</v>
      </c>
      <c r="T132" s="59">
        <f>IF(S132="","",S132*34+S132*L132*12)</f>
        <v/>
      </c>
    </row>
    <row r="133">
      <c r="A133" s="54" t="inlineStr">
        <is>
          <t>CA DC B4</t>
        </is>
      </c>
      <c r="B133" s="54" t="inlineStr">
        <is>
          <t>CA</t>
        </is>
      </c>
      <c r="C133" s="54" t="inlineStr">
        <is>
          <t>B0BZQ19QT6</t>
        </is>
      </c>
      <c r="D133" s="54" t="inlineStr">
        <is>
          <t>BAMBOO-FULL-CHARCOAL</t>
        </is>
      </c>
      <c r="E133" s="54" t="inlineStr">
        <is>
          <t>Full</t>
        </is>
      </c>
      <c r="F133" s="54" t="inlineStr">
        <is>
          <t>Charcoal</t>
        </is>
      </c>
      <c r="G133" s="55" t="n">
        <v>0</v>
      </c>
      <c r="H133" s="55" t="n">
        <v>0</v>
      </c>
      <c r="I133" s="56" t="n"/>
      <c r="J133" s="57" t="n">
        <v>0.6</v>
      </c>
      <c r="K133" s="56" t="inlineStr">
        <is>
          <t>account data velocity</t>
        </is>
      </c>
      <c r="L133" s="58" t="n">
        <v>3.0782</v>
      </c>
      <c r="M133" s="56" t="inlineStr">
        <is>
          <t>own BFCM 2025 lift (account data)</t>
        </is>
      </c>
      <c r="N133" s="59">
        <f>J133*34+J133*L133*12</f>
        <v/>
      </c>
      <c r="O133" s="59">
        <f>MAX(0,N133-G133-H133)</f>
        <v/>
      </c>
      <c r="P133" s="60">
        <f>IF(J133=0,"",IF(G133&lt;J133*34,DATE(2026,10,15)+G133/J133,IF(G133&lt;N133,DATE(2026,11,18)+(G133-J133*34)/(J133*L133),"after Nov 30")))</f>
        <v/>
      </c>
      <c r="Q133" s="60">
        <f>IF(J133=0,"",IF(G133+H133&lt;J133*34,DATE(2026,10,15)+(G133+H133)/J133,IF(G133+H133&lt;N133,DATE(2026,11,18)+(G133+H133-J133*34)/(J133*L133),"after Nov 30")))</f>
        <v/>
      </c>
      <c r="R133" s="54">
        <f>IF(AND(G133&lt;=0,J133&gt;0),"Out of stock now",IF(G133&gt;=N133,"Covered to Nov 30",IF(G133+H133&gt;=N133,"Needs inbound in time","Short even with inbound")))</f>
        <v/>
      </c>
      <c r="S133" s="57" t="n">
        <v>0.07099999999999999</v>
      </c>
      <c r="T133" s="59">
        <f>IF(S133="","",S133*34+S133*L133*12)</f>
        <v/>
      </c>
    </row>
    <row r="134">
      <c r="A134" s="54" t="inlineStr">
        <is>
          <t>CA DC B4</t>
        </is>
      </c>
      <c r="B134" s="54" t="inlineStr">
        <is>
          <t>CA</t>
        </is>
      </c>
      <c r="C134" s="54" t="inlineStr">
        <is>
          <t>B0CLKCDHHS</t>
        </is>
      </c>
      <c r="D134" s="54" t="inlineStr">
        <is>
          <t>BAMBOO-KING-SAGE GREEN</t>
        </is>
      </c>
      <c r="E134" s="54" t="inlineStr">
        <is>
          <t>King</t>
        </is>
      </c>
      <c r="F134" s="54" t="inlineStr">
        <is>
          <t>Sage Green</t>
        </is>
      </c>
      <c r="G134" s="55" t="n">
        <v>0</v>
      </c>
      <c r="H134" s="55" t="n">
        <v>0</v>
      </c>
      <c r="I134" s="56" t="inlineStr">
        <is>
          <t>FBA19QLVD3FK shipped: 18</t>
        </is>
      </c>
      <c r="J134" s="57" t="n">
        <v>0.6</v>
      </c>
      <c r="K134" s="56" t="inlineStr">
        <is>
          <t>account data velocity</t>
        </is>
      </c>
      <c r="L134" s="58" t="n">
        <v>3.0782</v>
      </c>
      <c r="M134" s="56" t="inlineStr">
        <is>
          <t>own BFCM 2025 lift (account data)</t>
        </is>
      </c>
      <c r="N134" s="59">
        <f>J134*34+J134*L134*12</f>
        <v/>
      </c>
      <c r="O134" s="59">
        <f>MAX(0,N134-G134-H134)</f>
        <v/>
      </c>
      <c r="P134" s="60">
        <f>IF(J134=0,"",IF(G134&lt;J134*34,DATE(2026,10,15)+G134/J134,IF(G134&lt;N134,DATE(2026,11,18)+(G134-J134*34)/(J134*L134),"after Nov 30")))</f>
        <v/>
      </c>
      <c r="Q134" s="60">
        <f>IF(J134=0,"",IF(G134+H134&lt;J134*34,DATE(2026,10,15)+(G134+H134)/J134,IF(G134+H134&lt;N134,DATE(2026,11,18)+(G134+H134-J134*34)/(J134*L134),"after Nov 30")))</f>
        <v/>
      </c>
      <c r="R134" s="54">
        <f>IF(AND(G134&lt;=0,J134&gt;0),"Out of stock now",IF(G134&gt;=N134,"Covered to Nov 30",IF(G134+H134&gt;=N134,"Needs inbound in time","Short even with inbound")))</f>
        <v/>
      </c>
      <c r="S134" s="57" t="n">
        <v>0</v>
      </c>
      <c r="T134" s="59">
        <f>IF(S134="","",S134*34+S134*L134*12)</f>
        <v/>
      </c>
    </row>
    <row r="135">
      <c r="A135" s="54" t="inlineStr">
        <is>
          <t>CA DC B4</t>
        </is>
      </c>
      <c r="B135" s="54" t="inlineStr">
        <is>
          <t>CA</t>
        </is>
      </c>
      <c r="C135" s="54" t="inlineStr">
        <is>
          <t>B0BZQ18QJB</t>
        </is>
      </c>
      <c r="D135" s="54" t="inlineStr">
        <is>
          <t>BAMBOO-QUEEN-MIDGREY</t>
        </is>
      </c>
      <c r="E135" s="54" t="inlineStr">
        <is>
          <t>Queen</t>
        </is>
      </c>
      <c r="F135" s="54" t="inlineStr">
        <is>
          <t>Midgrey</t>
        </is>
      </c>
      <c r="G135" s="55" t="n">
        <v>178</v>
      </c>
      <c r="H135" s="55" t="n">
        <v>0</v>
      </c>
      <c r="I135" s="56" t="n"/>
      <c r="J135" s="57" t="n">
        <v>0.57</v>
      </c>
      <c r="K135" s="56" t="inlineStr">
        <is>
          <t>account data velocity</t>
        </is>
      </c>
      <c r="L135" s="58" t="n">
        <v>3.0782</v>
      </c>
      <c r="M135" s="56" t="inlineStr">
        <is>
          <t>own BFCM 2025 lift (account data)</t>
        </is>
      </c>
      <c r="N135" s="59">
        <f>J135*34+J135*L135*12</f>
        <v/>
      </c>
      <c r="O135" s="59">
        <f>MAX(0,N135-G135-H135)</f>
        <v/>
      </c>
      <c r="P135" s="60">
        <f>IF(J135=0,"",IF(G135&lt;J135*34,DATE(2026,10,15)+G135/J135,IF(G135&lt;N135,DATE(2026,11,18)+(G135-J135*34)/(J135*L135),"after Nov 30")))</f>
        <v/>
      </c>
      <c r="Q135" s="60">
        <f>IF(J135=0,"",IF(G135+H135&lt;J135*34,DATE(2026,10,15)+(G135+H135)/J135,IF(G135+H135&lt;N135,DATE(2026,11,18)+(G135+H135-J135*34)/(J135*L135),"after Nov 30")))</f>
        <v/>
      </c>
      <c r="R135" s="54">
        <f>IF(AND(G135&lt;=0,J135&gt;0),"Out of stock now",IF(G135&gt;=N135,"Covered to Nov 30",IF(G135+H135&gt;=N135,"Needs inbound in time","Short even with inbound")))</f>
        <v/>
      </c>
      <c r="S135" s="57" t="n">
        <v>0.5</v>
      </c>
      <c r="T135" s="59">
        <f>IF(S135="","",S135*34+S135*L135*12)</f>
        <v/>
      </c>
    </row>
    <row r="136">
      <c r="A136" s="54" t="inlineStr">
        <is>
          <t>CA DC B4</t>
        </is>
      </c>
      <c r="B136" s="54" t="inlineStr">
        <is>
          <t>CA</t>
        </is>
      </c>
      <c r="C136" s="54" t="inlineStr">
        <is>
          <t>B0CLKJL9KD</t>
        </is>
      </c>
      <c r="D136" s="54" t="inlineStr">
        <is>
          <t>BAMBOO-QUEEN-SAGE GREEN</t>
        </is>
      </c>
      <c r="E136" s="54" t="inlineStr">
        <is>
          <t>Queen</t>
        </is>
      </c>
      <c r="F136" s="54" t="inlineStr">
        <is>
          <t>Sage Green</t>
        </is>
      </c>
      <c r="G136" s="55" t="n">
        <v>16</v>
      </c>
      <c r="H136" s="55" t="n">
        <v>126</v>
      </c>
      <c r="I136" s="56" t="inlineStr">
        <is>
          <t>FBA19QLVD3FK shipped: 12; FBA19MV0YVFX shipped: 18</t>
        </is>
      </c>
      <c r="J136" s="57" t="n">
        <v>0.5600000000000001</v>
      </c>
      <c r="K136" s="56" t="inlineStr">
        <is>
          <t>account data velocity</t>
        </is>
      </c>
      <c r="L136" s="58" t="n">
        <v>3.0782</v>
      </c>
      <c r="M136" s="56" t="inlineStr">
        <is>
          <t>own BFCM 2025 lift (account data)</t>
        </is>
      </c>
      <c r="N136" s="59">
        <f>J136*34+J136*L136*12</f>
        <v/>
      </c>
      <c r="O136" s="59">
        <f>MAX(0,N136-G136-H136)</f>
        <v/>
      </c>
      <c r="P136" s="60">
        <f>IF(J136=0,"",IF(G136&lt;J136*34,DATE(2026,10,15)+G136/J136,IF(G136&lt;N136,DATE(2026,11,18)+(G136-J136*34)/(J136*L136),"after Nov 30")))</f>
        <v/>
      </c>
      <c r="Q136" s="60">
        <f>IF(J136=0,"",IF(G136+H136&lt;J136*34,DATE(2026,10,15)+(G136+H136)/J136,IF(G136+H136&lt;N136,DATE(2026,11,18)+(G136+H136-J136*34)/(J136*L136),"after Nov 30")))</f>
        <v/>
      </c>
      <c r="R136" s="54">
        <f>IF(AND(G136&lt;=0,J136&gt;0),"Out of stock now",IF(G136&gt;=N136,"Covered to Nov 30",IF(G136+H136&gt;=N136,"Needs inbound in time","Short even with inbound")))</f>
        <v/>
      </c>
      <c r="S136" s="57" t="n">
        <v>0.321</v>
      </c>
      <c r="T136" s="59">
        <f>IF(S136="","",S136*34+S136*L136*12)</f>
        <v/>
      </c>
    </row>
    <row r="137">
      <c r="A137" s="54" t="inlineStr">
        <is>
          <t>CA DC B4</t>
        </is>
      </c>
      <c r="B137" s="54" t="inlineStr">
        <is>
          <t>CA</t>
        </is>
      </c>
      <c r="C137" s="54" t="inlineStr">
        <is>
          <t>B08KQJDSVC</t>
        </is>
      </c>
      <c r="D137" s="54" t="inlineStr">
        <is>
          <t>BAMBOO-QUEEN-LIGHTGREY</t>
        </is>
      </c>
      <c r="E137" s="54" t="inlineStr">
        <is>
          <t>Queen</t>
        </is>
      </c>
      <c r="F137" s="54" t="inlineStr">
        <is>
          <t>Light Grey</t>
        </is>
      </c>
      <c r="G137" s="55" t="n">
        <v>56</v>
      </c>
      <c r="H137" s="55" t="n">
        <v>42</v>
      </c>
      <c r="I137" s="56" t="n"/>
      <c r="J137" s="57" t="n">
        <v>0.48</v>
      </c>
      <c r="K137" s="56" t="inlineStr">
        <is>
          <t>account data velocity</t>
        </is>
      </c>
      <c r="L137" s="58" t="n">
        <v>3.0782</v>
      </c>
      <c r="M137" s="56" t="inlineStr">
        <is>
          <t>own BFCM 2025 lift (account data)</t>
        </is>
      </c>
      <c r="N137" s="59">
        <f>J137*34+J137*L137*12</f>
        <v/>
      </c>
      <c r="O137" s="59">
        <f>MAX(0,N137-G137-H137)</f>
        <v/>
      </c>
      <c r="P137" s="60">
        <f>IF(J137=0,"",IF(G137&lt;J137*34,DATE(2026,10,15)+G137/J137,IF(G137&lt;N137,DATE(2026,11,18)+(G137-J137*34)/(J137*L137),"after Nov 30")))</f>
        <v/>
      </c>
      <c r="Q137" s="60">
        <f>IF(J137=0,"",IF(G137+H137&lt;J137*34,DATE(2026,10,15)+(G137+H137)/J137,IF(G137+H137&lt;N137,DATE(2026,11,18)+(G137+H137-J137*34)/(J137*L137),"after Nov 30")))</f>
        <v/>
      </c>
      <c r="R137" s="54">
        <f>IF(AND(G137&lt;=0,J137&gt;0),"Out of stock now",IF(G137&gt;=N137,"Covered to Nov 30",IF(G137+H137&gt;=N137,"Needs inbound in time","Short even with inbound")))</f>
        <v/>
      </c>
      <c r="S137" s="57" t="n">
        <v>0.286</v>
      </c>
      <c r="T137" s="59">
        <f>IF(S137="","",S137*34+S137*L137*12)</f>
        <v/>
      </c>
    </row>
    <row r="138">
      <c r="A138" s="54" t="inlineStr">
        <is>
          <t>CA DC B4</t>
        </is>
      </c>
      <c r="B138" s="54" t="inlineStr">
        <is>
          <t>CA</t>
        </is>
      </c>
      <c r="C138" s="54" t="inlineStr">
        <is>
          <t>B0BZQ1JFM7</t>
        </is>
      </c>
      <c r="D138" s="54" t="inlineStr">
        <is>
          <t>BAMBOO-QUEEN-CHARCOAL</t>
        </is>
      </c>
      <c r="E138" s="54" t="inlineStr">
        <is>
          <t>Queen</t>
        </is>
      </c>
      <c r="F138" s="54" t="inlineStr">
        <is>
          <t>Charcoal</t>
        </is>
      </c>
      <c r="G138" s="55" t="n">
        <v>0</v>
      </c>
      <c r="H138" s="55" t="n">
        <v>0</v>
      </c>
      <c r="I138" s="56" t="n"/>
      <c r="J138" s="57" t="n">
        <v>0.47</v>
      </c>
      <c r="K138" s="56" t="inlineStr">
        <is>
          <t>account data velocity</t>
        </is>
      </c>
      <c r="L138" s="58" t="n">
        <v>3.0782</v>
      </c>
      <c r="M138" s="56" t="inlineStr">
        <is>
          <t>own BFCM 2025 lift (account data)</t>
        </is>
      </c>
      <c r="N138" s="59">
        <f>J138*34+J138*L138*12</f>
        <v/>
      </c>
      <c r="O138" s="59">
        <f>MAX(0,N138-G138-H138)</f>
        <v/>
      </c>
      <c r="P138" s="60">
        <f>IF(J138=0,"",IF(G138&lt;J138*34,DATE(2026,10,15)+G138/J138,IF(G138&lt;N138,DATE(2026,11,18)+(G138-J138*34)/(J138*L138),"after Nov 30")))</f>
        <v/>
      </c>
      <c r="Q138" s="60">
        <f>IF(J138=0,"",IF(G138+H138&lt;J138*34,DATE(2026,10,15)+(G138+H138)/J138,IF(G138+H138&lt;N138,DATE(2026,11,18)+(G138+H138-J138*34)/(J138*L138),"after Nov 30")))</f>
        <v/>
      </c>
      <c r="R138" s="54">
        <f>IF(AND(G138&lt;=0,J138&gt;0),"Out of stock now",IF(G138&gt;=N138,"Covered to Nov 30",IF(G138+H138&gt;=N138,"Needs inbound in time","Short even with inbound")))</f>
        <v/>
      </c>
      <c r="S138" s="57" t="n">
        <v>0.25</v>
      </c>
      <c r="T138" s="59">
        <f>IF(S138="","",S138*34+S138*L138*12)</f>
        <v/>
      </c>
    </row>
    <row r="139">
      <c r="A139" s="54" t="inlineStr">
        <is>
          <t>CA DC B4</t>
        </is>
      </c>
      <c r="B139" s="54" t="inlineStr">
        <is>
          <t>CA</t>
        </is>
      </c>
      <c r="C139" s="54" t="inlineStr">
        <is>
          <t>B08KQKXQLS</t>
        </is>
      </c>
      <c r="D139" s="54" t="inlineStr">
        <is>
          <t>BAMBOO-QUEEN-LIGHTBLUE</t>
        </is>
      </c>
      <c r="E139" s="54" t="inlineStr">
        <is>
          <t>Queen</t>
        </is>
      </c>
      <c r="F139" s="54" t="inlineStr">
        <is>
          <t>Light Blue</t>
        </is>
      </c>
      <c r="G139" s="55" t="n">
        <v>22</v>
      </c>
      <c r="H139" s="55" t="n">
        <v>102</v>
      </c>
      <c r="I139" s="56" t="inlineStr">
        <is>
          <t>FBA19RSBKFGZ shipped: 48; FBA19QLVD3FK shipped: 24</t>
        </is>
      </c>
      <c r="J139" s="57" t="n">
        <v>0.45</v>
      </c>
      <c r="K139" s="56" t="inlineStr">
        <is>
          <t>account data velocity</t>
        </is>
      </c>
      <c r="L139" s="58" t="n">
        <v>3.0782</v>
      </c>
      <c r="M139" s="56" t="inlineStr">
        <is>
          <t>own BFCM 2025 lift (account data)</t>
        </is>
      </c>
      <c r="N139" s="59">
        <f>J139*34+J139*L139*12</f>
        <v/>
      </c>
      <c r="O139" s="59">
        <f>MAX(0,N139-G139-H139)</f>
        <v/>
      </c>
      <c r="P139" s="60">
        <f>IF(J139=0,"",IF(G139&lt;J139*34,DATE(2026,10,15)+G139/J139,IF(G139&lt;N139,DATE(2026,11,18)+(G139-J139*34)/(J139*L139),"after Nov 30")))</f>
        <v/>
      </c>
      <c r="Q139" s="60">
        <f>IF(J139=0,"",IF(G139+H139&lt;J139*34,DATE(2026,10,15)+(G139+H139)/J139,IF(G139+H139&lt;N139,DATE(2026,11,18)+(G139+H139-J139*34)/(J139*L139),"after Nov 30")))</f>
        <v/>
      </c>
      <c r="R139" s="54">
        <f>IF(AND(G139&lt;=0,J139&gt;0),"Out of stock now",IF(G139&gt;=N139,"Covered to Nov 30",IF(G139+H139&gt;=N139,"Needs inbound in time","Short even with inbound")))</f>
        <v/>
      </c>
      <c r="S139" s="57" t="n">
        <v>0.464</v>
      </c>
      <c r="T139" s="59">
        <f>IF(S139="","",S139*34+S139*L139*12)</f>
        <v/>
      </c>
    </row>
    <row r="140">
      <c r="A140" s="54" t="inlineStr">
        <is>
          <t>CA DC B4</t>
        </is>
      </c>
      <c r="B140" s="54" t="inlineStr">
        <is>
          <t>CA</t>
        </is>
      </c>
      <c r="C140" s="54" t="inlineStr">
        <is>
          <t>B08KQJ62YC</t>
        </is>
      </c>
      <c r="D140" s="54" t="inlineStr">
        <is>
          <t>BAMBOO-KING-CREME</t>
        </is>
      </c>
      <c r="E140" s="54" t="inlineStr">
        <is>
          <t>King</t>
        </is>
      </c>
      <c r="F140" s="54" t="inlineStr">
        <is>
          <t>Creme</t>
        </is>
      </c>
      <c r="G140" s="55" t="n">
        <v>20</v>
      </c>
      <c r="H140" s="55" t="n">
        <v>102</v>
      </c>
      <c r="I140" s="56" t="inlineStr">
        <is>
          <t>FBA19LP4SKXM in transit: 42</t>
        </is>
      </c>
      <c r="J140" s="57" t="n">
        <v>0.45</v>
      </c>
      <c r="K140" s="56" t="inlineStr">
        <is>
          <t>account data velocity</t>
        </is>
      </c>
      <c r="L140" s="58" t="n">
        <v>3.0782</v>
      </c>
      <c r="M140" s="56" t="inlineStr">
        <is>
          <t>own BFCM 2025 lift (account data)</t>
        </is>
      </c>
      <c r="N140" s="59">
        <f>J140*34+J140*L140*12</f>
        <v/>
      </c>
      <c r="O140" s="59">
        <f>MAX(0,N140-G140-H140)</f>
        <v/>
      </c>
      <c r="P140" s="60">
        <f>IF(J140=0,"",IF(G140&lt;J140*34,DATE(2026,10,15)+G140/J140,IF(G140&lt;N140,DATE(2026,11,18)+(G140-J140*34)/(J140*L140),"after Nov 30")))</f>
        <v/>
      </c>
      <c r="Q140" s="60">
        <f>IF(J140=0,"",IF(G140+H140&lt;J140*34,DATE(2026,10,15)+(G140+H140)/J140,IF(G140+H140&lt;N140,DATE(2026,11,18)+(G140+H140-J140*34)/(J140*L140),"after Nov 30")))</f>
        <v/>
      </c>
      <c r="R140" s="54">
        <f>IF(AND(G140&lt;=0,J140&gt;0),"Out of stock now",IF(G140&gt;=N140,"Covered to Nov 30",IF(G140+H140&gt;=N140,"Needs inbound in time","Short even with inbound")))</f>
        <v/>
      </c>
      <c r="S140" s="57" t="n">
        <v>0.429</v>
      </c>
      <c r="T140" s="59">
        <f>IF(S140="","",S140*34+S140*L140*12)</f>
        <v/>
      </c>
    </row>
    <row r="141">
      <c r="A141" s="54" t="inlineStr">
        <is>
          <t>CA DC B4</t>
        </is>
      </c>
      <c r="B141" s="54" t="inlineStr">
        <is>
          <t>CA</t>
        </is>
      </c>
      <c r="C141" s="54" t="inlineStr">
        <is>
          <t>B08KQK91X7</t>
        </is>
      </c>
      <c r="D141" s="54" t="inlineStr">
        <is>
          <t>BAMBOO-QUEEN-CREME</t>
        </is>
      </c>
      <c r="E141" s="54" t="inlineStr">
        <is>
          <t>Queen</t>
        </is>
      </c>
      <c r="F141" s="54" t="inlineStr">
        <is>
          <t>Creme</t>
        </is>
      </c>
      <c r="G141" s="55" t="n">
        <v>121</v>
      </c>
      <c r="H141" s="55" t="n">
        <v>42</v>
      </c>
      <c r="I141" s="56" t="n"/>
      <c r="J141" s="57" t="n">
        <v>0.45</v>
      </c>
      <c r="K141" s="56" t="inlineStr">
        <is>
          <t>account data velocity</t>
        </is>
      </c>
      <c r="L141" s="58" t="n">
        <v>3.0782</v>
      </c>
      <c r="M141" s="56" t="inlineStr">
        <is>
          <t>own BFCM 2025 lift (account data)</t>
        </is>
      </c>
      <c r="N141" s="59">
        <f>J141*34+J141*L141*12</f>
        <v/>
      </c>
      <c r="O141" s="59">
        <f>MAX(0,N141-G141-H141)</f>
        <v/>
      </c>
      <c r="P141" s="60">
        <f>IF(J141=0,"",IF(G141&lt;J141*34,DATE(2026,10,15)+G141/J141,IF(G141&lt;N141,DATE(2026,11,18)+(G141-J141*34)/(J141*L141),"after Nov 30")))</f>
        <v/>
      </c>
      <c r="Q141" s="60">
        <f>IF(J141=0,"",IF(G141+H141&lt;J141*34,DATE(2026,10,15)+(G141+H141)/J141,IF(G141+H141&lt;N141,DATE(2026,11,18)+(G141+H141-J141*34)/(J141*L141),"after Nov 30")))</f>
        <v/>
      </c>
      <c r="R141" s="54">
        <f>IF(AND(G141&lt;=0,J141&gt;0),"Out of stock now",IF(G141&gt;=N141,"Covered to Nov 30",IF(G141+H141&gt;=N141,"Needs inbound in time","Short even with inbound")))</f>
        <v/>
      </c>
      <c r="S141" s="57" t="n">
        <v>0.286</v>
      </c>
      <c r="T141" s="59">
        <f>IF(S141="","",S141*34+S141*L141*12)</f>
        <v/>
      </c>
    </row>
    <row r="142">
      <c r="A142" s="54" t="inlineStr">
        <is>
          <t>CA DC B4</t>
        </is>
      </c>
      <c r="B142" s="54" t="inlineStr">
        <is>
          <t>CA</t>
        </is>
      </c>
      <c r="C142" s="54" t="inlineStr">
        <is>
          <t>B0BZPYZ1XY</t>
        </is>
      </c>
      <c r="D142" s="54" t="inlineStr">
        <is>
          <t>BAMBOO-FULL-BLACK</t>
        </is>
      </c>
      <c r="E142" s="54" t="inlineStr">
        <is>
          <t>Full</t>
        </is>
      </c>
      <c r="F142" s="54" t="inlineStr">
        <is>
          <t>Black</t>
        </is>
      </c>
      <c r="G142" s="55" t="n">
        <v>1</v>
      </c>
      <c r="H142" s="55" t="n">
        <v>84</v>
      </c>
      <c r="I142" s="56" t="inlineStr">
        <is>
          <t>FBA19LP4SKXM in transit: 72</t>
        </is>
      </c>
      <c r="J142" s="57" t="n">
        <v>0.44</v>
      </c>
      <c r="K142" s="56" t="inlineStr">
        <is>
          <t>account data velocity</t>
        </is>
      </c>
      <c r="L142" s="58" t="n">
        <v>3.0782</v>
      </c>
      <c r="M142" s="56" t="inlineStr">
        <is>
          <t>own BFCM 2025 lift (account data)</t>
        </is>
      </c>
      <c r="N142" s="59">
        <f>J142*34+J142*L142*12</f>
        <v/>
      </c>
      <c r="O142" s="59">
        <f>MAX(0,N142-G142-H142)</f>
        <v/>
      </c>
      <c r="P142" s="60">
        <f>IF(J142=0,"",IF(G142&lt;J142*34,DATE(2026,10,15)+G142/J142,IF(G142&lt;N142,DATE(2026,11,18)+(G142-J142*34)/(J142*L142),"after Nov 30")))</f>
        <v/>
      </c>
      <c r="Q142" s="60">
        <f>IF(J142=0,"",IF(G142+H142&lt;J142*34,DATE(2026,10,15)+(G142+H142)/J142,IF(G142+H142&lt;N142,DATE(2026,11,18)+(G142+H142-J142*34)/(J142*L142),"after Nov 30")))</f>
        <v/>
      </c>
      <c r="R142" s="54">
        <f>IF(AND(G142&lt;=0,J142&gt;0),"Out of stock now",IF(G142&gt;=N142,"Covered to Nov 30",IF(G142+H142&gt;=N142,"Needs inbound in time","Short even with inbound")))</f>
        <v/>
      </c>
      <c r="S142" s="57" t="n">
        <v>0.536</v>
      </c>
      <c r="T142" s="59">
        <f>IF(S142="","",S142*34+S142*L142*12)</f>
        <v/>
      </c>
    </row>
    <row r="143">
      <c r="A143" s="54" t="inlineStr">
        <is>
          <t>CA DC B4</t>
        </is>
      </c>
      <c r="B143" s="54" t="inlineStr">
        <is>
          <t>CA</t>
        </is>
      </c>
      <c r="C143" s="54" t="inlineStr">
        <is>
          <t>B08KQJRL41</t>
        </is>
      </c>
      <c r="D143" s="54" t="inlineStr">
        <is>
          <t>BAMBOO-TWIN-NAVYBLUE</t>
        </is>
      </c>
      <c r="E143" s="54" t="inlineStr">
        <is>
          <t>Twin</t>
        </is>
      </c>
      <c r="F143" s="54" t="inlineStr">
        <is>
          <t>Navy Blue</t>
        </is>
      </c>
      <c r="G143" s="55" t="n">
        <v>37</v>
      </c>
      <c r="H143" s="55" t="n">
        <v>0</v>
      </c>
      <c r="I143" s="56" t="n"/>
      <c r="J143" s="57" t="n">
        <v>0.4</v>
      </c>
      <c r="K143" s="56" t="inlineStr">
        <is>
          <t>account data velocity</t>
        </is>
      </c>
      <c r="L143" s="58" t="n">
        <v>3.0782</v>
      </c>
      <c r="M143" s="56" t="inlineStr">
        <is>
          <t>own BFCM 2025 lift (account data)</t>
        </is>
      </c>
      <c r="N143" s="59">
        <f>J143*34+J143*L143*12</f>
        <v/>
      </c>
      <c r="O143" s="59">
        <f>MAX(0,N143-G143-H143)</f>
        <v/>
      </c>
      <c r="P143" s="60">
        <f>IF(J143=0,"",IF(G143&lt;J143*34,DATE(2026,10,15)+G143/J143,IF(G143&lt;N143,DATE(2026,11,18)+(G143-J143*34)/(J143*L143),"after Nov 30")))</f>
        <v/>
      </c>
      <c r="Q143" s="60">
        <f>IF(J143=0,"",IF(G143+H143&lt;J143*34,DATE(2026,10,15)+(G143+H143)/J143,IF(G143+H143&lt;N143,DATE(2026,11,18)+(G143+H143-J143*34)/(J143*L143),"after Nov 30")))</f>
        <v/>
      </c>
      <c r="R143" s="54">
        <f>IF(AND(G143&lt;=0,J143&gt;0),"Out of stock now",IF(G143&gt;=N143,"Covered to Nov 30",IF(G143+H143&gt;=N143,"Needs inbound in time","Short even with inbound")))</f>
        <v/>
      </c>
      <c r="S143" s="57" t="n">
        <v>0.357</v>
      </c>
      <c r="T143" s="59">
        <f>IF(S143="","",S143*34+S143*L143*12)</f>
        <v/>
      </c>
    </row>
    <row r="144">
      <c r="A144" s="54" t="inlineStr">
        <is>
          <t>CA DC B4</t>
        </is>
      </c>
      <c r="B144" s="54" t="inlineStr">
        <is>
          <t>CA</t>
        </is>
      </c>
      <c r="C144" s="54" t="inlineStr">
        <is>
          <t>B0CLK9QXX3</t>
        </is>
      </c>
      <c r="D144" s="54" t="inlineStr">
        <is>
          <t>BAMBOO-KING-LIGHT PINK</t>
        </is>
      </c>
      <c r="E144" s="54" t="inlineStr">
        <is>
          <t>King</t>
        </is>
      </c>
      <c r="F144" s="54" t="inlineStr">
        <is>
          <t>Light Pink</t>
        </is>
      </c>
      <c r="G144" s="55" t="n">
        <v>13</v>
      </c>
      <c r="H144" s="55" t="n">
        <v>66</v>
      </c>
      <c r="I144" s="56" t="inlineStr">
        <is>
          <t>FBA19QLVD3FK shipped: 42</t>
        </is>
      </c>
      <c r="J144" s="57" t="n">
        <v>0.4</v>
      </c>
      <c r="K144" s="56" t="inlineStr">
        <is>
          <t>account data velocity</t>
        </is>
      </c>
      <c r="L144" s="58" t="n">
        <v>3.0782</v>
      </c>
      <c r="M144" s="56" t="inlineStr">
        <is>
          <t>own BFCM 2025 lift (account data)</t>
        </is>
      </c>
      <c r="N144" s="59">
        <f>J144*34+J144*L144*12</f>
        <v/>
      </c>
      <c r="O144" s="59">
        <f>MAX(0,N144-G144-H144)</f>
        <v/>
      </c>
      <c r="P144" s="60">
        <f>IF(J144=0,"",IF(G144&lt;J144*34,DATE(2026,10,15)+G144/J144,IF(G144&lt;N144,DATE(2026,11,18)+(G144-J144*34)/(J144*L144),"after Nov 30")))</f>
        <v/>
      </c>
      <c r="Q144" s="60">
        <f>IF(J144=0,"",IF(G144+H144&lt;J144*34,DATE(2026,10,15)+(G144+H144)/J144,IF(G144+H144&lt;N144,DATE(2026,11,18)+(G144+H144-J144*34)/(J144*L144),"after Nov 30")))</f>
        <v/>
      </c>
      <c r="R144" s="54">
        <f>IF(AND(G144&lt;=0,J144&gt;0),"Out of stock now",IF(G144&gt;=N144,"Covered to Nov 30",IF(G144+H144&gt;=N144,"Needs inbound in time","Short even with inbound")))</f>
        <v/>
      </c>
      <c r="S144" s="57" t="n">
        <v>0.321</v>
      </c>
      <c r="T144" s="59">
        <f>IF(S144="","",S144*34+S144*L144*12)</f>
        <v/>
      </c>
    </row>
    <row r="145">
      <c r="A145" s="54" t="inlineStr">
        <is>
          <t>CA DC B4</t>
        </is>
      </c>
      <c r="B145" s="54" t="inlineStr">
        <is>
          <t>CA</t>
        </is>
      </c>
      <c r="C145" s="54" t="inlineStr">
        <is>
          <t>B0BZQ1FBJ9</t>
        </is>
      </c>
      <c r="D145" s="54" t="inlineStr">
        <is>
          <t>BAMBOO-QUEEN-BLACK</t>
        </is>
      </c>
      <c r="E145" s="54" t="inlineStr">
        <is>
          <t>Queen</t>
        </is>
      </c>
      <c r="F145" s="54" t="inlineStr">
        <is>
          <t>Black</t>
        </is>
      </c>
      <c r="G145" s="55" t="n">
        <v>0</v>
      </c>
      <c r="H145" s="55" t="n">
        <v>48</v>
      </c>
      <c r="I145" s="56" t="inlineStr">
        <is>
          <t>FBA19QLVD3FK shipped: 24</t>
        </is>
      </c>
      <c r="J145" s="57" t="n">
        <v>0.37</v>
      </c>
      <c r="K145" s="56" t="inlineStr">
        <is>
          <t>account data velocity</t>
        </is>
      </c>
      <c r="L145" s="58" t="n">
        <v>3.0782</v>
      </c>
      <c r="M145" s="56" t="inlineStr">
        <is>
          <t>own BFCM 2025 lift (account data)</t>
        </is>
      </c>
      <c r="N145" s="59">
        <f>J145*34+J145*L145*12</f>
        <v/>
      </c>
      <c r="O145" s="59">
        <f>MAX(0,N145-G145-H145)</f>
        <v/>
      </c>
      <c r="P145" s="60">
        <f>IF(J145=0,"",IF(G145&lt;J145*34,DATE(2026,10,15)+G145/J145,IF(G145&lt;N145,DATE(2026,11,18)+(G145-J145*34)/(J145*L145),"after Nov 30")))</f>
        <v/>
      </c>
      <c r="Q145" s="60">
        <f>IF(J145=0,"",IF(G145+H145&lt;J145*34,DATE(2026,10,15)+(G145+H145)/J145,IF(G145+H145&lt;N145,DATE(2026,11,18)+(G145+H145-J145*34)/(J145*L145),"after Nov 30")))</f>
        <v/>
      </c>
      <c r="R145" s="54">
        <f>IF(AND(G145&lt;=0,J145&gt;0),"Out of stock now",IF(G145&gt;=N145,"Covered to Nov 30",IF(G145+H145&gt;=N145,"Needs inbound in time","Short even with inbound")))</f>
        <v/>
      </c>
      <c r="S145" s="57" t="n">
        <v>0.179</v>
      </c>
      <c r="T145" s="59">
        <f>IF(S145="","",S145*34+S145*L145*12)</f>
        <v/>
      </c>
    </row>
    <row r="146">
      <c r="A146" s="54" t="inlineStr">
        <is>
          <t>CA DC B4</t>
        </is>
      </c>
      <c r="B146" s="54" t="inlineStr">
        <is>
          <t>CA</t>
        </is>
      </c>
      <c r="C146" s="54" t="inlineStr">
        <is>
          <t>B0CLKFLJMZ</t>
        </is>
      </c>
      <c r="D146" s="54" t="inlineStr">
        <is>
          <t>BAMBOO-FULL-SAGE GREEN</t>
        </is>
      </c>
      <c r="E146" s="54" t="inlineStr">
        <is>
          <t>Full</t>
        </is>
      </c>
      <c r="F146" s="54" t="inlineStr">
        <is>
          <t>Sage Green</t>
        </is>
      </c>
      <c r="G146" s="55" t="n">
        <v>3</v>
      </c>
      <c r="H146" s="55" t="n">
        <v>12</v>
      </c>
      <c r="I146" s="56" t="inlineStr">
        <is>
          <t>FBA19QLVD3FK shipped: 12</t>
        </is>
      </c>
      <c r="J146" s="57" t="n">
        <v>0.36</v>
      </c>
      <c r="K146" s="56" t="inlineStr">
        <is>
          <t>account data velocity</t>
        </is>
      </c>
      <c r="L146" s="58" t="n">
        <v>3.0782</v>
      </c>
      <c r="M146" s="56" t="inlineStr">
        <is>
          <t>own BFCM 2025 lift (account data)</t>
        </is>
      </c>
      <c r="N146" s="59">
        <f>J146*34+J146*L146*12</f>
        <v/>
      </c>
      <c r="O146" s="59">
        <f>MAX(0,N146-G146-H146)</f>
        <v/>
      </c>
      <c r="P146" s="60">
        <f>IF(J146=0,"",IF(G146&lt;J146*34,DATE(2026,10,15)+G146/J146,IF(G146&lt;N146,DATE(2026,11,18)+(G146-J146*34)/(J146*L146),"after Nov 30")))</f>
        <v/>
      </c>
      <c r="Q146" s="60">
        <f>IF(J146=0,"",IF(G146+H146&lt;J146*34,DATE(2026,10,15)+(G146+H146)/J146,IF(G146+H146&lt;N146,DATE(2026,11,18)+(G146+H146-J146*34)/(J146*L146),"after Nov 30")))</f>
        <v/>
      </c>
      <c r="R146" s="54">
        <f>IF(AND(G146&lt;=0,J146&gt;0),"Out of stock now",IF(G146&gt;=N146,"Covered to Nov 30",IF(G146+H146&gt;=N146,"Needs inbound in time","Short even with inbound")))</f>
        <v/>
      </c>
      <c r="S146" s="57" t="n">
        <v>0.286</v>
      </c>
      <c r="T146" s="59">
        <f>IF(S146="","",S146*34+S146*L146*12)</f>
        <v/>
      </c>
    </row>
    <row r="147">
      <c r="A147" s="54" t="inlineStr">
        <is>
          <t>CA DC B4</t>
        </is>
      </c>
      <c r="B147" s="54" t="inlineStr">
        <is>
          <t>CA</t>
        </is>
      </c>
      <c r="C147" s="54" t="inlineStr">
        <is>
          <t>B0BZQ3ZGNG</t>
        </is>
      </c>
      <c r="D147" s="54" t="inlineStr">
        <is>
          <t>BAMBOO-QUEEN-PURPLE</t>
        </is>
      </c>
      <c r="E147" s="54" t="inlineStr">
        <is>
          <t>Queen</t>
        </is>
      </c>
      <c r="F147" s="54" t="inlineStr">
        <is>
          <t>Purple</t>
        </is>
      </c>
      <c r="G147" s="55" t="n">
        <v>48</v>
      </c>
      <c r="H147" s="55" t="n">
        <v>30</v>
      </c>
      <c r="I147" s="56" t="n"/>
      <c r="J147" s="57" t="n">
        <v>0.31</v>
      </c>
      <c r="K147" s="56" t="inlineStr">
        <is>
          <t>account data velocity</t>
        </is>
      </c>
      <c r="L147" s="58" t="n">
        <v>3.0782</v>
      </c>
      <c r="M147" s="56" t="inlineStr">
        <is>
          <t>own BFCM 2025 lift (account data)</t>
        </is>
      </c>
      <c r="N147" s="59">
        <f>J147*34+J147*L147*12</f>
        <v/>
      </c>
      <c r="O147" s="59">
        <f>MAX(0,N147-G147-H147)</f>
        <v/>
      </c>
      <c r="P147" s="60">
        <f>IF(J147=0,"",IF(G147&lt;J147*34,DATE(2026,10,15)+G147/J147,IF(G147&lt;N147,DATE(2026,11,18)+(G147-J147*34)/(J147*L147),"after Nov 30")))</f>
        <v/>
      </c>
      <c r="Q147" s="60">
        <f>IF(J147=0,"",IF(G147+H147&lt;J147*34,DATE(2026,10,15)+(G147+H147)/J147,IF(G147+H147&lt;N147,DATE(2026,11,18)+(G147+H147-J147*34)/(J147*L147),"after Nov 30")))</f>
        <v/>
      </c>
      <c r="R147" s="54">
        <f>IF(AND(G147&lt;=0,J147&gt;0),"Out of stock now",IF(G147&gt;=N147,"Covered to Nov 30",IF(G147+H147&gt;=N147,"Needs inbound in time","Short even with inbound")))</f>
        <v/>
      </c>
      <c r="S147" s="57" t="n">
        <v>0.393</v>
      </c>
      <c r="T147" s="59">
        <f>IF(S147="","",S147*34+S147*L147*12)</f>
        <v/>
      </c>
    </row>
    <row r="148">
      <c r="A148" s="54" t="inlineStr">
        <is>
          <t>CA DC B4</t>
        </is>
      </c>
      <c r="B148" s="54" t="inlineStr">
        <is>
          <t>CA</t>
        </is>
      </c>
      <c r="C148" s="54" t="inlineStr">
        <is>
          <t>B0CLKCT674</t>
        </is>
      </c>
      <c r="D148" s="54" t="inlineStr">
        <is>
          <t>BAMBOO-QUEEN-LIGHT PINK</t>
        </is>
      </c>
      <c r="E148" s="54" t="inlineStr">
        <is>
          <t>Queen</t>
        </is>
      </c>
      <c r="F148" s="54" t="inlineStr">
        <is>
          <t>Light Pink</t>
        </is>
      </c>
      <c r="G148" s="55" t="n">
        <v>5</v>
      </c>
      <c r="H148" s="55" t="n">
        <v>54</v>
      </c>
      <c r="I148" s="56" t="inlineStr">
        <is>
          <t>FBA19RSBKFGZ shipped: 36; FBA19QLVD3FK shipped: 6</t>
        </is>
      </c>
      <c r="J148" s="57" t="n">
        <v>0.3</v>
      </c>
      <c r="K148" s="56" t="inlineStr">
        <is>
          <t>account data velocity</t>
        </is>
      </c>
      <c r="L148" s="58" t="n">
        <v>3.0782</v>
      </c>
      <c r="M148" s="56" t="inlineStr">
        <is>
          <t>own BFCM 2025 lift (account data)</t>
        </is>
      </c>
      <c r="N148" s="59">
        <f>J148*34+J148*L148*12</f>
        <v/>
      </c>
      <c r="O148" s="59">
        <f>MAX(0,N148-G148-H148)</f>
        <v/>
      </c>
      <c r="P148" s="60">
        <f>IF(J148=0,"",IF(G148&lt;J148*34,DATE(2026,10,15)+G148/J148,IF(G148&lt;N148,DATE(2026,11,18)+(G148-J148*34)/(J148*L148),"after Nov 30")))</f>
        <v/>
      </c>
      <c r="Q148" s="60">
        <f>IF(J148=0,"",IF(G148+H148&lt;J148*34,DATE(2026,10,15)+(G148+H148)/J148,IF(G148+H148&lt;N148,DATE(2026,11,18)+(G148+H148-J148*34)/(J148*L148),"after Nov 30")))</f>
        <v/>
      </c>
      <c r="R148" s="54">
        <f>IF(AND(G148&lt;=0,J148&gt;0),"Out of stock now",IF(G148&gt;=N148,"Covered to Nov 30",IF(G148+H148&gt;=N148,"Needs inbound in time","Short even with inbound")))</f>
        <v/>
      </c>
      <c r="S148" s="57" t="n">
        <v>0.286</v>
      </c>
      <c r="T148" s="59">
        <f>IF(S148="","",S148*34+S148*L148*12)</f>
        <v/>
      </c>
    </row>
    <row r="149">
      <c r="A149" s="54" t="inlineStr">
        <is>
          <t>CA DC B4</t>
        </is>
      </c>
      <c r="B149" s="54" t="inlineStr">
        <is>
          <t>CA</t>
        </is>
      </c>
      <c r="C149" s="54" t="inlineStr">
        <is>
          <t>B0BZPZPGDC</t>
        </is>
      </c>
      <c r="D149" s="54" t="inlineStr">
        <is>
          <t>BAMBOO-FULL-LIGHTOLIVE</t>
        </is>
      </c>
      <c r="E149" s="54" t="inlineStr">
        <is>
          <t>Full</t>
        </is>
      </c>
      <c r="F149" s="54" t="inlineStr">
        <is>
          <t>Light Olive</t>
        </is>
      </c>
      <c r="G149" s="55" t="n">
        <v>43</v>
      </c>
      <c r="H149" s="55" t="n">
        <v>36</v>
      </c>
      <c r="I149" s="56" t="n"/>
      <c r="J149" s="57" t="n">
        <v>0.29</v>
      </c>
      <c r="K149" s="56" t="inlineStr">
        <is>
          <t>account data velocity</t>
        </is>
      </c>
      <c r="L149" s="58" t="n">
        <v>3.0782</v>
      </c>
      <c r="M149" s="56" t="inlineStr">
        <is>
          <t>own BFCM 2025 lift (account data)</t>
        </is>
      </c>
      <c r="N149" s="59">
        <f>J149*34+J149*L149*12</f>
        <v/>
      </c>
      <c r="O149" s="59">
        <f>MAX(0,N149-G149-H149)</f>
        <v/>
      </c>
      <c r="P149" s="60">
        <f>IF(J149=0,"",IF(G149&lt;J149*34,DATE(2026,10,15)+G149/J149,IF(G149&lt;N149,DATE(2026,11,18)+(G149-J149*34)/(J149*L149),"after Nov 30")))</f>
        <v/>
      </c>
      <c r="Q149" s="60">
        <f>IF(J149=0,"",IF(G149+H149&lt;J149*34,DATE(2026,10,15)+(G149+H149)/J149,IF(G149+H149&lt;N149,DATE(2026,11,18)+(G149+H149-J149*34)/(J149*L149),"after Nov 30")))</f>
        <v/>
      </c>
      <c r="R149" s="54">
        <f>IF(AND(G149&lt;=0,J149&gt;0),"Out of stock now",IF(G149&gt;=N149,"Covered to Nov 30",IF(G149+H149&gt;=N149,"Needs inbound in time","Short even with inbound")))</f>
        <v/>
      </c>
      <c r="S149" s="57" t="n">
        <v>0.286</v>
      </c>
      <c r="T149" s="59">
        <f>IF(S149="","",S149*34+S149*L149*12)</f>
        <v/>
      </c>
    </row>
    <row r="150">
      <c r="A150" s="54" t="inlineStr">
        <is>
          <t>CA DC B4</t>
        </is>
      </c>
      <c r="B150" s="54" t="inlineStr">
        <is>
          <t>CA</t>
        </is>
      </c>
      <c r="C150" s="54" t="inlineStr">
        <is>
          <t>B08KQ5VVRV</t>
        </is>
      </c>
      <c r="D150" s="54" t="inlineStr">
        <is>
          <t>BAMBOO-QUEEN-GREY</t>
        </is>
      </c>
      <c r="E150" s="54" t="inlineStr">
        <is>
          <t>Queen</t>
        </is>
      </c>
      <c r="F150" s="54" t="inlineStr">
        <is>
          <t>Grey</t>
        </is>
      </c>
      <c r="G150" s="55" t="n">
        <v>9</v>
      </c>
      <c r="H150" s="55" t="n">
        <v>144</v>
      </c>
      <c r="I150" s="56" t="inlineStr">
        <is>
          <t>FBA19RSBKFGZ shipped: 42; FBA19QLVD3FK shipped: 54</t>
        </is>
      </c>
      <c r="J150" s="57" t="n">
        <v>0.28</v>
      </c>
      <c r="K150" s="56" t="inlineStr">
        <is>
          <t>account data velocity</t>
        </is>
      </c>
      <c r="L150" s="58" t="n">
        <v>3.0782</v>
      </c>
      <c r="M150" s="56" t="inlineStr">
        <is>
          <t>own BFCM 2025 lift (account data)</t>
        </is>
      </c>
      <c r="N150" s="59">
        <f>J150*34+J150*L150*12</f>
        <v/>
      </c>
      <c r="O150" s="59">
        <f>MAX(0,N150-G150-H150)</f>
        <v/>
      </c>
      <c r="P150" s="60">
        <f>IF(J150=0,"",IF(G150&lt;J150*34,DATE(2026,10,15)+G150/J150,IF(G150&lt;N150,DATE(2026,11,18)+(G150-J150*34)/(J150*L150),"after Nov 30")))</f>
        <v/>
      </c>
      <c r="Q150" s="60">
        <f>IF(J150=0,"",IF(G150+H150&lt;J150*34,DATE(2026,10,15)+(G150+H150)/J150,IF(G150+H150&lt;N150,DATE(2026,11,18)+(G150+H150-J150*34)/(J150*L150),"after Nov 30")))</f>
        <v/>
      </c>
      <c r="R150" s="54">
        <f>IF(AND(G150&lt;=0,J150&gt;0),"Out of stock now",IF(G150&gt;=N150,"Covered to Nov 30",IF(G150+H150&gt;=N150,"Needs inbound in time","Short even with inbound")))</f>
        <v/>
      </c>
      <c r="S150" s="57" t="n">
        <v>0.25</v>
      </c>
      <c r="T150" s="59">
        <f>IF(S150="","",S150*34+S150*L150*12)</f>
        <v/>
      </c>
    </row>
    <row r="151">
      <c r="A151" s="54" t="inlineStr">
        <is>
          <t>CA DC B4</t>
        </is>
      </c>
      <c r="B151" s="54" t="inlineStr">
        <is>
          <t>CA</t>
        </is>
      </c>
      <c r="C151" s="54" t="inlineStr">
        <is>
          <t>B0BZPZP12L</t>
        </is>
      </c>
      <c r="D151" s="54" t="inlineStr">
        <is>
          <t>BAMBOO-KING-LIGHTOLIVE</t>
        </is>
      </c>
      <c r="E151" s="54" t="inlineStr">
        <is>
          <t>King</t>
        </is>
      </c>
      <c r="F151" s="54" t="inlineStr">
        <is>
          <t>Light Olive</t>
        </is>
      </c>
      <c r="G151" s="55" t="n">
        <v>0</v>
      </c>
      <c r="H151" s="55" t="n">
        <v>30</v>
      </c>
      <c r="I151" s="56" t="n"/>
      <c r="J151" s="57" t="n">
        <v>0.26</v>
      </c>
      <c r="K151" s="56" t="inlineStr">
        <is>
          <t>account data velocity</t>
        </is>
      </c>
      <c r="L151" s="58" t="n">
        <v>3.0782</v>
      </c>
      <c r="M151" s="56" t="inlineStr">
        <is>
          <t>own BFCM 2025 lift (account data)</t>
        </is>
      </c>
      <c r="N151" s="59">
        <f>J151*34+J151*L151*12</f>
        <v/>
      </c>
      <c r="O151" s="59">
        <f>MAX(0,N151-G151-H151)</f>
        <v/>
      </c>
      <c r="P151" s="60">
        <f>IF(J151=0,"",IF(G151&lt;J151*34,DATE(2026,10,15)+G151/J151,IF(G151&lt;N151,DATE(2026,11,18)+(G151-J151*34)/(J151*L151),"after Nov 30")))</f>
        <v/>
      </c>
      <c r="Q151" s="60">
        <f>IF(J151=0,"",IF(G151+H151&lt;J151*34,DATE(2026,10,15)+(G151+H151)/J151,IF(G151+H151&lt;N151,DATE(2026,11,18)+(G151+H151-J151*34)/(J151*L151),"after Nov 30")))</f>
        <v/>
      </c>
      <c r="R151" s="54">
        <f>IF(AND(G151&lt;=0,J151&gt;0),"Out of stock now",IF(G151&gt;=N151,"Covered to Nov 30",IF(G151+H151&gt;=N151,"Needs inbound in time","Short even with inbound")))</f>
        <v/>
      </c>
      <c r="S151" s="57" t="n">
        <v>0.179</v>
      </c>
      <c r="T151" s="59">
        <f>IF(S151="","",S151*34+S151*L151*12)</f>
        <v/>
      </c>
    </row>
    <row r="152">
      <c r="A152" s="54" t="inlineStr">
        <is>
          <t>CA DC B4</t>
        </is>
      </c>
      <c r="B152" s="54" t="inlineStr">
        <is>
          <t>CA</t>
        </is>
      </c>
      <c r="C152" s="54" t="inlineStr">
        <is>
          <t>B0CRHX3LKM</t>
        </is>
      </c>
      <c r="D152" s="54" t="inlineStr">
        <is>
          <t>BAMBOO-TWIN-BURGUNDY-NEW</t>
        </is>
      </c>
      <c r="E152" s="54" t="inlineStr">
        <is>
          <t>Twin</t>
        </is>
      </c>
      <c r="F152" s="54" t="inlineStr">
        <is>
          <t>Burgundy</t>
        </is>
      </c>
      <c r="G152" s="55" t="n">
        <v>7</v>
      </c>
      <c r="H152" s="55" t="n">
        <v>132</v>
      </c>
      <c r="I152" s="56" t="inlineStr">
        <is>
          <t>FBA19LP4SKXM in transit: 132</t>
        </is>
      </c>
      <c r="J152" s="57" t="n">
        <v>0.24</v>
      </c>
      <c r="K152" s="56" t="inlineStr">
        <is>
          <t>account data velocity</t>
        </is>
      </c>
      <c r="L152" s="58" t="n">
        <v>3.0782</v>
      </c>
      <c r="M152" s="56" t="inlineStr">
        <is>
          <t>own BFCM 2025 lift (account data)</t>
        </is>
      </c>
      <c r="N152" s="59">
        <f>J152*34+J152*L152*12</f>
        <v/>
      </c>
      <c r="O152" s="59">
        <f>MAX(0,N152-G152-H152)</f>
        <v/>
      </c>
      <c r="P152" s="60">
        <f>IF(J152=0,"",IF(G152&lt;J152*34,DATE(2026,10,15)+G152/J152,IF(G152&lt;N152,DATE(2026,11,18)+(G152-J152*34)/(J152*L152),"after Nov 30")))</f>
        <v/>
      </c>
      <c r="Q152" s="60">
        <f>IF(J152=0,"",IF(G152+H152&lt;J152*34,DATE(2026,10,15)+(G152+H152)/J152,IF(G152+H152&lt;N152,DATE(2026,11,18)+(G152+H152-J152*34)/(J152*L152),"after Nov 30")))</f>
        <v/>
      </c>
      <c r="R152" s="54">
        <f>IF(AND(G152&lt;=0,J152&gt;0),"Out of stock now",IF(G152&gt;=N152,"Covered to Nov 30",IF(G152+H152&gt;=N152,"Needs inbound in time","Short even with inbound")))</f>
        <v/>
      </c>
      <c r="S152" s="57" t="n">
        <v>0.107</v>
      </c>
      <c r="T152" s="59">
        <f>IF(S152="","",S152*34+S152*L152*12)</f>
        <v/>
      </c>
    </row>
    <row r="153">
      <c r="A153" s="54" t="inlineStr">
        <is>
          <t>CA DC B4</t>
        </is>
      </c>
      <c r="B153" s="54" t="inlineStr">
        <is>
          <t>CA</t>
        </is>
      </c>
      <c r="C153" s="54" t="inlineStr">
        <is>
          <t>B08KQJHKFJ</t>
        </is>
      </c>
      <c r="D153" s="54" t="inlineStr">
        <is>
          <t>BAMBOO-FULL-LIGHTGREY</t>
        </is>
      </c>
      <c r="E153" s="54" t="inlineStr">
        <is>
          <t>Full</t>
        </is>
      </c>
      <c r="F153" s="54" t="inlineStr">
        <is>
          <t>Light Grey</t>
        </is>
      </c>
      <c r="G153" s="55" t="n">
        <v>0</v>
      </c>
      <c r="H153" s="55" t="n">
        <v>0</v>
      </c>
      <c r="I153" s="56" t="n"/>
      <c r="J153" s="57" t="n">
        <v>0.24</v>
      </c>
      <c r="K153" s="56" t="inlineStr">
        <is>
          <t>account data velocity</t>
        </is>
      </c>
      <c r="L153" s="58" t="n">
        <v>3.0782</v>
      </c>
      <c r="M153" s="56" t="inlineStr">
        <is>
          <t>own BFCM 2025 lift (account data)</t>
        </is>
      </c>
      <c r="N153" s="59">
        <f>J153*34+J153*L153*12</f>
        <v/>
      </c>
      <c r="O153" s="59">
        <f>MAX(0,N153-G153-H153)</f>
        <v/>
      </c>
      <c r="P153" s="60">
        <f>IF(J153=0,"",IF(G153&lt;J153*34,DATE(2026,10,15)+G153/J153,IF(G153&lt;N153,DATE(2026,11,18)+(G153-J153*34)/(J153*L153),"after Nov 30")))</f>
        <v/>
      </c>
      <c r="Q153" s="60">
        <f>IF(J153=0,"",IF(G153+H153&lt;J153*34,DATE(2026,10,15)+(G153+H153)/J153,IF(G153+H153&lt;N153,DATE(2026,11,18)+(G153+H153-J153*34)/(J153*L153),"after Nov 30")))</f>
        <v/>
      </c>
      <c r="R153" s="54">
        <f>IF(AND(G153&lt;=0,J153&gt;0),"Out of stock now",IF(G153&gt;=N153,"Covered to Nov 30",IF(G153+H153&gt;=N153,"Needs inbound in time","Short even with inbound")))</f>
        <v/>
      </c>
      <c r="S153" s="57" t="n">
        <v>0.07099999999999999</v>
      </c>
      <c r="T153" s="59">
        <f>IF(S153="","",S153*34+S153*L153*12)</f>
        <v/>
      </c>
    </row>
    <row r="154">
      <c r="A154" s="54" t="inlineStr">
        <is>
          <t>CA DC B4</t>
        </is>
      </c>
      <c r="B154" s="54" t="inlineStr">
        <is>
          <t>CA</t>
        </is>
      </c>
      <c r="C154" s="54" t="inlineStr">
        <is>
          <t>B0BZPY4PXY</t>
        </is>
      </c>
      <c r="D154" s="54" t="inlineStr">
        <is>
          <t>BAMBOO-FULL-PURPLE</t>
        </is>
      </c>
      <c r="E154" s="54" t="inlineStr">
        <is>
          <t>Full</t>
        </is>
      </c>
      <c r="F154" s="54" t="inlineStr">
        <is>
          <t>Purple</t>
        </is>
      </c>
      <c r="G154" s="55" t="n">
        <v>14</v>
      </c>
      <c r="H154" s="55" t="n">
        <v>0</v>
      </c>
      <c r="I154" s="56" t="n"/>
      <c r="J154" s="57" t="n">
        <v>0.22</v>
      </c>
      <c r="K154" s="56" t="inlineStr">
        <is>
          <t>account data velocity</t>
        </is>
      </c>
      <c r="L154" s="58" t="n">
        <v>3.0782</v>
      </c>
      <c r="M154" s="56" t="inlineStr">
        <is>
          <t>own BFCM 2025 lift (account data)</t>
        </is>
      </c>
      <c r="N154" s="59">
        <f>J154*34+J154*L154*12</f>
        <v/>
      </c>
      <c r="O154" s="59">
        <f>MAX(0,N154-G154-H154)</f>
        <v/>
      </c>
      <c r="P154" s="60">
        <f>IF(J154=0,"",IF(G154&lt;J154*34,DATE(2026,10,15)+G154/J154,IF(G154&lt;N154,DATE(2026,11,18)+(G154-J154*34)/(J154*L154),"after Nov 30")))</f>
        <v/>
      </c>
      <c r="Q154" s="60">
        <f>IF(J154=0,"",IF(G154+H154&lt;J154*34,DATE(2026,10,15)+(G154+H154)/J154,IF(G154+H154&lt;N154,DATE(2026,11,18)+(G154+H154-J154*34)/(J154*L154),"after Nov 30")))</f>
        <v/>
      </c>
      <c r="R154" s="54">
        <f>IF(AND(G154&lt;=0,J154&gt;0),"Out of stock now",IF(G154&gt;=N154,"Covered to Nov 30",IF(G154+H154&gt;=N154,"Needs inbound in time","Short even with inbound")))</f>
        <v/>
      </c>
      <c r="S154" s="57" t="n">
        <v>0.286</v>
      </c>
      <c r="T154" s="59">
        <f>IF(S154="","",S154*34+S154*L154*12)</f>
        <v/>
      </c>
    </row>
    <row r="155">
      <c r="A155" s="54" t="inlineStr">
        <is>
          <t>CA DC B4</t>
        </is>
      </c>
      <c r="B155" s="54" t="inlineStr">
        <is>
          <t>CA</t>
        </is>
      </c>
      <c r="C155" s="54" t="inlineStr">
        <is>
          <t>B0CRHYYVZQ</t>
        </is>
      </c>
      <c r="D155" s="54" t="inlineStr">
        <is>
          <t>BAMBOO-KING-BURGUNDY-NEW</t>
        </is>
      </c>
      <c r="E155" s="54" t="inlineStr">
        <is>
          <t>King</t>
        </is>
      </c>
      <c r="F155" s="54" t="inlineStr">
        <is>
          <t>Burgundy</t>
        </is>
      </c>
      <c r="G155" s="55" t="n">
        <v>4</v>
      </c>
      <c r="H155" s="55" t="n">
        <v>48</v>
      </c>
      <c r="I155" s="56" t="inlineStr">
        <is>
          <t>FBA19QLVD3FK shipped: 48</t>
        </is>
      </c>
      <c r="J155" s="57" t="n">
        <v>0.22</v>
      </c>
      <c r="K155" s="56" t="inlineStr">
        <is>
          <t>account data velocity</t>
        </is>
      </c>
      <c r="L155" s="58" t="n">
        <v>3.0782</v>
      </c>
      <c r="M155" s="56" t="inlineStr">
        <is>
          <t>own BFCM 2025 lift (account data)</t>
        </is>
      </c>
      <c r="N155" s="59">
        <f>J155*34+J155*L155*12</f>
        <v/>
      </c>
      <c r="O155" s="59">
        <f>MAX(0,N155-G155-H155)</f>
        <v/>
      </c>
      <c r="P155" s="60">
        <f>IF(J155=0,"",IF(G155&lt;J155*34,DATE(2026,10,15)+G155/J155,IF(G155&lt;N155,DATE(2026,11,18)+(G155-J155*34)/(J155*L155),"after Nov 30")))</f>
        <v/>
      </c>
      <c r="Q155" s="60">
        <f>IF(J155=0,"",IF(G155+H155&lt;J155*34,DATE(2026,10,15)+(G155+H155)/J155,IF(G155+H155&lt;N155,DATE(2026,11,18)+(G155+H155-J155*34)/(J155*L155),"after Nov 30")))</f>
        <v/>
      </c>
      <c r="R155" s="54">
        <f>IF(AND(G155&lt;=0,J155&gt;0),"Out of stock now",IF(G155&gt;=N155,"Covered to Nov 30",IF(G155+H155&gt;=N155,"Needs inbound in time","Short even with inbound")))</f>
        <v/>
      </c>
      <c r="S155" s="57" t="n">
        <v>0.286</v>
      </c>
      <c r="T155" s="59">
        <f>IF(S155="","",S155*34+S155*L155*12)</f>
        <v/>
      </c>
    </row>
    <row r="156">
      <c r="A156" s="54" t="inlineStr">
        <is>
          <t>CA DC B4</t>
        </is>
      </c>
      <c r="B156" s="54" t="inlineStr">
        <is>
          <t>CA</t>
        </is>
      </c>
      <c r="C156" s="54" t="inlineStr">
        <is>
          <t>B0CRHYS5KT</t>
        </is>
      </c>
      <c r="D156" s="54" t="inlineStr">
        <is>
          <t>BAMBOO-FULL-BURGUNDY-NEW</t>
        </is>
      </c>
      <c r="E156" s="54" t="inlineStr">
        <is>
          <t>Full</t>
        </is>
      </c>
      <c r="F156" s="54" t="inlineStr">
        <is>
          <t>Burgundy</t>
        </is>
      </c>
      <c r="G156" s="55" t="n">
        <v>0</v>
      </c>
      <c r="H156" s="55" t="n">
        <v>12</v>
      </c>
      <c r="I156" s="56" t="inlineStr">
        <is>
          <t>FBA19QLVD3FK shipped: 12</t>
        </is>
      </c>
      <c r="J156" s="57" t="n">
        <v>0.2</v>
      </c>
      <c r="K156" s="56" t="inlineStr">
        <is>
          <t>account data velocity</t>
        </is>
      </c>
      <c r="L156" s="58" t="n">
        <v>3.0782</v>
      </c>
      <c r="M156" s="56" t="inlineStr">
        <is>
          <t>own BFCM 2025 lift (account data)</t>
        </is>
      </c>
      <c r="N156" s="59">
        <f>J156*34+J156*L156*12</f>
        <v/>
      </c>
      <c r="O156" s="59">
        <f>MAX(0,N156-G156-H156)</f>
        <v/>
      </c>
      <c r="P156" s="60">
        <f>IF(J156=0,"",IF(G156&lt;J156*34,DATE(2026,10,15)+G156/J156,IF(G156&lt;N156,DATE(2026,11,18)+(G156-J156*34)/(J156*L156),"after Nov 30")))</f>
        <v/>
      </c>
      <c r="Q156" s="60">
        <f>IF(J156=0,"",IF(G156+H156&lt;J156*34,DATE(2026,10,15)+(G156+H156)/J156,IF(G156+H156&lt;N156,DATE(2026,11,18)+(G156+H156-J156*34)/(J156*L156),"after Nov 30")))</f>
        <v/>
      </c>
      <c r="R156" s="54">
        <f>IF(AND(G156&lt;=0,J156&gt;0),"Out of stock now",IF(G156&gt;=N156,"Covered to Nov 30",IF(G156+H156&gt;=N156,"Needs inbound in time","Short even with inbound")))</f>
        <v/>
      </c>
      <c r="S156" s="57" t="n">
        <v>0.107</v>
      </c>
      <c r="T156" s="59">
        <f>IF(S156="","",S156*34+S156*L156*12)</f>
        <v/>
      </c>
    </row>
    <row r="157">
      <c r="A157" s="54" t="inlineStr">
        <is>
          <t>CA DC B4</t>
        </is>
      </c>
      <c r="B157" s="54" t="inlineStr">
        <is>
          <t>CA</t>
        </is>
      </c>
      <c r="C157" s="54" t="inlineStr">
        <is>
          <t>B0BZQ39BTX</t>
        </is>
      </c>
      <c r="D157" s="54" t="inlineStr">
        <is>
          <t>BAMBOO-TWIN-PURPLE</t>
        </is>
      </c>
      <c r="E157" s="54" t="inlineStr">
        <is>
          <t>Twin</t>
        </is>
      </c>
      <c r="F157" s="54" t="inlineStr">
        <is>
          <t>Purple</t>
        </is>
      </c>
      <c r="G157" s="55" t="n">
        <v>7</v>
      </c>
      <c r="H157" s="55" t="n">
        <v>6</v>
      </c>
      <c r="I157" s="56" t="n"/>
      <c r="J157" s="57" t="n">
        <v>0.19</v>
      </c>
      <c r="K157" s="56" t="inlineStr">
        <is>
          <t>account data velocity</t>
        </is>
      </c>
      <c r="L157" s="58" t="n">
        <v>3.0782</v>
      </c>
      <c r="M157" s="56" t="inlineStr">
        <is>
          <t>own BFCM 2025 lift (account data)</t>
        </is>
      </c>
      <c r="N157" s="59">
        <f>J157*34+J157*L157*12</f>
        <v/>
      </c>
      <c r="O157" s="59">
        <f>MAX(0,N157-G157-H157)</f>
        <v/>
      </c>
      <c r="P157" s="60">
        <f>IF(J157=0,"",IF(G157&lt;J157*34,DATE(2026,10,15)+G157/J157,IF(G157&lt;N157,DATE(2026,11,18)+(G157-J157*34)/(J157*L157),"after Nov 30")))</f>
        <v/>
      </c>
      <c r="Q157" s="60">
        <f>IF(J157=0,"",IF(G157+H157&lt;J157*34,DATE(2026,10,15)+(G157+H157)/J157,IF(G157+H157&lt;N157,DATE(2026,11,18)+(G157+H157-J157*34)/(J157*L157),"after Nov 30")))</f>
        <v/>
      </c>
      <c r="R157" s="54">
        <f>IF(AND(G157&lt;=0,J157&gt;0),"Out of stock now",IF(G157&gt;=N157,"Covered to Nov 30",IF(G157+H157&gt;=N157,"Needs inbound in time","Short even with inbound")))</f>
        <v/>
      </c>
      <c r="S157" s="57" t="n">
        <v>0.143</v>
      </c>
      <c r="T157" s="59">
        <f>IF(S157="","",S157*34+S157*L157*12)</f>
        <v/>
      </c>
    </row>
    <row r="158">
      <c r="A158" s="54" t="inlineStr">
        <is>
          <t>CA DC B4</t>
        </is>
      </c>
      <c r="B158" s="54" t="inlineStr">
        <is>
          <t>CA</t>
        </is>
      </c>
      <c r="C158" s="54" t="inlineStr">
        <is>
          <t>B0BZQ3XM7P</t>
        </is>
      </c>
      <c r="D158" s="54" t="inlineStr">
        <is>
          <t>BAMBOO-TWIN-LIGHTOLIVE</t>
        </is>
      </c>
      <c r="E158" s="54" t="inlineStr">
        <is>
          <t>Twin</t>
        </is>
      </c>
      <c r="F158" s="54" t="inlineStr">
        <is>
          <t>Light Olive</t>
        </is>
      </c>
      <c r="G158" s="55" t="n">
        <v>0</v>
      </c>
      <c r="H158" s="55" t="n">
        <v>42</v>
      </c>
      <c r="I158" s="56" t="n"/>
      <c r="J158" s="57" t="n">
        <v>0.18</v>
      </c>
      <c r="K158" s="56" t="inlineStr">
        <is>
          <t>account data velocity</t>
        </is>
      </c>
      <c r="L158" s="58" t="n">
        <v>3.0782</v>
      </c>
      <c r="M158" s="56" t="inlineStr">
        <is>
          <t>own BFCM 2025 lift (account data)</t>
        </is>
      </c>
      <c r="N158" s="59">
        <f>J158*34+J158*L158*12</f>
        <v/>
      </c>
      <c r="O158" s="59">
        <f>MAX(0,N158-G158-H158)</f>
        <v/>
      </c>
      <c r="P158" s="60">
        <f>IF(J158=0,"",IF(G158&lt;J158*34,DATE(2026,10,15)+G158/J158,IF(G158&lt;N158,DATE(2026,11,18)+(G158-J158*34)/(J158*L158),"after Nov 30")))</f>
        <v/>
      </c>
      <c r="Q158" s="60">
        <f>IF(J158=0,"",IF(G158+H158&lt;J158*34,DATE(2026,10,15)+(G158+H158)/J158,IF(G158+H158&lt;N158,DATE(2026,11,18)+(G158+H158-J158*34)/(J158*L158),"after Nov 30")))</f>
        <v/>
      </c>
      <c r="R158" s="54">
        <f>IF(AND(G158&lt;=0,J158&gt;0),"Out of stock now",IF(G158&gt;=N158,"Covered to Nov 30",IF(G158+H158&gt;=N158,"Needs inbound in time","Short even with inbound")))</f>
        <v/>
      </c>
      <c r="S158" s="57" t="n">
        <v>0.107</v>
      </c>
      <c r="T158" s="59">
        <f>IF(S158="","",S158*34+S158*L158*12)</f>
        <v/>
      </c>
    </row>
    <row r="159">
      <c r="A159" s="54" t="inlineStr">
        <is>
          <t>CA DC B4</t>
        </is>
      </c>
      <c r="B159" s="54" t="inlineStr">
        <is>
          <t>CA</t>
        </is>
      </c>
      <c r="C159" s="54" t="inlineStr">
        <is>
          <t>B0CRHZ1CK3</t>
        </is>
      </c>
      <c r="D159" s="54" t="inlineStr">
        <is>
          <t>BAMBOO-QUEEN-BURGUNDY-NEW</t>
        </is>
      </c>
      <c r="E159" s="54" t="inlineStr">
        <is>
          <t>Queen</t>
        </is>
      </c>
      <c r="F159" s="54" t="inlineStr">
        <is>
          <t>Burgundy</t>
        </is>
      </c>
      <c r="G159" s="55" t="n">
        <v>0</v>
      </c>
      <c r="H159" s="55" t="n">
        <v>0</v>
      </c>
      <c r="I159" s="56" t="n"/>
      <c r="J159" s="57" t="n">
        <v>0.107</v>
      </c>
      <c r="K159" s="56" t="inlineStr">
        <is>
          <t>units last 28 days / 28 (no account data velocity: out of stock)</t>
        </is>
      </c>
      <c r="L159" s="58" t="n">
        <v>3.0782</v>
      </c>
      <c r="M159" s="56" t="inlineStr">
        <is>
          <t>own BFCM 2025 lift (account data)</t>
        </is>
      </c>
      <c r="N159" s="59">
        <f>J159*34+J159*L159*12</f>
        <v/>
      </c>
      <c r="O159" s="59">
        <f>MAX(0,N159-G159-H159)</f>
        <v/>
      </c>
      <c r="P159" s="60">
        <f>IF(J159=0,"",IF(G159&lt;J159*34,DATE(2026,10,15)+G159/J159,IF(G159&lt;N159,DATE(2026,11,18)+(G159-J159*34)/(J159*L159),"after Nov 30")))</f>
        <v/>
      </c>
      <c r="Q159" s="60">
        <f>IF(J159=0,"",IF(G159+H159&lt;J159*34,DATE(2026,10,15)+(G159+H159)/J159,IF(G159+H159&lt;N159,DATE(2026,11,18)+(G159+H159-J159*34)/(J159*L159),"after Nov 30")))</f>
        <v/>
      </c>
      <c r="R159" s="54">
        <f>IF(AND(G159&lt;=0,J159&gt;0),"Out of stock now",IF(G159&gt;=N159,"Covered to Nov 30",IF(G159+H159&gt;=N159,"Needs inbound in time","Short even with inbound")))</f>
        <v/>
      </c>
      <c r="S159" s="57" t="n">
        <v>0.107</v>
      </c>
      <c r="T159" s="59">
        <f>IF(S159="","",S159*34+S159*L159*12)</f>
        <v/>
      </c>
    </row>
    <row r="160">
      <c r="A160" s="54" t="inlineStr">
        <is>
          <t>CA DC B4</t>
        </is>
      </c>
      <c r="B160" s="54" t="inlineStr">
        <is>
          <t>CA</t>
        </is>
      </c>
      <c r="C160" s="54" t="inlineStr">
        <is>
          <t>B0CLKBT95K</t>
        </is>
      </c>
      <c r="D160" s="54" t="inlineStr">
        <is>
          <t>BAMBOO-TWIN-SAGE GREEN</t>
        </is>
      </c>
      <c r="E160" s="54" t="inlineStr">
        <is>
          <t>Twin</t>
        </is>
      </c>
      <c r="F160" s="54" t="inlineStr">
        <is>
          <t>Sage Green</t>
        </is>
      </c>
      <c r="G160" s="55" t="n">
        <v>0</v>
      </c>
      <c r="H160" s="55" t="n">
        <v>0</v>
      </c>
      <c r="I160" s="56" t="inlineStr">
        <is>
          <t>FBA19QLVD3FK shipped: 12</t>
        </is>
      </c>
      <c r="J160" s="57" t="n">
        <v>0.1</v>
      </c>
      <c r="K160" s="56" t="inlineStr">
        <is>
          <t>account data velocity</t>
        </is>
      </c>
      <c r="L160" s="58" t="n">
        <v>3.0782</v>
      </c>
      <c r="M160" s="56" t="inlineStr">
        <is>
          <t>own BFCM 2025 lift (account data)</t>
        </is>
      </c>
      <c r="N160" s="59">
        <f>J160*34+J160*L160*12</f>
        <v/>
      </c>
      <c r="O160" s="59">
        <f>MAX(0,N160-G160-H160)</f>
        <v/>
      </c>
      <c r="P160" s="60">
        <f>IF(J160=0,"",IF(G160&lt;J160*34,DATE(2026,10,15)+G160/J160,IF(G160&lt;N160,DATE(2026,11,18)+(G160-J160*34)/(J160*L160),"after Nov 30")))</f>
        <v/>
      </c>
      <c r="Q160" s="60">
        <f>IF(J160=0,"",IF(G160+H160&lt;J160*34,DATE(2026,10,15)+(G160+H160)/J160,IF(G160+H160&lt;N160,DATE(2026,11,18)+(G160+H160-J160*34)/(J160*L160),"after Nov 30")))</f>
        <v/>
      </c>
      <c r="R160" s="54">
        <f>IF(AND(G160&lt;=0,J160&gt;0),"Out of stock now",IF(G160&gt;=N160,"Covered to Nov 30",IF(G160+H160&gt;=N160,"Needs inbound in time","Short even with inbound")))</f>
        <v/>
      </c>
      <c r="S160" s="57" t="n">
        <v>0.036</v>
      </c>
      <c r="T160" s="59">
        <f>IF(S160="","",S160*34+S160*L160*12)</f>
        <v/>
      </c>
    </row>
    <row r="161">
      <c r="A161" s="54" t="inlineStr">
        <is>
          <t>CA DC B4</t>
        </is>
      </c>
      <c r="B161" s="54" t="inlineStr">
        <is>
          <t>CA</t>
        </is>
      </c>
      <c r="C161" s="54" t="inlineStr">
        <is>
          <t>B08KQJTLZP</t>
        </is>
      </c>
      <c r="D161" s="54" t="inlineStr">
        <is>
          <t>BAMBOO-CALIFKING-TAUPE</t>
        </is>
      </c>
      <c r="E161" s="54" t="inlineStr">
        <is>
          <t>California King</t>
        </is>
      </c>
      <c r="F161" s="54" t="inlineStr">
        <is>
          <t>Taupe</t>
        </is>
      </c>
      <c r="G161" s="55" t="n">
        <v>8</v>
      </c>
      <c r="H161" s="55" t="n">
        <v>54</v>
      </c>
      <c r="I161" s="56" t="inlineStr">
        <is>
          <t>FBA19MV0YVFX shipped: 12; FBA19LP4SKXM in transit: 42</t>
        </is>
      </c>
      <c r="J161" s="57" t="n">
        <v>0.09</v>
      </c>
      <c r="K161" s="56" t="inlineStr">
        <is>
          <t>account data velocity</t>
        </is>
      </c>
      <c r="L161" s="58" t="n">
        <v>3.0782</v>
      </c>
      <c r="M161" s="56" t="inlineStr">
        <is>
          <t>own BFCM 2025 lift (account data)</t>
        </is>
      </c>
      <c r="N161" s="59">
        <f>J161*34+J161*L161*12</f>
        <v/>
      </c>
      <c r="O161" s="59">
        <f>MAX(0,N161-G161-H161)</f>
        <v/>
      </c>
      <c r="P161" s="60">
        <f>IF(J161=0,"",IF(G161&lt;J161*34,DATE(2026,10,15)+G161/J161,IF(G161&lt;N161,DATE(2026,11,18)+(G161-J161*34)/(J161*L161),"after Nov 30")))</f>
        <v/>
      </c>
      <c r="Q161" s="60">
        <f>IF(J161=0,"",IF(G161+H161&lt;J161*34,DATE(2026,10,15)+(G161+H161)/J161,IF(G161+H161&lt;N161,DATE(2026,11,18)+(G161+H161-J161*34)/(J161*L161),"after Nov 30")))</f>
        <v/>
      </c>
      <c r="R161" s="54">
        <f>IF(AND(G161&lt;=0,J161&gt;0),"Out of stock now",IF(G161&gt;=N161,"Covered to Nov 30",IF(G161+H161&gt;=N161,"Needs inbound in time","Short even with inbound")))</f>
        <v/>
      </c>
      <c r="S161" s="57" t="n">
        <v>0.179</v>
      </c>
      <c r="T161" s="59">
        <f>IF(S161="","",S161*34+S161*L161*12)</f>
        <v/>
      </c>
    </row>
    <row r="162">
      <c r="A162" s="54" t="inlineStr">
        <is>
          <t>CA DC B4</t>
        </is>
      </c>
      <c r="B162" s="54" t="inlineStr">
        <is>
          <t>CA</t>
        </is>
      </c>
      <c r="C162" s="54" t="inlineStr">
        <is>
          <t>B08KQKQ44M</t>
        </is>
      </c>
      <c r="D162" s="54" t="inlineStr">
        <is>
          <t>BAMBOO-CALIFKING-WHITE</t>
        </is>
      </c>
      <c r="E162" s="54" t="inlineStr">
        <is>
          <t>California King</t>
        </is>
      </c>
      <c r="F162" s="54" t="inlineStr">
        <is>
          <t>White</t>
        </is>
      </c>
      <c r="G162" s="55" t="n">
        <v>42</v>
      </c>
      <c r="H162" s="55" t="n">
        <v>18</v>
      </c>
      <c r="I162" s="56" t="inlineStr">
        <is>
          <t>FBA19LP4SKXM in transit: 18</t>
        </is>
      </c>
      <c r="J162" s="57" t="n">
        <v>0.09</v>
      </c>
      <c r="K162" s="56" t="inlineStr">
        <is>
          <t>account data velocity</t>
        </is>
      </c>
      <c r="L162" s="58" t="n">
        <v>3.0782</v>
      </c>
      <c r="M162" s="56" t="inlineStr">
        <is>
          <t>own BFCM 2025 lift (account data)</t>
        </is>
      </c>
      <c r="N162" s="59">
        <f>J162*34+J162*L162*12</f>
        <v/>
      </c>
      <c r="O162" s="59">
        <f>MAX(0,N162-G162-H162)</f>
        <v/>
      </c>
      <c r="P162" s="60">
        <f>IF(J162=0,"",IF(G162&lt;J162*34,DATE(2026,10,15)+G162/J162,IF(G162&lt;N162,DATE(2026,11,18)+(G162-J162*34)/(J162*L162),"after Nov 30")))</f>
        <v/>
      </c>
      <c r="Q162" s="60">
        <f>IF(J162=0,"",IF(G162+H162&lt;J162*34,DATE(2026,10,15)+(G162+H162)/J162,IF(G162+H162&lt;N162,DATE(2026,11,18)+(G162+H162-J162*34)/(J162*L162),"after Nov 30")))</f>
        <v/>
      </c>
      <c r="R162" s="54">
        <f>IF(AND(G162&lt;=0,J162&gt;0),"Out of stock now",IF(G162&gt;=N162,"Covered to Nov 30",IF(G162+H162&gt;=N162,"Needs inbound in time","Short even with inbound")))</f>
        <v/>
      </c>
      <c r="S162" s="57" t="n">
        <v>0.143</v>
      </c>
      <c r="T162" s="59">
        <f>IF(S162="","",S162*34+S162*L162*12)</f>
        <v/>
      </c>
    </row>
    <row r="163">
      <c r="A163" s="54" t="inlineStr">
        <is>
          <t>CA DC B4</t>
        </is>
      </c>
      <c r="B163" s="54" t="inlineStr">
        <is>
          <t>CA</t>
        </is>
      </c>
      <c r="C163" s="54" t="inlineStr">
        <is>
          <t>B08KQJP1K7</t>
        </is>
      </c>
      <c r="D163" s="54" t="inlineStr">
        <is>
          <t>BAMBOO-FULL-GREY</t>
        </is>
      </c>
      <c r="E163" s="54" t="inlineStr">
        <is>
          <t>Full</t>
        </is>
      </c>
      <c r="F163" s="54" t="inlineStr">
        <is>
          <t>Grey</t>
        </is>
      </c>
      <c r="G163" s="55" t="n">
        <v>0</v>
      </c>
      <c r="H163" s="55" t="n">
        <v>0</v>
      </c>
      <c r="I163" s="56" t="n"/>
      <c r="J163" s="57" t="n">
        <v>0.07099999999999999</v>
      </c>
      <c r="K163" s="56" t="inlineStr">
        <is>
          <t>units last 28 days / 28 (no account data velocity: out of stock)</t>
        </is>
      </c>
      <c r="L163" s="58" t="n">
        <v>3.0782</v>
      </c>
      <c r="M163" s="56" t="inlineStr">
        <is>
          <t>own BFCM 2025 lift (account data)</t>
        </is>
      </c>
      <c r="N163" s="59">
        <f>J163*34+J163*L163*12</f>
        <v/>
      </c>
      <c r="O163" s="59">
        <f>MAX(0,N163-G163-H163)</f>
        <v/>
      </c>
      <c r="P163" s="60">
        <f>IF(J163=0,"",IF(G163&lt;J163*34,DATE(2026,10,15)+G163/J163,IF(G163&lt;N163,DATE(2026,11,18)+(G163-J163*34)/(J163*L163),"after Nov 30")))</f>
        <v/>
      </c>
      <c r="Q163" s="60">
        <f>IF(J163=0,"",IF(G163+H163&lt;J163*34,DATE(2026,10,15)+(G163+H163)/J163,IF(G163+H163&lt;N163,DATE(2026,11,18)+(G163+H163-J163*34)/(J163*L163),"after Nov 30")))</f>
        <v/>
      </c>
      <c r="R163" s="54">
        <f>IF(AND(G163&lt;=0,J163&gt;0),"Out of stock now",IF(G163&gt;=N163,"Covered to Nov 30",IF(G163+H163&gt;=N163,"Needs inbound in time","Short even with inbound")))</f>
        <v/>
      </c>
      <c r="S163" s="57" t="n">
        <v>0.07099999999999999</v>
      </c>
      <c r="T163" s="59">
        <f>IF(S163="","",S163*34+S163*L163*12)</f>
        <v/>
      </c>
    </row>
    <row r="164">
      <c r="A164" s="54" t="inlineStr">
        <is>
          <t>CA DC B4</t>
        </is>
      </c>
      <c r="B164" s="54" t="inlineStr">
        <is>
          <t>CA</t>
        </is>
      </c>
      <c r="C164" s="54" t="inlineStr">
        <is>
          <t>B08KQJYDCR</t>
        </is>
      </c>
      <c r="D164" s="54" t="inlineStr">
        <is>
          <t>BAMBOO-FULL-LIGHTBLUE</t>
        </is>
      </c>
      <c r="E164" s="54" t="inlineStr">
        <is>
          <t>Full</t>
        </is>
      </c>
      <c r="F164" s="54" t="inlineStr">
        <is>
          <t>Light Blue</t>
        </is>
      </c>
      <c r="G164" s="55" t="n">
        <v>0</v>
      </c>
      <c r="H164" s="55" t="n">
        <v>0</v>
      </c>
      <c r="I164" s="56" t="n"/>
      <c r="J164" s="57" t="n">
        <v>0.07099999999999999</v>
      </c>
      <c r="K164" s="56" t="inlineStr">
        <is>
          <t>units last 28 days / 28 (no account data velocity: out of stock)</t>
        </is>
      </c>
      <c r="L164" s="58" t="n">
        <v>3.0782</v>
      </c>
      <c r="M164" s="56" t="inlineStr">
        <is>
          <t>own BFCM 2025 lift (account data)</t>
        </is>
      </c>
      <c r="N164" s="59">
        <f>J164*34+J164*L164*12</f>
        <v/>
      </c>
      <c r="O164" s="59">
        <f>MAX(0,N164-G164-H164)</f>
        <v/>
      </c>
      <c r="P164" s="60">
        <f>IF(J164=0,"",IF(G164&lt;J164*34,DATE(2026,10,15)+G164/J164,IF(G164&lt;N164,DATE(2026,11,18)+(G164-J164*34)/(J164*L164),"after Nov 30")))</f>
        <v/>
      </c>
      <c r="Q164" s="60">
        <f>IF(J164=0,"",IF(G164+H164&lt;J164*34,DATE(2026,10,15)+(G164+H164)/J164,IF(G164+H164&lt;N164,DATE(2026,11,18)+(G164+H164-J164*34)/(J164*L164),"after Nov 30")))</f>
        <v/>
      </c>
      <c r="R164" s="54">
        <f>IF(AND(G164&lt;=0,J164&gt;0),"Out of stock now",IF(G164&gt;=N164,"Covered to Nov 30",IF(G164+H164&gt;=N164,"Needs inbound in time","Short even with inbound")))</f>
        <v/>
      </c>
      <c r="S164" s="57" t="n">
        <v>0.07099999999999999</v>
      </c>
      <c r="T164" s="59">
        <f>IF(S164="","",S164*34+S164*L164*12)</f>
        <v/>
      </c>
    </row>
    <row r="165">
      <c r="A165" s="54" t="inlineStr">
        <is>
          <t>CA DC B4</t>
        </is>
      </c>
      <c r="B165" s="54" t="inlineStr">
        <is>
          <t>CA</t>
        </is>
      </c>
      <c r="C165" s="54" t="inlineStr">
        <is>
          <t>B0CLKDMGHC</t>
        </is>
      </c>
      <c r="D165" s="54" t="inlineStr">
        <is>
          <t>BAMBOO-TWIN-LIGHT PINK</t>
        </is>
      </c>
      <c r="E165" s="54" t="inlineStr">
        <is>
          <t>Twin</t>
        </is>
      </c>
      <c r="F165" s="54" t="inlineStr">
        <is>
          <t>Light Pink</t>
        </is>
      </c>
      <c r="G165" s="55" t="n">
        <v>0</v>
      </c>
      <c r="H165" s="55" t="n">
        <v>0</v>
      </c>
      <c r="I165" s="56" t="n"/>
      <c r="J165" s="57" t="n">
        <v>0.07000000000000001</v>
      </c>
      <c r="K165" s="56" t="inlineStr">
        <is>
          <t>account data velocity</t>
        </is>
      </c>
      <c r="L165" s="58" t="n">
        <v>3.0782</v>
      </c>
      <c r="M165" s="56" t="inlineStr">
        <is>
          <t>own BFCM 2025 lift (account data)</t>
        </is>
      </c>
      <c r="N165" s="59">
        <f>J165*34+J165*L165*12</f>
        <v/>
      </c>
      <c r="O165" s="59">
        <f>MAX(0,N165-G165-H165)</f>
        <v/>
      </c>
      <c r="P165" s="60">
        <f>IF(J165=0,"",IF(G165&lt;J165*34,DATE(2026,10,15)+G165/J165,IF(G165&lt;N165,DATE(2026,11,18)+(G165-J165*34)/(J165*L165),"after Nov 30")))</f>
        <v/>
      </c>
      <c r="Q165" s="60">
        <f>IF(J165=0,"",IF(G165+H165&lt;J165*34,DATE(2026,10,15)+(G165+H165)/J165,IF(G165+H165&lt;N165,DATE(2026,11,18)+(G165+H165-J165*34)/(J165*L165),"after Nov 30")))</f>
        <v/>
      </c>
      <c r="R165" s="54">
        <f>IF(AND(G165&lt;=0,J165&gt;0),"Out of stock now",IF(G165&gt;=N165,"Covered to Nov 30",IF(G165+H165&gt;=N165,"Needs inbound in time","Short even with inbound")))</f>
        <v/>
      </c>
      <c r="S165" s="57" t="n">
        <v>0.036</v>
      </c>
      <c r="T165" s="59">
        <f>IF(S165="","",S165*34+S165*L165*12)</f>
        <v/>
      </c>
    </row>
    <row r="166">
      <c r="A166" s="54" t="inlineStr">
        <is>
          <t>CA DC B4</t>
        </is>
      </c>
      <c r="B166" s="54" t="inlineStr">
        <is>
          <t>CA</t>
        </is>
      </c>
      <c r="C166" s="54" t="inlineStr">
        <is>
          <t>B0CLKD23ZH</t>
        </is>
      </c>
      <c r="D166" s="54" t="inlineStr">
        <is>
          <t>BAMBOO-CALIFKING-LIGHT PINK</t>
        </is>
      </c>
      <c r="E166" s="54" t="inlineStr">
        <is>
          <t>California King</t>
        </is>
      </c>
      <c r="F166" s="54" t="inlineStr">
        <is>
          <t>Light Pink</t>
        </is>
      </c>
      <c r="G166" s="55" t="n">
        <v>1</v>
      </c>
      <c r="H166" s="55" t="n">
        <v>6</v>
      </c>
      <c r="I166" s="56" t="inlineStr">
        <is>
          <t>FBA19QLVD3FK shipped: 6</t>
        </is>
      </c>
      <c r="J166" s="57" t="n">
        <v>0.07000000000000001</v>
      </c>
      <c r="K166" s="56" t="inlineStr">
        <is>
          <t>account data velocity</t>
        </is>
      </c>
      <c r="L166" s="58" t="n">
        <v>3.0782</v>
      </c>
      <c r="M166" s="56" t="inlineStr">
        <is>
          <t>own BFCM 2025 lift (account data)</t>
        </is>
      </c>
      <c r="N166" s="59">
        <f>J166*34+J166*L166*12</f>
        <v/>
      </c>
      <c r="O166" s="59">
        <f>MAX(0,N166-G166-H166)</f>
        <v/>
      </c>
      <c r="P166" s="60">
        <f>IF(J166=0,"",IF(G166&lt;J166*34,DATE(2026,10,15)+G166/J166,IF(G166&lt;N166,DATE(2026,11,18)+(G166-J166*34)/(J166*L166),"after Nov 30")))</f>
        <v/>
      </c>
      <c r="Q166" s="60">
        <f>IF(J166=0,"",IF(G166+H166&lt;J166*34,DATE(2026,10,15)+(G166+H166)/J166,IF(G166+H166&lt;N166,DATE(2026,11,18)+(G166+H166-J166*34)/(J166*L166),"after Nov 30")))</f>
        <v/>
      </c>
      <c r="R166" s="54">
        <f>IF(AND(G166&lt;=0,J166&gt;0),"Out of stock now",IF(G166&gt;=N166,"Covered to Nov 30",IF(G166+H166&gt;=N166,"Needs inbound in time","Short even with inbound")))</f>
        <v/>
      </c>
      <c r="S166" s="57" t="n">
        <v>0</v>
      </c>
      <c r="T166" s="59">
        <f>IF(S166="","",S166*34+S166*L166*12)</f>
        <v/>
      </c>
    </row>
    <row r="167">
      <c r="A167" s="54" t="inlineStr">
        <is>
          <t>CA DC B4</t>
        </is>
      </c>
      <c r="B167" s="54" t="inlineStr">
        <is>
          <t>CA</t>
        </is>
      </c>
      <c r="C167" s="54" t="inlineStr">
        <is>
          <t>B0CLKCVLRG</t>
        </is>
      </c>
      <c r="D167" s="54" t="inlineStr">
        <is>
          <t>BAMBOO-CALIFKING-SAGE GREEN</t>
        </is>
      </c>
      <c r="E167" s="54" t="inlineStr">
        <is>
          <t>California King</t>
        </is>
      </c>
      <c r="F167" s="54" t="inlineStr">
        <is>
          <t>Sage Green</t>
        </is>
      </c>
      <c r="G167" s="55" t="n">
        <v>0</v>
      </c>
      <c r="H167" s="55" t="n">
        <v>0</v>
      </c>
      <c r="I167" s="56" t="n"/>
      <c r="J167" s="57" t="n">
        <v>0.05</v>
      </c>
      <c r="K167" s="56" t="inlineStr">
        <is>
          <t>account data velocity</t>
        </is>
      </c>
      <c r="L167" s="58" t="n">
        <v>3.0782</v>
      </c>
      <c r="M167" s="56" t="inlineStr">
        <is>
          <t>own BFCM 2025 lift (account data)</t>
        </is>
      </c>
      <c r="N167" s="59">
        <f>J167*34+J167*L167*12</f>
        <v/>
      </c>
      <c r="O167" s="59">
        <f>MAX(0,N167-G167-H167)</f>
        <v/>
      </c>
      <c r="P167" s="60">
        <f>IF(J167=0,"",IF(G167&lt;J167*34,DATE(2026,10,15)+G167/J167,IF(G167&lt;N167,DATE(2026,11,18)+(G167-J167*34)/(J167*L167),"after Nov 30")))</f>
        <v/>
      </c>
      <c r="Q167" s="60">
        <f>IF(J167=0,"",IF(G167+H167&lt;J167*34,DATE(2026,10,15)+(G167+H167)/J167,IF(G167+H167&lt;N167,DATE(2026,11,18)+(G167+H167-J167*34)/(J167*L167),"after Nov 30")))</f>
        <v/>
      </c>
      <c r="R167" s="54">
        <f>IF(AND(G167&lt;=0,J167&gt;0),"Out of stock now",IF(G167&gt;=N167,"Covered to Nov 30",IF(G167+H167&gt;=N167,"Needs inbound in time","Short even with inbound")))</f>
        <v/>
      </c>
      <c r="S167" s="57" t="n">
        <v>0.036</v>
      </c>
      <c r="T167" s="59">
        <f>IF(S167="","",S167*34+S167*L167*12)</f>
        <v/>
      </c>
    </row>
    <row r="168">
      <c r="A168" s="54" t="inlineStr">
        <is>
          <t>CA DC B4</t>
        </is>
      </c>
      <c r="B168" s="54" t="inlineStr">
        <is>
          <t>CA</t>
        </is>
      </c>
      <c r="C168" s="54" t="inlineStr">
        <is>
          <t>B0BZQ228PV</t>
        </is>
      </c>
      <c r="D168" s="54" t="inlineStr">
        <is>
          <t>BAMBOO-TWIN-CHARCOAL</t>
        </is>
      </c>
      <c r="E168" s="54" t="inlineStr">
        <is>
          <t>Twin</t>
        </is>
      </c>
      <c r="F168" s="54" t="inlineStr">
        <is>
          <t>Charcoal</t>
        </is>
      </c>
      <c r="G168" s="55" t="n">
        <v>0</v>
      </c>
      <c r="H168" s="55" t="n">
        <v>0</v>
      </c>
      <c r="I168" s="56" t="inlineStr">
        <is>
          <t>FBA19QLVD3FK shipped: 6</t>
        </is>
      </c>
      <c r="J168" s="57" t="n">
        <v>0.05</v>
      </c>
      <c r="K168" s="56" t="inlineStr">
        <is>
          <t>account data velocity</t>
        </is>
      </c>
      <c r="L168" s="58" t="n">
        <v>3.0782</v>
      </c>
      <c r="M168" s="56" t="inlineStr">
        <is>
          <t>own BFCM 2025 lift (account data)</t>
        </is>
      </c>
      <c r="N168" s="59">
        <f>J168*34+J168*L168*12</f>
        <v/>
      </c>
      <c r="O168" s="59">
        <f>MAX(0,N168-G168-H168)</f>
        <v/>
      </c>
      <c r="P168" s="60">
        <f>IF(J168=0,"",IF(G168&lt;J168*34,DATE(2026,10,15)+G168/J168,IF(G168&lt;N168,DATE(2026,11,18)+(G168-J168*34)/(J168*L168),"after Nov 30")))</f>
        <v/>
      </c>
      <c r="Q168" s="60">
        <f>IF(J168=0,"",IF(G168+H168&lt;J168*34,DATE(2026,10,15)+(G168+H168)/J168,IF(G168+H168&lt;N168,DATE(2026,11,18)+(G168+H168-J168*34)/(J168*L168),"after Nov 30")))</f>
        <v/>
      </c>
      <c r="R168" s="54">
        <f>IF(AND(G168&lt;=0,J168&gt;0),"Out of stock now",IF(G168&gt;=N168,"Covered to Nov 30",IF(G168+H168&gt;=N168,"Needs inbound in time","Short even with inbound")))</f>
        <v/>
      </c>
      <c r="S168" s="57" t="n">
        <v>0</v>
      </c>
      <c r="T168" s="59">
        <f>IF(S168="","",S168*34+S168*L168*12)</f>
        <v/>
      </c>
    </row>
    <row r="169">
      <c r="A169" s="54" t="inlineStr">
        <is>
          <t>CA DC B4</t>
        </is>
      </c>
      <c r="B169" s="54" t="inlineStr">
        <is>
          <t>CA</t>
        </is>
      </c>
      <c r="C169" s="54" t="inlineStr">
        <is>
          <t>B08KQLQ7RG</t>
        </is>
      </c>
      <c r="D169" s="54" t="inlineStr">
        <is>
          <t>BAMBOO-CALIFKING-CREME</t>
        </is>
      </c>
      <c r="E169" s="54" t="inlineStr">
        <is>
          <t>California King</t>
        </is>
      </c>
      <c r="F169" s="54" t="inlineStr">
        <is>
          <t>Creme</t>
        </is>
      </c>
      <c r="G169" s="55" t="n">
        <v>14</v>
      </c>
      <c r="H169" s="55" t="n">
        <v>0</v>
      </c>
      <c r="I169" s="56" t="n"/>
      <c r="J169" s="57" t="n">
        <v>0.04</v>
      </c>
      <c r="K169" s="56" t="inlineStr">
        <is>
          <t>account data velocity</t>
        </is>
      </c>
      <c r="L169" s="58" t="n">
        <v>3.0782</v>
      </c>
      <c r="M169" s="56" t="inlineStr">
        <is>
          <t>own BFCM 2025 lift (account data)</t>
        </is>
      </c>
      <c r="N169" s="59">
        <f>J169*34+J169*L169*12</f>
        <v/>
      </c>
      <c r="O169" s="59">
        <f>MAX(0,N169-G169-H169)</f>
        <v/>
      </c>
      <c r="P169" s="60">
        <f>IF(J169=0,"",IF(G169&lt;J169*34,DATE(2026,10,15)+G169/J169,IF(G169&lt;N169,DATE(2026,11,18)+(G169-J169*34)/(J169*L169),"after Nov 30")))</f>
        <v/>
      </c>
      <c r="Q169" s="60">
        <f>IF(J169=0,"",IF(G169+H169&lt;J169*34,DATE(2026,10,15)+(G169+H169)/J169,IF(G169+H169&lt;N169,DATE(2026,11,18)+(G169+H169-J169*34)/(J169*L169),"after Nov 30")))</f>
        <v/>
      </c>
      <c r="R169" s="54">
        <f>IF(AND(G169&lt;=0,J169&gt;0),"Out of stock now",IF(G169&gt;=N169,"Covered to Nov 30",IF(G169+H169&gt;=N169,"Needs inbound in time","Short even with inbound")))</f>
        <v/>
      </c>
      <c r="S169" s="57" t="n">
        <v>0.07099999999999999</v>
      </c>
      <c r="T169" s="59">
        <f>IF(S169="","",S169*34+S169*L169*12)</f>
        <v/>
      </c>
    </row>
    <row r="170">
      <c r="A170" s="54" t="inlineStr">
        <is>
          <t>CA DC B4</t>
        </is>
      </c>
      <c r="B170" s="54" t="inlineStr">
        <is>
          <t>CA</t>
        </is>
      </c>
      <c r="C170" s="54" t="inlineStr">
        <is>
          <t>B0BZQ5SDNS</t>
        </is>
      </c>
      <c r="D170" s="54" t="inlineStr">
        <is>
          <t>BAMBOO-CALIFKING-PURPLE</t>
        </is>
      </c>
      <c r="E170" s="54" t="inlineStr">
        <is>
          <t>California King</t>
        </is>
      </c>
      <c r="F170" s="54" t="inlineStr">
        <is>
          <t>Purple</t>
        </is>
      </c>
      <c r="G170" s="55" t="n">
        <v>4</v>
      </c>
      <c r="H170" s="55" t="n">
        <v>0</v>
      </c>
      <c r="I170" s="56" t="n"/>
      <c r="J170" s="57" t="n">
        <v>0.04</v>
      </c>
      <c r="K170" s="56" t="inlineStr">
        <is>
          <t>account data velocity</t>
        </is>
      </c>
      <c r="L170" s="58" t="n">
        <v>3.0782</v>
      </c>
      <c r="M170" s="56" t="inlineStr">
        <is>
          <t>own BFCM 2025 lift (account data)</t>
        </is>
      </c>
      <c r="N170" s="59">
        <f>J170*34+J170*L170*12</f>
        <v/>
      </c>
      <c r="O170" s="59">
        <f>MAX(0,N170-G170-H170)</f>
        <v/>
      </c>
      <c r="P170" s="60">
        <f>IF(J170=0,"",IF(G170&lt;J170*34,DATE(2026,10,15)+G170/J170,IF(G170&lt;N170,DATE(2026,11,18)+(G170-J170*34)/(J170*L170),"after Nov 30")))</f>
        <v/>
      </c>
      <c r="Q170" s="60">
        <f>IF(J170=0,"",IF(G170+H170&lt;J170*34,DATE(2026,10,15)+(G170+H170)/J170,IF(G170+H170&lt;N170,DATE(2026,11,18)+(G170+H170-J170*34)/(J170*L170),"after Nov 30")))</f>
        <v/>
      </c>
      <c r="R170" s="54">
        <f>IF(AND(G170&lt;=0,J170&gt;0),"Out of stock now",IF(G170&gt;=N170,"Covered to Nov 30",IF(G170+H170&gt;=N170,"Needs inbound in time","Short even with inbound")))</f>
        <v/>
      </c>
      <c r="S170" s="57" t="n">
        <v>0.07099999999999999</v>
      </c>
      <c r="T170" s="59">
        <f>IF(S170="","",S170*34+S170*L170*12)</f>
        <v/>
      </c>
    </row>
    <row r="171">
      <c r="A171" s="54" t="inlineStr">
        <is>
          <t>CA DC B4</t>
        </is>
      </c>
      <c r="B171" s="54" t="inlineStr">
        <is>
          <t>CA</t>
        </is>
      </c>
      <c r="C171" s="54" t="inlineStr">
        <is>
          <t>B08KQJ3JSW</t>
        </is>
      </c>
      <c r="D171" s="54" t="inlineStr">
        <is>
          <t>BAMBOO-FULL-CREME</t>
        </is>
      </c>
      <c r="E171" s="54" t="inlineStr">
        <is>
          <t>Full</t>
        </is>
      </c>
      <c r="F171" s="54" t="inlineStr">
        <is>
          <t>Creme</t>
        </is>
      </c>
      <c r="G171" s="55" t="n">
        <v>0</v>
      </c>
      <c r="H171" s="55" t="n">
        <v>0</v>
      </c>
      <c r="I171" s="56" t="n"/>
      <c r="J171" s="57" t="n">
        <v>0.036</v>
      </c>
      <c r="K171" s="56" t="inlineStr">
        <is>
          <t>units last 28 days / 28 (no account data velocity: out of stock)</t>
        </is>
      </c>
      <c r="L171" s="58" t="n">
        <v>3.0782</v>
      </c>
      <c r="M171" s="56" t="inlineStr">
        <is>
          <t>own BFCM 2025 lift (account data)</t>
        </is>
      </c>
      <c r="N171" s="59">
        <f>J171*34+J171*L171*12</f>
        <v/>
      </c>
      <c r="O171" s="59">
        <f>MAX(0,N171-G171-H171)</f>
        <v/>
      </c>
      <c r="P171" s="60">
        <f>IF(J171=0,"",IF(G171&lt;J171*34,DATE(2026,10,15)+G171/J171,IF(G171&lt;N171,DATE(2026,11,18)+(G171-J171*34)/(J171*L171),"after Nov 30")))</f>
        <v/>
      </c>
      <c r="Q171" s="60">
        <f>IF(J171=0,"",IF(G171+H171&lt;J171*34,DATE(2026,10,15)+(G171+H171)/J171,IF(G171+H171&lt;N171,DATE(2026,11,18)+(G171+H171-J171*34)/(J171*L171),"after Nov 30")))</f>
        <v/>
      </c>
      <c r="R171" s="54">
        <f>IF(AND(G171&lt;=0,J171&gt;0),"Out of stock now",IF(G171&gt;=N171,"Covered to Nov 30",IF(G171+H171&gt;=N171,"Needs inbound in time","Short even with inbound")))</f>
        <v/>
      </c>
      <c r="S171" s="57" t="n">
        <v>0.036</v>
      </c>
      <c r="T171" s="59">
        <f>IF(S171="","",S171*34+S171*L171*12)</f>
        <v/>
      </c>
    </row>
    <row r="172">
      <c r="A172" s="54" t="inlineStr">
        <is>
          <t>CA DC B4</t>
        </is>
      </c>
      <c r="B172" s="54" t="inlineStr">
        <is>
          <t>CA</t>
        </is>
      </c>
      <c r="C172" s="54" t="inlineStr">
        <is>
          <t>B0BZQ43D7W</t>
        </is>
      </c>
      <c r="D172" s="54" t="inlineStr">
        <is>
          <t>BAMBOO-FULL-MIDGREY</t>
        </is>
      </c>
      <c r="E172" s="54" t="inlineStr">
        <is>
          <t>Full</t>
        </is>
      </c>
      <c r="F172" s="54" t="inlineStr">
        <is>
          <t>Midgrey</t>
        </is>
      </c>
      <c r="G172" s="55" t="n">
        <v>0</v>
      </c>
      <c r="H172" s="55" t="n">
        <v>0</v>
      </c>
      <c r="I172" s="56" t="n"/>
      <c r="J172" s="57" t="n">
        <v>0.036</v>
      </c>
      <c r="K172" s="56" t="inlineStr">
        <is>
          <t>units last 28 days / 28 (no account data velocity: out of stock)</t>
        </is>
      </c>
      <c r="L172" s="58" t="n">
        <v>3.0782</v>
      </c>
      <c r="M172" s="56" t="inlineStr">
        <is>
          <t>own BFCM 2025 lift (account data)</t>
        </is>
      </c>
      <c r="N172" s="59">
        <f>J172*34+J172*L172*12</f>
        <v/>
      </c>
      <c r="O172" s="59">
        <f>MAX(0,N172-G172-H172)</f>
        <v/>
      </c>
      <c r="P172" s="60">
        <f>IF(J172=0,"",IF(G172&lt;J172*34,DATE(2026,10,15)+G172/J172,IF(G172&lt;N172,DATE(2026,11,18)+(G172-J172*34)/(J172*L172),"after Nov 30")))</f>
        <v/>
      </c>
      <c r="Q172" s="60">
        <f>IF(J172=0,"",IF(G172+H172&lt;J172*34,DATE(2026,10,15)+(G172+H172)/J172,IF(G172+H172&lt;N172,DATE(2026,11,18)+(G172+H172-J172*34)/(J172*L172),"after Nov 30")))</f>
        <v/>
      </c>
      <c r="R172" s="54">
        <f>IF(AND(G172&lt;=0,J172&gt;0),"Out of stock now",IF(G172&gt;=N172,"Covered to Nov 30",IF(G172+H172&gt;=N172,"Needs inbound in time","Short even with inbound")))</f>
        <v/>
      </c>
      <c r="S172" s="57" t="n">
        <v>0.036</v>
      </c>
      <c r="T172" s="59">
        <f>IF(S172="","",S172*34+S172*L172*12)</f>
        <v/>
      </c>
    </row>
    <row r="173">
      <c r="A173" s="54" t="inlineStr">
        <is>
          <t>CA DC B4</t>
        </is>
      </c>
      <c r="B173" s="54" t="inlineStr">
        <is>
          <t>CA</t>
        </is>
      </c>
      <c r="C173" s="54" t="inlineStr">
        <is>
          <t>B08KQK8Z1J</t>
        </is>
      </c>
      <c r="D173" s="54" t="inlineStr">
        <is>
          <t>BAMBOO-TWIN-LIGHTGREY</t>
        </is>
      </c>
      <c r="E173" s="54" t="inlineStr">
        <is>
          <t>Twin</t>
        </is>
      </c>
      <c r="F173" s="54" t="inlineStr">
        <is>
          <t>Light Grey</t>
        </is>
      </c>
      <c r="G173" s="55" t="n">
        <v>0</v>
      </c>
      <c r="H173" s="55" t="n">
        <v>0</v>
      </c>
      <c r="I173" s="56" t="n"/>
      <c r="J173" s="57" t="n">
        <v>0.036</v>
      </c>
      <c r="K173" s="56" t="inlineStr">
        <is>
          <t>units last 28 days / 28 (no account data velocity: out of stock)</t>
        </is>
      </c>
      <c r="L173" s="58" t="n">
        <v>3.0782</v>
      </c>
      <c r="M173" s="56" t="inlineStr">
        <is>
          <t>own BFCM 2025 lift (account data)</t>
        </is>
      </c>
      <c r="N173" s="59">
        <f>J173*34+J173*L173*12</f>
        <v/>
      </c>
      <c r="O173" s="59">
        <f>MAX(0,N173-G173-H173)</f>
        <v/>
      </c>
      <c r="P173" s="60">
        <f>IF(J173=0,"",IF(G173&lt;J173*34,DATE(2026,10,15)+G173/J173,IF(G173&lt;N173,DATE(2026,11,18)+(G173-J173*34)/(J173*L173),"after Nov 30")))</f>
        <v/>
      </c>
      <c r="Q173" s="60">
        <f>IF(J173=0,"",IF(G173+H173&lt;J173*34,DATE(2026,10,15)+(G173+H173)/J173,IF(G173+H173&lt;N173,DATE(2026,11,18)+(G173+H173-J173*34)/(J173*L173),"after Nov 30")))</f>
        <v/>
      </c>
      <c r="R173" s="54">
        <f>IF(AND(G173&lt;=0,J173&gt;0),"Out of stock now",IF(G173&gt;=N173,"Covered to Nov 30",IF(G173+H173&gt;=N173,"Needs inbound in time","Short even with inbound")))</f>
        <v/>
      </c>
      <c r="S173" s="57" t="n">
        <v>0.036</v>
      </c>
      <c r="T173" s="59">
        <f>IF(S173="","",S173*34+S173*L173*12)</f>
        <v/>
      </c>
    </row>
    <row r="174">
      <c r="A174" s="54" t="inlineStr">
        <is>
          <t>CA DC B4</t>
        </is>
      </c>
      <c r="B174" s="54" t="inlineStr">
        <is>
          <t>CA</t>
        </is>
      </c>
      <c r="C174" s="54" t="inlineStr">
        <is>
          <t>B0BZQ1G5B8</t>
        </is>
      </c>
      <c r="D174" s="54" t="inlineStr">
        <is>
          <t>BAMBOO-CALIFKING-BLACK</t>
        </is>
      </c>
      <c r="E174" s="54" t="inlineStr">
        <is>
          <t>California King</t>
        </is>
      </c>
      <c r="F174" s="54" t="inlineStr">
        <is>
          <t>Black</t>
        </is>
      </c>
      <c r="G174" s="55" t="n">
        <v>11</v>
      </c>
      <c r="H174" s="55" t="n">
        <v>30</v>
      </c>
      <c r="I174" s="56" t="inlineStr">
        <is>
          <t>FBA19LP4SKXM in transit: 30</t>
        </is>
      </c>
      <c r="J174" s="57" t="n">
        <v>0.02</v>
      </c>
      <c r="K174" s="56" t="inlineStr">
        <is>
          <t>account data velocity</t>
        </is>
      </c>
      <c r="L174" s="58" t="n">
        <v>3.0782</v>
      </c>
      <c r="M174" s="56" t="inlineStr">
        <is>
          <t>own BFCM 2025 lift (account data)</t>
        </is>
      </c>
      <c r="N174" s="59">
        <f>J174*34+J174*L174*12</f>
        <v/>
      </c>
      <c r="O174" s="59">
        <f>MAX(0,N174-G174-H174)</f>
        <v/>
      </c>
      <c r="P174" s="60">
        <f>IF(J174=0,"",IF(G174&lt;J174*34,DATE(2026,10,15)+G174/J174,IF(G174&lt;N174,DATE(2026,11,18)+(G174-J174*34)/(J174*L174),"after Nov 30")))</f>
        <v/>
      </c>
      <c r="Q174" s="60">
        <f>IF(J174=0,"",IF(G174+H174&lt;J174*34,DATE(2026,10,15)+(G174+H174)/J174,IF(G174+H174&lt;N174,DATE(2026,11,18)+(G174+H174-J174*34)/(J174*L174),"after Nov 30")))</f>
        <v/>
      </c>
      <c r="R174" s="54">
        <f>IF(AND(G174&lt;=0,J174&gt;0),"Out of stock now",IF(G174&gt;=N174,"Covered to Nov 30",IF(G174+H174&gt;=N174,"Needs inbound in time","Short even with inbound")))</f>
        <v/>
      </c>
      <c r="S174" s="57" t="n">
        <v>0.036</v>
      </c>
      <c r="T174" s="59">
        <f>IF(S174="","",S174*34+S174*L174*12)</f>
        <v/>
      </c>
    </row>
    <row r="175">
      <c r="A175" s="54" t="inlineStr">
        <is>
          <t>CA DC B4</t>
        </is>
      </c>
      <c r="B175" s="54" t="inlineStr">
        <is>
          <t>CA</t>
        </is>
      </c>
      <c r="C175" s="54" t="inlineStr">
        <is>
          <t>B0CRHYHS4X</t>
        </is>
      </c>
      <c r="D175" s="54" t="inlineStr">
        <is>
          <t>BAMBOO-CALIFKING-BURGUNDY-NEW</t>
        </is>
      </c>
      <c r="E175" s="54" t="inlineStr">
        <is>
          <t>California King</t>
        </is>
      </c>
      <c r="F175" s="54" t="inlineStr">
        <is>
          <t>Burgundy</t>
        </is>
      </c>
      <c r="G175" s="55" t="n">
        <v>7</v>
      </c>
      <c r="H175" s="55" t="n">
        <v>12</v>
      </c>
      <c r="I175" s="56" t="inlineStr">
        <is>
          <t>FBA19MV0YVFX shipped: 6</t>
        </is>
      </c>
      <c r="J175" s="57" t="n">
        <v>0.02</v>
      </c>
      <c r="K175" s="56" t="inlineStr">
        <is>
          <t>account data velocity</t>
        </is>
      </c>
      <c r="L175" s="58" t="n">
        <v>3.0782</v>
      </c>
      <c r="M175" s="56" t="inlineStr">
        <is>
          <t>own BFCM 2025 lift (account data)</t>
        </is>
      </c>
      <c r="N175" s="59">
        <f>J175*34+J175*L175*12</f>
        <v/>
      </c>
      <c r="O175" s="59">
        <f>MAX(0,N175-G175-H175)</f>
        <v/>
      </c>
      <c r="P175" s="60">
        <f>IF(J175=0,"",IF(G175&lt;J175*34,DATE(2026,10,15)+G175/J175,IF(G175&lt;N175,DATE(2026,11,18)+(G175-J175*34)/(J175*L175),"after Nov 30")))</f>
        <v/>
      </c>
      <c r="Q175" s="60">
        <f>IF(J175=0,"",IF(G175+H175&lt;J175*34,DATE(2026,10,15)+(G175+H175)/J175,IF(G175+H175&lt;N175,DATE(2026,11,18)+(G175+H175-J175*34)/(J175*L175),"after Nov 30")))</f>
        <v/>
      </c>
      <c r="R175" s="54">
        <f>IF(AND(G175&lt;=0,J175&gt;0),"Out of stock now",IF(G175&gt;=N175,"Covered to Nov 30",IF(G175+H175&gt;=N175,"Needs inbound in time","Short even with inbound")))</f>
        <v/>
      </c>
      <c r="S175" s="57" t="n">
        <v>0.036</v>
      </c>
      <c r="T175" s="59">
        <f>IF(S175="","",S175*34+S175*L175*12)</f>
        <v/>
      </c>
    </row>
    <row r="176">
      <c r="A176" s="54" t="inlineStr">
        <is>
          <t>CA DC B4</t>
        </is>
      </c>
      <c r="B176" s="54" t="inlineStr">
        <is>
          <t>CA</t>
        </is>
      </c>
      <c r="C176" s="54" t="inlineStr">
        <is>
          <t>B08KQLFRVR</t>
        </is>
      </c>
      <c r="D176" s="54" t="inlineStr">
        <is>
          <t>BAMBOO-CALIFKING-LIGHTGREY</t>
        </is>
      </c>
      <c r="E176" s="54" t="inlineStr">
        <is>
          <t>California King</t>
        </is>
      </c>
      <c r="F176" s="54" t="inlineStr">
        <is>
          <t>Light Grey</t>
        </is>
      </c>
      <c r="G176" s="55" t="n">
        <v>16</v>
      </c>
      <c r="H176" s="55" t="n">
        <v>12</v>
      </c>
      <c r="I176" s="56" t="n"/>
      <c r="J176" s="57" t="n">
        <v>0.02</v>
      </c>
      <c r="K176" s="56" t="inlineStr">
        <is>
          <t>account data velocity</t>
        </is>
      </c>
      <c r="L176" s="58" t="n">
        <v>3.0782</v>
      </c>
      <c r="M176" s="56" t="inlineStr">
        <is>
          <t>own BFCM 2025 lift (account data)</t>
        </is>
      </c>
      <c r="N176" s="59">
        <f>J176*34+J176*L176*12</f>
        <v/>
      </c>
      <c r="O176" s="59">
        <f>MAX(0,N176-G176-H176)</f>
        <v/>
      </c>
      <c r="P176" s="60">
        <f>IF(J176=0,"",IF(G176&lt;J176*34,DATE(2026,10,15)+G176/J176,IF(G176&lt;N176,DATE(2026,11,18)+(G176-J176*34)/(J176*L176),"after Nov 30")))</f>
        <v/>
      </c>
      <c r="Q176" s="60">
        <f>IF(J176=0,"",IF(G176+H176&lt;J176*34,DATE(2026,10,15)+(G176+H176)/J176,IF(G176+H176&lt;N176,DATE(2026,11,18)+(G176+H176-J176*34)/(J176*L176),"after Nov 30")))</f>
        <v/>
      </c>
      <c r="R176" s="54">
        <f>IF(AND(G176&lt;=0,J176&gt;0),"Out of stock now",IF(G176&gt;=N176,"Covered to Nov 30",IF(G176+H176&gt;=N176,"Needs inbound in time","Short even with inbound")))</f>
        <v/>
      </c>
      <c r="S176" s="57" t="n">
        <v>0.036</v>
      </c>
      <c r="T176" s="59">
        <f>IF(S176="","",S176*34+S176*L176*12)</f>
        <v/>
      </c>
    </row>
    <row r="177">
      <c r="A177" s="54" t="inlineStr">
        <is>
          <t>CA DC B4</t>
        </is>
      </c>
      <c r="B177" s="54" t="inlineStr">
        <is>
          <t>CA</t>
        </is>
      </c>
      <c r="C177" s="54" t="inlineStr">
        <is>
          <t>B08KQ3C8BX</t>
        </is>
      </c>
      <c r="D177" s="54" t="inlineStr">
        <is>
          <t>BAMBOO-CALIFKING-NAVYBLUE</t>
        </is>
      </c>
      <c r="E177" s="54" t="inlineStr">
        <is>
          <t>California King</t>
        </is>
      </c>
      <c r="F177" s="54" t="inlineStr">
        <is>
          <t>Navy Blue</t>
        </is>
      </c>
      <c r="G177" s="55" t="n">
        <v>5</v>
      </c>
      <c r="H177" s="55" t="n">
        <v>36</v>
      </c>
      <c r="I177" s="56" t="n"/>
      <c r="J177" s="57" t="n">
        <v>0.02</v>
      </c>
      <c r="K177" s="56" t="inlineStr">
        <is>
          <t>account data velocity</t>
        </is>
      </c>
      <c r="L177" s="58" t="n">
        <v>3.0782</v>
      </c>
      <c r="M177" s="56" t="inlineStr">
        <is>
          <t>own BFCM 2025 lift (account data)</t>
        </is>
      </c>
      <c r="N177" s="59">
        <f>J177*34+J177*L177*12</f>
        <v/>
      </c>
      <c r="O177" s="59">
        <f>MAX(0,N177-G177-H177)</f>
        <v/>
      </c>
      <c r="P177" s="60">
        <f>IF(J177=0,"",IF(G177&lt;J177*34,DATE(2026,10,15)+G177/J177,IF(G177&lt;N177,DATE(2026,11,18)+(G177-J177*34)/(J177*L177),"after Nov 30")))</f>
        <v/>
      </c>
      <c r="Q177" s="60">
        <f>IF(J177=0,"",IF(G177+H177&lt;J177*34,DATE(2026,10,15)+(G177+H177)/J177,IF(G177+H177&lt;N177,DATE(2026,11,18)+(G177+H177-J177*34)/(J177*L177),"after Nov 30")))</f>
        <v/>
      </c>
      <c r="R177" s="54">
        <f>IF(AND(G177&lt;=0,J177&gt;0),"Out of stock now",IF(G177&gt;=N177,"Covered to Nov 30",IF(G177+H177&gt;=N177,"Needs inbound in time","Short even with inbound")))</f>
        <v/>
      </c>
      <c r="S177" s="57" t="n">
        <v>0.036</v>
      </c>
      <c r="T177" s="59">
        <f>IF(S177="","",S177*34+S177*L177*12)</f>
        <v/>
      </c>
    </row>
    <row r="178">
      <c r="A178" s="54" t="inlineStr">
        <is>
          <t>CA DC B4</t>
        </is>
      </c>
      <c r="B178" s="54" t="inlineStr">
        <is>
          <t>CA</t>
        </is>
      </c>
      <c r="C178" s="54" t="inlineStr">
        <is>
          <t>B0BZPY841G</t>
        </is>
      </c>
      <c r="D178" s="54" t="inlineStr">
        <is>
          <t>BAMBOO-CALIFKING-MIDGREY</t>
        </is>
      </c>
      <c r="E178" s="54" t="inlineStr">
        <is>
          <t>California King</t>
        </is>
      </c>
      <c r="F178" s="54" t="inlineStr">
        <is>
          <t>Midgrey</t>
        </is>
      </c>
      <c r="G178" s="55" t="n">
        <v>11</v>
      </c>
      <c r="H178" s="55" t="n">
        <v>0</v>
      </c>
      <c r="I178" s="56" t="n"/>
      <c r="J178" s="57" t="n">
        <v>0.02</v>
      </c>
      <c r="K178" s="56" t="inlineStr">
        <is>
          <t>account data velocity</t>
        </is>
      </c>
      <c r="L178" s="58" t="n">
        <v>3.0782</v>
      </c>
      <c r="M178" s="56" t="inlineStr">
        <is>
          <t>own BFCM 2025 lift (account data)</t>
        </is>
      </c>
      <c r="N178" s="59">
        <f>J178*34+J178*L178*12</f>
        <v/>
      </c>
      <c r="O178" s="59">
        <f>MAX(0,N178-G178-H178)</f>
        <v/>
      </c>
      <c r="P178" s="60">
        <f>IF(J178=0,"",IF(G178&lt;J178*34,DATE(2026,10,15)+G178/J178,IF(G178&lt;N178,DATE(2026,11,18)+(G178-J178*34)/(J178*L178),"after Nov 30")))</f>
        <v/>
      </c>
      <c r="Q178" s="60">
        <f>IF(J178=0,"",IF(G178+H178&lt;J178*34,DATE(2026,10,15)+(G178+H178)/J178,IF(G178+H178&lt;N178,DATE(2026,11,18)+(G178+H178-J178*34)/(J178*L178),"after Nov 30")))</f>
        <v/>
      </c>
      <c r="R178" s="54">
        <f>IF(AND(G178&lt;=0,J178&gt;0),"Out of stock now",IF(G178&gt;=N178,"Covered to Nov 30",IF(G178+H178&gt;=N178,"Needs inbound in time","Short even with inbound")))</f>
        <v/>
      </c>
      <c r="S178" s="57" t="n">
        <v>0</v>
      </c>
      <c r="T178" s="59">
        <f>IF(S178="","",S178*34+S178*L178*12)</f>
        <v/>
      </c>
    </row>
    <row r="179">
      <c r="A179" s="54" t="inlineStr">
        <is>
          <t>CA DC B4</t>
        </is>
      </c>
      <c r="B179" s="54" t="inlineStr">
        <is>
          <t>CA</t>
        </is>
      </c>
      <c r="C179" s="54" t="inlineStr">
        <is>
          <t>B08KQJZHGC</t>
        </is>
      </c>
      <c r="D179" s="54" t="inlineStr">
        <is>
          <t>BAMBOO-CALIFKING-OLIVE</t>
        </is>
      </c>
      <c r="E179" s="54" t="inlineStr">
        <is>
          <t>California King</t>
        </is>
      </c>
      <c r="F179" s="54" t="inlineStr">
        <is>
          <t>Olive</t>
        </is>
      </c>
      <c r="G179" s="55" t="n">
        <v>3</v>
      </c>
      <c r="H179" s="55" t="n">
        <v>0</v>
      </c>
      <c r="I179" s="56" t="n"/>
      <c r="J179" s="57" t="n">
        <v>0.02</v>
      </c>
      <c r="K179" s="56" t="inlineStr">
        <is>
          <t>account data velocity</t>
        </is>
      </c>
      <c r="L179" s="58" t="n">
        <v>3.0782</v>
      </c>
      <c r="M179" s="56" t="inlineStr">
        <is>
          <t>own BFCM 2025 lift (account data)</t>
        </is>
      </c>
      <c r="N179" s="59">
        <f>J179*34+J179*L179*12</f>
        <v/>
      </c>
      <c r="O179" s="59">
        <f>MAX(0,N179-G179-H179)</f>
        <v/>
      </c>
      <c r="P179" s="60">
        <f>IF(J179=0,"",IF(G179&lt;J179*34,DATE(2026,10,15)+G179/J179,IF(G179&lt;N179,DATE(2026,11,18)+(G179-J179*34)/(J179*L179),"after Nov 30")))</f>
        <v/>
      </c>
      <c r="Q179" s="60">
        <f>IF(J179=0,"",IF(G179+H179&lt;J179*34,DATE(2026,10,15)+(G179+H179)/J179,IF(G179+H179&lt;N179,DATE(2026,11,18)+(G179+H179-J179*34)/(J179*L179),"after Nov 30")))</f>
        <v/>
      </c>
      <c r="R179" s="54">
        <f>IF(AND(G179&lt;=0,J179&gt;0),"Out of stock now",IF(G179&gt;=N179,"Covered to Nov 30",IF(G179+H179&gt;=N179,"Needs inbound in time","Short even with inbound")))</f>
        <v/>
      </c>
      <c r="S179" s="57" t="n">
        <v>0</v>
      </c>
      <c r="T179" s="59">
        <f>IF(S179="","",S179*34+S179*L179*12)</f>
        <v/>
      </c>
    </row>
    <row r="180">
      <c r="A180" s="54" t="inlineStr">
        <is>
          <t>CA DC B4</t>
        </is>
      </c>
      <c r="B180" s="54" t="inlineStr">
        <is>
          <t>CA</t>
        </is>
      </c>
      <c r="C180" s="54" t="inlineStr">
        <is>
          <t>B0BZPZQCBL</t>
        </is>
      </c>
      <c r="D180" s="54" t="inlineStr">
        <is>
          <t>BAMBOO-CALIFKING-CHARCOAL</t>
        </is>
      </c>
      <c r="E180" s="54" t="inlineStr">
        <is>
          <t>California King</t>
        </is>
      </c>
      <c r="F180" s="54" t="inlineStr">
        <is>
          <t>Charcoal</t>
        </is>
      </c>
      <c r="G180" s="55" t="n">
        <v>0</v>
      </c>
      <c r="H180" s="55" t="n">
        <v>12</v>
      </c>
      <c r="I180" s="56" t="inlineStr">
        <is>
          <t>FBA19QLVD3FK shipped: 12</t>
        </is>
      </c>
      <c r="J180" s="57" t="n">
        <v>0</v>
      </c>
      <c r="K180" s="56" t="inlineStr">
        <is>
          <t>account data velocity</t>
        </is>
      </c>
      <c r="L180" s="58" t="n">
        <v>3.0782</v>
      </c>
      <c r="M180" s="56" t="inlineStr">
        <is>
          <t>own BFCM 2025 lift (account data)</t>
        </is>
      </c>
      <c r="N180" s="59">
        <f>J180*34+J180*L180*12</f>
        <v/>
      </c>
      <c r="O180" s="59">
        <f>MAX(0,N180-G180-H180)</f>
        <v/>
      </c>
      <c r="P180" s="60">
        <f>IF(J180=0,"",IF(G180&lt;J180*34,DATE(2026,10,15)+G180/J180,IF(G180&lt;N180,DATE(2026,11,18)+(G180-J180*34)/(J180*L180),"after Nov 30")))</f>
        <v/>
      </c>
      <c r="Q180" s="60">
        <f>IF(J180=0,"",IF(G180+H180&lt;J180*34,DATE(2026,10,15)+(G180+H180)/J180,IF(G180+H180&lt;N180,DATE(2026,11,18)+(G180+H180-J180*34)/(J180*L180),"after Nov 30")))</f>
        <v/>
      </c>
      <c r="R180" s="54">
        <f>IF(AND(G180&lt;=0,J180&gt;0),"Out of stock now",IF(G180&gt;=N180,"Covered to Nov 30",IF(G180+H180&gt;=N180,"Needs inbound in time","Short even with inbound")))</f>
        <v/>
      </c>
      <c r="S180" s="57" t="n"/>
      <c r="T180" s="59">
        <f>IF(S180="","",S180*34+S180*L180*12)</f>
        <v/>
      </c>
    </row>
    <row r="181">
      <c r="A181" s="54" t="inlineStr">
        <is>
          <t>CA DC B4</t>
        </is>
      </c>
      <c r="B181" s="54" t="inlineStr">
        <is>
          <t>CA</t>
        </is>
      </c>
      <c r="C181" s="54" t="inlineStr">
        <is>
          <t>B08KQHSWSJ</t>
        </is>
      </c>
      <c r="D181" s="54" t="inlineStr">
        <is>
          <t>BAMBOO-CALIFKING-LIGHTBLUE</t>
        </is>
      </c>
      <c r="E181" s="54" t="inlineStr">
        <is>
          <t>California King</t>
        </is>
      </c>
      <c r="F181" s="54" t="inlineStr">
        <is>
          <t>Light Blue</t>
        </is>
      </c>
      <c r="G181" s="55" t="n">
        <v>0</v>
      </c>
      <c r="H181" s="55" t="n">
        <v>12</v>
      </c>
      <c r="I181" s="56" t="inlineStr">
        <is>
          <t>FBA19QLVD3FK shipped: 6</t>
        </is>
      </c>
      <c r="J181" s="57" t="n">
        <v>0</v>
      </c>
      <c r="K181" s="56" t="inlineStr">
        <is>
          <t>account data velocity</t>
        </is>
      </c>
      <c r="L181" s="58" t="n">
        <v>3.0782</v>
      </c>
      <c r="M181" s="56" t="inlineStr">
        <is>
          <t>own BFCM 2025 lift (account data)</t>
        </is>
      </c>
      <c r="N181" s="59">
        <f>J181*34+J181*L181*12</f>
        <v/>
      </c>
      <c r="O181" s="59">
        <f>MAX(0,N181-G181-H181)</f>
        <v/>
      </c>
      <c r="P181" s="60">
        <f>IF(J181=0,"",IF(G181&lt;J181*34,DATE(2026,10,15)+G181/J181,IF(G181&lt;N181,DATE(2026,11,18)+(G181-J181*34)/(J181*L181),"after Nov 30")))</f>
        <v/>
      </c>
      <c r="Q181" s="60">
        <f>IF(J181=0,"",IF(G181+H181&lt;J181*34,DATE(2026,10,15)+(G181+H181)/J181,IF(G181+H181&lt;N181,DATE(2026,11,18)+(G181+H181-J181*34)/(J181*L181),"after Nov 30")))</f>
        <v/>
      </c>
      <c r="R181" s="54">
        <f>IF(AND(G181&lt;=0,J181&gt;0),"Out of stock now",IF(G181&gt;=N181,"Covered to Nov 30",IF(G181+H181&gt;=N181,"Needs inbound in time","Short even with inbound")))</f>
        <v/>
      </c>
      <c r="S181" s="57" t="n"/>
      <c r="T181" s="59">
        <f>IF(S181="","",S181*34+S181*L181*12)</f>
        <v/>
      </c>
    </row>
    <row r="182">
      <c r="A182" s="54" t="inlineStr">
        <is>
          <t>CA DC B4</t>
        </is>
      </c>
      <c r="B182" s="54" t="inlineStr">
        <is>
          <t>CA</t>
        </is>
      </c>
      <c r="C182" s="54" t="inlineStr">
        <is>
          <t>B0BZQ19Z47</t>
        </is>
      </c>
      <c r="D182" s="54" t="inlineStr">
        <is>
          <t>BAMBOO-CALIFKING-LIGHTOLIVE</t>
        </is>
      </c>
      <c r="E182" s="54" t="inlineStr">
        <is>
          <t>California King</t>
        </is>
      </c>
      <c r="F182" s="54" t="inlineStr">
        <is>
          <t>Light Olive</t>
        </is>
      </c>
      <c r="G182" s="55" t="n">
        <v>5</v>
      </c>
      <c r="H182" s="55" t="n">
        <v>6</v>
      </c>
      <c r="I182" s="56" t="n"/>
      <c r="J182" s="57" t="n">
        <v>0</v>
      </c>
      <c r="K182" s="56" t="inlineStr">
        <is>
          <t>account data velocity</t>
        </is>
      </c>
      <c r="L182" s="58" t="n">
        <v>3.0782</v>
      </c>
      <c r="M182" s="56" t="inlineStr">
        <is>
          <t>own BFCM 2025 lift (account data)</t>
        </is>
      </c>
      <c r="N182" s="59">
        <f>J182*34+J182*L182*12</f>
        <v/>
      </c>
      <c r="O182" s="59">
        <f>MAX(0,N182-G182-H182)</f>
        <v/>
      </c>
      <c r="P182" s="60">
        <f>IF(J182=0,"",IF(G182&lt;J182*34,DATE(2026,10,15)+G182/J182,IF(G182&lt;N182,DATE(2026,11,18)+(G182-J182*34)/(J182*L182),"after Nov 30")))</f>
        <v/>
      </c>
      <c r="Q182" s="60">
        <f>IF(J182=0,"",IF(G182+H182&lt;J182*34,DATE(2026,10,15)+(G182+H182)/J182,IF(G182+H182&lt;N182,DATE(2026,11,18)+(G182+H182-J182*34)/(J182*L182),"after Nov 30")))</f>
        <v/>
      </c>
      <c r="R182" s="54">
        <f>IF(AND(G182&lt;=0,J182&gt;0),"Out of stock now",IF(G182&gt;=N182,"Covered to Nov 30",IF(G182+H182&gt;=N182,"Needs inbound in time","Short even with inbound")))</f>
        <v/>
      </c>
      <c r="S182" s="57" t="n">
        <v>0</v>
      </c>
      <c r="T182" s="59">
        <f>IF(S182="","",S182*34+S182*L182*12)</f>
        <v/>
      </c>
    </row>
    <row r="183">
      <c r="A183" s="54" t="inlineStr">
        <is>
          <t>CA DC B4</t>
        </is>
      </c>
      <c r="B183" s="54" t="inlineStr">
        <is>
          <t>CA</t>
        </is>
      </c>
      <c r="C183" s="54" t="inlineStr">
        <is>
          <t>B08KQJBRKM</t>
        </is>
      </c>
      <c r="D183" s="54" t="inlineStr">
        <is>
          <t>BAMBOO-FULL-TAUPE</t>
        </is>
      </c>
      <c r="E183" s="54" t="inlineStr">
        <is>
          <t>Full</t>
        </is>
      </c>
      <c r="F183" s="54" t="inlineStr">
        <is>
          <t>Taupe</t>
        </is>
      </c>
      <c r="G183" s="55" t="n">
        <v>0</v>
      </c>
      <c r="H183" s="55" t="n">
        <v>18</v>
      </c>
      <c r="I183" s="56" t="inlineStr">
        <is>
          <t>FBA19QLVD3FK shipped: 18</t>
        </is>
      </c>
      <c r="J183" s="57" t="n">
        <v>0</v>
      </c>
      <c r="K183" s="56" t="inlineStr">
        <is>
          <t>account data velocity</t>
        </is>
      </c>
      <c r="L183" s="58" t="n">
        <v>3.0782</v>
      </c>
      <c r="M183" s="56" t="inlineStr">
        <is>
          <t>own BFCM 2025 lift (account data)</t>
        </is>
      </c>
      <c r="N183" s="59">
        <f>J183*34+J183*L183*12</f>
        <v/>
      </c>
      <c r="O183" s="59">
        <f>MAX(0,N183-G183-H183)</f>
        <v/>
      </c>
      <c r="P183" s="60">
        <f>IF(J183=0,"",IF(G183&lt;J183*34,DATE(2026,10,15)+G183/J183,IF(G183&lt;N183,DATE(2026,11,18)+(G183-J183*34)/(J183*L183),"after Nov 30")))</f>
        <v/>
      </c>
      <c r="Q183" s="60">
        <f>IF(J183=0,"",IF(G183+H183&lt;J183*34,DATE(2026,10,15)+(G183+H183)/J183,IF(G183+H183&lt;N183,DATE(2026,11,18)+(G183+H183-J183*34)/(J183*L183),"after Nov 30")))</f>
        <v/>
      </c>
      <c r="R183" s="54">
        <f>IF(AND(G183&lt;=0,J183&gt;0),"Out of stock now",IF(G183&gt;=N183,"Covered to Nov 30",IF(G183+H183&gt;=N183,"Needs inbound in time","Short even with inbound")))</f>
        <v/>
      </c>
      <c r="S183" s="57" t="n"/>
      <c r="T183" s="59">
        <f>IF(S183="","",S183*34+S183*L183*12)</f>
        <v/>
      </c>
    </row>
    <row r="184">
      <c r="A184" s="54" t="inlineStr">
        <is>
          <t>CA DC B4</t>
        </is>
      </c>
      <c r="B184" s="54" t="inlineStr">
        <is>
          <t>CA</t>
        </is>
      </c>
      <c r="C184" s="54" t="inlineStr">
        <is>
          <t>B0BZPVXR69</t>
        </is>
      </c>
      <c r="D184" s="54" t="inlineStr">
        <is>
          <t>BAMBOO-KING-MIDGREY</t>
        </is>
      </c>
      <c r="E184" s="54" t="inlineStr">
        <is>
          <t>King</t>
        </is>
      </c>
      <c r="F184" s="54" t="inlineStr">
        <is>
          <t>Midgrey</t>
        </is>
      </c>
      <c r="G184" s="55" t="n">
        <v>6</v>
      </c>
      <c r="H184" s="55" t="n">
        <v>96</v>
      </c>
      <c r="I184" s="56" t="inlineStr">
        <is>
          <t>FBA19RSBKFGZ shipped: 18; FBA19QLVD3FK shipped: 18</t>
        </is>
      </c>
      <c r="J184" s="57" t="n">
        <v>0</v>
      </c>
      <c r="K184" s="56" t="inlineStr">
        <is>
          <t>account data velocity</t>
        </is>
      </c>
      <c r="L184" s="58" t="n">
        <v>3.0782</v>
      </c>
      <c r="M184" s="56" t="inlineStr">
        <is>
          <t>own BFCM 2025 lift (account data)</t>
        </is>
      </c>
      <c r="N184" s="59">
        <f>J184*34+J184*L184*12</f>
        <v/>
      </c>
      <c r="O184" s="59">
        <f>MAX(0,N184-G184-H184)</f>
        <v/>
      </c>
      <c r="P184" s="60">
        <f>IF(J184=0,"",IF(G184&lt;J184*34,DATE(2026,10,15)+G184/J184,IF(G184&lt;N184,DATE(2026,11,18)+(G184-J184*34)/(J184*L184),"after Nov 30")))</f>
        <v/>
      </c>
      <c r="Q184" s="60">
        <f>IF(J184=0,"",IF(G184+H184&lt;J184*34,DATE(2026,10,15)+(G184+H184)/J184,IF(G184+H184&lt;N184,DATE(2026,11,18)+(G184+H184-J184*34)/(J184*L184),"after Nov 30")))</f>
        <v/>
      </c>
      <c r="R184" s="54">
        <f>IF(AND(G184&lt;=0,J184&gt;0),"Out of stock now",IF(G184&gt;=N184,"Covered to Nov 30",IF(G184+H184&gt;=N184,"Needs inbound in time","Short even with inbound")))</f>
        <v/>
      </c>
      <c r="S184" s="57" t="n"/>
      <c r="T184" s="59">
        <f>IF(S184="","",S184*34+S184*L184*12)</f>
        <v/>
      </c>
    </row>
    <row r="185">
      <c r="A185" s="54" t="inlineStr">
        <is>
          <t>CA DC B4</t>
        </is>
      </c>
      <c r="B185" s="54" t="inlineStr">
        <is>
          <t>CA</t>
        </is>
      </c>
      <c r="C185" s="54" t="inlineStr">
        <is>
          <t>B08KQLK2HK</t>
        </is>
      </c>
      <c r="D185" s="54" t="inlineStr">
        <is>
          <t>BAMBOO-KING-OLIVE</t>
        </is>
      </c>
      <c r="E185" s="54" t="inlineStr">
        <is>
          <t>King</t>
        </is>
      </c>
      <c r="F185" s="54" t="inlineStr">
        <is>
          <t>Olive</t>
        </is>
      </c>
      <c r="G185" s="55" t="n">
        <v>0</v>
      </c>
      <c r="H185" s="55" t="n">
        <v>54</v>
      </c>
      <c r="I185" s="56" t="inlineStr">
        <is>
          <t>FBA19QLVD3FK shipped: 54</t>
        </is>
      </c>
      <c r="J185" s="57" t="n">
        <v>0</v>
      </c>
      <c r="K185" s="56" t="inlineStr">
        <is>
          <t>account data velocity</t>
        </is>
      </c>
      <c r="L185" s="58" t="n">
        <v>3.0782</v>
      </c>
      <c r="M185" s="56" t="inlineStr">
        <is>
          <t>own BFCM 2025 lift (account data)</t>
        </is>
      </c>
      <c r="N185" s="59">
        <f>J185*34+J185*L185*12</f>
        <v/>
      </c>
      <c r="O185" s="59">
        <f>MAX(0,N185-G185-H185)</f>
        <v/>
      </c>
      <c r="P185" s="60">
        <f>IF(J185=0,"",IF(G185&lt;J185*34,DATE(2026,10,15)+G185/J185,IF(G185&lt;N185,DATE(2026,11,18)+(G185-J185*34)/(J185*L185),"after Nov 30")))</f>
        <v/>
      </c>
      <c r="Q185" s="60">
        <f>IF(J185=0,"",IF(G185+H185&lt;J185*34,DATE(2026,10,15)+(G185+H185)/J185,IF(G185+H185&lt;N185,DATE(2026,11,18)+(G185+H185-J185*34)/(J185*L185),"after Nov 30")))</f>
        <v/>
      </c>
      <c r="R185" s="54">
        <f>IF(AND(G185&lt;=0,J185&gt;0),"Out of stock now",IF(G185&gt;=N185,"Covered to Nov 30",IF(G185+H185&gt;=N185,"Needs inbound in time","Short even with inbound")))</f>
        <v/>
      </c>
      <c r="S185" s="57" t="n"/>
      <c r="T185" s="59">
        <f>IF(S185="","",S185*34+S185*L185*12)</f>
        <v/>
      </c>
    </row>
    <row r="186">
      <c r="A186" s="54" t="inlineStr">
        <is>
          <t>CA DC B4</t>
        </is>
      </c>
      <c r="B186" s="54" t="inlineStr">
        <is>
          <t>CA</t>
        </is>
      </c>
      <c r="C186" s="54" t="inlineStr">
        <is>
          <t>B08KQKS54Q</t>
        </is>
      </c>
      <c r="D186" s="54" t="inlineStr">
        <is>
          <t>BAMBOO-TWIN-CREME</t>
        </is>
      </c>
      <c r="E186" s="54" t="inlineStr">
        <is>
          <t>Twin</t>
        </is>
      </c>
      <c r="F186" s="54" t="inlineStr">
        <is>
          <t>Creme</t>
        </is>
      </c>
      <c r="G186" s="55" t="n">
        <v>0</v>
      </c>
      <c r="H186" s="55" t="n">
        <v>18</v>
      </c>
      <c r="I186" s="56" t="inlineStr">
        <is>
          <t>FBA19LP4SKXM in transit: 18</t>
        </is>
      </c>
      <c r="J186" s="57" t="n">
        <v>0</v>
      </c>
      <c r="K186" s="56" t="inlineStr">
        <is>
          <t>account data velocity</t>
        </is>
      </c>
      <c r="L186" s="58" t="n">
        <v>3.0782</v>
      </c>
      <c r="M186" s="56" t="inlineStr">
        <is>
          <t>own BFCM 2025 lift (account data)</t>
        </is>
      </c>
      <c r="N186" s="59">
        <f>J186*34+J186*L186*12</f>
        <v/>
      </c>
      <c r="O186" s="59">
        <f>MAX(0,N186-G186-H186)</f>
        <v/>
      </c>
      <c r="P186" s="60">
        <f>IF(J186=0,"",IF(G186&lt;J186*34,DATE(2026,10,15)+G186/J186,IF(G186&lt;N186,DATE(2026,11,18)+(G186-J186*34)/(J186*L186),"after Nov 30")))</f>
        <v/>
      </c>
      <c r="Q186" s="60">
        <f>IF(J186=0,"",IF(G186+H186&lt;J186*34,DATE(2026,10,15)+(G186+H186)/J186,IF(G186+H186&lt;N186,DATE(2026,11,18)+(G186+H186-J186*34)/(J186*L186),"after Nov 30")))</f>
        <v/>
      </c>
      <c r="R186" s="54">
        <f>IF(AND(G186&lt;=0,J186&gt;0),"Out of stock now",IF(G186&gt;=N186,"Covered to Nov 30",IF(G186+H186&gt;=N186,"Needs inbound in time","Short even with inbound")))</f>
        <v/>
      </c>
      <c r="S186" s="57" t="n"/>
      <c r="T186" s="59">
        <f>IF(S186="","",S186*34+S186*L186*12)</f>
        <v/>
      </c>
    </row>
    <row r="187">
      <c r="A187" s="54" t="inlineStr">
        <is>
          <t>CA DC B4</t>
        </is>
      </c>
      <c r="B187" s="54" t="inlineStr">
        <is>
          <t>CA</t>
        </is>
      </c>
      <c r="C187" s="54" t="inlineStr">
        <is>
          <t>B0BZQ21K22</t>
        </is>
      </c>
      <c r="D187" s="54" t="inlineStr">
        <is>
          <t>BAMBOO-TWIN-MIDGREY</t>
        </is>
      </c>
      <c r="E187" s="54" t="inlineStr">
        <is>
          <t>Twin</t>
        </is>
      </c>
      <c r="F187" s="54" t="inlineStr">
        <is>
          <t>Midgrey</t>
        </is>
      </c>
      <c r="G187" s="55" t="n">
        <v>0</v>
      </c>
      <c r="H187" s="55" t="n">
        <v>6</v>
      </c>
      <c r="I187" s="56" t="inlineStr">
        <is>
          <t>FBA19QLVD3FK shipped: 6</t>
        </is>
      </c>
      <c r="J187" s="57" t="n">
        <v>0</v>
      </c>
      <c r="K187" s="56" t="inlineStr">
        <is>
          <t>account data velocity</t>
        </is>
      </c>
      <c r="L187" s="58" t="n">
        <v>3.0782</v>
      </c>
      <c r="M187" s="56" t="inlineStr">
        <is>
          <t>own BFCM 2025 lift (account data)</t>
        </is>
      </c>
      <c r="N187" s="59">
        <f>J187*34+J187*L187*12</f>
        <v/>
      </c>
      <c r="O187" s="59">
        <f>MAX(0,N187-G187-H187)</f>
        <v/>
      </c>
      <c r="P187" s="60">
        <f>IF(J187=0,"",IF(G187&lt;J187*34,DATE(2026,10,15)+G187/J187,IF(G187&lt;N187,DATE(2026,11,18)+(G187-J187*34)/(J187*L187),"after Nov 30")))</f>
        <v/>
      </c>
      <c r="Q187" s="60">
        <f>IF(J187=0,"",IF(G187+H187&lt;J187*34,DATE(2026,10,15)+(G187+H187)/J187,IF(G187+H187&lt;N187,DATE(2026,11,18)+(G187+H187-J187*34)/(J187*L187),"after Nov 30")))</f>
        <v/>
      </c>
      <c r="R187" s="54">
        <f>IF(AND(G187&lt;=0,J187&gt;0),"Out of stock now",IF(G187&gt;=N187,"Covered to Nov 30",IF(G187+H187&gt;=N187,"Needs inbound in time","Short even with inbound")))</f>
        <v/>
      </c>
      <c r="S187" s="57" t="n"/>
      <c r="T187" s="59">
        <f>IF(S187="","",S187*34+S187*L187*12)</f>
        <v/>
      </c>
    </row>
    <row r="188">
      <c r="A188" s="54" t="inlineStr">
        <is>
          <t>CA DC B4</t>
        </is>
      </c>
      <c r="B188" s="54" t="inlineStr">
        <is>
          <t>CA</t>
        </is>
      </c>
      <c r="C188" s="54" t="inlineStr">
        <is>
          <t>B08KQKKVSX</t>
        </is>
      </c>
      <c r="D188" s="54" t="inlineStr">
        <is>
          <t>BAMBOO-TWIN-OLIVE</t>
        </is>
      </c>
      <c r="E188" s="54" t="inlineStr">
        <is>
          <t>Twin</t>
        </is>
      </c>
      <c r="F188" s="54" t="inlineStr">
        <is>
          <t>Olive</t>
        </is>
      </c>
      <c r="G188" s="55" t="n">
        <v>0</v>
      </c>
      <c r="H188" s="55" t="n">
        <v>6</v>
      </c>
      <c r="I188" s="56" t="inlineStr">
        <is>
          <t>FBA19QLVD3FK shipped: 6</t>
        </is>
      </c>
      <c r="J188" s="57" t="n">
        <v>0</v>
      </c>
      <c r="K188" s="56" t="inlineStr">
        <is>
          <t>account data velocity</t>
        </is>
      </c>
      <c r="L188" s="58" t="n">
        <v>3.0782</v>
      </c>
      <c r="M188" s="56" t="inlineStr">
        <is>
          <t>own BFCM 2025 lift (account data)</t>
        </is>
      </c>
      <c r="N188" s="59">
        <f>J188*34+J188*L188*12</f>
        <v/>
      </c>
      <c r="O188" s="59">
        <f>MAX(0,N188-G188-H188)</f>
        <v/>
      </c>
      <c r="P188" s="60">
        <f>IF(J188=0,"",IF(G188&lt;J188*34,DATE(2026,10,15)+G188/J188,IF(G188&lt;N188,DATE(2026,11,18)+(G188-J188*34)/(J188*L188),"after Nov 30")))</f>
        <v/>
      </c>
      <c r="Q188" s="60">
        <f>IF(J188=0,"",IF(G188+H188&lt;J188*34,DATE(2026,10,15)+(G188+H188)/J188,IF(G188+H188&lt;N188,DATE(2026,11,18)+(G188+H188-J188*34)/(J188*L188),"after Nov 30")))</f>
        <v/>
      </c>
      <c r="R188" s="54">
        <f>IF(AND(G188&lt;=0,J188&gt;0),"Out of stock now",IF(G188&gt;=N188,"Covered to Nov 30",IF(G188+H188&gt;=N188,"Needs inbound in time","Short even with inbound")))</f>
        <v/>
      </c>
      <c r="S188" s="57" t="n"/>
      <c r="T188" s="59">
        <f>IF(S188="","",S188*34+S188*L188*12)</f>
        <v/>
      </c>
    </row>
    <row r="189">
      <c r="A189" s="54" t="inlineStr">
        <is>
          <t>US DC B6</t>
        </is>
      </c>
      <c r="B189" s="54" t="inlineStr">
        <is>
          <t>US</t>
        </is>
      </c>
      <c r="C189" s="54" t="inlineStr">
        <is>
          <t>B0CQ3178D7</t>
        </is>
      </c>
      <c r="D189" s="54" t="inlineStr">
        <is>
          <t>BAMBOO-KING-TAUPE-6PCS</t>
        </is>
      </c>
      <c r="E189" s="54" t="inlineStr">
        <is>
          <t>King</t>
        </is>
      </c>
      <c r="F189" s="54" t="inlineStr">
        <is>
          <t>Taupe</t>
        </is>
      </c>
      <c r="G189" s="55" t="n">
        <v>67</v>
      </c>
      <c r="H189" s="55" t="n">
        <v>60</v>
      </c>
      <c r="I189" s="56" t="inlineStr">
        <is>
          <t>FBA19SV5KWMR ready to ship: 8; FBA19QLJLR1F shipped: 16; FBA19QLKCVBW shipped: 16; FBA19QLK9CYH shipped: 4; FBA19QLKHC6Q shipped: 8; FBA19QLJ0ZP4 shipped: 16</t>
        </is>
      </c>
      <c r="J189" s="57" t="n">
        <v>17.76</v>
      </c>
      <c r="K189" s="56" t="inlineStr">
        <is>
          <t>account data velocity</t>
        </is>
      </c>
      <c r="L189" s="58" t="n">
        <v>2.4883</v>
      </c>
      <c r="M189" s="56" t="inlineStr">
        <is>
          <t>own BFCM 2025 lift (account data)</t>
        </is>
      </c>
      <c r="N189" s="59">
        <f>J189*34+J189*L189*12</f>
        <v/>
      </c>
      <c r="O189" s="59">
        <f>MAX(0,N189-G189-H189)</f>
        <v/>
      </c>
      <c r="P189" s="60">
        <f>IF(J189=0,"",IF(G189&lt;J189*34,DATE(2026,10,15)+G189/J189,IF(G189&lt;N189,DATE(2026,11,18)+(G189-J189*34)/(J189*L189),"after Nov 30")))</f>
        <v/>
      </c>
      <c r="Q189" s="60">
        <f>IF(J189=0,"",IF(G189+H189&lt;J189*34,DATE(2026,10,15)+(G189+H189)/J189,IF(G189+H189&lt;N189,DATE(2026,11,18)+(G189+H189-J189*34)/(J189*L189),"after Nov 30")))</f>
        <v/>
      </c>
      <c r="R189" s="54">
        <f>IF(AND(G189&lt;=0,J189&gt;0),"Out of stock now",IF(G189&gt;=N189,"Covered to Nov 30",IF(G189+H189&gt;=N189,"Needs inbound in time","Short even with inbound")))</f>
        <v/>
      </c>
      <c r="S189" s="57" t="n">
        <v>6.821</v>
      </c>
      <c r="T189" s="59">
        <f>IF(S189="","",S189*34+S189*L189*12)</f>
        <v/>
      </c>
    </row>
    <row r="190">
      <c r="A190" s="54" t="inlineStr">
        <is>
          <t>US DC B6</t>
        </is>
      </c>
      <c r="B190" s="54" t="inlineStr">
        <is>
          <t>US</t>
        </is>
      </c>
      <c r="C190" s="54" t="inlineStr">
        <is>
          <t>B0CQ2XQF9N</t>
        </is>
      </c>
      <c r="D190" s="54" t="inlineStr">
        <is>
          <t>BAMBOO-KING-WHITE-6PCS</t>
        </is>
      </c>
      <c r="E190" s="54" t="inlineStr">
        <is>
          <t>King</t>
        </is>
      </c>
      <c r="F190" s="54" t="inlineStr">
        <is>
          <t>White</t>
        </is>
      </c>
      <c r="G190" s="55" t="n">
        <v>1160</v>
      </c>
      <c r="H190" s="55" t="n">
        <v>128</v>
      </c>
      <c r="I190" s="56" t="inlineStr">
        <is>
          <t>FBA19STZ9LHZ ready to ship: 24; FBA19STRJMC3 ready to ship: 16; FBA19SV47PX1 ready to ship: 44; FBA19SV1CLVT ready to ship: 32; FBA19STYQSF4 ready to ship: 12</t>
        </is>
      </c>
      <c r="J190" s="57" t="n">
        <v>11.49</v>
      </c>
      <c r="K190" s="56" t="inlineStr">
        <is>
          <t>account data velocity</t>
        </is>
      </c>
      <c r="L190" s="58" t="n">
        <v>2.4883</v>
      </c>
      <c r="M190" s="56" t="inlineStr">
        <is>
          <t>own BFCM 2025 lift (account data)</t>
        </is>
      </c>
      <c r="N190" s="59">
        <f>J190*34+J190*L190*12</f>
        <v/>
      </c>
      <c r="O190" s="59">
        <f>MAX(0,N190-G190-H190)</f>
        <v/>
      </c>
      <c r="P190" s="60">
        <f>IF(J190=0,"",IF(G190&lt;J190*34,DATE(2026,10,15)+G190/J190,IF(G190&lt;N190,DATE(2026,11,18)+(G190-J190*34)/(J190*L190),"after Nov 30")))</f>
        <v/>
      </c>
      <c r="Q190" s="60">
        <f>IF(J190=0,"",IF(G190+H190&lt;J190*34,DATE(2026,10,15)+(G190+H190)/J190,IF(G190+H190&lt;N190,DATE(2026,11,18)+(G190+H190-J190*34)/(J190*L190),"after Nov 30")))</f>
        <v/>
      </c>
      <c r="R190" s="54">
        <f>IF(AND(G190&lt;=0,J190&gt;0),"Out of stock now",IF(G190&gt;=N190,"Covered to Nov 30",IF(G190+H190&gt;=N190,"Needs inbound in time","Short even with inbound")))</f>
        <v/>
      </c>
      <c r="S190" s="57" t="n">
        <v>7.679</v>
      </c>
      <c r="T190" s="59">
        <f>IF(S190="","",S190*34+S190*L190*12)</f>
        <v/>
      </c>
    </row>
    <row r="191">
      <c r="A191" s="54" t="inlineStr">
        <is>
          <t>US DC B6</t>
        </is>
      </c>
      <c r="B191" s="54" t="inlineStr">
        <is>
          <t>US</t>
        </is>
      </c>
      <c r="C191" s="54" t="inlineStr">
        <is>
          <t>B0CQ2ZWGNQ</t>
        </is>
      </c>
      <c r="D191" s="54" t="inlineStr">
        <is>
          <t>BAMBOO-QUEEN-WHITE-6PCS</t>
        </is>
      </c>
      <c r="E191" s="54" t="inlineStr">
        <is>
          <t>Queen</t>
        </is>
      </c>
      <c r="F191" s="54" t="inlineStr">
        <is>
          <t>White</t>
        </is>
      </c>
      <c r="G191" s="55" t="n">
        <v>377</v>
      </c>
      <c r="H191" s="55" t="n">
        <v>288</v>
      </c>
      <c r="I191" s="56" t="inlineStr">
        <is>
          <t>FBA19P55072C in transit: 288</t>
        </is>
      </c>
      <c r="J191" s="57" t="n">
        <v>6.05</v>
      </c>
      <c r="K191" s="56" t="inlineStr">
        <is>
          <t>account data velocity</t>
        </is>
      </c>
      <c r="L191" s="58" t="n">
        <v>2.4883</v>
      </c>
      <c r="M191" s="56" t="inlineStr">
        <is>
          <t>own BFCM 2025 lift (account data)</t>
        </is>
      </c>
      <c r="N191" s="59">
        <f>J191*34+J191*L191*12</f>
        <v/>
      </c>
      <c r="O191" s="59">
        <f>MAX(0,N191-G191-H191)</f>
        <v/>
      </c>
      <c r="P191" s="60">
        <f>IF(J191=0,"",IF(G191&lt;J191*34,DATE(2026,10,15)+G191/J191,IF(G191&lt;N191,DATE(2026,11,18)+(G191-J191*34)/(J191*L191),"after Nov 30")))</f>
        <v/>
      </c>
      <c r="Q191" s="60">
        <f>IF(J191=0,"",IF(G191+H191&lt;J191*34,DATE(2026,10,15)+(G191+H191)/J191,IF(G191+H191&lt;N191,DATE(2026,11,18)+(G191+H191-J191*34)/(J191*L191),"after Nov 30")))</f>
        <v/>
      </c>
      <c r="R191" s="54">
        <f>IF(AND(G191&lt;=0,J191&gt;0),"Out of stock now",IF(G191&gt;=N191,"Covered to Nov 30",IF(G191+H191&gt;=N191,"Needs inbound in time","Short even with inbound")))</f>
        <v/>
      </c>
      <c r="S191" s="57" t="n">
        <v>5.107</v>
      </c>
      <c r="T191" s="59">
        <f>IF(S191="","",S191*34+S191*L191*12)</f>
        <v/>
      </c>
    </row>
    <row r="192">
      <c r="A192" s="54" t="inlineStr">
        <is>
          <t>US DC B6</t>
        </is>
      </c>
      <c r="B192" s="54" t="inlineStr">
        <is>
          <t>US</t>
        </is>
      </c>
      <c r="C192" s="54" t="inlineStr">
        <is>
          <t>B0CQ33198K</t>
        </is>
      </c>
      <c r="D192" s="54" t="inlineStr">
        <is>
          <t>BAMBOO-QUEEN-TAUPE-6PCS</t>
        </is>
      </c>
      <c r="E192" s="54" t="inlineStr">
        <is>
          <t>Queen</t>
        </is>
      </c>
      <c r="F192" s="54" t="inlineStr">
        <is>
          <t>Taupe</t>
        </is>
      </c>
      <c r="G192" s="55" t="n">
        <v>144</v>
      </c>
      <c r="H192" s="55" t="n">
        <v>30</v>
      </c>
      <c r="I192" s="56" t="inlineStr">
        <is>
          <t>FBA19SV5KWMR ready to ship: 6; FBA19QLJLR1F shipped: 6; FBA19QLKCVBW shipped: 6; FBA19QLK9CYH shipped: 6; FBA19QLKHC6Q shipped: 6; FBA19QLJ0ZP4 shipped: 6</t>
        </is>
      </c>
      <c r="J192" s="57" t="n">
        <v>5.89</v>
      </c>
      <c r="K192" s="56" t="inlineStr">
        <is>
          <t>account data velocity</t>
        </is>
      </c>
      <c r="L192" s="58" t="n">
        <v>2.4883</v>
      </c>
      <c r="M192" s="56" t="inlineStr">
        <is>
          <t>own BFCM 2025 lift (account data)</t>
        </is>
      </c>
      <c r="N192" s="59">
        <f>J192*34+J192*L192*12</f>
        <v/>
      </c>
      <c r="O192" s="59">
        <f>MAX(0,N192-G192-H192)</f>
        <v/>
      </c>
      <c r="P192" s="60">
        <f>IF(J192=0,"",IF(G192&lt;J192*34,DATE(2026,10,15)+G192/J192,IF(G192&lt;N192,DATE(2026,11,18)+(G192-J192*34)/(J192*L192),"after Nov 30")))</f>
        <v/>
      </c>
      <c r="Q192" s="60">
        <f>IF(J192=0,"",IF(G192+H192&lt;J192*34,DATE(2026,10,15)+(G192+H192)/J192,IF(G192+H192&lt;N192,DATE(2026,11,18)+(G192+H192-J192*34)/(J192*L192),"after Nov 30")))</f>
        <v/>
      </c>
      <c r="R192" s="54">
        <f>IF(AND(G192&lt;=0,J192&gt;0),"Out of stock now",IF(G192&gt;=N192,"Covered to Nov 30",IF(G192+H192&gt;=N192,"Needs inbound in time","Short even with inbound")))</f>
        <v/>
      </c>
      <c r="S192" s="57" t="n">
        <v>2.929</v>
      </c>
      <c r="T192" s="59">
        <f>IF(S192="","",S192*34+S192*L192*12)</f>
        <v/>
      </c>
    </row>
    <row r="193">
      <c r="A193" s="54" t="inlineStr">
        <is>
          <t>US DC B6</t>
        </is>
      </c>
      <c r="B193" s="54" t="inlineStr">
        <is>
          <t>US</t>
        </is>
      </c>
      <c r="C193" s="54" t="inlineStr">
        <is>
          <t>B0CQ33H4QW</t>
        </is>
      </c>
      <c r="D193" s="54" t="inlineStr">
        <is>
          <t>BAMBOO-KING-LIGHTGREY-6PCS</t>
        </is>
      </c>
      <c r="E193" s="54" t="inlineStr">
        <is>
          <t>King</t>
        </is>
      </c>
      <c r="F193" s="54" t="inlineStr">
        <is>
          <t>Light Grey</t>
        </is>
      </c>
      <c r="G193" s="55" t="n">
        <v>421</v>
      </c>
      <c r="H193" s="55" t="n">
        <v>320</v>
      </c>
      <c r="I193" s="56" t="inlineStr">
        <is>
          <t>FBA19STZ9LHZ ready to ship: 80; FBA19STRJMC3 ready to ship: 52; FBA19SV47PX1 ready to ship: 84; FBA19SV1CLVT ready to ship: 72; FBA19STYQSF4 ready to ship: 32</t>
        </is>
      </c>
      <c r="J193" s="57" t="n">
        <v>3.91</v>
      </c>
      <c r="K193" s="56" t="inlineStr">
        <is>
          <t>account data velocity</t>
        </is>
      </c>
      <c r="L193" s="58" t="n">
        <v>2.4883</v>
      </c>
      <c r="M193" s="56" t="inlineStr">
        <is>
          <t>own BFCM 2025 lift (account data)</t>
        </is>
      </c>
      <c r="N193" s="59">
        <f>J193*34+J193*L193*12</f>
        <v/>
      </c>
      <c r="O193" s="59">
        <f>MAX(0,N193-G193-H193)</f>
        <v/>
      </c>
      <c r="P193" s="60">
        <f>IF(J193=0,"",IF(G193&lt;J193*34,DATE(2026,10,15)+G193/J193,IF(G193&lt;N193,DATE(2026,11,18)+(G193-J193*34)/(J193*L193),"after Nov 30")))</f>
        <v/>
      </c>
      <c r="Q193" s="60">
        <f>IF(J193=0,"",IF(G193+H193&lt;J193*34,DATE(2026,10,15)+(G193+H193)/J193,IF(G193+H193&lt;N193,DATE(2026,11,18)+(G193+H193-J193*34)/(J193*L193),"after Nov 30")))</f>
        <v/>
      </c>
      <c r="R193" s="54">
        <f>IF(AND(G193&lt;=0,J193&gt;0),"Out of stock now",IF(G193&gt;=N193,"Covered to Nov 30",IF(G193+H193&gt;=N193,"Needs inbound in time","Short even with inbound")))</f>
        <v/>
      </c>
      <c r="S193" s="57" t="n">
        <v>2.714</v>
      </c>
      <c r="T193" s="59">
        <f>IF(S193="","",S193*34+S193*L193*12)</f>
        <v/>
      </c>
    </row>
    <row r="194">
      <c r="A194" s="54" t="inlineStr">
        <is>
          <t>US DC B6</t>
        </is>
      </c>
      <c r="B194" s="54" t="inlineStr">
        <is>
          <t>US</t>
        </is>
      </c>
      <c r="C194" s="54" t="inlineStr">
        <is>
          <t>B0CQ331L15</t>
        </is>
      </c>
      <c r="D194" s="54" t="inlineStr">
        <is>
          <t>BAMBOO-KING-BLACK-6PCS</t>
        </is>
      </c>
      <c r="E194" s="54" t="inlineStr">
        <is>
          <t>King</t>
        </is>
      </c>
      <c r="F194" s="54" t="inlineStr">
        <is>
          <t>Black</t>
        </is>
      </c>
      <c r="G194" s="55" t="n">
        <v>65</v>
      </c>
      <c r="H194" s="55" t="n">
        <v>4</v>
      </c>
      <c r="I194" s="56" t="inlineStr">
        <is>
          <t>FBA19P55072C in transit: 4</t>
        </is>
      </c>
      <c r="J194" s="57" t="n">
        <v>3.49</v>
      </c>
      <c r="K194" s="56" t="inlineStr">
        <is>
          <t>account data velocity</t>
        </is>
      </c>
      <c r="L194" s="58" t="n">
        <v>2.4883</v>
      </c>
      <c r="M194" s="56" t="inlineStr">
        <is>
          <t>own BFCM 2025 lift (account data)</t>
        </is>
      </c>
      <c r="N194" s="59">
        <f>J194*34+J194*L194*12</f>
        <v/>
      </c>
      <c r="O194" s="59">
        <f>MAX(0,N194-G194-H194)</f>
        <v/>
      </c>
      <c r="P194" s="60">
        <f>IF(J194=0,"",IF(G194&lt;J194*34,DATE(2026,10,15)+G194/J194,IF(G194&lt;N194,DATE(2026,11,18)+(G194-J194*34)/(J194*L194),"after Nov 30")))</f>
        <v/>
      </c>
      <c r="Q194" s="60">
        <f>IF(J194=0,"",IF(G194+H194&lt;J194*34,DATE(2026,10,15)+(G194+H194)/J194,IF(G194+H194&lt;N194,DATE(2026,11,18)+(G194+H194-J194*34)/(J194*L194),"after Nov 30")))</f>
        <v/>
      </c>
      <c r="R194" s="54">
        <f>IF(AND(G194&lt;=0,J194&gt;0),"Out of stock now",IF(G194&gt;=N194,"Covered to Nov 30",IF(G194+H194&gt;=N194,"Needs inbound in time","Short even with inbound")))</f>
        <v/>
      </c>
      <c r="S194" s="57" t="n">
        <v>1.679</v>
      </c>
      <c r="T194" s="59">
        <f>IF(S194="","",S194*34+S194*L194*12)</f>
        <v/>
      </c>
    </row>
    <row r="195">
      <c r="A195" s="54" t="inlineStr">
        <is>
          <t>US DC B6</t>
        </is>
      </c>
      <c r="B195" s="54" t="inlineStr">
        <is>
          <t>US</t>
        </is>
      </c>
      <c r="C195" s="54" t="inlineStr">
        <is>
          <t>B0CQ32Z6VP</t>
        </is>
      </c>
      <c r="D195" s="54" t="inlineStr">
        <is>
          <t>BAMBOO-QUEEN-CREME-6PCS</t>
        </is>
      </c>
      <c r="E195" s="54" t="inlineStr">
        <is>
          <t>Queen</t>
        </is>
      </c>
      <c r="F195" s="54" t="inlineStr">
        <is>
          <t>Creme</t>
        </is>
      </c>
      <c r="G195" s="55" t="n">
        <v>241</v>
      </c>
      <c r="H195" s="55" t="n">
        <v>282</v>
      </c>
      <c r="I195" s="56" t="inlineStr">
        <is>
          <t>FBA19STZ9LHZ ready to ship: 30; FBA19STRJMC3 ready to ship: 30; FBA19SV47PX1 ready to ship: 36; FBA19SV1CLVT ready to ship: 36; FBA19STYQSF4 ready to ship: 18; FBA19N82086K ready to ship: 168; FBA19N7WSG18 in transit: 48; FBA19N7RP6W7 in transit: 78; FBA19N7RQF4Q ready to ship: 6</t>
        </is>
      </c>
      <c r="J195" s="57" t="n">
        <v>3.36</v>
      </c>
      <c r="K195" s="56" t="inlineStr">
        <is>
          <t>account data velocity</t>
        </is>
      </c>
      <c r="L195" s="58" t="n">
        <v>2.4883</v>
      </c>
      <c r="M195" s="56" t="inlineStr">
        <is>
          <t>own BFCM 2025 lift (account data)</t>
        </is>
      </c>
      <c r="N195" s="59">
        <f>J195*34+J195*L195*12</f>
        <v/>
      </c>
      <c r="O195" s="59">
        <f>MAX(0,N195-G195-H195)</f>
        <v/>
      </c>
      <c r="P195" s="60">
        <f>IF(J195=0,"",IF(G195&lt;J195*34,DATE(2026,10,15)+G195/J195,IF(G195&lt;N195,DATE(2026,11,18)+(G195-J195*34)/(J195*L195),"after Nov 30")))</f>
        <v/>
      </c>
      <c r="Q195" s="60">
        <f>IF(J195=0,"",IF(G195+H195&lt;J195*34,DATE(2026,10,15)+(G195+H195)/J195,IF(G195+H195&lt;N195,DATE(2026,11,18)+(G195+H195-J195*34)/(J195*L195),"after Nov 30")))</f>
        <v/>
      </c>
      <c r="R195" s="54">
        <f>IF(AND(G195&lt;=0,J195&gt;0),"Out of stock now",IF(G195&gt;=N195,"Covered to Nov 30",IF(G195+H195&gt;=N195,"Needs inbound in time","Short even with inbound")))</f>
        <v/>
      </c>
      <c r="S195" s="57" t="n">
        <v>2.714</v>
      </c>
      <c r="T195" s="59">
        <f>IF(S195="","",S195*34+S195*L195*12)</f>
        <v/>
      </c>
    </row>
    <row r="196">
      <c r="A196" s="54" t="inlineStr">
        <is>
          <t>US DC B6</t>
        </is>
      </c>
      <c r="B196" s="54" t="inlineStr">
        <is>
          <t>US</t>
        </is>
      </c>
      <c r="C196" s="54" t="inlineStr">
        <is>
          <t>B0CQ2ZZW88</t>
        </is>
      </c>
      <c r="D196" s="54" t="inlineStr">
        <is>
          <t>BAMBOO-KING-CHARCOAL-6PCS</t>
        </is>
      </c>
      <c r="E196" s="54" t="inlineStr">
        <is>
          <t>King</t>
        </is>
      </c>
      <c r="F196" s="54" t="inlineStr">
        <is>
          <t>Charcoal</t>
        </is>
      </c>
      <c r="G196" s="55" t="n">
        <v>51</v>
      </c>
      <c r="H196" s="55" t="n">
        <v>216</v>
      </c>
      <c r="I196" s="56" t="inlineStr">
        <is>
          <t>FBA19SV5KWMR ready to ship: 4; FBA19QLJLR1F shipped: 52; FBA19QLKCVBW shipped: 40; FBA19QLK9CYH shipped: 20; FBA19QLKHC6Q shipped: 20; FBA19QLJ0ZP4 shipped: 44; FBA19N7WSG18 in transit: 8; FBA19N7RP6W7 in transit: 16; FBA19N7RQF4Q ready to ship: 16</t>
        </is>
      </c>
      <c r="J196" s="57" t="n">
        <v>3.1</v>
      </c>
      <c r="K196" s="56" t="inlineStr">
        <is>
          <t>account data velocity</t>
        </is>
      </c>
      <c r="L196" s="58" t="n">
        <v>2.4883</v>
      </c>
      <c r="M196" s="56" t="inlineStr">
        <is>
          <t>own BFCM 2025 lift (account data)</t>
        </is>
      </c>
      <c r="N196" s="59">
        <f>J196*34+J196*L196*12</f>
        <v/>
      </c>
      <c r="O196" s="59">
        <f>MAX(0,N196-G196-H196)</f>
        <v/>
      </c>
      <c r="P196" s="60">
        <f>IF(J196=0,"",IF(G196&lt;J196*34,DATE(2026,10,15)+G196/J196,IF(G196&lt;N196,DATE(2026,11,18)+(G196-J196*34)/(J196*L196),"after Nov 30")))</f>
        <v/>
      </c>
      <c r="Q196" s="60">
        <f>IF(J196=0,"",IF(G196+H196&lt;J196*34,DATE(2026,10,15)+(G196+H196)/J196,IF(G196+H196&lt;N196,DATE(2026,11,18)+(G196+H196-J196*34)/(J196*L196),"after Nov 30")))</f>
        <v/>
      </c>
      <c r="R196" s="54">
        <f>IF(AND(G196&lt;=0,J196&gt;0),"Out of stock now",IF(G196&gt;=N196,"Covered to Nov 30",IF(G196+H196&gt;=N196,"Needs inbound in time","Short even with inbound")))</f>
        <v/>
      </c>
      <c r="S196" s="57" t="n">
        <v>1</v>
      </c>
      <c r="T196" s="59">
        <f>IF(S196="","",S196*34+S196*L196*12)</f>
        <v/>
      </c>
    </row>
    <row r="197">
      <c r="A197" s="54" t="inlineStr">
        <is>
          <t>US DC B6</t>
        </is>
      </c>
      <c r="B197" s="54" t="inlineStr">
        <is>
          <t>US</t>
        </is>
      </c>
      <c r="C197" s="54" t="inlineStr">
        <is>
          <t>B0CQ316YRY</t>
        </is>
      </c>
      <c r="D197" s="54" t="inlineStr">
        <is>
          <t>BAMBOO-KING-NAVYBLUE-6PCS</t>
        </is>
      </c>
      <c r="E197" s="54" t="inlineStr">
        <is>
          <t>King</t>
        </is>
      </c>
      <c r="F197" s="54" t="inlineStr">
        <is>
          <t>Navy Blue</t>
        </is>
      </c>
      <c r="G197" s="55" t="n">
        <v>33</v>
      </c>
      <c r="H197" s="55" t="n">
        <v>140</v>
      </c>
      <c r="I197" s="56" t="inlineStr">
        <is>
          <t>FBA19SV5KWMR ready to ship: 12; FBA19QLJLR1F shipped: 36; FBA19QLKCVBW shipped: 36; FBA19QLK9CYH shipped: 12; FBA19QLKHC6Q shipped: 24; FBA19QLJ0ZP4 shipped: 32</t>
        </is>
      </c>
      <c r="J197" s="57" t="n">
        <v>2.99</v>
      </c>
      <c r="K197" s="56" t="inlineStr">
        <is>
          <t>account data velocity</t>
        </is>
      </c>
      <c r="L197" s="58" t="n">
        <v>2.4883</v>
      </c>
      <c r="M197" s="56" t="inlineStr">
        <is>
          <t>own BFCM 2025 lift (account data)</t>
        </is>
      </c>
      <c r="N197" s="59">
        <f>J197*34+J197*L197*12</f>
        <v/>
      </c>
      <c r="O197" s="59">
        <f>MAX(0,N197-G197-H197)</f>
        <v/>
      </c>
      <c r="P197" s="60">
        <f>IF(J197=0,"",IF(G197&lt;J197*34,DATE(2026,10,15)+G197/J197,IF(G197&lt;N197,DATE(2026,11,18)+(G197-J197*34)/(J197*L197),"after Nov 30")))</f>
        <v/>
      </c>
      <c r="Q197" s="60">
        <f>IF(J197=0,"",IF(G197+H197&lt;J197*34,DATE(2026,10,15)+(G197+H197)/J197,IF(G197+H197&lt;N197,DATE(2026,11,18)+(G197+H197-J197*34)/(J197*L197),"after Nov 30")))</f>
        <v/>
      </c>
      <c r="R197" s="54">
        <f>IF(AND(G197&lt;=0,J197&gt;0),"Out of stock now",IF(G197&gt;=N197,"Covered to Nov 30",IF(G197+H197&gt;=N197,"Needs inbound in time","Short even with inbound")))</f>
        <v/>
      </c>
      <c r="S197" s="57" t="n">
        <v>2.321</v>
      </c>
      <c r="T197" s="59">
        <f>IF(S197="","",S197*34+S197*L197*12)</f>
        <v/>
      </c>
    </row>
    <row r="198">
      <c r="A198" s="54" t="inlineStr">
        <is>
          <t>US DC B6</t>
        </is>
      </c>
      <c r="B198" s="54" t="inlineStr">
        <is>
          <t>US</t>
        </is>
      </c>
      <c r="C198" s="54" t="inlineStr">
        <is>
          <t>B0CQ31X65Y</t>
        </is>
      </c>
      <c r="D198" s="54" t="inlineStr">
        <is>
          <t>BAMBOO-KING-LIGHTBLUE-6PCS</t>
        </is>
      </c>
      <c r="E198" s="54" t="inlineStr">
        <is>
          <t>King</t>
        </is>
      </c>
      <c r="F198" s="54" t="inlineStr">
        <is>
          <t>Light Blue</t>
        </is>
      </c>
      <c r="G198" s="55" t="n">
        <v>341</v>
      </c>
      <c r="H198" s="55" t="n">
        <v>116</v>
      </c>
      <c r="I198" s="56" t="inlineStr">
        <is>
          <t>FBA19STZ9LHZ ready to ship: 16; FBA19STRJMC3 ready to ship: 20; FBA19SV47PX1 ready to ship: 24; FBA19SV1CLVT ready to ship: 20; FBA19STYQSF4 ready to ship: 8; FBA19N82086K ready to ship: 112; FBA19P55072C in transit: 28</t>
        </is>
      </c>
      <c r="J198" s="57" t="n">
        <v>2.91</v>
      </c>
      <c r="K198" s="56" t="inlineStr">
        <is>
          <t>account data velocity</t>
        </is>
      </c>
      <c r="L198" s="58" t="n">
        <v>2.4883</v>
      </c>
      <c r="M198" s="56" t="inlineStr">
        <is>
          <t>own BFCM 2025 lift (account data)</t>
        </is>
      </c>
      <c r="N198" s="59">
        <f>J198*34+J198*L198*12</f>
        <v/>
      </c>
      <c r="O198" s="59">
        <f>MAX(0,N198-G198-H198)</f>
        <v/>
      </c>
      <c r="P198" s="60">
        <f>IF(J198=0,"",IF(G198&lt;J198*34,DATE(2026,10,15)+G198/J198,IF(G198&lt;N198,DATE(2026,11,18)+(G198-J198*34)/(J198*L198),"after Nov 30")))</f>
        <v/>
      </c>
      <c r="Q198" s="60">
        <f>IF(J198=0,"",IF(G198+H198&lt;J198*34,DATE(2026,10,15)+(G198+H198)/J198,IF(G198+H198&lt;N198,DATE(2026,11,18)+(G198+H198-J198*34)/(J198*L198),"after Nov 30")))</f>
        <v/>
      </c>
      <c r="R198" s="54">
        <f>IF(AND(G198&lt;=0,J198&gt;0),"Out of stock now",IF(G198&gt;=N198,"Covered to Nov 30",IF(G198+H198&gt;=N198,"Needs inbound in time","Short even with inbound")))</f>
        <v/>
      </c>
      <c r="S198" s="57" t="n">
        <v>2.214</v>
      </c>
      <c r="T198" s="59">
        <f>IF(S198="","",S198*34+S198*L198*12)</f>
        <v/>
      </c>
    </row>
    <row r="199">
      <c r="A199" s="54" t="inlineStr">
        <is>
          <t>US DC B6</t>
        </is>
      </c>
      <c r="B199" s="54" t="inlineStr">
        <is>
          <t>US</t>
        </is>
      </c>
      <c r="C199" s="54" t="inlineStr">
        <is>
          <t>B0CQ33KG5X</t>
        </is>
      </c>
      <c r="D199" s="54" t="inlineStr">
        <is>
          <t>BAMBOO-KING-CREME-6PCS</t>
        </is>
      </c>
      <c r="E199" s="54" t="inlineStr">
        <is>
          <t>King</t>
        </is>
      </c>
      <c r="F199" s="54" t="inlineStr">
        <is>
          <t>Creme</t>
        </is>
      </c>
      <c r="G199" s="55" t="n">
        <v>0</v>
      </c>
      <c r="H199" s="55" t="n">
        <v>324</v>
      </c>
      <c r="I199" s="56" t="inlineStr">
        <is>
          <t>FBA19STZ9LHZ ready to ship: 8; FBA19STRJMC3 ready to ship: 8; FBA19SV47PX1 ready to ship: 12; FBA19SV1CLVT ready to ship: 12; FBA19STYQSF4 ready to ship: 4; FBA19QLJLR1F shipped: 76; FBA19QLKCVBW shipped: 84; FBA19QLK9CYH shipped: 28; FBA19QLKHC6Q shipped: 40; FBA19QLJ0ZP4 shipped: 52</t>
        </is>
      </c>
      <c r="J199" s="57" t="n">
        <v>2.81</v>
      </c>
      <c r="K199" s="56" t="inlineStr">
        <is>
          <t>account data velocity</t>
        </is>
      </c>
      <c r="L199" s="58" t="n">
        <v>2.4883</v>
      </c>
      <c r="M199" s="56" t="inlineStr">
        <is>
          <t>own BFCM 2025 lift (account data)</t>
        </is>
      </c>
      <c r="N199" s="59">
        <f>J199*34+J199*L199*12</f>
        <v/>
      </c>
      <c r="O199" s="59">
        <f>MAX(0,N199-G199-H199)</f>
        <v/>
      </c>
      <c r="P199" s="60">
        <f>IF(J199=0,"",IF(G199&lt;J199*34,DATE(2026,10,15)+G199/J199,IF(G199&lt;N199,DATE(2026,11,18)+(G199-J199*34)/(J199*L199),"after Nov 30")))</f>
        <v/>
      </c>
      <c r="Q199" s="60">
        <f>IF(J199=0,"",IF(G199+H199&lt;J199*34,DATE(2026,10,15)+(G199+H199)/J199,IF(G199+H199&lt;N199,DATE(2026,11,18)+(G199+H199-J199*34)/(J199*L199),"after Nov 30")))</f>
        <v/>
      </c>
      <c r="R199" s="54">
        <f>IF(AND(G199&lt;=0,J199&gt;0),"Out of stock now",IF(G199&gt;=N199,"Covered to Nov 30",IF(G199+H199&gt;=N199,"Needs inbound in time","Short even with inbound")))</f>
        <v/>
      </c>
      <c r="S199" s="57" t="n">
        <v>0.964</v>
      </c>
      <c r="T199" s="59">
        <f>IF(S199="","",S199*34+S199*L199*12)</f>
        <v/>
      </c>
    </row>
    <row r="200">
      <c r="A200" s="54" t="inlineStr">
        <is>
          <t>US DC B6</t>
        </is>
      </c>
      <c r="B200" s="54" t="inlineStr">
        <is>
          <t>US</t>
        </is>
      </c>
      <c r="C200" s="54" t="inlineStr">
        <is>
          <t>B0CQ32NPF5</t>
        </is>
      </c>
      <c r="D200" s="54" t="inlineStr">
        <is>
          <t>BAMBOO-KING-BURGUNDY-6PCS</t>
        </is>
      </c>
      <c r="E200" s="54" t="inlineStr">
        <is>
          <t>King</t>
        </is>
      </c>
      <c r="F200" s="54" t="inlineStr">
        <is>
          <t>Burgundy</t>
        </is>
      </c>
      <c r="G200" s="55" t="n">
        <v>122</v>
      </c>
      <c r="H200" s="55" t="n">
        <v>4</v>
      </c>
      <c r="I200" s="56" t="inlineStr">
        <is>
          <t>FBA19P55072C in transit: 4</t>
        </is>
      </c>
      <c r="J200" s="57" t="n">
        <v>2.65</v>
      </c>
      <c r="K200" s="56" t="inlineStr">
        <is>
          <t>account data velocity</t>
        </is>
      </c>
      <c r="L200" s="58" t="n">
        <v>2.4883</v>
      </c>
      <c r="M200" s="56" t="inlineStr">
        <is>
          <t>own BFCM 2025 lift (account data)</t>
        </is>
      </c>
      <c r="N200" s="59">
        <f>J200*34+J200*L200*12</f>
        <v/>
      </c>
      <c r="O200" s="59">
        <f>MAX(0,N200-G200-H200)</f>
        <v/>
      </c>
      <c r="P200" s="60">
        <f>IF(J200=0,"",IF(G200&lt;J200*34,DATE(2026,10,15)+G200/J200,IF(G200&lt;N200,DATE(2026,11,18)+(G200-J200*34)/(J200*L200),"after Nov 30")))</f>
        <v/>
      </c>
      <c r="Q200" s="60">
        <f>IF(J200=0,"",IF(G200+H200&lt;J200*34,DATE(2026,10,15)+(G200+H200)/J200,IF(G200+H200&lt;N200,DATE(2026,11,18)+(G200+H200-J200*34)/(J200*L200),"after Nov 30")))</f>
        <v/>
      </c>
      <c r="R200" s="54">
        <f>IF(AND(G200&lt;=0,J200&gt;0),"Out of stock now",IF(G200&gt;=N200,"Covered to Nov 30",IF(G200+H200&gt;=N200,"Needs inbound in time","Short even with inbound")))</f>
        <v/>
      </c>
      <c r="S200" s="57" t="n">
        <v>1.679</v>
      </c>
      <c r="T200" s="59">
        <f>IF(S200="","",S200*34+S200*L200*12)</f>
        <v/>
      </c>
    </row>
    <row r="201">
      <c r="A201" s="54" t="inlineStr">
        <is>
          <t>US DC B6</t>
        </is>
      </c>
      <c r="B201" s="54" t="inlineStr">
        <is>
          <t>US</t>
        </is>
      </c>
      <c r="C201" s="54" t="inlineStr">
        <is>
          <t>B0CQ32B24Y</t>
        </is>
      </c>
      <c r="D201" s="54" t="inlineStr">
        <is>
          <t>BAMBOO-QUEEN-OLIVE-6PCS</t>
        </is>
      </c>
      <c r="E201" s="54" t="inlineStr">
        <is>
          <t>Queen</t>
        </is>
      </c>
      <c r="F201" s="54" t="inlineStr">
        <is>
          <t>Olive</t>
        </is>
      </c>
      <c r="G201" s="55" t="n">
        <v>440</v>
      </c>
      <c r="H201" s="55" t="n">
        <v>42</v>
      </c>
      <c r="I201" s="56" t="inlineStr">
        <is>
          <t>FBA19STZ9LHZ ready to ship: 12; FBA19STRJMC3 ready to ship: 6; FBA19SV47PX1 ready to ship: 6; FBA19SV1CLVT ready to ship: 12; FBA19STYQSF4 ready to ship: 6; FBA19N82086K ready to ship: 132</t>
        </is>
      </c>
      <c r="J201" s="57" t="n">
        <v>2.49</v>
      </c>
      <c r="K201" s="56" t="inlineStr">
        <is>
          <t>account data velocity</t>
        </is>
      </c>
      <c r="L201" s="58" t="n">
        <v>2.4883</v>
      </c>
      <c r="M201" s="56" t="inlineStr">
        <is>
          <t>own BFCM 2025 lift (account data)</t>
        </is>
      </c>
      <c r="N201" s="59">
        <f>J201*34+J201*L201*12</f>
        <v/>
      </c>
      <c r="O201" s="59">
        <f>MAX(0,N201-G201-H201)</f>
        <v/>
      </c>
      <c r="P201" s="60">
        <f>IF(J201=0,"",IF(G201&lt;J201*34,DATE(2026,10,15)+G201/J201,IF(G201&lt;N201,DATE(2026,11,18)+(G201-J201*34)/(J201*L201),"after Nov 30")))</f>
        <v/>
      </c>
      <c r="Q201" s="60">
        <f>IF(J201=0,"",IF(G201+H201&lt;J201*34,DATE(2026,10,15)+(G201+H201)/J201,IF(G201+H201&lt;N201,DATE(2026,11,18)+(G201+H201-J201*34)/(J201*L201),"after Nov 30")))</f>
        <v/>
      </c>
      <c r="R201" s="54">
        <f>IF(AND(G201&lt;=0,J201&gt;0),"Out of stock now",IF(G201&gt;=N201,"Covered to Nov 30",IF(G201+H201&gt;=N201,"Needs inbound in time","Short even with inbound")))</f>
        <v/>
      </c>
      <c r="S201" s="57" t="n">
        <v>2.321</v>
      </c>
      <c r="T201" s="59">
        <f>IF(S201="","",S201*34+S201*L201*12)</f>
        <v/>
      </c>
    </row>
    <row r="202">
      <c r="A202" s="54" t="inlineStr">
        <is>
          <t>US DC B6</t>
        </is>
      </c>
      <c r="B202" s="54" t="inlineStr">
        <is>
          <t>US</t>
        </is>
      </c>
      <c r="C202" s="54" t="inlineStr">
        <is>
          <t>B0CQ32N392</t>
        </is>
      </c>
      <c r="D202" s="54" t="inlineStr">
        <is>
          <t>BAMBOO-QUEEN-NAVYBLUE-6PCS</t>
        </is>
      </c>
      <c r="E202" s="54" t="inlineStr">
        <is>
          <t>Queen</t>
        </is>
      </c>
      <c r="F202" s="54" t="inlineStr">
        <is>
          <t>Navy Blue</t>
        </is>
      </c>
      <c r="G202" s="55" t="n">
        <v>3</v>
      </c>
      <c r="H202" s="55" t="n">
        <v>0</v>
      </c>
      <c r="I202" s="56" t="n"/>
      <c r="J202" s="57" t="n">
        <v>2.38</v>
      </c>
      <c r="K202" s="56" t="inlineStr">
        <is>
          <t>account data velocity</t>
        </is>
      </c>
      <c r="L202" s="58" t="n">
        <v>2.4883</v>
      </c>
      <c r="M202" s="56" t="inlineStr">
        <is>
          <t>own BFCM 2025 lift (account data)</t>
        </is>
      </c>
      <c r="N202" s="59">
        <f>J202*34+J202*L202*12</f>
        <v/>
      </c>
      <c r="O202" s="59">
        <f>MAX(0,N202-G202-H202)</f>
        <v/>
      </c>
      <c r="P202" s="60">
        <f>IF(J202=0,"",IF(G202&lt;J202*34,DATE(2026,10,15)+G202/J202,IF(G202&lt;N202,DATE(2026,11,18)+(G202-J202*34)/(J202*L202),"after Nov 30")))</f>
        <v/>
      </c>
      <c r="Q202" s="60">
        <f>IF(J202=0,"",IF(G202+H202&lt;J202*34,DATE(2026,10,15)+(G202+H202)/J202,IF(G202+H202&lt;N202,DATE(2026,11,18)+(G202+H202-J202*34)/(J202*L202),"after Nov 30")))</f>
        <v/>
      </c>
      <c r="R202" s="54">
        <f>IF(AND(G202&lt;=0,J202&gt;0),"Out of stock now",IF(G202&gt;=N202,"Covered to Nov 30",IF(G202+H202&gt;=N202,"Needs inbound in time","Short even with inbound")))</f>
        <v/>
      </c>
      <c r="S202" s="57" t="n">
        <v>2.107</v>
      </c>
      <c r="T202" s="59">
        <f>IF(S202="","",S202*34+S202*L202*12)</f>
        <v/>
      </c>
    </row>
    <row r="203">
      <c r="A203" s="54" t="inlineStr">
        <is>
          <t>US DC B6</t>
        </is>
      </c>
      <c r="B203" s="54" t="inlineStr">
        <is>
          <t>US</t>
        </is>
      </c>
      <c r="C203" s="54" t="inlineStr">
        <is>
          <t>B0CQ2ZZ9QN</t>
        </is>
      </c>
      <c r="D203" s="54" t="inlineStr">
        <is>
          <t>BAMBOO-KING-SAGE GREEN-6PCS</t>
        </is>
      </c>
      <c r="E203" s="54" t="inlineStr">
        <is>
          <t>King</t>
        </is>
      </c>
      <c r="F203" s="54" t="inlineStr">
        <is>
          <t>Sage Green</t>
        </is>
      </c>
      <c r="G203" s="55" t="n">
        <v>71</v>
      </c>
      <c r="H203" s="55" t="n">
        <v>120</v>
      </c>
      <c r="I203" s="56" t="inlineStr">
        <is>
          <t>FBA19STZ9LHZ ready to ship: 8; FBA19STRJMC3 ready to ship: 4; FBA19SV47PX1 ready to ship: 8; FBA19SV1CLVT ready to ship: 8; FBA19STYQSF4 ready to ship: 4; FBA19QLJLR1F shipped: 20; FBA19QLKCVBW shipped: 20; FBA19QLK9CYH shipped: 8; FBA19QLKHC6Q shipped: 16; FBA19QLJ0ZP4 shipped: 24</t>
        </is>
      </c>
      <c r="J203" s="57" t="n">
        <v>2.35</v>
      </c>
      <c r="K203" s="56" t="inlineStr">
        <is>
          <t>account data velocity</t>
        </is>
      </c>
      <c r="L203" s="58" t="n">
        <v>2.4883</v>
      </c>
      <c r="M203" s="56" t="inlineStr">
        <is>
          <t>own BFCM 2025 lift (account data)</t>
        </is>
      </c>
      <c r="N203" s="59">
        <f>J203*34+J203*L203*12</f>
        <v/>
      </c>
      <c r="O203" s="59">
        <f>MAX(0,N203-G203-H203)</f>
        <v/>
      </c>
      <c r="P203" s="60">
        <f>IF(J203=0,"",IF(G203&lt;J203*34,DATE(2026,10,15)+G203/J203,IF(G203&lt;N203,DATE(2026,11,18)+(G203-J203*34)/(J203*L203),"after Nov 30")))</f>
        <v/>
      </c>
      <c r="Q203" s="60">
        <f>IF(J203=0,"",IF(G203+H203&lt;J203*34,DATE(2026,10,15)+(G203+H203)/J203,IF(G203+H203&lt;N203,DATE(2026,11,18)+(G203+H203-J203*34)/(J203*L203),"after Nov 30")))</f>
        <v/>
      </c>
      <c r="R203" s="54">
        <f>IF(AND(G203&lt;=0,J203&gt;0),"Out of stock now",IF(G203&gt;=N203,"Covered to Nov 30",IF(G203+H203&gt;=N203,"Needs inbound in time","Short even with inbound")))</f>
        <v/>
      </c>
      <c r="S203" s="57" t="n">
        <v>1.464</v>
      </c>
      <c r="T203" s="59">
        <f>IF(S203="","",S203*34+S203*L203*12)</f>
        <v/>
      </c>
    </row>
    <row r="204">
      <c r="A204" s="54" t="inlineStr">
        <is>
          <t>US DC B6</t>
        </is>
      </c>
      <c r="B204" s="54" t="inlineStr">
        <is>
          <t>US</t>
        </is>
      </c>
      <c r="C204" s="54" t="inlineStr">
        <is>
          <t>B0CQ33C286</t>
        </is>
      </c>
      <c r="D204" s="54" t="inlineStr">
        <is>
          <t>BAMBOO-QUEEN-CHARCOAL-6PCS</t>
        </is>
      </c>
      <c r="E204" s="54" t="inlineStr">
        <is>
          <t>Queen</t>
        </is>
      </c>
      <c r="F204" s="54" t="inlineStr">
        <is>
          <t>Charcoal</t>
        </is>
      </c>
      <c r="G204" s="55" t="n">
        <v>30</v>
      </c>
      <c r="H204" s="55" t="n">
        <v>60</v>
      </c>
      <c r="I204" s="56" t="inlineStr">
        <is>
          <t>FBA19SV5KWMR ready to ship: 6; FBA19QLJLR1F shipped: 12; FBA19QLKCVBW shipped: 12; FBA19QLK9CYH shipped: 6; FBA19QLKHC6Q shipped: 12; FBA19QLJ0ZP4 shipped: 18; FBA19JY50HC5 receiving: 6</t>
        </is>
      </c>
      <c r="J204" s="57" t="n">
        <v>2.32</v>
      </c>
      <c r="K204" s="56" t="inlineStr">
        <is>
          <t>account data velocity</t>
        </is>
      </c>
      <c r="L204" s="58" t="n">
        <v>2.4883</v>
      </c>
      <c r="M204" s="56" t="inlineStr">
        <is>
          <t>own BFCM 2025 lift (account data)</t>
        </is>
      </c>
      <c r="N204" s="59">
        <f>J204*34+J204*L204*12</f>
        <v/>
      </c>
      <c r="O204" s="59">
        <f>MAX(0,N204-G204-H204)</f>
        <v/>
      </c>
      <c r="P204" s="60">
        <f>IF(J204=0,"",IF(G204&lt;J204*34,DATE(2026,10,15)+G204/J204,IF(G204&lt;N204,DATE(2026,11,18)+(G204-J204*34)/(J204*L204),"after Nov 30")))</f>
        <v/>
      </c>
      <c r="Q204" s="60">
        <f>IF(J204=0,"",IF(G204+H204&lt;J204*34,DATE(2026,10,15)+(G204+H204)/J204,IF(G204+H204&lt;N204,DATE(2026,11,18)+(G204+H204-J204*34)/(J204*L204),"after Nov 30")))</f>
        <v/>
      </c>
      <c r="R204" s="54">
        <f>IF(AND(G204&lt;=0,J204&gt;0),"Out of stock now",IF(G204&gt;=N204,"Covered to Nov 30",IF(G204+H204&gt;=N204,"Needs inbound in time","Short even with inbound")))</f>
        <v/>
      </c>
      <c r="S204" s="57" t="n">
        <v>1.214</v>
      </c>
      <c r="T204" s="59">
        <f>IF(S204="","",S204*34+S204*L204*12)</f>
        <v/>
      </c>
    </row>
    <row r="205">
      <c r="A205" s="54" t="inlineStr">
        <is>
          <t>US DC B6</t>
        </is>
      </c>
      <c r="B205" s="54" t="inlineStr">
        <is>
          <t>US</t>
        </is>
      </c>
      <c r="C205" s="54" t="inlineStr">
        <is>
          <t>B0CQ32S4ML</t>
        </is>
      </c>
      <c r="D205" s="54" t="inlineStr">
        <is>
          <t>BAMBOO-KING-GREY-6PCS</t>
        </is>
      </c>
      <c r="E205" s="54" t="inlineStr">
        <is>
          <t>King</t>
        </is>
      </c>
      <c r="F205" s="54" t="inlineStr">
        <is>
          <t>Grey</t>
        </is>
      </c>
      <c r="G205" s="55" t="n">
        <v>337</v>
      </c>
      <c r="H205" s="55" t="n">
        <v>360</v>
      </c>
      <c r="I205" s="56" t="inlineStr">
        <is>
          <t>FBA19STZ9LHZ ready to ship: 100; FBA19STRJMC3 ready to ship: 52; FBA19SV47PX1 ready to ship: 80; FBA19SV1CLVT ready to ship: 88; FBA19STYQSF4 ready to ship: 40; FBA19N82086K ready to ship: 60</t>
        </is>
      </c>
      <c r="J205" s="57" t="n">
        <v>2.3</v>
      </c>
      <c r="K205" s="56" t="inlineStr">
        <is>
          <t>account data velocity</t>
        </is>
      </c>
      <c r="L205" s="58" t="n">
        <v>2.4883</v>
      </c>
      <c r="M205" s="56" t="inlineStr">
        <is>
          <t>own BFCM 2025 lift (account data)</t>
        </is>
      </c>
      <c r="N205" s="59">
        <f>J205*34+J205*L205*12</f>
        <v/>
      </c>
      <c r="O205" s="59">
        <f>MAX(0,N205-G205-H205)</f>
        <v/>
      </c>
      <c r="P205" s="60">
        <f>IF(J205=0,"",IF(G205&lt;J205*34,DATE(2026,10,15)+G205/J205,IF(G205&lt;N205,DATE(2026,11,18)+(G205-J205*34)/(J205*L205),"after Nov 30")))</f>
        <v/>
      </c>
      <c r="Q205" s="60">
        <f>IF(J205=0,"",IF(G205+H205&lt;J205*34,DATE(2026,10,15)+(G205+H205)/J205,IF(G205+H205&lt;N205,DATE(2026,11,18)+(G205+H205-J205*34)/(J205*L205),"after Nov 30")))</f>
        <v/>
      </c>
      <c r="R205" s="54">
        <f>IF(AND(G205&lt;=0,J205&gt;0),"Out of stock now",IF(G205&gt;=N205,"Covered to Nov 30",IF(G205+H205&gt;=N205,"Needs inbound in time","Short even with inbound")))</f>
        <v/>
      </c>
      <c r="S205" s="57" t="n">
        <v>1.679</v>
      </c>
      <c r="T205" s="59">
        <f>IF(S205="","",S205*34+S205*L205*12)</f>
        <v/>
      </c>
    </row>
    <row r="206">
      <c r="A206" s="54" t="inlineStr">
        <is>
          <t>US DC B6</t>
        </is>
      </c>
      <c r="B206" s="54" t="inlineStr">
        <is>
          <t>US</t>
        </is>
      </c>
      <c r="C206" s="54" t="inlineStr">
        <is>
          <t>B0CQ328DZM</t>
        </is>
      </c>
      <c r="D206" s="54" t="inlineStr">
        <is>
          <t>BAMBOO-CALIFKING-TAUPE-6PCS</t>
        </is>
      </c>
      <c r="E206" s="54" t="inlineStr">
        <is>
          <t>California King</t>
        </is>
      </c>
      <c r="F206" s="54" t="inlineStr">
        <is>
          <t>Taupe</t>
        </is>
      </c>
      <c r="G206" s="55" t="n">
        <v>42</v>
      </c>
      <c r="H206" s="55" t="n">
        <v>41</v>
      </c>
      <c r="I206" s="56" t="inlineStr">
        <is>
          <t>FBA19SV5KWMR ready to ship: 16; FBA19QLJLR1F shipped: 12; FBA19QLKCVBW shipped: 8; FBA19QLK9CYH shipped: 8; FBA19QLKHC6Q shipped: 4; FBA19QLJ0ZP4 shipped: 8; FBA19MR9TT8D receiving: 1</t>
        </is>
      </c>
      <c r="J206" s="57" t="n">
        <v>2.27</v>
      </c>
      <c r="K206" s="56" t="inlineStr">
        <is>
          <t>account data velocity</t>
        </is>
      </c>
      <c r="L206" s="58" t="n">
        <v>2.4883</v>
      </c>
      <c r="M206" s="56" t="inlineStr">
        <is>
          <t>own BFCM 2025 lift (account data)</t>
        </is>
      </c>
      <c r="N206" s="59">
        <f>J206*34+J206*L206*12</f>
        <v/>
      </c>
      <c r="O206" s="59">
        <f>MAX(0,N206-G206-H206)</f>
        <v/>
      </c>
      <c r="P206" s="60">
        <f>IF(J206=0,"",IF(G206&lt;J206*34,DATE(2026,10,15)+G206/J206,IF(G206&lt;N206,DATE(2026,11,18)+(G206-J206*34)/(J206*L206),"after Nov 30")))</f>
        <v/>
      </c>
      <c r="Q206" s="60">
        <f>IF(J206=0,"",IF(G206+H206&lt;J206*34,DATE(2026,10,15)+(G206+H206)/J206,IF(G206+H206&lt;N206,DATE(2026,11,18)+(G206+H206-J206*34)/(J206*L206),"after Nov 30")))</f>
        <v/>
      </c>
      <c r="R206" s="54">
        <f>IF(AND(G206&lt;=0,J206&gt;0),"Out of stock now",IF(G206&gt;=N206,"Covered to Nov 30",IF(G206+H206&gt;=N206,"Needs inbound in time","Short even with inbound")))</f>
        <v/>
      </c>
      <c r="S206" s="57" t="n">
        <v>0.571</v>
      </c>
      <c r="T206" s="59">
        <f>IF(S206="","",S206*34+S206*L206*12)</f>
        <v/>
      </c>
    </row>
    <row r="207">
      <c r="A207" s="54" t="inlineStr">
        <is>
          <t>US DC B6</t>
        </is>
      </c>
      <c r="B207" s="54" t="inlineStr">
        <is>
          <t>US</t>
        </is>
      </c>
      <c r="C207" s="54" t="inlineStr">
        <is>
          <t>B0CQ32F3HY</t>
        </is>
      </c>
      <c r="D207" s="54" t="inlineStr">
        <is>
          <t>BAMBOO-QUEEN-LIGHTBLUE-6PCS</t>
        </is>
      </c>
      <c r="E207" s="54" t="inlineStr">
        <is>
          <t>Queen</t>
        </is>
      </c>
      <c r="F207" s="54" t="inlineStr">
        <is>
          <t>Light Blue</t>
        </is>
      </c>
      <c r="G207" s="55" t="n">
        <v>280</v>
      </c>
      <c r="H207" s="55" t="n">
        <v>156</v>
      </c>
      <c r="I207" s="56" t="inlineStr">
        <is>
          <t>FBA19SV5KWMR ready to ship: 174; FBA19STZ9LHZ ready to ship: 30; FBA19STRJMC3 ready to ship: 24; FBA19SV47PX1 ready to ship: 36; FBA19SV1CLVT ready to ship: 30; FBA19STYQSF4 ready to ship: 18; FBA19P55072C in transit: 6; FBA19N7XSBR9 in transit: 12</t>
        </is>
      </c>
      <c r="J207" s="57" t="n">
        <v>2.17</v>
      </c>
      <c r="K207" s="56" t="inlineStr">
        <is>
          <t>account data velocity</t>
        </is>
      </c>
      <c r="L207" s="58" t="n">
        <v>2.4883</v>
      </c>
      <c r="M207" s="56" t="inlineStr">
        <is>
          <t>own BFCM 2025 lift (account data)</t>
        </is>
      </c>
      <c r="N207" s="59">
        <f>J207*34+J207*L207*12</f>
        <v/>
      </c>
      <c r="O207" s="59">
        <f>MAX(0,N207-G207-H207)</f>
        <v/>
      </c>
      <c r="P207" s="60">
        <f>IF(J207=0,"",IF(G207&lt;J207*34,DATE(2026,10,15)+G207/J207,IF(G207&lt;N207,DATE(2026,11,18)+(G207-J207*34)/(J207*L207),"after Nov 30")))</f>
        <v/>
      </c>
      <c r="Q207" s="60">
        <f>IF(J207=0,"",IF(G207+H207&lt;J207*34,DATE(2026,10,15)+(G207+H207)/J207,IF(G207+H207&lt;N207,DATE(2026,11,18)+(G207+H207-J207*34)/(J207*L207),"after Nov 30")))</f>
        <v/>
      </c>
      <c r="R207" s="54">
        <f>IF(AND(G207&lt;=0,J207&gt;0),"Out of stock now",IF(G207&gt;=N207,"Covered to Nov 30",IF(G207+H207&gt;=N207,"Needs inbound in time","Short even with inbound")))</f>
        <v/>
      </c>
      <c r="S207" s="57" t="n">
        <v>1.679</v>
      </c>
      <c r="T207" s="59">
        <f>IF(S207="","",S207*34+S207*L207*12)</f>
        <v/>
      </c>
    </row>
    <row r="208">
      <c r="A208" s="54" t="inlineStr">
        <is>
          <t>US DC B6</t>
        </is>
      </c>
      <c r="B208" s="54" t="inlineStr">
        <is>
          <t>US</t>
        </is>
      </c>
      <c r="C208" s="54" t="inlineStr">
        <is>
          <t>B0CQ3437ZF</t>
        </is>
      </c>
      <c r="D208" s="54" t="inlineStr">
        <is>
          <t>BAMBOO-KING-LIGHT PINK-6PCS</t>
        </is>
      </c>
      <c r="E208" s="54" t="inlineStr">
        <is>
          <t>King</t>
        </is>
      </c>
      <c r="F208" s="54" t="inlineStr">
        <is>
          <t>Light Pink</t>
        </is>
      </c>
      <c r="G208" s="55" t="n">
        <v>257</v>
      </c>
      <c r="H208" s="55" t="n">
        <v>232</v>
      </c>
      <c r="I208" s="56" t="inlineStr">
        <is>
          <t>FBA19STZ9LHZ ready to ship: 44; FBA19STRJMC3 ready to ship: 40; FBA19SV47PX1 ready to ship: 60; FBA19SV1CLVT ready to ship: 56; FBA19STYQSF4 ready to ship: 24; FBA19N82086K ready to ship: 64; FBA19P55072C in transit: 8</t>
        </is>
      </c>
      <c r="J208" s="57" t="n">
        <v>2.09</v>
      </c>
      <c r="K208" s="56" t="inlineStr">
        <is>
          <t>account data velocity</t>
        </is>
      </c>
      <c r="L208" s="58" t="n">
        <v>2.4883</v>
      </c>
      <c r="M208" s="56" t="inlineStr">
        <is>
          <t>own BFCM 2025 lift (account data)</t>
        </is>
      </c>
      <c r="N208" s="59">
        <f>J208*34+J208*L208*12</f>
        <v/>
      </c>
      <c r="O208" s="59">
        <f>MAX(0,N208-G208-H208)</f>
        <v/>
      </c>
      <c r="P208" s="60">
        <f>IF(J208=0,"",IF(G208&lt;J208*34,DATE(2026,10,15)+G208/J208,IF(G208&lt;N208,DATE(2026,11,18)+(G208-J208*34)/(J208*L208),"after Nov 30")))</f>
        <v/>
      </c>
      <c r="Q208" s="60">
        <f>IF(J208=0,"",IF(G208+H208&lt;J208*34,DATE(2026,10,15)+(G208+H208)/J208,IF(G208+H208&lt;N208,DATE(2026,11,18)+(G208+H208-J208*34)/(J208*L208),"after Nov 30")))</f>
        <v/>
      </c>
      <c r="R208" s="54">
        <f>IF(AND(G208&lt;=0,J208&gt;0),"Out of stock now",IF(G208&gt;=N208,"Covered to Nov 30",IF(G208+H208&gt;=N208,"Needs inbound in time","Short even with inbound")))</f>
        <v/>
      </c>
      <c r="S208" s="57" t="n">
        <v>1.036</v>
      </c>
      <c r="T208" s="59">
        <f>IF(S208="","",S208*34+S208*L208*12)</f>
        <v/>
      </c>
    </row>
    <row r="209">
      <c r="A209" s="54" t="inlineStr">
        <is>
          <t>US DC B6</t>
        </is>
      </c>
      <c r="B209" s="54" t="inlineStr">
        <is>
          <t>US</t>
        </is>
      </c>
      <c r="C209" s="54" t="inlineStr">
        <is>
          <t>B0CQ328N9Z</t>
        </is>
      </c>
      <c r="D209" s="54" t="inlineStr">
        <is>
          <t>BAMBOO-KING-PURPLE-6PCS</t>
        </is>
      </c>
      <c r="E209" s="54" t="inlineStr">
        <is>
          <t>King</t>
        </is>
      </c>
      <c r="F209" s="54" t="inlineStr">
        <is>
          <t>Purple</t>
        </is>
      </c>
      <c r="G209" s="55" t="n">
        <v>29</v>
      </c>
      <c r="H209" s="55" t="n">
        <v>0</v>
      </c>
      <c r="I209" s="56" t="n"/>
      <c r="J209" s="57" t="n">
        <v>2.08</v>
      </c>
      <c r="K209" s="56" t="inlineStr">
        <is>
          <t>account data velocity</t>
        </is>
      </c>
      <c r="L209" s="58" t="n">
        <v>2.4883</v>
      </c>
      <c r="M209" s="56" t="inlineStr">
        <is>
          <t>own BFCM 2025 lift (account data)</t>
        </is>
      </c>
      <c r="N209" s="59">
        <f>J209*34+J209*L209*12</f>
        <v/>
      </c>
      <c r="O209" s="59">
        <f>MAX(0,N209-G209-H209)</f>
        <v/>
      </c>
      <c r="P209" s="60">
        <f>IF(J209=0,"",IF(G209&lt;J209*34,DATE(2026,10,15)+G209/J209,IF(G209&lt;N209,DATE(2026,11,18)+(G209-J209*34)/(J209*L209),"after Nov 30")))</f>
        <v/>
      </c>
      <c r="Q209" s="60">
        <f>IF(J209=0,"",IF(G209+H209&lt;J209*34,DATE(2026,10,15)+(G209+H209)/J209,IF(G209+H209&lt;N209,DATE(2026,11,18)+(G209+H209-J209*34)/(J209*L209),"after Nov 30")))</f>
        <v/>
      </c>
      <c r="R209" s="54">
        <f>IF(AND(G209&lt;=0,J209&gt;0),"Out of stock now",IF(G209&gt;=N209,"Covered to Nov 30",IF(G209+H209&gt;=N209,"Needs inbound in time","Short even with inbound")))</f>
        <v/>
      </c>
      <c r="S209" s="57" t="n">
        <v>1.929</v>
      </c>
      <c r="T209" s="59">
        <f>IF(S209="","",S209*34+S209*L209*12)</f>
        <v/>
      </c>
    </row>
    <row r="210">
      <c r="A210" s="54" t="inlineStr">
        <is>
          <t>US DC B6</t>
        </is>
      </c>
      <c r="B210" s="54" t="inlineStr">
        <is>
          <t>US</t>
        </is>
      </c>
      <c r="C210" s="54" t="inlineStr">
        <is>
          <t>B0CQ31Q559</t>
        </is>
      </c>
      <c r="D210" s="54" t="inlineStr">
        <is>
          <t>BAMBOO-FULL-WHITE-6PCS</t>
        </is>
      </c>
      <c r="E210" s="54" t="inlineStr">
        <is>
          <t>Full</t>
        </is>
      </c>
      <c r="F210" s="54" t="inlineStr">
        <is>
          <t>White</t>
        </is>
      </c>
      <c r="G210" s="55" t="n">
        <v>68</v>
      </c>
      <c r="H210" s="55" t="n">
        <v>54</v>
      </c>
      <c r="I210" s="56" t="inlineStr">
        <is>
          <t>FBA19N7WSG18 in transit: 18; FBA19N7RP6W7 in transit: 18; FBA19N7RQF4Q ready to ship: 18</t>
        </is>
      </c>
      <c r="J210" s="57" t="n">
        <v>1.7</v>
      </c>
      <c r="K210" s="56" t="inlineStr">
        <is>
          <t>account data velocity</t>
        </is>
      </c>
      <c r="L210" s="58" t="n">
        <v>2.4883</v>
      </c>
      <c r="M210" s="56" t="inlineStr">
        <is>
          <t>own BFCM 2025 lift (account data)</t>
        </is>
      </c>
      <c r="N210" s="59">
        <f>J210*34+J210*L210*12</f>
        <v/>
      </c>
      <c r="O210" s="59">
        <f>MAX(0,N210-G210-H210)</f>
        <v/>
      </c>
      <c r="P210" s="60">
        <f>IF(J210=0,"",IF(G210&lt;J210*34,DATE(2026,10,15)+G210/J210,IF(G210&lt;N210,DATE(2026,11,18)+(G210-J210*34)/(J210*L210),"after Nov 30")))</f>
        <v/>
      </c>
      <c r="Q210" s="60">
        <f>IF(J210=0,"",IF(G210+H210&lt;J210*34,DATE(2026,10,15)+(G210+H210)/J210,IF(G210+H210&lt;N210,DATE(2026,11,18)+(G210+H210-J210*34)/(J210*L210),"after Nov 30")))</f>
        <v/>
      </c>
      <c r="R210" s="54">
        <f>IF(AND(G210&lt;=0,J210&gt;0),"Out of stock now",IF(G210&gt;=N210,"Covered to Nov 30",IF(G210+H210&gt;=N210,"Needs inbound in time","Short even with inbound")))</f>
        <v/>
      </c>
      <c r="S210" s="57" t="n">
        <v>1.036</v>
      </c>
      <c r="T210" s="59">
        <f>IF(S210="","",S210*34+S210*L210*12)</f>
        <v/>
      </c>
    </row>
    <row r="211">
      <c r="A211" s="54" t="inlineStr">
        <is>
          <t>US DC B6</t>
        </is>
      </c>
      <c r="B211" s="54" t="inlineStr">
        <is>
          <t>US</t>
        </is>
      </c>
      <c r="C211" s="54" t="inlineStr">
        <is>
          <t>B0CQ319J1Z</t>
        </is>
      </c>
      <c r="D211" s="54" t="inlineStr">
        <is>
          <t>BAMBOO-KING-MIDGREY-6PCS</t>
        </is>
      </c>
      <c r="E211" s="54" t="inlineStr">
        <is>
          <t>King</t>
        </is>
      </c>
      <c r="F211" s="54" t="inlineStr">
        <is>
          <t>Midgrey</t>
        </is>
      </c>
      <c r="G211" s="55" t="n">
        <v>102</v>
      </c>
      <c r="H211" s="55" t="n">
        <v>160</v>
      </c>
      <c r="I211" s="56" t="inlineStr">
        <is>
          <t>FBA19STZ9LHZ ready to ship: 12; FBA19STRJMC3 ready to ship: 4; FBA19SV47PX1 ready to ship: 8; FBA19SV1CLVT ready to ship: 12; FBA19STYQSF4 ready to ship: 4; FBA19N82086K ready to ship: 64; FBA19N7WSG18 in transit: 24; FBA19N7RP6W7 in transit: 52; FBA19N7RQF4Q ready to ship: 44</t>
        </is>
      </c>
      <c r="J211" s="57" t="n">
        <v>1.69</v>
      </c>
      <c r="K211" s="56" t="inlineStr">
        <is>
          <t>account data velocity</t>
        </is>
      </c>
      <c r="L211" s="58" t="n">
        <v>2.4883</v>
      </c>
      <c r="M211" s="56" t="inlineStr">
        <is>
          <t>own BFCM 2025 lift (account data)</t>
        </is>
      </c>
      <c r="N211" s="59">
        <f>J211*34+J211*L211*12</f>
        <v/>
      </c>
      <c r="O211" s="59">
        <f>MAX(0,N211-G211-H211)</f>
        <v/>
      </c>
      <c r="P211" s="60">
        <f>IF(J211=0,"",IF(G211&lt;J211*34,DATE(2026,10,15)+G211/J211,IF(G211&lt;N211,DATE(2026,11,18)+(G211-J211*34)/(J211*L211),"after Nov 30")))</f>
        <v/>
      </c>
      <c r="Q211" s="60">
        <f>IF(J211=0,"",IF(G211+H211&lt;J211*34,DATE(2026,10,15)+(G211+H211)/J211,IF(G211+H211&lt;N211,DATE(2026,11,18)+(G211+H211-J211*34)/(J211*L211),"after Nov 30")))</f>
        <v/>
      </c>
      <c r="R211" s="54">
        <f>IF(AND(G211&lt;=0,J211&gt;0),"Out of stock now",IF(G211&gt;=N211,"Covered to Nov 30",IF(G211+H211&gt;=N211,"Needs inbound in time","Short even with inbound")))</f>
        <v/>
      </c>
      <c r="S211" s="57" t="n">
        <v>0.714</v>
      </c>
      <c r="T211" s="59">
        <f>IF(S211="","",S211*34+S211*L211*12)</f>
        <v/>
      </c>
    </row>
    <row r="212">
      <c r="A212" s="54" t="inlineStr">
        <is>
          <t>US DC B6</t>
        </is>
      </c>
      <c r="B212" s="54" t="inlineStr">
        <is>
          <t>US</t>
        </is>
      </c>
      <c r="C212" s="54" t="inlineStr">
        <is>
          <t>B0CQ33K3TL</t>
        </is>
      </c>
      <c r="D212" s="54" t="inlineStr">
        <is>
          <t>BAMBOO-QUEEN-LIGHTGREY-6PCS</t>
        </is>
      </c>
      <c r="E212" s="54" t="inlineStr">
        <is>
          <t>Queen</t>
        </is>
      </c>
      <c r="F212" s="54" t="inlineStr">
        <is>
          <t>Light Grey</t>
        </is>
      </c>
      <c r="G212" s="55" t="n">
        <v>214</v>
      </c>
      <c r="H212" s="55" t="n">
        <v>132</v>
      </c>
      <c r="I212" s="56" t="inlineStr">
        <is>
          <t>FBA19STZ9LHZ ready to ship: 24; FBA19STRJMC3 ready to ship: 18; FBA19SV47PX1 ready to ship: 24; FBA19SV1CLVT ready to ship: 24; FBA19STYQSF4 ready to ship: 12; FBA19N82086K ready to ship: 300; FBA19N7WSG18 in transit: 12; FBA19N7RP6W7 in transit: 18</t>
        </is>
      </c>
      <c r="J212" s="57" t="n">
        <v>1.66</v>
      </c>
      <c r="K212" s="56" t="inlineStr">
        <is>
          <t>account data velocity</t>
        </is>
      </c>
      <c r="L212" s="58" t="n">
        <v>2.4883</v>
      </c>
      <c r="M212" s="56" t="inlineStr">
        <is>
          <t>own BFCM 2025 lift (account data)</t>
        </is>
      </c>
      <c r="N212" s="59">
        <f>J212*34+J212*L212*12</f>
        <v/>
      </c>
      <c r="O212" s="59">
        <f>MAX(0,N212-G212-H212)</f>
        <v/>
      </c>
      <c r="P212" s="60">
        <f>IF(J212=0,"",IF(G212&lt;J212*34,DATE(2026,10,15)+G212/J212,IF(G212&lt;N212,DATE(2026,11,18)+(G212-J212*34)/(J212*L212),"after Nov 30")))</f>
        <v/>
      </c>
      <c r="Q212" s="60">
        <f>IF(J212=0,"",IF(G212+H212&lt;J212*34,DATE(2026,10,15)+(G212+H212)/J212,IF(G212+H212&lt;N212,DATE(2026,11,18)+(G212+H212-J212*34)/(J212*L212),"after Nov 30")))</f>
        <v/>
      </c>
      <c r="R212" s="54">
        <f>IF(AND(G212&lt;=0,J212&gt;0),"Out of stock now",IF(G212&gt;=N212,"Covered to Nov 30",IF(G212+H212&gt;=N212,"Needs inbound in time","Short even with inbound")))</f>
        <v/>
      </c>
      <c r="S212" s="57" t="n">
        <v>1.393</v>
      </c>
      <c r="T212" s="59">
        <f>IF(S212="","",S212*34+S212*L212*12)</f>
        <v/>
      </c>
    </row>
    <row r="213">
      <c r="A213" s="54" t="inlineStr">
        <is>
          <t>US DC B6</t>
        </is>
      </c>
      <c r="B213" s="54" t="inlineStr">
        <is>
          <t>US</t>
        </is>
      </c>
      <c r="C213" s="54" t="inlineStr">
        <is>
          <t>B0CQ3CDRTN</t>
        </is>
      </c>
      <c r="D213" s="54" t="inlineStr">
        <is>
          <t>BAMBOO-QUEEN-SAGE GREEN-6PCS</t>
        </is>
      </c>
      <c r="E213" s="54" t="inlineStr">
        <is>
          <t>Queen</t>
        </is>
      </c>
      <c r="F213" s="54" t="inlineStr">
        <is>
          <t>Sage Green</t>
        </is>
      </c>
      <c r="G213" s="55" t="n">
        <v>105</v>
      </c>
      <c r="H213" s="55" t="n">
        <v>6</v>
      </c>
      <c r="I213" s="56" t="inlineStr">
        <is>
          <t>FBA19N82086K ready to ship: 84; FBA19P55072C in transit: 6</t>
        </is>
      </c>
      <c r="J213" s="57" t="n">
        <v>1.58</v>
      </c>
      <c r="K213" s="56" t="inlineStr">
        <is>
          <t>account data velocity</t>
        </is>
      </c>
      <c r="L213" s="58" t="n">
        <v>2.4883</v>
      </c>
      <c r="M213" s="56" t="inlineStr">
        <is>
          <t>own BFCM 2025 lift (account data)</t>
        </is>
      </c>
      <c r="N213" s="59">
        <f>J213*34+J213*L213*12</f>
        <v/>
      </c>
      <c r="O213" s="59">
        <f>MAX(0,N213-G213-H213)</f>
        <v/>
      </c>
      <c r="P213" s="60">
        <f>IF(J213=0,"",IF(G213&lt;J213*34,DATE(2026,10,15)+G213/J213,IF(G213&lt;N213,DATE(2026,11,18)+(G213-J213*34)/(J213*L213),"after Nov 30")))</f>
        <v/>
      </c>
      <c r="Q213" s="60">
        <f>IF(J213=0,"",IF(G213+H213&lt;J213*34,DATE(2026,10,15)+(G213+H213)/J213,IF(G213+H213&lt;N213,DATE(2026,11,18)+(G213+H213-J213*34)/(J213*L213),"after Nov 30")))</f>
        <v/>
      </c>
      <c r="R213" s="54">
        <f>IF(AND(G213&lt;=0,J213&gt;0),"Out of stock now",IF(G213&gt;=N213,"Covered to Nov 30",IF(G213+H213&gt;=N213,"Needs inbound in time","Short even with inbound")))</f>
        <v/>
      </c>
      <c r="S213" s="57" t="n">
        <v>1.464</v>
      </c>
      <c r="T213" s="59">
        <f>IF(S213="","",S213*34+S213*L213*12)</f>
        <v/>
      </c>
    </row>
    <row r="214">
      <c r="A214" s="54" t="inlineStr">
        <is>
          <t>US DC B6</t>
        </is>
      </c>
      <c r="B214" s="54" t="inlineStr">
        <is>
          <t>US</t>
        </is>
      </c>
      <c r="C214" s="54" t="inlineStr">
        <is>
          <t>B0CQ2YVZ18</t>
        </is>
      </c>
      <c r="D214" s="54" t="inlineStr">
        <is>
          <t>BAMBOO-KING-LIGHTOLIVE-6PCS</t>
        </is>
      </c>
      <c r="E214" s="54" t="inlineStr">
        <is>
          <t>King</t>
        </is>
      </c>
      <c r="F214" s="54" t="inlineStr">
        <is>
          <t>Light Olive</t>
        </is>
      </c>
      <c r="G214" s="55" t="n">
        <v>171</v>
      </c>
      <c r="H214" s="55" t="n">
        <v>20</v>
      </c>
      <c r="I214" s="56" t="inlineStr">
        <is>
          <t>FBA19STZ9LHZ ready to ship: 4; FBA19STRJMC3 ready to ship: 4; FBA19SV47PX1 ready to ship: 4; FBA19SV1CLVT ready to ship: 4; FBA19STYQSF4 ready to ship: 4</t>
        </is>
      </c>
      <c r="J214" s="57" t="n">
        <v>1.38</v>
      </c>
      <c r="K214" s="56" t="inlineStr">
        <is>
          <t>account data velocity</t>
        </is>
      </c>
      <c r="L214" s="58" t="n">
        <v>2.4883</v>
      </c>
      <c r="M214" s="56" t="inlineStr">
        <is>
          <t>own BFCM 2025 lift (account data)</t>
        </is>
      </c>
      <c r="N214" s="59">
        <f>J214*34+J214*L214*12</f>
        <v/>
      </c>
      <c r="O214" s="59">
        <f>MAX(0,N214-G214-H214)</f>
        <v/>
      </c>
      <c r="P214" s="60">
        <f>IF(J214=0,"",IF(G214&lt;J214*34,DATE(2026,10,15)+G214/J214,IF(G214&lt;N214,DATE(2026,11,18)+(G214-J214*34)/(J214*L214),"after Nov 30")))</f>
        <v/>
      </c>
      <c r="Q214" s="60">
        <f>IF(J214=0,"",IF(G214+H214&lt;J214*34,DATE(2026,10,15)+(G214+H214)/J214,IF(G214+H214&lt;N214,DATE(2026,11,18)+(G214+H214-J214*34)/(J214*L214),"after Nov 30")))</f>
        <v/>
      </c>
      <c r="R214" s="54">
        <f>IF(AND(G214&lt;=0,J214&gt;0),"Out of stock now",IF(G214&gt;=N214,"Covered to Nov 30",IF(G214+H214&gt;=N214,"Needs inbound in time","Short even with inbound")))</f>
        <v/>
      </c>
      <c r="S214" s="57" t="n">
        <v>0.786</v>
      </c>
      <c r="T214" s="59">
        <f>IF(S214="","",S214*34+S214*L214*12)</f>
        <v/>
      </c>
    </row>
    <row r="215">
      <c r="A215" s="54" t="inlineStr">
        <is>
          <t>US DC B6</t>
        </is>
      </c>
      <c r="B215" s="54" t="inlineStr">
        <is>
          <t>US</t>
        </is>
      </c>
      <c r="C215" s="54" t="inlineStr">
        <is>
          <t>B0CQ2ZYZJT</t>
        </is>
      </c>
      <c r="D215" s="54" t="inlineStr">
        <is>
          <t>BAMBOO-CALIFKING-WHITE-6PCS</t>
        </is>
      </c>
      <c r="E215" s="54" t="inlineStr">
        <is>
          <t>California King</t>
        </is>
      </c>
      <c r="F215" s="54" t="inlineStr">
        <is>
          <t>White</t>
        </is>
      </c>
      <c r="G215" s="55" t="n">
        <v>32</v>
      </c>
      <c r="H215" s="55" t="n">
        <v>72</v>
      </c>
      <c r="I215" s="56" t="inlineStr">
        <is>
          <t>FBA19QLJLR1F shipped: 20; FBA19QLKCVBW shipped: 16; FBA19QLK9CYH shipped: 20; FBA19QLKHC6Q shipped: 8; FBA19QLJ0ZP4 shipped: 8</t>
        </is>
      </c>
      <c r="J215" s="57" t="n">
        <v>1.37</v>
      </c>
      <c r="K215" s="56" t="inlineStr">
        <is>
          <t>account data velocity</t>
        </is>
      </c>
      <c r="L215" s="58" t="n">
        <v>2.4883</v>
      </c>
      <c r="M215" s="56" t="inlineStr">
        <is>
          <t>own BFCM 2025 lift (account data)</t>
        </is>
      </c>
      <c r="N215" s="59">
        <f>J215*34+J215*L215*12</f>
        <v/>
      </c>
      <c r="O215" s="59">
        <f>MAX(0,N215-G215-H215)</f>
        <v/>
      </c>
      <c r="P215" s="60">
        <f>IF(J215=0,"",IF(G215&lt;J215*34,DATE(2026,10,15)+G215/J215,IF(G215&lt;N215,DATE(2026,11,18)+(G215-J215*34)/(J215*L215),"after Nov 30")))</f>
        <v/>
      </c>
      <c r="Q215" s="60">
        <f>IF(J215=0,"",IF(G215+H215&lt;J215*34,DATE(2026,10,15)+(G215+H215)/J215,IF(G215+H215&lt;N215,DATE(2026,11,18)+(G215+H215-J215*34)/(J215*L215),"after Nov 30")))</f>
        <v/>
      </c>
      <c r="R215" s="54">
        <f>IF(AND(G215&lt;=0,J215&gt;0),"Out of stock now",IF(G215&gt;=N215,"Covered to Nov 30",IF(G215+H215&gt;=N215,"Needs inbound in time","Short even with inbound")))</f>
        <v/>
      </c>
      <c r="S215" s="57" t="n">
        <v>0.893</v>
      </c>
      <c r="T215" s="59">
        <f>IF(S215="","",S215*34+S215*L215*12)</f>
        <v/>
      </c>
    </row>
    <row r="216">
      <c r="A216" s="54" t="inlineStr">
        <is>
          <t>US DC B6</t>
        </is>
      </c>
      <c r="B216" s="54" t="inlineStr">
        <is>
          <t>US</t>
        </is>
      </c>
      <c r="C216" s="54" t="inlineStr">
        <is>
          <t>B0CQ31XHCV</t>
        </is>
      </c>
      <c r="D216" s="54" t="inlineStr">
        <is>
          <t>BAMBOO-QUEEN-GREY-6PCS</t>
        </is>
      </c>
      <c r="E216" s="54" t="inlineStr">
        <is>
          <t>Queen</t>
        </is>
      </c>
      <c r="F216" s="54" t="inlineStr">
        <is>
          <t>Grey</t>
        </is>
      </c>
      <c r="G216" s="55" t="n">
        <v>192</v>
      </c>
      <c r="H216" s="55" t="n">
        <v>30</v>
      </c>
      <c r="I216" s="56" t="inlineStr">
        <is>
          <t>FBA19STZ9LHZ ready to ship: 6; FBA19STRJMC3 ready to ship: 6; FBA19SV47PX1 ready to ship: 6; FBA19SV1CLVT ready to ship: 6; FBA19STYQSF4 ready to ship: 6</t>
        </is>
      </c>
      <c r="J216" s="57" t="n">
        <v>1.29</v>
      </c>
      <c r="K216" s="56" t="inlineStr">
        <is>
          <t>account data velocity</t>
        </is>
      </c>
      <c r="L216" s="58" t="n">
        <v>2.4883</v>
      </c>
      <c r="M216" s="56" t="inlineStr">
        <is>
          <t>own BFCM 2025 lift (account data)</t>
        </is>
      </c>
      <c r="N216" s="59">
        <f>J216*34+J216*L216*12</f>
        <v/>
      </c>
      <c r="O216" s="59">
        <f>MAX(0,N216-G216-H216)</f>
        <v/>
      </c>
      <c r="P216" s="60">
        <f>IF(J216=0,"",IF(G216&lt;J216*34,DATE(2026,10,15)+G216/J216,IF(G216&lt;N216,DATE(2026,11,18)+(G216-J216*34)/(J216*L216),"after Nov 30")))</f>
        <v/>
      </c>
      <c r="Q216" s="60">
        <f>IF(J216=0,"",IF(G216+H216&lt;J216*34,DATE(2026,10,15)+(G216+H216)/J216,IF(G216+H216&lt;N216,DATE(2026,11,18)+(G216+H216-J216*34)/(J216*L216),"after Nov 30")))</f>
        <v/>
      </c>
      <c r="R216" s="54">
        <f>IF(AND(G216&lt;=0,J216&gt;0),"Out of stock now",IF(G216&gt;=N216,"Covered to Nov 30",IF(G216+H216&gt;=N216,"Needs inbound in time","Short even with inbound")))</f>
        <v/>
      </c>
      <c r="S216" s="57" t="n">
        <v>0.857</v>
      </c>
      <c r="T216" s="59">
        <f>IF(S216="","",S216*34+S216*L216*12)</f>
        <v/>
      </c>
    </row>
    <row r="217">
      <c r="A217" s="54" t="inlineStr">
        <is>
          <t>US DC B6</t>
        </is>
      </c>
      <c r="B217" s="54" t="inlineStr">
        <is>
          <t>US</t>
        </is>
      </c>
      <c r="C217" s="54" t="inlineStr">
        <is>
          <t>B0CQ31FR3Y</t>
        </is>
      </c>
      <c r="D217" s="54" t="inlineStr">
        <is>
          <t>BAMBOO-QUEEN-MIDGREY-6PCS</t>
        </is>
      </c>
      <c r="E217" s="54" t="inlineStr">
        <is>
          <t>Queen</t>
        </is>
      </c>
      <c r="F217" s="54" t="inlineStr">
        <is>
          <t>Midgrey</t>
        </is>
      </c>
      <c r="G217" s="55" t="n">
        <v>108</v>
      </c>
      <c r="H217" s="55" t="n">
        <v>84</v>
      </c>
      <c r="I217" s="56" t="inlineStr">
        <is>
          <t>FBA19STZ9LHZ ready to ship: 12; FBA19STRJMC3 ready to ship: 6; FBA19SV47PX1 ready to ship: 6; FBA19SV1CLVT ready to ship: 6; FBA19STYQSF4 ready to ship: 6; FBA19QLJLR1F shipped: 12; FBA19QLKCVBW shipped: 12; FBA19QLK9CYH shipped: 6; FBA19QLKHC6Q shipped: 6; FBA19QLJ0ZP4 shipped: 12</t>
        </is>
      </c>
      <c r="J217" s="57" t="n">
        <v>1.04</v>
      </c>
      <c r="K217" s="56" t="inlineStr">
        <is>
          <t>account data velocity</t>
        </is>
      </c>
      <c r="L217" s="58" t="n">
        <v>2.4883</v>
      </c>
      <c r="M217" s="56" t="inlineStr">
        <is>
          <t>own BFCM 2025 lift (account data)</t>
        </is>
      </c>
      <c r="N217" s="59">
        <f>J217*34+J217*L217*12</f>
        <v/>
      </c>
      <c r="O217" s="59">
        <f>MAX(0,N217-G217-H217)</f>
        <v/>
      </c>
      <c r="P217" s="60">
        <f>IF(J217=0,"",IF(G217&lt;J217*34,DATE(2026,10,15)+G217/J217,IF(G217&lt;N217,DATE(2026,11,18)+(G217-J217*34)/(J217*L217),"after Nov 30")))</f>
        <v/>
      </c>
      <c r="Q217" s="60">
        <f>IF(J217=0,"",IF(G217+H217&lt;J217*34,DATE(2026,10,15)+(G217+H217)/J217,IF(G217+H217&lt;N217,DATE(2026,11,18)+(G217+H217-J217*34)/(J217*L217),"after Nov 30")))</f>
        <v/>
      </c>
      <c r="R217" s="54">
        <f>IF(AND(G217&lt;=0,J217&gt;0),"Out of stock now",IF(G217&gt;=N217,"Covered to Nov 30",IF(G217+H217&gt;=N217,"Needs inbound in time","Short even with inbound")))</f>
        <v/>
      </c>
      <c r="S217" s="57" t="n">
        <v>0.714</v>
      </c>
      <c r="T217" s="59">
        <f>IF(S217="","",S217*34+S217*L217*12)</f>
        <v/>
      </c>
    </row>
    <row r="218">
      <c r="A218" s="54" t="inlineStr">
        <is>
          <t>US DC B6</t>
        </is>
      </c>
      <c r="B218" s="54" t="inlineStr">
        <is>
          <t>US</t>
        </is>
      </c>
      <c r="C218" s="54" t="inlineStr">
        <is>
          <t>B0CQ31X78V</t>
        </is>
      </c>
      <c r="D218" s="54" t="inlineStr">
        <is>
          <t>BAMBOO-CALIFKING-CREME-6PCS</t>
        </is>
      </c>
      <c r="E218" s="54" t="inlineStr">
        <is>
          <t>California King</t>
        </is>
      </c>
      <c r="F218" s="54" t="inlineStr">
        <is>
          <t>Creme</t>
        </is>
      </c>
      <c r="G218" s="55" t="n">
        <v>49</v>
      </c>
      <c r="H218" s="55" t="n">
        <v>124</v>
      </c>
      <c r="I218" s="56" t="inlineStr">
        <is>
          <t>FBA19STZ9LHZ ready to ship: 12; FBA19STRJMC3 ready to ship: 4; FBA19SV47PX1 ready to ship: 8; FBA19SV1CLVT ready to ship: 12; FBA19STYQSF4 ready to ship: 12; FBA19RS1HC4F shipped: 16; FBA19RRY6QFT shipped: 4; FBA19RS0N5K2 shipped: 16; FBA19RRYCGHJ shipped: 8; FBA19RRY5FBL shipped: 12; FBA19QLJLR1F shipped: 4; FBA19QLKCVBW shipped: 4; FBA19QLK9CYH shipped: 4; FBA19QLKHC6Q shipped: 4; FBA19QLJ0ZP4 shipped: 4</t>
        </is>
      </c>
      <c r="J218" s="57" t="n">
        <v>1.03</v>
      </c>
      <c r="K218" s="56" t="inlineStr">
        <is>
          <t>account data velocity</t>
        </is>
      </c>
      <c r="L218" s="58" t="n">
        <v>2.4883</v>
      </c>
      <c r="M218" s="56" t="inlineStr">
        <is>
          <t>own BFCM 2025 lift (account data)</t>
        </is>
      </c>
      <c r="N218" s="59">
        <f>J218*34+J218*L218*12</f>
        <v/>
      </c>
      <c r="O218" s="59">
        <f>MAX(0,N218-G218-H218)</f>
        <v/>
      </c>
      <c r="P218" s="60">
        <f>IF(J218=0,"",IF(G218&lt;J218*34,DATE(2026,10,15)+G218/J218,IF(G218&lt;N218,DATE(2026,11,18)+(G218-J218*34)/(J218*L218),"after Nov 30")))</f>
        <v/>
      </c>
      <c r="Q218" s="60">
        <f>IF(J218=0,"",IF(G218+H218&lt;J218*34,DATE(2026,10,15)+(G218+H218)/J218,IF(G218+H218&lt;N218,DATE(2026,11,18)+(G218+H218-J218*34)/(J218*L218),"after Nov 30")))</f>
        <v/>
      </c>
      <c r="R218" s="54">
        <f>IF(AND(G218&lt;=0,J218&gt;0),"Out of stock now",IF(G218&gt;=N218,"Covered to Nov 30",IF(G218+H218&gt;=N218,"Needs inbound in time","Short even with inbound")))</f>
        <v/>
      </c>
      <c r="S218" s="57" t="n">
        <v>0.571</v>
      </c>
      <c r="T218" s="59">
        <f>IF(S218="","",S218*34+S218*L218*12)</f>
        <v/>
      </c>
    </row>
    <row r="219">
      <c r="A219" s="54" t="inlineStr">
        <is>
          <t>US DC B6</t>
        </is>
      </c>
      <c r="B219" s="54" t="inlineStr">
        <is>
          <t>US</t>
        </is>
      </c>
      <c r="C219" s="54" t="inlineStr">
        <is>
          <t>B0CQ2YDPDS</t>
        </is>
      </c>
      <c r="D219" s="54" t="inlineStr">
        <is>
          <t>BAMBOO-KING-OLIVE-6PCS</t>
        </is>
      </c>
      <c r="E219" s="54" t="inlineStr">
        <is>
          <t>King</t>
        </is>
      </c>
      <c r="F219" s="54" t="inlineStr">
        <is>
          <t>Olive</t>
        </is>
      </c>
      <c r="G219" s="55" t="n">
        <v>17</v>
      </c>
      <c r="H219" s="55" t="n">
        <v>112</v>
      </c>
      <c r="I219" s="56" t="inlineStr">
        <is>
          <t>FBA19QLJLR1F shipped: 24; FBA19QLKCVBW shipped: 16; FBA19QLK9CYH shipped: 8; FBA19QLKHC6Q shipped: 12; FBA19QLJ0ZP4 shipped: 20; FBA19N7WSG18 in transit: 8; FBA19N7RP6W7 in transit: 12; FBA19N7RQF4Q ready to ship: 12</t>
        </is>
      </c>
      <c r="J219" s="57" t="n">
        <v>0.95</v>
      </c>
      <c r="K219" s="56" t="inlineStr">
        <is>
          <t>account data velocity</t>
        </is>
      </c>
      <c r="L219" s="58" t="n">
        <v>2.4883</v>
      </c>
      <c r="M219" s="56" t="inlineStr">
        <is>
          <t>own BFCM 2025 lift (account data)</t>
        </is>
      </c>
      <c r="N219" s="59">
        <f>J219*34+J219*L219*12</f>
        <v/>
      </c>
      <c r="O219" s="59">
        <f>MAX(0,N219-G219-H219)</f>
        <v/>
      </c>
      <c r="P219" s="60">
        <f>IF(J219=0,"",IF(G219&lt;J219*34,DATE(2026,10,15)+G219/J219,IF(G219&lt;N219,DATE(2026,11,18)+(G219-J219*34)/(J219*L219),"after Nov 30")))</f>
        <v/>
      </c>
      <c r="Q219" s="60">
        <f>IF(J219=0,"",IF(G219+H219&lt;J219*34,DATE(2026,10,15)+(G219+H219)/J219,IF(G219+H219&lt;N219,DATE(2026,11,18)+(G219+H219-J219*34)/(J219*L219),"after Nov 30")))</f>
        <v/>
      </c>
      <c r="R219" s="54">
        <f>IF(AND(G219&lt;=0,J219&gt;0),"Out of stock now",IF(G219&gt;=N219,"Covered to Nov 30",IF(G219+H219&gt;=N219,"Needs inbound in time","Short even with inbound")))</f>
        <v/>
      </c>
      <c r="S219" s="57" t="n">
        <v>0.143</v>
      </c>
      <c r="T219" s="59">
        <f>IF(S219="","",S219*34+S219*L219*12)</f>
        <v/>
      </c>
    </row>
    <row r="220">
      <c r="A220" s="54" t="inlineStr">
        <is>
          <t>US DC B6</t>
        </is>
      </c>
      <c r="B220" s="54" t="inlineStr">
        <is>
          <t>US</t>
        </is>
      </c>
      <c r="C220" s="54" t="inlineStr">
        <is>
          <t>B0CQ2ZWSN7</t>
        </is>
      </c>
      <c r="D220" s="54" t="inlineStr">
        <is>
          <t>BAMBOO-QUEEN-BURGUNDY-6PCS</t>
        </is>
      </c>
      <c r="E220" s="54" t="inlineStr">
        <is>
          <t>Queen</t>
        </is>
      </c>
      <c r="F220" s="54" t="inlineStr">
        <is>
          <t>Burgundy</t>
        </is>
      </c>
      <c r="G220" s="55" t="n">
        <v>122</v>
      </c>
      <c r="H220" s="55" t="n">
        <v>90</v>
      </c>
      <c r="I220" s="56" t="inlineStr">
        <is>
          <t>FBA19N7WSG18 in transit: 36; FBA19N7RP6W7 in transit: 42; FBA19N7RQF4Q ready to ship: 12</t>
        </is>
      </c>
      <c r="J220" s="57" t="n">
        <v>0.92</v>
      </c>
      <c r="K220" s="56" t="inlineStr">
        <is>
          <t>account data velocity</t>
        </is>
      </c>
      <c r="L220" s="58" t="n">
        <v>2.4883</v>
      </c>
      <c r="M220" s="56" t="inlineStr">
        <is>
          <t>own BFCM 2025 lift (account data)</t>
        </is>
      </c>
      <c r="N220" s="59">
        <f>J220*34+J220*L220*12</f>
        <v/>
      </c>
      <c r="O220" s="59">
        <f>MAX(0,N220-G220-H220)</f>
        <v/>
      </c>
      <c r="P220" s="60">
        <f>IF(J220=0,"",IF(G220&lt;J220*34,DATE(2026,10,15)+G220/J220,IF(G220&lt;N220,DATE(2026,11,18)+(G220-J220*34)/(J220*L220),"after Nov 30")))</f>
        <v/>
      </c>
      <c r="Q220" s="60">
        <f>IF(J220=0,"",IF(G220+H220&lt;J220*34,DATE(2026,10,15)+(G220+H220)/J220,IF(G220+H220&lt;N220,DATE(2026,11,18)+(G220+H220-J220*34)/(J220*L220),"after Nov 30")))</f>
        <v/>
      </c>
      <c r="R220" s="54">
        <f>IF(AND(G220&lt;=0,J220&gt;0),"Out of stock now",IF(G220&gt;=N220,"Covered to Nov 30",IF(G220+H220&gt;=N220,"Needs inbound in time","Short even with inbound")))</f>
        <v/>
      </c>
      <c r="S220" s="57" t="n">
        <v>0.893</v>
      </c>
      <c r="T220" s="59">
        <f>IF(S220="","",S220*34+S220*L220*12)</f>
        <v/>
      </c>
    </row>
    <row r="221">
      <c r="A221" s="54" t="inlineStr">
        <is>
          <t>US DC B6</t>
        </is>
      </c>
      <c r="B221" s="54" t="inlineStr">
        <is>
          <t>US</t>
        </is>
      </c>
      <c r="C221" s="54" t="inlineStr">
        <is>
          <t>B0CQ2ZVD96</t>
        </is>
      </c>
      <c r="D221" s="54" t="inlineStr">
        <is>
          <t>BAMBOO-FULL-CREME-6PCS</t>
        </is>
      </c>
      <c r="E221" s="54" t="inlineStr">
        <is>
          <t>Full</t>
        </is>
      </c>
      <c r="F221" s="54" t="inlineStr">
        <is>
          <t>Creme</t>
        </is>
      </c>
      <c r="G221" s="55" t="n">
        <v>248</v>
      </c>
      <c r="H221" s="55" t="n">
        <v>78</v>
      </c>
      <c r="I221" s="56" t="inlineStr">
        <is>
          <t>FBA19STZ9LHZ ready to ship: 18; FBA19STRJMC3 ready to ship: 18; FBA19SV47PX1 ready to ship: 12; FBA19SV1CLVT ready to ship: 18; FBA19STYQSF4 ready to ship: 12</t>
        </is>
      </c>
      <c r="J221" s="57" t="n">
        <v>0.89</v>
      </c>
      <c r="K221" s="56" t="inlineStr">
        <is>
          <t>account data velocity</t>
        </is>
      </c>
      <c r="L221" s="58" t="n">
        <v>2.4883</v>
      </c>
      <c r="M221" s="56" t="inlineStr">
        <is>
          <t>own BFCM 2025 lift (account data)</t>
        </is>
      </c>
      <c r="N221" s="59">
        <f>J221*34+J221*L221*12</f>
        <v/>
      </c>
      <c r="O221" s="59">
        <f>MAX(0,N221-G221-H221)</f>
        <v/>
      </c>
      <c r="P221" s="60">
        <f>IF(J221=0,"",IF(G221&lt;J221*34,DATE(2026,10,15)+G221/J221,IF(G221&lt;N221,DATE(2026,11,18)+(G221-J221*34)/(J221*L221),"after Nov 30")))</f>
        <v/>
      </c>
      <c r="Q221" s="60">
        <f>IF(J221=0,"",IF(G221+H221&lt;J221*34,DATE(2026,10,15)+(G221+H221)/J221,IF(G221+H221&lt;N221,DATE(2026,11,18)+(G221+H221-J221*34)/(J221*L221),"after Nov 30")))</f>
        <v/>
      </c>
      <c r="R221" s="54">
        <f>IF(AND(G221&lt;=0,J221&gt;0),"Out of stock now",IF(G221&gt;=N221,"Covered to Nov 30",IF(G221+H221&gt;=N221,"Needs inbound in time","Short even with inbound")))</f>
        <v/>
      </c>
      <c r="S221" s="57" t="n">
        <v>0.964</v>
      </c>
      <c r="T221" s="59">
        <f>IF(S221="","",S221*34+S221*L221*12)</f>
        <v/>
      </c>
    </row>
    <row r="222">
      <c r="A222" s="54" t="inlineStr">
        <is>
          <t>US DC B6</t>
        </is>
      </c>
      <c r="B222" s="54" t="inlineStr">
        <is>
          <t>US</t>
        </is>
      </c>
      <c r="C222" s="54" t="inlineStr">
        <is>
          <t>B0CQ31L3V7</t>
        </is>
      </c>
      <c r="D222" s="54" t="inlineStr">
        <is>
          <t>BAMBOO-CALIFKING-LIGHTBLUE-6PCS</t>
        </is>
      </c>
      <c r="E222" s="54" t="inlineStr">
        <is>
          <t>California King</t>
        </is>
      </c>
      <c r="F222" s="54" t="inlineStr">
        <is>
          <t>Light Blue</t>
        </is>
      </c>
      <c r="G222" s="55" t="n">
        <v>19</v>
      </c>
      <c r="H222" s="55" t="n">
        <v>140</v>
      </c>
      <c r="I222" s="56" t="inlineStr">
        <is>
          <t>FBA19STZ9LHZ ready to ship: 8; FBA19STRJMC3 ready to ship: 4; FBA19SV47PX1 ready to ship: 8; FBA19SV1CLVT ready to ship: 12; FBA19STYQSF4 ready to ship: 8; FBA19RS1HC4F shipped: 20; FBA19RRY6QFT shipped: 12; FBA19RS0N5K2 shipped: 16; FBA19RRYCGHJ shipped: 12; FBA19RRY5FBL shipped: 16; FBA19QLJLR1F shipped: 8; FBA19QLKCVBW shipped: 4; FBA19QLK9CYH shipped: 4; FBA19QLKHC6Q shipped: 4; FBA19QLJ0ZP4 shipped: 4</t>
        </is>
      </c>
      <c r="J222" s="57" t="n">
        <v>0.75</v>
      </c>
      <c r="K222" s="56" t="inlineStr">
        <is>
          <t>account data velocity</t>
        </is>
      </c>
      <c r="L222" s="58" t="n">
        <v>2.4883</v>
      </c>
      <c r="M222" s="56" t="inlineStr">
        <is>
          <t>own BFCM 2025 lift (account data)</t>
        </is>
      </c>
      <c r="N222" s="59">
        <f>J222*34+J222*L222*12</f>
        <v/>
      </c>
      <c r="O222" s="59">
        <f>MAX(0,N222-G222-H222)</f>
        <v/>
      </c>
      <c r="P222" s="60">
        <f>IF(J222=0,"",IF(G222&lt;J222*34,DATE(2026,10,15)+G222/J222,IF(G222&lt;N222,DATE(2026,11,18)+(G222-J222*34)/(J222*L222),"after Nov 30")))</f>
        <v/>
      </c>
      <c r="Q222" s="60">
        <f>IF(J222=0,"",IF(G222+H222&lt;J222*34,DATE(2026,10,15)+(G222+H222)/J222,IF(G222+H222&lt;N222,DATE(2026,11,18)+(G222+H222-J222*34)/(J222*L222),"after Nov 30")))</f>
        <v/>
      </c>
      <c r="R222" s="54">
        <f>IF(AND(G222&lt;=0,J222&gt;0),"Out of stock now",IF(G222&gt;=N222,"Covered to Nov 30",IF(G222+H222&gt;=N222,"Needs inbound in time","Short even with inbound")))</f>
        <v/>
      </c>
      <c r="S222" s="57" t="n">
        <v>0.25</v>
      </c>
      <c r="T222" s="59">
        <f>IF(S222="","",S222*34+S222*L222*12)</f>
        <v/>
      </c>
    </row>
    <row r="223">
      <c r="A223" s="54" t="inlineStr">
        <is>
          <t>US DC B6</t>
        </is>
      </c>
      <c r="B223" s="54" t="inlineStr">
        <is>
          <t>US</t>
        </is>
      </c>
      <c r="C223" s="54" t="inlineStr">
        <is>
          <t>B0CQ32JY2T</t>
        </is>
      </c>
      <c r="D223" s="54" t="inlineStr">
        <is>
          <t>BAMBOO-CALIFKING-OLIVE-6PCS</t>
        </is>
      </c>
      <c r="E223" s="54" t="inlineStr">
        <is>
          <t>California King</t>
        </is>
      </c>
      <c r="F223" s="54" t="inlineStr">
        <is>
          <t>Olive</t>
        </is>
      </c>
      <c r="G223" s="55" t="n">
        <v>34</v>
      </c>
      <c r="H223" s="55" t="n">
        <v>20</v>
      </c>
      <c r="I223" s="56" t="inlineStr">
        <is>
          <t>FBA19STZ9LHZ ready to ship: 4; FBA19STRJMC3 ready to ship: 4; FBA19SV47PX1 ready to ship: 4; FBA19SV1CLVT ready to ship: 4; FBA19STYQSF4 ready to ship: 4</t>
        </is>
      </c>
      <c r="J223" s="57" t="n">
        <v>0.72</v>
      </c>
      <c r="K223" s="56" t="inlineStr">
        <is>
          <t>account data velocity</t>
        </is>
      </c>
      <c r="L223" s="58" t="n">
        <v>2.4883</v>
      </c>
      <c r="M223" s="56" t="inlineStr">
        <is>
          <t>own BFCM 2025 lift (account data)</t>
        </is>
      </c>
      <c r="N223" s="59">
        <f>J223*34+J223*L223*12</f>
        <v/>
      </c>
      <c r="O223" s="59">
        <f>MAX(0,N223-G223-H223)</f>
        <v/>
      </c>
      <c r="P223" s="60">
        <f>IF(J223=0,"",IF(G223&lt;J223*34,DATE(2026,10,15)+G223/J223,IF(G223&lt;N223,DATE(2026,11,18)+(G223-J223*34)/(J223*L223),"after Nov 30")))</f>
        <v/>
      </c>
      <c r="Q223" s="60">
        <f>IF(J223=0,"",IF(G223+H223&lt;J223*34,DATE(2026,10,15)+(G223+H223)/J223,IF(G223+H223&lt;N223,DATE(2026,11,18)+(G223+H223-J223*34)/(J223*L223),"after Nov 30")))</f>
        <v/>
      </c>
      <c r="R223" s="54">
        <f>IF(AND(G223&lt;=0,J223&gt;0),"Out of stock now",IF(G223&gt;=N223,"Covered to Nov 30",IF(G223+H223&gt;=N223,"Needs inbound in time","Short even with inbound")))</f>
        <v/>
      </c>
      <c r="S223" s="57" t="n">
        <v>0.107</v>
      </c>
      <c r="T223" s="59">
        <f>IF(S223="","",S223*34+S223*L223*12)</f>
        <v/>
      </c>
    </row>
    <row r="224">
      <c r="A224" s="54" t="inlineStr">
        <is>
          <t>US DC B6</t>
        </is>
      </c>
      <c r="B224" s="54" t="inlineStr">
        <is>
          <t>US</t>
        </is>
      </c>
      <c r="C224" s="54" t="inlineStr">
        <is>
          <t>B0CQ33T9BL</t>
        </is>
      </c>
      <c r="D224" s="54" t="inlineStr">
        <is>
          <t>BAMBOO-CALIFKING-GREY-6PCS</t>
        </is>
      </c>
      <c r="E224" s="54" t="inlineStr">
        <is>
          <t>California King</t>
        </is>
      </c>
      <c r="F224" s="54" t="inlineStr">
        <is>
          <t>Grey</t>
        </is>
      </c>
      <c r="G224" s="55" t="n">
        <v>10</v>
      </c>
      <c r="H224" s="55" t="n">
        <v>64</v>
      </c>
      <c r="I224" s="56" t="inlineStr">
        <is>
          <t>FBA19STZ9LHZ ready to ship: 12; FBA19STRJMC3 ready to ship: 4; FBA19SV47PX1 ready to ship: 8; FBA19SV1CLVT ready to ship: 8; FBA19STYQSF4 ready to ship: 12; FBA19QLJLR1F shipped: 4; FBA19QLKCVBW shipped: 4; FBA19QLK9CYH shipped: 4; FBA19QLKHC6Q shipped: 4; FBA19QLJ0ZP4 shipped: 4</t>
        </is>
      </c>
      <c r="J224" s="57" t="n">
        <v>0.63</v>
      </c>
      <c r="K224" s="56" t="inlineStr">
        <is>
          <t>account data velocity</t>
        </is>
      </c>
      <c r="L224" s="58" t="n">
        <v>2.4883</v>
      </c>
      <c r="M224" s="56" t="inlineStr">
        <is>
          <t>own BFCM 2025 lift (account data)</t>
        </is>
      </c>
      <c r="N224" s="59">
        <f>J224*34+J224*L224*12</f>
        <v/>
      </c>
      <c r="O224" s="59">
        <f>MAX(0,N224-G224-H224)</f>
        <v/>
      </c>
      <c r="P224" s="60">
        <f>IF(J224=0,"",IF(G224&lt;J224*34,DATE(2026,10,15)+G224/J224,IF(G224&lt;N224,DATE(2026,11,18)+(G224-J224*34)/(J224*L224),"after Nov 30")))</f>
        <v/>
      </c>
      <c r="Q224" s="60">
        <f>IF(J224=0,"",IF(G224+H224&lt;J224*34,DATE(2026,10,15)+(G224+H224)/J224,IF(G224+H224&lt;N224,DATE(2026,11,18)+(G224+H224-J224*34)/(J224*L224),"after Nov 30")))</f>
        <v/>
      </c>
      <c r="R224" s="54">
        <f>IF(AND(G224&lt;=0,J224&gt;0),"Out of stock now",IF(G224&gt;=N224,"Covered to Nov 30",IF(G224+H224&gt;=N224,"Needs inbound in time","Short even with inbound")))</f>
        <v/>
      </c>
      <c r="S224" s="57" t="n">
        <v>0.143</v>
      </c>
      <c r="T224" s="59">
        <f>IF(S224="","",S224*34+S224*L224*12)</f>
        <v/>
      </c>
    </row>
    <row r="225">
      <c r="A225" s="54" t="inlineStr">
        <is>
          <t>US DC B6</t>
        </is>
      </c>
      <c r="B225" s="54" t="inlineStr">
        <is>
          <t>US</t>
        </is>
      </c>
      <c r="C225" s="54" t="inlineStr">
        <is>
          <t>B0CQ32S4MW</t>
        </is>
      </c>
      <c r="D225" s="54" t="inlineStr">
        <is>
          <t>BAMBOO-FULL-LIGHT PINK-6PCS</t>
        </is>
      </c>
      <c r="E225" s="54" t="inlineStr">
        <is>
          <t>Full</t>
        </is>
      </c>
      <c r="F225" s="54" t="inlineStr">
        <is>
          <t>Light Pink</t>
        </is>
      </c>
      <c r="G225" s="55" t="n">
        <v>71</v>
      </c>
      <c r="H225" s="55" t="n">
        <v>0</v>
      </c>
      <c r="I225" s="56" t="inlineStr">
        <is>
          <t>FBA19SV5KWMR ready to ship: 12</t>
        </is>
      </c>
      <c r="J225" s="57" t="n">
        <v>0.54</v>
      </c>
      <c r="K225" s="56" t="inlineStr">
        <is>
          <t>account data velocity</t>
        </is>
      </c>
      <c r="L225" s="58" t="n">
        <v>2.4883</v>
      </c>
      <c r="M225" s="56" t="inlineStr">
        <is>
          <t>own BFCM 2025 lift (account data)</t>
        </is>
      </c>
      <c r="N225" s="59">
        <f>J225*34+J225*L225*12</f>
        <v/>
      </c>
      <c r="O225" s="59">
        <f>MAX(0,N225-G225-H225)</f>
        <v/>
      </c>
      <c r="P225" s="60">
        <f>IF(J225=0,"",IF(G225&lt;J225*34,DATE(2026,10,15)+G225/J225,IF(G225&lt;N225,DATE(2026,11,18)+(G225-J225*34)/(J225*L225),"after Nov 30")))</f>
        <v/>
      </c>
      <c r="Q225" s="60">
        <f>IF(J225=0,"",IF(G225+H225&lt;J225*34,DATE(2026,10,15)+(G225+H225)/J225,IF(G225+H225&lt;N225,DATE(2026,11,18)+(G225+H225-J225*34)/(J225*L225),"after Nov 30")))</f>
        <v/>
      </c>
      <c r="R225" s="54">
        <f>IF(AND(G225&lt;=0,J225&gt;0),"Out of stock now",IF(G225&gt;=N225,"Covered to Nov 30",IF(G225+H225&gt;=N225,"Needs inbound in time","Short even with inbound")))</f>
        <v/>
      </c>
      <c r="S225" s="57" t="n">
        <v>0.214</v>
      </c>
      <c r="T225" s="59">
        <f>IF(S225="","",S225*34+S225*L225*12)</f>
        <v/>
      </c>
    </row>
    <row r="226">
      <c r="A226" s="54" t="inlineStr">
        <is>
          <t>US DC B6</t>
        </is>
      </c>
      <c r="B226" s="54" t="inlineStr">
        <is>
          <t>US</t>
        </is>
      </c>
      <c r="C226" s="54" t="inlineStr">
        <is>
          <t>B0CQ311KCT</t>
        </is>
      </c>
      <c r="D226" s="54" t="inlineStr">
        <is>
          <t>BAMBOO-FULL-TAUPE-6PCS</t>
        </is>
      </c>
      <c r="E226" s="54" t="inlineStr">
        <is>
          <t>Full</t>
        </is>
      </c>
      <c r="F226" s="54" t="inlineStr">
        <is>
          <t>Taupe</t>
        </is>
      </c>
      <c r="G226" s="55" t="n">
        <v>25</v>
      </c>
      <c r="H226" s="55" t="n">
        <v>30</v>
      </c>
      <c r="I226" s="56" t="inlineStr">
        <is>
          <t>FBA19QLJLR1F shipped: 6; FBA19QLKCVBW shipped: 6; FBA19QLK9CYH shipped: 6; FBA19QLKHC6Q shipped: 6; FBA19QLJ0ZP4 shipped: 6</t>
        </is>
      </c>
      <c r="J226" s="57" t="n">
        <v>0.53</v>
      </c>
      <c r="K226" s="56" t="inlineStr">
        <is>
          <t>account data velocity</t>
        </is>
      </c>
      <c r="L226" s="58" t="n">
        <v>2.4883</v>
      </c>
      <c r="M226" s="56" t="inlineStr">
        <is>
          <t>own BFCM 2025 lift (account data)</t>
        </is>
      </c>
      <c r="N226" s="59">
        <f>J226*34+J226*L226*12</f>
        <v/>
      </c>
      <c r="O226" s="59">
        <f>MAX(0,N226-G226-H226)</f>
        <v/>
      </c>
      <c r="P226" s="60">
        <f>IF(J226=0,"",IF(G226&lt;J226*34,DATE(2026,10,15)+G226/J226,IF(G226&lt;N226,DATE(2026,11,18)+(G226-J226*34)/(J226*L226),"after Nov 30")))</f>
        <v/>
      </c>
      <c r="Q226" s="60">
        <f>IF(J226=0,"",IF(G226+H226&lt;J226*34,DATE(2026,10,15)+(G226+H226)/J226,IF(G226+H226&lt;N226,DATE(2026,11,18)+(G226+H226-J226*34)/(J226*L226),"after Nov 30")))</f>
        <v/>
      </c>
      <c r="R226" s="54">
        <f>IF(AND(G226&lt;=0,J226&gt;0),"Out of stock now",IF(G226&gt;=N226,"Covered to Nov 30",IF(G226+H226&gt;=N226,"Needs inbound in time","Short even with inbound")))</f>
        <v/>
      </c>
      <c r="S226" s="57" t="n">
        <v>0.036</v>
      </c>
      <c r="T226" s="59">
        <f>IF(S226="","",S226*34+S226*L226*12)</f>
        <v/>
      </c>
    </row>
    <row r="227">
      <c r="A227" s="54" t="inlineStr">
        <is>
          <t>US DC B6</t>
        </is>
      </c>
      <c r="B227" s="54" t="inlineStr">
        <is>
          <t>US</t>
        </is>
      </c>
      <c r="C227" s="54" t="inlineStr">
        <is>
          <t>B0CQ31N5Q5</t>
        </is>
      </c>
      <c r="D227" s="54" t="inlineStr">
        <is>
          <t>BAMBOO-TWIN-NAVYBLUE-6PCS</t>
        </is>
      </c>
      <c r="E227" s="54" t="inlineStr">
        <is>
          <t>Twin</t>
        </is>
      </c>
      <c r="F227" s="54" t="inlineStr">
        <is>
          <t>Navy Blue</t>
        </is>
      </c>
      <c r="G227" s="55" t="n">
        <v>14</v>
      </c>
      <c r="H227" s="55" t="n">
        <v>108</v>
      </c>
      <c r="I227" s="56" t="inlineStr">
        <is>
          <t>FBA19STZ9LHZ ready to ship: 12; FBA19STRJMC3 ready to ship: 12; FBA19SV47PX1 ready to ship: 6; FBA19SV1CLVT ready to ship: 6; FBA19STYQSF4 ready to ship: 12; FBA19RS1HC4F shipped: 6; FBA19RRY6QFT shipped: 6; FBA19RS0N5K2 shipped: 6; FBA19RRYCGHJ shipped: 6; FBA19RRY5FBL shipped: 6; FBA19QLJLR1F shipped: 6; FBA19QLKCVBW shipped: 6; FBA19QLK9CYH shipped: 6; FBA19QLKHC6Q shipped: 6; FBA19QLJ0ZP4 shipped: 6</t>
        </is>
      </c>
      <c r="J227" s="57" t="n">
        <v>0.51</v>
      </c>
      <c r="K227" s="56" t="inlineStr">
        <is>
          <t>account data velocity</t>
        </is>
      </c>
      <c r="L227" s="58" t="n">
        <v>2.4883</v>
      </c>
      <c r="M227" s="56" t="inlineStr">
        <is>
          <t>own BFCM 2025 lift (account data)</t>
        </is>
      </c>
      <c r="N227" s="59">
        <f>J227*34+J227*L227*12</f>
        <v/>
      </c>
      <c r="O227" s="59">
        <f>MAX(0,N227-G227-H227)</f>
        <v/>
      </c>
      <c r="P227" s="60">
        <f>IF(J227=0,"",IF(G227&lt;J227*34,DATE(2026,10,15)+G227/J227,IF(G227&lt;N227,DATE(2026,11,18)+(G227-J227*34)/(J227*L227),"after Nov 30")))</f>
        <v/>
      </c>
      <c r="Q227" s="60">
        <f>IF(J227=0,"",IF(G227+H227&lt;J227*34,DATE(2026,10,15)+(G227+H227)/J227,IF(G227+H227&lt;N227,DATE(2026,11,18)+(G227+H227-J227*34)/(J227*L227),"after Nov 30")))</f>
        <v/>
      </c>
      <c r="R227" s="54">
        <f>IF(AND(G227&lt;=0,J227&gt;0),"Out of stock now",IF(G227&gt;=N227,"Covered to Nov 30",IF(G227+H227&gt;=N227,"Needs inbound in time","Short even with inbound")))</f>
        <v/>
      </c>
      <c r="S227" s="57" t="n">
        <v>0.357</v>
      </c>
      <c r="T227" s="59">
        <f>IF(S227="","",S227*34+S227*L227*12)</f>
        <v/>
      </c>
    </row>
    <row r="228">
      <c r="A228" s="54" t="inlineStr">
        <is>
          <t>US DC B6</t>
        </is>
      </c>
      <c r="B228" s="54" t="inlineStr">
        <is>
          <t>US</t>
        </is>
      </c>
      <c r="C228" s="54" t="inlineStr">
        <is>
          <t>B0CQ33ZGQ4</t>
        </is>
      </c>
      <c r="D228" s="54" t="inlineStr">
        <is>
          <t>BAMBOO-FULL-OLIVE-6PCS</t>
        </is>
      </c>
      <c r="E228" s="54" t="inlineStr">
        <is>
          <t>Full</t>
        </is>
      </c>
      <c r="F228" s="54" t="inlineStr">
        <is>
          <t>Olive</t>
        </is>
      </c>
      <c r="G228" s="55" t="n">
        <v>83</v>
      </c>
      <c r="H228" s="55" t="n">
        <v>0</v>
      </c>
      <c r="I228" s="56" t="inlineStr">
        <is>
          <t>FBA19SV5KWMR ready to ship: 18</t>
        </is>
      </c>
      <c r="J228" s="57" t="n">
        <v>0.5</v>
      </c>
      <c r="K228" s="56" t="inlineStr">
        <is>
          <t>account data velocity</t>
        </is>
      </c>
      <c r="L228" s="58" t="n">
        <v>2.4883</v>
      </c>
      <c r="M228" s="56" t="inlineStr">
        <is>
          <t>own BFCM 2025 lift (account data)</t>
        </is>
      </c>
      <c r="N228" s="59">
        <f>J228*34+J228*L228*12</f>
        <v/>
      </c>
      <c r="O228" s="59">
        <f>MAX(0,N228-G228-H228)</f>
        <v/>
      </c>
      <c r="P228" s="60">
        <f>IF(J228=0,"",IF(G228&lt;J228*34,DATE(2026,10,15)+G228/J228,IF(G228&lt;N228,DATE(2026,11,18)+(G228-J228*34)/(J228*L228),"after Nov 30")))</f>
        <v/>
      </c>
      <c r="Q228" s="60">
        <f>IF(J228=0,"",IF(G228+H228&lt;J228*34,DATE(2026,10,15)+(G228+H228)/J228,IF(G228+H228&lt;N228,DATE(2026,11,18)+(G228+H228-J228*34)/(J228*L228),"after Nov 30")))</f>
        <v/>
      </c>
      <c r="R228" s="54">
        <f>IF(AND(G228&lt;=0,J228&gt;0),"Out of stock now",IF(G228&gt;=N228,"Covered to Nov 30",IF(G228+H228&gt;=N228,"Needs inbound in time","Short even with inbound")))</f>
        <v/>
      </c>
      <c r="S228" s="57" t="n">
        <v>0.286</v>
      </c>
      <c r="T228" s="59">
        <f>IF(S228="","",S228*34+S228*L228*12)</f>
        <v/>
      </c>
    </row>
    <row r="229">
      <c r="A229" s="54" t="inlineStr">
        <is>
          <t>US DC B6</t>
        </is>
      </c>
      <c r="B229" s="54" t="inlineStr">
        <is>
          <t>US</t>
        </is>
      </c>
      <c r="C229" s="54" t="inlineStr">
        <is>
          <t>B0CQ31CZTJ</t>
        </is>
      </c>
      <c r="D229" s="54" t="inlineStr">
        <is>
          <t>BAMBOO-QUEEN-BLACK-6PCS</t>
        </is>
      </c>
      <c r="E229" s="54" t="inlineStr">
        <is>
          <t>Queen</t>
        </is>
      </c>
      <c r="F229" s="54" t="inlineStr">
        <is>
          <t>Black</t>
        </is>
      </c>
      <c r="G229" s="55" t="n">
        <v>29</v>
      </c>
      <c r="H229" s="55" t="n">
        <v>192</v>
      </c>
      <c r="I229" s="56" t="inlineStr">
        <is>
          <t>FBA19STZ9LHZ ready to ship: 18; FBA19STRJMC3 ready to ship: 12; FBA19SV47PX1 ready to ship: 18; FBA19SV1CLVT ready to ship: 18; FBA19STYQSF4 ready to ship: 12; FBA19RS1HC4F shipped: 18; FBA19RRY6QFT shipped: 18; FBA19RS0N5K2 shipped: 12; FBA19RRYCGHJ shipped: 18; FBA19RRY5FBL shipped: 18; FBA19N7WSG18 in transit: 6; FBA19N7RP6W7 in transit: 12; FBA19N7RQF4Q ready to ship: 12</t>
        </is>
      </c>
      <c r="J229" s="57" t="n">
        <v>0.5</v>
      </c>
      <c r="K229" s="56" t="inlineStr">
        <is>
          <t>account data velocity</t>
        </is>
      </c>
      <c r="L229" s="58" t="n">
        <v>2.4883</v>
      </c>
      <c r="M229" s="56" t="inlineStr">
        <is>
          <t>own BFCM 2025 lift (account data)</t>
        </is>
      </c>
      <c r="N229" s="59">
        <f>J229*34+J229*L229*12</f>
        <v/>
      </c>
      <c r="O229" s="59">
        <f>MAX(0,N229-G229-H229)</f>
        <v/>
      </c>
      <c r="P229" s="60">
        <f>IF(J229=0,"",IF(G229&lt;J229*34,DATE(2026,10,15)+G229/J229,IF(G229&lt;N229,DATE(2026,11,18)+(G229-J229*34)/(J229*L229),"after Nov 30")))</f>
        <v/>
      </c>
      <c r="Q229" s="60">
        <f>IF(J229=0,"",IF(G229+H229&lt;J229*34,DATE(2026,10,15)+(G229+H229)/J229,IF(G229+H229&lt;N229,DATE(2026,11,18)+(G229+H229-J229*34)/(J229*L229),"after Nov 30")))</f>
        <v/>
      </c>
      <c r="R229" s="54">
        <f>IF(AND(G229&lt;=0,J229&gt;0),"Out of stock now",IF(G229&gt;=N229,"Covered to Nov 30",IF(G229+H229&gt;=N229,"Needs inbound in time","Short even with inbound")))</f>
        <v/>
      </c>
      <c r="S229" s="57" t="n"/>
      <c r="T229" s="59">
        <f>IF(S229="","",S229*34+S229*L229*12)</f>
        <v/>
      </c>
    </row>
    <row r="230">
      <c r="A230" s="54" t="inlineStr">
        <is>
          <t>US DC B6</t>
        </is>
      </c>
      <c r="B230" s="54" t="inlineStr">
        <is>
          <t>US</t>
        </is>
      </c>
      <c r="C230" s="54" t="inlineStr">
        <is>
          <t>B0CQ31PZ8Q</t>
        </is>
      </c>
      <c r="D230" s="54" t="inlineStr">
        <is>
          <t>BAMBOO-QUEEN-LIGHT PINK-6PCS</t>
        </is>
      </c>
      <c r="E230" s="54" t="inlineStr">
        <is>
          <t>Queen</t>
        </is>
      </c>
      <c r="F230" s="54" t="inlineStr">
        <is>
          <t>Light Pink</t>
        </is>
      </c>
      <c r="G230" s="55" t="n">
        <v>35</v>
      </c>
      <c r="H230" s="55" t="n">
        <v>162</v>
      </c>
      <c r="I230" s="56" t="inlineStr">
        <is>
          <t>FBA19STZ9LHZ ready to ship: 6; FBA19STRJMC3 ready to ship: 6; FBA19SV47PX1 ready to ship: 6; FBA19SV1CLVT ready to ship: 12; FBA19STYQSF4 ready to ship: 6; FBA19QLJLR1F shipped: 18; FBA19QLKCVBW shipped: 12; FBA19QLK9CYH shipped: 6; FBA19QLKHC6Q shipped: 12; FBA19QLJ0ZP4 shipped: 12; FBA19N7WSG18 in transit: 18; FBA19N7RP6W7 in transit: 24; FBA19N7RQF4Q ready to ship: 24</t>
        </is>
      </c>
      <c r="J230" s="57" t="n">
        <v>0.5</v>
      </c>
      <c r="K230" s="56" t="inlineStr">
        <is>
          <t>account data velocity</t>
        </is>
      </c>
      <c r="L230" s="58" t="n">
        <v>2.4883</v>
      </c>
      <c r="M230" s="56" t="inlineStr">
        <is>
          <t>own BFCM 2025 lift (account data)</t>
        </is>
      </c>
      <c r="N230" s="59">
        <f>J230*34+J230*L230*12</f>
        <v/>
      </c>
      <c r="O230" s="59">
        <f>MAX(0,N230-G230-H230)</f>
        <v/>
      </c>
      <c r="P230" s="60">
        <f>IF(J230=0,"",IF(G230&lt;J230*34,DATE(2026,10,15)+G230/J230,IF(G230&lt;N230,DATE(2026,11,18)+(G230-J230*34)/(J230*L230),"after Nov 30")))</f>
        <v/>
      </c>
      <c r="Q230" s="60">
        <f>IF(J230=0,"",IF(G230+H230&lt;J230*34,DATE(2026,10,15)+(G230+H230)/J230,IF(G230+H230&lt;N230,DATE(2026,11,18)+(G230+H230-J230*34)/(J230*L230),"after Nov 30")))</f>
        <v/>
      </c>
      <c r="R230" s="54">
        <f>IF(AND(G230&lt;=0,J230&gt;0),"Out of stock now",IF(G230&gt;=N230,"Covered to Nov 30",IF(G230+H230&gt;=N230,"Needs inbound in time","Short even with inbound")))</f>
        <v/>
      </c>
      <c r="S230" s="57" t="n"/>
      <c r="T230" s="59">
        <f>IF(S230="","",S230*34+S230*L230*12)</f>
        <v/>
      </c>
    </row>
    <row r="231">
      <c r="A231" s="54" t="inlineStr">
        <is>
          <t>US DC B6</t>
        </is>
      </c>
      <c r="B231" s="54" t="inlineStr">
        <is>
          <t>US</t>
        </is>
      </c>
      <c r="C231" s="54" t="inlineStr">
        <is>
          <t>B0CQ311QX3</t>
        </is>
      </c>
      <c r="D231" s="54" t="inlineStr">
        <is>
          <t>BAMBOO-CALIFKING-NAVYBLUE-6PCS</t>
        </is>
      </c>
      <c r="E231" s="54" t="inlineStr">
        <is>
          <t>California King</t>
        </is>
      </c>
      <c r="F231" s="54" t="inlineStr">
        <is>
          <t>Navy Blue</t>
        </is>
      </c>
      <c r="G231" s="55" t="n">
        <v>12</v>
      </c>
      <c r="H231" s="55" t="n">
        <v>156</v>
      </c>
      <c r="I231" s="56" t="inlineStr">
        <is>
          <t>FBA19SV5KWMR ready to ship: 12; FBA19STZ9LHZ ready to ship: 24; FBA19STRJMC3 ready to ship: 16; FBA19SV47PX1 ready to ship: 16; FBA19SV1CLVT ready to ship: 28; FBA19STYQSF4 ready to ship: 20; FBA19QLJLR1F shipped: 12; FBA19QLKCVBW shipped: 8; FBA19QLK9CYH shipped: 8; FBA19QLKHC6Q shipped: 4; FBA19QLJ0ZP4 shipped: 8; FBA19N7XSBR9 in transit: 12</t>
        </is>
      </c>
      <c r="J231" s="57" t="n">
        <v>0.46</v>
      </c>
      <c r="K231" s="56" t="inlineStr">
        <is>
          <t>account data velocity</t>
        </is>
      </c>
      <c r="L231" s="58" t="n">
        <v>2.4883</v>
      </c>
      <c r="M231" s="56" t="inlineStr">
        <is>
          <t>own BFCM 2025 lift (account data)</t>
        </is>
      </c>
      <c r="N231" s="59">
        <f>J231*34+J231*L231*12</f>
        <v/>
      </c>
      <c r="O231" s="59">
        <f>MAX(0,N231-G231-H231)</f>
        <v/>
      </c>
      <c r="P231" s="60">
        <f>IF(J231=0,"",IF(G231&lt;J231*34,DATE(2026,10,15)+G231/J231,IF(G231&lt;N231,DATE(2026,11,18)+(G231-J231*34)/(J231*L231),"after Nov 30")))</f>
        <v/>
      </c>
      <c r="Q231" s="60">
        <f>IF(J231=0,"",IF(G231+H231&lt;J231*34,DATE(2026,10,15)+(G231+H231)/J231,IF(G231+H231&lt;N231,DATE(2026,11,18)+(G231+H231-J231*34)/(J231*L231),"after Nov 30")))</f>
        <v/>
      </c>
      <c r="R231" s="54">
        <f>IF(AND(G231&lt;=0,J231&gt;0),"Out of stock now",IF(G231&gt;=N231,"Covered to Nov 30",IF(G231+H231&gt;=N231,"Needs inbound in time","Short even with inbound")))</f>
        <v/>
      </c>
      <c r="S231" s="57" t="n">
        <v>0.393</v>
      </c>
      <c r="T231" s="59">
        <f>IF(S231="","",S231*34+S231*L231*12)</f>
        <v/>
      </c>
    </row>
    <row r="232">
      <c r="A232" s="54" t="inlineStr">
        <is>
          <t>US DC B6</t>
        </is>
      </c>
      <c r="B232" s="54" t="inlineStr">
        <is>
          <t>US</t>
        </is>
      </c>
      <c r="C232" s="54" t="inlineStr">
        <is>
          <t>B0CQ31ZKNJ</t>
        </is>
      </c>
      <c r="D232" s="54" t="inlineStr">
        <is>
          <t>BAMBOO-FULL-CHARCOAL-6PCS</t>
        </is>
      </c>
      <c r="E232" s="54" t="inlineStr">
        <is>
          <t>Full</t>
        </is>
      </c>
      <c r="F232" s="54" t="inlineStr">
        <is>
          <t>Charcoal</t>
        </is>
      </c>
      <c r="G232" s="55" t="n">
        <v>0</v>
      </c>
      <c r="H232" s="55" t="n">
        <v>30</v>
      </c>
      <c r="I232" s="56" t="inlineStr">
        <is>
          <t>FBA19SV5KWMR ready to ship: 24; FBA19QLJLR1F shipped: 6; FBA19QLKCVBW shipped: 6; FBA19QLK9CYH shipped: 6; FBA19QLKHC6Q shipped: 6; FBA19QLJ0ZP4 shipped: 6</t>
        </is>
      </c>
      <c r="J232" s="57" t="n">
        <v>0.45</v>
      </c>
      <c r="K232" s="56" t="inlineStr">
        <is>
          <t>account data velocity</t>
        </is>
      </c>
      <c r="L232" s="58" t="n">
        <v>2.4883</v>
      </c>
      <c r="M232" s="56" t="inlineStr">
        <is>
          <t>own BFCM 2025 lift (account data)</t>
        </is>
      </c>
      <c r="N232" s="59">
        <f>J232*34+J232*L232*12</f>
        <v/>
      </c>
      <c r="O232" s="59">
        <f>MAX(0,N232-G232-H232)</f>
        <v/>
      </c>
      <c r="P232" s="60">
        <f>IF(J232=0,"",IF(G232&lt;J232*34,DATE(2026,10,15)+G232/J232,IF(G232&lt;N232,DATE(2026,11,18)+(G232-J232*34)/(J232*L232),"after Nov 30")))</f>
        <v/>
      </c>
      <c r="Q232" s="60">
        <f>IF(J232=0,"",IF(G232+H232&lt;J232*34,DATE(2026,10,15)+(G232+H232)/J232,IF(G232+H232&lt;N232,DATE(2026,11,18)+(G232+H232-J232*34)/(J232*L232),"after Nov 30")))</f>
        <v/>
      </c>
      <c r="R232" s="54">
        <f>IF(AND(G232&lt;=0,J232&gt;0),"Out of stock now",IF(G232&gt;=N232,"Covered to Nov 30",IF(G232+H232&gt;=N232,"Needs inbound in time","Short even with inbound")))</f>
        <v/>
      </c>
      <c r="S232" s="57" t="n">
        <v>0.036</v>
      </c>
      <c r="T232" s="59">
        <f>IF(S232="","",S232*34+S232*L232*12)</f>
        <v/>
      </c>
    </row>
    <row r="233">
      <c r="A233" s="54" t="inlineStr">
        <is>
          <t>US DC B6</t>
        </is>
      </c>
      <c r="B233" s="54" t="inlineStr">
        <is>
          <t>US</t>
        </is>
      </c>
      <c r="C233" s="54" t="inlineStr">
        <is>
          <t>B0CQ318RHN</t>
        </is>
      </c>
      <c r="D233" s="54" t="inlineStr">
        <is>
          <t>BAMBOO-FULL-MIDGREY-6PCS</t>
        </is>
      </c>
      <c r="E233" s="54" t="inlineStr">
        <is>
          <t>Full</t>
        </is>
      </c>
      <c r="F233" s="54" t="inlineStr">
        <is>
          <t>Midgrey</t>
        </is>
      </c>
      <c r="G233" s="55" t="n">
        <v>7</v>
      </c>
      <c r="H233" s="55" t="n">
        <v>6</v>
      </c>
      <c r="I233" s="56" t="inlineStr">
        <is>
          <t>FBA19N7XSBR9 in transit: 6</t>
        </is>
      </c>
      <c r="J233" s="57" t="n">
        <v>0.44</v>
      </c>
      <c r="K233" s="56" t="inlineStr">
        <is>
          <t>account data velocity</t>
        </is>
      </c>
      <c r="L233" s="58" t="n">
        <v>2.4883</v>
      </c>
      <c r="M233" s="56" t="inlineStr">
        <is>
          <t>own BFCM 2025 lift (account data)</t>
        </is>
      </c>
      <c r="N233" s="59">
        <f>J233*34+J233*L233*12</f>
        <v/>
      </c>
      <c r="O233" s="59">
        <f>MAX(0,N233-G233-H233)</f>
        <v/>
      </c>
      <c r="P233" s="60">
        <f>IF(J233=0,"",IF(G233&lt;J233*34,DATE(2026,10,15)+G233/J233,IF(G233&lt;N233,DATE(2026,11,18)+(G233-J233*34)/(J233*L233),"after Nov 30")))</f>
        <v/>
      </c>
      <c r="Q233" s="60">
        <f>IF(J233=0,"",IF(G233+H233&lt;J233*34,DATE(2026,10,15)+(G233+H233)/J233,IF(G233+H233&lt;N233,DATE(2026,11,18)+(G233+H233-J233*34)/(J233*L233),"after Nov 30")))</f>
        <v/>
      </c>
      <c r="R233" s="54">
        <f>IF(AND(G233&lt;=0,J233&gt;0),"Out of stock now",IF(G233&gt;=N233,"Covered to Nov 30",IF(G233+H233&gt;=N233,"Needs inbound in time","Short even with inbound")))</f>
        <v/>
      </c>
      <c r="S233" s="57" t="n">
        <v>0.5</v>
      </c>
      <c r="T233" s="59">
        <f>IF(S233="","",S233*34+S233*L233*12)</f>
        <v/>
      </c>
    </row>
    <row r="234">
      <c r="A234" s="54" t="inlineStr">
        <is>
          <t>US DC B6</t>
        </is>
      </c>
      <c r="B234" s="54" t="inlineStr">
        <is>
          <t>US</t>
        </is>
      </c>
      <c r="C234" s="54" t="inlineStr">
        <is>
          <t>B0CQ31D5FM</t>
        </is>
      </c>
      <c r="D234" s="54" t="inlineStr">
        <is>
          <t>BAMBOO-CALIFKING-BLACK-6PCS</t>
        </is>
      </c>
      <c r="E234" s="54" t="inlineStr">
        <is>
          <t>California King</t>
        </is>
      </c>
      <c r="F234" s="54" t="inlineStr">
        <is>
          <t>Black</t>
        </is>
      </c>
      <c r="G234" s="55" t="n">
        <v>54</v>
      </c>
      <c r="H234" s="55" t="n">
        <v>20</v>
      </c>
      <c r="I234" s="56" t="inlineStr">
        <is>
          <t>FBA19STZ9LHZ ready to ship: 4; FBA19STRJMC3 ready to ship: 4; FBA19SV47PX1 ready to ship: 4; FBA19SV1CLVT ready to ship: 4; FBA19STYQSF4 ready to ship: 4</t>
        </is>
      </c>
      <c r="J234" s="57" t="n">
        <v>0.44</v>
      </c>
      <c r="K234" s="56" t="inlineStr">
        <is>
          <t>account data velocity</t>
        </is>
      </c>
      <c r="L234" s="58" t="n">
        <v>2.4883</v>
      </c>
      <c r="M234" s="56" t="inlineStr">
        <is>
          <t>own BFCM 2025 lift (account data)</t>
        </is>
      </c>
      <c r="N234" s="59">
        <f>J234*34+J234*L234*12</f>
        <v/>
      </c>
      <c r="O234" s="59">
        <f>MAX(0,N234-G234-H234)</f>
        <v/>
      </c>
      <c r="P234" s="60">
        <f>IF(J234=0,"",IF(G234&lt;J234*34,DATE(2026,10,15)+G234/J234,IF(G234&lt;N234,DATE(2026,11,18)+(G234-J234*34)/(J234*L234),"after Nov 30")))</f>
        <v/>
      </c>
      <c r="Q234" s="60">
        <f>IF(J234=0,"",IF(G234+H234&lt;J234*34,DATE(2026,10,15)+(G234+H234)/J234,IF(G234+H234&lt;N234,DATE(2026,11,18)+(G234+H234-J234*34)/(J234*L234),"after Nov 30")))</f>
        <v/>
      </c>
      <c r="R234" s="54">
        <f>IF(AND(G234&lt;=0,J234&gt;0),"Out of stock now",IF(G234&gt;=N234,"Covered to Nov 30",IF(G234+H234&gt;=N234,"Needs inbound in time","Short even with inbound")))</f>
        <v/>
      </c>
      <c r="S234" s="57" t="n">
        <v>0.179</v>
      </c>
      <c r="T234" s="59">
        <f>IF(S234="","",S234*34+S234*L234*12)</f>
        <v/>
      </c>
    </row>
    <row r="235">
      <c r="A235" s="54" t="inlineStr">
        <is>
          <t>US DC B6</t>
        </is>
      </c>
      <c r="B235" s="54" t="inlineStr">
        <is>
          <t>US</t>
        </is>
      </c>
      <c r="C235" s="54" t="inlineStr">
        <is>
          <t>B0CQ332KLH</t>
        </is>
      </c>
      <c r="D235" s="54" t="inlineStr">
        <is>
          <t>BAMBOO-FULL-BLACK-6PCS</t>
        </is>
      </c>
      <c r="E235" s="54" t="inlineStr">
        <is>
          <t>Full</t>
        </is>
      </c>
      <c r="F235" s="54" t="inlineStr">
        <is>
          <t>Black</t>
        </is>
      </c>
      <c r="G235" s="55" t="n">
        <v>32</v>
      </c>
      <c r="H235" s="55" t="n">
        <v>54</v>
      </c>
      <c r="I235" s="56" t="inlineStr">
        <is>
          <t>FBA19STZ9LHZ ready to ship: 12; FBA19STRJMC3 ready to ship: 12; FBA19SV47PX1 ready to ship: 6; FBA19SV1CLVT ready to ship: 12; FBA19STYQSF4 ready to ship: 6; FBA19N82086K ready to ship: 60; FBA19N7XSBR9 in transit: 6</t>
        </is>
      </c>
      <c r="J235" s="57" t="n">
        <v>0.38</v>
      </c>
      <c r="K235" s="56" t="inlineStr">
        <is>
          <t>account data velocity</t>
        </is>
      </c>
      <c r="L235" s="58" t="n">
        <v>2.4883</v>
      </c>
      <c r="M235" s="56" t="inlineStr">
        <is>
          <t>own BFCM 2025 lift (account data)</t>
        </is>
      </c>
      <c r="N235" s="59">
        <f>J235*34+J235*L235*12</f>
        <v/>
      </c>
      <c r="O235" s="59">
        <f>MAX(0,N235-G235-H235)</f>
        <v/>
      </c>
      <c r="P235" s="60">
        <f>IF(J235=0,"",IF(G235&lt;J235*34,DATE(2026,10,15)+G235/J235,IF(G235&lt;N235,DATE(2026,11,18)+(G235-J235*34)/(J235*L235),"after Nov 30")))</f>
        <v/>
      </c>
      <c r="Q235" s="60">
        <f>IF(J235=0,"",IF(G235+H235&lt;J235*34,DATE(2026,10,15)+(G235+H235)/J235,IF(G235+H235&lt;N235,DATE(2026,11,18)+(G235+H235-J235*34)/(J235*L235),"after Nov 30")))</f>
        <v/>
      </c>
      <c r="R235" s="54">
        <f>IF(AND(G235&lt;=0,J235&gt;0),"Out of stock now",IF(G235&gt;=N235,"Covered to Nov 30",IF(G235+H235&gt;=N235,"Needs inbound in time","Short even with inbound")))</f>
        <v/>
      </c>
      <c r="S235" s="57" t="n">
        <v>0.321</v>
      </c>
      <c r="T235" s="59">
        <f>IF(S235="","",S235*34+S235*L235*12)</f>
        <v/>
      </c>
    </row>
    <row r="236">
      <c r="A236" s="54" t="inlineStr">
        <is>
          <t>US DC B6</t>
        </is>
      </c>
      <c r="B236" s="54" t="inlineStr">
        <is>
          <t>US</t>
        </is>
      </c>
      <c r="C236" s="54" t="inlineStr">
        <is>
          <t>B0CQ2ZVMJJ</t>
        </is>
      </c>
      <c r="D236" s="54" t="inlineStr">
        <is>
          <t>BAMBOO-TWIN-OLIVE-6PCS</t>
        </is>
      </c>
      <c r="E236" s="54" t="inlineStr">
        <is>
          <t>Twin</t>
        </is>
      </c>
      <c r="F236" s="54" t="inlineStr">
        <is>
          <t>Olive</t>
        </is>
      </c>
      <c r="G236" s="55" t="n">
        <v>29</v>
      </c>
      <c r="H236" s="55" t="n">
        <v>42</v>
      </c>
      <c r="I236" s="56" t="inlineStr">
        <is>
          <t>FBA19STZ9LHZ ready to ship: 12; FBA19STRJMC3 ready to ship: 6; FBA19SV47PX1 ready to ship: 6; FBA19SV1CLVT ready to ship: 12; FBA19STYQSF4 ready to ship: 6</t>
        </is>
      </c>
      <c r="J236" s="57" t="n">
        <v>0.35</v>
      </c>
      <c r="K236" s="56" t="inlineStr">
        <is>
          <t>account data velocity</t>
        </is>
      </c>
      <c r="L236" s="58" t="n">
        <v>2.4883</v>
      </c>
      <c r="M236" s="56" t="inlineStr">
        <is>
          <t>own BFCM 2025 lift (account data)</t>
        </is>
      </c>
      <c r="N236" s="59">
        <f>J236*34+J236*L236*12</f>
        <v/>
      </c>
      <c r="O236" s="59">
        <f>MAX(0,N236-G236-H236)</f>
        <v/>
      </c>
      <c r="P236" s="60">
        <f>IF(J236=0,"",IF(G236&lt;J236*34,DATE(2026,10,15)+G236/J236,IF(G236&lt;N236,DATE(2026,11,18)+(G236-J236*34)/(J236*L236),"after Nov 30")))</f>
        <v/>
      </c>
      <c r="Q236" s="60">
        <f>IF(J236=0,"",IF(G236+H236&lt;J236*34,DATE(2026,10,15)+(G236+H236)/J236,IF(G236+H236&lt;N236,DATE(2026,11,18)+(G236+H236-J236*34)/(J236*L236),"after Nov 30")))</f>
        <v/>
      </c>
      <c r="R236" s="54">
        <f>IF(AND(G236&lt;=0,J236&gt;0),"Out of stock now",IF(G236&gt;=N236,"Covered to Nov 30",IF(G236+H236&gt;=N236,"Needs inbound in time","Short even with inbound")))</f>
        <v/>
      </c>
      <c r="S236" s="57" t="n">
        <v>0.286</v>
      </c>
      <c r="T236" s="59">
        <f>IF(S236="","",S236*34+S236*L236*12)</f>
        <v/>
      </c>
    </row>
    <row r="237">
      <c r="A237" s="54" t="inlineStr">
        <is>
          <t>US DC B6</t>
        </is>
      </c>
      <c r="B237" s="54" t="inlineStr">
        <is>
          <t>US</t>
        </is>
      </c>
      <c r="C237" s="54" t="inlineStr">
        <is>
          <t>B0CQ312HKC</t>
        </is>
      </c>
      <c r="D237" s="54" t="inlineStr">
        <is>
          <t>BAMBOO-QUEEN-LIGHTOLIVE-6PCS</t>
        </is>
      </c>
      <c r="E237" s="54" t="inlineStr">
        <is>
          <t>Queen</t>
        </is>
      </c>
      <c r="F237" s="54" t="inlineStr">
        <is>
          <t>Light Olive</t>
        </is>
      </c>
      <c r="G237" s="55" t="n">
        <v>124</v>
      </c>
      <c r="H237" s="55" t="n">
        <v>18</v>
      </c>
      <c r="I237" s="56" t="inlineStr">
        <is>
          <t>FBA19SV5KWMR ready to ship: 24; FBA19N82086K ready to ship: 36; FBA19N7XSBR9 in transit: 18</t>
        </is>
      </c>
      <c r="J237" s="57" t="n">
        <v>0.34</v>
      </c>
      <c r="K237" s="56" t="inlineStr">
        <is>
          <t>account data velocity</t>
        </is>
      </c>
      <c r="L237" s="58" t="n">
        <v>2.4883</v>
      </c>
      <c r="M237" s="56" t="inlineStr">
        <is>
          <t>own BFCM 2025 lift (account data)</t>
        </is>
      </c>
      <c r="N237" s="59">
        <f>J237*34+J237*L237*12</f>
        <v/>
      </c>
      <c r="O237" s="59">
        <f>MAX(0,N237-G237-H237)</f>
        <v/>
      </c>
      <c r="P237" s="60">
        <f>IF(J237=0,"",IF(G237&lt;J237*34,DATE(2026,10,15)+G237/J237,IF(G237&lt;N237,DATE(2026,11,18)+(G237-J237*34)/(J237*L237),"after Nov 30")))</f>
        <v/>
      </c>
      <c r="Q237" s="60">
        <f>IF(J237=0,"",IF(G237+H237&lt;J237*34,DATE(2026,10,15)+(G237+H237)/J237,IF(G237+H237&lt;N237,DATE(2026,11,18)+(G237+H237-J237*34)/(J237*L237),"after Nov 30")))</f>
        <v/>
      </c>
      <c r="R237" s="54">
        <f>IF(AND(G237&lt;=0,J237&gt;0),"Out of stock now",IF(G237&gt;=N237,"Covered to Nov 30",IF(G237+H237&gt;=N237,"Needs inbound in time","Short even with inbound")))</f>
        <v/>
      </c>
      <c r="S237" s="57" t="n">
        <v>0.357</v>
      </c>
      <c r="T237" s="59">
        <f>IF(S237="","",S237*34+S237*L237*12)</f>
        <v/>
      </c>
    </row>
    <row r="238">
      <c r="A238" s="54" t="inlineStr">
        <is>
          <t>US DC B6</t>
        </is>
      </c>
      <c r="B238" s="54" t="inlineStr">
        <is>
          <t>US</t>
        </is>
      </c>
      <c r="C238" s="54" t="inlineStr">
        <is>
          <t>B0CQ3199ZV</t>
        </is>
      </c>
      <c r="D238" s="54" t="inlineStr">
        <is>
          <t>BAMBOO-FULL-BURGUNDY-6PCS</t>
        </is>
      </c>
      <c r="E238" s="54" t="inlineStr">
        <is>
          <t>Full</t>
        </is>
      </c>
      <c r="F238" s="54" t="inlineStr">
        <is>
          <t>Burgundy</t>
        </is>
      </c>
      <c r="G238" s="55" t="n">
        <v>30</v>
      </c>
      <c r="H238" s="55" t="n">
        <v>72</v>
      </c>
      <c r="I238" s="56" t="inlineStr">
        <is>
          <t>FBA19STZ9LHZ ready to ship: 12; FBA19STRJMC3 ready to ship: 6; FBA19SV47PX1 ready to ship: 6; FBA19SV1CLVT ready to ship: 12; FBA19STYQSF4 ready to ship: 6; FBA19N7WSG18 in transit: 6; FBA19N7RP6W7 in transit: 12; FBA19N7RQF4Q ready to ship: 12</t>
        </is>
      </c>
      <c r="J238" s="57" t="n">
        <v>0.33</v>
      </c>
      <c r="K238" s="56" t="inlineStr">
        <is>
          <t>account data velocity</t>
        </is>
      </c>
      <c r="L238" s="58" t="n">
        <v>2.4883</v>
      </c>
      <c r="M238" s="56" t="inlineStr">
        <is>
          <t>own BFCM 2025 lift (account data)</t>
        </is>
      </c>
      <c r="N238" s="59">
        <f>J238*34+J238*L238*12</f>
        <v/>
      </c>
      <c r="O238" s="59">
        <f>MAX(0,N238-G238-H238)</f>
        <v/>
      </c>
      <c r="P238" s="60">
        <f>IF(J238=0,"",IF(G238&lt;J238*34,DATE(2026,10,15)+G238/J238,IF(G238&lt;N238,DATE(2026,11,18)+(G238-J238*34)/(J238*L238),"after Nov 30")))</f>
        <v/>
      </c>
      <c r="Q238" s="60">
        <f>IF(J238=0,"",IF(G238+H238&lt;J238*34,DATE(2026,10,15)+(G238+H238)/J238,IF(G238+H238&lt;N238,DATE(2026,11,18)+(G238+H238-J238*34)/(J238*L238),"after Nov 30")))</f>
        <v/>
      </c>
      <c r="R238" s="54">
        <f>IF(AND(G238&lt;=0,J238&gt;0),"Out of stock now",IF(G238&gt;=N238,"Covered to Nov 30",IF(G238+H238&gt;=N238,"Needs inbound in time","Short even with inbound")))</f>
        <v/>
      </c>
      <c r="S238" s="57" t="n">
        <v>0.464</v>
      </c>
      <c r="T238" s="59">
        <f>IF(S238="","",S238*34+S238*L238*12)</f>
        <v/>
      </c>
    </row>
    <row r="239">
      <c r="A239" s="54" t="inlineStr">
        <is>
          <t>US DC B6</t>
        </is>
      </c>
      <c r="B239" s="54" t="inlineStr">
        <is>
          <t>US</t>
        </is>
      </c>
      <c r="C239" s="54" t="inlineStr">
        <is>
          <t>B0CQ2YZ364</t>
        </is>
      </c>
      <c r="D239" s="54" t="inlineStr">
        <is>
          <t>BAMBOO-TWIN-SAGE GREEN-6PCS</t>
        </is>
      </c>
      <c r="E239" s="54" t="inlineStr">
        <is>
          <t>Twin</t>
        </is>
      </c>
      <c r="F239" s="54" t="inlineStr">
        <is>
          <t>Sage Green</t>
        </is>
      </c>
      <c r="G239" s="55" t="n">
        <v>50</v>
      </c>
      <c r="H239" s="55" t="n">
        <v>42</v>
      </c>
      <c r="I239" s="56" t="inlineStr">
        <is>
          <t>FBA19STZ9LHZ ready to ship: 6; FBA19STRJMC3 ready to ship: 12; FBA19SV47PX1 ready to ship: 12; FBA19SV1CLVT ready to ship: 6; FBA19STYQSF4 ready to ship: 6</t>
        </is>
      </c>
      <c r="J239" s="57" t="n">
        <v>0.28</v>
      </c>
      <c r="K239" s="56" t="inlineStr">
        <is>
          <t>account data velocity</t>
        </is>
      </c>
      <c r="L239" s="58" t="n">
        <v>2.4883</v>
      </c>
      <c r="M239" s="56" t="inlineStr">
        <is>
          <t>own BFCM 2025 lift (account data)</t>
        </is>
      </c>
      <c r="N239" s="59">
        <f>J239*34+J239*L239*12</f>
        <v/>
      </c>
      <c r="O239" s="59">
        <f>MAX(0,N239-G239-H239)</f>
        <v/>
      </c>
      <c r="P239" s="60">
        <f>IF(J239=0,"",IF(G239&lt;J239*34,DATE(2026,10,15)+G239/J239,IF(G239&lt;N239,DATE(2026,11,18)+(G239-J239*34)/(J239*L239),"after Nov 30")))</f>
        <v/>
      </c>
      <c r="Q239" s="60">
        <f>IF(J239=0,"",IF(G239+H239&lt;J239*34,DATE(2026,10,15)+(G239+H239)/J239,IF(G239+H239&lt;N239,DATE(2026,11,18)+(G239+H239-J239*34)/(J239*L239),"after Nov 30")))</f>
        <v/>
      </c>
      <c r="R239" s="54">
        <f>IF(AND(G239&lt;=0,J239&gt;0),"Out of stock now",IF(G239&gt;=N239,"Covered to Nov 30",IF(G239+H239&gt;=N239,"Needs inbound in time","Short even with inbound")))</f>
        <v/>
      </c>
      <c r="S239" s="57" t="n">
        <v>0.179</v>
      </c>
      <c r="T239" s="59">
        <f>IF(S239="","",S239*34+S239*L239*12)</f>
        <v/>
      </c>
    </row>
    <row r="240">
      <c r="A240" s="54" t="inlineStr">
        <is>
          <t>US DC B6</t>
        </is>
      </c>
      <c r="B240" s="54" t="inlineStr">
        <is>
          <t>US</t>
        </is>
      </c>
      <c r="C240" s="54" t="inlineStr">
        <is>
          <t>B0CQ2YBSK2</t>
        </is>
      </c>
      <c r="D240" s="54" t="inlineStr">
        <is>
          <t>BAMBOO-FULL-LIGHTOLIVE-6PCS</t>
        </is>
      </c>
      <c r="E240" s="54" t="inlineStr">
        <is>
          <t>Full</t>
        </is>
      </c>
      <c r="F240" s="54" t="inlineStr">
        <is>
          <t>Light Olive</t>
        </is>
      </c>
      <c r="G240" s="55" t="n">
        <v>79</v>
      </c>
      <c r="H240" s="55" t="n">
        <v>0</v>
      </c>
      <c r="I240" s="56" t="n"/>
      <c r="J240" s="57" t="n">
        <v>0.27</v>
      </c>
      <c r="K240" s="56" t="inlineStr">
        <is>
          <t>account data velocity</t>
        </is>
      </c>
      <c r="L240" s="58" t="n">
        <v>2.4883</v>
      </c>
      <c r="M240" s="56" t="inlineStr">
        <is>
          <t>own BFCM 2025 lift (account data)</t>
        </is>
      </c>
      <c r="N240" s="59">
        <f>J240*34+J240*L240*12</f>
        <v/>
      </c>
      <c r="O240" s="59">
        <f>MAX(0,N240-G240-H240)</f>
        <v/>
      </c>
      <c r="P240" s="60">
        <f>IF(J240=0,"",IF(G240&lt;J240*34,DATE(2026,10,15)+G240/J240,IF(G240&lt;N240,DATE(2026,11,18)+(G240-J240*34)/(J240*L240),"after Nov 30")))</f>
        <v/>
      </c>
      <c r="Q240" s="60">
        <f>IF(J240=0,"",IF(G240+H240&lt;J240*34,DATE(2026,10,15)+(G240+H240)/J240,IF(G240+H240&lt;N240,DATE(2026,11,18)+(G240+H240-J240*34)/(J240*L240),"after Nov 30")))</f>
        <v/>
      </c>
      <c r="R240" s="54">
        <f>IF(AND(G240&lt;=0,J240&gt;0),"Out of stock now",IF(G240&gt;=N240,"Covered to Nov 30",IF(G240+H240&gt;=N240,"Needs inbound in time","Short even with inbound")))</f>
        <v/>
      </c>
      <c r="S240" s="57" t="n">
        <v>0.143</v>
      </c>
      <c r="T240" s="59">
        <f>IF(S240="","",S240*34+S240*L240*12)</f>
        <v/>
      </c>
    </row>
    <row r="241">
      <c r="A241" s="54" t="inlineStr">
        <is>
          <t>US DC B6</t>
        </is>
      </c>
      <c r="B241" s="54" t="inlineStr">
        <is>
          <t>US</t>
        </is>
      </c>
      <c r="C241" s="54" t="inlineStr">
        <is>
          <t>B0CQ32VM8N</t>
        </is>
      </c>
      <c r="D241" s="54" t="inlineStr">
        <is>
          <t>BAMBOO-FULL-LIGHTGREY-6PCS</t>
        </is>
      </c>
      <c r="E241" s="54" t="inlineStr">
        <is>
          <t>Full</t>
        </is>
      </c>
      <c r="F241" s="54" t="inlineStr">
        <is>
          <t>Light Grey</t>
        </is>
      </c>
      <c r="G241" s="55" t="n">
        <v>44</v>
      </c>
      <c r="H241" s="55" t="n">
        <v>0</v>
      </c>
      <c r="I241" s="56" t="n"/>
      <c r="J241" s="57" t="n">
        <v>0.27</v>
      </c>
      <c r="K241" s="56" t="inlineStr">
        <is>
          <t>account data velocity</t>
        </is>
      </c>
      <c r="L241" s="58" t="n">
        <v>2.4883</v>
      </c>
      <c r="M241" s="56" t="inlineStr">
        <is>
          <t>own BFCM 2025 lift (account data)</t>
        </is>
      </c>
      <c r="N241" s="59">
        <f>J241*34+J241*L241*12</f>
        <v/>
      </c>
      <c r="O241" s="59">
        <f>MAX(0,N241-G241-H241)</f>
        <v/>
      </c>
      <c r="P241" s="60">
        <f>IF(J241=0,"",IF(G241&lt;J241*34,DATE(2026,10,15)+G241/J241,IF(G241&lt;N241,DATE(2026,11,18)+(G241-J241*34)/(J241*L241),"after Nov 30")))</f>
        <v/>
      </c>
      <c r="Q241" s="60">
        <f>IF(J241=0,"",IF(G241+H241&lt;J241*34,DATE(2026,10,15)+(G241+H241)/J241,IF(G241+H241&lt;N241,DATE(2026,11,18)+(G241+H241-J241*34)/(J241*L241),"after Nov 30")))</f>
        <v/>
      </c>
      <c r="R241" s="54">
        <f>IF(AND(G241&lt;=0,J241&gt;0),"Out of stock now",IF(G241&gt;=N241,"Covered to Nov 30",IF(G241+H241&gt;=N241,"Needs inbound in time","Short even with inbound")))</f>
        <v/>
      </c>
      <c r="S241" s="57" t="n">
        <v>0</v>
      </c>
      <c r="T241" s="59">
        <f>IF(S241="","",S241*34+S241*L241*12)</f>
        <v/>
      </c>
    </row>
    <row r="242">
      <c r="A242" s="54" t="inlineStr">
        <is>
          <t>US DC B6</t>
        </is>
      </c>
      <c r="B242" s="54" t="inlineStr">
        <is>
          <t>US</t>
        </is>
      </c>
      <c r="C242" s="54" t="inlineStr">
        <is>
          <t>B0CQ33QVZK</t>
        </is>
      </c>
      <c r="D242" s="54" t="inlineStr">
        <is>
          <t>BAMBOO-CALIFKING-BURGUNDY-6PCS</t>
        </is>
      </c>
      <c r="E242" s="54" t="inlineStr">
        <is>
          <t>California King</t>
        </is>
      </c>
      <c r="F242" s="54" t="inlineStr">
        <is>
          <t>Burgundy</t>
        </is>
      </c>
      <c r="G242" s="55" t="n">
        <v>23</v>
      </c>
      <c r="H242" s="55" t="n">
        <v>20</v>
      </c>
      <c r="I242" s="56" t="inlineStr">
        <is>
          <t>FBA19RS1HC4F shipped: 4; FBA19RRY6QFT shipped: 4; FBA19RS0N5K2 shipped: 4; FBA19RRYCGHJ shipped: 4; FBA19RRY5FBL shipped: 4</t>
        </is>
      </c>
      <c r="J242" s="57" t="n">
        <v>0.26</v>
      </c>
      <c r="K242" s="56" t="inlineStr">
        <is>
          <t>account data velocity</t>
        </is>
      </c>
      <c r="L242" s="58" t="n">
        <v>2.4883</v>
      </c>
      <c r="M242" s="56" t="inlineStr">
        <is>
          <t>own BFCM 2025 lift (account data)</t>
        </is>
      </c>
      <c r="N242" s="59">
        <f>J242*34+J242*L242*12</f>
        <v/>
      </c>
      <c r="O242" s="59">
        <f>MAX(0,N242-G242-H242)</f>
        <v/>
      </c>
      <c r="P242" s="60">
        <f>IF(J242=0,"",IF(G242&lt;J242*34,DATE(2026,10,15)+G242/J242,IF(G242&lt;N242,DATE(2026,11,18)+(G242-J242*34)/(J242*L242),"after Nov 30")))</f>
        <v/>
      </c>
      <c r="Q242" s="60">
        <f>IF(J242=0,"",IF(G242+H242&lt;J242*34,DATE(2026,10,15)+(G242+H242)/J242,IF(G242+H242&lt;N242,DATE(2026,11,18)+(G242+H242-J242*34)/(J242*L242),"after Nov 30")))</f>
        <v/>
      </c>
      <c r="R242" s="54">
        <f>IF(AND(G242&lt;=0,J242&gt;0),"Out of stock now",IF(G242&gt;=N242,"Covered to Nov 30",IF(G242+H242&gt;=N242,"Needs inbound in time","Short even with inbound")))</f>
        <v/>
      </c>
      <c r="S242" s="57" t="n">
        <v>0.214</v>
      </c>
      <c r="T242" s="59">
        <f>IF(S242="","",S242*34+S242*L242*12)</f>
        <v/>
      </c>
    </row>
    <row r="243">
      <c r="A243" s="54" t="inlineStr">
        <is>
          <t>US DC B6</t>
        </is>
      </c>
      <c r="B243" s="54" t="inlineStr">
        <is>
          <t>US</t>
        </is>
      </c>
      <c r="C243" s="54" t="inlineStr">
        <is>
          <t>B0CQ2ZS83S</t>
        </is>
      </c>
      <c r="D243" s="54" t="inlineStr">
        <is>
          <t>BAMBOO-CALIFKING-LIGHT PINK-6PCS</t>
        </is>
      </c>
      <c r="E243" s="54" t="inlineStr">
        <is>
          <t>California King</t>
        </is>
      </c>
      <c r="F243" s="54" t="inlineStr">
        <is>
          <t>Light Pink</t>
        </is>
      </c>
      <c r="G243" s="55" t="n">
        <v>21</v>
      </c>
      <c r="H243" s="55" t="n">
        <v>20</v>
      </c>
      <c r="I243" s="56" t="inlineStr">
        <is>
          <t>FBA19RS1HC4F shipped: 4; FBA19RRY6QFT shipped: 4; FBA19RS0N5K2 shipped: 4; FBA19RRYCGHJ shipped: 4; FBA19RRY5FBL shipped: 4</t>
        </is>
      </c>
      <c r="J243" s="57" t="n">
        <v>0.25</v>
      </c>
      <c r="K243" s="56" t="inlineStr">
        <is>
          <t>account data velocity</t>
        </is>
      </c>
      <c r="L243" s="58" t="n">
        <v>2.4883</v>
      </c>
      <c r="M243" s="56" t="inlineStr">
        <is>
          <t>own BFCM 2025 lift (account data)</t>
        </is>
      </c>
      <c r="N243" s="59">
        <f>J243*34+J243*L243*12</f>
        <v/>
      </c>
      <c r="O243" s="59">
        <f>MAX(0,N243-G243-H243)</f>
        <v/>
      </c>
      <c r="P243" s="60">
        <f>IF(J243=0,"",IF(G243&lt;J243*34,DATE(2026,10,15)+G243/J243,IF(G243&lt;N243,DATE(2026,11,18)+(G243-J243*34)/(J243*L243),"after Nov 30")))</f>
        <v/>
      </c>
      <c r="Q243" s="60">
        <f>IF(J243=0,"",IF(G243+H243&lt;J243*34,DATE(2026,10,15)+(G243+H243)/J243,IF(G243+H243&lt;N243,DATE(2026,11,18)+(G243+H243-J243*34)/(J243*L243),"after Nov 30")))</f>
        <v/>
      </c>
      <c r="R243" s="54">
        <f>IF(AND(G243&lt;=0,J243&gt;0),"Out of stock now",IF(G243&gt;=N243,"Covered to Nov 30",IF(G243+H243&gt;=N243,"Needs inbound in time","Short even with inbound")))</f>
        <v/>
      </c>
      <c r="S243" s="57" t="n">
        <v>0.036</v>
      </c>
      <c r="T243" s="59">
        <f>IF(S243="","",S243*34+S243*L243*12)</f>
        <v/>
      </c>
    </row>
    <row r="244">
      <c r="A244" s="54" t="inlineStr">
        <is>
          <t>US DC B6</t>
        </is>
      </c>
      <c r="B244" s="54" t="inlineStr">
        <is>
          <t>US</t>
        </is>
      </c>
      <c r="C244" s="54" t="inlineStr">
        <is>
          <t>B0CQ34D2QS</t>
        </is>
      </c>
      <c r="D244" s="54" t="inlineStr">
        <is>
          <t>BAMBOO-TWIN-WHITE-6PCS</t>
        </is>
      </c>
      <c r="E244" s="54" t="inlineStr">
        <is>
          <t>Twin</t>
        </is>
      </c>
      <c r="F244" s="54" t="inlineStr">
        <is>
          <t>White</t>
        </is>
      </c>
      <c r="G244" s="55" t="n">
        <v>29</v>
      </c>
      <c r="H244" s="55" t="n">
        <v>72</v>
      </c>
      <c r="I244" s="56" t="inlineStr">
        <is>
          <t>FBA19STZ9LHZ ready to ship: 12; FBA19STRJMC3 ready to ship: 12; FBA19SV47PX1 ready to ship: 24; FBA19SV1CLVT ready to ship: 18; FBA19STYQSF4 ready to ship: 6</t>
        </is>
      </c>
      <c r="J244" s="57" t="n">
        <v>0.23</v>
      </c>
      <c r="K244" s="56" t="inlineStr">
        <is>
          <t>account data velocity</t>
        </is>
      </c>
      <c r="L244" s="58" t="n">
        <v>2.4883</v>
      </c>
      <c r="M244" s="56" t="inlineStr">
        <is>
          <t>own BFCM 2025 lift (account data)</t>
        </is>
      </c>
      <c r="N244" s="59">
        <f>J244*34+J244*L244*12</f>
        <v/>
      </c>
      <c r="O244" s="59">
        <f>MAX(0,N244-G244-H244)</f>
        <v/>
      </c>
      <c r="P244" s="60">
        <f>IF(J244=0,"",IF(G244&lt;J244*34,DATE(2026,10,15)+G244/J244,IF(G244&lt;N244,DATE(2026,11,18)+(G244-J244*34)/(J244*L244),"after Nov 30")))</f>
        <v/>
      </c>
      <c r="Q244" s="60">
        <f>IF(J244=0,"",IF(G244+H244&lt;J244*34,DATE(2026,10,15)+(G244+H244)/J244,IF(G244+H244&lt;N244,DATE(2026,11,18)+(G244+H244-J244*34)/(J244*L244),"after Nov 30")))</f>
        <v/>
      </c>
      <c r="R244" s="54">
        <f>IF(AND(G244&lt;=0,J244&gt;0),"Out of stock now",IF(G244&gt;=N244,"Covered to Nov 30",IF(G244+H244&gt;=N244,"Needs inbound in time","Short even with inbound")))</f>
        <v/>
      </c>
      <c r="S244" s="57" t="n">
        <v>0.214</v>
      </c>
      <c r="T244" s="59">
        <f>IF(S244="","",S244*34+S244*L244*12)</f>
        <v/>
      </c>
    </row>
    <row r="245">
      <c r="A245" s="54" t="inlineStr">
        <is>
          <t>US DC B6</t>
        </is>
      </c>
      <c r="B245" s="54" t="inlineStr">
        <is>
          <t>US</t>
        </is>
      </c>
      <c r="C245" s="54" t="inlineStr">
        <is>
          <t>B0CQ328B82</t>
        </is>
      </c>
      <c r="D245" s="54" t="inlineStr">
        <is>
          <t>BAMBOO-FULL-GREY-6PCS</t>
        </is>
      </c>
      <c r="E245" s="54" t="inlineStr">
        <is>
          <t>Full</t>
        </is>
      </c>
      <c r="F245" s="54" t="inlineStr">
        <is>
          <t>Grey</t>
        </is>
      </c>
      <c r="G245" s="55" t="n">
        <v>11</v>
      </c>
      <c r="H245" s="55" t="n">
        <v>30</v>
      </c>
      <c r="I245" s="56" t="inlineStr">
        <is>
          <t>FBA19QLJLR1F shipped: 6; FBA19QLKCVBW shipped: 6; FBA19QLK9CYH shipped: 6; FBA19QLKHC6Q shipped: 6; FBA19QLJ0ZP4 shipped: 6</t>
        </is>
      </c>
      <c r="J245" s="57" t="n">
        <v>0.2</v>
      </c>
      <c r="K245" s="56" t="inlineStr">
        <is>
          <t>account data velocity</t>
        </is>
      </c>
      <c r="L245" s="58" t="n">
        <v>2.4883</v>
      </c>
      <c r="M245" s="56" t="inlineStr">
        <is>
          <t>own BFCM 2025 lift (account data)</t>
        </is>
      </c>
      <c r="N245" s="59">
        <f>J245*34+J245*L245*12</f>
        <v/>
      </c>
      <c r="O245" s="59">
        <f>MAX(0,N245-G245-H245)</f>
        <v/>
      </c>
      <c r="P245" s="60">
        <f>IF(J245=0,"",IF(G245&lt;J245*34,DATE(2026,10,15)+G245/J245,IF(G245&lt;N245,DATE(2026,11,18)+(G245-J245*34)/(J245*L245),"after Nov 30")))</f>
        <v/>
      </c>
      <c r="Q245" s="60">
        <f>IF(J245=0,"",IF(G245+H245&lt;J245*34,DATE(2026,10,15)+(G245+H245)/J245,IF(G245+H245&lt;N245,DATE(2026,11,18)+(G245+H245-J245*34)/(J245*L245),"after Nov 30")))</f>
        <v/>
      </c>
      <c r="R245" s="54">
        <f>IF(AND(G245&lt;=0,J245&gt;0),"Out of stock now",IF(G245&gt;=N245,"Covered to Nov 30",IF(G245+H245&gt;=N245,"Needs inbound in time","Short even with inbound")))</f>
        <v/>
      </c>
      <c r="S245" s="57" t="n">
        <v>0.143</v>
      </c>
      <c r="T245" s="59">
        <f>IF(S245="","",S245*34+S245*L245*12)</f>
        <v/>
      </c>
    </row>
    <row r="246">
      <c r="A246" s="54" t="inlineStr">
        <is>
          <t>US DC B6</t>
        </is>
      </c>
      <c r="B246" s="54" t="inlineStr">
        <is>
          <t>US</t>
        </is>
      </c>
      <c r="C246" s="54" t="inlineStr">
        <is>
          <t>B0CQ316WG1</t>
        </is>
      </c>
      <c r="D246" s="54" t="inlineStr">
        <is>
          <t>BAMBOO-CALIFKING-MIDGREY-6PCS</t>
        </is>
      </c>
      <c r="E246" s="54" t="inlineStr">
        <is>
          <t>California King</t>
        </is>
      </c>
      <c r="F246" s="54" t="inlineStr">
        <is>
          <t>Midgrey</t>
        </is>
      </c>
      <c r="G246" s="55" t="n">
        <v>16</v>
      </c>
      <c r="H246" s="55" t="n">
        <v>28</v>
      </c>
      <c r="I246" s="56" t="inlineStr">
        <is>
          <t>FBA19SV5KWMR ready to ship: 12; FBA19P55072C in transit: 8; FBA19N7WSG18 in transit: 8; FBA19N7RP6W7 in transit: 4; FBA19N7RQF4Q ready to ship: 8</t>
        </is>
      </c>
      <c r="J246" s="57" t="n">
        <v>0.19</v>
      </c>
      <c r="K246" s="56" t="inlineStr">
        <is>
          <t>account data velocity</t>
        </is>
      </c>
      <c r="L246" s="58" t="n">
        <v>2.4883</v>
      </c>
      <c r="M246" s="56" t="inlineStr">
        <is>
          <t>own BFCM 2025 lift (account data)</t>
        </is>
      </c>
      <c r="N246" s="59">
        <f>J246*34+J246*L246*12</f>
        <v/>
      </c>
      <c r="O246" s="59">
        <f>MAX(0,N246-G246-H246)</f>
        <v/>
      </c>
      <c r="P246" s="60">
        <f>IF(J246=0,"",IF(G246&lt;J246*34,DATE(2026,10,15)+G246/J246,IF(G246&lt;N246,DATE(2026,11,18)+(G246-J246*34)/(J246*L246),"after Nov 30")))</f>
        <v/>
      </c>
      <c r="Q246" s="60">
        <f>IF(J246=0,"",IF(G246+H246&lt;J246*34,DATE(2026,10,15)+(G246+H246)/J246,IF(G246+H246&lt;N246,DATE(2026,11,18)+(G246+H246-J246*34)/(J246*L246),"after Nov 30")))</f>
        <v/>
      </c>
      <c r="R246" s="54">
        <f>IF(AND(G246&lt;=0,J246&gt;0),"Out of stock now",IF(G246&gt;=N246,"Covered to Nov 30",IF(G246+H246&gt;=N246,"Needs inbound in time","Short even with inbound")))</f>
        <v/>
      </c>
      <c r="S246" s="57" t="n">
        <v>0.036</v>
      </c>
      <c r="T246" s="59">
        <f>IF(S246="","",S246*34+S246*L246*12)</f>
        <v/>
      </c>
    </row>
    <row r="247">
      <c r="A247" s="54" t="inlineStr">
        <is>
          <t>US DC B6</t>
        </is>
      </c>
      <c r="B247" s="54" t="inlineStr">
        <is>
          <t>US</t>
        </is>
      </c>
      <c r="C247" s="54" t="inlineStr">
        <is>
          <t>B0CQ31X3X5</t>
        </is>
      </c>
      <c r="D247" s="54" t="inlineStr">
        <is>
          <t>BAMBOO-FULL-PURPLE-6PCS</t>
        </is>
      </c>
      <c r="E247" s="54" t="inlineStr">
        <is>
          <t>Full</t>
        </is>
      </c>
      <c r="F247" s="54" t="inlineStr">
        <is>
          <t>Purple</t>
        </is>
      </c>
      <c r="G247" s="55" t="n">
        <v>23</v>
      </c>
      <c r="H247" s="55" t="n">
        <v>0</v>
      </c>
      <c r="I247" s="56" t="n"/>
      <c r="J247" s="57" t="n">
        <v>0.18</v>
      </c>
      <c r="K247" s="56" t="inlineStr">
        <is>
          <t>account data velocity</t>
        </is>
      </c>
      <c r="L247" s="58" t="n">
        <v>2.4883</v>
      </c>
      <c r="M247" s="56" t="inlineStr">
        <is>
          <t>own BFCM 2025 lift (account data)</t>
        </is>
      </c>
      <c r="N247" s="59">
        <f>J247*34+J247*L247*12</f>
        <v/>
      </c>
      <c r="O247" s="59">
        <f>MAX(0,N247-G247-H247)</f>
        <v/>
      </c>
      <c r="P247" s="60">
        <f>IF(J247=0,"",IF(G247&lt;J247*34,DATE(2026,10,15)+G247/J247,IF(G247&lt;N247,DATE(2026,11,18)+(G247-J247*34)/(J247*L247),"after Nov 30")))</f>
        <v/>
      </c>
      <c r="Q247" s="60">
        <f>IF(J247=0,"",IF(G247+H247&lt;J247*34,DATE(2026,10,15)+(G247+H247)/J247,IF(G247+H247&lt;N247,DATE(2026,11,18)+(G247+H247-J247*34)/(J247*L247),"after Nov 30")))</f>
        <v/>
      </c>
      <c r="R247" s="54">
        <f>IF(AND(G247&lt;=0,J247&gt;0),"Out of stock now",IF(G247&gt;=N247,"Covered to Nov 30",IF(G247+H247&gt;=N247,"Needs inbound in time","Short even with inbound")))</f>
        <v/>
      </c>
      <c r="S247" s="57" t="n">
        <v>0.179</v>
      </c>
      <c r="T247" s="59">
        <f>IF(S247="","",S247*34+S247*L247*12)</f>
        <v/>
      </c>
    </row>
    <row r="248">
      <c r="A248" s="54" t="inlineStr">
        <is>
          <t>US DC B6</t>
        </is>
      </c>
      <c r="B248" s="54" t="inlineStr">
        <is>
          <t>US</t>
        </is>
      </c>
      <c r="C248" s="54" t="inlineStr">
        <is>
          <t>B0CQ33ZGQL</t>
        </is>
      </c>
      <c r="D248" s="54" t="inlineStr">
        <is>
          <t>BAMBOO-TWIN-LIGHTGREY-6PCS</t>
        </is>
      </c>
      <c r="E248" s="54" t="inlineStr">
        <is>
          <t>Twin</t>
        </is>
      </c>
      <c r="F248" s="54" t="inlineStr">
        <is>
          <t>Light Grey</t>
        </is>
      </c>
      <c r="G248" s="55" t="n">
        <v>33</v>
      </c>
      <c r="H248" s="55" t="n">
        <v>30</v>
      </c>
      <c r="I248" s="56" t="inlineStr">
        <is>
          <t>FBA19STZ9LHZ ready to ship: 6; FBA19STRJMC3 ready to ship: 6; FBA19SV47PX1 ready to ship: 6; FBA19SV1CLVT ready to ship: 6; FBA19STYQSF4 ready to ship: 6</t>
        </is>
      </c>
      <c r="J248" s="57" t="n">
        <v>0.18</v>
      </c>
      <c r="K248" s="56" t="inlineStr">
        <is>
          <t>account data velocity</t>
        </is>
      </c>
      <c r="L248" s="58" t="n">
        <v>2.4883</v>
      </c>
      <c r="M248" s="56" t="inlineStr">
        <is>
          <t>own BFCM 2025 lift (account data)</t>
        </is>
      </c>
      <c r="N248" s="59">
        <f>J248*34+J248*L248*12</f>
        <v/>
      </c>
      <c r="O248" s="59">
        <f>MAX(0,N248-G248-H248)</f>
        <v/>
      </c>
      <c r="P248" s="60">
        <f>IF(J248=0,"",IF(G248&lt;J248*34,DATE(2026,10,15)+G248/J248,IF(G248&lt;N248,DATE(2026,11,18)+(G248-J248*34)/(J248*L248),"after Nov 30")))</f>
        <v/>
      </c>
      <c r="Q248" s="60">
        <f>IF(J248=0,"",IF(G248+H248&lt;J248*34,DATE(2026,10,15)+(G248+H248)/J248,IF(G248+H248&lt;N248,DATE(2026,11,18)+(G248+H248-J248*34)/(J248*L248),"after Nov 30")))</f>
        <v/>
      </c>
      <c r="R248" s="54">
        <f>IF(AND(G248&lt;=0,J248&gt;0),"Out of stock now",IF(G248&gt;=N248,"Covered to Nov 30",IF(G248+H248&gt;=N248,"Needs inbound in time","Short even with inbound")))</f>
        <v/>
      </c>
      <c r="S248" s="57" t="n">
        <v>0.07099999999999999</v>
      </c>
      <c r="T248" s="59">
        <f>IF(S248="","",S248*34+S248*L248*12)</f>
        <v/>
      </c>
    </row>
    <row r="249">
      <c r="A249" s="54" t="inlineStr">
        <is>
          <t>US DC B6</t>
        </is>
      </c>
      <c r="B249" s="54" t="inlineStr">
        <is>
          <t>US</t>
        </is>
      </c>
      <c r="C249" s="54" t="inlineStr">
        <is>
          <t>B0CQ31V52K</t>
        </is>
      </c>
      <c r="D249" s="54" t="inlineStr">
        <is>
          <t>BAMBOO-CALIFKING-LIGHTOLIVE-6PCS</t>
        </is>
      </c>
      <c r="E249" s="54" t="inlineStr">
        <is>
          <t>California King</t>
        </is>
      </c>
      <c r="F249" s="54" t="inlineStr">
        <is>
          <t>Light Olive</t>
        </is>
      </c>
      <c r="G249" s="55" t="n">
        <v>0</v>
      </c>
      <c r="H249" s="55" t="n">
        <v>40</v>
      </c>
      <c r="I249" s="56" t="inlineStr">
        <is>
          <t>FBA19STZ9LHZ ready to ship: 4; FBA19SV47PX1 ready to ship: 4; FBA19SV1CLVT ready to ship: 4; FBA19STYQSF4 ready to ship: 8; FBA19QLJLR1F shipped: 4; FBA19QLKCVBW shipped: 4; FBA19QLK9CYH shipped: 4; FBA19QLKHC6Q shipped: 4; FBA19QLJ0ZP4 shipped: 4</t>
        </is>
      </c>
      <c r="J249" s="57" t="n">
        <v>0.17</v>
      </c>
      <c r="K249" s="56" t="inlineStr">
        <is>
          <t>account data velocity</t>
        </is>
      </c>
      <c r="L249" s="58" t="n">
        <v>2.4883</v>
      </c>
      <c r="M249" s="56" t="inlineStr">
        <is>
          <t>own BFCM 2025 lift (account data)</t>
        </is>
      </c>
      <c r="N249" s="59">
        <f>J249*34+J249*L249*12</f>
        <v/>
      </c>
      <c r="O249" s="59">
        <f>MAX(0,N249-G249-H249)</f>
        <v/>
      </c>
      <c r="P249" s="60">
        <f>IF(J249=0,"",IF(G249&lt;J249*34,DATE(2026,10,15)+G249/J249,IF(G249&lt;N249,DATE(2026,11,18)+(G249-J249*34)/(J249*L249),"after Nov 30")))</f>
        <v/>
      </c>
      <c r="Q249" s="60">
        <f>IF(J249=0,"",IF(G249+H249&lt;J249*34,DATE(2026,10,15)+(G249+H249)/J249,IF(G249+H249&lt;N249,DATE(2026,11,18)+(G249+H249-J249*34)/(J249*L249),"after Nov 30")))</f>
        <v/>
      </c>
      <c r="R249" s="54">
        <f>IF(AND(G249&lt;=0,J249&gt;0),"Out of stock now",IF(G249&gt;=N249,"Covered to Nov 30",IF(G249+H249&gt;=N249,"Needs inbound in time","Short even with inbound")))</f>
        <v/>
      </c>
      <c r="S249" s="57" t="n">
        <v>0.07099999999999999</v>
      </c>
      <c r="T249" s="59">
        <f>IF(S249="","",S249*34+S249*L249*12)</f>
        <v/>
      </c>
    </row>
    <row r="250">
      <c r="A250" s="54" t="inlineStr">
        <is>
          <t>US DC B6</t>
        </is>
      </c>
      <c r="B250" s="54" t="inlineStr">
        <is>
          <t>US</t>
        </is>
      </c>
      <c r="C250" s="54" t="inlineStr">
        <is>
          <t>B0CQ31XF3H</t>
        </is>
      </c>
      <c r="D250" s="54" t="inlineStr">
        <is>
          <t>BAMBOO-TWIN-MIDGREY-6PCS</t>
        </is>
      </c>
      <c r="E250" s="54" t="inlineStr">
        <is>
          <t>Twin</t>
        </is>
      </c>
      <c r="F250" s="54" t="inlineStr">
        <is>
          <t>Midgrey</t>
        </is>
      </c>
      <c r="G250" s="55" t="n">
        <v>37</v>
      </c>
      <c r="H250" s="55" t="n">
        <v>78</v>
      </c>
      <c r="I250" s="56" t="inlineStr">
        <is>
          <t>FBA19STZ9LHZ ready to ship: 12; FBA19STRJMC3 ready to ship: 6; FBA19SV47PX1 ready to ship: 12; FBA19SV1CLVT ready to ship: 12; FBA19STYQSF4 ready to ship: 6; FBA19QLJLR1F shipped: 6; FBA19QLKCVBW shipped: 6; FBA19QLK9CYH shipped: 6; FBA19QLKHC6Q shipped: 6; FBA19QLJ0ZP4 shipped: 6</t>
        </is>
      </c>
      <c r="J250" s="57" t="n">
        <v>0.16</v>
      </c>
      <c r="K250" s="56" t="inlineStr">
        <is>
          <t>account data velocity</t>
        </is>
      </c>
      <c r="L250" s="58" t="n">
        <v>2.4883</v>
      </c>
      <c r="M250" s="56" t="inlineStr">
        <is>
          <t>own BFCM 2025 lift (account data)</t>
        </is>
      </c>
      <c r="N250" s="59">
        <f>J250*34+J250*L250*12</f>
        <v/>
      </c>
      <c r="O250" s="59">
        <f>MAX(0,N250-G250-H250)</f>
        <v/>
      </c>
      <c r="P250" s="60">
        <f>IF(J250=0,"",IF(G250&lt;J250*34,DATE(2026,10,15)+G250/J250,IF(G250&lt;N250,DATE(2026,11,18)+(G250-J250*34)/(J250*L250),"after Nov 30")))</f>
        <v/>
      </c>
      <c r="Q250" s="60">
        <f>IF(J250=0,"",IF(G250+H250&lt;J250*34,DATE(2026,10,15)+(G250+H250)/J250,IF(G250+H250&lt;N250,DATE(2026,11,18)+(G250+H250-J250*34)/(J250*L250),"after Nov 30")))</f>
        <v/>
      </c>
      <c r="R250" s="54">
        <f>IF(AND(G250&lt;=0,J250&gt;0),"Out of stock now",IF(G250&gt;=N250,"Covered to Nov 30",IF(G250+H250&gt;=N250,"Needs inbound in time","Short even with inbound")))</f>
        <v/>
      </c>
      <c r="S250" s="57" t="n">
        <v>0.07099999999999999</v>
      </c>
      <c r="T250" s="59">
        <f>IF(S250="","",S250*34+S250*L250*12)</f>
        <v/>
      </c>
    </row>
    <row r="251">
      <c r="A251" s="54" t="inlineStr">
        <is>
          <t>US DC B6</t>
        </is>
      </c>
      <c r="B251" s="54" t="inlineStr">
        <is>
          <t>US</t>
        </is>
      </c>
      <c r="C251" s="54" t="inlineStr">
        <is>
          <t>B0CQ32JNVG</t>
        </is>
      </c>
      <c r="D251" s="54" t="inlineStr">
        <is>
          <t>BAMBOO-FULL-LIGHTBLUE-6PCS</t>
        </is>
      </c>
      <c r="E251" s="54" t="inlineStr">
        <is>
          <t>Full</t>
        </is>
      </c>
      <c r="F251" s="54" t="inlineStr">
        <is>
          <t>Light Blue</t>
        </is>
      </c>
      <c r="G251" s="55" t="n">
        <v>49</v>
      </c>
      <c r="H251" s="55" t="n">
        <v>0</v>
      </c>
      <c r="I251" s="56" t="n"/>
      <c r="J251" s="57" t="n">
        <v>0.16</v>
      </c>
      <c r="K251" s="56" t="inlineStr">
        <is>
          <t>account data velocity</t>
        </is>
      </c>
      <c r="L251" s="58" t="n">
        <v>2.4883</v>
      </c>
      <c r="M251" s="56" t="inlineStr">
        <is>
          <t>own BFCM 2025 lift (account data)</t>
        </is>
      </c>
      <c r="N251" s="59">
        <f>J251*34+J251*L251*12</f>
        <v/>
      </c>
      <c r="O251" s="59">
        <f>MAX(0,N251-G251-H251)</f>
        <v/>
      </c>
      <c r="P251" s="60">
        <f>IF(J251=0,"",IF(G251&lt;J251*34,DATE(2026,10,15)+G251/J251,IF(G251&lt;N251,DATE(2026,11,18)+(G251-J251*34)/(J251*L251),"after Nov 30")))</f>
        <v/>
      </c>
      <c r="Q251" s="60">
        <f>IF(J251=0,"",IF(G251+H251&lt;J251*34,DATE(2026,10,15)+(G251+H251)/J251,IF(G251+H251&lt;N251,DATE(2026,11,18)+(G251+H251-J251*34)/(J251*L251),"after Nov 30")))</f>
        <v/>
      </c>
      <c r="R251" s="54">
        <f>IF(AND(G251&lt;=0,J251&gt;0),"Out of stock now",IF(G251&gt;=N251,"Covered to Nov 30",IF(G251+H251&gt;=N251,"Needs inbound in time","Short even with inbound")))</f>
        <v/>
      </c>
      <c r="S251" s="57" t="n">
        <v>0</v>
      </c>
      <c r="T251" s="59">
        <f>IF(S251="","",S251*34+S251*L251*12)</f>
        <v/>
      </c>
    </row>
    <row r="252">
      <c r="A252" s="54" t="inlineStr">
        <is>
          <t>US DC B6</t>
        </is>
      </c>
      <c r="B252" s="54" t="inlineStr">
        <is>
          <t>US</t>
        </is>
      </c>
      <c r="C252" s="54" t="inlineStr">
        <is>
          <t>B0CQ2ZSDMN</t>
        </is>
      </c>
      <c r="D252" s="54" t="inlineStr">
        <is>
          <t>BAMBOO-FULL-NAVYBLUE-6PCS</t>
        </is>
      </c>
      <c r="E252" s="54" t="inlineStr">
        <is>
          <t>Full</t>
        </is>
      </c>
      <c r="F252" s="54" t="inlineStr">
        <is>
          <t>Navy Blue</t>
        </is>
      </c>
      <c r="G252" s="55" t="n">
        <v>40</v>
      </c>
      <c r="H252" s="55" t="n">
        <v>0</v>
      </c>
      <c r="I252" s="56" t="n"/>
      <c r="J252" s="57" t="n">
        <v>0.14</v>
      </c>
      <c r="K252" s="56" t="inlineStr">
        <is>
          <t>account data velocity</t>
        </is>
      </c>
      <c r="L252" s="58" t="n">
        <v>2.4883</v>
      </c>
      <c r="M252" s="56" t="inlineStr">
        <is>
          <t>own BFCM 2025 lift (account data)</t>
        </is>
      </c>
      <c r="N252" s="59">
        <f>J252*34+J252*L252*12</f>
        <v/>
      </c>
      <c r="O252" s="59">
        <f>MAX(0,N252-G252-H252)</f>
        <v/>
      </c>
      <c r="P252" s="60">
        <f>IF(J252=0,"",IF(G252&lt;J252*34,DATE(2026,10,15)+G252/J252,IF(G252&lt;N252,DATE(2026,11,18)+(G252-J252*34)/(J252*L252),"after Nov 30")))</f>
        <v/>
      </c>
      <c r="Q252" s="60">
        <f>IF(J252=0,"",IF(G252+H252&lt;J252*34,DATE(2026,10,15)+(G252+H252)/J252,IF(G252+H252&lt;N252,DATE(2026,11,18)+(G252+H252-J252*34)/(J252*L252),"after Nov 30")))</f>
        <v/>
      </c>
      <c r="R252" s="54">
        <f>IF(AND(G252&lt;=0,J252&gt;0),"Out of stock now",IF(G252&gt;=N252,"Covered to Nov 30",IF(G252+H252&gt;=N252,"Needs inbound in time","Short even with inbound")))</f>
        <v/>
      </c>
      <c r="S252" s="57" t="n">
        <v>0.036</v>
      </c>
      <c r="T252" s="59">
        <f>IF(S252="","",S252*34+S252*L252*12)</f>
        <v/>
      </c>
    </row>
    <row r="253">
      <c r="A253" s="54" t="inlineStr">
        <is>
          <t>US DC B6</t>
        </is>
      </c>
      <c r="B253" s="54" t="inlineStr">
        <is>
          <t>US</t>
        </is>
      </c>
      <c r="C253" s="54" t="inlineStr">
        <is>
          <t>B0CQ31CJPJ</t>
        </is>
      </c>
      <c r="D253" s="54" t="inlineStr">
        <is>
          <t>BAMBOO-TWIN-LIGHTBLUE-6PCS</t>
        </is>
      </c>
      <c r="E253" s="54" t="inlineStr">
        <is>
          <t>Twin</t>
        </is>
      </c>
      <c r="F253" s="54" t="inlineStr">
        <is>
          <t>Light Blue</t>
        </is>
      </c>
      <c r="G253" s="55" t="n">
        <v>24</v>
      </c>
      <c r="H253" s="55" t="n">
        <v>6</v>
      </c>
      <c r="I253" s="56" t="inlineStr">
        <is>
          <t>FBA19P55072C in transit: 6</t>
        </is>
      </c>
      <c r="J253" s="57" t="n">
        <v>0.14</v>
      </c>
      <c r="K253" s="56" t="inlineStr">
        <is>
          <t>account data velocity</t>
        </is>
      </c>
      <c r="L253" s="58" t="n">
        <v>2.4883</v>
      </c>
      <c r="M253" s="56" t="inlineStr">
        <is>
          <t>own BFCM 2025 lift (account data)</t>
        </is>
      </c>
      <c r="N253" s="59">
        <f>J253*34+J253*L253*12</f>
        <v/>
      </c>
      <c r="O253" s="59">
        <f>MAX(0,N253-G253-H253)</f>
        <v/>
      </c>
      <c r="P253" s="60">
        <f>IF(J253=0,"",IF(G253&lt;J253*34,DATE(2026,10,15)+G253/J253,IF(G253&lt;N253,DATE(2026,11,18)+(G253-J253*34)/(J253*L253),"after Nov 30")))</f>
        <v/>
      </c>
      <c r="Q253" s="60">
        <f>IF(J253=0,"",IF(G253+H253&lt;J253*34,DATE(2026,10,15)+(G253+H253)/J253,IF(G253+H253&lt;N253,DATE(2026,11,18)+(G253+H253-J253*34)/(J253*L253),"after Nov 30")))</f>
        <v/>
      </c>
      <c r="R253" s="54">
        <f>IF(AND(G253&lt;=0,J253&gt;0),"Out of stock now",IF(G253&gt;=N253,"Covered to Nov 30",IF(G253+H253&gt;=N253,"Needs inbound in time","Short even with inbound")))</f>
        <v/>
      </c>
      <c r="S253" s="57" t="n">
        <v>0</v>
      </c>
      <c r="T253" s="59">
        <f>IF(S253="","",S253*34+S253*L253*12)</f>
        <v/>
      </c>
    </row>
    <row r="254">
      <c r="A254" s="54" t="inlineStr">
        <is>
          <t>US DC B6</t>
        </is>
      </c>
      <c r="B254" s="54" t="inlineStr">
        <is>
          <t>US</t>
        </is>
      </c>
      <c r="C254" s="54" t="inlineStr">
        <is>
          <t>B0CQ33P28L</t>
        </is>
      </c>
      <c r="D254" s="54" t="inlineStr">
        <is>
          <t>BAMBOO-TWIN-GREY-6PCS</t>
        </is>
      </c>
      <c r="E254" s="54" t="inlineStr">
        <is>
          <t>Twin</t>
        </is>
      </c>
      <c r="F254" s="54" t="inlineStr">
        <is>
          <t>Grey</t>
        </is>
      </c>
      <c r="G254" s="55" t="n">
        <v>17</v>
      </c>
      <c r="H254" s="55" t="n">
        <v>0</v>
      </c>
      <c r="I254" s="56" t="n"/>
      <c r="J254" s="57" t="n">
        <v>0.12</v>
      </c>
      <c r="K254" s="56" t="inlineStr">
        <is>
          <t>account data velocity</t>
        </is>
      </c>
      <c r="L254" s="58" t="n">
        <v>2.4883</v>
      </c>
      <c r="M254" s="56" t="inlineStr">
        <is>
          <t>own BFCM 2025 lift (account data)</t>
        </is>
      </c>
      <c r="N254" s="59">
        <f>J254*34+J254*L254*12</f>
        <v/>
      </c>
      <c r="O254" s="59">
        <f>MAX(0,N254-G254-H254)</f>
        <v/>
      </c>
      <c r="P254" s="60">
        <f>IF(J254=0,"",IF(G254&lt;J254*34,DATE(2026,10,15)+G254/J254,IF(G254&lt;N254,DATE(2026,11,18)+(G254-J254*34)/(J254*L254),"after Nov 30")))</f>
        <v/>
      </c>
      <c r="Q254" s="60">
        <f>IF(J254=0,"",IF(G254+H254&lt;J254*34,DATE(2026,10,15)+(G254+H254)/J254,IF(G254+H254&lt;N254,DATE(2026,11,18)+(G254+H254-J254*34)/(J254*L254),"after Nov 30")))</f>
        <v/>
      </c>
      <c r="R254" s="54">
        <f>IF(AND(G254&lt;=0,J254&gt;0),"Out of stock now",IF(G254&gt;=N254,"Covered to Nov 30",IF(G254+H254&gt;=N254,"Needs inbound in time","Short even with inbound")))</f>
        <v/>
      </c>
      <c r="S254" s="57" t="n">
        <v>0.143</v>
      </c>
      <c r="T254" s="59">
        <f>IF(S254="","",S254*34+S254*L254*12)</f>
        <v/>
      </c>
    </row>
    <row r="255">
      <c r="A255" s="54" t="inlineStr">
        <is>
          <t>US DC B6</t>
        </is>
      </c>
      <c r="B255" s="54" t="inlineStr">
        <is>
          <t>US</t>
        </is>
      </c>
      <c r="C255" s="54" t="inlineStr">
        <is>
          <t>B0CQ2YMNV7</t>
        </is>
      </c>
      <c r="D255" s="54" t="inlineStr">
        <is>
          <t>BAMBOO-TWIN-PURPLE-6PCS</t>
        </is>
      </c>
      <c r="E255" s="54" t="inlineStr">
        <is>
          <t>Twin</t>
        </is>
      </c>
      <c r="F255" s="54" t="inlineStr">
        <is>
          <t>Purple</t>
        </is>
      </c>
      <c r="G255" s="55" t="n">
        <v>11</v>
      </c>
      <c r="H255" s="55" t="n">
        <v>66</v>
      </c>
      <c r="I255" s="56" t="inlineStr">
        <is>
          <t>FBA19STZ9LHZ ready to ship: 6; FBA19STRJMC3 ready to ship: 12; FBA19SV47PX1 ready to ship: 6; FBA19SV1CLVT ready to ship: 6; FBA19STYQSF4 ready to ship: 6; FBA19QLJLR1F shipped: 6; FBA19QLKCVBW shipped: 6; FBA19QLK9CYH shipped: 6; FBA19QLKHC6Q shipped: 6; FBA19QLJ0ZP4 shipped: 6</t>
        </is>
      </c>
      <c r="J255" s="57" t="n">
        <v>0.12</v>
      </c>
      <c r="K255" s="56" t="inlineStr">
        <is>
          <t>account data velocity</t>
        </is>
      </c>
      <c r="L255" s="58" t="n">
        <v>2.4883</v>
      </c>
      <c r="M255" s="56" t="inlineStr">
        <is>
          <t>own BFCM 2025 lift (account data)</t>
        </is>
      </c>
      <c r="N255" s="59">
        <f>J255*34+J255*L255*12</f>
        <v/>
      </c>
      <c r="O255" s="59">
        <f>MAX(0,N255-G255-H255)</f>
        <v/>
      </c>
      <c r="P255" s="60">
        <f>IF(J255=0,"",IF(G255&lt;J255*34,DATE(2026,10,15)+G255/J255,IF(G255&lt;N255,DATE(2026,11,18)+(G255-J255*34)/(J255*L255),"after Nov 30")))</f>
        <v/>
      </c>
      <c r="Q255" s="60">
        <f>IF(J255=0,"",IF(G255+H255&lt;J255*34,DATE(2026,10,15)+(G255+H255)/J255,IF(G255+H255&lt;N255,DATE(2026,11,18)+(G255+H255-J255*34)/(J255*L255),"after Nov 30")))</f>
        <v/>
      </c>
      <c r="R255" s="54">
        <f>IF(AND(G255&lt;=0,J255&gt;0),"Out of stock now",IF(G255&gt;=N255,"Covered to Nov 30",IF(G255+H255&gt;=N255,"Needs inbound in time","Short even with inbound")))</f>
        <v/>
      </c>
      <c r="S255" s="57" t="n">
        <v>0.107</v>
      </c>
      <c r="T255" s="59">
        <f>IF(S255="","",S255*34+S255*L255*12)</f>
        <v/>
      </c>
    </row>
    <row r="256">
      <c r="A256" s="54" t="inlineStr">
        <is>
          <t>US DC B6</t>
        </is>
      </c>
      <c r="B256" s="54" t="inlineStr">
        <is>
          <t>US</t>
        </is>
      </c>
      <c r="C256" s="54" t="inlineStr">
        <is>
          <t>B0CQ3319BK</t>
        </is>
      </c>
      <c r="D256" s="54" t="inlineStr">
        <is>
          <t>BAMBOO-TWIN-BLACK-6PCS</t>
        </is>
      </c>
      <c r="E256" s="54" t="inlineStr">
        <is>
          <t>Twin</t>
        </is>
      </c>
      <c r="F256" s="54" t="inlineStr">
        <is>
          <t>Black</t>
        </is>
      </c>
      <c r="G256" s="55" t="n">
        <v>28</v>
      </c>
      <c r="H256" s="55" t="n">
        <v>30</v>
      </c>
      <c r="I256" s="56" t="inlineStr">
        <is>
          <t>FBA19RS1HC4F shipped: 6; FBA19RRY6QFT shipped: 6; FBA19RS0N5K2 shipped: 6; FBA19RRYCGHJ shipped: 6; FBA19RRY5FBL shipped: 6</t>
        </is>
      </c>
      <c r="J256" s="57" t="n">
        <v>0.06</v>
      </c>
      <c r="K256" s="56" t="inlineStr">
        <is>
          <t>account data velocity</t>
        </is>
      </c>
      <c r="L256" s="58" t="n">
        <v>2.4883</v>
      </c>
      <c r="M256" s="56" t="inlineStr">
        <is>
          <t>own BFCM 2025 lift (account data)</t>
        </is>
      </c>
      <c r="N256" s="59">
        <f>J256*34+J256*L256*12</f>
        <v/>
      </c>
      <c r="O256" s="59">
        <f>MAX(0,N256-G256-H256)</f>
        <v/>
      </c>
      <c r="P256" s="60">
        <f>IF(J256=0,"",IF(G256&lt;J256*34,DATE(2026,10,15)+G256/J256,IF(G256&lt;N256,DATE(2026,11,18)+(G256-J256*34)/(J256*L256),"after Nov 30")))</f>
        <v/>
      </c>
      <c r="Q256" s="60">
        <f>IF(J256=0,"",IF(G256+H256&lt;J256*34,DATE(2026,10,15)+(G256+H256)/J256,IF(G256+H256&lt;N256,DATE(2026,11,18)+(G256+H256-J256*34)/(J256*L256),"after Nov 30")))</f>
        <v/>
      </c>
      <c r="R256" s="54">
        <f>IF(AND(G256&lt;=0,J256&gt;0),"Out of stock now",IF(G256&gt;=N256,"Covered to Nov 30",IF(G256+H256&gt;=N256,"Needs inbound in time","Short even with inbound")))</f>
        <v/>
      </c>
      <c r="S256" s="57" t="n">
        <v>0.07099999999999999</v>
      </c>
      <c r="T256" s="59">
        <f>IF(S256="","",S256*34+S256*L256*12)</f>
        <v/>
      </c>
    </row>
    <row r="257">
      <c r="A257" s="54" t="inlineStr">
        <is>
          <t>US DC B6</t>
        </is>
      </c>
      <c r="B257" s="54" t="inlineStr">
        <is>
          <t>US</t>
        </is>
      </c>
      <c r="C257" s="54" t="inlineStr">
        <is>
          <t>B0CQ32QQ47</t>
        </is>
      </c>
      <c r="D257" s="54" t="inlineStr">
        <is>
          <t>BAMBOO-TWIN-TAUPE-6PCS</t>
        </is>
      </c>
      <c r="E257" s="54" t="inlineStr">
        <is>
          <t>Twin</t>
        </is>
      </c>
      <c r="F257" s="54" t="inlineStr">
        <is>
          <t>Taupe</t>
        </is>
      </c>
      <c r="G257" s="55" t="n">
        <v>22</v>
      </c>
      <c r="H257" s="55" t="n">
        <v>30</v>
      </c>
      <c r="I257" s="56" t="inlineStr">
        <is>
          <t>FBA19RS1HC4F shipped: 6; FBA19RRY6QFT shipped: 6; FBA19RS0N5K2 shipped: 6; FBA19RRYCGHJ shipped: 6; FBA19RRY5FBL shipped: 6</t>
        </is>
      </c>
      <c r="J257" s="57" t="n">
        <v>0.06</v>
      </c>
      <c r="K257" s="56" t="inlineStr">
        <is>
          <t>account data velocity</t>
        </is>
      </c>
      <c r="L257" s="58" t="n">
        <v>2.4883</v>
      </c>
      <c r="M257" s="56" t="inlineStr">
        <is>
          <t>own BFCM 2025 lift (account data)</t>
        </is>
      </c>
      <c r="N257" s="59">
        <f>J257*34+J257*L257*12</f>
        <v/>
      </c>
      <c r="O257" s="59">
        <f>MAX(0,N257-G257-H257)</f>
        <v/>
      </c>
      <c r="P257" s="60">
        <f>IF(J257=0,"",IF(G257&lt;J257*34,DATE(2026,10,15)+G257/J257,IF(G257&lt;N257,DATE(2026,11,18)+(G257-J257*34)/(J257*L257),"after Nov 30")))</f>
        <v/>
      </c>
      <c r="Q257" s="60">
        <f>IF(J257=0,"",IF(G257+H257&lt;J257*34,DATE(2026,10,15)+(G257+H257)/J257,IF(G257+H257&lt;N257,DATE(2026,11,18)+(G257+H257-J257*34)/(J257*L257),"after Nov 30")))</f>
        <v/>
      </c>
      <c r="R257" s="54">
        <f>IF(AND(G257&lt;=0,J257&gt;0),"Out of stock now",IF(G257&gt;=N257,"Covered to Nov 30",IF(G257+H257&gt;=N257,"Needs inbound in time","Short even with inbound")))</f>
        <v/>
      </c>
      <c r="S257" s="57" t="n">
        <v>0.07099999999999999</v>
      </c>
      <c r="T257" s="59">
        <f>IF(S257="","",S257*34+S257*L257*12)</f>
        <v/>
      </c>
    </row>
    <row r="258">
      <c r="A258" s="54" t="inlineStr">
        <is>
          <t>US DC B6</t>
        </is>
      </c>
      <c r="B258" s="54" t="inlineStr">
        <is>
          <t>US</t>
        </is>
      </c>
      <c r="C258" s="54" t="inlineStr">
        <is>
          <t>B0CQ31LJ3J</t>
        </is>
      </c>
      <c r="D258" s="54" t="inlineStr">
        <is>
          <t>BAMBOO-CALIFKING-SAGE GREEN-6PCS</t>
        </is>
      </c>
      <c r="E258" s="54" t="inlineStr">
        <is>
          <t>California King</t>
        </is>
      </c>
      <c r="F258" s="54" t="inlineStr">
        <is>
          <t>Sage Green</t>
        </is>
      </c>
      <c r="G258" s="55" t="n">
        <v>24</v>
      </c>
      <c r="H258" s="55" t="n">
        <v>0</v>
      </c>
      <c r="I258" s="56" t="n"/>
      <c r="J258" s="57" t="n">
        <v>0.06</v>
      </c>
      <c r="K258" s="56" t="inlineStr">
        <is>
          <t>account data velocity</t>
        </is>
      </c>
      <c r="L258" s="58" t="n">
        <v>2.4883</v>
      </c>
      <c r="M258" s="56" t="inlineStr">
        <is>
          <t>own BFCM 2025 lift (account data)</t>
        </is>
      </c>
      <c r="N258" s="59">
        <f>J258*34+J258*L258*12</f>
        <v/>
      </c>
      <c r="O258" s="59">
        <f>MAX(0,N258-G258-H258)</f>
        <v/>
      </c>
      <c r="P258" s="60">
        <f>IF(J258=0,"",IF(G258&lt;J258*34,DATE(2026,10,15)+G258/J258,IF(G258&lt;N258,DATE(2026,11,18)+(G258-J258*34)/(J258*L258),"after Nov 30")))</f>
        <v/>
      </c>
      <c r="Q258" s="60">
        <f>IF(J258=0,"",IF(G258+H258&lt;J258*34,DATE(2026,10,15)+(G258+H258)/J258,IF(G258+H258&lt;N258,DATE(2026,11,18)+(G258+H258-J258*34)/(J258*L258),"after Nov 30")))</f>
        <v/>
      </c>
      <c r="R258" s="54">
        <f>IF(AND(G258&lt;=0,J258&gt;0),"Out of stock now",IF(G258&gt;=N258,"Covered to Nov 30",IF(G258+H258&gt;=N258,"Needs inbound in time","Short even with inbound")))</f>
        <v/>
      </c>
      <c r="S258" s="57" t="n">
        <v>0</v>
      </c>
      <c r="T258" s="59">
        <f>IF(S258="","",S258*34+S258*L258*12)</f>
        <v/>
      </c>
    </row>
    <row r="259">
      <c r="A259" s="54" t="inlineStr">
        <is>
          <t>US DC B6</t>
        </is>
      </c>
      <c r="B259" s="54" t="inlineStr">
        <is>
          <t>US</t>
        </is>
      </c>
      <c r="C259" s="54" t="inlineStr">
        <is>
          <t>B0CQ2YWCB3</t>
        </is>
      </c>
      <c r="D259" s="54" t="inlineStr">
        <is>
          <t>BAMBOO-TWIN-LIGHTOLIVE-6PCS</t>
        </is>
      </c>
      <c r="E259" s="54" t="inlineStr">
        <is>
          <t>Twin</t>
        </is>
      </c>
      <c r="F259" s="54" t="inlineStr">
        <is>
          <t>Light Olive</t>
        </is>
      </c>
      <c r="G259" s="55" t="n">
        <v>25</v>
      </c>
      <c r="H259" s="55" t="n">
        <v>30</v>
      </c>
      <c r="I259" s="56" t="inlineStr">
        <is>
          <t>FBA19SV5KWMR ready to ship: 6; FBA19RS1HC4F shipped: 6; FBA19RRY6QFT shipped: 6; FBA19RS0N5K2 shipped: 6; FBA19RRYCGHJ shipped: 6; FBA19RRY5FBL shipped: 6</t>
        </is>
      </c>
      <c r="J259" s="57" t="n">
        <v>0.04</v>
      </c>
      <c r="K259" s="56" t="inlineStr">
        <is>
          <t>account data velocity</t>
        </is>
      </c>
      <c r="L259" s="58" t="n">
        <v>2.4883</v>
      </c>
      <c r="M259" s="56" t="inlineStr">
        <is>
          <t>own BFCM 2025 lift (account data)</t>
        </is>
      </c>
      <c r="N259" s="59">
        <f>J259*34+J259*L259*12</f>
        <v/>
      </c>
      <c r="O259" s="59">
        <f>MAX(0,N259-G259-H259)</f>
        <v/>
      </c>
      <c r="P259" s="60">
        <f>IF(J259=0,"",IF(G259&lt;J259*34,DATE(2026,10,15)+G259/J259,IF(G259&lt;N259,DATE(2026,11,18)+(G259-J259*34)/(J259*L259),"after Nov 30")))</f>
        <v/>
      </c>
      <c r="Q259" s="60">
        <f>IF(J259=0,"",IF(G259+H259&lt;J259*34,DATE(2026,10,15)+(G259+H259)/J259,IF(G259+H259&lt;N259,DATE(2026,11,18)+(G259+H259-J259*34)/(J259*L259),"after Nov 30")))</f>
        <v/>
      </c>
      <c r="R259" s="54">
        <f>IF(AND(G259&lt;=0,J259&gt;0),"Out of stock now",IF(G259&gt;=N259,"Covered to Nov 30",IF(G259+H259&gt;=N259,"Needs inbound in time","Short even with inbound")))</f>
        <v/>
      </c>
      <c r="S259" s="57" t="n">
        <v>0.07099999999999999</v>
      </c>
      <c r="T259" s="59">
        <f>IF(S259="","",S259*34+S259*L259*12)</f>
        <v/>
      </c>
    </row>
    <row r="260">
      <c r="A260" s="54" t="inlineStr">
        <is>
          <t>US DC B6</t>
        </is>
      </c>
      <c r="B260" s="54" t="inlineStr">
        <is>
          <t>US</t>
        </is>
      </c>
      <c r="C260" s="54" t="inlineStr">
        <is>
          <t>B0CQ32JTTK</t>
        </is>
      </c>
      <c r="D260" s="54" t="inlineStr">
        <is>
          <t>BAMBOO-CALIFKING-CHARCOAL-6PCS</t>
        </is>
      </c>
      <c r="E260" s="54" t="inlineStr">
        <is>
          <t>California King</t>
        </is>
      </c>
      <c r="F260" s="54" t="inlineStr">
        <is>
          <t>Charcoal</t>
        </is>
      </c>
      <c r="G260" s="55" t="n">
        <v>8</v>
      </c>
      <c r="H260" s="55" t="n">
        <v>64</v>
      </c>
      <c r="I260" s="56" t="inlineStr">
        <is>
          <t>FBA19SV5KWMR ready to ship: 4; FBA19STZ9LHZ ready to ship: 4; FBA19STRJMC3 ready to ship: 4; FBA19SV47PX1 ready to ship: 4; FBA19SV1CLVT ready to ship: 4; FBA19STYQSF4 ready to ship: 4; FBA19QLJLR1F shipped: 12; FBA19QLKCVBW shipped: 8; FBA19QLK9CYH shipped: 8; FBA19QLKHC6Q shipped: 4; FBA19QLJ0ZP4 shipped: 8; FBA19P55072C in transit: 4</t>
        </is>
      </c>
      <c r="J260" s="57" t="n">
        <v>0.03</v>
      </c>
      <c r="K260" s="56" t="inlineStr">
        <is>
          <t>account data velocity</t>
        </is>
      </c>
      <c r="L260" s="58" t="n">
        <v>2.4883</v>
      </c>
      <c r="M260" s="56" t="inlineStr">
        <is>
          <t>own BFCM 2025 lift (account data)</t>
        </is>
      </c>
      <c r="N260" s="59">
        <f>J260*34+J260*L260*12</f>
        <v/>
      </c>
      <c r="O260" s="59">
        <f>MAX(0,N260-G260-H260)</f>
        <v/>
      </c>
      <c r="P260" s="60">
        <f>IF(J260=0,"",IF(G260&lt;J260*34,DATE(2026,10,15)+G260/J260,IF(G260&lt;N260,DATE(2026,11,18)+(G260-J260*34)/(J260*L260),"after Nov 30")))</f>
        <v/>
      </c>
      <c r="Q260" s="60">
        <f>IF(J260=0,"",IF(G260+H260&lt;J260*34,DATE(2026,10,15)+(G260+H260)/J260,IF(G260+H260&lt;N260,DATE(2026,11,18)+(G260+H260-J260*34)/(J260*L260),"after Nov 30")))</f>
        <v/>
      </c>
      <c r="R260" s="54">
        <f>IF(AND(G260&lt;=0,J260&gt;0),"Out of stock now",IF(G260&gt;=N260,"Covered to Nov 30",IF(G260+H260&gt;=N260,"Needs inbound in time","Short even with inbound")))</f>
        <v/>
      </c>
      <c r="S260" s="57" t="n">
        <v>0</v>
      </c>
      <c r="T260" s="59">
        <f>IF(S260="","",S260*34+S260*L260*12)</f>
        <v/>
      </c>
    </row>
    <row r="261">
      <c r="A261" s="54" t="inlineStr">
        <is>
          <t>US DC B6</t>
        </is>
      </c>
      <c r="B261" s="54" t="inlineStr">
        <is>
          <t>US</t>
        </is>
      </c>
      <c r="C261" s="54" t="inlineStr">
        <is>
          <t>B0CQ31X7S5</t>
        </is>
      </c>
      <c r="D261" s="54" t="inlineStr">
        <is>
          <t>BAMBOO-CALIFKING-LIGHTGREY-6PCS</t>
        </is>
      </c>
      <c r="E261" s="54" t="inlineStr">
        <is>
          <t>California King</t>
        </is>
      </c>
      <c r="F261" s="54" t="inlineStr">
        <is>
          <t>Light Grey</t>
        </is>
      </c>
      <c r="G261" s="55" t="n">
        <v>19</v>
      </c>
      <c r="H261" s="55" t="n">
        <v>24</v>
      </c>
      <c r="I261" s="56" t="inlineStr">
        <is>
          <t>FBA19RS1HC4F shipped: 4; FBA19RRY6QFT shipped: 4; FBA19RS0N5K2 shipped: 8; FBA19RRYCGHJ shipped: 4; FBA19RRY5FBL shipped: 4</t>
        </is>
      </c>
      <c r="J261" s="57" t="n">
        <v>0</v>
      </c>
      <c r="K261" s="56" t="inlineStr">
        <is>
          <t>account data velocity</t>
        </is>
      </c>
      <c r="L261" s="58" t="n">
        <v>2.4883</v>
      </c>
      <c r="M261" s="56" t="inlineStr">
        <is>
          <t>own BFCM 2025 lift (account data)</t>
        </is>
      </c>
      <c r="N261" s="59">
        <f>J261*34+J261*L261*12</f>
        <v/>
      </c>
      <c r="O261" s="59">
        <f>MAX(0,N261-G261-H261)</f>
        <v/>
      </c>
      <c r="P261" s="60">
        <f>IF(J261=0,"",IF(G261&lt;J261*34,DATE(2026,10,15)+G261/J261,IF(G261&lt;N261,DATE(2026,11,18)+(G261-J261*34)/(J261*L261),"after Nov 30")))</f>
        <v/>
      </c>
      <c r="Q261" s="60">
        <f>IF(J261=0,"",IF(G261+H261&lt;J261*34,DATE(2026,10,15)+(G261+H261)/J261,IF(G261+H261&lt;N261,DATE(2026,11,18)+(G261+H261-J261*34)/(J261*L261),"after Nov 30")))</f>
        <v/>
      </c>
      <c r="R261" s="54">
        <f>IF(AND(G261&lt;=0,J261&gt;0),"Out of stock now",IF(G261&gt;=N261,"Covered to Nov 30",IF(G261+H261&gt;=N261,"Needs inbound in time","Short even with inbound")))</f>
        <v/>
      </c>
      <c r="S261" s="57" t="n">
        <v>0</v>
      </c>
      <c r="T261" s="59">
        <f>IF(S261="","",S261*34+S261*L261*12)</f>
        <v/>
      </c>
    </row>
    <row r="262">
      <c r="A262" s="54" t="inlineStr">
        <is>
          <t>US DC B6</t>
        </is>
      </c>
      <c r="B262" s="54" t="inlineStr">
        <is>
          <t>US</t>
        </is>
      </c>
      <c r="C262" s="54" t="inlineStr">
        <is>
          <t>B0CQ32CNNX</t>
        </is>
      </c>
      <c r="D262" s="54" t="inlineStr">
        <is>
          <t>BAMBOO-CALIFKING-PURPLE-6PCS</t>
        </is>
      </c>
      <c r="E262" s="54" t="inlineStr">
        <is>
          <t>California King</t>
        </is>
      </c>
      <c r="F262" s="54" t="inlineStr">
        <is>
          <t>Purple</t>
        </is>
      </c>
      <c r="G262" s="55" t="n">
        <v>0</v>
      </c>
      <c r="H262" s="55" t="n">
        <v>40</v>
      </c>
      <c r="I262" s="56" t="inlineStr">
        <is>
          <t>FBA19SV5KWMR ready to ship: 12; FBA19QLJLR1F shipped: 12; FBA19QLKCVBW shipped: 8; FBA19QLK9CYH shipped: 8; FBA19QLKHC6Q shipped: 4; FBA19QLJ0ZP4 shipped: 8</t>
        </is>
      </c>
      <c r="J262" s="57" t="n">
        <v>0</v>
      </c>
      <c r="K262" s="56" t="inlineStr">
        <is>
          <t>account data velocity</t>
        </is>
      </c>
      <c r="L262" s="58" t="n">
        <v>2.4883</v>
      </c>
      <c r="M262" s="56" t="inlineStr">
        <is>
          <t>own BFCM 2025 lift (account data)</t>
        </is>
      </c>
      <c r="N262" s="59">
        <f>J262*34+J262*L262*12</f>
        <v/>
      </c>
      <c r="O262" s="59">
        <f>MAX(0,N262-G262-H262)</f>
        <v/>
      </c>
      <c r="P262" s="60">
        <f>IF(J262=0,"",IF(G262&lt;J262*34,DATE(2026,10,15)+G262/J262,IF(G262&lt;N262,DATE(2026,11,18)+(G262-J262*34)/(J262*L262),"after Nov 30")))</f>
        <v/>
      </c>
      <c r="Q262" s="60">
        <f>IF(J262=0,"",IF(G262+H262&lt;J262*34,DATE(2026,10,15)+(G262+H262)/J262,IF(G262+H262&lt;N262,DATE(2026,11,18)+(G262+H262-J262*34)/(J262*L262),"after Nov 30")))</f>
        <v/>
      </c>
      <c r="R262" s="54">
        <f>IF(AND(G262&lt;=0,J262&gt;0),"Out of stock now",IF(G262&gt;=N262,"Covered to Nov 30",IF(G262+H262&gt;=N262,"Needs inbound in time","Short even with inbound")))</f>
        <v/>
      </c>
      <c r="S262" s="57" t="n"/>
      <c r="T262" s="59">
        <f>IF(S262="","",S262*34+S262*L262*12)</f>
        <v/>
      </c>
    </row>
    <row r="263">
      <c r="A263" s="54" t="inlineStr">
        <is>
          <t>US DC B6</t>
        </is>
      </c>
      <c r="B263" s="54" t="inlineStr">
        <is>
          <t>US</t>
        </is>
      </c>
      <c r="C263" s="54" t="inlineStr">
        <is>
          <t>B0HCZLGTWV</t>
        </is>
      </c>
      <c r="D263" s="54" t="inlineStr">
        <is>
          <t>BAMBOO-FULL-LIGHTBLUE-6PC</t>
        </is>
      </c>
      <c r="E263" s="54" t="inlineStr">
        <is>
          <t>Full</t>
        </is>
      </c>
      <c r="F263" s="54" t="inlineStr">
        <is>
          <t>Light Blue</t>
        </is>
      </c>
      <c r="G263" s="55" t="n">
        <v>0</v>
      </c>
      <c r="H263" s="55" t="n">
        <v>60</v>
      </c>
      <c r="I263" s="56" t="inlineStr">
        <is>
          <t>FBA19RS1HC4F shipped: 6; FBA19RRY6QFT shipped: 6; FBA19RS0N5K2 shipped: 6; FBA19RRYCGHJ shipped: 6; FBA19RRY5FBL shipped: 6; FBA19QLJLR1F shipped: 6; FBA19QLKCVBW shipped: 6; FBA19QLK9CYH shipped: 6; FBA19QLKHC6Q shipped: 6; FBA19QLJ0ZP4 shipped: 6</t>
        </is>
      </c>
      <c r="J263" s="57" t="n">
        <v>0</v>
      </c>
      <c r="K263" s="56" t="inlineStr">
        <is>
          <t>account data velocity</t>
        </is>
      </c>
      <c r="L263" s="58" t="n">
        <v>2.4883</v>
      </c>
      <c r="M263" s="56" t="inlineStr">
        <is>
          <t>own BFCM 2025 lift (account data)</t>
        </is>
      </c>
      <c r="N263" s="59">
        <f>J263*34+J263*L263*12</f>
        <v/>
      </c>
      <c r="O263" s="59">
        <f>MAX(0,N263-G263-H263)</f>
        <v/>
      </c>
      <c r="P263" s="60">
        <f>IF(J263=0,"",IF(G263&lt;J263*34,DATE(2026,10,15)+G263/J263,IF(G263&lt;N263,DATE(2026,11,18)+(G263-J263*34)/(J263*L263),"after Nov 30")))</f>
        <v/>
      </c>
      <c r="Q263" s="60">
        <f>IF(J263=0,"",IF(G263+H263&lt;J263*34,DATE(2026,10,15)+(G263+H263)/J263,IF(G263+H263&lt;N263,DATE(2026,11,18)+(G263+H263-J263*34)/(J263*L263),"after Nov 30")))</f>
        <v/>
      </c>
      <c r="R263" s="54">
        <f>IF(AND(G263&lt;=0,J263&gt;0),"Out of stock now",IF(G263&gt;=N263,"Covered to Nov 30",IF(G263+H263&gt;=N263,"Needs inbound in time","Short even with inbound")))</f>
        <v/>
      </c>
      <c r="S263" s="57" t="n"/>
      <c r="T263" s="59">
        <f>IF(S263="","",S263*34+S263*L263*12)</f>
        <v/>
      </c>
    </row>
    <row r="264">
      <c r="A264" s="54" t="inlineStr">
        <is>
          <t>US DC B6</t>
        </is>
      </c>
      <c r="B264" s="54" t="inlineStr">
        <is>
          <t>US</t>
        </is>
      </c>
      <c r="C264" s="54" t="inlineStr">
        <is>
          <t>B0CQ32LWVD</t>
        </is>
      </c>
      <c r="D264" s="54" t="inlineStr">
        <is>
          <t>BAMBOO-TWIN-BURGUNDY-6PCS</t>
        </is>
      </c>
      <c r="E264" s="54" t="inlineStr">
        <is>
          <t>Twin</t>
        </is>
      </c>
      <c r="F264" s="54" t="inlineStr">
        <is>
          <t>Burgundy</t>
        </is>
      </c>
      <c r="G264" s="55" t="n">
        <v>0</v>
      </c>
      <c r="H264" s="55" t="n">
        <v>48</v>
      </c>
      <c r="I264" s="56" t="inlineStr">
        <is>
          <t>FBA19N82086K ready to ship: 12; FBA19QLJLR1F shipped: 6; FBA19QLKCVBW shipped: 6; FBA19QLK9CYH shipped: 6; FBA19QLKHC6Q shipped: 6; FBA19QLJ0ZP4 shipped: 6; FBA19N7XSBR9 in transit: 18</t>
        </is>
      </c>
      <c r="J264" s="57" t="n">
        <v>0</v>
      </c>
      <c r="K264" s="56" t="inlineStr">
        <is>
          <t>account data velocity</t>
        </is>
      </c>
      <c r="L264" s="58" t="n">
        <v>2.4883</v>
      </c>
      <c r="M264" s="56" t="inlineStr">
        <is>
          <t>own BFCM 2025 lift (account data)</t>
        </is>
      </c>
      <c r="N264" s="59">
        <f>J264*34+J264*L264*12</f>
        <v/>
      </c>
      <c r="O264" s="59">
        <f>MAX(0,N264-G264-H264)</f>
        <v/>
      </c>
      <c r="P264" s="60">
        <f>IF(J264=0,"",IF(G264&lt;J264*34,DATE(2026,10,15)+G264/J264,IF(G264&lt;N264,DATE(2026,11,18)+(G264-J264*34)/(J264*L264),"after Nov 30")))</f>
        <v/>
      </c>
      <c r="Q264" s="60">
        <f>IF(J264=0,"",IF(G264+H264&lt;J264*34,DATE(2026,10,15)+(G264+H264)/J264,IF(G264+H264&lt;N264,DATE(2026,11,18)+(G264+H264-J264*34)/(J264*L264),"after Nov 30")))</f>
        <v/>
      </c>
      <c r="R264" s="54">
        <f>IF(AND(G264&lt;=0,J264&gt;0),"Out of stock now",IF(G264&gt;=N264,"Covered to Nov 30",IF(G264+H264&gt;=N264,"Needs inbound in time","Short even with inbound")))</f>
        <v/>
      </c>
      <c r="S264" s="57" t="n">
        <v>0</v>
      </c>
      <c r="T264" s="59">
        <f>IF(S264="","",S264*34+S264*L264*12)</f>
        <v/>
      </c>
    </row>
    <row r="265">
      <c r="A265" s="54" t="inlineStr">
        <is>
          <t>US DC B6</t>
        </is>
      </c>
      <c r="B265" s="54" t="inlineStr">
        <is>
          <t>US</t>
        </is>
      </c>
      <c r="C265" s="54" t="inlineStr">
        <is>
          <t>B0CQ2ZVDC1</t>
        </is>
      </c>
      <c r="D265" s="54" t="inlineStr">
        <is>
          <t>BAMBOO-TWIN-CHARCOAL-6PCS</t>
        </is>
      </c>
      <c r="E265" s="54" t="inlineStr">
        <is>
          <t>Twin</t>
        </is>
      </c>
      <c r="F265" s="54" t="inlineStr">
        <is>
          <t>Charcoal</t>
        </is>
      </c>
      <c r="G265" s="55" t="n">
        <v>12</v>
      </c>
      <c r="H265" s="55" t="n">
        <v>48</v>
      </c>
      <c r="I265" s="56" t="inlineStr">
        <is>
          <t>FBA19STZ9LHZ ready to ship: 6; FBA19STRJMC3 ready to ship: 6; FBA19SV47PX1 ready to ship: 6; FBA19SV1CLVT ready to ship: 6; FBA19STYQSF4 ready to ship: 6; FBA19N7WSG18 in transit: 6; FBA19N7RP6W7 in transit: 6; FBA19N7RQF4Q ready to ship: 6</t>
        </is>
      </c>
      <c r="J265" s="57" t="n">
        <v>0</v>
      </c>
      <c r="K265" s="56" t="inlineStr">
        <is>
          <t>account data velocity</t>
        </is>
      </c>
      <c r="L265" s="58" t="n">
        <v>2.4883</v>
      </c>
      <c r="M265" s="56" t="inlineStr">
        <is>
          <t>own BFCM 2025 lift (account data)</t>
        </is>
      </c>
      <c r="N265" s="59">
        <f>J265*34+J265*L265*12</f>
        <v/>
      </c>
      <c r="O265" s="59">
        <f>MAX(0,N265-G265-H265)</f>
        <v/>
      </c>
      <c r="P265" s="60">
        <f>IF(J265=0,"",IF(G265&lt;J265*34,DATE(2026,10,15)+G265/J265,IF(G265&lt;N265,DATE(2026,11,18)+(G265-J265*34)/(J265*L265),"after Nov 30")))</f>
        <v/>
      </c>
      <c r="Q265" s="60">
        <f>IF(J265=0,"",IF(G265+H265&lt;J265*34,DATE(2026,10,15)+(G265+H265)/J265,IF(G265+H265&lt;N265,DATE(2026,11,18)+(G265+H265-J265*34)/(J265*L265),"after Nov 30")))</f>
        <v/>
      </c>
      <c r="R265" s="54">
        <f>IF(AND(G265&lt;=0,J265&gt;0),"Out of stock now",IF(G265&gt;=N265,"Covered to Nov 30",IF(G265+H265&gt;=N265,"Needs inbound in time","Short even with inbound")))</f>
        <v/>
      </c>
      <c r="S265" s="57" t="n"/>
      <c r="T265" s="59">
        <f>IF(S265="","",S265*34+S265*L265*12)</f>
        <v/>
      </c>
    </row>
    <row r="266">
      <c r="A266" s="54" t="inlineStr">
        <is>
          <t>US DC B6</t>
        </is>
      </c>
      <c r="B266" s="54" t="inlineStr">
        <is>
          <t>US</t>
        </is>
      </c>
      <c r="C266" s="54" t="inlineStr">
        <is>
          <t>B0CQ2ZZZ42</t>
        </is>
      </c>
      <c r="D266" s="54" t="inlineStr">
        <is>
          <t>BAMBOO-TWIN-CREME-6PCS</t>
        </is>
      </c>
      <c r="E266" s="54" t="inlineStr">
        <is>
          <t>Twin</t>
        </is>
      </c>
      <c r="F266" s="54" t="inlineStr">
        <is>
          <t>Creme</t>
        </is>
      </c>
      <c r="G266" s="55" t="n">
        <v>18</v>
      </c>
      <c r="H266" s="55" t="n">
        <v>0</v>
      </c>
      <c r="I266" s="56" t="n"/>
      <c r="J266" s="57" t="n">
        <v>0</v>
      </c>
      <c r="K266" s="56" t="inlineStr">
        <is>
          <t>account data velocity</t>
        </is>
      </c>
      <c r="L266" s="58" t="n">
        <v>2.4883</v>
      </c>
      <c r="M266" s="56" t="inlineStr">
        <is>
          <t>own BFCM 2025 lift (account data)</t>
        </is>
      </c>
      <c r="N266" s="59">
        <f>J266*34+J266*L266*12</f>
        <v/>
      </c>
      <c r="O266" s="59">
        <f>MAX(0,N266-G266-H266)</f>
        <v/>
      </c>
      <c r="P266" s="60">
        <f>IF(J266=0,"",IF(G266&lt;J266*34,DATE(2026,10,15)+G266/J266,IF(G266&lt;N266,DATE(2026,11,18)+(G266-J266*34)/(J266*L266),"after Nov 30")))</f>
        <v/>
      </c>
      <c r="Q266" s="60">
        <f>IF(J266=0,"",IF(G266+H266&lt;J266*34,DATE(2026,10,15)+(G266+H266)/J266,IF(G266+H266&lt;N266,DATE(2026,11,18)+(G266+H266-J266*34)/(J266*L266),"after Nov 30")))</f>
        <v/>
      </c>
      <c r="R266" s="54">
        <f>IF(AND(G266&lt;=0,J266&gt;0),"Out of stock now",IF(G266&gt;=N266,"Covered to Nov 30",IF(G266+H266&gt;=N266,"Needs inbound in time","Short even with inbound")))</f>
        <v/>
      </c>
      <c r="S266" s="57" t="n">
        <v>0</v>
      </c>
      <c r="T266" s="59">
        <f>IF(S266="","",S266*34+S266*L266*12)</f>
        <v/>
      </c>
    </row>
    <row r="267">
      <c r="A267" s="54" t="inlineStr">
        <is>
          <t>US DC B6</t>
        </is>
      </c>
      <c r="B267" s="54" t="inlineStr">
        <is>
          <t>US</t>
        </is>
      </c>
      <c r="C267" s="54" t="inlineStr">
        <is>
          <t>B0CQ33BH1K</t>
        </is>
      </c>
      <c r="D267" s="54" t="inlineStr">
        <is>
          <t>BAMBOO-TWIN-LIGHT PINK-6PCS</t>
        </is>
      </c>
      <c r="E267" s="54" t="inlineStr">
        <is>
          <t>Twin</t>
        </is>
      </c>
      <c r="F267" s="54" t="inlineStr">
        <is>
          <t>Light Pink</t>
        </is>
      </c>
      <c r="G267" s="55" t="n">
        <v>6</v>
      </c>
      <c r="H267" s="55" t="n">
        <v>12</v>
      </c>
      <c r="I267" s="56" t="inlineStr">
        <is>
          <t>FBA19N82086K ready to ship: 6; FBA19P55072C in transit: 6; FBA19N7XSBR9 in transit: 6</t>
        </is>
      </c>
      <c r="J267" s="57" t="n">
        <v>0</v>
      </c>
      <c r="K267" s="56" t="inlineStr">
        <is>
          <t>account data velocity</t>
        </is>
      </c>
      <c r="L267" s="58" t="n">
        <v>2.4883</v>
      </c>
      <c r="M267" s="56" t="inlineStr">
        <is>
          <t>own BFCM 2025 lift (account data)</t>
        </is>
      </c>
      <c r="N267" s="59">
        <f>J267*34+J267*L267*12</f>
        <v/>
      </c>
      <c r="O267" s="59">
        <f>MAX(0,N267-G267-H267)</f>
        <v/>
      </c>
      <c r="P267" s="60">
        <f>IF(J267=0,"",IF(G267&lt;J267*34,DATE(2026,10,15)+G267/J267,IF(G267&lt;N267,DATE(2026,11,18)+(G267-J267*34)/(J267*L267),"after Nov 30")))</f>
        <v/>
      </c>
      <c r="Q267" s="60">
        <f>IF(J267=0,"",IF(G267+H267&lt;J267*34,DATE(2026,10,15)+(G267+H267)/J267,IF(G267+H267&lt;N267,DATE(2026,11,18)+(G267+H267-J267*34)/(J267*L267),"after Nov 30")))</f>
        <v/>
      </c>
      <c r="R267" s="54">
        <f>IF(AND(G267&lt;=0,J267&gt;0),"Out of stock now",IF(G267&gt;=N267,"Covered to Nov 30",IF(G267+H267&gt;=N267,"Needs inbound in time","Short even with inbound")))</f>
        <v/>
      </c>
      <c r="S267" s="57" t="n"/>
      <c r="T267" s="59">
        <f>IF(S267="","",S267*34+S267*L267*12)</f>
        <v/>
      </c>
    </row>
    <row r="268">
      <c r="A268" s="54" t="inlineStr">
        <is>
          <t>CA DC B6</t>
        </is>
      </c>
      <c r="B268" s="54" t="inlineStr">
        <is>
          <t>CA</t>
        </is>
      </c>
      <c r="C268" s="54" t="inlineStr">
        <is>
          <t>B0CQ2ZWGNQ</t>
        </is>
      </c>
      <c r="D268" s="54" t="inlineStr">
        <is>
          <t>BAMBOO-QUEEN-WHITE-6PCS</t>
        </is>
      </c>
      <c r="E268" s="54" t="inlineStr">
        <is>
          <t>Queen</t>
        </is>
      </c>
      <c r="F268" s="54" t="inlineStr">
        <is>
          <t>White</t>
        </is>
      </c>
      <c r="G268" s="55" t="n">
        <v>0</v>
      </c>
      <c r="H268" s="55" t="n">
        <v>0</v>
      </c>
      <c r="I268" s="56" t="inlineStr">
        <is>
          <t>FBA19QLVD3FK shipped: 336</t>
        </is>
      </c>
      <c r="J268" s="57" t="n">
        <v>2.65</v>
      </c>
      <c r="K268" s="56" t="inlineStr">
        <is>
          <t>account data velocity</t>
        </is>
      </c>
      <c r="L268" s="58" t="n">
        <v>3.0688</v>
      </c>
      <c r="M268" s="56" t="inlineStr">
        <is>
          <t>own BFCM 2025 lift (account data)</t>
        </is>
      </c>
      <c r="N268" s="59">
        <f>J268*34+J268*L268*12</f>
        <v/>
      </c>
      <c r="O268" s="59">
        <f>MAX(0,N268-G268-H268)</f>
        <v/>
      </c>
      <c r="P268" s="60">
        <f>IF(J268=0,"",IF(G268&lt;J268*34,DATE(2026,10,15)+G268/J268,IF(G268&lt;N268,DATE(2026,11,18)+(G268-J268*34)/(J268*L268),"after Nov 30")))</f>
        <v/>
      </c>
      <c r="Q268" s="60">
        <f>IF(J268=0,"",IF(G268+H268&lt;J268*34,DATE(2026,10,15)+(G268+H268)/J268,IF(G268+H268&lt;N268,DATE(2026,11,18)+(G268+H268-J268*34)/(J268*L268),"after Nov 30")))</f>
        <v/>
      </c>
      <c r="R268" s="54">
        <f>IF(AND(G268&lt;=0,J268&gt;0),"Out of stock now",IF(G268&gt;=N268,"Covered to Nov 30",IF(G268+H268&gt;=N268,"Needs inbound in time","Short even with inbound")))</f>
        <v/>
      </c>
      <c r="S268" s="57" t="n">
        <v>1.607</v>
      </c>
      <c r="T268" s="59">
        <f>IF(S268="","",S268*34+S268*L268*12)</f>
        <v/>
      </c>
    </row>
    <row r="269">
      <c r="A269" s="54" t="inlineStr">
        <is>
          <t>CA DC B6</t>
        </is>
      </c>
      <c r="B269" s="54" t="inlineStr">
        <is>
          <t>CA</t>
        </is>
      </c>
      <c r="C269" s="54" t="inlineStr">
        <is>
          <t>B0CQ2XQF9N</t>
        </is>
      </c>
      <c r="D269" s="54" t="inlineStr">
        <is>
          <t>BAMBOO-KING-WHITE-6PCS</t>
        </is>
      </c>
      <c r="E269" s="54" t="inlineStr">
        <is>
          <t>King</t>
        </is>
      </c>
      <c r="F269" s="54" t="inlineStr">
        <is>
          <t>White</t>
        </is>
      </c>
      <c r="G269" s="55" t="n">
        <v>237</v>
      </c>
      <c r="H269" s="55" t="n">
        <v>104</v>
      </c>
      <c r="I269" s="56" t="inlineStr">
        <is>
          <t>FBA19QLVD3FK shipped: 104</t>
        </is>
      </c>
      <c r="J269" s="57" t="n">
        <v>2.62</v>
      </c>
      <c r="K269" s="56" t="inlineStr">
        <is>
          <t>account data velocity</t>
        </is>
      </c>
      <c r="L269" s="58" t="n">
        <v>3.0688</v>
      </c>
      <c r="M269" s="56" t="inlineStr">
        <is>
          <t>own BFCM 2025 lift (account data)</t>
        </is>
      </c>
      <c r="N269" s="59">
        <f>J269*34+J269*L269*12</f>
        <v/>
      </c>
      <c r="O269" s="59">
        <f>MAX(0,N269-G269-H269)</f>
        <v/>
      </c>
      <c r="P269" s="60">
        <f>IF(J269=0,"",IF(G269&lt;J269*34,DATE(2026,10,15)+G269/J269,IF(G269&lt;N269,DATE(2026,11,18)+(G269-J269*34)/(J269*L269),"after Nov 30")))</f>
        <v/>
      </c>
      <c r="Q269" s="60">
        <f>IF(J269=0,"",IF(G269+H269&lt;J269*34,DATE(2026,10,15)+(G269+H269)/J269,IF(G269+H269&lt;N269,DATE(2026,11,18)+(G269+H269-J269*34)/(J269*L269),"after Nov 30")))</f>
        <v/>
      </c>
      <c r="R269" s="54">
        <f>IF(AND(G269&lt;=0,J269&gt;0),"Out of stock now",IF(G269&gt;=N269,"Covered to Nov 30",IF(G269+H269&gt;=N269,"Needs inbound in time","Short even with inbound")))</f>
        <v/>
      </c>
      <c r="S269" s="57" t="n">
        <v>2.357</v>
      </c>
      <c r="T269" s="59">
        <f>IF(S269="","",S269*34+S269*L269*12)</f>
        <v/>
      </c>
    </row>
    <row r="270">
      <c r="A270" s="54" t="inlineStr">
        <is>
          <t>CA DC B6</t>
        </is>
      </c>
      <c r="B270" s="54" t="inlineStr">
        <is>
          <t>CA</t>
        </is>
      </c>
      <c r="C270" s="54" t="inlineStr">
        <is>
          <t>B0CQ3178D7</t>
        </is>
      </c>
      <c r="D270" s="54" t="inlineStr">
        <is>
          <t>BAMBOO-KING-TAUPE-6PCS</t>
        </is>
      </c>
      <c r="E270" s="54" t="inlineStr">
        <is>
          <t>King</t>
        </is>
      </c>
      <c r="F270" s="54" t="inlineStr">
        <is>
          <t>Taupe</t>
        </is>
      </c>
      <c r="G270" s="55" t="n">
        <v>144</v>
      </c>
      <c r="H270" s="55" t="n">
        <v>9</v>
      </c>
      <c r="I270" s="56" t="inlineStr">
        <is>
          <t>FBA19JVC0PQT receiving: 1</t>
        </is>
      </c>
      <c r="J270" s="57" t="n">
        <v>2.4</v>
      </c>
      <c r="K270" s="56" t="inlineStr">
        <is>
          <t>account data velocity</t>
        </is>
      </c>
      <c r="L270" s="58" t="n">
        <v>3.0688</v>
      </c>
      <c r="M270" s="56" t="inlineStr">
        <is>
          <t>own BFCM 2025 lift (account data)</t>
        </is>
      </c>
      <c r="N270" s="59">
        <f>J270*34+J270*L270*12</f>
        <v/>
      </c>
      <c r="O270" s="59">
        <f>MAX(0,N270-G270-H270)</f>
        <v/>
      </c>
      <c r="P270" s="60">
        <f>IF(J270=0,"",IF(G270&lt;J270*34,DATE(2026,10,15)+G270/J270,IF(G270&lt;N270,DATE(2026,11,18)+(G270-J270*34)/(J270*L270),"after Nov 30")))</f>
        <v/>
      </c>
      <c r="Q270" s="60">
        <f>IF(J270=0,"",IF(G270+H270&lt;J270*34,DATE(2026,10,15)+(G270+H270)/J270,IF(G270+H270&lt;N270,DATE(2026,11,18)+(G270+H270-J270*34)/(J270*L270),"after Nov 30")))</f>
        <v/>
      </c>
      <c r="R270" s="54">
        <f>IF(AND(G270&lt;=0,J270&gt;0),"Out of stock now",IF(G270&gt;=N270,"Covered to Nov 30",IF(G270+H270&gt;=N270,"Needs inbound in time","Short even with inbound")))</f>
        <v/>
      </c>
      <c r="S270" s="57" t="n">
        <v>2.071</v>
      </c>
      <c r="T270" s="59">
        <f>IF(S270="","",S270*34+S270*L270*12)</f>
        <v/>
      </c>
    </row>
    <row r="271">
      <c r="A271" s="54" t="inlineStr">
        <is>
          <t>CA DC B6</t>
        </is>
      </c>
      <c r="B271" s="54" t="inlineStr">
        <is>
          <t>CA</t>
        </is>
      </c>
      <c r="C271" s="54" t="inlineStr">
        <is>
          <t>B0CQ3199ZV</t>
        </is>
      </c>
      <c r="D271" s="54" t="inlineStr">
        <is>
          <t>BAMBOO-FULL-BURGUNDY-6PCS</t>
        </is>
      </c>
      <c r="E271" s="54" t="inlineStr">
        <is>
          <t>Full</t>
        </is>
      </c>
      <c r="F271" s="54" t="inlineStr">
        <is>
          <t>Burgundy</t>
        </is>
      </c>
      <c r="G271" s="55" t="n">
        <v>0</v>
      </c>
      <c r="H271" s="55" t="n">
        <v>0</v>
      </c>
      <c r="I271" s="56" t="inlineStr">
        <is>
          <t>FBA19QLVD3FK shipped: 36</t>
        </is>
      </c>
      <c r="J271" s="57" t="n">
        <v>2.4</v>
      </c>
      <c r="K271" s="56" t="inlineStr">
        <is>
          <t>account data velocity</t>
        </is>
      </c>
      <c r="L271" s="58" t="n">
        <v>3.0688</v>
      </c>
      <c r="M271" s="56" t="inlineStr">
        <is>
          <t>own BFCM 2025 lift (account data)</t>
        </is>
      </c>
      <c r="N271" s="59">
        <f>J271*34+J271*L271*12</f>
        <v/>
      </c>
      <c r="O271" s="59">
        <f>MAX(0,N271-G271-H271)</f>
        <v/>
      </c>
      <c r="P271" s="60">
        <f>IF(J271=0,"",IF(G271&lt;J271*34,DATE(2026,10,15)+G271/J271,IF(G271&lt;N271,DATE(2026,11,18)+(G271-J271*34)/(J271*L271),"after Nov 30")))</f>
        <v/>
      </c>
      <c r="Q271" s="60">
        <f>IF(J271=0,"",IF(G271+H271&lt;J271*34,DATE(2026,10,15)+(G271+H271)/J271,IF(G271+H271&lt;N271,DATE(2026,11,18)+(G271+H271-J271*34)/(J271*L271),"after Nov 30")))</f>
        <v/>
      </c>
      <c r="R271" s="54">
        <f>IF(AND(G271&lt;=0,J271&gt;0),"Out of stock now",IF(G271&gt;=N271,"Covered to Nov 30",IF(G271+H271&gt;=N271,"Needs inbound in time","Short even with inbound")))</f>
        <v/>
      </c>
      <c r="S271" s="57" t="n">
        <v>0.143</v>
      </c>
      <c r="T271" s="59">
        <f>IF(S271="","",S271*34+S271*L271*12)</f>
        <v/>
      </c>
    </row>
    <row r="272">
      <c r="A272" s="54" t="inlineStr">
        <is>
          <t>CA DC B6</t>
        </is>
      </c>
      <c r="B272" s="54" t="inlineStr">
        <is>
          <t>CA</t>
        </is>
      </c>
      <c r="C272" s="54" t="inlineStr">
        <is>
          <t>B0CQ32S4MW</t>
        </is>
      </c>
      <c r="D272" s="54" t="inlineStr">
        <is>
          <t>BAMBOO-FULL-LIGHT PINK-6PCS</t>
        </is>
      </c>
      <c r="E272" s="54" t="inlineStr">
        <is>
          <t>Full</t>
        </is>
      </c>
      <c r="F272" s="54" t="inlineStr">
        <is>
          <t>Light Pink</t>
        </is>
      </c>
      <c r="G272" s="55" t="n">
        <v>0</v>
      </c>
      <c r="H272" s="55" t="n">
        <v>0</v>
      </c>
      <c r="I272" s="56" t="inlineStr">
        <is>
          <t>FBA19QLVD3FK shipped: 12</t>
        </is>
      </c>
      <c r="J272" s="57" t="n">
        <v>2.4</v>
      </c>
      <c r="K272" s="56" t="inlineStr">
        <is>
          <t>account data velocity</t>
        </is>
      </c>
      <c r="L272" s="58" t="n">
        <v>3.0688</v>
      </c>
      <c r="M272" s="56" t="inlineStr">
        <is>
          <t>own BFCM 2025 lift (account data)</t>
        </is>
      </c>
      <c r="N272" s="59">
        <f>J272*34+J272*L272*12</f>
        <v/>
      </c>
      <c r="O272" s="59">
        <f>MAX(0,N272-G272-H272)</f>
        <v/>
      </c>
      <c r="P272" s="60">
        <f>IF(J272=0,"",IF(G272&lt;J272*34,DATE(2026,10,15)+G272/J272,IF(G272&lt;N272,DATE(2026,11,18)+(G272-J272*34)/(J272*L272),"after Nov 30")))</f>
        <v/>
      </c>
      <c r="Q272" s="60">
        <f>IF(J272=0,"",IF(G272+H272&lt;J272*34,DATE(2026,10,15)+(G272+H272)/J272,IF(G272+H272&lt;N272,DATE(2026,11,18)+(G272+H272-J272*34)/(J272*L272),"after Nov 30")))</f>
        <v/>
      </c>
      <c r="R272" s="54">
        <f>IF(AND(G272&lt;=0,J272&gt;0),"Out of stock now",IF(G272&gt;=N272,"Covered to Nov 30",IF(G272+H272&gt;=N272,"Needs inbound in time","Short even with inbound")))</f>
        <v/>
      </c>
      <c r="S272" s="57" t="n">
        <v>0.107</v>
      </c>
      <c r="T272" s="59">
        <f>IF(S272="","",S272*34+S272*L272*12)</f>
        <v/>
      </c>
    </row>
    <row r="273">
      <c r="A273" s="54" t="inlineStr">
        <is>
          <t>CA DC B6</t>
        </is>
      </c>
      <c r="B273" s="54" t="inlineStr">
        <is>
          <t>CA</t>
        </is>
      </c>
      <c r="C273" s="54" t="inlineStr">
        <is>
          <t>B0CQ33198K</t>
        </is>
      </c>
      <c r="D273" s="54" t="inlineStr">
        <is>
          <t>BAMBOO-QUEEN-TAUPE-6PCS</t>
        </is>
      </c>
      <c r="E273" s="54" t="inlineStr">
        <is>
          <t>Queen</t>
        </is>
      </c>
      <c r="F273" s="54" t="inlineStr">
        <is>
          <t>Taupe</t>
        </is>
      </c>
      <c r="G273" s="55" t="n">
        <v>40</v>
      </c>
      <c r="H273" s="55" t="n">
        <v>6</v>
      </c>
      <c r="I273" s="56" t="n"/>
      <c r="J273" s="57" t="n">
        <v>1.52</v>
      </c>
      <c r="K273" s="56" t="inlineStr">
        <is>
          <t>account data velocity</t>
        </is>
      </c>
      <c r="L273" s="58" t="n">
        <v>3.0688</v>
      </c>
      <c r="M273" s="56" t="inlineStr">
        <is>
          <t>own BFCM 2025 lift (account data)</t>
        </is>
      </c>
      <c r="N273" s="59">
        <f>J273*34+J273*L273*12</f>
        <v/>
      </c>
      <c r="O273" s="59">
        <f>MAX(0,N273-G273-H273)</f>
        <v/>
      </c>
      <c r="P273" s="60">
        <f>IF(J273=0,"",IF(G273&lt;J273*34,DATE(2026,10,15)+G273/J273,IF(G273&lt;N273,DATE(2026,11,18)+(G273-J273*34)/(J273*L273),"after Nov 30")))</f>
        <v/>
      </c>
      <c r="Q273" s="60">
        <f>IF(J273=0,"",IF(G273+H273&lt;J273*34,DATE(2026,10,15)+(G273+H273)/J273,IF(G273+H273&lt;N273,DATE(2026,11,18)+(G273+H273-J273*34)/(J273*L273),"after Nov 30")))</f>
        <v/>
      </c>
      <c r="R273" s="54">
        <f>IF(AND(G273&lt;=0,J273&gt;0),"Out of stock now",IF(G273&gt;=N273,"Covered to Nov 30",IF(G273+H273&gt;=N273,"Needs inbound in time","Short even with inbound")))</f>
        <v/>
      </c>
      <c r="S273" s="57" t="n">
        <v>1.179</v>
      </c>
      <c r="T273" s="59">
        <f>IF(S273="","",S273*34+S273*L273*12)</f>
        <v/>
      </c>
    </row>
    <row r="274">
      <c r="A274" s="54" t="inlineStr">
        <is>
          <t>CA DC B6</t>
        </is>
      </c>
      <c r="B274" s="54" t="inlineStr">
        <is>
          <t>CA</t>
        </is>
      </c>
      <c r="C274" s="54" t="inlineStr">
        <is>
          <t>B0CQ31Q559</t>
        </is>
      </c>
      <c r="D274" s="54" t="inlineStr">
        <is>
          <t>BAMBOO-FULL-WHITE-6PCS</t>
        </is>
      </c>
      <c r="E274" s="54" t="inlineStr">
        <is>
          <t>Full</t>
        </is>
      </c>
      <c r="F274" s="54" t="inlineStr">
        <is>
          <t>White</t>
        </is>
      </c>
      <c r="G274" s="55" t="n">
        <v>100</v>
      </c>
      <c r="H274" s="55" t="n">
        <v>18</v>
      </c>
      <c r="I274" s="56" t="inlineStr">
        <is>
          <t>FBA19MV0YVFX shipped: 18</t>
        </is>
      </c>
      <c r="J274" s="57" t="n">
        <v>1.47</v>
      </c>
      <c r="K274" s="56" t="inlineStr">
        <is>
          <t>account data velocity</t>
        </is>
      </c>
      <c r="L274" s="58" t="n">
        <v>3.0688</v>
      </c>
      <c r="M274" s="56" t="inlineStr">
        <is>
          <t>own BFCM 2025 lift (account data)</t>
        </is>
      </c>
      <c r="N274" s="59">
        <f>J274*34+J274*L274*12</f>
        <v/>
      </c>
      <c r="O274" s="59">
        <f>MAX(0,N274-G274-H274)</f>
        <v/>
      </c>
      <c r="P274" s="60">
        <f>IF(J274=0,"",IF(G274&lt;J274*34,DATE(2026,10,15)+G274/J274,IF(G274&lt;N274,DATE(2026,11,18)+(G274-J274*34)/(J274*L274),"after Nov 30")))</f>
        <v/>
      </c>
      <c r="Q274" s="60">
        <f>IF(J274=0,"",IF(G274+H274&lt;J274*34,DATE(2026,10,15)+(G274+H274)/J274,IF(G274+H274&lt;N274,DATE(2026,11,18)+(G274+H274-J274*34)/(J274*L274),"after Nov 30")))</f>
        <v/>
      </c>
      <c r="R274" s="54">
        <f>IF(AND(G274&lt;=0,J274&gt;0),"Out of stock now",IF(G274&gt;=N274,"Covered to Nov 30",IF(G274+H274&gt;=N274,"Needs inbound in time","Short even with inbound")))</f>
        <v/>
      </c>
      <c r="S274" s="57" t="n">
        <v>0.964</v>
      </c>
      <c r="T274" s="59">
        <f>IF(S274="","",S274*34+S274*L274*12)</f>
        <v/>
      </c>
    </row>
    <row r="275">
      <c r="A275" s="54" t="inlineStr">
        <is>
          <t>CA DC B6</t>
        </is>
      </c>
      <c r="B275" s="54" t="inlineStr">
        <is>
          <t>CA</t>
        </is>
      </c>
      <c r="C275" s="54" t="inlineStr">
        <is>
          <t>B0CQ316YRY</t>
        </is>
      </c>
      <c r="D275" s="54" t="inlineStr">
        <is>
          <t>BAMBOO-KING-NAVYBLUE-6PCS</t>
        </is>
      </c>
      <c r="E275" s="54" t="inlineStr">
        <is>
          <t>King</t>
        </is>
      </c>
      <c r="F275" s="54" t="inlineStr">
        <is>
          <t>Navy Blue</t>
        </is>
      </c>
      <c r="G275" s="55" t="n">
        <v>107</v>
      </c>
      <c r="H275" s="55" t="n">
        <v>128</v>
      </c>
      <c r="I275" s="56" t="inlineStr">
        <is>
          <t>FBA19QLVD3FK shipped: 116</t>
        </is>
      </c>
      <c r="J275" s="57" t="n">
        <v>1.38</v>
      </c>
      <c r="K275" s="56" t="inlineStr">
        <is>
          <t>account data velocity</t>
        </is>
      </c>
      <c r="L275" s="58" t="n">
        <v>3.0688</v>
      </c>
      <c r="M275" s="56" t="inlineStr">
        <is>
          <t>own BFCM 2025 lift (account data)</t>
        </is>
      </c>
      <c r="N275" s="59">
        <f>J275*34+J275*L275*12</f>
        <v/>
      </c>
      <c r="O275" s="59">
        <f>MAX(0,N275-G275-H275)</f>
        <v/>
      </c>
      <c r="P275" s="60">
        <f>IF(J275=0,"",IF(G275&lt;J275*34,DATE(2026,10,15)+G275/J275,IF(G275&lt;N275,DATE(2026,11,18)+(G275-J275*34)/(J275*L275),"after Nov 30")))</f>
        <v/>
      </c>
      <c r="Q275" s="60">
        <f>IF(J275=0,"",IF(G275+H275&lt;J275*34,DATE(2026,10,15)+(G275+H275)/J275,IF(G275+H275&lt;N275,DATE(2026,11,18)+(G275+H275-J275*34)/(J275*L275),"after Nov 30")))</f>
        <v/>
      </c>
      <c r="R275" s="54">
        <f>IF(AND(G275&lt;=0,J275&gt;0),"Out of stock now",IF(G275&gt;=N275,"Covered to Nov 30",IF(G275+H275&gt;=N275,"Needs inbound in time","Short even with inbound")))</f>
        <v/>
      </c>
      <c r="S275" s="57" t="n">
        <v>1.464</v>
      </c>
      <c r="T275" s="59">
        <f>IF(S275="","",S275*34+S275*L275*12)</f>
        <v/>
      </c>
    </row>
    <row r="276">
      <c r="A276" s="54" t="inlineStr">
        <is>
          <t>CA DC B6</t>
        </is>
      </c>
      <c r="B276" s="54" t="inlineStr">
        <is>
          <t>CA</t>
        </is>
      </c>
      <c r="C276" s="54" t="inlineStr">
        <is>
          <t>B0CQ2ZSDMN</t>
        </is>
      </c>
      <c r="D276" s="54" t="inlineStr">
        <is>
          <t>BAMBOO-FULL-NAVYBLUE-6PCS</t>
        </is>
      </c>
      <c r="E276" s="54" t="inlineStr">
        <is>
          <t>Full</t>
        </is>
      </c>
      <c r="F276" s="54" t="inlineStr">
        <is>
          <t>Navy Blue</t>
        </is>
      </c>
      <c r="G276" s="55" t="n">
        <v>0</v>
      </c>
      <c r="H276" s="55" t="n">
        <v>0</v>
      </c>
      <c r="I276" s="56" t="inlineStr">
        <is>
          <t>FBA19QLVD3FK shipped: 18</t>
        </is>
      </c>
      <c r="J276" s="57" t="n">
        <v>1.2</v>
      </c>
      <c r="K276" s="56" t="inlineStr">
        <is>
          <t>account data velocity</t>
        </is>
      </c>
      <c r="L276" s="58" t="n">
        <v>3.0688</v>
      </c>
      <c r="M276" s="56" t="inlineStr">
        <is>
          <t>own BFCM 2025 lift (account data)</t>
        </is>
      </c>
      <c r="N276" s="59">
        <f>J276*34+J276*L276*12</f>
        <v/>
      </c>
      <c r="O276" s="59">
        <f>MAX(0,N276-G276-H276)</f>
        <v/>
      </c>
      <c r="P276" s="60">
        <f>IF(J276=0,"",IF(G276&lt;J276*34,DATE(2026,10,15)+G276/J276,IF(G276&lt;N276,DATE(2026,11,18)+(G276-J276*34)/(J276*L276),"after Nov 30")))</f>
        <v/>
      </c>
      <c r="Q276" s="60">
        <f>IF(J276=0,"",IF(G276+H276&lt;J276*34,DATE(2026,10,15)+(G276+H276)/J276,IF(G276+H276&lt;N276,DATE(2026,11,18)+(G276+H276-J276*34)/(J276*L276),"after Nov 30")))</f>
        <v/>
      </c>
      <c r="R276" s="54">
        <f>IF(AND(G276&lt;=0,J276&gt;0),"Out of stock now",IF(G276&gt;=N276,"Covered to Nov 30",IF(G276+H276&gt;=N276,"Needs inbound in time","Short even with inbound")))</f>
        <v/>
      </c>
      <c r="S276" s="57" t="n">
        <v>0.036</v>
      </c>
      <c r="T276" s="59">
        <f>IF(S276="","",S276*34+S276*L276*12)</f>
        <v/>
      </c>
    </row>
    <row r="277">
      <c r="A277" s="54" t="inlineStr">
        <is>
          <t>CA DC B6</t>
        </is>
      </c>
      <c r="B277" s="54" t="inlineStr">
        <is>
          <t>CA</t>
        </is>
      </c>
      <c r="C277" s="54" t="inlineStr">
        <is>
          <t>B0CQ2ZVD96</t>
        </is>
      </c>
      <c r="D277" s="54" t="inlineStr">
        <is>
          <t>BAMBOO-FULL-CREME-6PCS</t>
        </is>
      </c>
      <c r="E277" s="54" t="inlineStr">
        <is>
          <t>Full</t>
        </is>
      </c>
      <c r="F277" s="54" t="inlineStr">
        <is>
          <t>Creme</t>
        </is>
      </c>
      <c r="G277" s="55" t="n">
        <v>19</v>
      </c>
      <c r="H277" s="55" t="n">
        <v>0</v>
      </c>
      <c r="I277" s="56" t="n"/>
      <c r="J277" s="57" t="n">
        <v>1.15</v>
      </c>
      <c r="K277" s="56" t="inlineStr">
        <is>
          <t>account data velocity</t>
        </is>
      </c>
      <c r="L277" s="58" t="n">
        <v>3.0688</v>
      </c>
      <c r="M277" s="56" t="inlineStr">
        <is>
          <t>own BFCM 2025 lift (account data)</t>
        </is>
      </c>
      <c r="N277" s="59">
        <f>J277*34+J277*L277*12</f>
        <v/>
      </c>
      <c r="O277" s="59">
        <f>MAX(0,N277-G277-H277)</f>
        <v/>
      </c>
      <c r="P277" s="60">
        <f>IF(J277=0,"",IF(G277&lt;J277*34,DATE(2026,10,15)+G277/J277,IF(G277&lt;N277,DATE(2026,11,18)+(G277-J277*34)/(J277*L277),"after Nov 30")))</f>
        <v/>
      </c>
      <c r="Q277" s="60">
        <f>IF(J277=0,"",IF(G277+H277&lt;J277*34,DATE(2026,10,15)+(G277+H277)/J277,IF(G277+H277&lt;N277,DATE(2026,11,18)+(G277+H277-J277*34)/(J277*L277),"after Nov 30")))</f>
        <v/>
      </c>
      <c r="R277" s="54">
        <f>IF(AND(G277&lt;=0,J277&gt;0),"Out of stock now",IF(G277&gt;=N277,"Covered to Nov 30",IF(G277+H277&gt;=N277,"Needs inbound in time","Short even with inbound")))</f>
        <v/>
      </c>
      <c r="S277" s="57" t="n">
        <v>0.464</v>
      </c>
      <c r="T277" s="59">
        <f>IF(S277="","",S277*34+S277*L277*12)</f>
        <v/>
      </c>
    </row>
    <row r="278">
      <c r="A278" s="54" t="inlineStr">
        <is>
          <t>CA DC B6</t>
        </is>
      </c>
      <c r="B278" s="54" t="inlineStr">
        <is>
          <t>CA</t>
        </is>
      </c>
      <c r="C278" s="54" t="inlineStr">
        <is>
          <t>B0CQ33C286</t>
        </is>
      </c>
      <c r="D278" s="54" t="inlineStr">
        <is>
          <t>BAMBOO-QUEEN-CHARCOAL-6PCS</t>
        </is>
      </c>
      <c r="E278" s="54" t="inlineStr">
        <is>
          <t>Queen</t>
        </is>
      </c>
      <c r="F278" s="54" t="inlineStr">
        <is>
          <t>Charcoal</t>
        </is>
      </c>
      <c r="G278" s="55" t="n">
        <v>134</v>
      </c>
      <c r="H278" s="55" t="n">
        <v>12</v>
      </c>
      <c r="I278" s="56" t="n"/>
      <c r="J278" s="57" t="n">
        <v>1.14</v>
      </c>
      <c r="K278" s="56" t="inlineStr">
        <is>
          <t>account data velocity</t>
        </is>
      </c>
      <c r="L278" s="58" t="n">
        <v>3.0688</v>
      </c>
      <c r="M278" s="56" t="inlineStr">
        <is>
          <t>own BFCM 2025 lift (account data)</t>
        </is>
      </c>
      <c r="N278" s="59">
        <f>J278*34+J278*L278*12</f>
        <v/>
      </c>
      <c r="O278" s="59">
        <f>MAX(0,N278-G278-H278)</f>
        <v/>
      </c>
      <c r="P278" s="60">
        <f>IF(J278=0,"",IF(G278&lt;J278*34,DATE(2026,10,15)+G278/J278,IF(G278&lt;N278,DATE(2026,11,18)+(G278-J278*34)/(J278*L278),"after Nov 30")))</f>
        <v/>
      </c>
      <c r="Q278" s="60">
        <f>IF(J278=0,"",IF(G278+H278&lt;J278*34,DATE(2026,10,15)+(G278+H278)/J278,IF(G278+H278&lt;N278,DATE(2026,11,18)+(G278+H278-J278*34)/(J278*L278),"after Nov 30")))</f>
        <v/>
      </c>
      <c r="R278" s="54">
        <f>IF(AND(G278&lt;=0,J278&gt;0),"Out of stock now",IF(G278&gt;=N278,"Covered to Nov 30",IF(G278+H278&gt;=N278,"Needs inbound in time","Short even with inbound")))</f>
        <v/>
      </c>
      <c r="S278" s="57" t="n">
        <v>0.964</v>
      </c>
      <c r="T278" s="59">
        <f>IF(S278="","",S278*34+S278*L278*12)</f>
        <v/>
      </c>
    </row>
    <row r="279">
      <c r="A279" s="54" t="inlineStr">
        <is>
          <t>CA DC B6</t>
        </is>
      </c>
      <c r="B279" s="54" t="inlineStr">
        <is>
          <t>CA</t>
        </is>
      </c>
      <c r="C279" s="54" t="inlineStr">
        <is>
          <t>B0CQ2ZZW88</t>
        </is>
      </c>
      <c r="D279" s="54" t="inlineStr">
        <is>
          <t>BAMBOO-KING-CHARCOAL-6PCS</t>
        </is>
      </c>
      <c r="E279" s="54" t="inlineStr">
        <is>
          <t>King</t>
        </is>
      </c>
      <c r="F279" s="54" t="inlineStr">
        <is>
          <t>Charcoal</t>
        </is>
      </c>
      <c r="G279" s="55" t="n">
        <v>36</v>
      </c>
      <c r="H279" s="55" t="n">
        <v>124</v>
      </c>
      <c r="I279" s="56" t="inlineStr">
        <is>
          <t>FBA19QLVD3FK shipped: 120</t>
        </is>
      </c>
      <c r="J279" s="57" t="n">
        <v>1.11</v>
      </c>
      <c r="K279" s="56" t="inlineStr">
        <is>
          <t>account data velocity</t>
        </is>
      </c>
      <c r="L279" s="58" t="n">
        <v>3.0688</v>
      </c>
      <c r="M279" s="56" t="inlineStr">
        <is>
          <t>own BFCM 2025 lift (account data)</t>
        </is>
      </c>
      <c r="N279" s="59">
        <f>J279*34+J279*L279*12</f>
        <v/>
      </c>
      <c r="O279" s="59">
        <f>MAX(0,N279-G279-H279)</f>
        <v/>
      </c>
      <c r="P279" s="60">
        <f>IF(J279=0,"",IF(G279&lt;J279*34,DATE(2026,10,15)+G279/J279,IF(G279&lt;N279,DATE(2026,11,18)+(G279-J279*34)/(J279*L279),"after Nov 30")))</f>
        <v/>
      </c>
      <c r="Q279" s="60">
        <f>IF(J279=0,"",IF(G279+H279&lt;J279*34,DATE(2026,10,15)+(G279+H279)/J279,IF(G279+H279&lt;N279,DATE(2026,11,18)+(G279+H279-J279*34)/(J279*L279),"after Nov 30")))</f>
        <v/>
      </c>
      <c r="R279" s="54">
        <f>IF(AND(G279&lt;=0,J279&gt;0),"Out of stock now",IF(G279&gt;=N279,"Covered to Nov 30",IF(G279+H279&gt;=N279,"Needs inbound in time","Short even with inbound")))</f>
        <v/>
      </c>
      <c r="S279" s="57" t="n">
        <v>0.893</v>
      </c>
      <c r="T279" s="59">
        <f>IF(S279="","",S279*34+S279*L279*12)</f>
        <v/>
      </c>
    </row>
    <row r="280">
      <c r="A280" s="54" t="inlineStr">
        <is>
          <t>CA DC B6</t>
        </is>
      </c>
      <c r="B280" s="54" t="inlineStr">
        <is>
          <t>CA</t>
        </is>
      </c>
      <c r="C280" s="54" t="inlineStr">
        <is>
          <t>B0CQ33KG5X</t>
        </is>
      </c>
      <c r="D280" s="54" t="inlineStr">
        <is>
          <t>BAMBOO-KING-CREME-6PCS</t>
        </is>
      </c>
      <c r="E280" s="54" t="inlineStr">
        <is>
          <t>King</t>
        </is>
      </c>
      <c r="F280" s="54" t="inlineStr">
        <is>
          <t>Creme</t>
        </is>
      </c>
      <c r="G280" s="55" t="n">
        <v>99</v>
      </c>
      <c r="H280" s="55" t="n">
        <v>172</v>
      </c>
      <c r="I280" s="56" t="inlineStr">
        <is>
          <t>FBA19QLVD3FK shipped: 172</t>
        </is>
      </c>
      <c r="J280" s="57" t="n">
        <v>1.1</v>
      </c>
      <c r="K280" s="56" t="inlineStr">
        <is>
          <t>account data velocity</t>
        </is>
      </c>
      <c r="L280" s="58" t="n">
        <v>3.0688</v>
      </c>
      <c r="M280" s="56" t="inlineStr">
        <is>
          <t>own BFCM 2025 lift (account data)</t>
        </is>
      </c>
      <c r="N280" s="59">
        <f>J280*34+J280*L280*12</f>
        <v/>
      </c>
      <c r="O280" s="59">
        <f>MAX(0,N280-G280-H280)</f>
        <v/>
      </c>
      <c r="P280" s="60">
        <f>IF(J280=0,"",IF(G280&lt;J280*34,DATE(2026,10,15)+G280/J280,IF(G280&lt;N280,DATE(2026,11,18)+(G280-J280*34)/(J280*L280),"after Nov 30")))</f>
        <v/>
      </c>
      <c r="Q280" s="60">
        <f>IF(J280=0,"",IF(G280+H280&lt;J280*34,DATE(2026,10,15)+(G280+H280)/J280,IF(G280+H280&lt;N280,DATE(2026,11,18)+(G280+H280-J280*34)/(J280*L280),"after Nov 30")))</f>
        <v/>
      </c>
      <c r="R280" s="54">
        <f>IF(AND(G280&lt;=0,J280&gt;0),"Out of stock now",IF(G280&gt;=N280,"Covered to Nov 30",IF(G280+H280&gt;=N280,"Needs inbound in time","Short even with inbound")))</f>
        <v/>
      </c>
      <c r="S280" s="57" t="n">
        <v>1.071</v>
      </c>
      <c r="T280" s="59">
        <f>IF(S280="","",S280*34+S280*L280*12)</f>
        <v/>
      </c>
    </row>
    <row r="281">
      <c r="A281" s="54" t="inlineStr">
        <is>
          <t>CA DC B6</t>
        </is>
      </c>
      <c r="B281" s="54" t="inlineStr">
        <is>
          <t>CA</t>
        </is>
      </c>
      <c r="C281" s="54" t="inlineStr">
        <is>
          <t>B0CQ32NPF5</t>
        </is>
      </c>
      <c r="D281" s="54" t="inlineStr">
        <is>
          <t>BAMBOO-KING-BURGUNDY-6PCS</t>
        </is>
      </c>
      <c r="E281" s="54" t="inlineStr">
        <is>
          <t>King</t>
        </is>
      </c>
      <c r="F281" s="54" t="inlineStr">
        <is>
          <t>Burgundy</t>
        </is>
      </c>
      <c r="G281" s="55" t="n">
        <v>71</v>
      </c>
      <c r="H281" s="55" t="n">
        <v>4</v>
      </c>
      <c r="I281" s="56" t="inlineStr">
        <is>
          <t>FBA19QLVD3FK shipped: 4</t>
        </is>
      </c>
      <c r="J281" s="57" t="n">
        <v>1.1</v>
      </c>
      <c r="K281" s="56" t="inlineStr">
        <is>
          <t>account data velocity</t>
        </is>
      </c>
      <c r="L281" s="58" t="n">
        <v>3.0688</v>
      </c>
      <c r="M281" s="56" t="inlineStr">
        <is>
          <t>own BFCM 2025 lift (account data)</t>
        </is>
      </c>
      <c r="N281" s="59">
        <f>J281*34+J281*L281*12</f>
        <v/>
      </c>
      <c r="O281" s="59">
        <f>MAX(0,N281-G281-H281)</f>
        <v/>
      </c>
      <c r="P281" s="60">
        <f>IF(J281=0,"",IF(G281&lt;J281*34,DATE(2026,10,15)+G281/J281,IF(G281&lt;N281,DATE(2026,11,18)+(G281-J281*34)/(J281*L281),"after Nov 30")))</f>
        <v/>
      </c>
      <c r="Q281" s="60">
        <f>IF(J281=0,"",IF(G281+H281&lt;J281*34,DATE(2026,10,15)+(G281+H281)/J281,IF(G281+H281&lt;N281,DATE(2026,11,18)+(G281+H281-J281*34)/(J281*L281),"after Nov 30")))</f>
        <v/>
      </c>
      <c r="R281" s="54">
        <f>IF(AND(G281&lt;=0,J281&gt;0),"Out of stock now",IF(G281&gt;=N281,"Covered to Nov 30",IF(G281+H281&gt;=N281,"Needs inbound in time","Short even with inbound")))</f>
        <v/>
      </c>
      <c r="S281" s="57" t="n">
        <v>0.821</v>
      </c>
      <c r="T281" s="59">
        <f>IF(S281="","",S281*34+S281*L281*12)</f>
        <v/>
      </c>
    </row>
    <row r="282">
      <c r="A282" s="54" t="inlineStr">
        <is>
          <t>CA DC B6</t>
        </is>
      </c>
      <c r="B282" s="54" t="inlineStr">
        <is>
          <t>CA</t>
        </is>
      </c>
      <c r="C282" s="54" t="inlineStr">
        <is>
          <t>B0CQ32F3HY</t>
        </is>
      </c>
      <c r="D282" s="54" t="inlineStr">
        <is>
          <t>BAMBOO-QUEEN-LIGHTBLUE-6PCS</t>
        </is>
      </c>
      <c r="E282" s="54" t="inlineStr">
        <is>
          <t>Queen</t>
        </is>
      </c>
      <c r="F282" s="54" t="inlineStr">
        <is>
          <t>Light Blue</t>
        </is>
      </c>
      <c r="G282" s="55" t="n">
        <v>167</v>
      </c>
      <c r="H282" s="55" t="n">
        <v>174</v>
      </c>
      <c r="I282" s="56" t="n"/>
      <c r="J282" s="57" t="n">
        <v>0.95</v>
      </c>
      <c r="K282" s="56" t="inlineStr">
        <is>
          <t>account data velocity</t>
        </is>
      </c>
      <c r="L282" s="58" t="n">
        <v>3.0688</v>
      </c>
      <c r="M282" s="56" t="inlineStr">
        <is>
          <t>own BFCM 2025 lift (account data)</t>
        </is>
      </c>
      <c r="N282" s="59">
        <f>J282*34+J282*L282*12</f>
        <v/>
      </c>
      <c r="O282" s="59">
        <f>MAX(0,N282-G282-H282)</f>
        <v/>
      </c>
      <c r="P282" s="60">
        <f>IF(J282=0,"",IF(G282&lt;J282*34,DATE(2026,10,15)+G282/J282,IF(G282&lt;N282,DATE(2026,11,18)+(G282-J282*34)/(J282*L282),"after Nov 30")))</f>
        <v/>
      </c>
      <c r="Q282" s="60">
        <f>IF(J282=0,"",IF(G282+H282&lt;J282*34,DATE(2026,10,15)+(G282+H282)/J282,IF(G282+H282&lt;N282,DATE(2026,11,18)+(G282+H282-J282*34)/(J282*L282),"after Nov 30")))</f>
        <v/>
      </c>
      <c r="R282" s="54">
        <f>IF(AND(G282&lt;=0,J282&gt;0),"Out of stock now",IF(G282&gt;=N282,"Covered to Nov 30",IF(G282+H282&gt;=N282,"Needs inbound in time","Short even with inbound")))</f>
        <v/>
      </c>
      <c r="S282" s="57" t="n">
        <v>0.929</v>
      </c>
      <c r="T282" s="59">
        <f>IF(S282="","",S282*34+S282*L282*12)</f>
        <v/>
      </c>
    </row>
    <row r="283">
      <c r="A283" s="54" t="inlineStr">
        <is>
          <t>CA DC B6</t>
        </is>
      </c>
      <c r="B283" s="54" t="inlineStr">
        <is>
          <t>CA</t>
        </is>
      </c>
      <c r="C283" s="54" t="inlineStr">
        <is>
          <t>B0CQ2ZWSN7</t>
        </is>
      </c>
      <c r="D283" s="54" t="inlineStr">
        <is>
          <t>BAMBOO-QUEEN-BURGUNDY-6PCS</t>
        </is>
      </c>
      <c r="E283" s="54" t="inlineStr">
        <is>
          <t>Queen</t>
        </is>
      </c>
      <c r="F283" s="54" t="inlineStr">
        <is>
          <t>Burgundy</t>
        </is>
      </c>
      <c r="G283" s="55" t="n">
        <v>180</v>
      </c>
      <c r="H283" s="55" t="n">
        <v>78</v>
      </c>
      <c r="I283" s="56" t="inlineStr">
        <is>
          <t>FBA19MV0YVFX shipped: 78</t>
        </is>
      </c>
      <c r="J283" s="57" t="n">
        <v>0.9399999999999999</v>
      </c>
      <c r="K283" s="56" t="inlineStr">
        <is>
          <t>account data velocity</t>
        </is>
      </c>
      <c r="L283" s="58" t="n">
        <v>3.0688</v>
      </c>
      <c r="M283" s="56" t="inlineStr">
        <is>
          <t>own BFCM 2025 lift (account data)</t>
        </is>
      </c>
      <c r="N283" s="59">
        <f>J283*34+J283*L283*12</f>
        <v/>
      </c>
      <c r="O283" s="59">
        <f>MAX(0,N283-G283-H283)</f>
        <v/>
      </c>
      <c r="P283" s="60">
        <f>IF(J283=0,"",IF(G283&lt;J283*34,DATE(2026,10,15)+G283/J283,IF(G283&lt;N283,DATE(2026,11,18)+(G283-J283*34)/(J283*L283),"after Nov 30")))</f>
        <v/>
      </c>
      <c r="Q283" s="60">
        <f>IF(J283=0,"",IF(G283+H283&lt;J283*34,DATE(2026,10,15)+(G283+H283)/J283,IF(G283+H283&lt;N283,DATE(2026,11,18)+(G283+H283-J283*34)/(J283*L283),"after Nov 30")))</f>
        <v/>
      </c>
      <c r="R283" s="54">
        <f>IF(AND(G283&lt;=0,J283&gt;0),"Out of stock now",IF(G283&gt;=N283,"Covered to Nov 30",IF(G283+H283&gt;=N283,"Needs inbound in time","Short even with inbound")))</f>
        <v/>
      </c>
      <c r="S283" s="57" t="n">
        <v>0.5</v>
      </c>
      <c r="T283" s="59">
        <f>IF(S283="","",S283*34+S283*L283*12)</f>
        <v/>
      </c>
    </row>
    <row r="284">
      <c r="A284" s="54" t="inlineStr">
        <is>
          <t>CA DC B6</t>
        </is>
      </c>
      <c r="B284" s="54" t="inlineStr">
        <is>
          <t>CA</t>
        </is>
      </c>
      <c r="C284" s="54" t="inlineStr">
        <is>
          <t>B0CQ32Z6VP</t>
        </is>
      </c>
      <c r="D284" s="54" t="inlineStr">
        <is>
          <t>BAMBOO-QUEEN-CREME-6PCS</t>
        </is>
      </c>
      <c r="E284" s="54" t="inlineStr">
        <is>
          <t>Queen</t>
        </is>
      </c>
      <c r="F284" s="54" t="inlineStr">
        <is>
          <t>Creme</t>
        </is>
      </c>
      <c r="G284" s="55" t="n">
        <v>168</v>
      </c>
      <c r="H284" s="55" t="n">
        <v>174</v>
      </c>
      <c r="I284" s="56" t="n"/>
      <c r="J284" s="57" t="n">
        <v>0.87</v>
      </c>
      <c r="K284" s="56" t="inlineStr">
        <is>
          <t>account data velocity</t>
        </is>
      </c>
      <c r="L284" s="58" t="n">
        <v>3.0688</v>
      </c>
      <c r="M284" s="56" t="inlineStr">
        <is>
          <t>own BFCM 2025 lift (account data)</t>
        </is>
      </c>
      <c r="N284" s="59">
        <f>J284*34+J284*L284*12</f>
        <v/>
      </c>
      <c r="O284" s="59">
        <f>MAX(0,N284-G284-H284)</f>
        <v/>
      </c>
      <c r="P284" s="60">
        <f>IF(J284=0,"",IF(G284&lt;J284*34,DATE(2026,10,15)+G284/J284,IF(G284&lt;N284,DATE(2026,11,18)+(G284-J284*34)/(J284*L284),"after Nov 30")))</f>
        <v/>
      </c>
      <c r="Q284" s="60">
        <f>IF(J284=0,"",IF(G284+H284&lt;J284*34,DATE(2026,10,15)+(G284+H284)/J284,IF(G284+H284&lt;N284,DATE(2026,11,18)+(G284+H284-J284*34)/(J284*L284),"after Nov 30")))</f>
        <v/>
      </c>
      <c r="R284" s="54">
        <f>IF(AND(G284&lt;=0,J284&gt;0),"Out of stock now",IF(G284&gt;=N284,"Covered to Nov 30",IF(G284+H284&gt;=N284,"Needs inbound in time","Short even with inbound")))</f>
        <v/>
      </c>
      <c r="S284" s="57" t="n">
        <v>0.893</v>
      </c>
      <c r="T284" s="59">
        <f>IF(S284="","",S284*34+S284*L284*12)</f>
        <v/>
      </c>
    </row>
    <row r="285">
      <c r="A285" s="54" t="inlineStr">
        <is>
          <t>CA DC B6</t>
        </is>
      </c>
      <c r="B285" s="54" t="inlineStr">
        <is>
          <t>CA</t>
        </is>
      </c>
      <c r="C285" s="54" t="inlineStr">
        <is>
          <t>B0CQ32B24Y</t>
        </is>
      </c>
      <c r="D285" s="54" t="inlineStr">
        <is>
          <t>BAMBOO-QUEEN-OLIVE-6PCS</t>
        </is>
      </c>
      <c r="E285" s="54" t="inlineStr">
        <is>
          <t>Queen</t>
        </is>
      </c>
      <c r="F285" s="54" t="inlineStr">
        <is>
          <t>Olive</t>
        </is>
      </c>
      <c r="G285" s="55" t="n">
        <v>125</v>
      </c>
      <c r="H285" s="55" t="n">
        <v>372</v>
      </c>
      <c r="I285" s="56" t="inlineStr">
        <is>
          <t>FBA19LP4SKXM in transit: 240</t>
        </is>
      </c>
      <c r="J285" s="57" t="n">
        <v>0.84</v>
      </c>
      <c r="K285" s="56" t="inlineStr">
        <is>
          <t>account data velocity</t>
        </is>
      </c>
      <c r="L285" s="58" t="n">
        <v>3.0688</v>
      </c>
      <c r="M285" s="56" t="inlineStr">
        <is>
          <t>own BFCM 2025 lift (account data)</t>
        </is>
      </c>
      <c r="N285" s="59">
        <f>J285*34+J285*L285*12</f>
        <v/>
      </c>
      <c r="O285" s="59">
        <f>MAX(0,N285-G285-H285)</f>
        <v/>
      </c>
      <c r="P285" s="60">
        <f>IF(J285=0,"",IF(G285&lt;J285*34,DATE(2026,10,15)+G285/J285,IF(G285&lt;N285,DATE(2026,11,18)+(G285-J285*34)/(J285*L285),"after Nov 30")))</f>
        <v/>
      </c>
      <c r="Q285" s="60">
        <f>IF(J285=0,"",IF(G285+H285&lt;J285*34,DATE(2026,10,15)+(G285+H285)/J285,IF(G285+H285&lt;N285,DATE(2026,11,18)+(G285+H285-J285*34)/(J285*L285),"after Nov 30")))</f>
        <v/>
      </c>
      <c r="R285" s="54">
        <f>IF(AND(G285&lt;=0,J285&gt;0),"Out of stock now",IF(G285&gt;=N285,"Covered to Nov 30",IF(G285+H285&gt;=N285,"Needs inbound in time","Short even with inbound")))</f>
        <v/>
      </c>
      <c r="S285" s="57" t="n">
        <v>0.929</v>
      </c>
      <c r="T285" s="59">
        <f>IF(S285="","",S285*34+S285*L285*12)</f>
        <v/>
      </c>
    </row>
    <row r="286">
      <c r="A286" s="54" t="inlineStr">
        <is>
          <t>CA DC B6</t>
        </is>
      </c>
      <c r="B286" s="54" t="inlineStr">
        <is>
          <t>CA</t>
        </is>
      </c>
      <c r="C286" s="54" t="inlineStr">
        <is>
          <t>B0CQ331L15</t>
        </is>
      </c>
      <c r="D286" s="54" t="inlineStr">
        <is>
          <t>BAMBOO-KING-BLACK-6PCS</t>
        </is>
      </c>
      <c r="E286" s="54" t="inlineStr">
        <is>
          <t>King</t>
        </is>
      </c>
      <c r="F286" s="54" t="inlineStr">
        <is>
          <t>Black</t>
        </is>
      </c>
      <c r="G286" s="55" t="n">
        <v>7</v>
      </c>
      <c r="H286" s="55" t="n">
        <v>8</v>
      </c>
      <c r="I286" s="56" t="inlineStr">
        <is>
          <t>FBA19HT4BHCP ready to ship: 8</t>
        </is>
      </c>
      <c r="J286" s="57" t="n">
        <v>0.8100000000000001</v>
      </c>
      <c r="K286" s="56" t="inlineStr">
        <is>
          <t>account data velocity</t>
        </is>
      </c>
      <c r="L286" s="58" t="n">
        <v>3.0688</v>
      </c>
      <c r="M286" s="56" t="inlineStr">
        <is>
          <t>own BFCM 2025 lift (account data)</t>
        </is>
      </c>
      <c r="N286" s="59">
        <f>J286*34+J286*L286*12</f>
        <v/>
      </c>
      <c r="O286" s="59">
        <f>MAX(0,N286-G286-H286)</f>
        <v/>
      </c>
      <c r="P286" s="60">
        <f>IF(J286=0,"",IF(G286&lt;J286*34,DATE(2026,10,15)+G286/J286,IF(G286&lt;N286,DATE(2026,11,18)+(G286-J286*34)/(J286*L286),"after Nov 30")))</f>
        <v/>
      </c>
      <c r="Q286" s="60">
        <f>IF(J286=0,"",IF(G286+H286&lt;J286*34,DATE(2026,10,15)+(G286+H286)/J286,IF(G286+H286&lt;N286,DATE(2026,11,18)+(G286+H286-J286*34)/(J286*L286),"after Nov 30")))</f>
        <v/>
      </c>
      <c r="R286" s="54">
        <f>IF(AND(G286&lt;=0,J286&gt;0),"Out of stock now",IF(G286&gt;=N286,"Covered to Nov 30",IF(G286+H286&gt;=N286,"Needs inbound in time","Short even with inbound")))</f>
        <v/>
      </c>
      <c r="S286" s="57" t="n">
        <v>0.643</v>
      </c>
      <c r="T286" s="59">
        <f>IF(S286="","",S286*34+S286*L286*12)</f>
        <v/>
      </c>
    </row>
    <row r="287">
      <c r="A287" s="54" t="inlineStr">
        <is>
          <t>CA DC B6</t>
        </is>
      </c>
      <c r="B287" s="54" t="inlineStr">
        <is>
          <t>CA</t>
        </is>
      </c>
      <c r="C287" s="54" t="inlineStr">
        <is>
          <t>B0CQ2ZZ9QN</t>
        </is>
      </c>
      <c r="D287" s="54" t="inlineStr">
        <is>
          <t>BAMBOO-KING-SAGE GREEN-6PCS</t>
        </is>
      </c>
      <c r="E287" s="54" t="inlineStr">
        <is>
          <t>King</t>
        </is>
      </c>
      <c r="F287" s="54" t="inlineStr">
        <is>
          <t>Sage Green</t>
        </is>
      </c>
      <c r="G287" s="55" t="n">
        <v>0</v>
      </c>
      <c r="H287" s="55" t="n">
        <v>0</v>
      </c>
      <c r="I287" s="56" t="inlineStr">
        <is>
          <t>FBA19QLVD3FK shipped: 100</t>
        </is>
      </c>
      <c r="J287" s="57" t="n">
        <v>0.76</v>
      </c>
      <c r="K287" s="56" t="inlineStr">
        <is>
          <t>account data velocity</t>
        </is>
      </c>
      <c r="L287" s="58" t="n">
        <v>3.0688</v>
      </c>
      <c r="M287" s="56" t="inlineStr">
        <is>
          <t>own BFCM 2025 lift (account data)</t>
        </is>
      </c>
      <c r="N287" s="59">
        <f>J287*34+J287*L287*12</f>
        <v/>
      </c>
      <c r="O287" s="59">
        <f>MAX(0,N287-G287-H287)</f>
        <v/>
      </c>
      <c r="P287" s="60">
        <f>IF(J287=0,"",IF(G287&lt;J287*34,DATE(2026,10,15)+G287/J287,IF(G287&lt;N287,DATE(2026,11,18)+(G287-J287*34)/(J287*L287),"after Nov 30")))</f>
        <v/>
      </c>
      <c r="Q287" s="60">
        <f>IF(J287=0,"",IF(G287+H287&lt;J287*34,DATE(2026,10,15)+(G287+H287)/J287,IF(G287+H287&lt;N287,DATE(2026,11,18)+(G287+H287-J287*34)/(J287*L287),"after Nov 30")))</f>
        <v/>
      </c>
      <c r="R287" s="54">
        <f>IF(AND(G287&lt;=0,J287&gt;0),"Out of stock now",IF(G287&gt;=N287,"Covered to Nov 30",IF(G287+H287&gt;=N287,"Needs inbound in time","Short even with inbound")))</f>
        <v/>
      </c>
      <c r="S287" s="57" t="n">
        <v>0.393</v>
      </c>
      <c r="T287" s="59">
        <f>IF(S287="","",S287*34+S287*L287*12)</f>
        <v/>
      </c>
    </row>
    <row r="288">
      <c r="A288" s="54" t="inlineStr">
        <is>
          <t>CA DC B6</t>
        </is>
      </c>
      <c r="B288" s="54" t="inlineStr">
        <is>
          <t>CA</t>
        </is>
      </c>
      <c r="C288" s="54" t="inlineStr">
        <is>
          <t>B0CQ33H4QW</t>
        </is>
      </c>
      <c r="D288" s="54" t="inlineStr">
        <is>
          <t>BAMBOO-KING-LIGHTGREY-6PCS</t>
        </is>
      </c>
      <c r="E288" s="54" t="inlineStr">
        <is>
          <t>King</t>
        </is>
      </c>
      <c r="F288" s="54" t="inlineStr">
        <is>
          <t>Light Grey</t>
        </is>
      </c>
      <c r="G288" s="55" t="n">
        <v>115</v>
      </c>
      <c r="H288" s="55" t="n">
        <v>0</v>
      </c>
      <c r="I288" s="56" t="n"/>
      <c r="J288" s="57" t="n">
        <v>0.73</v>
      </c>
      <c r="K288" s="56" t="inlineStr">
        <is>
          <t>account data velocity</t>
        </is>
      </c>
      <c r="L288" s="58" t="n">
        <v>3.0688</v>
      </c>
      <c r="M288" s="56" t="inlineStr">
        <is>
          <t>own BFCM 2025 lift (account data)</t>
        </is>
      </c>
      <c r="N288" s="59">
        <f>J288*34+J288*L288*12</f>
        <v/>
      </c>
      <c r="O288" s="59">
        <f>MAX(0,N288-G288-H288)</f>
        <v/>
      </c>
      <c r="P288" s="60">
        <f>IF(J288=0,"",IF(G288&lt;J288*34,DATE(2026,10,15)+G288/J288,IF(G288&lt;N288,DATE(2026,11,18)+(G288-J288*34)/(J288*L288),"after Nov 30")))</f>
        <v/>
      </c>
      <c r="Q288" s="60">
        <f>IF(J288=0,"",IF(G288+H288&lt;J288*34,DATE(2026,10,15)+(G288+H288)/J288,IF(G288+H288&lt;N288,DATE(2026,11,18)+(G288+H288-J288*34)/(J288*L288),"after Nov 30")))</f>
        <v/>
      </c>
      <c r="R288" s="54">
        <f>IF(AND(G288&lt;=0,J288&gt;0),"Out of stock now",IF(G288&gt;=N288,"Covered to Nov 30",IF(G288+H288&gt;=N288,"Needs inbound in time","Short even with inbound")))</f>
        <v/>
      </c>
      <c r="S288" s="57" t="n">
        <v>0.786</v>
      </c>
      <c r="T288" s="59">
        <f>IF(S288="","",S288*34+S288*L288*12)</f>
        <v/>
      </c>
    </row>
    <row r="289">
      <c r="A289" s="54" t="inlineStr">
        <is>
          <t>CA DC B6</t>
        </is>
      </c>
      <c r="B289" s="54" t="inlineStr">
        <is>
          <t>CA</t>
        </is>
      </c>
      <c r="C289" s="54" t="inlineStr">
        <is>
          <t>B0CQ32N392</t>
        </is>
      </c>
      <c r="D289" s="54" t="inlineStr">
        <is>
          <t>BAMBOO-QUEEN-NAVYBLUE-6PCS</t>
        </is>
      </c>
      <c r="E289" s="54" t="inlineStr">
        <is>
          <t>Queen</t>
        </is>
      </c>
      <c r="F289" s="54" t="inlineStr">
        <is>
          <t>Navy Blue</t>
        </is>
      </c>
      <c r="G289" s="55" t="n">
        <v>19</v>
      </c>
      <c r="H289" s="55" t="n">
        <v>0</v>
      </c>
      <c r="I289" s="56" t="n"/>
      <c r="J289" s="57" t="n">
        <v>0.68</v>
      </c>
      <c r="K289" s="56" t="inlineStr">
        <is>
          <t>account data velocity</t>
        </is>
      </c>
      <c r="L289" s="58" t="n">
        <v>3.0688</v>
      </c>
      <c r="M289" s="56" t="inlineStr">
        <is>
          <t>own BFCM 2025 lift (account data)</t>
        </is>
      </c>
      <c r="N289" s="59">
        <f>J289*34+J289*L289*12</f>
        <v/>
      </c>
      <c r="O289" s="59">
        <f>MAX(0,N289-G289-H289)</f>
        <v/>
      </c>
      <c r="P289" s="60">
        <f>IF(J289=0,"",IF(G289&lt;J289*34,DATE(2026,10,15)+G289/J289,IF(G289&lt;N289,DATE(2026,11,18)+(G289-J289*34)/(J289*L289),"after Nov 30")))</f>
        <v/>
      </c>
      <c r="Q289" s="60">
        <f>IF(J289=0,"",IF(G289+H289&lt;J289*34,DATE(2026,10,15)+(G289+H289)/J289,IF(G289+H289&lt;N289,DATE(2026,11,18)+(G289+H289-J289*34)/(J289*L289),"after Nov 30")))</f>
        <v/>
      </c>
      <c r="R289" s="54">
        <f>IF(AND(G289&lt;=0,J289&gt;0),"Out of stock now",IF(G289&gt;=N289,"Covered to Nov 30",IF(G289+H289&gt;=N289,"Needs inbound in time","Short even with inbound")))</f>
        <v/>
      </c>
      <c r="S289" s="57" t="n">
        <v>0.536</v>
      </c>
      <c r="T289" s="59">
        <f>IF(S289="","",S289*34+S289*L289*12)</f>
        <v/>
      </c>
    </row>
    <row r="290">
      <c r="A290" s="54" t="inlineStr">
        <is>
          <t>CA DC B6</t>
        </is>
      </c>
      <c r="B290" s="54" t="inlineStr">
        <is>
          <t>CA</t>
        </is>
      </c>
      <c r="C290" s="54" t="inlineStr">
        <is>
          <t>B0CQ319J1Z</t>
        </is>
      </c>
      <c r="D290" s="54" t="inlineStr">
        <is>
          <t>BAMBOO-KING-MIDGREY-6PCS</t>
        </is>
      </c>
      <c r="E290" s="54" t="inlineStr">
        <is>
          <t>King</t>
        </is>
      </c>
      <c r="F290" s="54" t="inlineStr">
        <is>
          <t>Midgrey</t>
        </is>
      </c>
      <c r="G290" s="55" t="n">
        <v>95</v>
      </c>
      <c r="H290" s="55" t="n">
        <v>64</v>
      </c>
      <c r="I290" s="56" t="n"/>
      <c r="J290" s="57" t="n">
        <v>0.66</v>
      </c>
      <c r="K290" s="56" t="inlineStr">
        <is>
          <t>account data velocity</t>
        </is>
      </c>
      <c r="L290" s="58" t="n">
        <v>3.0688</v>
      </c>
      <c r="M290" s="56" t="inlineStr">
        <is>
          <t>own BFCM 2025 lift (account data)</t>
        </is>
      </c>
      <c r="N290" s="59">
        <f>J290*34+J290*L290*12</f>
        <v/>
      </c>
      <c r="O290" s="59">
        <f>MAX(0,N290-G290-H290)</f>
        <v/>
      </c>
      <c r="P290" s="60">
        <f>IF(J290=0,"",IF(G290&lt;J290*34,DATE(2026,10,15)+G290/J290,IF(G290&lt;N290,DATE(2026,11,18)+(G290-J290*34)/(J290*L290),"after Nov 30")))</f>
        <v/>
      </c>
      <c r="Q290" s="60">
        <f>IF(J290=0,"",IF(G290+H290&lt;J290*34,DATE(2026,10,15)+(G290+H290)/J290,IF(G290+H290&lt;N290,DATE(2026,11,18)+(G290+H290-J290*34)/(J290*L290),"after Nov 30")))</f>
        <v/>
      </c>
      <c r="R290" s="54">
        <f>IF(AND(G290&lt;=0,J290&gt;0),"Out of stock now",IF(G290&gt;=N290,"Covered to Nov 30",IF(G290+H290&gt;=N290,"Needs inbound in time","Short even with inbound")))</f>
        <v/>
      </c>
      <c r="S290" s="57" t="n">
        <v>0.571</v>
      </c>
      <c r="T290" s="59">
        <f>IF(S290="","",S290*34+S290*L290*12)</f>
        <v/>
      </c>
    </row>
    <row r="291">
      <c r="A291" s="54" t="inlineStr">
        <is>
          <t>CA DC B6</t>
        </is>
      </c>
      <c r="B291" s="54" t="inlineStr">
        <is>
          <t>CA</t>
        </is>
      </c>
      <c r="C291" s="54" t="inlineStr">
        <is>
          <t>B0CQ31XHCV</t>
        </is>
      </c>
      <c r="D291" s="54" t="inlineStr">
        <is>
          <t>BAMBOO-QUEEN-GREY-6PCS</t>
        </is>
      </c>
      <c r="E291" s="54" t="inlineStr">
        <is>
          <t>Queen</t>
        </is>
      </c>
      <c r="F291" s="54" t="inlineStr">
        <is>
          <t>Grey</t>
        </is>
      </c>
      <c r="G291" s="55" t="n">
        <v>83</v>
      </c>
      <c r="H291" s="55" t="n">
        <v>62</v>
      </c>
      <c r="I291" s="56" t="inlineStr">
        <is>
          <t>FBA19QLVD3FK shipped: 6; FBA19M1BX1SX receiving: 40; FBA19LC3BT3C receiving: 16</t>
        </is>
      </c>
      <c r="J291" s="57" t="n">
        <v>0.63</v>
      </c>
      <c r="K291" s="56" t="inlineStr">
        <is>
          <t>account data velocity</t>
        </is>
      </c>
      <c r="L291" s="58" t="n">
        <v>3.0688</v>
      </c>
      <c r="M291" s="56" t="inlineStr">
        <is>
          <t>own BFCM 2025 lift (account data)</t>
        </is>
      </c>
      <c r="N291" s="59">
        <f>J291*34+J291*L291*12</f>
        <v/>
      </c>
      <c r="O291" s="59">
        <f>MAX(0,N291-G291-H291)</f>
        <v/>
      </c>
      <c r="P291" s="60">
        <f>IF(J291=0,"",IF(G291&lt;J291*34,DATE(2026,10,15)+G291/J291,IF(G291&lt;N291,DATE(2026,11,18)+(G291-J291*34)/(J291*L291),"after Nov 30")))</f>
        <v/>
      </c>
      <c r="Q291" s="60">
        <f>IF(J291=0,"",IF(G291+H291&lt;J291*34,DATE(2026,10,15)+(G291+H291)/J291,IF(G291+H291&lt;N291,DATE(2026,11,18)+(G291+H291-J291*34)/(J291*L291),"after Nov 30")))</f>
        <v/>
      </c>
      <c r="R291" s="54">
        <f>IF(AND(G291&lt;=0,J291&gt;0),"Out of stock now",IF(G291&gt;=N291,"Covered to Nov 30",IF(G291+H291&gt;=N291,"Needs inbound in time","Short even with inbound")))</f>
        <v/>
      </c>
      <c r="S291" s="57" t="n">
        <v>0.75</v>
      </c>
      <c r="T291" s="59">
        <f>IF(S291="","",S291*34+S291*L291*12)</f>
        <v/>
      </c>
    </row>
    <row r="292">
      <c r="A292" s="54" t="inlineStr">
        <is>
          <t>CA DC B6</t>
        </is>
      </c>
      <c r="B292" s="54" t="inlineStr">
        <is>
          <t>CA</t>
        </is>
      </c>
      <c r="C292" s="54" t="inlineStr">
        <is>
          <t>B0CQ32S4ML</t>
        </is>
      </c>
      <c r="D292" s="54" t="inlineStr">
        <is>
          <t>BAMBOO-KING-GREY-6PCS</t>
        </is>
      </c>
      <c r="E292" s="54" t="inlineStr">
        <is>
          <t>King</t>
        </is>
      </c>
      <c r="F292" s="54" t="inlineStr">
        <is>
          <t>Grey</t>
        </is>
      </c>
      <c r="G292" s="55" t="n">
        <v>0</v>
      </c>
      <c r="H292" s="55" t="n">
        <v>0</v>
      </c>
      <c r="I292" s="56" t="inlineStr">
        <is>
          <t>FBA19MV0YVFX shipped: 24</t>
        </is>
      </c>
      <c r="J292" s="57" t="n">
        <v>0.6</v>
      </c>
      <c r="K292" s="56" t="inlineStr">
        <is>
          <t>account data velocity</t>
        </is>
      </c>
      <c r="L292" s="58" t="n">
        <v>3.0688</v>
      </c>
      <c r="M292" s="56" t="inlineStr">
        <is>
          <t>own BFCM 2025 lift (account data)</t>
        </is>
      </c>
      <c r="N292" s="59">
        <f>J292*34+J292*L292*12</f>
        <v/>
      </c>
      <c r="O292" s="59">
        <f>MAX(0,N292-G292-H292)</f>
        <v/>
      </c>
      <c r="P292" s="60">
        <f>IF(J292=0,"",IF(G292&lt;J292*34,DATE(2026,10,15)+G292/J292,IF(G292&lt;N292,DATE(2026,11,18)+(G292-J292*34)/(J292*L292),"after Nov 30")))</f>
        <v/>
      </c>
      <c r="Q292" s="60">
        <f>IF(J292=0,"",IF(G292+H292&lt;J292*34,DATE(2026,10,15)+(G292+H292)/J292,IF(G292+H292&lt;N292,DATE(2026,11,18)+(G292+H292-J292*34)/(J292*L292),"after Nov 30")))</f>
        <v/>
      </c>
      <c r="R292" s="54">
        <f>IF(AND(G292&lt;=0,J292&gt;0),"Out of stock now",IF(G292&gt;=N292,"Covered to Nov 30",IF(G292+H292&gt;=N292,"Needs inbound in time","Short even with inbound")))</f>
        <v/>
      </c>
      <c r="S292" s="57" t="n">
        <v>0.036</v>
      </c>
      <c r="T292" s="59">
        <f>IF(S292="","",S292*34+S292*L292*12)</f>
        <v/>
      </c>
    </row>
    <row r="293">
      <c r="A293" s="54" t="inlineStr">
        <is>
          <t>CA DC B6</t>
        </is>
      </c>
      <c r="B293" s="54" t="inlineStr">
        <is>
          <t>CA</t>
        </is>
      </c>
      <c r="C293" s="54" t="inlineStr">
        <is>
          <t>B0CQ318RHN</t>
        </is>
      </c>
      <c r="D293" s="54" t="inlineStr">
        <is>
          <t>BAMBOO-FULL-MIDGREY-6PCS</t>
        </is>
      </c>
      <c r="E293" s="54" t="inlineStr">
        <is>
          <t>Full</t>
        </is>
      </c>
      <c r="F293" s="54" t="inlineStr">
        <is>
          <t>Midgrey</t>
        </is>
      </c>
      <c r="G293" s="55" t="n">
        <v>5</v>
      </c>
      <c r="H293" s="55" t="n">
        <v>0</v>
      </c>
      <c r="I293" s="56" t="n"/>
      <c r="J293" s="57" t="n">
        <v>0.57</v>
      </c>
      <c r="K293" s="56" t="inlineStr">
        <is>
          <t>account data velocity</t>
        </is>
      </c>
      <c r="L293" s="58" t="n">
        <v>3.0688</v>
      </c>
      <c r="M293" s="56" t="inlineStr">
        <is>
          <t>own BFCM 2025 lift (account data)</t>
        </is>
      </c>
      <c r="N293" s="59">
        <f>J293*34+J293*L293*12</f>
        <v/>
      </c>
      <c r="O293" s="59">
        <f>MAX(0,N293-G293-H293)</f>
        <v/>
      </c>
      <c r="P293" s="60">
        <f>IF(J293=0,"",IF(G293&lt;J293*34,DATE(2026,10,15)+G293/J293,IF(G293&lt;N293,DATE(2026,11,18)+(G293-J293*34)/(J293*L293),"after Nov 30")))</f>
        <v/>
      </c>
      <c r="Q293" s="60">
        <f>IF(J293=0,"",IF(G293+H293&lt;J293*34,DATE(2026,10,15)+(G293+H293)/J293,IF(G293+H293&lt;N293,DATE(2026,11,18)+(G293+H293-J293*34)/(J293*L293),"after Nov 30")))</f>
        <v/>
      </c>
      <c r="R293" s="54">
        <f>IF(AND(G293&lt;=0,J293&gt;0),"Out of stock now",IF(G293&gt;=N293,"Covered to Nov 30",IF(G293+H293&gt;=N293,"Needs inbound in time","Short even with inbound")))</f>
        <v/>
      </c>
      <c r="S293" s="57" t="n">
        <v>0.393</v>
      </c>
      <c r="T293" s="59">
        <f>IF(S293="","",S293*34+S293*L293*12)</f>
        <v/>
      </c>
    </row>
    <row r="294">
      <c r="A294" s="54" t="inlineStr">
        <is>
          <t>CA DC B6</t>
        </is>
      </c>
      <c r="B294" s="54" t="inlineStr">
        <is>
          <t>CA</t>
        </is>
      </c>
      <c r="C294" s="54" t="inlineStr">
        <is>
          <t>B0CQ33ZGQ4</t>
        </is>
      </c>
      <c r="D294" s="54" t="inlineStr">
        <is>
          <t>BAMBOO-FULL-OLIVE-6PCS</t>
        </is>
      </c>
      <c r="E294" s="54" t="inlineStr">
        <is>
          <t>Full</t>
        </is>
      </c>
      <c r="F294" s="54" t="inlineStr">
        <is>
          <t>Olive</t>
        </is>
      </c>
      <c r="G294" s="55" t="n">
        <v>46</v>
      </c>
      <c r="H294" s="55" t="n">
        <v>24</v>
      </c>
      <c r="I294" s="56" t="inlineStr">
        <is>
          <t>FBA19MDGSL3P receiving: 6</t>
        </is>
      </c>
      <c r="J294" s="57" t="n">
        <v>0.52</v>
      </c>
      <c r="K294" s="56" t="inlineStr">
        <is>
          <t>account data velocity</t>
        </is>
      </c>
      <c r="L294" s="58" t="n">
        <v>3.0688</v>
      </c>
      <c r="M294" s="56" t="inlineStr">
        <is>
          <t>own BFCM 2025 lift (account data)</t>
        </is>
      </c>
      <c r="N294" s="59">
        <f>J294*34+J294*L294*12</f>
        <v/>
      </c>
      <c r="O294" s="59">
        <f>MAX(0,N294-G294-H294)</f>
        <v/>
      </c>
      <c r="P294" s="60">
        <f>IF(J294=0,"",IF(G294&lt;J294*34,DATE(2026,10,15)+G294/J294,IF(G294&lt;N294,DATE(2026,11,18)+(G294-J294*34)/(J294*L294),"after Nov 30")))</f>
        <v/>
      </c>
      <c r="Q294" s="60">
        <f>IF(J294=0,"",IF(G294+H294&lt;J294*34,DATE(2026,10,15)+(G294+H294)/J294,IF(G294+H294&lt;N294,DATE(2026,11,18)+(G294+H294-J294*34)/(J294*L294),"after Nov 30")))</f>
        <v/>
      </c>
      <c r="R294" s="54">
        <f>IF(AND(G294&lt;=0,J294&gt;0),"Out of stock now",IF(G294&gt;=N294,"Covered to Nov 30",IF(G294+H294&gt;=N294,"Needs inbound in time","Short even with inbound")))</f>
        <v/>
      </c>
      <c r="S294" s="57" t="n">
        <v>0.214</v>
      </c>
      <c r="T294" s="59">
        <f>IF(S294="","",S294*34+S294*L294*12)</f>
        <v/>
      </c>
    </row>
    <row r="295">
      <c r="A295" s="54" t="inlineStr">
        <is>
          <t>CA DC B6</t>
        </is>
      </c>
      <c r="B295" s="54" t="inlineStr">
        <is>
          <t>CA</t>
        </is>
      </c>
      <c r="C295" s="54" t="inlineStr">
        <is>
          <t>B0CQ33K3TL</t>
        </is>
      </c>
      <c r="D295" s="54" t="inlineStr">
        <is>
          <t>BAMBOO-QUEEN-LIGHTGREY-6PCS</t>
        </is>
      </c>
      <c r="E295" s="54" t="inlineStr">
        <is>
          <t>Queen</t>
        </is>
      </c>
      <c r="F295" s="54" t="inlineStr">
        <is>
          <t>Light Grey</t>
        </is>
      </c>
      <c r="G295" s="55" t="n">
        <v>116</v>
      </c>
      <c r="H295" s="55" t="n">
        <v>300</v>
      </c>
      <c r="I295" s="56" t="n"/>
      <c r="J295" s="57" t="n">
        <v>0.44</v>
      </c>
      <c r="K295" s="56" t="inlineStr">
        <is>
          <t>account data velocity</t>
        </is>
      </c>
      <c r="L295" s="58" t="n">
        <v>3.0688</v>
      </c>
      <c r="M295" s="56" t="inlineStr">
        <is>
          <t>own BFCM 2025 lift (account data)</t>
        </is>
      </c>
      <c r="N295" s="59">
        <f>J295*34+J295*L295*12</f>
        <v/>
      </c>
      <c r="O295" s="59">
        <f>MAX(0,N295-G295-H295)</f>
        <v/>
      </c>
      <c r="P295" s="60">
        <f>IF(J295=0,"",IF(G295&lt;J295*34,DATE(2026,10,15)+G295/J295,IF(G295&lt;N295,DATE(2026,11,18)+(G295-J295*34)/(J295*L295),"after Nov 30")))</f>
        <v/>
      </c>
      <c r="Q295" s="60">
        <f>IF(J295=0,"",IF(G295+H295&lt;J295*34,DATE(2026,10,15)+(G295+H295)/J295,IF(G295+H295&lt;N295,DATE(2026,11,18)+(G295+H295-J295*34)/(J295*L295),"after Nov 30")))</f>
        <v/>
      </c>
      <c r="R295" s="54">
        <f>IF(AND(G295&lt;=0,J295&gt;0),"Out of stock now",IF(G295&gt;=N295,"Covered to Nov 30",IF(G295+H295&gt;=N295,"Needs inbound in time","Short even with inbound")))</f>
        <v/>
      </c>
      <c r="S295" s="57" t="n">
        <v>0.429</v>
      </c>
      <c r="T295" s="59">
        <f>IF(S295="","",S295*34+S295*L295*12)</f>
        <v/>
      </c>
    </row>
    <row r="296">
      <c r="A296" s="54" t="inlineStr">
        <is>
          <t>CA DC B6</t>
        </is>
      </c>
      <c r="B296" s="54" t="inlineStr">
        <is>
          <t>CA</t>
        </is>
      </c>
      <c r="C296" s="54" t="inlineStr">
        <is>
          <t>B0CQ31X65Y</t>
        </is>
      </c>
      <c r="D296" s="54" t="inlineStr">
        <is>
          <t>BAMBOO-KING-LIGHTBLUE-6PCS</t>
        </is>
      </c>
      <c r="E296" s="54" t="inlineStr">
        <is>
          <t>King</t>
        </is>
      </c>
      <c r="F296" s="54" t="inlineStr">
        <is>
          <t>Light Blue</t>
        </is>
      </c>
      <c r="G296" s="55" t="n">
        <v>16</v>
      </c>
      <c r="H296" s="55" t="n">
        <v>128</v>
      </c>
      <c r="I296" s="56" t="inlineStr">
        <is>
          <t>FBA19QLVD3FK shipped: 16</t>
        </is>
      </c>
      <c r="J296" s="57" t="n">
        <v>0.4</v>
      </c>
      <c r="K296" s="56" t="inlineStr">
        <is>
          <t>account data velocity</t>
        </is>
      </c>
      <c r="L296" s="58" t="n">
        <v>3.0688</v>
      </c>
      <c r="M296" s="56" t="inlineStr">
        <is>
          <t>own BFCM 2025 lift (account data)</t>
        </is>
      </c>
      <c r="N296" s="59">
        <f>J296*34+J296*L296*12</f>
        <v/>
      </c>
      <c r="O296" s="59">
        <f>MAX(0,N296-G296-H296)</f>
        <v/>
      </c>
      <c r="P296" s="60">
        <f>IF(J296=0,"",IF(G296&lt;J296*34,DATE(2026,10,15)+G296/J296,IF(G296&lt;N296,DATE(2026,11,18)+(G296-J296*34)/(J296*L296),"after Nov 30")))</f>
        <v/>
      </c>
      <c r="Q296" s="60">
        <f>IF(J296=0,"",IF(G296+H296&lt;J296*34,DATE(2026,10,15)+(G296+H296)/J296,IF(G296+H296&lt;N296,DATE(2026,11,18)+(G296+H296-J296*34)/(J296*L296),"after Nov 30")))</f>
        <v/>
      </c>
      <c r="R296" s="54">
        <f>IF(AND(G296&lt;=0,J296&gt;0),"Out of stock now",IF(G296&gt;=N296,"Covered to Nov 30",IF(G296+H296&gt;=N296,"Needs inbound in time","Short even with inbound")))</f>
        <v/>
      </c>
      <c r="S296" s="57" t="n">
        <v>0.429</v>
      </c>
      <c r="T296" s="59">
        <f>IF(S296="","",S296*34+S296*L296*12)</f>
        <v/>
      </c>
    </row>
    <row r="297">
      <c r="A297" s="54" t="inlineStr">
        <is>
          <t>CA DC B6</t>
        </is>
      </c>
      <c r="B297" s="54" t="inlineStr">
        <is>
          <t>CA</t>
        </is>
      </c>
      <c r="C297" s="54" t="inlineStr">
        <is>
          <t>B0CQ328N9Z</t>
        </is>
      </c>
      <c r="D297" s="54" t="inlineStr">
        <is>
          <t>BAMBOO-KING-PURPLE-6PCS</t>
        </is>
      </c>
      <c r="E297" s="54" t="inlineStr">
        <is>
          <t>King</t>
        </is>
      </c>
      <c r="F297" s="54" t="inlineStr">
        <is>
          <t>Purple</t>
        </is>
      </c>
      <c r="G297" s="55" t="n">
        <v>31</v>
      </c>
      <c r="H297" s="55" t="n">
        <v>36</v>
      </c>
      <c r="I297" s="56" t="inlineStr">
        <is>
          <t>FBA19QLVD3FK shipped: 36</t>
        </is>
      </c>
      <c r="J297" s="57" t="n">
        <v>0.31</v>
      </c>
      <c r="K297" s="56" t="inlineStr">
        <is>
          <t>account data velocity</t>
        </is>
      </c>
      <c r="L297" s="58" t="n">
        <v>3.0688</v>
      </c>
      <c r="M297" s="56" t="inlineStr">
        <is>
          <t>own BFCM 2025 lift (account data)</t>
        </is>
      </c>
      <c r="N297" s="59">
        <f>J297*34+J297*L297*12</f>
        <v/>
      </c>
      <c r="O297" s="59">
        <f>MAX(0,N297-G297-H297)</f>
        <v/>
      </c>
      <c r="P297" s="60">
        <f>IF(J297=0,"",IF(G297&lt;J297*34,DATE(2026,10,15)+G297/J297,IF(G297&lt;N297,DATE(2026,11,18)+(G297-J297*34)/(J297*L297),"after Nov 30")))</f>
        <v/>
      </c>
      <c r="Q297" s="60">
        <f>IF(J297=0,"",IF(G297+H297&lt;J297*34,DATE(2026,10,15)+(G297+H297)/J297,IF(G297+H297&lt;N297,DATE(2026,11,18)+(G297+H297-J297*34)/(J297*L297),"after Nov 30")))</f>
        <v/>
      </c>
      <c r="R297" s="54">
        <f>IF(AND(G297&lt;=0,J297&gt;0),"Out of stock now",IF(G297&gt;=N297,"Covered to Nov 30",IF(G297+H297&gt;=N297,"Needs inbound in time","Short even with inbound")))</f>
        <v/>
      </c>
      <c r="S297" s="57" t="n">
        <v>0.321</v>
      </c>
      <c r="T297" s="59">
        <f>IF(S297="","",S297*34+S297*L297*12)</f>
        <v/>
      </c>
    </row>
    <row r="298">
      <c r="A298" s="54" t="inlineStr">
        <is>
          <t>CA DC B6</t>
        </is>
      </c>
      <c r="B298" s="54" t="inlineStr">
        <is>
          <t>CA</t>
        </is>
      </c>
      <c r="C298" s="54" t="inlineStr">
        <is>
          <t>B0CQ3437ZF</t>
        </is>
      </c>
      <c r="D298" s="54" t="inlineStr">
        <is>
          <t>BAMBOO-KING-LIGHT PINK-6PCS</t>
        </is>
      </c>
      <c r="E298" s="54" t="inlineStr">
        <is>
          <t>King</t>
        </is>
      </c>
      <c r="F298" s="54" t="inlineStr">
        <is>
          <t>Light Pink</t>
        </is>
      </c>
      <c r="G298" s="55" t="n">
        <v>60</v>
      </c>
      <c r="H298" s="55" t="n">
        <v>64</v>
      </c>
      <c r="I298" s="56" t="n"/>
      <c r="J298" s="57" t="n">
        <v>0.31</v>
      </c>
      <c r="K298" s="56" t="inlineStr">
        <is>
          <t>account data velocity</t>
        </is>
      </c>
      <c r="L298" s="58" t="n">
        <v>3.0688</v>
      </c>
      <c r="M298" s="56" t="inlineStr">
        <is>
          <t>own BFCM 2025 lift (account data)</t>
        </is>
      </c>
      <c r="N298" s="59">
        <f>J298*34+J298*L298*12</f>
        <v/>
      </c>
      <c r="O298" s="59">
        <f>MAX(0,N298-G298-H298)</f>
        <v/>
      </c>
      <c r="P298" s="60">
        <f>IF(J298=0,"",IF(G298&lt;J298*34,DATE(2026,10,15)+G298/J298,IF(G298&lt;N298,DATE(2026,11,18)+(G298-J298*34)/(J298*L298),"after Nov 30")))</f>
        <v/>
      </c>
      <c r="Q298" s="60">
        <f>IF(J298=0,"",IF(G298+H298&lt;J298*34,DATE(2026,10,15)+(G298+H298)/J298,IF(G298+H298&lt;N298,DATE(2026,11,18)+(G298+H298-J298*34)/(J298*L298),"after Nov 30")))</f>
        <v/>
      </c>
      <c r="R298" s="54">
        <f>IF(AND(G298&lt;=0,J298&gt;0),"Out of stock now",IF(G298&gt;=N298,"Covered to Nov 30",IF(G298+H298&gt;=N298,"Needs inbound in time","Short even with inbound")))</f>
        <v/>
      </c>
      <c r="S298" s="57" t="n">
        <v>0.286</v>
      </c>
      <c r="T298" s="59">
        <f>IF(S298="","",S298*34+S298*L298*12)</f>
        <v/>
      </c>
    </row>
    <row r="299">
      <c r="A299" s="54" t="inlineStr">
        <is>
          <t>CA DC B6</t>
        </is>
      </c>
      <c r="B299" s="54" t="inlineStr">
        <is>
          <t>CA</t>
        </is>
      </c>
      <c r="C299" s="54" t="inlineStr">
        <is>
          <t>B0CQ31PZ8Q</t>
        </is>
      </c>
      <c r="D299" s="54" t="inlineStr">
        <is>
          <t>BAMBOO-QUEEN-LIGHT PINK-6PCS</t>
        </is>
      </c>
      <c r="E299" s="54" t="inlineStr">
        <is>
          <t>Queen</t>
        </is>
      </c>
      <c r="F299" s="54" t="inlineStr">
        <is>
          <t>Light Pink</t>
        </is>
      </c>
      <c r="G299" s="55" t="n">
        <v>22</v>
      </c>
      <c r="H299" s="55" t="n">
        <v>72</v>
      </c>
      <c r="I299" s="56" t="inlineStr">
        <is>
          <t>FBA19QLVD3FK shipped: 72</t>
        </is>
      </c>
      <c r="J299" s="57" t="n">
        <v>0.29</v>
      </c>
      <c r="K299" s="56" t="inlineStr">
        <is>
          <t>account data velocity</t>
        </is>
      </c>
      <c r="L299" s="58" t="n">
        <v>3.0688</v>
      </c>
      <c r="M299" s="56" t="inlineStr">
        <is>
          <t>own BFCM 2025 lift (account data)</t>
        </is>
      </c>
      <c r="N299" s="59">
        <f>J299*34+J299*L299*12</f>
        <v/>
      </c>
      <c r="O299" s="59">
        <f>MAX(0,N299-G299-H299)</f>
        <v/>
      </c>
      <c r="P299" s="60">
        <f>IF(J299=0,"",IF(G299&lt;J299*34,DATE(2026,10,15)+G299/J299,IF(G299&lt;N299,DATE(2026,11,18)+(G299-J299*34)/(J299*L299),"after Nov 30")))</f>
        <v/>
      </c>
      <c r="Q299" s="60">
        <f>IF(J299=0,"",IF(G299+H299&lt;J299*34,DATE(2026,10,15)+(G299+H299)/J299,IF(G299+H299&lt;N299,DATE(2026,11,18)+(G299+H299-J299*34)/(J299*L299),"after Nov 30")))</f>
        <v/>
      </c>
      <c r="R299" s="54">
        <f>IF(AND(G299&lt;=0,J299&gt;0),"Out of stock now",IF(G299&gt;=N299,"Covered to Nov 30",IF(G299+H299&gt;=N299,"Needs inbound in time","Short even with inbound")))</f>
        <v/>
      </c>
      <c r="S299" s="57" t="n">
        <v>0.393</v>
      </c>
      <c r="T299" s="59">
        <f>IF(S299="","",S299*34+S299*L299*12)</f>
        <v/>
      </c>
    </row>
    <row r="300">
      <c r="A300" s="54" t="inlineStr">
        <is>
          <t>CA DC B6</t>
        </is>
      </c>
      <c r="B300" s="54" t="inlineStr">
        <is>
          <t>CA</t>
        </is>
      </c>
      <c r="C300" s="54" t="inlineStr">
        <is>
          <t>B0CQ2YDPDS</t>
        </is>
      </c>
      <c r="D300" s="54" t="inlineStr">
        <is>
          <t>BAMBOO-KING-OLIVE-6PCS</t>
        </is>
      </c>
      <c r="E300" s="54" t="inlineStr">
        <is>
          <t>King</t>
        </is>
      </c>
      <c r="F300" s="54" t="inlineStr">
        <is>
          <t>Olive</t>
        </is>
      </c>
      <c r="G300" s="55" t="n">
        <v>0</v>
      </c>
      <c r="H300" s="55" t="n">
        <v>0</v>
      </c>
      <c r="I300" s="56" t="n"/>
      <c r="J300" s="57" t="n">
        <v>0.25</v>
      </c>
      <c r="K300" s="56" t="inlineStr">
        <is>
          <t>account data velocity</t>
        </is>
      </c>
      <c r="L300" s="58" t="n">
        <v>3.0688</v>
      </c>
      <c r="M300" s="56" t="inlineStr">
        <is>
          <t>own BFCM 2025 lift (account data)</t>
        </is>
      </c>
      <c r="N300" s="59">
        <f>J300*34+J300*L300*12</f>
        <v/>
      </c>
      <c r="O300" s="59">
        <f>MAX(0,N300-G300-H300)</f>
        <v/>
      </c>
      <c r="P300" s="60">
        <f>IF(J300=0,"",IF(G300&lt;J300*34,DATE(2026,10,15)+G300/J300,IF(G300&lt;N300,DATE(2026,11,18)+(G300-J300*34)/(J300*L300),"after Nov 30")))</f>
        <v/>
      </c>
      <c r="Q300" s="60">
        <f>IF(J300=0,"",IF(G300+H300&lt;J300*34,DATE(2026,10,15)+(G300+H300)/J300,IF(G300+H300&lt;N300,DATE(2026,11,18)+(G300+H300-J300*34)/(J300*L300),"after Nov 30")))</f>
        <v/>
      </c>
      <c r="R300" s="54">
        <f>IF(AND(G300&lt;=0,J300&gt;0),"Out of stock now",IF(G300&gt;=N300,"Covered to Nov 30",IF(G300+H300&gt;=N300,"Needs inbound in time","Short even with inbound")))</f>
        <v/>
      </c>
      <c r="S300" s="57" t="n">
        <v>0</v>
      </c>
      <c r="T300" s="59">
        <f>IF(S300="","",S300*34+S300*L300*12)</f>
        <v/>
      </c>
    </row>
    <row r="301">
      <c r="A301" s="54" t="inlineStr">
        <is>
          <t>CA DC B6</t>
        </is>
      </c>
      <c r="B301" s="54" t="inlineStr">
        <is>
          <t>CA</t>
        </is>
      </c>
      <c r="C301" s="54" t="inlineStr">
        <is>
          <t>B0CQ3CDRTN</t>
        </is>
      </c>
      <c r="D301" s="54" t="inlineStr">
        <is>
          <t>BAMBOO-QUEEN-SAGE GREEN-6PCS</t>
        </is>
      </c>
      <c r="E301" s="54" t="inlineStr">
        <is>
          <t>Queen</t>
        </is>
      </c>
      <c r="F301" s="54" t="inlineStr">
        <is>
          <t>Sage Green</t>
        </is>
      </c>
      <c r="G301" s="55" t="n">
        <v>120</v>
      </c>
      <c r="H301" s="55" t="n">
        <v>84</v>
      </c>
      <c r="I301" s="56" t="n"/>
      <c r="J301" s="57" t="n">
        <v>0.22</v>
      </c>
      <c r="K301" s="56" t="inlineStr">
        <is>
          <t>account data velocity</t>
        </is>
      </c>
      <c r="L301" s="58" t="n">
        <v>3.0688</v>
      </c>
      <c r="M301" s="56" t="inlineStr">
        <is>
          <t>own BFCM 2025 lift (account data)</t>
        </is>
      </c>
      <c r="N301" s="59">
        <f>J301*34+J301*L301*12</f>
        <v/>
      </c>
      <c r="O301" s="59">
        <f>MAX(0,N301-G301-H301)</f>
        <v/>
      </c>
      <c r="P301" s="60">
        <f>IF(J301=0,"",IF(G301&lt;J301*34,DATE(2026,10,15)+G301/J301,IF(G301&lt;N301,DATE(2026,11,18)+(G301-J301*34)/(J301*L301),"after Nov 30")))</f>
        <v/>
      </c>
      <c r="Q301" s="60">
        <f>IF(J301=0,"",IF(G301+H301&lt;J301*34,DATE(2026,10,15)+(G301+H301)/J301,IF(G301+H301&lt;N301,DATE(2026,11,18)+(G301+H301-J301*34)/(J301*L301),"after Nov 30")))</f>
        <v/>
      </c>
      <c r="R301" s="54">
        <f>IF(AND(G301&lt;=0,J301&gt;0),"Out of stock now",IF(G301&gt;=N301,"Covered to Nov 30",IF(G301+H301&gt;=N301,"Needs inbound in time","Short even with inbound")))</f>
        <v/>
      </c>
      <c r="S301" s="57" t="n">
        <v>0.214</v>
      </c>
      <c r="T301" s="59">
        <f>IF(S301="","",S301*34+S301*L301*12)</f>
        <v/>
      </c>
    </row>
    <row r="302">
      <c r="A302" s="54" t="inlineStr">
        <is>
          <t>CA DC B6</t>
        </is>
      </c>
      <c r="B302" s="54" t="inlineStr">
        <is>
          <t>CA</t>
        </is>
      </c>
      <c r="C302" s="54" t="inlineStr">
        <is>
          <t>B0CQ2ZYZJT</t>
        </is>
      </c>
      <c r="D302" s="54" t="inlineStr">
        <is>
          <t>BAMBOO-CALIFKING-WHITE-6PCS</t>
        </is>
      </c>
      <c r="E302" s="54" t="inlineStr">
        <is>
          <t>California King</t>
        </is>
      </c>
      <c r="F302" s="54" t="inlineStr">
        <is>
          <t>White</t>
        </is>
      </c>
      <c r="G302" s="55" t="n">
        <v>37</v>
      </c>
      <c r="H302" s="55" t="n">
        <v>72</v>
      </c>
      <c r="I302" s="56" t="inlineStr">
        <is>
          <t>FBA19QLVD3FK shipped: 72</t>
        </is>
      </c>
      <c r="J302" s="57" t="n">
        <v>0.2</v>
      </c>
      <c r="K302" s="56" t="inlineStr">
        <is>
          <t>account data velocity</t>
        </is>
      </c>
      <c r="L302" s="58" t="n">
        <v>3.0688</v>
      </c>
      <c r="M302" s="56" t="inlineStr">
        <is>
          <t>own BFCM 2025 lift (account data)</t>
        </is>
      </c>
      <c r="N302" s="59">
        <f>J302*34+J302*L302*12</f>
        <v/>
      </c>
      <c r="O302" s="59">
        <f>MAX(0,N302-G302-H302)</f>
        <v/>
      </c>
      <c r="P302" s="60">
        <f>IF(J302=0,"",IF(G302&lt;J302*34,DATE(2026,10,15)+G302/J302,IF(G302&lt;N302,DATE(2026,11,18)+(G302-J302*34)/(J302*L302),"after Nov 30")))</f>
        <v/>
      </c>
      <c r="Q302" s="60">
        <f>IF(J302=0,"",IF(G302+H302&lt;J302*34,DATE(2026,10,15)+(G302+H302)/J302,IF(G302+H302&lt;N302,DATE(2026,11,18)+(G302+H302-J302*34)/(J302*L302),"after Nov 30")))</f>
        <v/>
      </c>
      <c r="R302" s="54">
        <f>IF(AND(G302&lt;=0,J302&gt;0),"Out of stock now",IF(G302&gt;=N302,"Covered to Nov 30",IF(G302+H302&gt;=N302,"Needs inbound in time","Short even with inbound")))</f>
        <v/>
      </c>
      <c r="S302" s="57" t="n">
        <v>0.107</v>
      </c>
      <c r="T302" s="59">
        <f>IF(S302="","",S302*34+S302*L302*12)</f>
        <v/>
      </c>
    </row>
    <row r="303">
      <c r="A303" s="54" t="inlineStr">
        <is>
          <t>CA DC B6</t>
        </is>
      </c>
      <c r="B303" s="54" t="inlineStr">
        <is>
          <t>CA</t>
        </is>
      </c>
      <c r="C303" s="54" t="inlineStr">
        <is>
          <t>B0CQ34D2QS</t>
        </is>
      </c>
      <c r="D303" s="54" t="inlineStr">
        <is>
          <t>BAMBOO-TWIN-WHITE-6PCS</t>
        </is>
      </c>
      <c r="E303" s="54" t="inlineStr">
        <is>
          <t>Twin</t>
        </is>
      </c>
      <c r="F303" s="54" t="inlineStr">
        <is>
          <t>White</t>
        </is>
      </c>
      <c r="G303" s="55" t="n">
        <v>0</v>
      </c>
      <c r="H303" s="55" t="n">
        <v>0</v>
      </c>
      <c r="I303" s="56" t="inlineStr">
        <is>
          <t>FBA19QLVD3FK shipped: 18; FBA19MV0YVFX shipped: 60</t>
        </is>
      </c>
      <c r="J303" s="57" t="n">
        <v>0.2</v>
      </c>
      <c r="K303" s="56" t="inlineStr">
        <is>
          <t>account data velocity</t>
        </is>
      </c>
      <c r="L303" s="58" t="n">
        <v>3.0688</v>
      </c>
      <c r="M303" s="56" t="inlineStr">
        <is>
          <t>own BFCM 2025 lift (account data)</t>
        </is>
      </c>
      <c r="N303" s="59">
        <f>J303*34+J303*L303*12</f>
        <v/>
      </c>
      <c r="O303" s="59">
        <f>MAX(0,N303-G303-H303)</f>
        <v/>
      </c>
      <c r="P303" s="60">
        <f>IF(J303=0,"",IF(G303&lt;J303*34,DATE(2026,10,15)+G303/J303,IF(G303&lt;N303,DATE(2026,11,18)+(G303-J303*34)/(J303*L303),"after Nov 30")))</f>
        <v/>
      </c>
      <c r="Q303" s="60">
        <f>IF(J303=0,"",IF(G303+H303&lt;J303*34,DATE(2026,10,15)+(G303+H303)/J303,IF(G303+H303&lt;N303,DATE(2026,11,18)+(G303+H303-J303*34)/(J303*L303),"after Nov 30")))</f>
        <v/>
      </c>
      <c r="R303" s="54">
        <f>IF(AND(G303&lt;=0,J303&gt;0),"Out of stock now",IF(G303&gt;=N303,"Covered to Nov 30",IF(G303+H303&gt;=N303,"Needs inbound in time","Short even with inbound")))</f>
        <v/>
      </c>
      <c r="S303" s="57" t="n">
        <v>0.036</v>
      </c>
      <c r="T303" s="59">
        <f>IF(S303="","",S303*34+S303*L303*12)</f>
        <v/>
      </c>
    </row>
    <row r="304">
      <c r="A304" s="54" t="inlineStr">
        <is>
          <t>CA DC B6</t>
        </is>
      </c>
      <c r="B304" s="54" t="inlineStr">
        <is>
          <t>CA</t>
        </is>
      </c>
      <c r="C304" s="54" t="inlineStr">
        <is>
          <t>B0CQ2YZ364</t>
        </is>
      </c>
      <c r="D304" s="54" t="inlineStr">
        <is>
          <t>BAMBOO-TWIN-SAGE GREEN-6PCS</t>
        </is>
      </c>
      <c r="E304" s="54" t="inlineStr">
        <is>
          <t>Twin</t>
        </is>
      </c>
      <c r="F304" s="54" t="inlineStr">
        <is>
          <t>Sage Green</t>
        </is>
      </c>
      <c r="G304" s="55" t="n">
        <v>0</v>
      </c>
      <c r="H304" s="55" t="n">
        <v>0</v>
      </c>
      <c r="I304" s="56" t="inlineStr">
        <is>
          <t>FBA19QLVD3FK shipped: 12</t>
        </is>
      </c>
      <c r="J304" s="57" t="n">
        <v>0.2</v>
      </c>
      <c r="K304" s="56" t="inlineStr">
        <is>
          <t>account data velocity</t>
        </is>
      </c>
      <c r="L304" s="58" t="n">
        <v>3.0688</v>
      </c>
      <c r="M304" s="56" t="inlineStr">
        <is>
          <t>own BFCM 2025 lift (account data)</t>
        </is>
      </c>
      <c r="N304" s="59">
        <f>J304*34+J304*L304*12</f>
        <v/>
      </c>
      <c r="O304" s="59">
        <f>MAX(0,N304-G304-H304)</f>
        <v/>
      </c>
      <c r="P304" s="60">
        <f>IF(J304=0,"",IF(G304&lt;J304*34,DATE(2026,10,15)+G304/J304,IF(G304&lt;N304,DATE(2026,11,18)+(G304-J304*34)/(J304*L304),"after Nov 30")))</f>
        <v/>
      </c>
      <c r="Q304" s="60">
        <f>IF(J304=0,"",IF(G304+H304&lt;J304*34,DATE(2026,10,15)+(G304+H304)/J304,IF(G304+H304&lt;N304,DATE(2026,11,18)+(G304+H304-J304*34)/(J304*L304),"after Nov 30")))</f>
        <v/>
      </c>
      <c r="R304" s="54">
        <f>IF(AND(G304&lt;=0,J304&gt;0),"Out of stock now",IF(G304&gt;=N304,"Covered to Nov 30",IF(G304+H304&gt;=N304,"Needs inbound in time","Short even with inbound")))</f>
        <v/>
      </c>
      <c r="S304" s="57" t="n">
        <v>0</v>
      </c>
      <c r="T304" s="59">
        <f>IF(S304="","",S304*34+S304*L304*12)</f>
        <v/>
      </c>
    </row>
    <row r="305">
      <c r="A305" s="54" t="inlineStr">
        <is>
          <t>CA DC B6</t>
        </is>
      </c>
      <c r="B305" s="54" t="inlineStr">
        <is>
          <t>CA</t>
        </is>
      </c>
      <c r="C305" s="54" t="inlineStr">
        <is>
          <t>B0CQ311QX3</t>
        </is>
      </c>
      <c r="D305" s="54" t="inlineStr">
        <is>
          <t>BAMBOO-CALIFKING-NAVYBLUE-6PCS</t>
        </is>
      </c>
      <c r="E305" s="54" t="inlineStr">
        <is>
          <t>California King</t>
        </is>
      </c>
      <c r="F305" s="54" t="inlineStr">
        <is>
          <t>Navy Blue</t>
        </is>
      </c>
      <c r="G305" s="55" t="n">
        <v>8</v>
      </c>
      <c r="H305" s="55" t="n">
        <v>20</v>
      </c>
      <c r="I305" s="56" t="inlineStr">
        <is>
          <t>FBA19QLVD3FK shipped: 8</t>
        </is>
      </c>
      <c r="J305" s="57" t="n">
        <v>0.18</v>
      </c>
      <c r="K305" s="56" t="inlineStr">
        <is>
          <t>account data velocity</t>
        </is>
      </c>
      <c r="L305" s="58" t="n">
        <v>3.0688</v>
      </c>
      <c r="M305" s="56" t="inlineStr">
        <is>
          <t>own BFCM 2025 lift (account data)</t>
        </is>
      </c>
      <c r="N305" s="59">
        <f>J305*34+J305*L305*12</f>
        <v/>
      </c>
      <c r="O305" s="59">
        <f>MAX(0,N305-G305-H305)</f>
        <v/>
      </c>
      <c r="P305" s="60">
        <f>IF(J305=0,"",IF(G305&lt;J305*34,DATE(2026,10,15)+G305/J305,IF(G305&lt;N305,DATE(2026,11,18)+(G305-J305*34)/(J305*L305),"after Nov 30")))</f>
        <v/>
      </c>
      <c r="Q305" s="60">
        <f>IF(J305=0,"",IF(G305+H305&lt;J305*34,DATE(2026,10,15)+(G305+H305)/J305,IF(G305+H305&lt;N305,DATE(2026,11,18)+(G305+H305-J305*34)/(J305*L305),"after Nov 30")))</f>
        <v/>
      </c>
      <c r="R305" s="54">
        <f>IF(AND(G305&lt;=0,J305&gt;0),"Out of stock now",IF(G305&gt;=N305,"Covered to Nov 30",IF(G305+H305&gt;=N305,"Needs inbound in time","Short even with inbound")))</f>
        <v/>
      </c>
      <c r="S305" s="57" t="n">
        <v>0.143</v>
      </c>
      <c r="T305" s="59">
        <f>IF(S305="","",S305*34+S305*L305*12)</f>
        <v/>
      </c>
    </row>
    <row r="306">
      <c r="A306" s="54" t="inlineStr">
        <is>
          <t>CA DC B6</t>
        </is>
      </c>
      <c r="B306" s="54" t="inlineStr">
        <is>
          <t>CA</t>
        </is>
      </c>
      <c r="C306" s="54" t="inlineStr">
        <is>
          <t>B0CQ311KCT</t>
        </is>
      </c>
      <c r="D306" s="54" t="inlineStr">
        <is>
          <t>BAMBOO-FULL-TAUPE-6PCS</t>
        </is>
      </c>
      <c r="E306" s="54" t="inlineStr">
        <is>
          <t>Full</t>
        </is>
      </c>
      <c r="F306" s="54" t="inlineStr">
        <is>
          <t>Taupe</t>
        </is>
      </c>
      <c r="G306" s="55" t="n">
        <v>0</v>
      </c>
      <c r="H306" s="55" t="n">
        <v>0</v>
      </c>
      <c r="I306" s="56" t="inlineStr">
        <is>
          <t>FBA19QLVD3FK shipped: 6</t>
        </is>
      </c>
      <c r="J306" s="57" t="n">
        <v>0.15</v>
      </c>
      <c r="K306" s="56" t="inlineStr">
        <is>
          <t>account data velocity</t>
        </is>
      </c>
      <c r="L306" s="58" t="n">
        <v>3.0688</v>
      </c>
      <c r="M306" s="56" t="inlineStr">
        <is>
          <t>own BFCM 2025 lift (account data)</t>
        </is>
      </c>
      <c r="N306" s="59">
        <f>J306*34+J306*L306*12</f>
        <v/>
      </c>
      <c r="O306" s="59">
        <f>MAX(0,N306-G306-H306)</f>
        <v/>
      </c>
      <c r="P306" s="60">
        <f>IF(J306=0,"",IF(G306&lt;J306*34,DATE(2026,10,15)+G306/J306,IF(G306&lt;N306,DATE(2026,11,18)+(G306-J306*34)/(J306*L306),"after Nov 30")))</f>
        <v/>
      </c>
      <c r="Q306" s="60">
        <f>IF(J306=0,"",IF(G306+H306&lt;J306*34,DATE(2026,10,15)+(G306+H306)/J306,IF(G306+H306&lt;N306,DATE(2026,11,18)+(G306+H306-J306*34)/(J306*L306),"after Nov 30")))</f>
        <v/>
      </c>
      <c r="R306" s="54">
        <f>IF(AND(G306&lt;=0,J306&gt;0),"Out of stock now",IF(G306&gt;=N306,"Covered to Nov 30",IF(G306+H306&gt;=N306,"Needs inbound in time","Short even with inbound")))</f>
        <v/>
      </c>
      <c r="S306" s="57" t="n">
        <v>0.07099999999999999</v>
      </c>
      <c r="T306" s="59">
        <f>IF(S306="","",S306*34+S306*L306*12)</f>
        <v/>
      </c>
    </row>
    <row r="307">
      <c r="A307" s="54" t="inlineStr">
        <is>
          <t>CA DC B6</t>
        </is>
      </c>
      <c r="B307" s="54" t="inlineStr">
        <is>
          <t>CA</t>
        </is>
      </c>
      <c r="C307" s="54" t="inlineStr">
        <is>
          <t>B0CQ31N5Q5</t>
        </is>
      </c>
      <c r="D307" s="54" t="inlineStr">
        <is>
          <t>BAMBOO-TWIN-NAVYBLUE-6PCS</t>
        </is>
      </c>
      <c r="E307" s="54" t="inlineStr">
        <is>
          <t>Twin</t>
        </is>
      </c>
      <c r="F307" s="54" t="inlineStr">
        <is>
          <t>Navy Blue</t>
        </is>
      </c>
      <c r="G307" s="55" t="n">
        <v>2</v>
      </c>
      <c r="H307" s="55" t="n">
        <v>0</v>
      </c>
      <c r="I307" s="56" t="n"/>
      <c r="J307" s="57" t="n">
        <v>0.15</v>
      </c>
      <c r="K307" s="56" t="inlineStr">
        <is>
          <t>account data velocity</t>
        </is>
      </c>
      <c r="L307" s="58" t="n">
        <v>3.0688</v>
      </c>
      <c r="M307" s="56" t="inlineStr">
        <is>
          <t>own BFCM 2025 lift (account data)</t>
        </is>
      </c>
      <c r="N307" s="59">
        <f>J307*34+J307*L307*12</f>
        <v/>
      </c>
      <c r="O307" s="59">
        <f>MAX(0,N307-G307-H307)</f>
        <v/>
      </c>
      <c r="P307" s="60">
        <f>IF(J307=0,"",IF(G307&lt;J307*34,DATE(2026,10,15)+G307/J307,IF(G307&lt;N307,DATE(2026,11,18)+(G307-J307*34)/(J307*L307),"after Nov 30")))</f>
        <v/>
      </c>
      <c r="Q307" s="60">
        <f>IF(J307=0,"",IF(G307+H307&lt;J307*34,DATE(2026,10,15)+(G307+H307)/J307,IF(G307+H307&lt;N307,DATE(2026,11,18)+(G307+H307-J307*34)/(J307*L307),"after Nov 30")))</f>
        <v/>
      </c>
      <c r="R307" s="54">
        <f>IF(AND(G307&lt;=0,J307&gt;0),"Out of stock now",IF(G307&gt;=N307,"Covered to Nov 30",IF(G307+H307&gt;=N307,"Needs inbound in time","Short even with inbound")))</f>
        <v/>
      </c>
      <c r="S307" s="57" t="n">
        <v>0.036</v>
      </c>
      <c r="T307" s="59">
        <f>IF(S307="","",S307*34+S307*L307*12)</f>
        <v/>
      </c>
    </row>
    <row r="308">
      <c r="A308" s="54" t="inlineStr">
        <is>
          <t>CA DC B6</t>
        </is>
      </c>
      <c r="B308" s="54" t="inlineStr">
        <is>
          <t>CA</t>
        </is>
      </c>
      <c r="C308" s="54" t="inlineStr">
        <is>
          <t>B0CQ328DZM</t>
        </is>
      </c>
      <c r="D308" s="54" t="inlineStr">
        <is>
          <t>BAMBOO-CALIFKING-TAUPE-6PCS</t>
        </is>
      </c>
      <c r="E308" s="54" t="inlineStr">
        <is>
          <t>California King</t>
        </is>
      </c>
      <c r="F308" s="54" t="inlineStr">
        <is>
          <t>Taupe</t>
        </is>
      </c>
      <c r="G308" s="55" t="n">
        <v>0</v>
      </c>
      <c r="H308" s="55" t="n">
        <v>0</v>
      </c>
      <c r="I308" s="56" t="n"/>
      <c r="J308" s="57" t="n">
        <v>0.1</v>
      </c>
      <c r="K308" s="56" t="inlineStr">
        <is>
          <t>account data velocity</t>
        </is>
      </c>
      <c r="L308" s="58" t="n">
        <v>3.0688</v>
      </c>
      <c r="M308" s="56" t="inlineStr">
        <is>
          <t>own BFCM 2025 lift (account data)</t>
        </is>
      </c>
      <c r="N308" s="59">
        <f>J308*34+J308*L308*12</f>
        <v/>
      </c>
      <c r="O308" s="59">
        <f>MAX(0,N308-G308-H308)</f>
        <v/>
      </c>
      <c r="P308" s="60">
        <f>IF(J308=0,"",IF(G308&lt;J308*34,DATE(2026,10,15)+G308/J308,IF(G308&lt;N308,DATE(2026,11,18)+(G308-J308*34)/(J308*L308),"after Nov 30")))</f>
        <v/>
      </c>
      <c r="Q308" s="60">
        <f>IF(J308=0,"",IF(G308+H308&lt;J308*34,DATE(2026,10,15)+(G308+H308)/J308,IF(G308+H308&lt;N308,DATE(2026,11,18)+(G308+H308-J308*34)/(J308*L308),"after Nov 30")))</f>
        <v/>
      </c>
      <c r="R308" s="54">
        <f>IF(AND(G308&lt;=0,J308&gt;0),"Out of stock now",IF(G308&gt;=N308,"Covered to Nov 30",IF(G308+H308&gt;=N308,"Needs inbound in time","Short even with inbound")))</f>
        <v/>
      </c>
      <c r="S308" s="57" t="n">
        <v>0.036</v>
      </c>
      <c r="T308" s="59">
        <f>IF(S308="","",S308*34+S308*L308*12)</f>
        <v/>
      </c>
    </row>
    <row r="309">
      <c r="A309" s="54" t="inlineStr">
        <is>
          <t>CA DC B6</t>
        </is>
      </c>
      <c r="B309" s="54" t="inlineStr">
        <is>
          <t>CA</t>
        </is>
      </c>
      <c r="C309" s="54" t="inlineStr">
        <is>
          <t>B0CQ32JTTK</t>
        </is>
      </c>
      <c r="D309" s="54" t="inlineStr">
        <is>
          <t>BAMBOO-CALIFKING-CHARCOAL-6PCS</t>
        </is>
      </c>
      <c r="E309" s="54" t="inlineStr">
        <is>
          <t>California King</t>
        </is>
      </c>
      <c r="F309" s="54" t="inlineStr">
        <is>
          <t>Charcoal</t>
        </is>
      </c>
      <c r="G309" s="55" t="n">
        <v>2</v>
      </c>
      <c r="H309" s="55" t="n">
        <v>8</v>
      </c>
      <c r="I309" s="56" t="inlineStr">
        <is>
          <t>FBA19QLVD3FK shipped: 4</t>
        </is>
      </c>
      <c r="J309" s="57" t="n">
        <v>0.09</v>
      </c>
      <c r="K309" s="56" t="inlineStr">
        <is>
          <t>account data velocity</t>
        </is>
      </c>
      <c r="L309" s="58" t="n">
        <v>3.0688</v>
      </c>
      <c r="M309" s="56" t="inlineStr">
        <is>
          <t>own BFCM 2025 lift (account data)</t>
        </is>
      </c>
      <c r="N309" s="59">
        <f>J309*34+J309*L309*12</f>
        <v/>
      </c>
      <c r="O309" s="59">
        <f>MAX(0,N309-G309-H309)</f>
        <v/>
      </c>
      <c r="P309" s="60">
        <f>IF(J309=0,"",IF(G309&lt;J309*34,DATE(2026,10,15)+G309/J309,IF(G309&lt;N309,DATE(2026,11,18)+(G309-J309*34)/(J309*L309),"after Nov 30")))</f>
        <v/>
      </c>
      <c r="Q309" s="60">
        <f>IF(J309=0,"",IF(G309+H309&lt;J309*34,DATE(2026,10,15)+(G309+H309)/J309,IF(G309+H309&lt;N309,DATE(2026,11,18)+(G309+H309-J309*34)/(J309*L309),"after Nov 30")))</f>
        <v/>
      </c>
      <c r="R309" s="54">
        <f>IF(AND(G309&lt;=0,J309&gt;0),"Out of stock now",IF(G309&gt;=N309,"Covered to Nov 30",IF(G309+H309&gt;=N309,"Needs inbound in time","Short even with inbound")))</f>
        <v/>
      </c>
      <c r="S309" s="57" t="n">
        <v>0.143</v>
      </c>
      <c r="T309" s="59">
        <f>IF(S309="","",S309*34+S309*L309*12)</f>
        <v/>
      </c>
    </row>
    <row r="310">
      <c r="A310" s="54" t="inlineStr">
        <is>
          <t>CA DC B6</t>
        </is>
      </c>
      <c r="B310" s="54" t="inlineStr">
        <is>
          <t>CA</t>
        </is>
      </c>
      <c r="C310" s="54" t="inlineStr">
        <is>
          <t>B0CQ33QVZK</t>
        </is>
      </c>
      <c r="D310" s="54" t="inlineStr">
        <is>
          <t>BAMBOO-CALIFKING-BURGUNDY-6PCS</t>
        </is>
      </c>
      <c r="E310" s="54" t="inlineStr">
        <is>
          <t>California King</t>
        </is>
      </c>
      <c r="F310" s="54" t="inlineStr">
        <is>
          <t>Burgundy</t>
        </is>
      </c>
      <c r="G310" s="55" t="n">
        <v>6</v>
      </c>
      <c r="H310" s="55" t="n">
        <v>4</v>
      </c>
      <c r="I310" s="56" t="inlineStr">
        <is>
          <t>FBA19QLVD3FK shipped: 4</t>
        </is>
      </c>
      <c r="J310" s="57" t="n">
        <v>0.09</v>
      </c>
      <c r="K310" s="56" t="inlineStr">
        <is>
          <t>account data velocity</t>
        </is>
      </c>
      <c r="L310" s="58" t="n">
        <v>3.0688</v>
      </c>
      <c r="M310" s="56" t="inlineStr">
        <is>
          <t>own BFCM 2025 lift (account data)</t>
        </is>
      </c>
      <c r="N310" s="59">
        <f>J310*34+J310*L310*12</f>
        <v/>
      </c>
      <c r="O310" s="59">
        <f>MAX(0,N310-G310-H310)</f>
        <v/>
      </c>
      <c r="P310" s="60">
        <f>IF(J310=0,"",IF(G310&lt;J310*34,DATE(2026,10,15)+G310/J310,IF(G310&lt;N310,DATE(2026,11,18)+(G310-J310*34)/(J310*L310),"after Nov 30")))</f>
        <v/>
      </c>
      <c r="Q310" s="60">
        <f>IF(J310=0,"",IF(G310+H310&lt;J310*34,DATE(2026,10,15)+(G310+H310)/J310,IF(G310+H310&lt;N310,DATE(2026,11,18)+(G310+H310-J310*34)/(J310*L310),"after Nov 30")))</f>
        <v/>
      </c>
      <c r="R310" s="54">
        <f>IF(AND(G310&lt;=0,J310&gt;0),"Out of stock now",IF(G310&gt;=N310,"Covered to Nov 30",IF(G310+H310&gt;=N310,"Needs inbound in time","Short even with inbound")))</f>
        <v/>
      </c>
      <c r="S310" s="57" t="n">
        <v>0.036</v>
      </c>
      <c r="T310" s="59">
        <f>IF(S310="","",S310*34+S310*L310*12)</f>
        <v/>
      </c>
    </row>
    <row r="311">
      <c r="A311" s="54" t="inlineStr">
        <is>
          <t>CA DC B6</t>
        </is>
      </c>
      <c r="B311" s="54" t="inlineStr">
        <is>
          <t>CA</t>
        </is>
      </c>
      <c r="C311" s="54" t="inlineStr">
        <is>
          <t>B0CQ328B82</t>
        </is>
      </c>
      <c r="D311" s="54" t="inlineStr">
        <is>
          <t>BAMBOO-FULL-GREY-6PCS</t>
        </is>
      </c>
      <c r="E311" s="54" t="inlineStr">
        <is>
          <t>Full</t>
        </is>
      </c>
      <c r="F311" s="54" t="inlineStr">
        <is>
          <t>Grey</t>
        </is>
      </c>
      <c r="G311" s="55" t="n">
        <v>0</v>
      </c>
      <c r="H311" s="55" t="n">
        <v>0</v>
      </c>
      <c r="I311" s="56" t="inlineStr">
        <is>
          <t>FBA19QLVD3FK shipped: 6</t>
        </is>
      </c>
      <c r="J311" s="57" t="n">
        <v>0.07099999999999999</v>
      </c>
      <c r="K311" s="56" t="inlineStr">
        <is>
          <t>units last 28 days / 28 (no account data velocity: out of stock)</t>
        </is>
      </c>
      <c r="L311" s="58" t="n">
        <v>3.0688</v>
      </c>
      <c r="M311" s="56" t="inlineStr">
        <is>
          <t>own BFCM 2025 lift (account data)</t>
        </is>
      </c>
      <c r="N311" s="59">
        <f>J311*34+J311*L311*12</f>
        <v/>
      </c>
      <c r="O311" s="59">
        <f>MAX(0,N311-G311-H311)</f>
        <v/>
      </c>
      <c r="P311" s="60">
        <f>IF(J311=0,"",IF(G311&lt;J311*34,DATE(2026,10,15)+G311/J311,IF(G311&lt;N311,DATE(2026,11,18)+(G311-J311*34)/(J311*L311),"after Nov 30")))</f>
        <v/>
      </c>
      <c r="Q311" s="60">
        <f>IF(J311=0,"",IF(G311+H311&lt;J311*34,DATE(2026,10,15)+(G311+H311)/J311,IF(G311+H311&lt;N311,DATE(2026,11,18)+(G311+H311-J311*34)/(J311*L311),"after Nov 30")))</f>
        <v/>
      </c>
      <c r="R311" s="54">
        <f>IF(AND(G311&lt;=0,J311&gt;0),"Out of stock now",IF(G311&gt;=N311,"Covered to Nov 30",IF(G311+H311&gt;=N311,"Needs inbound in time","Short even with inbound")))</f>
        <v/>
      </c>
      <c r="S311" s="57" t="n">
        <v>0.07099999999999999</v>
      </c>
      <c r="T311" s="59">
        <f>IF(S311="","",S311*34+S311*L311*12)</f>
        <v/>
      </c>
    </row>
    <row r="312">
      <c r="A312" s="54" t="inlineStr">
        <is>
          <t>CA DC B6</t>
        </is>
      </c>
      <c r="B312" s="54" t="inlineStr">
        <is>
          <t>CA</t>
        </is>
      </c>
      <c r="C312" s="54" t="inlineStr">
        <is>
          <t>B0CQ32JNVG</t>
        </is>
      </c>
      <c r="D312" s="54" t="inlineStr">
        <is>
          <t>BAMBOO-FULL-LIGHTBLUE-6PCS</t>
        </is>
      </c>
      <c r="E312" s="54" t="inlineStr">
        <is>
          <t>Full</t>
        </is>
      </c>
      <c r="F312" s="54" t="inlineStr">
        <is>
          <t>Light Blue</t>
        </is>
      </c>
      <c r="G312" s="55" t="n">
        <v>0</v>
      </c>
      <c r="H312" s="55" t="n">
        <v>0</v>
      </c>
      <c r="I312" s="56" t="n"/>
      <c r="J312" s="57" t="n">
        <v>0.07099999999999999</v>
      </c>
      <c r="K312" s="56" t="inlineStr">
        <is>
          <t>units last 28 days / 28 (no account data velocity: out of stock)</t>
        </is>
      </c>
      <c r="L312" s="58" t="n">
        <v>3.0688</v>
      </c>
      <c r="M312" s="56" t="inlineStr">
        <is>
          <t>own BFCM 2025 lift (account data)</t>
        </is>
      </c>
      <c r="N312" s="59">
        <f>J312*34+J312*L312*12</f>
        <v/>
      </c>
      <c r="O312" s="59">
        <f>MAX(0,N312-G312-H312)</f>
        <v/>
      </c>
      <c r="P312" s="60">
        <f>IF(J312=0,"",IF(G312&lt;J312*34,DATE(2026,10,15)+G312/J312,IF(G312&lt;N312,DATE(2026,11,18)+(G312-J312*34)/(J312*L312),"after Nov 30")))</f>
        <v/>
      </c>
      <c r="Q312" s="60">
        <f>IF(J312=0,"",IF(G312+H312&lt;J312*34,DATE(2026,10,15)+(G312+H312)/J312,IF(G312+H312&lt;N312,DATE(2026,11,18)+(G312+H312-J312*34)/(J312*L312),"after Nov 30")))</f>
        <v/>
      </c>
      <c r="R312" s="54">
        <f>IF(AND(G312&lt;=0,J312&gt;0),"Out of stock now",IF(G312&gt;=N312,"Covered to Nov 30",IF(G312+H312&gt;=N312,"Needs inbound in time","Short even with inbound")))</f>
        <v/>
      </c>
      <c r="S312" s="57" t="n">
        <v>0.07099999999999999</v>
      </c>
      <c r="T312" s="59">
        <f>IF(S312="","",S312*34+S312*L312*12)</f>
        <v/>
      </c>
    </row>
    <row r="313">
      <c r="A313" s="54" t="inlineStr">
        <is>
          <t>CA DC B6</t>
        </is>
      </c>
      <c r="B313" s="54" t="inlineStr">
        <is>
          <t>CA</t>
        </is>
      </c>
      <c r="C313" s="54" t="inlineStr">
        <is>
          <t>B0CQ312HKC</t>
        </is>
      </c>
      <c r="D313" s="54" t="inlineStr">
        <is>
          <t>BAMBOO-QUEEN-LIGHTOLIVE-6PCS</t>
        </is>
      </c>
      <c r="E313" s="54" t="inlineStr">
        <is>
          <t>Queen</t>
        </is>
      </c>
      <c r="F313" s="54" t="inlineStr">
        <is>
          <t>Light Olive</t>
        </is>
      </c>
      <c r="G313" s="55" t="n">
        <v>47</v>
      </c>
      <c r="H313" s="55" t="n">
        <v>78</v>
      </c>
      <c r="I313" s="56" t="inlineStr">
        <is>
          <t>FBA19LP4SKXM in transit: 18</t>
        </is>
      </c>
      <c r="J313" s="57" t="n">
        <v>0.07000000000000001</v>
      </c>
      <c r="K313" s="56" t="inlineStr">
        <is>
          <t>account data velocity</t>
        </is>
      </c>
      <c r="L313" s="58" t="n">
        <v>3.0688</v>
      </c>
      <c r="M313" s="56" t="inlineStr">
        <is>
          <t>own BFCM 2025 lift (account data)</t>
        </is>
      </c>
      <c r="N313" s="59">
        <f>J313*34+J313*L313*12</f>
        <v/>
      </c>
      <c r="O313" s="59">
        <f>MAX(0,N313-G313-H313)</f>
        <v/>
      </c>
      <c r="P313" s="60">
        <f>IF(J313=0,"",IF(G313&lt;J313*34,DATE(2026,10,15)+G313/J313,IF(G313&lt;N313,DATE(2026,11,18)+(G313-J313*34)/(J313*L313),"after Nov 30")))</f>
        <v/>
      </c>
      <c r="Q313" s="60">
        <f>IF(J313=0,"",IF(G313+H313&lt;J313*34,DATE(2026,10,15)+(G313+H313)/J313,IF(G313+H313&lt;N313,DATE(2026,11,18)+(G313+H313-J313*34)/(J313*L313),"after Nov 30")))</f>
        <v/>
      </c>
      <c r="R313" s="54">
        <f>IF(AND(G313&lt;=0,J313&gt;0),"Out of stock now",IF(G313&gt;=N313,"Covered to Nov 30",IF(G313+H313&gt;=N313,"Needs inbound in time","Short even with inbound")))</f>
        <v/>
      </c>
      <c r="S313" s="57" t="n">
        <v>0.321</v>
      </c>
      <c r="T313" s="59">
        <f>IF(S313="","",S313*34+S313*L313*12)</f>
        <v/>
      </c>
    </row>
    <row r="314">
      <c r="A314" s="54" t="inlineStr">
        <is>
          <t>CA DC B6</t>
        </is>
      </c>
      <c r="B314" s="54" t="inlineStr">
        <is>
          <t>CA</t>
        </is>
      </c>
      <c r="C314" s="54" t="inlineStr">
        <is>
          <t>B0CQ31X78V</t>
        </is>
      </c>
      <c r="D314" s="54" t="inlineStr">
        <is>
          <t>BAMBOO-CALIFKING-CREME-6PCS</t>
        </is>
      </c>
      <c r="E314" s="54" t="inlineStr">
        <is>
          <t>California King</t>
        </is>
      </c>
      <c r="F314" s="54" t="inlineStr">
        <is>
          <t>Creme</t>
        </is>
      </c>
      <c r="G314" s="55" t="n">
        <v>9</v>
      </c>
      <c r="H314" s="55" t="n">
        <v>12</v>
      </c>
      <c r="I314" s="56" t="inlineStr">
        <is>
          <t>FBA19RSBKFGZ shipped: 4; FBA19QLVD3FK shipped: 8</t>
        </is>
      </c>
      <c r="J314" s="57" t="n">
        <v>0.07000000000000001</v>
      </c>
      <c r="K314" s="56" t="inlineStr">
        <is>
          <t>account data velocity</t>
        </is>
      </c>
      <c r="L314" s="58" t="n">
        <v>3.0688</v>
      </c>
      <c r="M314" s="56" t="inlineStr">
        <is>
          <t>own BFCM 2025 lift (account data)</t>
        </is>
      </c>
      <c r="N314" s="59">
        <f>J314*34+J314*L314*12</f>
        <v/>
      </c>
      <c r="O314" s="59">
        <f>MAX(0,N314-G314-H314)</f>
        <v/>
      </c>
      <c r="P314" s="60">
        <f>IF(J314=0,"",IF(G314&lt;J314*34,DATE(2026,10,15)+G314/J314,IF(G314&lt;N314,DATE(2026,11,18)+(G314-J314*34)/(J314*L314),"after Nov 30")))</f>
        <v/>
      </c>
      <c r="Q314" s="60">
        <f>IF(J314=0,"",IF(G314+H314&lt;J314*34,DATE(2026,10,15)+(G314+H314)/J314,IF(G314+H314&lt;N314,DATE(2026,11,18)+(G314+H314-J314*34)/(J314*L314),"after Nov 30")))</f>
        <v/>
      </c>
      <c r="R314" s="54">
        <f>IF(AND(G314&lt;=0,J314&gt;0),"Out of stock now",IF(G314&gt;=N314,"Covered to Nov 30",IF(G314+H314&gt;=N314,"Needs inbound in time","Short even with inbound")))</f>
        <v/>
      </c>
      <c r="S314" s="57" t="n">
        <v>0.07099999999999999</v>
      </c>
      <c r="T314" s="59">
        <f>IF(S314="","",S314*34+S314*L314*12)</f>
        <v/>
      </c>
    </row>
    <row r="315">
      <c r="A315" s="54" t="inlineStr">
        <is>
          <t>CA DC B6</t>
        </is>
      </c>
      <c r="B315" s="54" t="inlineStr">
        <is>
          <t>CA</t>
        </is>
      </c>
      <c r="C315" s="54" t="inlineStr">
        <is>
          <t>B0CQ31LJ3J</t>
        </is>
      </c>
      <c r="D315" s="54" t="inlineStr">
        <is>
          <t>BAMBOO-CALIFKING-SAGE GREEN-6PCS</t>
        </is>
      </c>
      <c r="E315" s="54" t="inlineStr">
        <is>
          <t>California King</t>
        </is>
      </c>
      <c r="F315" s="54" t="inlineStr">
        <is>
          <t>Sage Green</t>
        </is>
      </c>
      <c r="G315" s="55" t="n">
        <v>27</v>
      </c>
      <c r="H315" s="55" t="n">
        <v>0</v>
      </c>
      <c r="I315" s="56" t="n"/>
      <c r="J315" s="57" t="n">
        <v>0.07000000000000001</v>
      </c>
      <c r="K315" s="56" t="inlineStr">
        <is>
          <t>account data velocity</t>
        </is>
      </c>
      <c r="L315" s="58" t="n">
        <v>3.0688</v>
      </c>
      <c r="M315" s="56" t="inlineStr">
        <is>
          <t>own BFCM 2025 lift (account data)</t>
        </is>
      </c>
      <c r="N315" s="59">
        <f>J315*34+J315*L315*12</f>
        <v/>
      </c>
      <c r="O315" s="59">
        <f>MAX(0,N315-G315-H315)</f>
        <v/>
      </c>
      <c r="P315" s="60">
        <f>IF(J315=0,"",IF(G315&lt;J315*34,DATE(2026,10,15)+G315/J315,IF(G315&lt;N315,DATE(2026,11,18)+(G315-J315*34)/(J315*L315),"after Nov 30")))</f>
        <v/>
      </c>
      <c r="Q315" s="60">
        <f>IF(J315=0,"",IF(G315+H315&lt;J315*34,DATE(2026,10,15)+(G315+H315)/J315,IF(G315+H315&lt;N315,DATE(2026,11,18)+(G315+H315-J315*34)/(J315*L315),"after Nov 30")))</f>
        <v/>
      </c>
      <c r="R315" s="54">
        <f>IF(AND(G315&lt;=0,J315&gt;0),"Out of stock now",IF(G315&gt;=N315,"Covered to Nov 30",IF(G315+H315&gt;=N315,"Needs inbound in time","Short even with inbound")))</f>
        <v/>
      </c>
      <c r="S315" s="57" t="n">
        <v>0.07099999999999999</v>
      </c>
      <c r="T315" s="59">
        <f>IF(S315="","",S315*34+S315*L315*12)</f>
        <v/>
      </c>
    </row>
    <row r="316">
      <c r="A316" s="54" t="inlineStr">
        <is>
          <t>CA DC B6</t>
        </is>
      </c>
      <c r="B316" s="54" t="inlineStr">
        <is>
          <t>CA</t>
        </is>
      </c>
      <c r="C316" s="54" t="inlineStr">
        <is>
          <t>B0CQ32VM8N</t>
        </is>
      </c>
      <c r="D316" s="54" t="inlineStr">
        <is>
          <t>BAMBOO-FULL-LIGHTGREY-6PCS</t>
        </is>
      </c>
      <c r="E316" s="54" t="inlineStr">
        <is>
          <t>Full</t>
        </is>
      </c>
      <c r="F316" s="54" t="inlineStr">
        <is>
          <t>Light Grey</t>
        </is>
      </c>
      <c r="G316" s="55" t="n">
        <v>70</v>
      </c>
      <c r="H316" s="55" t="n">
        <v>1</v>
      </c>
      <c r="I316" s="56" t="inlineStr">
        <is>
          <t>FBA19J4KYZX7 receiving: 1</t>
        </is>
      </c>
      <c r="J316" s="57" t="n">
        <v>0.07000000000000001</v>
      </c>
      <c r="K316" s="56" t="inlineStr">
        <is>
          <t>account data velocity</t>
        </is>
      </c>
      <c r="L316" s="58" t="n">
        <v>3.0688</v>
      </c>
      <c r="M316" s="56" t="inlineStr">
        <is>
          <t>own BFCM 2025 lift (account data)</t>
        </is>
      </c>
      <c r="N316" s="59">
        <f>J316*34+J316*L316*12</f>
        <v/>
      </c>
      <c r="O316" s="59">
        <f>MAX(0,N316-G316-H316)</f>
        <v/>
      </c>
      <c r="P316" s="60">
        <f>IF(J316=0,"",IF(G316&lt;J316*34,DATE(2026,10,15)+G316/J316,IF(G316&lt;N316,DATE(2026,11,18)+(G316-J316*34)/(J316*L316),"after Nov 30")))</f>
        <v/>
      </c>
      <c r="Q316" s="60">
        <f>IF(J316=0,"",IF(G316+H316&lt;J316*34,DATE(2026,10,15)+(G316+H316)/J316,IF(G316+H316&lt;N316,DATE(2026,11,18)+(G316+H316-J316*34)/(J316*L316),"after Nov 30")))</f>
        <v/>
      </c>
      <c r="R316" s="54">
        <f>IF(AND(G316&lt;=0,J316&gt;0),"Out of stock now",IF(G316&gt;=N316,"Covered to Nov 30",IF(G316+H316&gt;=N316,"Needs inbound in time","Short even with inbound")))</f>
        <v/>
      </c>
      <c r="S316" s="57" t="n">
        <v>0.036</v>
      </c>
      <c r="T316" s="59">
        <f>IF(S316="","",S316*34+S316*L316*12)</f>
        <v/>
      </c>
    </row>
    <row r="317">
      <c r="A317" s="54" t="inlineStr">
        <is>
          <t>CA DC B6</t>
        </is>
      </c>
      <c r="B317" s="54" t="inlineStr">
        <is>
          <t>CA</t>
        </is>
      </c>
      <c r="C317" s="54" t="inlineStr">
        <is>
          <t>B0CQ31X3X5</t>
        </is>
      </c>
      <c r="D317" s="54" t="inlineStr">
        <is>
          <t>BAMBOO-FULL-PURPLE-6PCS</t>
        </is>
      </c>
      <c r="E317" s="54" t="inlineStr">
        <is>
          <t>Full</t>
        </is>
      </c>
      <c r="F317" s="54" t="inlineStr">
        <is>
          <t>Purple</t>
        </is>
      </c>
      <c r="G317" s="55" t="n">
        <v>12</v>
      </c>
      <c r="H317" s="55" t="n">
        <v>36</v>
      </c>
      <c r="I317" s="56" t="inlineStr">
        <is>
          <t>FBA19QLVD3FK shipped: 36</t>
        </is>
      </c>
      <c r="J317" s="57" t="n">
        <v>0.07000000000000001</v>
      </c>
      <c r="K317" s="56" t="inlineStr">
        <is>
          <t>account data velocity</t>
        </is>
      </c>
      <c r="L317" s="58" t="n">
        <v>3.0688</v>
      </c>
      <c r="M317" s="56" t="inlineStr">
        <is>
          <t>own BFCM 2025 lift (account data)</t>
        </is>
      </c>
      <c r="N317" s="59">
        <f>J317*34+J317*L317*12</f>
        <v/>
      </c>
      <c r="O317" s="59">
        <f>MAX(0,N317-G317-H317)</f>
        <v/>
      </c>
      <c r="P317" s="60">
        <f>IF(J317=0,"",IF(G317&lt;J317*34,DATE(2026,10,15)+G317/J317,IF(G317&lt;N317,DATE(2026,11,18)+(G317-J317*34)/(J317*L317),"after Nov 30")))</f>
        <v/>
      </c>
      <c r="Q317" s="60">
        <f>IF(J317=0,"",IF(G317+H317&lt;J317*34,DATE(2026,10,15)+(G317+H317)/J317,IF(G317+H317&lt;N317,DATE(2026,11,18)+(G317+H317-J317*34)/(J317*L317),"after Nov 30")))</f>
        <v/>
      </c>
      <c r="R317" s="54">
        <f>IF(AND(G317&lt;=0,J317&gt;0),"Out of stock now",IF(G317&gt;=N317,"Covered to Nov 30",IF(G317+H317&gt;=N317,"Needs inbound in time","Short even with inbound")))</f>
        <v/>
      </c>
      <c r="S317" s="57" t="n">
        <v>0.036</v>
      </c>
      <c r="T317" s="59">
        <f>IF(S317="","",S317*34+S317*L317*12)</f>
        <v/>
      </c>
    </row>
    <row r="318">
      <c r="A318" s="54" t="inlineStr">
        <is>
          <t>CA DC B6</t>
        </is>
      </c>
      <c r="B318" s="54" t="inlineStr">
        <is>
          <t>CA</t>
        </is>
      </c>
      <c r="C318" s="54" t="inlineStr">
        <is>
          <t>B0CQ2YWCB3</t>
        </is>
      </c>
      <c r="D318" s="54" t="inlineStr">
        <is>
          <t>BAMBOO-TWIN-LIGHTOLIVE-6PCS</t>
        </is>
      </c>
      <c r="E318" s="54" t="inlineStr">
        <is>
          <t>Twin</t>
        </is>
      </c>
      <c r="F318" s="54" t="inlineStr">
        <is>
          <t>Light Olive</t>
        </is>
      </c>
      <c r="G318" s="55" t="n">
        <v>2</v>
      </c>
      <c r="H318" s="55" t="n">
        <v>12</v>
      </c>
      <c r="I318" s="56" t="inlineStr">
        <is>
          <t>FBA19QLVD3FK shipped: 6</t>
        </is>
      </c>
      <c r="J318" s="57" t="n">
        <v>0.07000000000000001</v>
      </c>
      <c r="K318" s="56" t="inlineStr">
        <is>
          <t>account data velocity</t>
        </is>
      </c>
      <c r="L318" s="58" t="n">
        <v>3.0688</v>
      </c>
      <c r="M318" s="56" t="inlineStr">
        <is>
          <t>own BFCM 2025 lift (account data)</t>
        </is>
      </c>
      <c r="N318" s="59">
        <f>J318*34+J318*L318*12</f>
        <v/>
      </c>
      <c r="O318" s="59">
        <f>MAX(0,N318-G318-H318)</f>
        <v/>
      </c>
      <c r="P318" s="60">
        <f>IF(J318=0,"",IF(G318&lt;J318*34,DATE(2026,10,15)+G318/J318,IF(G318&lt;N318,DATE(2026,11,18)+(G318-J318*34)/(J318*L318),"after Nov 30")))</f>
        <v/>
      </c>
      <c r="Q318" s="60">
        <f>IF(J318=0,"",IF(G318+H318&lt;J318*34,DATE(2026,10,15)+(G318+H318)/J318,IF(G318+H318&lt;N318,DATE(2026,11,18)+(G318+H318-J318*34)/(J318*L318),"after Nov 30")))</f>
        <v/>
      </c>
      <c r="R318" s="54">
        <f>IF(AND(G318&lt;=0,J318&gt;0),"Out of stock now",IF(G318&gt;=N318,"Covered to Nov 30",IF(G318+H318&gt;=N318,"Needs inbound in time","Short even with inbound")))</f>
        <v/>
      </c>
      <c r="S318" s="57" t="n">
        <v>0.036</v>
      </c>
      <c r="T318" s="59">
        <f>IF(S318="","",S318*34+S318*L318*12)</f>
        <v/>
      </c>
    </row>
    <row r="319">
      <c r="A319" s="54" t="inlineStr">
        <is>
          <t>CA DC B6</t>
        </is>
      </c>
      <c r="B319" s="54" t="inlineStr">
        <is>
          <t>CA</t>
        </is>
      </c>
      <c r="C319" s="54" t="inlineStr">
        <is>
          <t>B0CQ32QQ47</t>
        </is>
      </c>
      <c r="D319" s="54" t="inlineStr">
        <is>
          <t>BAMBOO-TWIN-TAUPE-6PCS</t>
        </is>
      </c>
      <c r="E319" s="54" t="inlineStr">
        <is>
          <t>Twin</t>
        </is>
      </c>
      <c r="F319" s="54" t="inlineStr">
        <is>
          <t>Taupe</t>
        </is>
      </c>
      <c r="G319" s="55" t="n">
        <v>46</v>
      </c>
      <c r="H319" s="55" t="n">
        <v>24</v>
      </c>
      <c r="I319" s="56" t="inlineStr">
        <is>
          <t>FBA19QLVD3FK shipped: 24</t>
        </is>
      </c>
      <c r="J319" s="57" t="n">
        <v>0.06</v>
      </c>
      <c r="K319" s="56" t="inlineStr">
        <is>
          <t>account data velocity</t>
        </is>
      </c>
      <c r="L319" s="58" t="n">
        <v>3.0688</v>
      </c>
      <c r="M319" s="56" t="inlineStr">
        <is>
          <t>own BFCM 2025 lift (account data)</t>
        </is>
      </c>
      <c r="N319" s="59">
        <f>J319*34+J319*L319*12</f>
        <v/>
      </c>
      <c r="O319" s="59">
        <f>MAX(0,N319-G319-H319)</f>
        <v/>
      </c>
      <c r="P319" s="60">
        <f>IF(J319=0,"",IF(G319&lt;J319*34,DATE(2026,10,15)+G319/J319,IF(G319&lt;N319,DATE(2026,11,18)+(G319-J319*34)/(J319*L319),"after Nov 30")))</f>
        <v/>
      </c>
      <c r="Q319" s="60">
        <f>IF(J319=0,"",IF(G319+H319&lt;J319*34,DATE(2026,10,15)+(G319+H319)/J319,IF(G319+H319&lt;N319,DATE(2026,11,18)+(G319+H319-J319*34)/(J319*L319),"after Nov 30")))</f>
        <v/>
      </c>
      <c r="R319" s="54">
        <f>IF(AND(G319&lt;=0,J319&gt;0),"Out of stock now",IF(G319&gt;=N319,"Covered to Nov 30",IF(G319+H319&gt;=N319,"Needs inbound in time","Short even with inbound")))</f>
        <v/>
      </c>
      <c r="S319" s="57" t="n">
        <v>0.07099999999999999</v>
      </c>
      <c r="T319" s="59">
        <f>IF(S319="","",S319*34+S319*L319*12)</f>
        <v/>
      </c>
    </row>
    <row r="320">
      <c r="A320" s="54" t="inlineStr">
        <is>
          <t>CA DC B6</t>
        </is>
      </c>
      <c r="B320" s="54" t="inlineStr">
        <is>
          <t>CA</t>
        </is>
      </c>
      <c r="C320" s="54" t="inlineStr">
        <is>
          <t>B0CQ33P28L</t>
        </is>
      </c>
      <c r="D320" s="54" t="inlineStr">
        <is>
          <t>BAMBOO-TWIN-GREY-6PCS</t>
        </is>
      </c>
      <c r="E320" s="54" t="inlineStr">
        <is>
          <t>Twin</t>
        </is>
      </c>
      <c r="F320" s="54" t="inlineStr">
        <is>
          <t>Grey</t>
        </is>
      </c>
      <c r="G320" s="55" t="n">
        <v>0</v>
      </c>
      <c r="H320" s="55" t="n">
        <v>0</v>
      </c>
      <c r="I320" s="56" t="n"/>
      <c r="J320" s="57" t="n">
        <v>0.05</v>
      </c>
      <c r="K320" s="56" t="inlineStr">
        <is>
          <t>account data velocity</t>
        </is>
      </c>
      <c r="L320" s="58" t="n">
        <v>3.0688</v>
      </c>
      <c r="M320" s="56" t="inlineStr">
        <is>
          <t>own BFCM 2025 lift (account data)</t>
        </is>
      </c>
      <c r="N320" s="59">
        <f>J320*34+J320*L320*12</f>
        <v/>
      </c>
      <c r="O320" s="59">
        <f>MAX(0,N320-G320-H320)</f>
        <v/>
      </c>
      <c r="P320" s="60">
        <f>IF(J320=0,"",IF(G320&lt;J320*34,DATE(2026,10,15)+G320/J320,IF(G320&lt;N320,DATE(2026,11,18)+(G320-J320*34)/(J320*L320),"after Nov 30")))</f>
        <v/>
      </c>
      <c r="Q320" s="60">
        <f>IF(J320=0,"",IF(G320+H320&lt;J320*34,DATE(2026,10,15)+(G320+H320)/J320,IF(G320+H320&lt;N320,DATE(2026,11,18)+(G320+H320-J320*34)/(J320*L320),"after Nov 30")))</f>
        <v/>
      </c>
      <c r="R320" s="54">
        <f>IF(AND(G320&lt;=0,J320&gt;0),"Out of stock now",IF(G320&gt;=N320,"Covered to Nov 30",IF(G320+H320&gt;=N320,"Needs inbound in time","Short even with inbound")))</f>
        <v/>
      </c>
      <c r="S320" s="57" t="n">
        <v>0.036</v>
      </c>
      <c r="T320" s="59">
        <f>IF(S320="","",S320*34+S320*L320*12)</f>
        <v/>
      </c>
    </row>
    <row r="321">
      <c r="A321" s="54" t="inlineStr">
        <is>
          <t>CA DC B6</t>
        </is>
      </c>
      <c r="B321" s="54" t="inlineStr">
        <is>
          <t>CA</t>
        </is>
      </c>
      <c r="C321" s="54" t="inlineStr">
        <is>
          <t>B0CQ316WG1</t>
        </is>
      </c>
      <c r="D321" s="54" t="inlineStr">
        <is>
          <t>BAMBOO-CALIFKING-MIDGREY-6PCS</t>
        </is>
      </c>
      <c r="E321" s="54" t="inlineStr">
        <is>
          <t>California King</t>
        </is>
      </c>
      <c r="F321" s="54" t="inlineStr">
        <is>
          <t>Midgrey</t>
        </is>
      </c>
      <c r="G321" s="55" t="n">
        <v>17</v>
      </c>
      <c r="H321" s="55" t="n">
        <v>16</v>
      </c>
      <c r="I321" s="56" t="inlineStr">
        <is>
          <t>FBA19RSBKFGZ shipped: 4</t>
        </is>
      </c>
      <c r="J321" s="57" t="n">
        <v>0.04</v>
      </c>
      <c r="K321" s="56" t="inlineStr">
        <is>
          <t>account data velocity</t>
        </is>
      </c>
      <c r="L321" s="58" t="n">
        <v>3.0688</v>
      </c>
      <c r="M321" s="56" t="inlineStr">
        <is>
          <t>own BFCM 2025 lift (account data)</t>
        </is>
      </c>
      <c r="N321" s="59">
        <f>J321*34+J321*L321*12</f>
        <v/>
      </c>
      <c r="O321" s="59">
        <f>MAX(0,N321-G321-H321)</f>
        <v/>
      </c>
      <c r="P321" s="60">
        <f>IF(J321=0,"",IF(G321&lt;J321*34,DATE(2026,10,15)+G321/J321,IF(G321&lt;N321,DATE(2026,11,18)+(G321-J321*34)/(J321*L321),"after Nov 30")))</f>
        <v/>
      </c>
      <c r="Q321" s="60">
        <f>IF(J321=0,"",IF(G321+H321&lt;J321*34,DATE(2026,10,15)+(G321+H321)/J321,IF(G321+H321&lt;N321,DATE(2026,11,18)+(G321+H321-J321*34)/(J321*L321),"after Nov 30")))</f>
        <v/>
      </c>
      <c r="R321" s="54">
        <f>IF(AND(G321&lt;=0,J321&gt;0),"Out of stock now",IF(G321&gt;=N321,"Covered to Nov 30",IF(G321+H321&gt;=N321,"Needs inbound in time","Short even with inbound")))</f>
        <v/>
      </c>
      <c r="S321" s="57" t="n">
        <v>0.07099999999999999</v>
      </c>
      <c r="T321" s="59">
        <f>IF(S321="","",S321*34+S321*L321*12)</f>
        <v/>
      </c>
    </row>
    <row r="322">
      <c r="A322" s="54" t="inlineStr">
        <is>
          <t>CA DC B6</t>
        </is>
      </c>
      <c r="B322" s="54" t="inlineStr">
        <is>
          <t>CA</t>
        </is>
      </c>
      <c r="C322" s="54" t="inlineStr">
        <is>
          <t>B0CQ32JY2T</t>
        </is>
      </c>
      <c r="D322" s="54" t="inlineStr">
        <is>
          <t>BAMBOO-CALIFKING-OLIVE-6PCS</t>
        </is>
      </c>
      <c r="E322" s="54" t="inlineStr">
        <is>
          <t>California King</t>
        </is>
      </c>
      <c r="F322" s="54" t="inlineStr">
        <is>
          <t>Olive</t>
        </is>
      </c>
      <c r="G322" s="55" t="n">
        <v>3</v>
      </c>
      <c r="H322" s="55" t="n">
        <v>12</v>
      </c>
      <c r="I322" s="56" t="inlineStr">
        <is>
          <t>FBA19QLVD3FK shipped: 12</t>
        </is>
      </c>
      <c r="J322" s="57" t="n">
        <v>0.04</v>
      </c>
      <c r="K322" s="56" t="inlineStr">
        <is>
          <t>account data velocity</t>
        </is>
      </c>
      <c r="L322" s="58" t="n">
        <v>3.0688</v>
      </c>
      <c r="M322" s="56" t="inlineStr">
        <is>
          <t>own BFCM 2025 lift (account data)</t>
        </is>
      </c>
      <c r="N322" s="59">
        <f>J322*34+J322*L322*12</f>
        <v/>
      </c>
      <c r="O322" s="59">
        <f>MAX(0,N322-G322-H322)</f>
        <v/>
      </c>
      <c r="P322" s="60">
        <f>IF(J322=0,"",IF(G322&lt;J322*34,DATE(2026,10,15)+G322/J322,IF(G322&lt;N322,DATE(2026,11,18)+(G322-J322*34)/(J322*L322),"after Nov 30")))</f>
        <v/>
      </c>
      <c r="Q322" s="60">
        <f>IF(J322=0,"",IF(G322+H322&lt;J322*34,DATE(2026,10,15)+(G322+H322)/J322,IF(G322+H322&lt;N322,DATE(2026,11,18)+(G322+H322-J322*34)/(J322*L322),"after Nov 30")))</f>
        <v/>
      </c>
      <c r="R322" s="54">
        <f>IF(AND(G322&lt;=0,J322&gt;0),"Out of stock now",IF(G322&gt;=N322,"Covered to Nov 30",IF(G322+H322&gt;=N322,"Needs inbound in time","Short even with inbound")))</f>
        <v/>
      </c>
      <c r="S322" s="57" t="n">
        <v>0.07099999999999999</v>
      </c>
      <c r="T322" s="59">
        <f>IF(S322="","",S322*34+S322*L322*12)</f>
        <v/>
      </c>
    </row>
    <row r="323">
      <c r="A323" s="54" t="inlineStr">
        <is>
          <t>CA DC B6</t>
        </is>
      </c>
      <c r="B323" s="54" t="inlineStr">
        <is>
          <t>CA</t>
        </is>
      </c>
      <c r="C323" s="54" t="inlineStr">
        <is>
          <t>B0CQ32CNNX</t>
        </is>
      </c>
      <c r="D323" s="54" t="inlineStr">
        <is>
          <t>BAMBOO-CALIFKING-PURPLE-6PCS</t>
        </is>
      </c>
      <c r="E323" s="54" t="inlineStr">
        <is>
          <t>California King</t>
        </is>
      </c>
      <c r="F323" s="54" t="inlineStr">
        <is>
          <t>Purple</t>
        </is>
      </c>
      <c r="G323" s="55" t="n">
        <v>0</v>
      </c>
      <c r="H323" s="55" t="n">
        <v>12</v>
      </c>
      <c r="I323" s="56" t="n"/>
      <c r="J323" s="57" t="n">
        <v>0.04</v>
      </c>
      <c r="K323" s="56" t="inlineStr">
        <is>
          <t>account data velocity</t>
        </is>
      </c>
      <c r="L323" s="58" t="n">
        <v>3.0688</v>
      </c>
      <c r="M323" s="56" t="inlineStr">
        <is>
          <t>own BFCM 2025 lift (account data)</t>
        </is>
      </c>
      <c r="N323" s="59">
        <f>J323*34+J323*L323*12</f>
        <v/>
      </c>
      <c r="O323" s="59">
        <f>MAX(0,N323-G323-H323)</f>
        <v/>
      </c>
      <c r="P323" s="60">
        <f>IF(J323=0,"",IF(G323&lt;J323*34,DATE(2026,10,15)+G323/J323,IF(G323&lt;N323,DATE(2026,11,18)+(G323-J323*34)/(J323*L323),"after Nov 30")))</f>
        <v/>
      </c>
      <c r="Q323" s="60">
        <f>IF(J323=0,"",IF(G323+H323&lt;J323*34,DATE(2026,10,15)+(G323+H323)/J323,IF(G323+H323&lt;N323,DATE(2026,11,18)+(G323+H323-J323*34)/(J323*L323),"after Nov 30")))</f>
        <v/>
      </c>
      <c r="R323" s="54">
        <f>IF(AND(G323&lt;=0,J323&gt;0),"Out of stock now",IF(G323&gt;=N323,"Covered to Nov 30",IF(G323+H323&gt;=N323,"Needs inbound in time","Short even with inbound")))</f>
        <v/>
      </c>
      <c r="S323" s="57" t="n">
        <v>0.036</v>
      </c>
      <c r="T323" s="59">
        <f>IF(S323="","",S323*34+S323*L323*12)</f>
        <v/>
      </c>
    </row>
    <row r="324">
      <c r="A324" s="54" t="inlineStr">
        <is>
          <t>CA DC B6</t>
        </is>
      </c>
      <c r="B324" s="54" t="inlineStr">
        <is>
          <t>CA</t>
        </is>
      </c>
      <c r="C324" s="54" t="inlineStr">
        <is>
          <t>B0CQ31FR3Y</t>
        </is>
      </c>
      <c r="D324" s="54" t="inlineStr">
        <is>
          <t>BAMBOO-QUEEN-MIDGREY-6PCS</t>
        </is>
      </c>
      <c r="E324" s="54" t="inlineStr">
        <is>
          <t>Queen</t>
        </is>
      </c>
      <c r="F324" s="54" t="inlineStr">
        <is>
          <t>Midgrey</t>
        </is>
      </c>
      <c r="G324" s="55" t="n">
        <v>0</v>
      </c>
      <c r="H324" s="55" t="n">
        <v>0</v>
      </c>
      <c r="I324" s="56" t="n"/>
      <c r="J324" s="57" t="n">
        <v>0.036</v>
      </c>
      <c r="K324" s="56" t="inlineStr">
        <is>
          <t>units last 28 days / 28 (no account data velocity: out of stock)</t>
        </is>
      </c>
      <c r="L324" s="58" t="n">
        <v>3.0688</v>
      </c>
      <c r="M324" s="56" t="inlineStr">
        <is>
          <t>own BFCM 2025 lift (account data)</t>
        </is>
      </c>
      <c r="N324" s="59">
        <f>J324*34+J324*L324*12</f>
        <v/>
      </c>
      <c r="O324" s="59">
        <f>MAX(0,N324-G324-H324)</f>
        <v/>
      </c>
      <c r="P324" s="60">
        <f>IF(J324=0,"",IF(G324&lt;J324*34,DATE(2026,10,15)+G324/J324,IF(G324&lt;N324,DATE(2026,11,18)+(G324-J324*34)/(J324*L324),"after Nov 30")))</f>
        <v/>
      </c>
      <c r="Q324" s="60">
        <f>IF(J324=0,"",IF(G324+H324&lt;J324*34,DATE(2026,10,15)+(G324+H324)/J324,IF(G324+H324&lt;N324,DATE(2026,11,18)+(G324+H324-J324*34)/(J324*L324),"after Nov 30")))</f>
        <v/>
      </c>
      <c r="R324" s="54">
        <f>IF(AND(G324&lt;=0,J324&gt;0),"Out of stock now",IF(G324&gt;=N324,"Covered to Nov 30",IF(G324+H324&gt;=N324,"Needs inbound in time","Short even with inbound")))</f>
        <v/>
      </c>
      <c r="S324" s="57" t="n">
        <v>0.036</v>
      </c>
      <c r="T324" s="59">
        <f>IF(S324="","",S324*34+S324*L324*12)</f>
        <v/>
      </c>
    </row>
    <row r="325">
      <c r="A325" s="54" t="inlineStr">
        <is>
          <t>CA DC B6</t>
        </is>
      </c>
      <c r="B325" s="54" t="inlineStr">
        <is>
          <t>CA</t>
        </is>
      </c>
      <c r="C325" s="54" t="inlineStr">
        <is>
          <t>B0CQ31L3V7</t>
        </is>
      </c>
      <c r="D325" s="54" t="inlineStr">
        <is>
          <t>BAMBOO-CALIFKING-LIGHTBLUE-6PCS</t>
        </is>
      </c>
      <c r="E325" s="54" t="inlineStr">
        <is>
          <t>California King</t>
        </is>
      </c>
      <c r="F325" s="54" t="inlineStr">
        <is>
          <t>Light Blue</t>
        </is>
      </c>
      <c r="G325" s="55" t="n">
        <v>11</v>
      </c>
      <c r="H325" s="55" t="n">
        <v>16</v>
      </c>
      <c r="I325" s="56" t="inlineStr">
        <is>
          <t>FBA19RSBKFGZ shipped: 16</t>
        </is>
      </c>
      <c r="J325" s="57" t="n">
        <v>0.02</v>
      </c>
      <c r="K325" s="56" t="inlineStr">
        <is>
          <t>account data velocity</t>
        </is>
      </c>
      <c r="L325" s="58" t="n">
        <v>3.0688</v>
      </c>
      <c r="M325" s="56" t="inlineStr">
        <is>
          <t>own BFCM 2025 lift (account data)</t>
        </is>
      </c>
      <c r="N325" s="59">
        <f>J325*34+J325*L325*12</f>
        <v/>
      </c>
      <c r="O325" s="59">
        <f>MAX(0,N325-G325-H325)</f>
        <v/>
      </c>
      <c r="P325" s="60">
        <f>IF(J325=0,"",IF(G325&lt;J325*34,DATE(2026,10,15)+G325/J325,IF(G325&lt;N325,DATE(2026,11,18)+(G325-J325*34)/(J325*L325),"after Nov 30")))</f>
        <v/>
      </c>
      <c r="Q325" s="60">
        <f>IF(J325=0,"",IF(G325+H325&lt;J325*34,DATE(2026,10,15)+(G325+H325)/J325,IF(G325+H325&lt;N325,DATE(2026,11,18)+(G325+H325-J325*34)/(J325*L325),"after Nov 30")))</f>
        <v/>
      </c>
      <c r="R325" s="54">
        <f>IF(AND(G325&lt;=0,J325&gt;0),"Out of stock now",IF(G325&gt;=N325,"Covered to Nov 30",IF(G325+H325&gt;=N325,"Needs inbound in time","Short even with inbound")))</f>
        <v/>
      </c>
      <c r="S325" s="57" t="n">
        <v>0.036</v>
      </c>
      <c r="T325" s="59">
        <f>IF(S325="","",S325*34+S325*L325*12)</f>
        <v/>
      </c>
    </row>
    <row r="326">
      <c r="A326" s="54" t="inlineStr">
        <is>
          <t>CA DC B6</t>
        </is>
      </c>
      <c r="B326" s="54" t="inlineStr">
        <is>
          <t>CA</t>
        </is>
      </c>
      <c r="C326" s="54" t="inlineStr">
        <is>
          <t>B0CQ31X7S5</t>
        </is>
      </c>
      <c r="D326" s="54" t="inlineStr">
        <is>
          <t>BAMBOO-CALIFKING-LIGHTGREY-6PCS</t>
        </is>
      </c>
      <c r="E326" s="54" t="inlineStr">
        <is>
          <t>California King</t>
        </is>
      </c>
      <c r="F326" s="54" t="inlineStr">
        <is>
          <t>Light Grey</t>
        </is>
      </c>
      <c r="G326" s="55" t="n">
        <v>3</v>
      </c>
      <c r="H326" s="55" t="n">
        <v>24</v>
      </c>
      <c r="I326" s="56" t="inlineStr">
        <is>
          <t>FBA19RSBKFGZ shipped: 20; FBA19QLVD3FK shipped: 4</t>
        </is>
      </c>
      <c r="J326" s="57" t="n">
        <v>0.02</v>
      </c>
      <c r="K326" s="56" t="inlineStr">
        <is>
          <t>account data velocity</t>
        </is>
      </c>
      <c r="L326" s="58" t="n">
        <v>3.0688</v>
      </c>
      <c r="M326" s="56" t="inlineStr">
        <is>
          <t>own BFCM 2025 lift (account data)</t>
        </is>
      </c>
      <c r="N326" s="59">
        <f>J326*34+J326*L326*12</f>
        <v/>
      </c>
      <c r="O326" s="59">
        <f>MAX(0,N326-G326-H326)</f>
        <v/>
      </c>
      <c r="P326" s="60">
        <f>IF(J326=0,"",IF(G326&lt;J326*34,DATE(2026,10,15)+G326/J326,IF(G326&lt;N326,DATE(2026,11,18)+(G326-J326*34)/(J326*L326),"after Nov 30")))</f>
        <v/>
      </c>
      <c r="Q326" s="60">
        <f>IF(J326=0,"",IF(G326+H326&lt;J326*34,DATE(2026,10,15)+(G326+H326)/J326,IF(G326+H326&lt;N326,DATE(2026,11,18)+(G326+H326-J326*34)/(J326*L326),"after Nov 30")))</f>
        <v/>
      </c>
      <c r="R326" s="54">
        <f>IF(AND(G326&lt;=0,J326&gt;0),"Out of stock now",IF(G326&gt;=N326,"Covered to Nov 30",IF(G326+H326&gt;=N326,"Needs inbound in time","Short even with inbound")))</f>
        <v/>
      </c>
      <c r="S326" s="57" t="n">
        <v>0.036</v>
      </c>
      <c r="T326" s="59">
        <f>IF(S326="","",S326*34+S326*L326*12)</f>
        <v/>
      </c>
    </row>
    <row r="327">
      <c r="A327" s="54" t="inlineStr">
        <is>
          <t>CA DC B6</t>
        </is>
      </c>
      <c r="B327" s="54" t="inlineStr">
        <is>
          <t>CA</t>
        </is>
      </c>
      <c r="C327" s="54" t="inlineStr">
        <is>
          <t>B0CQ33T9BL</t>
        </is>
      </c>
      <c r="D327" s="54" t="inlineStr">
        <is>
          <t>BAMBOO-CALIFKING-GREY-6PCS</t>
        </is>
      </c>
      <c r="E327" s="54" t="inlineStr">
        <is>
          <t>California King</t>
        </is>
      </c>
      <c r="F327" s="54" t="inlineStr">
        <is>
          <t>Grey</t>
        </is>
      </c>
      <c r="G327" s="55" t="n">
        <v>38</v>
      </c>
      <c r="H327" s="55" t="n">
        <v>0</v>
      </c>
      <c r="I327" s="56" t="n"/>
      <c r="J327" s="57" t="n">
        <v>0</v>
      </c>
      <c r="K327" s="56" t="inlineStr">
        <is>
          <t>account data velocity</t>
        </is>
      </c>
      <c r="L327" s="58" t="n">
        <v>3.0688</v>
      </c>
      <c r="M327" s="56" t="inlineStr">
        <is>
          <t>own BFCM 2025 lift (account data)</t>
        </is>
      </c>
      <c r="N327" s="59">
        <f>J327*34+J327*L327*12</f>
        <v/>
      </c>
      <c r="O327" s="59">
        <f>MAX(0,N327-G327-H327)</f>
        <v/>
      </c>
      <c r="P327" s="60">
        <f>IF(J327=0,"",IF(G327&lt;J327*34,DATE(2026,10,15)+G327/J327,IF(G327&lt;N327,DATE(2026,11,18)+(G327-J327*34)/(J327*L327),"after Nov 30")))</f>
        <v/>
      </c>
      <c r="Q327" s="60">
        <f>IF(J327=0,"",IF(G327+H327&lt;J327*34,DATE(2026,10,15)+(G327+H327)/J327,IF(G327+H327&lt;N327,DATE(2026,11,18)+(G327+H327-J327*34)/(J327*L327),"after Nov 30")))</f>
        <v/>
      </c>
      <c r="R327" s="54">
        <f>IF(AND(G327&lt;=0,J327&gt;0),"Out of stock now",IF(G327&gt;=N327,"Covered to Nov 30",IF(G327+H327&gt;=N327,"Needs inbound in time","Short even with inbound")))</f>
        <v/>
      </c>
      <c r="S327" s="57" t="n">
        <v>0</v>
      </c>
      <c r="T327" s="59">
        <f>IF(S327="","",S327*34+S327*L327*12)</f>
        <v/>
      </c>
    </row>
    <row r="328">
      <c r="A328" s="54" t="inlineStr">
        <is>
          <t>CA DC B6</t>
        </is>
      </c>
      <c r="B328" s="54" t="inlineStr">
        <is>
          <t>CA</t>
        </is>
      </c>
      <c r="C328" s="54" t="inlineStr">
        <is>
          <t>B0CQ31ZKNJ</t>
        </is>
      </c>
      <c r="D328" s="54" t="inlineStr">
        <is>
          <t>BAMBOO-FULL-CHARCOAL-6PCS</t>
        </is>
      </c>
      <c r="E328" s="54" t="inlineStr">
        <is>
          <t>Full</t>
        </is>
      </c>
      <c r="F328" s="54" t="inlineStr">
        <is>
          <t>Charcoal</t>
        </is>
      </c>
      <c r="G328" s="55" t="n">
        <v>0</v>
      </c>
      <c r="H328" s="55" t="n">
        <v>36</v>
      </c>
      <c r="I328" s="56" t="inlineStr">
        <is>
          <t>FBA19QLVD3FK shipped: 12</t>
        </is>
      </c>
      <c r="J328" s="57" t="n">
        <v>0</v>
      </c>
      <c r="K328" s="56" t="inlineStr">
        <is>
          <t>account data velocity</t>
        </is>
      </c>
      <c r="L328" s="58" t="n">
        <v>3.0688</v>
      </c>
      <c r="M328" s="56" t="inlineStr">
        <is>
          <t>own BFCM 2025 lift (account data)</t>
        </is>
      </c>
      <c r="N328" s="59">
        <f>J328*34+J328*L328*12</f>
        <v/>
      </c>
      <c r="O328" s="59">
        <f>MAX(0,N328-G328-H328)</f>
        <v/>
      </c>
      <c r="P328" s="60">
        <f>IF(J328=0,"",IF(G328&lt;J328*34,DATE(2026,10,15)+G328/J328,IF(G328&lt;N328,DATE(2026,11,18)+(G328-J328*34)/(J328*L328),"after Nov 30")))</f>
        <v/>
      </c>
      <c r="Q328" s="60">
        <f>IF(J328=0,"",IF(G328+H328&lt;J328*34,DATE(2026,10,15)+(G328+H328)/J328,IF(G328+H328&lt;N328,DATE(2026,11,18)+(G328+H328-J328*34)/(J328*L328),"after Nov 30")))</f>
        <v/>
      </c>
      <c r="R328" s="54">
        <f>IF(AND(G328&lt;=0,J328&gt;0),"Out of stock now",IF(G328&gt;=N328,"Covered to Nov 30",IF(G328+H328&gt;=N328,"Needs inbound in time","Short even with inbound")))</f>
        <v/>
      </c>
      <c r="S328" s="57" t="n">
        <v>0</v>
      </c>
      <c r="T328" s="59">
        <f>IF(S328="","",S328*34+S328*L328*12)</f>
        <v/>
      </c>
    </row>
    <row r="329">
      <c r="A329" s="54" t="inlineStr">
        <is>
          <t>CA DC B6</t>
        </is>
      </c>
      <c r="B329" s="54" t="inlineStr">
        <is>
          <t>CA</t>
        </is>
      </c>
      <c r="C329" s="54" t="inlineStr">
        <is>
          <t>B0HD13QPG2</t>
        </is>
      </c>
      <c r="D329" s="54" t="inlineStr">
        <is>
          <t>BAMBOO-FULL-LIGHTGREY-6PC</t>
        </is>
      </c>
      <c r="E329" s="54" t="inlineStr">
        <is>
          <t>Full</t>
        </is>
      </c>
      <c r="F329" s="54" t="inlineStr">
        <is>
          <t>Light Grey</t>
        </is>
      </c>
      <c r="G329" s="55" t="n">
        <v>18</v>
      </c>
      <c r="H329" s="55" t="n">
        <v>18</v>
      </c>
      <c r="I329" s="56" t="inlineStr">
        <is>
          <t>FBA19QLVD3FK shipped: 18</t>
        </is>
      </c>
      <c r="J329" s="57" t="n">
        <v>0</v>
      </c>
      <c r="K329" s="56" t="inlineStr">
        <is>
          <t>account data velocity</t>
        </is>
      </c>
      <c r="L329" s="58" t="n">
        <v>3.0688</v>
      </c>
      <c r="M329" s="56" t="inlineStr">
        <is>
          <t>own BFCM 2025 lift (account data)</t>
        </is>
      </c>
      <c r="N329" s="59">
        <f>J329*34+J329*L329*12</f>
        <v/>
      </c>
      <c r="O329" s="59">
        <f>MAX(0,N329-G329-H329)</f>
        <v/>
      </c>
      <c r="P329" s="60">
        <f>IF(J329=0,"",IF(G329&lt;J329*34,DATE(2026,10,15)+G329/J329,IF(G329&lt;N329,DATE(2026,11,18)+(G329-J329*34)/(J329*L329),"after Nov 30")))</f>
        <v/>
      </c>
      <c r="Q329" s="60">
        <f>IF(J329=0,"",IF(G329+H329&lt;J329*34,DATE(2026,10,15)+(G329+H329)/J329,IF(G329+H329&lt;N329,DATE(2026,11,18)+(G329+H329-J329*34)/(J329*L329),"after Nov 30")))</f>
        <v/>
      </c>
      <c r="R329" s="54">
        <f>IF(AND(G329&lt;=0,J329&gt;0),"Out of stock now",IF(G329&gt;=N329,"Covered to Nov 30",IF(G329+H329&gt;=N329,"Needs inbound in time","Short even with inbound")))</f>
        <v/>
      </c>
      <c r="S329" s="57" t="n">
        <v>0</v>
      </c>
      <c r="T329" s="59">
        <f>IF(S329="","",S329*34+S329*L329*12)</f>
        <v/>
      </c>
    </row>
    <row r="330">
      <c r="A330" s="54" t="inlineStr">
        <is>
          <t>CA DC B6</t>
        </is>
      </c>
      <c r="B330" s="54" t="inlineStr">
        <is>
          <t>CA</t>
        </is>
      </c>
      <c r="C330" s="54" t="inlineStr">
        <is>
          <t>B0CQ32LWVD</t>
        </is>
      </c>
      <c r="D330" s="54" t="inlineStr">
        <is>
          <t>BAMBOO-TWIN-BURGUNDY-6PCS</t>
        </is>
      </c>
      <c r="E330" s="54" t="inlineStr">
        <is>
          <t>Twin</t>
        </is>
      </c>
      <c r="F330" s="54" t="inlineStr">
        <is>
          <t>Burgundy</t>
        </is>
      </c>
      <c r="G330" s="55" t="n">
        <v>0</v>
      </c>
      <c r="H330" s="55" t="n">
        <v>12</v>
      </c>
      <c r="I330" s="56" t="n"/>
      <c r="J330" s="57" t="n">
        <v>0</v>
      </c>
      <c r="K330" s="56" t="inlineStr">
        <is>
          <t>account data velocity</t>
        </is>
      </c>
      <c r="L330" s="58" t="n">
        <v>3.0688</v>
      </c>
      <c r="M330" s="56" t="inlineStr">
        <is>
          <t>own BFCM 2025 lift (account data)</t>
        </is>
      </c>
      <c r="N330" s="59">
        <f>J330*34+J330*L330*12</f>
        <v/>
      </c>
      <c r="O330" s="59">
        <f>MAX(0,N330-G330-H330)</f>
        <v/>
      </c>
      <c r="P330" s="60">
        <f>IF(J330=0,"",IF(G330&lt;J330*34,DATE(2026,10,15)+G330/J330,IF(G330&lt;N330,DATE(2026,11,18)+(G330-J330*34)/(J330*L330),"after Nov 30")))</f>
        <v/>
      </c>
      <c r="Q330" s="60">
        <f>IF(J330=0,"",IF(G330+H330&lt;J330*34,DATE(2026,10,15)+(G330+H330)/J330,IF(G330+H330&lt;N330,DATE(2026,11,18)+(G330+H330-J330*34)/(J330*L330),"after Nov 30")))</f>
        <v/>
      </c>
      <c r="R330" s="54">
        <f>IF(AND(G330&lt;=0,J330&gt;0),"Out of stock now",IF(G330&gt;=N330,"Covered to Nov 30",IF(G330+H330&gt;=N330,"Needs inbound in time","Short even with inbound")))</f>
        <v/>
      </c>
      <c r="S330" s="57" t="n"/>
      <c r="T330" s="59">
        <f>IF(S330="","",S330*34+S330*L330*12)</f>
        <v/>
      </c>
    </row>
    <row r="331">
      <c r="A331" s="54" t="inlineStr">
        <is>
          <t>CA DC B6</t>
        </is>
      </c>
      <c r="B331" s="54" t="inlineStr">
        <is>
          <t>CA</t>
        </is>
      </c>
      <c r="C331" s="54" t="inlineStr">
        <is>
          <t>B0CQ33BH1K</t>
        </is>
      </c>
      <c r="D331" s="54" t="inlineStr">
        <is>
          <t>BAMBOO-TWIN-LIGHT PINK-6PCS</t>
        </is>
      </c>
      <c r="E331" s="54" t="inlineStr">
        <is>
          <t>Twin</t>
        </is>
      </c>
      <c r="F331" s="54" t="inlineStr">
        <is>
          <t>Light Pink</t>
        </is>
      </c>
      <c r="G331" s="55" t="n">
        <v>24</v>
      </c>
      <c r="H331" s="55" t="n">
        <v>12</v>
      </c>
      <c r="I331" s="56" t="inlineStr">
        <is>
          <t>FBA19QLVD3FK shipped: 6</t>
        </is>
      </c>
      <c r="J331" s="57" t="n">
        <v>0</v>
      </c>
      <c r="K331" s="56" t="inlineStr">
        <is>
          <t>account data velocity</t>
        </is>
      </c>
      <c r="L331" s="58" t="n">
        <v>3.0688</v>
      </c>
      <c r="M331" s="56" t="inlineStr">
        <is>
          <t>own BFCM 2025 lift (account data)</t>
        </is>
      </c>
      <c r="N331" s="59">
        <f>J331*34+J331*L331*12</f>
        <v/>
      </c>
      <c r="O331" s="59">
        <f>MAX(0,N331-G331-H331)</f>
        <v/>
      </c>
      <c r="P331" s="60">
        <f>IF(J331=0,"",IF(G331&lt;J331*34,DATE(2026,10,15)+G331/J331,IF(G331&lt;N331,DATE(2026,11,18)+(G331-J331*34)/(J331*L331),"after Nov 30")))</f>
        <v/>
      </c>
      <c r="Q331" s="60">
        <f>IF(J331=0,"",IF(G331+H331&lt;J331*34,DATE(2026,10,15)+(G331+H331)/J331,IF(G331+H331&lt;N331,DATE(2026,11,18)+(G331+H331-J331*34)/(J331*L331),"after Nov 30")))</f>
        <v/>
      </c>
      <c r="R331" s="54">
        <f>IF(AND(G331&lt;=0,J331&gt;0),"Out of stock now",IF(G331&gt;=N331,"Covered to Nov 30",IF(G331+H331&gt;=N331,"Needs inbound in time","Short even with inbound")))</f>
        <v/>
      </c>
      <c r="S331" s="57" t="n"/>
      <c r="T331" s="59">
        <f>IF(S331="","",S331*34+S331*L331*12)</f>
        <v/>
      </c>
    </row>
    <row r="332">
      <c r="A332" s="54" t="inlineStr">
        <is>
          <t>US SL B6</t>
        </is>
      </c>
      <c r="B332" s="54" t="inlineStr">
        <is>
          <t>US</t>
        </is>
      </c>
      <c r="C332" s="54" t="inlineStr">
        <is>
          <t>B0DDTYDHVB</t>
        </is>
      </c>
      <c r="D332" s="54" t="inlineStr">
        <is>
          <t>SS-BAMBOO-TAUPE-KING-6PCS</t>
        </is>
      </c>
      <c r="E332" s="54" t="inlineStr">
        <is>
          <t>King</t>
        </is>
      </c>
      <c r="F332" s="54" t="inlineStr">
        <is>
          <t>Taupe</t>
        </is>
      </c>
      <c r="G332" s="55" t="n">
        <v>164</v>
      </c>
      <c r="H332" s="55" t="n">
        <v>0</v>
      </c>
      <c r="I332" s="56" t="n"/>
      <c r="J332" s="57" t="n">
        <v>0.71</v>
      </c>
      <c r="K332" s="56" t="inlineStr">
        <is>
          <t>account data velocity</t>
        </is>
      </c>
      <c r="L332" s="58" t="n">
        <v>1.2013</v>
      </c>
      <c r="M332" s="56" t="inlineStr">
        <is>
          <t>own BFCM 2025 lift (account data)</t>
        </is>
      </c>
      <c r="N332" s="59">
        <f>J332*34+J332*L332*12</f>
        <v/>
      </c>
      <c r="O332" s="59">
        <f>MAX(0,N332-G332-H332)</f>
        <v/>
      </c>
      <c r="P332" s="60">
        <f>IF(J332=0,"",IF(G332&lt;J332*34,DATE(2026,10,15)+G332/J332,IF(G332&lt;N332,DATE(2026,11,18)+(G332-J332*34)/(J332*L332),"after Nov 30")))</f>
        <v/>
      </c>
      <c r="Q332" s="60">
        <f>IF(J332=0,"",IF(G332+H332&lt;J332*34,DATE(2026,10,15)+(G332+H332)/J332,IF(G332+H332&lt;N332,DATE(2026,11,18)+(G332+H332-J332*34)/(J332*L332),"after Nov 30")))</f>
        <v/>
      </c>
      <c r="R332" s="54">
        <f>IF(AND(G332&lt;=0,J332&gt;0),"Out of stock now",IF(G332&gt;=N332,"Covered to Nov 30",IF(G332+H332&gt;=N332,"Needs inbound in time","Short even with inbound")))</f>
        <v/>
      </c>
      <c r="S332" s="57" t="n">
        <v>0.929</v>
      </c>
      <c r="T332" s="59">
        <f>IF(S332="","",S332*34+S332*L332*12)</f>
        <v/>
      </c>
    </row>
    <row r="333">
      <c r="A333" s="54" t="inlineStr">
        <is>
          <t>US SL B6</t>
        </is>
      </c>
      <c r="B333" s="54" t="inlineStr">
        <is>
          <t>US</t>
        </is>
      </c>
      <c r="C333" s="54" t="inlineStr">
        <is>
          <t>B0DDTX24QR</t>
        </is>
      </c>
      <c r="D333" s="54" t="inlineStr">
        <is>
          <t>SS-BAMBOO-LIGHT-GREY-KING-6PCS</t>
        </is>
      </c>
      <c r="E333" s="54" t="inlineStr">
        <is>
          <t>King</t>
        </is>
      </c>
      <c r="F333" s="54" t="inlineStr">
        <is>
          <t>Light Grey</t>
        </is>
      </c>
      <c r="G333" s="55" t="n">
        <v>51</v>
      </c>
      <c r="H333" s="55" t="n">
        <v>0</v>
      </c>
      <c r="I333" s="56" t="n"/>
      <c r="J333" s="57" t="n">
        <v>0.3</v>
      </c>
      <c r="K333" s="56" t="inlineStr">
        <is>
          <t>account data velocity</t>
        </is>
      </c>
      <c r="L333" s="58" t="n">
        <v>1.2013</v>
      </c>
      <c r="M333" s="56" t="inlineStr">
        <is>
          <t>own BFCM 2025 lift (account data)</t>
        </is>
      </c>
      <c r="N333" s="59">
        <f>J333*34+J333*L333*12</f>
        <v/>
      </c>
      <c r="O333" s="59">
        <f>MAX(0,N333-G333-H333)</f>
        <v/>
      </c>
      <c r="P333" s="60">
        <f>IF(J333=0,"",IF(G333&lt;J333*34,DATE(2026,10,15)+G333/J333,IF(G333&lt;N333,DATE(2026,11,18)+(G333-J333*34)/(J333*L333),"after Nov 30")))</f>
        <v/>
      </c>
      <c r="Q333" s="60">
        <f>IF(J333=0,"",IF(G333+H333&lt;J333*34,DATE(2026,10,15)+(G333+H333)/J333,IF(G333+H333&lt;N333,DATE(2026,11,18)+(G333+H333-J333*34)/(J333*L333),"after Nov 30")))</f>
        <v/>
      </c>
      <c r="R333" s="54">
        <f>IF(AND(G333&lt;=0,J333&gt;0),"Out of stock now",IF(G333&gt;=N333,"Covered to Nov 30",IF(G333+H333&gt;=N333,"Needs inbound in time","Short even with inbound")))</f>
        <v/>
      </c>
      <c r="S333" s="57" t="n">
        <v>0.179</v>
      </c>
      <c r="T333" s="59">
        <f>IF(S333="","",S333*34+S333*L333*12)</f>
        <v/>
      </c>
    </row>
    <row r="334">
      <c r="A334" s="54" t="inlineStr">
        <is>
          <t>US SL B6</t>
        </is>
      </c>
      <c r="B334" s="54" t="inlineStr">
        <is>
          <t>US</t>
        </is>
      </c>
      <c r="C334" s="54" t="inlineStr">
        <is>
          <t>B0DDTYXN15</t>
        </is>
      </c>
      <c r="D334" s="54" t="inlineStr">
        <is>
          <t>SS-BAMBOO-OLIVE-QUEEN-6PCS</t>
        </is>
      </c>
      <c r="E334" s="54" t="inlineStr">
        <is>
          <t>Queen</t>
        </is>
      </c>
      <c r="F334" s="54" t="inlineStr">
        <is>
          <t>Olive</t>
        </is>
      </c>
      <c r="G334" s="55" t="n">
        <v>77</v>
      </c>
      <c r="H334" s="55" t="n">
        <v>0</v>
      </c>
      <c r="I334" s="56" t="n"/>
      <c r="J334" s="57" t="n">
        <v>0.3</v>
      </c>
      <c r="K334" s="56" t="inlineStr">
        <is>
          <t>account data velocity</t>
        </is>
      </c>
      <c r="L334" s="58" t="n">
        <v>1.2013</v>
      </c>
      <c r="M334" s="56" t="inlineStr">
        <is>
          <t>own BFCM 2025 lift (account data)</t>
        </is>
      </c>
      <c r="N334" s="59">
        <f>J334*34+J334*L334*12</f>
        <v/>
      </c>
      <c r="O334" s="59">
        <f>MAX(0,N334-G334-H334)</f>
        <v/>
      </c>
      <c r="P334" s="60">
        <f>IF(J334=0,"",IF(G334&lt;J334*34,DATE(2026,10,15)+G334/J334,IF(G334&lt;N334,DATE(2026,11,18)+(G334-J334*34)/(J334*L334),"after Nov 30")))</f>
        <v/>
      </c>
      <c r="Q334" s="60">
        <f>IF(J334=0,"",IF(G334+H334&lt;J334*34,DATE(2026,10,15)+(G334+H334)/J334,IF(G334+H334&lt;N334,DATE(2026,11,18)+(G334+H334-J334*34)/(J334*L334),"after Nov 30")))</f>
        <v/>
      </c>
      <c r="R334" s="54">
        <f>IF(AND(G334&lt;=0,J334&gt;0),"Out of stock now",IF(G334&gt;=N334,"Covered to Nov 30",IF(G334+H334&gt;=N334,"Needs inbound in time","Short even with inbound")))</f>
        <v/>
      </c>
      <c r="S334" s="57" t="n">
        <v>0.179</v>
      </c>
      <c r="T334" s="59">
        <f>IF(S334="","",S334*34+S334*L334*12)</f>
        <v/>
      </c>
    </row>
    <row r="335">
      <c r="A335" s="54" t="inlineStr">
        <is>
          <t>US SL B6</t>
        </is>
      </c>
      <c r="B335" s="54" t="inlineStr">
        <is>
          <t>US</t>
        </is>
      </c>
      <c r="C335" s="54" t="inlineStr">
        <is>
          <t>B0DDTXTR71</t>
        </is>
      </c>
      <c r="D335" s="54" t="inlineStr">
        <is>
          <t>SS-BAMBOO-PURPLE-CALIFKING-6PCS</t>
        </is>
      </c>
      <c r="E335" s="54" t="inlineStr">
        <is>
          <t>California King</t>
        </is>
      </c>
      <c r="F335" s="54" t="inlineStr">
        <is>
          <t>Purple</t>
        </is>
      </c>
      <c r="G335" s="55" t="n">
        <v>11</v>
      </c>
      <c r="H335" s="55" t="n">
        <v>0</v>
      </c>
      <c r="I335" s="56" t="n"/>
      <c r="J335" s="57" t="n">
        <v>0.27</v>
      </c>
      <c r="K335" s="56" t="inlineStr">
        <is>
          <t>account data velocity</t>
        </is>
      </c>
      <c r="L335" s="58" t="n">
        <v>1.2013</v>
      </c>
      <c r="M335" s="56" t="inlineStr">
        <is>
          <t>own BFCM 2025 lift (account data)</t>
        </is>
      </c>
      <c r="N335" s="59">
        <f>J335*34+J335*L335*12</f>
        <v/>
      </c>
      <c r="O335" s="59">
        <f>MAX(0,N335-G335-H335)</f>
        <v/>
      </c>
      <c r="P335" s="60">
        <f>IF(J335=0,"",IF(G335&lt;J335*34,DATE(2026,10,15)+G335/J335,IF(G335&lt;N335,DATE(2026,11,18)+(G335-J335*34)/(J335*L335),"after Nov 30")))</f>
        <v/>
      </c>
      <c r="Q335" s="60">
        <f>IF(J335=0,"",IF(G335+H335&lt;J335*34,DATE(2026,10,15)+(G335+H335)/J335,IF(G335+H335&lt;N335,DATE(2026,11,18)+(G335+H335-J335*34)/(J335*L335),"after Nov 30")))</f>
        <v/>
      </c>
      <c r="R335" s="54">
        <f>IF(AND(G335&lt;=0,J335&gt;0),"Out of stock now",IF(G335&gt;=N335,"Covered to Nov 30",IF(G335+H335&gt;=N335,"Needs inbound in time","Short even with inbound")))</f>
        <v/>
      </c>
      <c r="S335" s="57" t="n">
        <v>0.036</v>
      </c>
      <c r="T335" s="59">
        <f>IF(S335="","",S335*34+S335*L335*12)</f>
        <v/>
      </c>
    </row>
    <row r="336">
      <c r="A336" s="54" t="inlineStr">
        <is>
          <t>US SL B6</t>
        </is>
      </c>
      <c r="B336" s="54" t="inlineStr">
        <is>
          <t>US</t>
        </is>
      </c>
      <c r="C336" s="54" t="inlineStr">
        <is>
          <t>B0DDTZ9ZW9</t>
        </is>
      </c>
      <c r="D336" s="54" t="inlineStr">
        <is>
          <t>SS-BAMBOO-CREME-FULL-6PCS</t>
        </is>
      </c>
      <c r="E336" s="54" t="inlineStr">
        <is>
          <t>Full</t>
        </is>
      </c>
      <c r="F336" s="54" t="inlineStr">
        <is>
          <t>Creme</t>
        </is>
      </c>
      <c r="G336" s="55" t="n">
        <v>34</v>
      </c>
      <c r="H336" s="55" t="n">
        <v>0</v>
      </c>
      <c r="I336" s="56" t="n"/>
      <c r="J336" s="57" t="n">
        <v>0.25</v>
      </c>
      <c r="K336" s="56" t="inlineStr">
        <is>
          <t>account data velocity</t>
        </is>
      </c>
      <c r="L336" s="58" t="n">
        <v>1.2013</v>
      </c>
      <c r="M336" s="56" t="inlineStr">
        <is>
          <t>own BFCM 2025 lift (account data)</t>
        </is>
      </c>
      <c r="N336" s="59">
        <f>J336*34+J336*L336*12</f>
        <v/>
      </c>
      <c r="O336" s="59">
        <f>MAX(0,N336-G336-H336)</f>
        <v/>
      </c>
      <c r="P336" s="60">
        <f>IF(J336=0,"",IF(G336&lt;J336*34,DATE(2026,10,15)+G336/J336,IF(G336&lt;N336,DATE(2026,11,18)+(G336-J336*34)/(J336*L336),"after Nov 30")))</f>
        <v/>
      </c>
      <c r="Q336" s="60">
        <f>IF(J336=0,"",IF(G336+H336&lt;J336*34,DATE(2026,10,15)+(G336+H336)/J336,IF(G336+H336&lt;N336,DATE(2026,11,18)+(G336+H336-J336*34)/(J336*L336),"after Nov 30")))</f>
        <v/>
      </c>
      <c r="R336" s="54">
        <f>IF(AND(G336&lt;=0,J336&gt;0),"Out of stock now",IF(G336&gt;=N336,"Covered to Nov 30",IF(G336+H336&gt;=N336,"Needs inbound in time","Short even with inbound")))</f>
        <v/>
      </c>
      <c r="S336" s="57" t="n">
        <v>0.107</v>
      </c>
      <c r="T336" s="59">
        <f>IF(S336="","",S336*34+S336*L336*12)</f>
        <v/>
      </c>
    </row>
    <row r="337">
      <c r="A337" s="54" t="inlineStr">
        <is>
          <t>US SL B6</t>
        </is>
      </c>
      <c r="B337" s="54" t="inlineStr">
        <is>
          <t>US</t>
        </is>
      </c>
      <c r="C337" s="54" t="inlineStr">
        <is>
          <t>B0DDTXJYV4</t>
        </is>
      </c>
      <c r="D337" s="54" t="inlineStr">
        <is>
          <t>SS-BAMBOO-NAVY-BLUE-FULL-6PCS</t>
        </is>
      </c>
      <c r="E337" s="54" t="inlineStr">
        <is>
          <t>Full</t>
        </is>
      </c>
      <c r="F337" s="54" t="inlineStr">
        <is>
          <t>Navy Blue</t>
        </is>
      </c>
      <c r="G337" s="55" t="n">
        <v>14</v>
      </c>
      <c r="H337" s="55" t="n">
        <v>0</v>
      </c>
      <c r="I337" s="56" t="n"/>
      <c r="J337" s="57" t="n">
        <v>0.23</v>
      </c>
      <c r="K337" s="56" t="inlineStr">
        <is>
          <t>account data velocity</t>
        </is>
      </c>
      <c r="L337" s="58" t="n">
        <v>1.2013</v>
      </c>
      <c r="M337" s="56" t="inlineStr">
        <is>
          <t>own BFCM 2025 lift (account data)</t>
        </is>
      </c>
      <c r="N337" s="59">
        <f>J337*34+J337*L337*12</f>
        <v/>
      </c>
      <c r="O337" s="59">
        <f>MAX(0,N337-G337-H337)</f>
        <v/>
      </c>
      <c r="P337" s="60">
        <f>IF(J337=0,"",IF(G337&lt;J337*34,DATE(2026,10,15)+G337/J337,IF(G337&lt;N337,DATE(2026,11,18)+(G337-J337*34)/(J337*L337),"after Nov 30")))</f>
        <v/>
      </c>
      <c r="Q337" s="60">
        <f>IF(J337=0,"",IF(G337+H337&lt;J337*34,DATE(2026,10,15)+(G337+H337)/J337,IF(G337+H337&lt;N337,DATE(2026,11,18)+(G337+H337-J337*34)/(J337*L337),"after Nov 30")))</f>
        <v/>
      </c>
      <c r="R337" s="54">
        <f>IF(AND(G337&lt;=0,J337&gt;0),"Out of stock now",IF(G337&gt;=N337,"Covered to Nov 30",IF(G337+H337&gt;=N337,"Needs inbound in time","Short even with inbound")))</f>
        <v/>
      </c>
      <c r="S337" s="57" t="n">
        <v>0.07099999999999999</v>
      </c>
      <c r="T337" s="59">
        <f>IF(S337="","",S337*34+S337*L337*12)</f>
        <v/>
      </c>
    </row>
    <row r="338">
      <c r="A338" s="54" t="inlineStr">
        <is>
          <t>US SL B6</t>
        </is>
      </c>
      <c r="B338" s="54" t="inlineStr">
        <is>
          <t>US</t>
        </is>
      </c>
      <c r="C338" s="54" t="inlineStr">
        <is>
          <t>B0DDTXV2V8</t>
        </is>
      </c>
      <c r="D338" s="54" t="inlineStr">
        <is>
          <t>SS-BAMBOO-LIGHT-PINK-CALIFKING-6PCS</t>
        </is>
      </c>
      <c r="E338" s="54" t="inlineStr">
        <is>
          <t>California King</t>
        </is>
      </c>
      <c r="F338" s="54" t="inlineStr">
        <is>
          <t>Light Pink</t>
        </is>
      </c>
      <c r="G338" s="55" t="n">
        <v>6</v>
      </c>
      <c r="H338" s="55" t="n">
        <v>0</v>
      </c>
      <c r="I338" s="56" t="n"/>
      <c r="J338" s="57" t="n">
        <v>0.22</v>
      </c>
      <c r="K338" s="56" t="inlineStr">
        <is>
          <t>account data velocity</t>
        </is>
      </c>
      <c r="L338" s="58" t="n">
        <v>1.2013</v>
      </c>
      <c r="M338" s="56" t="inlineStr">
        <is>
          <t>own BFCM 2025 lift (account data)</t>
        </is>
      </c>
      <c r="N338" s="59">
        <f>J338*34+J338*L338*12</f>
        <v/>
      </c>
      <c r="O338" s="59">
        <f>MAX(0,N338-G338-H338)</f>
        <v/>
      </c>
      <c r="P338" s="60">
        <f>IF(J338=0,"",IF(G338&lt;J338*34,DATE(2026,10,15)+G338/J338,IF(G338&lt;N338,DATE(2026,11,18)+(G338-J338*34)/(J338*L338),"after Nov 30")))</f>
        <v/>
      </c>
      <c r="Q338" s="60">
        <f>IF(J338=0,"",IF(G338+H338&lt;J338*34,DATE(2026,10,15)+(G338+H338)/J338,IF(G338+H338&lt;N338,DATE(2026,11,18)+(G338+H338-J338*34)/(J338*L338),"after Nov 30")))</f>
        <v/>
      </c>
      <c r="R338" s="54">
        <f>IF(AND(G338&lt;=0,J338&gt;0),"Out of stock now",IF(G338&gt;=N338,"Covered to Nov 30",IF(G338+H338&gt;=N338,"Needs inbound in time","Short even with inbound")))</f>
        <v/>
      </c>
      <c r="S338" s="57" t="n">
        <v>0.036</v>
      </c>
      <c r="T338" s="59">
        <f>IF(S338="","",S338*34+S338*L338*12)</f>
        <v/>
      </c>
    </row>
    <row r="339">
      <c r="A339" s="54" t="inlineStr">
        <is>
          <t>US SL B6</t>
        </is>
      </c>
      <c r="B339" s="54" t="inlineStr">
        <is>
          <t>US</t>
        </is>
      </c>
      <c r="C339" s="54" t="inlineStr">
        <is>
          <t>B0DDTZ34FW</t>
        </is>
      </c>
      <c r="D339" s="54" t="inlineStr">
        <is>
          <t>SS-BAMBOO-SAGE-GREEN-FULL-6PCS</t>
        </is>
      </c>
      <c r="E339" s="54" t="inlineStr">
        <is>
          <t>Full</t>
        </is>
      </c>
      <c r="F339" s="54" t="inlineStr">
        <is>
          <t>Sage Green</t>
        </is>
      </c>
      <c r="G339" s="55" t="n">
        <v>7</v>
      </c>
      <c r="H339" s="55" t="n">
        <v>0</v>
      </c>
      <c r="I339" s="56" t="n"/>
      <c r="J339" s="57" t="n">
        <v>0.22</v>
      </c>
      <c r="K339" s="56" t="inlineStr">
        <is>
          <t>account data velocity</t>
        </is>
      </c>
      <c r="L339" s="58" t="n">
        <v>1.2013</v>
      </c>
      <c r="M339" s="56" t="inlineStr">
        <is>
          <t>own BFCM 2025 lift (account data)</t>
        </is>
      </c>
      <c r="N339" s="59">
        <f>J339*34+J339*L339*12</f>
        <v/>
      </c>
      <c r="O339" s="59">
        <f>MAX(0,N339-G339-H339)</f>
        <v/>
      </c>
      <c r="P339" s="60">
        <f>IF(J339=0,"",IF(G339&lt;J339*34,DATE(2026,10,15)+G339/J339,IF(G339&lt;N339,DATE(2026,11,18)+(G339-J339*34)/(J339*L339),"after Nov 30")))</f>
        <v/>
      </c>
      <c r="Q339" s="60">
        <f>IF(J339=0,"",IF(G339+H339&lt;J339*34,DATE(2026,10,15)+(G339+H339)/J339,IF(G339+H339&lt;N339,DATE(2026,11,18)+(G339+H339-J339*34)/(J339*L339),"after Nov 30")))</f>
        <v/>
      </c>
      <c r="R339" s="54">
        <f>IF(AND(G339&lt;=0,J339&gt;0),"Out of stock now",IF(G339&gt;=N339,"Covered to Nov 30",IF(G339+H339&gt;=N339,"Needs inbound in time","Short even with inbound")))</f>
        <v/>
      </c>
      <c r="S339" s="57" t="n">
        <v>0</v>
      </c>
      <c r="T339" s="59">
        <f>IF(S339="","",S339*34+S339*L339*12)</f>
        <v/>
      </c>
    </row>
    <row r="340">
      <c r="A340" s="54" t="inlineStr">
        <is>
          <t>US SL B6</t>
        </is>
      </c>
      <c r="B340" s="54" t="inlineStr">
        <is>
          <t>US</t>
        </is>
      </c>
      <c r="C340" s="54" t="inlineStr">
        <is>
          <t>B0DDTZCKGQ</t>
        </is>
      </c>
      <c r="D340" s="54" t="inlineStr">
        <is>
          <t>SS-BAMBOO-CREME-QUEEN-6PCS</t>
        </is>
      </c>
      <c r="E340" s="54" t="inlineStr">
        <is>
          <t>Queen</t>
        </is>
      </c>
      <c r="F340" s="54" t="inlineStr">
        <is>
          <t>Creme</t>
        </is>
      </c>
      <c r="G340" s="55" t="n">
        <v>1</v>
      </c>
      <c r="H340" s="55" t="n">
        <v>0</v>
      </c>
      <c r="I340" s="56" t="n"/>
      <c r="J340" s="57" t="n">
        <v>0.12</v>
      </c>
      <c r="K340" s="56" t="inlineStr">
        <is>
          <t>account data velocity</t>
        </is>
      </c>
      <c r="L340" s="58" t="n">
        <v>1.2013</v>
      </c>
      <c r="M340" s="56" t="inlineStr">
        <is>
          <t>own BFCM 2025 lift (account data)</t>
        </is>
      </c>
      <c r="N340" s="59">
        <f>J340*34+J340*L340*12</f>
        <v/>
      </c>
      <c r="O340" s="59">
        <f>MAX(0,N340-G340-H340)</f>
        <v/>
      </c>
      <c r="P340" s="60">
        <f>IF(J340=0,"",IF(G340&lt;J340*34,DATE(2026,10,15)+G340/J340,IF(G340&lt;N340,DATE(2026,11,18)+(G340-J340*34)/(J340*L340),"after Nov 30")))</f>
        <v/>
      </c>
      <c r="Q340" s="60">
        <f>IF(J340=0,"",IF(G340+H340&lt;J340*34,DATE(2026,10,15)+(G340+H340)/J340,IF(G340+H340&lt;N340,DATE(2026,11,18)+(G340+H340-J340*34)/(J340*L340),"after Nov 30")))</f>
        <v/>
      </c>
      <c r="R340" s="54">
        <f>IF(AND(G340&lt;=0,J340&gt;0),"Out of stock now",IF(G340&gt;=N340,"Covered to Nov 30",IF(G340+H340&gt;=N340,"Needs inbound in time","Short even with inbound")))</f>
        <v/>
      </c>
      <c r="S340" s="57" t="n">
        <v>0.357</v>
      </c>
      <c r="T340" s="59">
        <f>IF(S340="","",S340*34+S340*L340*12)</f>
        <v/>
      </c>
    </row>
    <row r="341">
      <c r="A341" s="54" t="inlineStr">
        <is>
          <t>US SL B6</t>
        </is>
      </c>
      <c r="B341" s="54" t="inlineStr">
        <is>
          <t>US</t>
        </is>
      </c>
      <c r="C341" s="54" t="inlineStr">
        <is>
          <t>B0DDTZ92JW</t>
        </is>
      </c>
      <c r="D341" s="54" t="inlineStr">
        <is>
          <t>SS-BAMBOO-WHITE-KING-6PCS</t>
        </is>
      </c>
      <c r="E341" s="54" t="inlineStr">
        <is>
          <t>King</t>
        </is>
      </c>
      <c r="F341" s="54" t="inlineStr">
        <is>
          <t>White</t>
        </is>
      </c>
      <c r="G341" s="55" t="n">
        <v>0</v>
      </c>
      <c r="H341" s="55" t="n">
        <v>0</v>
      </c>
      <c r="I341" s="56" t="n"/>
      <c r="J341" s="57" t="n">
        <v>0.1</v>
      </c>
      <c r="K341" s="56" t="inlineStr">
        <is>
          <t>account data velocity</t>
        </is>
      </c>
      <c r="L341" s="58" t="n">
        <v>1.2013</v>
      </c>
      <c r="M341" s="56" t="inlineStr">
        <is>
          <t>own BFCM 2025 lift (account data)</t>
        </is>
      </c>
      <c r="N341" s="59">
        <f>J341*34+J341*L341*12</f>
        <v/>
      </c>
      <c r="O341" s="59">
        <f>MAX(0,N341-G341-H341)</f>
        <v/>
      </c>
      <c r="P341" s="60">
        <f>IF(J341=0,"",IF(G341&lt;J341*34,DATE(2026,10,15)+G341/J341,IF(G341&lt;N341,DATE(2026,11,18)+(G341-J341*34)/(J341*L341),"after Nov 30")))</f>
        <v/>
      </c>
      <c r="Q341" s="60">
        <f>IF(J341=0,"",IF(G341+H341&lt;J341*34,DATE(2026,10,15)+(G341+H341)/J341,IF(G341+H341&lt;N341,DATE(2026,11,18)+(G341+H341-J341*34)/(J341*L341),"after Nov 30")))</f>
        <v/>
      </c>
      <c r="R341" s="54">
        <f>IF(AND(G341&lt;=0,J341&gt;0),"Out of stock now",IF(G341&gt;=N341,"Covered to Nov 30",IF(G341+H341&gt;=N341,"Needs inbound in time","Short even with inbound")))</f>
        <v/>
      </c>
      <c r="S341" s="57" t="n">
        <v>0.179</v>
      </c>
      <c r="T341" s="59">
        <f>IF(S341="","",S341*34+S341*L341*12)</f>
        <v/>
      </c>
    </row>
    <row r="342">
      <c r="A342" s="54" t="inlineStr">
        <is>
          <t>US SL B6</t>
        </is>
      </c>
      <c r="B342" s="54" t="inlineStr">
        <is>
          <t>US</t>
        </is>
      </c>
      <c r="C342" s="54" t="inlineStr">
        <is>
          <t>B0DDTY5RQX</t>
        </is>
      </c>
      <c r="D342" s="54" t="inlineStr">
        <is>
          <t>SS-BAMBOO-CHARCOAL-TWIN-4PCS</t>
        </is>
      </c>
      <c r="E342" s="54" t="inlineStr">
        <is>
          <t>Twin</t>
        </is>
      </c>
      <c r="F342" s="54" t="n"/>
      <c r="G342" s="55" t="n">
        <v>4</v>
      </c>
      <c r="H342" s="55" t="n">
        <v>0</v>
      </c>
      <c r="I342" s="56" t="n"/>
      <c r="J342" s="57" t="n">
        <v>0.1</v>
      </c>
      <c r="K342" s="56" t="inlineStr">
        <is>
          <t>account data velocity</t>
        </is>
      </c>
      <c r="L342" s="58" t="n">
        <v>1.2013</v>
      </c>
      <c r="M342" s="56" t="inlineStr">
        <is>
          <t>own BFCM 2025 lift (account data)</t>
        </is>
      </c>
      <c r="N342" s="59">
        <f>J342*34+J342*L342*12</f>
        <v/>
      </c>
      <c r="O342" s="59">
        <f>MAX(0,N342-G342-H342)</f>
        <v/>
      </c>
      <c r="P342" s="60">
        <f>IF(J342=0,"",IF(G342&lt;J342*34,DATE(2026,10,15)+G342/J342,IF(G342&lt;N342,DATE(2026,11,18)+(G342-J342*34)/(J342*L342),"after Nov 30")))</f>
        <v/>
      </c>
      <c r="Q342" s="60">
        <f>IF(J342=0,"",IF(G342+H342&lt;J342*34,DATE(2026,10,15)+(G342+H342)/J342,IF(G342+H342&lt;N342,DATE(2026,11,18)+(G342+H342-J342*34)/(J342*L342),"after Nov 30")))</f>
        <v/>
      </c>
      <c r="R342" s="54">
        <f>IF(AND(G342&lt;=0,J342&gt;0),"Out of stock now",IF(G342&gt;=N342,"Covered to Nov 30",IF(G342+H342&gt;=N342,"Needs inbound in time","Short even with inbound")))</f>
        <v/>
      </c>
      <c r="S342" s="57" t="n"/>
      <c r="T342" s="59">
        <f>IF(S342="","",S342*34+S342*L342*12)</f>
        <v/>
      </c>
    </row>
    <row r="343">
      <c r="A343" s="54" t="inlineStr">
        <is>
          <t>US SL B6</t>
        </is>
      </c>
      <c r="B343" s="54" t="inlineStr">
        <is>
          <t>US</t>
        </is>
      </c>
      <c r="C343" s="54" t="inlineStr">
        <is>
          <t>B0DDTY8HFR</t>
        </is>
      </c>
      <c r="D343" s="54" t="inlineStr">
        <is>
          <t>SS-BAMBOO-BLACK-CALIFKING-6PCS</t>
        </is>
      </c>
      <c r="E343" s="54" t="inlineStr">
        <is>
          <t>California King</t>
        </is>
      </c>
      <c r="F343" s="54" t="inlineStr">
        <is>
          <t>Black</t>
        </is>
      </c>
      <c r="G343" s="55" t="n">
        <v>1</v>
      </c>
      <c r="H343" s="55" t="n">
        <v>0</v>
      </c>
      <c r="I343" s="56" t="n"/>
      <c r="J343" s="57" t="n">
        <v>0.06</v>
      </c>
      <c r="K343" s="56" t="inlineStr">
        <is>
          <t>account data velocity</t>
        </is>
      </c>
      <c r="L343" s="58" t="n">
        <v>1.2013</v>
      </c>
      <c r="M343" s="56" t="inlineStr">
        <is>
          <t>own BFCM 2025 lift (account data)</t>
        </is>
      </c>
      <c r="N343" s="59">
        <f>J343*34+J343*L343*12</f>
        <v/>
      </c>
      <c r="O343" s="59">
        <f>MAX(0,N343-G343-H343)</f>
        <v/>
      </c>
      <c r="P343" s="60">
        <f>IF(J343=0,"",IF(G343&lt;J343*34,DATE(2026,10,15)+G343/J343,IF(G343&lt;N343,DATE(2026,11,18)+(G343-J343*34)/(J343*L343),"after Nov 30")))</f>
        <v/>
      </c>
      <c r="Q343" s="60">
        <f>IF(J343=0,"",IF(G343+H343&lt;J343*34,DATE(2026,10,15)+(G343+H343)/J343,IF(G343+H343&lt;N343,DATE(2026,11,18)+(G343+H343-J343*34)/(J343*L343),"after Nov 30")))</f>
        <v/>
      </c>
      <c r="R343" s="54">
        <f>IF(AND(G343&lt;=0,J343&gt;0),"Out of stock now",IF(G343&gt;=N343,"Covered to Nov 30",IF(G343+H343&gt;=N343,"Needs inbound in time","Short even with inbound")))</f>
        <v/>
      </c>
      <c r="S343" s="57" t="n">
        <v>0.07099999999999999</v>
      </c>
      <c r="T343" s="59">
        <f>IF(S343="","",S343*34+S343*L343*12)</f>
        <v/>
      </c>
    </row>
    <row r="344">
      <c r="A344" s="54" t="inlineStr">
        <is>
          <t>US SL B6</t>
        </is>
      </c>
      <c r="B344" s="54" t="inlineStr">
        <is>
          <t>US</t>
        </is>
      </c>
      <c r="C344" s="54" t="inlineStr">
        <is>
          <t>B0DDTX7FF7</t>
        </is>
      </c>
      <c r="D344" s="54" t="inlineStr">
        <is>
          <t>SS-BAMBOO-TAUPE-FULL-6PCS</t>
        </is>
      </c>
      <c r="E344" s="54" t="inlineStr">
        <is>
          <t>Full</t>
        </is>
      </c>
      <c r="F344" s="54" t="inlineStr">
        <is>
          <t>Taupe</t>
        </is>
      </c>
      <c r="G344" s="55" t="n">
        <v>30</v>
      </c>
      <c r="H344" s="55" t="n">
        <v>0</v>
      </c>
      <c r="I344" s="56" t="n"/>
      <c r="J344" s="57" t="n">
        <v>0.06</v>
      </c>
      <c r="K344" s="56" t="inlineStr">
        <is>
          <t>account data velocity</t>
        </is>
      </c>
      <c r="L344" s="58" t="n">
        <v>1.2013</v>
      </c>
      <c r="M344" s="56" t="inlineStr">
        <is>
          <t>own BFCM 2025 lift (account data)</t>
        </is>
      </c>
      <c r="N344" s="59">
        <f>J344*34+J344*L344*12</f>
        <v/>
      </c>
      <c r="O344" s="59">
        <f>MAX(0,N344-G344-H344)</f>
        <v/>
      </c>
      <c r="P344" s="60">
        <f>IF(J344=0,"",IF(G344&lt;J344*34,DATE(2026,10,15)+G344/J344,IF(G344&lt;N344,DATE(2026,11,18)+(G344-J344*34)/(J344*L344),"after Nov 30")))</f>
        <v/>
      </c>
      <c r="Q344" s="60">
        <f>IF(J344=0,"",IF(G344+H344&lt;J344*34,DATE(2026,10,15)+(G344+H344)/J344,IF(G344+H344&lt;N344,DATE(2026,11,18)+(G344+H344-J344*34)/(J344*L344),"after Nov 30")))</f>
        <v/>
      </c>
      <c r="R344" s="54">
        <f>IF(AND(G344&lt;=0,J344&gt;0),"Out of stock now",IF(G344&gt;=N344,"Covered to Nov 30",IF(G344+H344&gt;=N344,"Needs inbound in time","Short even with inbound")))</f>
        <v/>
      </c>
      <c r="S344" s="57" t="n">
        <v>0.07099999999999999</v>
      </c>
      <c r="T344" s="59">
        <f>IF(S344="","",S344*34+S344*L344*12)</f>
        <v/>
      </c>
    </row>
    <row r="345">
      <c r="A345" s="54" t="inlineStr">
        <is>
          <t>US SL B6</t>
        </is>
      </c>
      <c r="B345" s="54" t="inlineStr">
        <is>
          <t>US</t>
        </is>
      </c>
      <c r="C345" s="54" t="inlineStr">
        <is>
          <t>B0DDTWSK28</t>
        </is>
      </c>
      <c r="D345" s="54" t="inlineStr">
        <is>
          <t>SS-BAMBOO-MIDGREY-FULL-6PCS</t>
        </is>
      </c>
      <c r="E345" s="54" t="inlineStr">
        <is>
          <t>Full</t>
        </is>
      </c>
      <c r="F345" s="54" t="inlineStr">
        <is>
          <t>Midgrey</t>
        </is>
      </c>
      <c r="G345" s="55" t="n">
        <v>8</v>
      </c>
      <c r="H345" s="55" t="n">
        <v>0</v>
      </c>
      <c r="I345" s="56" t="n"/>
      <c r="J345" s="57" t="n">
        <v>0.06</v>
      </c>
      <c r="K345" s="56" t="inlineStr">
        <is>
          <t>account data velocity</t>
        </is>
      </c>
      <c r="L345" s="58" t="n">
        <v>1.2013</v>
      </c>
      <c r="M345" s="56" t="inlineStr">
        <is>
          <t>own BFCM 2025 lift (account data)</t>
        </is>
      </c>
      <c r="N345" s="59">
        <f>J345*34+J345*L345*12</f>
        <v/>
      </c>
      <c r="O345" s="59">
        <f>MAX(0,N345-G345-H345)</f>
        <v/>
      </c>
      <c r="P345" s="60">
        <f>IF(J345=0,"",IF(G345&lt;J345*34,DATE(2026,10,15)+G345/J345,IF(G345&lt;N345,DATE(2026,11,18)+(G345-J345*34)/(J345*L345),"after Nov 30")))</f>
        <v/>
      </c>
      <c r="Q345" s="60">
        <f>IF(J345=0,"",IF(G345+H345&lt;J345*34,DATE(2026,10,15)+(G345+H345)/J345,IF(G345+H345&lt;N345,DATE(2026,11,18)+(G345+H345-J345*34)/(J345*L345),"after Nov 30")))</f>
        <v/>
      </c>
      <c r="R345" s="54">
        <f>IF(AND(G345&lt;=0,J345&gt;0),"Out of stock now",IF(G345&gt;=N345,"Covered to Nov 30",IF(G345+H345&gt;=N345,"Needs inbound in time","Short even with inbound")))</f>
        <v/>
      </c>
      <c r="S345" s="57" t="n">
        <v>0.036</v>
      </c>
      <c r="T345" s="59">
        <f>IF(S345="","",S345*34+S345*L345*12)</f>
        <v/>
      </c>
    </row>
    <row r="346">
      <c r="A346" s="54" t="inlineStr">
        <is>
          <t>US SL B6</t>
        </is>
      </c>
      <c r="B346" s="54" t="inlineStr">
        <is>
          <t>US</t>
        </is>
      </c>
      <c r="C346" s="54" t="inlineStr">
        <is>
          <t>B0DDV13P1L</t>
        </is>
      </c>
      <c r="D346" s="54" t="inlineStr">
        <is>
          <t>SS-BAMBOO-LIGHT-OLIVE-KING-6PCS</t>
        </is>
      </c>
      <c r="E346" s="54" t="inlineStr">
        <is>
          <t>King</t>
        </is>
      </c>
      <c r="F346" s="54" t="inlineStr">
        <is>
          <t>Light Olive</t>
        </is>
      </c>
      <c r="G346" s="55" t="n">
        <v>20</v>
      </c>
      <c r="H346" s="55" t="n">
        <v>0</v>
      </c>
      <c r="I346" s="56" t="n"/>
      <c r="J346" s="57" t="n">
        <v>0.05</v>
      </c>
      <c r="K346" s="56" t="inlineStr">
        <is>
          <t>account data velocity</t>
        </is>
      </c>
      <c r="L346" s="58" t="n">
        <v>1.2013</v>
      </c>
      <c r="M346" s="56" t="inlineStr">
        <is>
          <t>own BFCM 2025 lift (account data)</t>
        </is>
      </c>
      <c r="N346" s="59">
        <f>J346*34+J346*L346*12</f>
        <v/>
      </c>
      <c r="O346" s="59">
        <f>MAX(0,N346-G346-H346)</f>
        <v/>
      </c>
      <c r="P346" s="60">
        <f>IF(J346=0,"",IF(G346&lt;J346*34,DATE(2026,10,15)+G346/J346,IF(G346&lt;N346,DATE(2026,11,18)+(G346-J346*34)/(J346*L346),"after Nov 30")))</f>
        <v/>
      </c>
      <c r="Q346" s="60">
        <f>IF(J346=0,"",IF(G346+H346&lt;J346*34,DATE(2026,10,15)+(G346+H346)/J346,IF(G346+H346&lt;N346,DATE(2026,11,18)+(G346+H346-J346*34)/(J346*L346),"after Nov 30")))</f>
        <v/>
      </c>
      <c r="R346" s="54">
        <f>IF(AND(G346&lt;=0,J346&gt;0),"Out of stock now",IF(G346&gt;=N346,"Covered to Nov 30",IF(G346+H346&gt;=N346,"Needs inbound in time","Short even with inbound")))</f>
        <v/>
      </c>
      <c r="S346" s="57" t="n">
        <v>0.179</v>
      </c>
      <c r="T346" s="59">
        <f>IF(S346="","",S346*34+S346*L346*12)</f>
        <v/>
      </c>
    </row>
    <row r="347">
      <c r="A347" s="54" t="inlineStr">
        <is>
          <t>US SL B6</t>
        </is>
      </c>
      <c r="B347" s="54" t="inlineStr">
        <is>
          <t>US</t>
        </is>
      </c>
      <c r="C347" s="54" t="inlineStr">
        <is>
          <t>B0DDTZ7XW3</t>
        </is>
      </c>
      <c r="D347" s="54" t="inlineStr">
        <is>
          <t>SS-BAMBOO-MIDGREY-KING-6PCS</t>
        </is>
      </c>
      <c r="E347" s="54" t="inlineStr">
        <is>
          <t>King</t>
        </is>
      </c>
      <c r="F347" s="54" t="inlineStr">
        <is>
          <t>Midgrey</t>
        </is>
      </c>
      <c r="G347" s="55" t="n">
        <v>2</v>
      </c>
      <c r="H347" s="55" t="n">
        <v>0</v>
      </c>
      <c r="I347" s="56" t="n"/>
      <c r="J347" s="57" t="n">
        <v>0.05</v>
      </c>
      <c r="K347" s="56" t="inlineStr">
        <is>
          <t>account data velocity</t>
        </is>
      </c>
      <c r="L347" s="58" t="n">
        <v>1.2013</v>
      </c>
      <c r="M347" s="56" t="inlineStr">
        <is>
          <t>own BFCM 2025 lift (account data)</t>
        </is>
      </c>
      <c r="N347" s="59">
        <f>J347*34+J347*L347*12</f>
        <v/>
      </c>
      <c r="O347" s="59">
        <f>MAX(0,N347-G347-H347)</f>
        <v/>
      </c>
      <c r="P347" s="60">
        <f>IF(J347=0,"",IF(G347&lt;J347*34,DATE(2026,10,15)+G347/J347,IF(G347&lt;N347,DATE(2026,11,18)+(G347-J347*34)/(J347*L347),"after Nov 30")))</f>
        <v/>
      </c>
      <c r="Q347" s="60">
        <f>IF(J347=0,"",IF(G347+H347&lt;J347*34,DATE(2026,10,15)+(G347+H347)/J347,IF(G347+H347&lt;N347,DATE(2026,11,18)+(G347+H347-J347*34)/(J347*L347),"after Nov 30")))</f>
        <v/>
      </c>
      <c r="R347" s="54">
        <f>IF(AND(G347&lt;=0,J347&gt;0),"Out of stock now",IF(G347&gt;=N347,"Covered to Nov 30",IF(G347+H347&gt;=N347,"Needs inbound in time","Short even with inbound")))</f>
        <v/>
      </c>
      <c r="S347" s="57" t="n">
        <v>0.143</v>
      </c>
      <c r="T347" s="59">
        <f>IF(S347="","",S347*34+S347*L347*12)</f>
        <v/>
      </c>
    </row>
    <row r="348">
      <c r="A348" s="54" t="inlineStr">
        <is>
          <t>US SL B6</t>
        </is>
      </c>
      <c r="B348" s="54" t="inlineStr">
        <is>
          <t>US</t>
        </is>
      </c>
      <c r="C348" s="54" t="inlineStr">
        <is>
          <t>B0DDTXFQ29</t>
        </is>
      </c>
      <c r="D348" s="54" t="inlineStr">
        <is>
          <t>SS-BAMBOO-LIGHT-OLIVE-CALIFKING-6PCS</t>
        </is>
      </c>
      <c r="E348" s="54" t="inlineStr">
        <is>
          <t>California King</t>
        </is>
      </c>
      <c r="F348" s="54" t="inlineStr">
        <is>
          <t>Light Olive</t>
        </is>
      </c>
      <c r="G348" s="55" t="n">
        <v>14</v>
      </c>
      <c r="H348" s="55" t="n">
        <v>0</v>
      </c>
      <c r="I348" s="56" t="n"/>
      <c r="J348" s="57" t="n">
        <v>0.05</v>
      </c>
      <c r="K348" s="56" t="inlineStr">
        <is>
          <t>account data velocity</t>
        </is>
      </c>
      <c r="L348" s="58" t="n">
        <v>1.2013</v>
      </c>
      <c r="M348" s="56" t="inlineStr">
        <is>
          <t>own BFCM 2025 lift (account data)</t>
        </is>
      </c>
      <c r="N348" s="59">
        <f>J348*34+J348*L348*12</f>
        <v/>
      </c>
      <c r="O348" s="59">
        <f>MAX(0,N348-G348-H348)</f>
        <v/>
      </c>
      <c r="P348" s="60">
        <f>IF(J348=0,"",IF(G348&lt;J348*34,DATE(2026,10,15)+G348/J348,IF(G348&lt;N348,DATE(2026,11,18)+(G348-J348*34)/(J348*L348),"after Nov 30")))</f>
        <v/>
      </c>
      <c r="Q348" s="60">
        <f>IF(J348=0,"",IF(G348+H348&lt;J348*34,DATE(2026,10,15)+(G348+H348)/J348,IF(G348+H348&lt;N348,DATE(2026,11,18)+(G348+H348-J348*34)/(J348*L348),"after Nov 30")))</f>
        <v/>
      </c>
      <c r="R348" s="54">
        <f>IF(AND(G348&lt;=0,J348&gt;0),"Out of stock now",IF(G348&gt;=N348,"Covered to Nov 30",IF(G348+H348&gt;=N348,"Needs inbound in time","Short even with inbound")))</f>
        <v/>
      </c>
      <c r="S348" s="57" t="n">
        <v>0</v>
      </c>
      <c r="T348" s="59">
        <f>IF(S348="","",S348*34+S348*L348*12)</f>
        <v/>
      </c>
    </row>
    <row r="349">
      <c r="A349" s="54" t="inlineStr">
        <is>
          <t>US SL B6</t>
        </is>
      </c>
      <c r="B349" s="54" t="inlineStr">
        <is>
          <t>US</t>
        </is>
      </c>
      <c r="C349" s="54" t="inlineStr">
        <is>
          <t>B0DDTZB4RQ</t>
        </is>
      </c>
      <c r="D349" s="54" t="inlineStr">
        <is>
          <t>SS-BAMBOO-LIGHT-GREY-FULL-6PCS</t>
        </is>
      </c>
      <c r="E349" s="54" t="inlineStr">
        <is>
          <t>Full</t>
        </is>
      </c>
      <c r="F349" s="54" t="inlineStr">
        <is>
          <t>Light Grey</t>
        </is>
      </c>
      <c r="G349" s="55" t="n">
        <v>17</v>
      </c>
      <c r="H349" s="55" t="n">
        <v>0</v>
      </c>
      <c r="I349" s="56" t="n"/>
      <c r="J349" s="57" t="n">
        <v>0.05</v>
      </c>
      <c r="K349" s="56" t="inlineStr">
        <is>
          <t>account data velocity</t>
        </is>
      </c>
      <c r="L349" s="58" t="n">
        <v>1.2013</v>
      </c>
      <c r="M349" s="56" t="inlineStr">
        <is>
          <t>own BFCM 2025 lift (account data)</t>
        </is>
      </c>
      <c r="N349" s="59">
        <f>J349*34+J349*L349*12</f>
        <v/>
      </c>
      <c r="O349" s="59">
        <f>MAX(0,N349-G349-H349)</f>
        <v/>
      </c>
      <c r="P349" s="60">
        <f>IF(J349=0,"",IF(G349&lt;J349*34,DATE(2026,10,15)+G349/J349,IF(G349&lt;N349,DATE(2026,11,18)+(G349-J349*34)/(J349*L349),"after Nov 30")))</f>
        <v/>
      </c>
      <c r="Q349" s="60">
        <f>IF(J349=0,"",IF(G349+H349&lt;J349*34,DATE(2026,10,15)+(G349+H349)/J349,IF(G349+H349&lt;N349,DATE(2026,11,18)+(G349+H349-J349*34)/(J349*L349),"after Nov 30")))</f>
        <v/>
      </c>
      <c r="R349" s="54">
        <f>IF(AND(G349&lt;=0,J349&gt;0),"Out of stock now",IF(G349&gt;=N349,"Covered to Nov 30",IF(G349+H349&gt;=N349,"Needs inbound in time","Short even with inbound")))</f>
        <v/>
      </c>
      <c r="S349" s="57" t="n">
        <v>0</v>
      </c>
      <c r="T349" s="59">
        <f>IF(S349="","",S349*34+S349*L349*12)</f>
        <v/>
      </c>
    </row>
    <row r="350">
      <c r="A350" s="54" t="inlineStr">
        <is>
          <t>US SL B6</t>
        </is>
      </c>
      <c r="B350" s="54" t="inlineStr">
        <is>
          <t>US</t>
        </is>
      </c>
      <c r="C350" s="54" t="inlineStr">
        <is>
          <t>B0DDTXFRNB</t>
        </is>
      </c>
      <c r="D350" s="54" t="inlineStr">
        <is>
          <t>SS-BAMBOO-OLIVE-KING-6PCS</t>
        </is>
      </c>
      <c r="E350" s="54" t="inlineStr">
        <is>
          <t>King</t>
        </is>
      </c>
      <c r="F350" s="54" t="inlineStr">
        <is>
          <t>Olive</t>
        </is>
      </c>
      <c r="G350" s="55" t="n">
        <v>190</v>
      </c>
      <c r="H350" s="55" t="n">
        <v>0</v>
      </c>
      <c r="I350" s="56" t="n"/>
      <c r="J350" s="57" t="n">
        <v>0.04</v>
      </c>
      <c r="K350" s="56" t="inlineStr">
        <is>
          <t>account data velocity</t>
        </is>
      </c>
      <c r="L350" s="58" t="n">
        <v>1.2013</v>
      </c>
      <c r="M350" s="56" t="inlineStr">
        <is>
          <t>own BFCM 2025 lift (account data)</t>
        </is>
      </c>
      <c r="N350" s="59">
        <f>J350*34+J350*L350*12</f>
        <v/>
      </c>
      <c r="O350" s="59">
        <f>MAX(0,N350-G350-H350)</f>
        <v/>
      </c>
      <c r="P350" s="60">
        <f>IF(J350=0,"",IF(G350&lt;J350*34,DATE(2026,10,15)+G350/J350,IF(G350&lt;N350,DATE(2026,11,18)+(G350-J350*34)/(J350*L350),"after Nov 30")))</f>
        <v/>
      </c>
      <c r="Q350" s="60">
        <f>IF(J350=0,"",IF(G350+H350&lt;J350*34,DATE(2026,10,15)+(G350+H350)/J350,IF(G350+H350&lt;N350,DATE(2026,11,18)+(G350+H350-J350*34)/(J350*L350),"after Nov 30")))</f>
        <v/>
      </c>
      <c r="R350" s="54">
        <f>IF(AND(G350&lt;=0,J350&gt;0),"Out of stock now",IF(G350&gt;=N350,"Covered to Nov 30",IF(G350+H350&gt;=N350,"Needs inbound in time","Short even with inbound")))</f>
        <v/>
      </c>
      <c r="S350" s="57" t="n">
        <v>0.214</v>
      </c>
      <c r="T350" s="59">
        <f>IF(S350="","",S350*34+S350*L350*12)</f>
        <v/>
      </c>
    </row>
    <row r="351">
      <c r="A351" s="54" t="inlineStr">
        <is>
          <t>US SL B6</t>
        </is>
      </c>
      <c r="B351" s="54" t="inlineStr">
        <is>
          <t>US</t>
        </is>
      </c>
      <c r="C351" s="54" t="inlineStr">
        <is>
          <t>B0DDTZD7T1</t>
        </is>
      </c>
      <c r="D351" s="54" t="inlineStr">
        <is>
          <t>SS-BAMBOO-LIGHT-PINK-TWIN-4PCS</t>
        </is>
      </c>
      <c r="E351" s="54" t="inlineStr">
        <is>
          <t>Twin</t>
        </is>
      </c>
      <c r="F351" s="54" t="inlineStr">
        <is>
          <t>Light Pink</t>
        </is>
      </c>
      <c r="G351" s="55" t="n">
        <v>0</v>
      </c>
      <c r="H351" s="55" t="n">
        <v>0</v>
      </c>
      <c r="I351" s="56" t="n"/>
      <c r="J351" s="57" t="n">
        <v>0.03</v>
      </c>
      <c r="K351" s="56" t="inlineStr">
        <is>
          <t>account data velocity</t>
        </is>
      </c>
      <c r="L351" s="58" t="n">
        <v>1.2013</v>
      </c>
      <c r="M351" s="56" t="inlineStr">
        <is>
          <t>own BFCM 2025 lift (account data)</t>
        </is>
      </c>
      <c r="N351" s="59">
        <f>J351*34+J351*L351*12</f>
        <v/>
      </c>
      <c r="O351" s="59">
        <f>MAX(0,N351-G351-H351)</f>
        <v/>
      </c>
      <c r="P351" s="60">
        <f>IF(J351=0,"",IF(G351&lt;J351*34,DATE(2026,10,15)+G351/J351,IF(G351&lt;N351,DATE(2026,11,18)+(G351-J351*34)/(J351*L351),"after Nov 30")))</f>
        <v/>
      </c>
      <c r="Q351" s="60">
        <f>IF(J351=0,"",IF(G351+H351&lt;J351*34,DATE(2026,10,15)+(G351+H351)/J351,IF(G351+H351&lt;N351,DATE(2026,11,18)+(G351+H351-J351*34)/(J351*L351),"after Nov 30")))</f>
        <v/>
      </c>
      <c r="R351" s="54">
        <f>IF(AND(G351&lt;=0,J351&gt;0),"Out of stock now",IF(G351&gt;=N351,"Covered to Nov 30",IF(G351+H351&gt;=N351,"Needs inbound in time","Short even with inbound")))</f>
        <v/>
      </c>
      <c r="S351" s="57" t="n">
        <v>0.07099999999999999</v>
      </c>
      <c r="T351" s="59">
        <f>IF(S351="","",S351*34+S351*L351*12)</f>
        <v/>
      </c>
    </row>
    <row r="352">
      <c r="A352" s="54" t="inlineStr">
        <is>
          <t>US SL B6</t>
        </is>
      </c>
      <c r="B352" s="54" t="inlineStr">
        <is>
          <t>US</t>
        </is>
      </c>
      <c r="C352" s="54" t="inlineStr">
        <is>
          <t>B0DDTX2YF4</t>
        </is>
      </c>
      <c r="D352" s="54" t="inlineStr">
        <is>
          <t>SS-BAMBOO-LIGHT-BLUE-TWIN-4PCS</t>
        </is>
      </c>
      <c r="E352" s="54" t="inlineStr">
        <is>
          <t>Twin</t>
        </is>
      </c>
      <c r="F352" s="54" t="inlineStr">
        <is>
          <t>Light Blue</t>
        </is>
      </c>
      <c r="G352" s="55" t="n">
        <v>17</v>
      </c>
      <c r="H352" s="55" t="n">
        <v>0</v>
      </c>
      <c r="I352" s="56" t="n"/>
      <c r="J352" s="57" t="n">
        <v>0.02</v>
      </c>
      <c r="K352" s="56" t="inlineStr">
        <is>
          <t>account data velocity</t>
        </is>
      </c>
      <c r="L352" s="58" t="n">
        <v>1.2013</v>
      </c>
      <c r="M352" s="56" t="inlineStr">
        <is>
          <t>own BFCM 2025 lift (account data)</t>
        </is>
      </c>
      <c r="N352" s="59">
        <f>J352*34+J352*L352*12</f>
        <v/>
      </c>
      <c r="O352" s="59">
        <f>MAX(0,N352-G352-H352)</f>
        <v/>
      </c>
      <c r="P352" s="60">
        <f>IF(J352=0,"",IF(G352&lt;J352*34,DATE(2026,10,15)+G352/J352,IF(G352&lt;N352,DATE(2026,11,18)+(G352-J352*34)/(J352*L352),"after Nov 30")))</f>
        <v/>
      </c>
      <c r="Q352" s="60">
        <f>IF(J352=0,"",IF(G352+H352&lt;J352*34,DATE(2026,10,15)+(G352+H352)/J352,IF(G352+H352&lt;N352,DATE(2026,11,18)+(G352+H352-J352*34)/(J352*L352),"after Nov 30")))</f>
        <v/>
      </c>
      <c r="R352" s="54">
        <f>IF(AND(G352&lt;=0,J352&gt;0),"Out of stock now",IF(G352&gt;=N352,"Covered to Nov 30",IF(G352+H352&gt;=N352,"Needs inbound in time","Short even with inbound")))</f>
        <v/>
      </c>
      <c r="S352" s="57" t="n">
        <v>0.07099999999999999</v>
      </c>
      <c r="T352" s="59">
        <f>IF(S352="","",S352*34+S352*L352*12)</f>
        <v/>
      </c>
    </row>
    <row r="353">
      <c r="A353" s="54" t="inlineStr">
        <is>
          <t>US SL B6</t>
        </is>
      </c>
      <c r="B353" s="54" t="inlineStr">
        <is>
          <t>US</t>
        </is>
      </c>
      <c r="C353" s="54" t="inlineStr">
        <is>
          <t>B0DDTZ1LKN</t>
        </is>
      </c>
      <c r="D353" s="54" t="inlineStr">
        <is>
          <t>SS-BAMBOO-CREME-KING-6PCS</t>
        </is>
      </c>
      <c r="E353" s="54" t="inlineStr">
        <is>
          <t>King</t>
        </is>
      </c>
      <c r="F353" s="54" t="inlineStr">
        <is>
          <t>Creme</t>
        </is>
      </c>
      <c r="G353" s="55" t="n">
        <v>0</v>
      </c>
      <c r="H353" s="55" t="n">
        <v>0</v>
      </c>
      <c r="I353" s="56" t="n"/>
      <c r="J353" s="57" t="n">
        <v>0.02</v>
      </c>
      <c r="K353" s="56" t="inlineStr">
        <is>
          <t>account data velocity</t>
        </is>
      </c>
      <c r="L353" s="58" t="n">
        <v>1.2013</v>
      </c>
      <c r="M353" s="56" t="inlineStr">
        <is>
          <t>own BFCM 2025 lift (account data)</t>
        </is>
      </c>
      <c r="N353" s="59">
        <f>J353*34+J353*L353*12</f>
        <v/>
      </c>
      <c r="O353" s="59">
        <f>MAX(0,N353-G353-H353)</f>
        <v/>
      </c>
      <c r="P353" s="60">
        <f>IF(J353=0,"",IF(G353&lt;J353*34,DATE(2026,10,15)+G353/J353,IF(G353&lt;N353,DATE(2026,11,18)+(G353-J353*34)/(J353*L353),"after Nov 30")))</f>
        <v/>
      </c>
      <c r="Q353" s="60">
        <f>IF(J353=0,"",IF(G353+H353&lt;J353*34,DATE(2026,10,15)+(G353+H353)/J353,IF(G353+H353&lt;N353,DATE(2026,11,18)+(G353+H353-J353*34)/(J353*L353),"after Nov 30")))</f>
        <v/>
      </c>
      <c r="R353" s="54">
        <f>IF(AND(G353&lt;=0,J353&gt;0),"Out of stock now",IF(G353&gt;=N353,"Covered to Nov 30",IF(G353+H353&gt;=N353,"Needs inbound in time","Short even with inbound")))</f>
        <v/>
      </c>
      <c r="S353" s="57" t="n">
        <v>0.036</v>
      </c>
      <c r="T353" s="59">
        <f>IF(S353="","",S353*34+S353*L353*12)</f>
        <v/>
      </c>
    </row>
    <row r="354">
      <c r="A354" s="54" t="inlineStr">
        <is>
          <t>US SL B6</t>
        </is>
      </c>
      <c r="B354" s="54" t="inlineStr">
        <is>
          <t>US</t>
        </is>
      </c>
      <c r="C354" s="54" t="inlineStr">
        <is>
          <t>B0DDTXJJCS</t>
        </is>
      </c>
      <c r="D354" s="54" t="inlineStr">
        <is>
          <t>SS-BAMBOO-NAVY-BLUE-KING-6PCS</t>
        </is>
      </c>
      <c r="E354" s="54" t="inlineStr">
        <is>
          <t>King</t>
        </is>
      </c>
      <c r="F354" s="54" t="inlineStr">
        <is>
          <t>Navy Blue</t>
        </is>
      </c>
      <c r="G354" s="55" t="n">
        <v>1</v>
      </c>
      <c r="H354" s="55" t="n">
        <v>0</v>
      </c>
      <c r="I354" s="56" t="n"/>
      <c r="J354" s="57" t="n">
        <v>0.01</v>
      </c>
      <c r="K354" s="56" t="inlineStr">
        <is>
          <t>account data velocity</t>
        </is>
      </c>
      <c r="L354" s="58" t="n">
        <v>1.2013</v>
      </c>
      <c r="M354" s="56" t="inlineStr">
        <is>
          <t>own BFCM 2025 lift (account data)</t>
        </is>
      </c>
      <c r="N354" s="59">
        <f>J354*34+J354*L354*12</f>
        <v/>
      </c>
      <c r="O354" s="59">
        <f>MAX(0,N354-G354-H354)</f>
        <v/>
      </c>
      <c r="P354" s="60">
        <f>IF(J354=0,"",IF(G354&lt;J354*34,DATE(2026,10,15)+G354/J354,IF(G354&lt;N354,DATE(2026,11,18)+(G354-J354*34)/(J354*L354),"after Nov 30")))</f>
        <v/>
      </c>
      <c r="Q354" s="60">
        <f>IF(J354=0,"",IF(G354+H354&lt;J354*34,DATE(2026,10,15)+(G354+H354)/J354,IF(G354+H354&lt;N354,DATE(2026,11,18)+(G354+H354-J354*34)/(J354*L354),"after Nov 30")))</f>
        <v/>
      </c>
      <c r="R354" s="54">
        <f>IF(AND(G354&lt;=0,J354&gt;0),"Out of stock now",IF(G354&gt;=N354,"Covered to Nov 30",IF(G354+H354&gt;=N354,"Needs inbound in time","Short even with inbound")))</f>
        <v/>
      </c>
      <c r="S354" s="57" t="n">
        <v>0.07099999999999999</v>
      </c>
      <c r="T354" s="59">
        <f>IF(S354="","",S354*34+S354*L354*12)</f>
        <v/>
      </c>
    </row>
    <row r="355">
      <c r="A355" s="54" t="inlineStr">
        <is>
          <t>US SL B6</t>
        </is>
      </c>
      <c r="B355" s="54" t="inlineStr">
        <is>
          <t>US</t>
        </is>
      </c>
      <c r="C355" s="54" t="inlineStr">
        <is>
          <t>B0DDTYX8VX</t>
        </is>
      </c>
      <c r="D355" s="54" t="inlineStr">
        <is>
          <t>SS-BAMBOO-BLACK-FULL-6PCS</t>
        </is>
      </c>
      <c r="E355" s="54" t="inlineStr">
        <is>
          <t>Full</t>
        </is>
      </c>
      <c r="F355" s="54" t="inlineStr">
        <is>
          <t>Black</t>
        </is>
      </c>
      <c r="G355" s="55" t="n">
        <v>10</v>
      </c>
      <c r="H355" s="55" t="n">
        <v>0</v>
      </c>
      <c r="I355" s="56" t="n"/>
      <c r="J355" s="57" t="n">
        <v>0.01</v>
      </c>
      <c r="K355" s="56" t="inlineStr">
        <is>
          <t>account data velocity</t>
        </is>
      </c>
      <c r="L355" s="58" t="n">
        <v>1.2013</v>
      </c>
      <c r="M355" s="56" t="inlineStr">
        <is>
          <t>own BFCM 2025 lift (account data)</t>
        </is>
      </c>
      <c r="N355" s="59">
        <f>J355*34+J355*L355*12</f>
        <v/>
      </c>
      <c r="O355" s="59">
        <f>MAX(0,N355-G355-H355)</f>
        <v/>
      </c>
      <c r="P355" s="60">
        <f>IF(J355=0,"",IF(G355&lt;J355*34,DATE(2026,10,15)+G355/J355,IF(G355&lt;N355,DATE(2026,11,18)+(G355-J355*34)/(J355*L355),"after Nov 30")))</f>
        <v/>
      </c>
      <c r="Q355" s="60">
        <f>IF(J355=0,"",IF(G355+H355&lt;J355*34,DATE(2026,10,15)+(G355+H355)/J355,IF(G355+H355&lt;N355,DATE(2026,11,18)+(G355+H355-J355*34)/(J355*L355),"after Nov 30")))</f>
        <v/>
      </c>
      <c r="R355" s="54">
        <f>IF(AND(G355&lt;=0,J355&gt;0),"Out of stock now",IF(G355&gt;=N355,"Covered to Nov 30",IF(G355+H355&gt;=N355,"Needs inbound in time","Short even with inbound")))</f>
        <v/>
      </c>
      <c r="S355" s="57" t="n">
        <v>0.036</v>
      </c>
      <c r="T355" s="59">
        <f>IF(S355="","",S355*34+S355*L355*12)</f>
        <v/>
      </c>
    </row>
    <row r="356">
      <c r="A356" s="54" t="inlineStr">
        <is>
          <t>US SL B6</t>
        </is>
      </c>
      <c r="B356" s="54" t="inlineStr">
        <is>
          <t>US</t>
        </is>
      </c>
      <c r="C356" s="54" t="inlineStr">
        <is>
          <t>B0DDTYHW5S</t>
        </is>
      </c>
      <c r="D356" s="54" t="inlineStr">
        <is>
          <t>SS-BAMBOO-LIGHT-BLUE-FULL-6PCS</t>
        </is>
      </c>
      <c r="E356" s="54" t="inlineStr">
        <is>
          <t>Full</t>
        </is>
      </c>
      <c r="F356" s="54" t="inlineStr">
        <is>
          <t>Light Blue</t>
        </is>
      </c>
      <c r="G356" s="55" t="n">
        <v>26</v>
      </c>
      <c r="H356" s="55" t="n">
        <v>0</v>
      </c>
      <c r="I356" s="56" t="n"/>
      <c r="J356" s="57" t="n">
        <v>0.01</v>
      </c>
      <c r="K356" s="56" t="inlineStr">
        <is>
          <t>account data velocity</t>
        </is>
      </c>
      <c r="L356" s="58" t="n">
        <v>1.2013</v>
      </c>
      <c r="M356" s="56" t="inlineStr">
        <is>
          <t>own BFCM 2025 lift (account data)</t>
        </is>
      </c>
      <c r="N356" s="59">
        <f>J356*34+J356*L356*12</f>
        <v/>
      </c>
      <c r="O356" s="59">
        <f>MAX(0,N356-G356-H356)</f>
        <v/>
      </c>
      <c r="P356" s="60">
        <f>IF(J356=0,"",IF(G356&lt;J356*34,DATE(2026,10,15)+G356/J356,IF(G356&lt;N356,DATE(2026,11,18)+(G356-J356*34)/(J356*L356),"after Nov 30")))</f>
        <v/>
      </c>
      <c r="Q356" s="60">
        <f>IF(J356=0,"",IF(G356+H356&lt;J356*34,DATE(2026,10,15)+(G356+H356)/J356,IF(G356+H356&lt;N356,DATE(2026,11,18)+(G356+H356-J356*34)/(J356*L356),"after Nov 30")))</f>
        <v/>
      </c>
      <c r="R356" s="54">
        <f>IF(AND(G356&lt;=0,J356&gt;0),"Out of stock now",IF(G356&gt;=N356,"Covered to Nov 30",IF(G356+H356&gt;=N356,"Needs inbound in time","Short even with inbound")))</f>
        <v/>
      </c>
      <c r="S356" s="57" t="n">
        <v>0.036</v>
      </c>
      <c r="T356" s="59">
        <f>IF(S356="","",S356*34+S356*L356*12)</f>
        <v/>
      </c>
    </row>
    <row r="357">
      <c r="A357" s="54" t="inlineStr">
        <is>
          <t>US SL B6</t>
        </is>
      </c>
      <c r="B357" s="54" t="inlineStr">
        <is>
          <t>US</t>
        </is>
      </c>
      <c r="C357" s="54" t="inlineStr">
        <is>
          <t>B0DDTY6Y4Q</t>
        </is>
      </c>
      <c r="D357" s="54" t="inlineStr">
        <is>
          <t>SS-BAMBOO-OLIVE-FULL-6PCS</t>
        </is>
      </c>
      <c r="E357" s="54" t="inlineStr">
        <is>
          <t>Full</t>
        </is>
      </c>
      <c r="F357" s="54" t="inlineStr">
        <is>
          <t>Olive</t>
        </is>
      </c>
      <c r="G357" s="55" t="n">
        <v>17</v>
      </c>
      <c r="H357" s="55" t="n">
        <v>0</v>
      </c>
      <c r="I357" s="56" t="n"/>
      <c r="J357" s="57" t="n">
        <v>0.01</v>
      </c>
      <c r="K357" s="56" t="inlineStr">
        <is>
          <t>account data velocity</t>
        </is>
      </c>
      <c r="L357" s="58" t="n">
        <v>1.2013</v>
      </c>
      <c r="M357" s="56" t="inlineStr">
        <is>
          <t>own BFCM 2025 lift (account data)</t>
        </is>
      </c>
      <c r="N357" s="59">
        <f>J357*34+J357*L357*12</f>
        <v/>
      </c>
      <c r="O357" s="59">
        <f>MAX(0,N357-G357-H357)</f>
        <v/>
      </c>
      <c r="P357" s="60">
        <f>IF(J357=0,"",IF(G357&lt;J357*34,DATE(2026,10,15)+G357/J357,IF(G357&lt;N357,DATE(2026,11,18)+(G357-J357*34)/(J357*L357),"after Nov 30")))</f>
        <v/>
      </c>
      <c r="Q357" s="60">
        <f>IF(J357=0,"",IF(G357+H357&lt;J357*34,DATE(2026,10,15)+(G357+H357)/J357,IF(G357+H357&lt;N357,DATE(2026,11,18)+(G357+H357-J357*34)/(J357*L357),"after Nov 30")))</f>
        <v/>
      </c>
      <c r="R357" s="54">
        <f>IF(AND(G357&lt;=0,J357&gt;0),"Out of stock now",IF(G357&gt;=N357,"Covered to Nov 30",IF(G357+H357&gt;=N357,"Needs inbound in time","Short even with inbound")))</f>
        <v/>
      </c>
      <c r="S357" s="57" t="n">
        <v>0.036</v>
      </c>
      <c r="T357" s="59">
        <f>IF(S357="","",S357*34+S357*L357*12)</f>
        <v/>
      </c>
    </row>
    <row r="358">
      <c r="A358" s="54" t="inlineStr">
        <is>
          <t>US SL B6</t>
        </is>
      </c>
      <c r="B358" s="54" t="inlineStr">
        <is>
          <t>US</t>
        </is>
      </c>
      <c r="C358" s="54" t="inlineStr">
        <is>
          <t>B0DDV25KDZ</t>
        </is>
      </c>
      <c r="D358" s="54" t="inlineStr">
        <is>
          <t>SS-BAMBOO-LIGHT-BLUE-KING-6PCS</t>
        </is>
      </c>
      <c r="E358" s="54" t="inlineStr">
        <is>
          <t>King</t>
        </is>
      </c>
      <c r="F358" s="54" t="inlineStr">
        <is>
          <t>Light Blue</t>
        </is>
      </c>
      <c r="G358" s="55" t="n">
        <v>0</v>
      </c>
      <c r="H358" s="55" t="n">
        <v>0</v>
      </c>
      <c r="I358" s="56" t="n"/>
      <c r="J358" s="57" t="n">
        <v>0.01</v>
      </c>
      <c r="K358" s="56" t="inlineStr">
        <is>
          <t>account data velocity</t>
        </is>
      </c>
      <c r="L358" s="58" t="n">
        <v>1.2013</v>
      </c>
      <c r="M358" s="56" t="inlineStr">
        <is>
          <t>own BFCM 2025 lift (account data)</t>
        </is>
      </c>
      <c r="N358" s="59">
        <f>J358*34+J358*L358*12</f>
        <v/>
      </c>
      <c r="O358" s="59">
        <f>MAX(0,N358-G358-H358)</f>
        <v/>
      </c>
      <c r="P358" s="60">
        <f>IF(J358=0,"",IF(G358&lt;J358*34,DATE(2026,10,15)+G358/J358,IF(G358&lt;N358,DATE(2026,11,18)+(G358-J358*34)/(J358*L358),"after Nov 30")))</f>
        <v/>
      </c>
      <c r="Q358" s="60">
        <f>IF(J358=0,"",IF(G358+H358&lt;J358*34,DATE(2026,10,15)+(G358+H358)/J358,IF(G358+H358&lt;N358,DATE(2026,11,18)+(G358+H358-J358*34)/(J358*L358),"after Nov 30")))</f>
        <v/>
      </c>
      <c r="R358" s="54">
        <f>IF(AND(G358&lt;=0,J358&gt;0),"Out of stock now",IF(G358&gt;=N358,"Covered to Nov 30",IF(G358+H358&gt;=N358,"Needs inbound in time","Short even with inbound")))</f>
        <v/>
      </c>
      <c r="S358" s="57" t="n">
        <v>0.036</v>
      </c>
      <c r="T358" s="59">
        <f>IF(S358="","",S358*34+S358*L358*12)</f>
        <v/>
      </c>
    </row>
    <row r="359">
      <c r="A359" s="54" t="inlineStr">
        <is>
          <t>US SL B6</t>
        </is>
      </c>
      <c r="B359" s="54" t="inlineStr">
        <is>
          <t>US</t>
        </is>
      </c>
      <c r="C359" s="54" t="inlineStr">
        <is>
          <t>B0DDTXLQCB</t>
        </is>
      </c>
      <c r="D359" s="54" t="inlineStr">
        <is>
          <t>SS-BAMBOO-LIGHT-OLIVE-QUEEN-6PCS</t>
        </is>
      </c>
      <c r="E359" s="54" t="inlineStr">
        <is>
          <t>Queen</t>
        </is>
      </c>
      <c r="F359" s="54" t="inlineStr">
        <is>
          <t>Light Olive</t>
        </is>
      </c>
      <c r="G359" s="55" t="n">
        <v>34</v>
      </c>
      <c r="H359" s="55" t="n">
        <v>0</v>
      </c>
      <c r="I359" s="56" t="n"/>
      <c r="J359" s="57" t="n">
        <v>0.01</v>
      </c>
      <c r="K359" s="56" t="inlineStr">
        <is>
          <t>account data velocity</t>
        </is>
      </c>
      <c r="L359" s="58" t="n">
        <v>1.2013</v>
      </c>
      <c r="M359" s="56" t="inlineStr">
        <is>
          <t>own BFCM 2025 lift (account data)</t>
        </is>
      </c>
      <c r="N359" s="59">
        <f>J359*34+J359*L359*12</f>
        <v/>
      </c>
      <c r="O359" s="59">
        <f>MAX(0,N359-G359-H359)</f>
        <v/>
      </c>
      <c r="P359" s="60">
        <f>IF(J359=0,"",IF(G359&lt;J359*34,DATE(2026,10,15)+G359/J359,IF(G359&lt;N359,DATE(2026,11,18)+(G359-J359*34)/(J359*L359),"after Nov 30")))</f>
        <v/>
      </c>
      <c r="Q359" s="60">
        <f>IF(J359=0,"",IF(G359+H359&lt;J359*34,DATE(2026,10,15)+(G359+H359)/J359,IF(G359+H359&lt;N359,DATE(2026,11,18)+(G359+H359-J359*34)/(J359*L359),"after Nov 30")))</f>
        <v/>
      </c>
      <c r="R359" s="54">
        <f>IF(AND(G359&lt;=0,J359&gt;0),"Out of stock now",IF(G359&gt;=N359,"Covered to Nov 30",IF(G359+H359&gt;=N359,"Needs inbound in time","Short even with inbound")))</f>
        <v/>
      </c>
      <c r="S359" s="57" t="n">
        <v>0.036</v>
      </c>
      <c r="T359" s="59">
        <f>IF(S359="","",S359*34+S359*L359*12)</f>
        <v/>
      </c>
    </row>
    <row r="360">
      <c r="A360" s="54" t="inlineStr">
        <is>
          <t>US SL B6</t>
        </is>
      </c>
      <c r="B360" s="54" t="inlineStr">
        <is>
          <t>US</t>
        </is>
      </c>
      <c r="C360" s="54" t="inlineStr">
        <is>
          <t>B0DDTZ4C2J</t>
        </is>
      </c>
      <c r="D360" s="54" t="inlineStr">
        <is>
          <t>SS-BAMBOO-NAVY-BLUE-TWIN-4PCS</t>
        </is>
      </c>
      <c r="E360" s="54" t="inlineStr">
        <is>
          <t>Twin</t>
        </is>
      </c>
      <c r="F360" s="54" t="inlineStr">
        <is>
          <t>Navy Blue</t>
        </is>
      </c>
      <c r="G360" s="55" t="n">
        <v>9</v>
      </c>
      <c r="H360" s="55" t="n">
        <v>0</v>
      </c>
      <c r="I360" s="56" t="n"/>
      <c r="J360" s="57" t="n">
        <v>0.01</v>
      </c>
      <c r="K360" s="56" t="inlineStr">
        <is>
          <t>account data velocity</t>
        </is>
      </c>
      <c r="L360" s="58" t="n">
        <v>1.2013</v>
      </c>
      <c r="M360" s="56" t="inlineStr">
        <is>
          <t>own BFCM 2025 lift (account data)</t>
        </is>
      </c>
      <c r="N360" s="59">
        <f>J360*34+J360*L360*12</f>
        <v/>
      </c>
      <c r="O360" s="59">
        <f>MAX(0,N360-G360-H360)</f>
        <v/>
      </c>
      <c r="P360" s="60">
        <f>IF(J360=0,"",IF(G360&lt;J360*34,DATE(2026,10,15)+G360/J360,IF(G360&lt;N360,DATE(2026,11,18)+(G360-J360*34)/(J360*L360),"after Nov 30")))</f>
        <v/>
      </c>
      <c r="Q360" s="60">
        <f>IF(J360=0,"",IF(G360+H360&lt;J360*34,DATE(2026,10,15)+(G360+H360)/J360,IF(G360+H360&lt;N360,DATE(2026,11,18)+(G360+H360-J360*34)/(J360*L360),"after Nov 30")))</f>
        <v/>
      </c>
      <c r="R360" s="54">
        <f>IF(AND(G360&lt;=0,J360&gt;0),"Out of stock now",IF(G360&gt;=N360,"Covered to Nov 30",IF(G360+H360&gt;=N360,"Needs inbound in time","Short even with inbound")))</f>
        <v/>
      </c>
      <c r="S360" s="57" t="n">
        <v>0.036</v>
      </c>
      <c r="T360" s="59">
        <f>IF(S360="","",S360*34+S360*L360*12)</f>
        <v/>
      </c>
    </row>
    <row r="361">
      <c r="A361" s="54" t="inlineStr">
        <is>
          <t>US SL B6</t>
        </is>
      </c>
      <c r="B361" s="54" t="inlineStr">
        <is>
          <t>US</t>
        </is>
      </c>
      <c r="C361" s="54" t="inlineStr">
        <is>
          <t>B0DDV12K7H</t>
        </is>
      </c>
      <c r="D361" s="54" t="inlineStr">
        <is>
          <t>SS-BAMBOO-BURGUNDY-TWIN-4PCS</t>
        </is>
      </c>
      <c r="E361" s="54" t="inlineStr">
        <is>
          <t>Twin</t>
        </is>
      </c>
      <c r="F361" s="54" t="n"/>
      <c r="G361" s="55" t="n">
        <v>11</v>
      </c>
      <c r="H361" s="55" t="n">
        <v>0</v>
      </c>
      <c r="I361" s="56" t="n"/>
      <c r="J361" s="57" t="n">
        <v>0.01</v>
      </c>
      <c r="K361" s="56" t="inlineStr">
        <is>
          <t>account data velocity</t>
        </is>
      </c>
      <c r="L361" s="58" t="n">
        <v>1.2013</v>
      </c>
      <c r="M361" s="56" t="inlineStr">
        <is>
          <t>own BFCM 2025 lift (account data)</t>
        </is>
      </c>
      <c r="N361" s="59">
        <f>J361*34+J361*L361*12</f>
        <v/>
      </c>
      <c r="O361" s="59">
        <f>MAX(0,N361-G361-H361)</f>
        <v/>
      </c>
      <c r="P361" s="60">
        <f>IF(J361=0,"",IF(G361&lt;J361*34,DATE(2026,10,15)+G361/J361,IF(G361&lt;N361,DATE(2026,11,18)+(G361-J361*34)/(J361*L361),"after Nov 30")))</f>
        <v/>
      </c>
      <c r="Q361" s="60">
        <f>IF(J361=0,"",IF(G361+H361&lt;J361*34,DATE(2026,10,15)+(G361+H361)/J361,IF(G361+H361&lt;N361,DATE(2026,11,18)+(G361+H361-J361*34)/(J361*L361),"after Nov 30")))</f>
        <v/>
      </c>
      <c r="R361" s="54">
        <f>IF(AND(G361&lt;=0,J361&gt;0),"Out of stock now",IF(G361&gt;=N361,"Covered to Nov 30",IF(G361+H361&gt;=N361,"Needs inbound in time","Short even with inbound")))</f>
        <v/>
      </c>
      <c r="S361" s="57" t="n"/>
      <c r="T361" s="59">
        <f>IF(S361="","",S361*34+S361*L361*12)</f>
        <v/>
      </c>
    </row>
    <row r="362">
      <c r="A362" s="54" t="inlineStr">
        <is>
          <t>US SL B6</t>
        </is>
      </c>
      <c r="B362" s="54" t="inlineStr">
        <is>
          <t>US</t>
        </is>
      </c>
      <c r="C362" s="54" t="inlineStr">
        <is>
          <t>B0DDTWR1JB</t>
        </is>
      </c>
      <c r="D362" s="54" t="inlineStr">
        <is>
          <t>SS-BAMBOO-BLACK-TWIN-4PCS</t>
        </is>
      </c>
      <c r="E362" s="54" t="inlineStr">
        <is>
          <t>Twin</t>
        </is>
      </c>
      <c r="F362" s="54" t="n"/>
      <c r="G362" s="55" t="n">
        <v>22</v>
      </c>
      <c r="H362" s="55" t="n">
        <v>0</v>
      </c>
      <c r="I362" s="56" t="n"/>
      <c r="J362" s="57" t="n">
        <v>0.01</v>
      </c>
      <c r="K362" s="56" t="inlineStr">
        <is>
          <t>account data velocity</t>
        </is>
      </c>
      <c r="L362" s="58" t="n">
        <v>1.2013</v>
      </c>
      <c r="M362" s="56" t="inlineStr">
        <is>
          <t>own BFCM 2025 lift (account data)</t>
        </is>
      </c>
      <c r="N362" s="59">
        <f>J362*34+J362*L362*12</f>
        <v/>
      </c>
      <c r="O362" s="59">
        <f>MAX(0,N362-G362-H362)</f>
        <v/>
      </c>
      <c r="P362" s="60">
        <f>IF(J362=0,"",IF(G362&lt;J362*34,DATE(2026,10,15)+G362/J362,IF(G362&lt;N362,DATE(2026,11,18)+(G362-J362*34)/(J362*L362),"after Nov 30")))</f>
        <v/>
      </c>
      <c r="Q362" s="60">
        <f>IF(J362=0,"",IF(G362+H362&lt;J362*34,DATE(2026,10,15)+(G362+H362)/J362,IF(G362+H362&lt;N362,DATE(2026,11,18)+(G362+H362-J362*34)/(J362*L362),"after Nov 30")))</f>
        <v/>
      </c>
      <c r="R362" s="54">
        <f>IF(AND(G362&lt;=0,J362&gt;0),"Out of stock now",IF(G362&gt;=N362,"Covered to Nov 30",IF(G362+H362&gt;=N362,"Needs inbound in time","Short even with inbound")))</f>
        <v/>
      </c>
      <c r="S362" s="57" t="n"/>
      <c r="T362" s="59">
        <f>IF(S362="","",S362*34+S362*L362*12)</f>
        <v/>
      </c>
    </row>
    <row r="363">
      <c r="A363" s="54" t="inlineStr">
        <is>
          <t>US SL B6</t>
        </is>
      </c>
      <c r="B363" s="54" t="inlineStr">
        <is>
          <t>US</t>
        </is>
      </c>
      <c r="C363" s="54" t="inlineStr">
        <is>
          <t>B0DDTZJVSL</t>
        </is>
      </c>
      <c r="D363" s="54" t="inlineStr">
        <is>
          <t>SS-BAMBOO-PURPLE-TWIN-4PCS</t>
        </is>
      </c>
      <c r="E363" s="54" t="inlineStr">
        <is>
          <t>Twin</t>
        </is>
      </c>
      <c r="F363" s="54" t="inlineStr">
        <is>
          <t>Purple</t>
        </is>
      </c>
      <c r="G363" s="55" t="n">
        <v>10</v>
      </c>
      <c r="H363" s="55" t="n">
        <v>0</v>
      </c>
      <c r="I363" s="56" t="n"/>
      <c r="J363" s="57" t="n">
        <v>0.01</v>
      </c>
      <c r="K363" s="56" t="inlineStr">
        <is>
          <t>account data velocity</t>
        </is>
      </c>
      <c r="L363" s="58" t="n">
        <v>1.2013</v>
      </c>
      <c r="M363" s="56" t="inlineStr">
        <is>
          <t>own BFCM 2025 lift (account data)</t>
        </is>
      </c>
      <c r="N363" s="59">
        <f>J363*34+J363*L363*12</f>
        <v/>
      </c>
      <c r="O363" s="59">
        <f>MAX(0,N363-G363-H363)</f>
        <v/>
      </c>
      <c r="P363" s="60">
        <f>IF(J363=0,"",IF(G363&lt;J363*34,DATE(2026,10,15)+G363/J363,IF(G363&lt;N363,DATE(2026,11,18)+(G363-J363*34)/(J363*L363),"after Nov 30")))</f>
        <v/>
      </c>
      <c r="Q363" s="60">
        <f>IF(J363=0,"",IF(G363+H363&lt;J363*34,DATE(2026,10,15)+(G363+H363)/J363,IF(G363+H363&lt;N363,DATE(2026,11,18)+(G363+H363-J363*34)/(J363*L363),"after Nov 30")))</f>
        <v/>
      </c>
      <c r="R363" s="54">
        <f>IF(AND(G363&lt;=0,J363&gt;0),"Out of stock now",IF(G363&gt;=N363,"Covered to Nov 30",IF(G363+H363&gt;=N363,"Needs inbound in time","Short even with inbound")))</f>
        <v/>
      </c>
      <c r="S363" s="57" t="n">
        <v>0</v>
      </c>
      <c r="T363" s="59">
        <f>IF(S363="","",S363*34+S363*L363*12)</f>
        <v/>
      </c>
    </row>
    <row r="364">
      <c r="A364" s="54" t="inlineStr">
        <is>
          <t>US SL B6</t>
        </is>
      </c>
      <c r="B364" s="54" t="inlineStr">
        <is>
          <t>US</t>
        </is>
      </c>
      <c r="C364" s="54" t="inlineStr">
        <is>
          <t>B0DDTZGP9X</t>
        </is>
      </c>
      <c r="D364" s="54" t="inlineStr">
        <is>
          <t>SS-BAMBOO-OLIVE-CALIFKING-6PCS</t>
        </is>
      </c>
      <c r="E364" s="54" t="inlineStr">
        <is>
          <t>California King</t>
        </is>
      </c>
      <c r="F364" s="54" t="inlineStr">
        <is>
          <t>Olive</t>
        </is>
      </c>
      <c r="G364" s="55" t="n">
        <v>17</v>
      </c>
      <c r="H364" s="55" t="n">
        <v>0</v>
      </c>
      <c r="I364" s="56" t="n"/>
      <c r="J364" s="57" t="n">
        <v>0</v>
      </c>
      <c r="K364" s="56" t="inlineStr">
        <is>
          <t>account data velocity</t>
        </is>
      </c>
      <c r="L364" s="58" t="n">
        <v>1.2013</v>
      </c>
      <c r="M364" s="56" t="inlineStr">
        <is>
          <t>own BFCM 2025 lift (account data)</t>
        </is>
      </c>
      <c r="N364" s="59">
        <f>J364*34+J364*L364*12</f>
        <v/>
      </c>
      <c r="O364" s="59">
        <f>MAX(0,N364-G364-H364)</f>
        <v/>
      </c>
      <c r="P364" s="60">
        <f>IF(J364=0,"",IF(G364&lt;J364*34,DATE(2026,10,15)+G364/J364,IF(G364&lt;N364,DATE(2026,11,18)+(G364-J364*34)/(J364*L364),"after Nov 30")))</f>
        <v/>
      </c>
      <c r="Q364" s="60">
        <f>IF(J364=0,"",IF(G364+H364&lt;J364*34,DATE(2026,10,15)+(G364+H364)/J364,IF(G364+H364&lt;N364,DATE(2026,11,18)+(G364+H364-J364*34)/(J364*L364),"after Nov 30")))</f>
        <v/>
      </c>
      <c r="R364" s="54">
        <f>IF(AND(G364&lt;=0,J364&gt;0),"Out of stock now",IF(G364&gt;=N364,"Covered to Nov 30",IF(G364+H364&gt;=N364,"Needs inbound in time","Short even with inbound")))</f>
        <v/>
      </c>
      <c r="S364" s="57" t="n">
        <v>0</v>
      </c>
      <c r="T364" s="59">
        <f>IF(S364="","",S364*34+S364*L364*12)</f>
        <v/>
      </c>
    </row>
    <row r="365">
      <c r="A365" s="54" t="inlineStr">
        <is>
          <t>US SL B6</t>
        </is>
      </c>
      <c r="B365" s="54" t="inlineStr">
        <is>
          <t>US</t>
        </is>
      </c>
      <c r="C365" s="54" t="inlineStr">
        <is>
          <t>B0DDTZ27T7</t>
        </is>
      </c>
      <c r="D365" s="54" t="inlineStr">
        <is>
          <t>SS-BAMBOO-CHARCOAL-FULL-6PCS</t>
        </is>
      </c>
      <c r="E365" s="54" t="inlineStr">
        <is>
          <t>Full</t>
        </is>
      </c>
      <c r="F365" s="54" t="inlineStr">
        <is>
          <t>Charcoal</t>
        </is>
      </c>
      <c r="G365" s="55" t="n">
        <v>6</v>
      </c>
      <c r="H365" s="55" t="n">
        <v>0</v>
      </c>
      <c r="I365" s="56" t="n"/>
      <c r="J365" s="57" t="n">
        <v>0</v>
      </c>
      <c r="K365" s="56" t="inlineStr">
        <is>
          <t>account data velocity</t>
        </is>
      </c>
      <c r="L365" s="58" t="n">
        <v>1.2013</v>
      </c>
      <c r="M365" s="56" t="inlineStr">
        <is>
          <t>own BFCM 2025 lift (account data)</t>
        </is>
      </c>
      <c r="N365" s="59">
        <f>J365*34+J365*L365*12</f>
        <v/>
      </c>
      <c r="O365" s="59">
        <f>MAX(0,N365-G365-H365)</f>
        <v/>
      </c>
      <c r="P365" s="60">
        <f>IF(J365=0,"",IF(G365&lt;J365*34,DATE(2026,10,15)+G365/J365,IF(G365&lt;N365,DATE(2026,11,18)+(G365-J365*34)/(J365*L365),"after Nov 30")))</f>
        <v/>
      </c>
      <c r="Q365" s="60">
        <f>IF(J365=0,"",IF(G365+H365&lt;J365*34,DATE(2026,10,15)+(G365+H365)/J365,IF(G365+H365&lt;N365,DATE(2026,11,18)+(G365+H365-J365*34)/(J365*L365),"after Nov 30")))</f>
        <v/>
      </c>
      <c r="R365" s="54">
        <f>IF(AND(G365&lt;=0,J365&gt;0),"Out of stock now",IF(G365&gt;=N365,"Covered to Nov 30",IF(G365+H365&gt;=N365,"Needs inbound in time","Short even with inbound")))</f>
        <v/>
      </c>
      <c r="S365" s="57" t="n">
        <v>0</v>
      </c>
      <c r="T365" s="59">
        <f>IF(S365="","",S365*34+S365*L365*12)</f>
        <v/>
      </c>
    </row>
    <row r="366">
      <c r="A366" s="54" t="inlineStr">
        <is>
          <t>US SL B6</t>
        </is>
      </c>
      <c r="B366" s="54" t="inlineStr">
        <is>
          <t>US</t>
        </is>
      </c>
      <c r="C366" s="54" t="inlineStr">
        <is>
          <t>B0DDTYWKG7</t>
        </is>
      </c>
      <c r="D366" s="54" t="inlineStr">
        <is>
          <t>SS-BAMBOO-GREY-FULL-6PCS</t>
        </is>
      </c>
      <c r="E366" s="54" t="inlineStr">
        <is>
          <t>Full</t>
        </is>
      </c>
      <c r="F366" s="54" t="inlineStr">
        <is>
          <t>Grey</t>
        </is>
      </c>
      <c r="G366" s="55" t="n">
        <v>14</v>
      </c>
      <c r="H366" s="55" t="n">
        <v>0</v>
      </c>
      <c r="I366" s="56" t="n"/>
      <c r="J366" s="57" t="n">
        <v>0</v>
      </c>
      <c r="K366" s="56" t="inlineStr">
        <is>
          <t>account data velocity</t>
        </is>
      </c>
      <c r="L366" s="58" t="n">
        <v>1.2013</v>
      </c>
      <c r="M366" s="56" t="inlineStr">
        <is>
          <t>own BFCM 2025 lift (account data)</t>
        </is>
      </c>
      <c r="N366" s="59">
        <f>J366*34+J366*L366*12</f>
        <v/>
      </c>
      <c r="O366" s="59">
        <f>MAX(0,N366-G366-H366)</f>
        <v/>
      </c>
      <c r="P366" s="60">
        <f>IF(J366=0,"",IF(G366&lt;J366*34,DATE(2026,10,15)+G366/J366,IF(G366&lt;N366,DATE(2026,11,18)+(G366-J366*34)/(J366*L366),"after Nov 30")))</f>
        <v/>
      </c>
      <c r="Q366" s="60">
        <f>IF(J366=0,"",IF(G366+H366&lt;J366*34,DATE(2026,10,15)+(G366+H366)/J366,IF(G366+H366&lt;N366,DATE(2026,11,18)+(G366+H366-J366*34)/(J366*L366),"after Nov 30")))</f>
        <v/>
      </c>
      <c r="R366" s="54">
        <f>IF(AND(G366&lt;=0,J366&gt;0),"Out of stock now",IF(G366&gt;=N366,"Covered to Nov 30",IF(G366+H366&gt;=N366,"Needs inbound in time","Short even with inbound")))</f>
        <v/>
      </c>
      <c r="S366" s="57" t="n">
        <v>0</v>
      </c>
      <c r="T366" s="59">
        <f>IF(S366="","",S366*34+S366*L366*12)</f>
        <v/>
      </c>
    </row>
    <row r="367">
      <c r="A367" s="54" t="inlineStr">
        <is>
          <t>US SL B6</t>
        </is>
      </c>
      <c r="B367" s="54" t="inlineStr">
        <is>
          <t>US</t>
        </is>
      </c>
      <c r="C367" s="54" t="inlineStr">
        <is>
          <t>B0DDTZ2Z31</t>
        </is>
      </c>
      <c r="D367" s="54" t="inlineStr">
        <is>
          <t>SS-BAMBOO-LIGHT-OLIVE-FULL-6PCS</t>
        </is>
      </c>
      <c r="E367" s="54" t="inlineStr">
        <is>
          <t>Full</t>
        </is>
      </c>
      <c r="F367" s="54" t="inlineStr">
        <is>
          <t>Light Olive</t>
        </is>
      </c>
      <c r="G367" s="55" t="n">
        <v>7</v>
      </c>
      <c r="H367" s="55" t="n">
        <v>0</v>
      </c>
      <c r="I367" s="56" t="n"/>
      <c r="J367" s="57" t="n">
        <v>0</v>
      </c>
      <c r="K367" s="56" t="inlineStr">
        <is>
          <t>account data velocity</t>
        </is>
      </c>
      <c r="L367" s="58" t="n">
        <v>1.2013</v>
      </c>
      <c r="M367" s="56" t="inlineStr">
        <is>
          <t>own BFCM 2025 lift (account data)</t>
        </is>
      </c>
      <c r="N367" s="59">
        <f>J367*34+J367*L367*12</f>
        <v/>
      </c>
      <c r="O367" s="59">
        <f>MAX(0,N367-G367-H367)</f>
        <v/>
      </c>
      <c r="P367" s="60">
        <f>IF(J367=0,"",IF(G367&lt;J367*34,DATE(2026,10,15)+G367/J367,IF(G367&lt;N367,DATE(2026,11,18)+(G367-J367*34)/(J367*L367),"after Nov 30")))</f>
        <v/>
      </c>
      <c r="Q367" s="60">
        <f>IF(J367=0,"",IF(G367+H367&lt;J367*34,DATE(2026,10,15)+(G367+H367)/J367,IF(G367+H367&lt;N367,DATE(2026,11,18)+(G367+H367-J367*34)/(J367*L367),"after Nov 30")))</f>
        <v/>
      </c>
      <c r="R367" s="54">
        <f>IF(AND(G367&lt;=0,J367&gt;0),"Out of stock now",IF(G367&gt;=N367,"Covered to Nov 30",IF(G367+H367&gt;=N367,"Needs inbound in time","Short even with inbound")))</f>
        <v/>
      </c>
      <c r="S367" s="57" t="n">
        <v>0</v>
      </c>
      <c r="T367" s="59">
        <f>IF(S367="","",S367*34+S367*L367*12)</f>
        <v/>
      </c>
    </row>
    <row r="368">
      <c r="A368" s="54" t="inlineStr">
        <is>
          <t>US SL B6</t>
        </is>
      </c>
      <c r="B368" s="54" t="inlineStr">
        <is>
          <t>US</t>
        </is>
      </c>
      <c r="C368" s="54" t="inlineStr">
        <is>
          <t>B0DDV13P1G</t>
        </is>
      </c>
      <c r="D368" s="54" t="inlineStr">
        <is>
          <t>SS-BAMBOO-CREME-TWIN-4PCS</t>
        </is>
      </c>
      <c r="E368" s="54" t="inlineStr">
        <is>
          <t>Twin</t>
        </is>
      </c>
      <c r="F368" s="54" t="n"/>
      <c r="G368" s="55" t="n">
        <v>6</v>
      </c>
      <c r="H368" s="55" t="n">
        <v>0</v>
      </c>
      <c r="I368" s="56" t="n"/>
      <c r="J368" s="57" t="n">
        <v>0</v>
      </c>
      <c r="K368" s="56" t="inlineStr">
        <is>
          <t>account data velocity</t>
        </is>
      </c>
      <c r="L368" s="58" t="n">
        <v>1.2013</v>
      </c>
      <c r="M368" s="56" t="inlineStr">
        <is>
          <t>own BFCM 2025 lift (account data)</t>
        </is>
      </c>
      <c r="N368" s="59">
        <f>J368*34+J368*L368*12</f>
        <v/>
      </c>
      <c r="O368" s="59">
        <f>MAX(0,N368-G368-H368)</f>
        <v/>
      </c>
      <c r="P368" s="60">
        <f>IF(J368=0,"",IF(G368&lt;J368*34,DATE(2026,10,15)+G368/J368,IF(G368&lt;N368,DATE(2026,11,18)+(G368-J368*34)/(J368*L368),"after Nov 30")))</f>
        <v/>
      </c>
      <c r="Q368" s="60">
        <f>IF(J368=0,"",IF(G368+H368&lt;J368*34,DATE(2026,10,15)+(G368+H368)/J368,IF(G368+H368&lt;N368,DATE(2026,11,18)+(G368+H368-J368*34)/(J368*L368),"after Nov 30")))</f>
        <v/>
      </c>
      <c r="R368" s="54">
        <f>IF(AND(G368&lt;=0,J368&gt;0),"Out of stock now",IF(G368&gt;=N368,"Covered to Nov 30",IF(G368+H368&gt;=N368,"Needs inbound in time","Short even with inbound")))</f>
        <v/>
      </c>
      <c r="S368" s="57" t="n"/>
      <c r="T368" s="59">
        <f>IF(S368="","",S368*34+S368*L368*12)</f>
        <v/>
      </c>
    </row>
    <row r="369">
      <c r="A369" s="54" t="inlineStr">
        <is>
          <t>US SL B6</t>
        </is>
      </c>
      <c r="B369" s="54" t="inlineStr">
        <is>
          <t>US</t>
        </is>
      </c>
      <c r="C369" s="54" t="inlineStr">
        <is>
          <t>B0DDV3BVSH</t>
        </is>
      </c>
      <c r="D369" s="54" t="inlineStr">
        <is>
          <t>SS-BAMBOO-GREY-TWIN-4PCS</t>
        </is>
      </c>
      <c r="E369" s="54" t="inlineStr">
        <is>
          <t>Twin</t>
        </is>
      </c>
      <c r="F369" s="54" t="inlineStr">
        <is>
          <t>Grey</t>
        </is>
      </c>
      <c r="G369" s="55" t="n">
        <v>1</v>
      </c>
      <c r="H369" s="55" t="n">
        <v>0</v>
      </c>
      <c r="I369" s="56" t="n"/>
      <c r="J369" s="57" t="n">
        <v>0</v>
      </c>
      <c r="K369" s="56" t="inlineStr">
        <is>
          <t>account data velocity</t>
        </is>
      </c>
      <c r="L369" s="58" t="n">
        <v>1.2013</v>
      </c>
      <c r="M369" s="56" t="inlineStr">
        <is>
          <t>own BFCM 2025 lift (account data)</t>
        </is>
      </c>
      <c r="N369" s="59">
        <f>J369*34+J369*L369*12</f>
        <v/>
      </c>
      <c r="O369" s="59">
        <f>MAX(0,N369-G369-H369)</f>
        <v/>
      </c>
      <c r="P369" s="60">
        <f>IF(J369=0,"",IF(G369&lt;J369*34,DATE(2026,10,15)+G369/J369,IF(G369&lt;N369,DATE(2026,11,18)+(G369-J369*34)/(J369*L369),"after Nov 30")))</f>
        <v/>
      </c>
      <c r="Q369" s="60">
        <f>IF(J369=0,"",IF(G369+H369&lt;J369*34,DATE(2026,10,15)+(G369+H369)/J369,IF(G369+H369&lt;N369,DATE(2026,11,18)+(G369+H369-J369*34)/(J369*L369),"after Nov 30")))</f>
        <v/>
      </c>
      <c r="R369" s="54">
        <f>IF(AND(G369&lt;=0,J369&gt;0),"Out of stock now",IF(G369&gt;=N369,"Covered to Nov 30",IF(G369+H369&gt;=N369,"Needs inbound in time","Short even with inbound")))</f>
        <v/>
      </c>
      <c r="S369" s="57" t="n">
        <v>0</v>
      </c>
      <c r="T369" s="59">
        <f>IF(S369="","",S369*34+S369*L369*12)</f>
        <v/>
      </c>
    </row>
    <row r="370">
      <c r="A370" s="54" t="inlineStr">
        <is>
          <t>US SL B6</t>
        </is>
      </c>
      <c r="B370" s="54" t="inlineStr">
        <is>
          <t>US</t>
        </is>
      </c>
      <c r="C370" s="54" t="inlineStr">
        <is>
          <t>B0DDTY5FXV</t>
        </is>
      </c>
      <c r="D370" s="54" t="inlineStr">
        <is>
          <t>SS-BAMBOO-LIGHT-GREY-TWIN-4PCS</t>
        </is>
      </c>
      <c r="E370" s="54" t="inlineStr">
        <is>
          <t>Twin</t>
        </is>
      </c>
      <c r="F370" s="54" t="inlineStr">
        <is>
          <t>Light Grey</t>
        </is>
      </c>
      <c r="G370" s="55" t="n">
        <v>16</v>
      </c>
      <c r="H370" s="55" t="n">
        <v>0</v>
      </c>
      <c r="I370" s="56" t="n"/>
      <c r="J370" s="57" t="n">
        <v>0</v>
      </c>
      <c r="K370" s="56" t="inlineStr">
        <is>
          <t>account data velocity</t>
        </is>
      </c>
      <c r="L370" s="58" t="n">
        <v>1.2013</v>
      </c>
      <c r="M370" s="56" t="inlineStr">
        <is>
          <t>own BFCM 2025 lift (account data)</t>
        </is>
      </c>
      <c r="N370" s="59">
        <f>J370*34+J370*L370*12</f>
        <v/>
      </c>
      <c r="O370" s="59">
        <f>MAX(0,N370-G370-H370)</f>
        <v/>
      </c>
      <c r="P370" s="60">
        <f>IF(J370=0,"",IF(G370&lt;J370*34,DATE(2026,10,15)+G370/J370,IF(G370&lt;N370,DATE(2026,11,18)+(G370-J370*34)/(J370*L370),"after Nov 30")))</f>
        <v/>
      </c>
      <c r="Q370" s="60">
        <f>IF(J370=0,"",IF(G370+H370&lt;J370*34,DATE(2026,10,15)+(G370+H370)/J370,IF(G370+H370&lt;N370,DATE(2026,11,18)+(G370+H370-J370*34)/(J370*L370),"after Nov 30")))</f>
        <v/>
      </c>
      <c r="R370" s="54">
        <f>IF(AND(G370&lt;=0,J370&gt;0),"Out of stock now",IF(G370&gt;=N370,"Covered to Nov 30",IF(G370+H370&gt;=N370,"Needs inbound in time","Short even with inbound")))</f>
        <v/>
      </c>
      <c r="S370" s="57" t="n">
        <v>0</v>
      </c>
      <c r="T370" s="59">
        <f>IF(S370="","",S370*34+S370*L370*12)</f>
        <v/>
      </c>
    </row>
    <row r="371">
      <c r="A371" s="54" t="inlineStr">
        <is>
          <t>US SL B6</t>
        </is>
      </c>
      <c r="B371" s="54" t="inlineStr">
        <is>
          <t>US</t>
        </is>
      </c>
      <c r="C371" s="54" t="inlineStr">
        <is>
          <t>B0DDTVSFDH</t>
        </is>
      </c>
      <c r="D371" s="54" t="inlineStr">
        <is>
          <t>SS-BAMBOO-LIGHT-OLIVE-TWIN-4PCS</t>
        </is>
      </c>
      <c r="E371" s="54" t="inlineStr">
        <is>
          <t>Twin</t>
        </is>
      </c>
      <c r="F371" s="54" t="inlineStr">
        <is>
          <t>Light Olive</t>
        </is>
      </c>
      <c r="G371" s="55" t="n">
        <v>11</v>
      </c>
      <c r="H371" s="55" t="n">
        <v>0</v>
      </c>
      <c r="I371" s="56" t="n"/>
      <c r="J371" s="57" t="n">
        <v>0</v>
      </c>
      <c r="K371" s="56" t="inlineStr">
        <is>
          <t>account data velocity</t>
        </is>
      </c>
      <c r="L371" s="58" t="n">
        <v>1.2013</v>
      </c>
      <c r="M371" s="56" t="inlineStr">
        <is>
          <t>own BFCM 2025 lift (account data)</t>
        </is>
      </c>
      <c r="N371" s="59">
        <f>J371*34+J371*L371*12</f>
        <v/>
      </c>
      <c r="O371" s="59">
        <f>MAX(0,N371-G371-H371)</f>
        <v/>
      </c>
      <c r="P371" s="60">
        <f>IF(J371=0,"",IF(G371&lt;J371*34,DATE(2026,10,15)+G371/J371,IF(G371&lt;N371,DATE(2026,11,18)+(G371-J371*34)/(J371*L371),"after Nov 30")))</f>
        <v/>
      </c>
      <c r="Q371" s="60">
        <f>IF(J371=0,"",IF(G371+H371&lt;J371*34,DATE(2026,10,15)+(G371+H371)/J371,IF(G371+H371&lt;N371,DATE(2026,11,18)+(G371+H371-J371*34)/(J371*L371),"after Nov 30")))</f>
        <v/>
      </c>
      <c r="R371" s="54">
        <f>IF(AND(G371&lt;=0,J371&gt;0),"Out of stock now",IF(G371&gt;=N371,"Covered to Nov 30",IF(G371+H371&gt;=N371,"Needs inbound in time","Short even with inbound")))</f>
        <v/>
      </c>
      <c r="S371" s="57" t="n">
        <v>0</v>
      </c>
      <c r="T371" s="59">
        <f>IF(S371="","",S371*34+S371*L371*12)</f>
        <v/>
      </c>
    </row>
    <row r="372">
      <c r="A372" s="54" t="inlineStr">
        <is>
          <t>US SL B6</t>
        </is>
      </c>
      <c r="B372" s="54" t="inlineStr">
        <is>
          <t>US</t>
        </is>
      </c>
      <c r="C372" s="54" t="inlineStr">
        <is>
          <t>B0DDTZR3SH</t>
        </is>
      </c>
      <c r="D372" s="54" t="inlineStr">
        <is>
          <t>SS-BAMBOO-MIDGREY-TWIN-4PCS</t>
        </is>
      </c>
      <c r="E372" s="54" t="inlineStr">
        <is>
          <t>Twin</t>
        </is>
      </c>
      <c r="F372" s="54" t="inlineStr">
        <is>
          <t>Midgrey</t>
        </is>
      </c>
      <c r="G372" s="55" t="n">
        <v>3</v>
      </c>
      <c r="H372" s="55" t="n">
        <v>0</v>
      </c>
      <c r="I372" s="56" t="n"/>
      <c r="J372" s="57" t="n">
        <v>0</v>
      </c>
      <c r="K372" s="56" t="inlineStr">
        <is>
          <t>account data velocity</t>
        </is>
      </c>
      <c r="L372" s="58" t="n">
        <v>1.2013</v>
      </c>
      <c r="M372" s="56" t="inlineStr">
        <is>
          <t>own BFCM 2025 lift (account data)</t>
        </is>
      </c>
      <c r="N372" s="59">
        <f>J372*34+J372*L372*12</f>
        <v/>
      </c>
      <c r="O372" s="59">
        <f>MAX(0,N372-G372-H372)</f>
        <v/>
      </c>
      <c r="P372" s="60">
        <f>IF(J372=0,"",IF(G372&lt;J372*34,DATE(2026,10,15)+G372/J372,IF(G372&lt;N372,DATE(2026,11,18)+(G372-J372*34)/(J372*L372),"after Nov 30")))</f>
        <v/>
      </c>
      <c r="Q372" s="60">
        <f>IF(J372=0,"",IF(G372+H372&lt;J372*34,DATE(2026,10,15)+(G372+H372)/J372,IF(G372+H372&lt;N372,DATE(2026,11,18)+(G372+H372-J372*34)/(J372*L372),"after Nov 30")))</f>
        <v/>
      </c>
      <c r="R372" s="54">
        <f>IF(AND(G372&lt;=0,J372&gt;0),"Out of stock now",IF(G372&gt;=N372,"Covered to Nov 30",IF(G372+H372&gt;=N372,"Needs inbound in time","Short even with inbound")))</f>
        <v/>
      </c>
      <c r="S372" s="57" t="n">
        <v>0</v>
      </c>
      <c r="T372" s="59">
        <f>IF(S372="","",S372*34+S372*L372*12)</f>
        <v/>
      </c>
    </row>
    <row r="373">
      <c r="A373" s="54" t="inlineStr">
        <is>
          <t>US SL B6</t>
        </is>
      </c>
      <c r="B373" s="54" t="inlineStr">
        <is>
          <t>US</t>
        </is>
      </c>
      <c r="C373" s="54" t="inlineStr">
        <is>
          <t>B0DDTY7F93</t>
        </is>
      </c>
      <c r="D373" s="54" t="inlineStr">
        <is>
          <t>SS-BAMBOO-OLIVE-TWIN-4PCS</t>
        </is>
      </c>
      <c r="E373" s="54" t="inlineStr">
        <is>
          <t>Twin</t>
        </is>
      </c>
      <c r="F373" s="54" t="inlineStr">
        <is>
          <t>Olive</t>
        </is>
      </c>
      <c r="G373" s="55" t="n">
        <v>3</v>
      </c>
      <c r="H373" s="55" t="n">
        <v>0</v>
      </c>
      <c r="I373" s="56" t="n"/>
      <c r="J373" s="57" t="n">
        <v>0</v>
      </c>
      <c r="K373" s="56" t="inlineStr">
        <is>
          <t>account data velocity</t>
        </is>
      </c>
      <c r="L373" s="58" t="n">
        <v>1.2013</v>
      </c>
      <c r="M373" s="56" t="inlineStr">
        <is>
          <t>own BFCM 2025 lift (account data)</t>
        </is>
      </c>
      <c r="N373" s="59">
        <f>J373*34+J373*L373*12</f>
        <v/>
      </c>
      <c r="O373" s="59">
        <f>MAX(0,N373-G373-H373)</f>
        <v/>
      </c>
      <c r="P373" s="60">
        <f>IF(J373=0,"",IF(G373&lt;J373*34,DATE(2026,10,15)+G373/J373,IF(G373&lt;N373,DATE(2026,11,18)+(G373-J373*34)/(J373*L373),"after Nov 30")))</f>
        <v/>
      </c>
      <c r="Q373" s="60">
        <f>IF(J373=0,"",IF(G373+H373&lt;J373*34,DATE(2026,10,15)+(G373+H373)/J373,IF(G373+H373&lt;N373,DATE(2026,11,18)+(G373+H373-J373*34)/(J373*L373),"after Nov 30")))</f>
        <v/>
      </c>
      <c r="R373" s="54">
        <f>IF(AND(G373&lt;=0,J373&gt;0),"Out of stock now",IF(G373&gt;=N373,"Covered to Nov 30",IF(G373+H373&gt;=N373,"Needs inbound in time","Short even with inbound")))</f>
        <v/>
      </c>
      <c r="S373" s="57" t="n">
        <v>0</v>
      </c>
      <c r="T373" s="59">
        <f>IF(S373="","",S373*34+S373*L373*12)</f>
        <v/>
      </c>
    </row>
    <row r="374">
      <c r="A374" s="54" t="inlineStr">
        <is>
          <t>US SL B6</t>
        </is>
      </c>
      <c r="B374" s="54" t="inlineStr">
        <is>
          <t>US</t>
        </is>
      </c>
      <c r="C374" s="54" t="inlineStr">
        <is>
          <t>B0DDTZLDHH</t>
        </is>
      </c>
      <c r="D374" s="54" t="inlineStr">
        <is>
          <t>SS-BAMBOO-SAGE-GREEN-TWIN-4PCS</t>
        </is>
      </c>
      <c r="E374" s="54" t="inlineStr">
        <is>
          <t>Twin</t>
        </is>
      </c>
      <c r="F374" s="54" t="inlineStr">
        <is>
          <t>Sage Green</t>
        </is>
      </c>
      <c r="G374" s="55" t="n">
        <v>15</v>
      </c>
      <c r="H374" s="55" t="n">
        <v>0</v>
      </c>
      <c r="I374" s="56" t="n"/>
      <c r="J374" s="57" t="n">
        <v>0</v>
      </c>
      <c r="K374" s="56" t="inlineStr">
        <is>
          <t>account data velocity</t>
        </is>
      </c>
      <c r="L374" s="58" t="n">
        <v>1.2013</v>
      </c>
      <c r="M374" s="56" t="inlineStr">
        <is>
          <t>own BFCM 2025 lift (account data)</t>
        </is>
      </c>
      <c r="N374" s="59">
        <f>J374*34+J374*L374*12</f>
        <v/>
      </c>
      <c r="O374" s="59">
        <f>MAX(0,N374-G374-H374)</f>
        <v/>
      </c>
      <c r="P374" s="60">
        <f>IF(J374=0,"",IF(G374&lt;J374*34,DATE(2026,10,15)+G374/J374,IF(G374&lt;N374,DATE(2026,11,18)+(G374-J374*34)/(J374*L374),"after Nov 30")))</f>
        <v/>
      </c>
      <c r="Q374" s="60">
        <f>IF(J374=0,"",IF(G374+H374&lt;J374*34,DATE(2026,10,15)+(G374+H374)/J374,IF(G374+H374&lt;N374,DATE(2026,11,18)+(G374+H374-J374*34)/(J374*L374),"after Nov 30")))</f>
        <v/>
      </c>
      <c r="R374" s="54">
        <f>IF(AND(G374&lt;=0,J374&gt;0),"Out of stock now",IF(G374&gt;=N374,"Covered to Nov 30",IF(G374+H374&gt;=N374,"Needs inbound in time","Short even with inbound")))</f>
        <v/>
      </c>
      <c r="S374" s="57" t="n">
        <v>0</v>
      </c>
      <c r="T374" s="59">
        <f>IF(S374="","",S374*34+S374*L374*12)</f>
        <v/>
      </c>
    </row>
    <row r="375">
      <c r="A375" s="54" t="inlineStr">
        <is>
          <t>US SL B6</t>
        </is>
      </c>
      <c r="B375" s="54" t="inlineStr">
        <is>
          <t>US</t>
        </is>
      </c>
      <c r="C375" s="54" t="inlineStr">
        <is>
          <t>B0DDTYZ5R2</t>
        </is>
      </c>
      <c r="D375" s="54" t="inlineStr">
        <is>
          <t>SS-BAMBOO-TAUPE-TWIN-4PCS</t>
        </is>
      </c>
      <c r="E375" s="54" t="inlineStr">
        <is>
          <t>Twin</t>
        </is>
      </c>
      <c r="F375" s="54" t="inlineStr">
        <is>
          <t>Taupe</t>
        </is>
      </c>
      <c r="G375" s="55" t="n">
        <v>5</v>
      </c>
      <c r="H375" s="55" t="n">
        <v>0</v>
      </c>
      <c r="I375" s="56" t="n"/>
      <c r="J375" s="57" t="n">
        <v>0</v>
      </c>
      <c r="K375" s="56" t="inlineStr">
        <is>
          <t>account data velocity</t>
        </is>
      </c>
      <c r="L375" s="58" t="n">
        <v>1.2013</v>
      </c>
      <c r="M375" s="56" t="inlineStr">
        <is>
          <t>own BFCM 2025 lift (account data)</t>
        </is>
      </c>
      <c r="N375" s="59">
        <f>J375*34+J375*L375*12</f>
        <v/>
      </c>
      <c r="O375" s="59">
        <f>MAX(0,N375-G375-H375)</f>
        <v/>
      </c>
      <c r="P375" s="60">
        <f>IF(J375=0,"",IF(G375&lt;J375*34,DATE(2026,10,15)+G375/J375,IF(G375&lt;N375,DATE(2026,11,18)+(G375-J375*34)/(J375*L375),"after Nov 30")))</f>
        <v/>
      </c>
      <c r="Q375" s="60">
        <f>IF(J375=0,"",IF(G375+H375&lt;J375*34,DATE(2026,10,15)+(G375+H375)/J375,IF(G375+H375&lt;N375,DATE(2026,11,18)+(G375+H375-J375*34)/(J375*L375),"after Nov 30")))</f>
        <v/>
      </c>
      <c r="R375" s="54">
        <f>IF(AND(G375&lt;=0,J375&gt;0),"Out of stock now",IF(G375&gt;=N375,"Covered to Nov 30",IF(G375+H375&gt;=N375,"Needs inbound in time","Short even with inbound")))</f>
        <v/>
      </c>
      <c r="S375" s="57" t="n">
        <v>0</v>
      </c>
      <c r="T375" s="59">
        <f>IF(S375="","",S375*34+S375*L375*12)</f>
        <v/>
      </c>
    </row>
    <row r="376">
      <c r="A376" s="54" t="inlineStr">
        <is>
          <t>US SL B4</t>
        </is>
      </c>
      <c r="B376" s="54" t="inlineStr">
        <is>
          <t>US</t>
        </is>
      </c>
      <c r="C376" s="54" t="inlineStr">
        <is>
          <t>B0DDTY5RQX</t>
        </is>
      </c>
      <c r="D376" s="54" t="inlineStr">
        <is>
          <t>SS-BAMBOO-CHARCOAL-TWIN-4PCS</t>
        </is>
      </c>
      <c r="E376" s="54" t="inlineStr">
        <is>
          <t>Twin</t>
        </is>
      </c>
      <c r="F376" s="54" t="inlineStr">
        <is>
          <t>Charcoal</t>
        </is>
      </c>
      <c r="G376" s="55" t="n">
        <v>4</v>
      </c>
      <c r="H376" s="55" t="n">
        <v>0</v>
      </c>
      <c r="I376" s="56" t="n"/>
      <c r="J376" s="57" t="n">
        <v>0.1</v>
      </c>
      <c r="K376" s="56" t="inlineStr">
        <is>
          <t>account data velocity</t>
        </is>
      </c>
      <c r="L376" s="58" t="n">
        <v>2.7396</v>
      </c>
      <c r="M376" s="56" t="inlineStr">
        <is>
          <t>ASSUMED: account BFCM 2025 lift (US); product's own 2025 lift not available</t>
        </is>
      </c>
      <c r="N376" s="59">
        <f>J376*34+J376*L376*12</f>
        <v/>
      </c>
      <c r="O376" s="59">
        <f>MAX(0,N376-G376-H376)</f>
        <v/>
      </c>
      <c r="P376" s="60">
        <f>IF(J376=0,"",IF(G376&lt;J376*34,DATE(2026,10,15)+G376/J376,IF(G376&lt;N376,DATE(2026,11,18)+(G376-J376*34)/(J376*L376),"after Nov 30")))</f>
        <v/>
      </c>
      <c r="Q376" s="60">
        <f>IF(J376=0,"",IF(G376+H376&lt;J376*34,DATE(2026,10,15)+(G376+H376)/J376,IF(G376+H376&lt;N376,DATE(2026,11,18)+(G376+H376-J376*34)/(J376*L376),"after Nov 30")))</f>
        <v/>
      </c>
      <c r="R376" s="54">
        <f>IF(AND(G376&lt;=0,J376&gt;0),"Out of stock now",IF(G376&gt;=N376,"Covered to Nov 30",IF(G376+H376&gt;=N376,"Needs inbound in time","Short even with inbound")))</f>
        <v/>
      </c>
      <c r="S376" s="57" t="n">
        <v>0.07099999999999999</v>
      </c>
      <c r="T376" s="59">
        <f>IF(S376="","",S376*34+S376*L376*12)</f>
        <v/>
      </c>
    </row>
    <row r="377">
      <c r="A377" s="54" t="inlineStr">
        <is>
          <t>US SL B4</t>
        </is>
      </c>
      <c r="B377" s="54" t="inlineStr">
        <is>
          <t>US</t>
        </is>
      </c>
      <c r="C377" s="54" t="inlineStr">
        <is>
          <t>B0DDTWR1JB</t>
        </is>
      </c>
      <c r="D377" s="54" t="inlineStr">
        <is>
          <t>SS-BAMBOO-BLACK-TWIN-4PCS</t>
        </is>
      </c>
      <c r="E377" s="54" t="inlineStr">
        <is>
          <t>Twin</t>
        </is>
      </c>
      <c r="F377" s="54" t="inlineStr">
        <is>
          <t>Black</t>
        </is>
      </c>
      <c r="G377" s="55" t="n">
        <v>22</v>
      </c>
      <c r="H377" s="55" t="n">
        <v>0</v>
      </c>
      <c r="I377" s="56" t="n"/>
      <c r="J377" s="57" t="n">
        <v>0.01</v>
      </c>
      <c r="K377" s="56" t="inlineStr">
        <is>
          <t>account data velocity</t>
        </is>
      </c>
      <c r="L377" s="58" t="n">
        <v>2.7396</v>
      </c>
      <c r="M377" s="56" t="inlineStr">
        <is>
          <t>ASSUMED: account BFCM 2025 lift (US); product's own 2025 lift not available</t>
        </is>
      </c>
      <c r="N377" s="59">
        <f>J377*34+J377*L377*12</f>
        <v/>
      </c>
      <c r="O377" s="59">
        <f>MAX(0,N377-G377-H377)</f>
        <v/>
      </c>
      <c r="P377" s="60">
        <f>IF(J377=0,"",IF(G377&lt;J377*34,DATE(2026,10,15)+G377/J377,IF(G377&lt;N377,DATE(2026,11,18)+(G377-J377*34)/(J377*L377),"after Nov 30")))</f>
        <v/>
      </c>
      <c r="Q377" s="60">
        <f>IF(J377=0,"",IF(G377+H377&lt;J377*34,DATE(2026,10,15)+(G377+H377)/J377,IF(G377+H377&lt;N377,DATE(2026,11,18)+(G377+H377-J377*34)/(J377*L377),"after Nov 30")))</f>
        <v/>
      </c>
      <c r="R377" s="54">
        <f>IF(AND(G377&lt;=0,J377&gt;0),"Out of stock now",IF(G377&gt;=N377,"Covered to Nov 30",IF(G377+H377&gt;=N377,"Needs inbound in time","Short even with inbound")))</f>
        <v/>
      </c>
      <c r="S377" s="57" t="n">
        <v>0</v>
      </c>
      <c r="T377" s="59">
        <f>IF(S377="","",S377*34+S377*L377*12)</f>
        <v/>
      </c>
    </row>
    <row r="378">
      <c r="A378" s="54" t="inlineStr">
        <is>
          <t>US SL B4</t>
        </is>
      </c>
      <c r="B378" s="54" t="inlineStr">
        <is>
          <t>US</t>
        </is>
      </c>
      <c r="C378" s="54" t="inlineStr">
        <is>
          <t>B0DDV12K7H</t>
        </is>
      </c>
      <c r="D378" s="54" t="inlineStr">
        <is>
          <t>SS-BAMBOO-BURGUNDY-TWIN-4PCS</t>
        </is>
      </c>
      <c r="E378" s="54" t="inlineStr">
        <is>
          <t>Twin</t>
        </is>
      </c>
      <c r="F378" s="54" t="inlineStr">
        <is>
          <t>Burgundy</t>
        </is>
      </c>
      <c r="G378" s="55" t="n">
        <v>11</v>
      </c>
      <c r="H378" s="55" t="n">
        <v>0</v>
      </c>
      <c r="I378" s="56" t="n"/>
      <c r="J378" s="57" t="n">
        <v>0.01</v>
      </c>
      <c r="K378" s="56" t="inlineStr">
        <is>
          <t>account data velocity</t>
        </is>
      </c>
      <c r="L378" s="58" t="n">
        <v>2.7396</v>
      </c>
      <c r="M378" s="56" t="inlineStr">
        <is>
          <t>ASSUMED: account BFCM 2025 lift (US); product's own 2025 lift not available</t>
        </is>
      </c>
      <c r="N378" s="59">
        <f>J378*34+J378*L378*12</f>
        <v/>
      </c>
      <c r="O378" s="59">
        <f>MAX(0,N378-G378-H378)</f>
        <v/>
      </c>
      <c r="P378" s="60">
        <f>IF(J378=0,"",IF(G378&lt;J378*34,DATE(2026,10,15)+G378/J378,IF(G378&lt;N378,DATE(2026,11,18)+(G378-J378*34)/(J378*L378),"after Nov 30")))</f>
        <v/>
      </c>
      <c r="Q378" s="60">
        <f>IF(J378=0,"",IF(G378+H378&lt;J378*34,DATE(2026,10,15)+(G378+H378)/J378,IF(G378+H378&lt;N378,DATE(2026,11,18)+(G378+H378-J378*34)/(J378*L378),"after Nov 30")))</f>
        <v/>
      </c>
      <c r="R378" s="54">
        <f>IF(AND(G378&lt;=0,J378&gt;0),"Out of stock now",IF(G378&gt;=N378,"Covered to Nov 30",IF(G378+H378&gt;=N378,"Needs inbound in time","Short even with inbound")))</f>
        <v/>
      </c>
      <c r="S378" s="57" t="n">
        <v>0</v>
      </c>
      <c r="T378" s="59">
        <f>IF(S378="","",S378*34+S378*L378*12)</f>
        <v/>
      </c>
    </row>
    <row r="379">
      <c r="A379" s="54" t="inlineStr">
        <is>
          <t>US SL B4</t>
        </is>
      </c>
      <c r="B379" s="54" t="inlineStr">
        <is>
          <t>US</t>
        </is>
      </c>
      <c r="C379" s="54" t="inlineStr">
        <is>
          <t>B0DDV13P1G</t>
        </is>
      </c>
      <c r="D379" s="54" t="inlineStr">
        <is>
          <t>SS-BAMBOO-CREME-TWIN-4PCS</t>
        </is>
      </c>
      <c r="E379" s="54" t="inlineStr">
        <is>
          <t>Twin</t>
        </is>
      </c>
      <c r="F379" s="54" t="inlineStr">
        <is>
          <t>Creme</t>
        </is>
      </c>
      <c r="G379" s="55" t="n">
        <v>6</v>
      </c>
      <c r="H379" s="55" t="n">
        <v>0</v>
      </c>
      <c r="I379" s="56" t="n"/>
      <c r="J379" s="57" t="n">
        <v>0</v>
      </c>
      <c r="K379" s="56" t="inlineStr">
        <is>
          <t>account data velocity</t>
        </is>
      </c>
      <c r="L379" s="58" t="n">
        <v>2.7396</v>
      </c>
      <c r="M379" s="56" t="inlineStr">
        <is>
          <t>ASSUMED: account BFCM 2025 lift (US); product's own 2025 lift not available</t>
        </is>
      </c>
      <c r="N379" s="59">
        <f>J379*34+J379*L379*12</f>
        <v/>
      </c>
      <c r="O379" s="59">
        <f>MAX(0,N379-G379-H379)</f>
        <v/>
      </c>
      <c r="P379" s="60">
        <f>IF(J379=0,"",IF(G379&lt;J379*34,DATE(2026,10,15)+G379/J379,IF(G379&lt;N379,DATE(2026,11,18)+(G379-J379*34)/(J379*L379),"after Nov 30")))</f>
        <v/>
      </c>
      <c r="Q379" s="60">
        <f>IF(J379=0,"",IF(G379+H379&lt;J379*34,DATE(2026,10,15)+(G379+H379)/J379,IF(G379+H379&lt;N379,DATE(2026,11,18)+(G379+H379-J379*34)/(J379*L379),"after Nov 30")))</f>
        <v/>
      </c>
      <c r="R379" s="54">
        <f>IF(AND(G379&lt;=0,J379&gt;0),"Out of stock now",IF(G379&gt;=N379,"Covered to Nov 30",IF(G379+H379&gt;=N379,"Needs inbound in time","Short even with inbound")))</f>
        <v/>
      </c>
      <c r="S379" s="57" t="n">
        <v>0</v>
      </c>
      <c r="T379" s="59">
        <f>IF(S379="","",S379*34+S379*L379*12)</f>
        <v/>
      </c>
    </row>
    <row r="380">
      <c r="A380" s="54" t="inlineStr">
        <is>
          <t>US DC Bamboo Fitted</t>
        </is>
      </c>
      <c r="B380" s="54" t="inlineStr">
        <is>
          <t>US</t>
        </is>
      </c>
      <c r="C380" s="54" t="inlineStr">
        <is>
          <t>B0FX2R68HP</t>
        </is>
      </c>
      <c r="D380" s="54" t="inlineStr">
        <is>
          <t>DC-BAMBOO-FITTED-KING-TAUPE-1PC</t>
        </is>
      </c>
      <c r="E380" s="54" t="inlineStr">
        <is>
          <t>King</t>
        </is>
      </c>
      <c r="F380" s="54" t="inlineStr">
        <is>
          <t>Taupe</t>
        </is>
      </c>
      <c r="G380" s="55" t="n">
        <v>88</v>
      </c>
      <c r="H380" s="55" t="n">
        <v>0</v>
      </c>
      <c r="I380" s="56" t="n"/>
      <c r="J380" s="57" t="n">
        <v>0.72</v>
      </c>
      <c r="K380" s="56" t="inlineStr">
        <is>
          <t>account data velocity</t>
        </is>
      </c>
      <c r="L380" s="58" t="n">
        <v>2.7396</v>
      </c>
      <c r="M380" s="56" t="inlineStr">
        <is>
          <t>ASSUMED: account BFCM 2025 lift (US); product's own 2025 lift not available</t>
        </is>
      </c>
      <c r="N380" s="59">
        <f>J380*34+J380*L380*12</f>
        <v/>
      </c>
      <c r="O380" s="59">
        <f>MAX(0,N380-G380-H380)</f>
        <v/>
      </c>
      <c r="P380" s="60">
        <f>IF(J380=0,"",IF(G380&lt;J380*34,DATE(2026,10,15)+G380/J380,IF(G380&lt;N380,DATE(2026,11,18)+(G380-J380*34)/(J380*L380),"after Nov 30")))</f>
        <v/>
      </c>
      <c r="Q380" s="60">
        <f>IF(J380=0,"",IF(G380+H380&lt;J380*34,DATE(2026,10,15)+(G380+H380)/J380,IF(G380+H380&lt;N380,DATE(2026,11,18)+(G380+H380-J380*34)/(J380*L380),"after Nov 30")))</f>
        <v/>
      </c>
      <c r="R380" s="54">
        <f>IF(AND(G380&lt;=0,J380&gt;0),"Out of stock now",IF(G380&gt;=N380,"Covered to Nov 30",IF(G380+H380&gt;=N380,"Needs inbound in time","Short even with inbound")))</f>
        <v/>
      </c>
      <c r="S380" s="57" t="n">
        <v>0.321</v>
      </c>
      <c r="T380" s="59">
        <f>IF(S380="","",S380*34+S380*L380*12)</f>
        <v/>
      </c>
    </row>
    <row r="381">
      <c r="A381" s="54" t="inlineStr">
        <is>
          <t>US DC Bamboo Fitted</t>
        </is>
      </c>
      <c r="B381" s="54" t="inlineStr">
        <is>
          <t>US</t>
        </is>
      </c>
      <c r="C381" s="54" t="inlineStr">
        <is>
          <t>B0FX2SC2Z6</t>
        </is>
      </c>
      <c r="D381" s="54" t="inlineStr">
        <is>
          <t>DC-BAMBOO-FITTED-KING-GREY-1PC</t>
        </is>
      </c>
      <c r="E381" s="54" t="inlineStr">
        <is>
          <t>King</t>
        </is>
      </c>
      <c r="F381" s="54" t="inlineStr">
        <is>
          <t>Grey</t>
        </is>
      </c>
      <c r="G381" s="55" t="n">
        <v>203</v>
      </c>
      <c r="H381" s="55" t="n">
        <v>0</v>
      </c>
      <c r="I381" s="56" t="n"/>
      <c r="J381" s="57" t="n">
        <v>0.53</v>
      </c>
      <c r="K381" s="56" t="inlineStr">
        <is>
          <t>account data velocity</t>
        </is>
      </c>
      <c r="L381" s="58" t="n">
        <v>2.7396</v>
      </c>
      <c r="M381" s="56" t="inlineStr">
        <is>
          <t>ASSUMED: account BFCM 2025 lift (US); product's own 2025 lift not available</t>
        </is>
      </c>
      <c r="N381" s="59">
        <f>J381*34+J381*L381*12</f>
        <v/>
      </c>
      <c r="O381" s="59">
        <f>MAX(0,N381-G381-H381)</f>
        <v/>
      </c>
      <c r="P381" s="60">
        <f>IF(J381=0,"",IF(G381&lt;J381*34,DATE(2026,10,15)+G381/J381,IF(G381&lt;N381,DATE(2026,11,18)+(G381-J381*34)/(J381*L381),"after Nov 30")))</f>
        <v/>
      </c>
      <c r="Q381" s="60">
        <f>IF(J381=0,"",IF(G381+H381&lt;J381*34,DATE(2026,10,15)+(G381+H381)/J381,IF(G381+H381&lt;N381,DATE(2026,11,18)+(G381+H381-J381*34)/(J381*L381),"after Nov 30")))</f>
        <v/>
      </c>
      <c r="R381" s="54">
        <f>IF(AND(G381&lt;=0,J381&gt;0),"Out of stock now",IF(G381&gt;=N381,"Covered to Nov 30",IF(G381+H381&gt;=N381,"Needs inbound in time","Short even with inbound")))</f>
        <v/>
      </c>
      <c r="S381" s="57" t="n">
        <v>0.5</v>
      </c>
      <c r="T381" s="59">
        <f>IF(S381="","",S381*34+S381*L381*12)</f>
        <v/>
      </c>
    </row>
    <row r="382">
      <c r="A382" s="54" t="inlineStr">
        <is>
          <t>US DC Bamboo Fitted</t>
        </is>
      </c>
      <c r="B382" s="54" t="inlineStr">
        <is>
          <t>US</t>
        </is>
      </c>
      <c r="C382" s="54" t="inlineStr">
        <is>
          <t>B0FX2RYKT9</t>
        </is>
      </c>
      <c r="D382" s="54" t="inlineStr">
        <is>
          <t>DC-BAMBOO-FITTED-QUEEN-MID-GREY-1PC</t>
        </is>
      </c>
      <c r="E382" s="54" t="inlineStr">
        <is>
          <t>Queen</t>
        </is>
      </c>
      <c r="F382" s="54" t="inlineStr">
        <is>
          <t>Mid Grey</t>
        </is>
      </c>
      <c r="G382" s="55" t="n">
        <v>23</v>
      </c>
      <c r="H382" s="55" t="n">
        <v>0</v>
      </c>
      <c r="I382" s="56" t="n"/>
      <c r="J382" s="57" t="n">
        <v>0.46</v>
      </c>
      <c r="K382" s="56" t="inlineStr">
        <is>
          <t>account data velocity</t>
        </is>
      </c>
      <c r="L382" s="58" t="n">
        <v>2.7396</v>
      </c>
      <c r="M382" s="56" t="inlineStr">
        <is>
          <t>ASSUMED: account BFCM 2025 lift (US); product's own 2025 lift not available</t>
        </is>
      </c>
      <c r="N382" s="59">
        <f>J382*34+J382*L382*12</f>
        <v/>
      </c>
      <c r="O382" s="59">
        <f>MAX(0,N382-G382-H382)</f>
        <v/>
      </c>
      <c r="P382" s="60">
        <f>IF(J382=0,"",IF(G382&lt;J382*34,DATE(2026,10,15)+G382/J382,IF(G382&lt;N382,DATE(2026,11,18)+(G382-J382*34)/(J382*L382),"after Nov 30")))</f>
        <v/>
      </c>
      <c r="Q382" s="60">
        <f>IF(J382=0,"",IF(G382+H382&lt;J382*34,DATE(2026,10,15)+(G382+H382)/J382,IF(G382+H382&lt;N382,DATE(2026,11,18)+(G382+H382-J382*34)/(J382*L382),"after Nov 30")))</f>
        <v/>
      </c>
      <c r="R382" s="54">
        <f>IF(AND(G382&lt;=0,J382&gt;0),"Out of stock now",IF(G382&gt;=N382,"Covered to Nov 30",IF(G382+H382&gt;=N382,"Needs inbound in time","Short even with inbound")))</f>
        <v/>
      </c>
      <c r="S382" s="57" t="n">
        <v>0.143</v>
      </c>
      <c r="T382" s="59">
        <f>IF(S382="","",S382*34+S382*L382*12)</f>
        <v/>
      </c>
    </row>
    <row r="383">
      <c r="A383" s="54" t="inlineStr">
        <is>
          <t>US DC Bamboo Fitted</t>
        </is>
      </c>
      <c r="B383" s="54" t="inlineStr">
        <is>
          <t>US</t>
        </is>
      </c>
      <c r="C383" s="54" t="inlineStr">
        <is>
          <t>B0FX2RXZNM</t>
        </is>
      </c>
      <c r="D383" s="54" t="inlineStr">
        <is>
          <t>DC-BAMBOO-FITTED-KING-LIGHT-BLUE-1PC</t>
        </is>
      </c>
      <c r="E383" s="54" t="inlineStr">
        <is>
          <t>King</t>
        </is>
      </c>
      <c r="F383" s="54" t="inlineStr">
        <is>
          <t>Light Blue</t>
        </is>
      </c>
      <c r="G383" s="55" t="n">
        <v>128</v>
      </c>
      <c r="H383" s="55" t="n">
        <v>0</v>
      </c>
      <c r="I383" s="56" t="n"/>
      <c r="J383" s="57" t="n">
        <v>0.45</v>
      </c>
      <c r="K383" s="56" t="inlineStr">
        <is>
          <t>account data velocity</t>
        </is>
      </c>
      <c r="L383" s="58" t="n">
        <v>2.7396</v>
      </c>
      <c r="M383" s="56" t="inlineStr">
        <is>
          <t>ASSUMED: account BFCM 2025 lift (US); product's own 2025 lift not available</t>
        </is>
      </c>
      <c r="N383" s="59">
        <f>J383*34+J383*L383*12</f>
        <v/>
      </c>
      <c r="O383" s="59">
        <f>MAX(0,N383-G383-H383)</f>
        <v/>
      </c>
      <c r="P383" s="60">
        <f>IF(J383=0,"",IF(G383&lt;J383*34,DATE(2026,10,15)+G383/J383,IF(G383&lt;N383,DATE(2026,11,18)+(G383-J383*34)/(J383*L383),"after Nov 30")))</f>
        <v/>
      </c>
      <c r="Q383" s="60">
        <f>IF(J383=0,"",IF(G383+H383&lt;J383*34,DATE(2026,10,15)+(G383+H383)/J383,IF(G383+H383&lt;N383,DATE(2026,11,18)+(G383+H383-J383*34)/(J383*L383),"after Nov 30")))</f>
        <v/>
      </c>
      <c r="R383" s="54">
        <f>IF(AND(G383&lt;=0,J383&gt;0),"Out of stock now",IF(G383&gt;=N383,"Covered to Nov 30",IF(G383+H383&gt;=N383,"Needs inbound in time","Short even with inbound")))</f>
        <v/>
      </c>
      <c r="S383" s="57" t="n">
        <v>0.07099999999999999</v>
      </c>
      <c r="T383" s="59">
        <f>IF(S383="","",S383*34+S383*L383*12)</f>
        <v/>
      </c>
    </row>
    <row r="384">
      <c r="A384" s="54" t="inlineStr">
        <is>
          <t>US DC Bamboo Fitted</t>
        </is>
      </c>
      <c r="B384" s="54" t="inlineStr">
        <is>
          <t>US</t>
        </is>
      </c>
      <c r="C384" s="54" t="inlineStr">
        <is>
          <t>B0FX2V6R29</t>
        </is>
      </c>
      <c r="D384" s="54" t="inlineStr">
        <is>
          <t>DC-BAMBOO-FITTED-QUEEN-CREME-1PC</t>
        </is>
      </c>
      <c r="E384" s="54" t="inlineStr">
        <is>
          <t>Queen</t>
        </is>
      </c>
      <c r="F384" s="54" t="inlineStr">
        <is>
          <t>Creme</t>
        </is>
      </c>
      <c r="G384" s="55" t="n">
        <v>116</v>
      </c>
      <c r="H384" s="55" t="n">
        <v>0</v>
      </c>
      <c r="I384" s="56" t="n"/>
      <c r="J384" s="57" t="n">
        <v>0.43</v>
      </c>
      <c r="K384" s="56" t="inlineStr">
        <is>
          <t>account data velocity</t>
        </is>
      </c>
      <c r="L384" s="58" t="n">
        <v>2.7396</v>
      </c>
      <c r="M384" s="56" t="inlineStr">
        <is>
          <t>ASSUMED: account BFCM 2025 lift (US); product's own 2025 lift not available</t>
        </is>
      </c>
      <c r="N384" s="59">
        <f>J384*34+J384*L384*12</f>
        <v/>
      </c>
      <c r="O384" s="59">
        <f>MAX(0,N384-G384-H384)</f>
        <v/>
      </c>
      <c r="P384" s="60">
        <f>IF(J384=0,"",IF(G384&lt;J384*34,DATE(2026,10,15)+G384/J384,IF(G384&lt;N384,DATE(2026,11,18)+(G384-J384*34)/(J384*L384),"after Nov 30")))</f>
        <v/>
      </c>
      <c r="Q384" s="60">
        <f>IF(J384=0,"",IF(G384+H384&lt;J384*34,DATE(2026,10,15)+(G384+H384)/J384,IF(G384+H384&lt;N384,DATE(2026,11,18)+(G384+H384-J384*34)/(J384*L384),"after Nov 30")))</f>
        <v/>
      </c>
      <c r="R384" s="54">
        <f>IF(AND(G384&lt;=0,J384&gt;0),"Out of stock now",IF(G384&gt;=N384,"Covered to Nov 30",IF(G384+H384&gt;=N384,"Needs inbound in time","Short even with inbound")))</f>
        <v/>
      </c>
      <c r="S384" s="57" t="n">
        <v>0</v>
      </c>
      <c r="T384" s="59">
        <f>IF(S384="","",S384*34+S384*L384*12)</f>
        <v/>
      </c>
    </row>
    <row r="385">
      <c r="A385" s="54" t="inlineStr">
        <is>
          <t>US DC Bamboo Fitted</t>
        </is>
      </c>
      <c r="B385" s="54" t="inlineStr">
        <is>
          <t>US</t>
        </is>
      </c>
      <c r="C385" s="54" t="inlineStr">
        <is>
          <t>B0FX2SM97Y</t>
        </is>
      </c>
      <c r="D385" s="54" t="inlineStr">
        <is>
          <t>DC-BAMBOO-FITTED-KING-OLIVE-1PC</t>
        </is>
      </c>
      <c r="E385" s="54" t="inlineStr">
        <is>
          <t>King</t>
        </is>
      </c>
      <c r="F385" s="54" t="inlineStr">
        <is>
          <t>Olive</t>
        </is>
      </c>
      <c r="G385" s="55" t="n">
        <v>54</v>
      </c>
      <c r="H385" s="55" t="n">
        <v>0</v>
      </c>
      <c r="I385" s="56" t="n"/>
      <c r="J385" s="57" t="n">
        <v>0.31</v>
      </c>
      <c r="K385" s="56" t="inlineStr">
        <is>
          <t>account data velocity</t>
        </is>
      </c>
      <c r="L385" s="58" t="n">
        <v>2.7396</v>
      </c>
      <c r="M385" s="56" t="inlineStr">
        <is>
          <t>ASSUMED: account BFCM 2025 lift (US); product's own 2025 lift not available</t>
        </is>
      </c>
      <c r="N385" s="59">
        <f>J385*34+J385*L385*12</f>
        <v/>
      </c>
      <c r="O385" s="59">
        <f>MAX(0,N385-G385-H385)</f>
        <v/>
      </c>
      <c r="P385" s="60">
        <f>IF(J385=0,"",IF(G385&lt;J385*34,DATE(2026,10,15)+G385/J385,IF(G385&lt;N385,DATE(2026,11,18)+(G385-J385*34)/(J385*L385),"after Nov 30")))</f>
        <v/>
      </c>
      <c r="Q385" s="60">
        <f>IF(J385=0,"",IF(G385+H385&lt;J385*34,DATE(2026,10,15)+(G385+H385)/J385,IF(G385+H385&lt;N385,DATE(2026,11,18)+(G385+H385-J385*34)/(J385*L385),"after Nov 30")))</f>
        <v/>
      </c>
      <c r="R385" s="54">
        <f>IF(AND(G385&lt;=0,J385&gt;0),"Out of stock now",IF(G385&gt;=N385,"Covered to Nov 30",IF(G385+H385&gt;=N385,"Needs inbound in time","Short even with inbound")))</f>
        <v/>
      </c>
      <c r="S385" s="57" t="n">
        <v>0.143</v>
      </c>
      <c r="T385" s="59">
        <f>IF(S385="","",S385*34+S385*L385*12)</f>
        <v/>
      </c>
    </row>
    <row r="386">
      <c r="A386" s="54" t="inlineStr">
        <is>
          <t>US DC Bamboo Fitted</t>
        </is>
      </c>
      <c r="B386" s="54" t="inlineStr">
        <is>
          <t>US</t>
        </is>
      </c>
      <c r="C386" s="54" t="inlineStr">
        <is>
          <t>B0FX2SR8VT</t>
        </is>
      </c>
      <c r="D386" s="54" t="inlineStr">
        <is>
          <t>DC-BAMBOO-FITTED-QUEEN-WHITE-1PC</t>
        </is>
      </c>
      <c r="E386" s="54" t="inlineStr">
        <is>
          <t>Queen</t>
        </is>
      </c>
      <c r="F386" s="54" t="inlineStr">
        <is>
          <t>White</t>
        </is>
      </c>
      <c r="G386" s="55" t="n">
        <v>112</v>
      </c>
      <c r="H386" s="55" t="n">
        <v>0</v>
      </c>
      <c r="I386" s="56" t="n"/>
      <c r="J386" s="57" t="n">
        <v>0.25</v>
      </c>
      <c r="K386" s="56" t="inlineStr">
        <is>
          <t>account data velocity</t>
        </is>
      </c>
      <c r="L386" s="58" t="n">
        <v>2.7396</v>
      </c>
      <c r="M386" s="56" t="inlineStr">
        <is>
          <t>ASSUMED: account BFCM 2025 lift (US); product's own 2025 lift not available</t>
        </is>
      </c>
      <c r="N386" s="59">
        <f>J386*34+J386*L386*12</f>
        <v/>
      </c>
      <c r="O386" s="59">
        <f>MAX(0,N386-G386-H386)</f>
        <v/>
      </c>
      <c r="P386" s="60">
        <f>IF(J386=0,"",IF(G386&lt;J386*34,DATE(2026,10,15)+G386/J386,IF(G386&lt;N386,DATE(2026,11,18)+(G386-J386*34)/(J386*L386),"after Nov 30")))</f>
        <v/>
      </c>
      <c r="Q386" s="60">
        <f>IF(J386=0,"",IF(G386+H386&lt;J386*34,DATE(2026,10,15)+(G386+H386)/J386,IF(G386+H386&lt;N386,DATE(2026,11,18)+(G386+H386-J386*34)/(J386*L386),"after Nov 30")))</f>
        <v/>
      </c>
      <c r="R386" s="54">
        <f>IF(AND(G386&lt;=0,J386&gt;0),"Out of stock now",IF(G386&gt;=N386,"Covered to Nov 30",IF(G386+H386&gt;=N386,"Needs inbound in time","Short even with inbound")))</f>
        <v/>
      </c>
      <c r="S386" s="57" t="n">
        <v>0.143</v>
      </c>
      <c r="T386" s="59">
        <f>IF(S386="","",S386*34+S386*L386*12)</f>
        <v/>
      </c>
    </row>
    <row r="387">
      <c r="A387" s="54" t="inlineStr">
        <is>
          <t>US DC Bamboo Fitted</t>
        </is>
      </c>
      <c r="B387" s="54" t="inlineStr">
        <is>
          <t>US</t>
        </is>
      </c>
      <c r="C387" s="54" t="inlineStr">
        <is>
          <t>B0FX2RGLBW</t>
        </is>
      </c>
      <c r="D387" s="54" t="inlineStr">
        <is>
          <t>DC-BAMBOO-FITTED-KING-BURGUNDY-1PC</t>
        </is>
      </c>
      <c r="E387" s="54" t="inlineStr">
        <is>
          <t>King</t>
        </is>
      </c>
      <c r="F387" s="54" t="inlineStr">
        <is>
          <t>Burgundy</t>
        </is>
      </c>
      <c r="G387" s="55" t="n">
        <v>23</v>
      </c>
      <c r="H387" s="55" t="n">
        <v>0</v>
      </c>
      <c r="I387" s="56" t="n"/>
      <c r="J387" s="57" t="n">
        <v>0.17</v>
      </c>
      <c r="K387" s="56" t="inlineStr">
        <is>
          <t>account data velocity</t>
        </is>
      </c>
      <c r="L387" s="58" t="n">
        <v>2.7396</v>
      </c>
      <c r="M387" s="56" t="inlineStr">
        <is>
          <t>ASSUMED: account BFCM 2025 lift (US); product's own 2025 lift not available</t>
        </is>
      </c>
      <c r="N387" s="59">
        <f>J387*34+J387*L387*12</f>
        <v/>
      </c>
      <c r="O387" s="59">
        <f>MAX(0,N387-G387-H387)</f>
        <v/>
      </c>
      <c r="P387" s="60">
        <f>IF(J387=0,"",IF(G387&lt;J387*34,DATE(2026,10,15)+G387/J387,IF(G387&lt;N387,DATE(2026,11,18)+(G387-J387*34)/(J387*L387),"after Nov 30")))</f>
        <v/>
      </c>
      <c r="Q387" s="60">
        <f>IF(J387=0,"",IF(G387+H387&lt;J387*34,DATE(2026,10,15)+(G387+H387)/J387,IF(G387+H387&lt;N387,DATE(2026,11,18)+(G387+H387-J387*34)/(J387*L387),"after Nov 30")))</f>
        <v/>
      </c>
      <c r="R387" s="54">
        <f>IF(AND(G387&lt;=0,J387&gt;0),"Out of stock now",IF(G387&gt;=N387,"Covered to Nov 30",IF(G387+H387&gt;=N387,"Needs inbound in time","Short even with inbound")))</f>
        <v/>
      </c>
      <c r="S387" s="57" t="n">
        <v>0.357</v>
      </c>
      <c r="T387" s="59">
        <f>IF(S387="","",S387*34+S387*L387*12)</f>
        <v/>
      </c>
    </row>
    <row r="388">
      <c r="A388" s="54" t="inlineStr">
        <is>
          <t>US DC Bamboo Fitted</t>
        </is>
      </c>
      <c r="B388" s="54" t="inlineStr">
        <is>
          <t>US</t>
        </is>
      </c>
      <c r="C388" s="54" t="inlineStr">
        <is>
          <t>B0FX2SCLCN</t>
        </is>
      </c>
      <c r="D388" s="54" t="inlineStr">
        <is>
          <t>DC-BAMBOO-FITTED-QUEEN-OLIVE-1PC</t>
        </is>
      </c>
      <c r="E388" s="54" t="inlineStr">
        <is>
          <t>Queen</t>
        </is>
      </c>
      <c r="F388" s="54" t="inlineStr">
        <is>
          <t>Olive</t>
        </is>
      </c>
      <c r="G388" s="55" t="n">
        <v>52</v>
      </c>
      <c r="H388" s="55" t="n">
        <v>0</v>
      </c>
      <c r="I388" s="56" t="n"/>
      <c r="J388" s="57" t="n">
        <v>0.15</v>
      </c>
      <c r="K388" s="56" t="inlineStr">
        <is>
          <t>account data velocity</t>
        </is>
      </c>
      <c r="L388" s="58" t="n">
        <v>2.7396</v>
      </c>
      <c r="M388" s="56" t="inlineStr">
        <is>
          <t>ASSUMED: account BFCM 2025 lift (US); product's own 2025 lift not available</t>
        </is>
      </c>
      <c r="N388" s="59">
        <f>J388*34+J388*L388*12</f>
        <v/>
      </c>
      <c r="O388" s="59">
        <f>MAX(0,N388-G388-H388)</f>
        <v/>
      </c>
      <c r="P388" s="60">
        <f>IF(J388=0,"",IF(G388&lt;J388*34,DATE(2026,10,15)+G388/J388,IF(G388&lt;N388,DATE(2026,11,18)+(G388-J388*34)/(J388*L388),"after Nov 30")))</f>
        <v/>
      </c>
      <c r="Q388" s="60">
        <f>IF(J388=0,"",IF(G388+H388&lt;J388*34,DATE(2026,10,15)+(G388+H388)/J388,IF(G388+H388&lt;N388,DATE(2026,11,18)+(G388+H388-J388*34)/(J388*L388),"after Nov 30")))</f>
        <v/>
      </c>
      <c r="R388" s="54">
        <f>IF(AND(G388&lt;=0,J388&gt;0),"Out of stock now",IF(G388&gt;=N388,"Covered to Nov 30",IF(G388+H388&gt;=N388,"Needs inbound in time","Short even with inbound")))</f>
        <v/>
      </c>
      <c r="S388" s="57" t="n">
        <v>0.214</v>
      </c>
      <c r="T388" s="59">
        <f>IF(S388="","",S388*34+S388*L388*12)</f>
        <v/>
      </c>
    </row>
    <row r="389">
      <c r="A389" s="54" t="inlineStr">
        <is>
          <t>US DC Bamboo Fitted</t>
        </is>
      </c>
      <c r="B389" s="54" t="inlineStr">
        <is>
          <t>US</t>
        </is>
      </c>
      <c r="C389" s="54" t="inlineStr">
        <is>
          <t>B0FX2SBXKH</t>
        </is>
      </c>
      <c r="D389" s="54" t="inlineStr">
        <is>
          <t>DC-BAMBOO-FITTED-KING-NAVY-BLUE-1PC</t>
        </is>
      </c>
      <c r="E389" s="54" t="inlineStr">
        <is>
          <t>King</t>
        </is>
      </c>
      <c r="F389" s="54" t="inlineStr">
        <is>
          <t>Navy-Blue</t>
        </is>
      </c>
      <c r="G389" s="55" t="n">
        <v>21</v>
      </c>
      <c r="H389" s="55" t="n">
        <v>0</v>
      </c>
      <c r="I389" s="56" t="n"/>
      <c r="J389" s="57" t="n">
        <v>0.12</v>
      </c>
      <c r="K389" s="56" t="inlineStr">
        <is>
          <t>account data velocity</t>
        </is>
      </c>
      <c r="L389" s="58" t="n">
        <v>2.7396</v>
      </c>
      <c r="M389" s="56" t="inlineStr">
        <is>
          <t>ASSUMED: account BFCM 2025 lift (US); product's own 2025 lift not available</t>
        </is>
      </c>
      <c r="N389" s="59">
        <f>J389*34+J389*L389*12</f>
        <v/>
      </c>
      <c r="O389" s="59">
        <f>MAX(0,N389-G389-H389)</f>
        <v/>
      </c>
      <c r="P389" s="60">
        <f>IF(J389=0,"",IF(G389&lt;J389*34,DATE(2026,10,15)+G389/J389,IF(G389&lt;N389,DATE(2026,11,18)+(G389-J389*34)/(J389*L389),"after Nov 30")))</f>
        <v/>
      </c>
      <c r="Q389" s="60">
        <f>IF(J389=0,"",IF(G389+H389&lt;J389*34,DATE(2026,10,15)+(G389+H389)/J389,IF(G389+H389&lt;N389,DATE(2026,11,18)+(G389+H389-J389*34)/(J389*L389),"after Nov 30")))</f>
        <v/>
      </c>
      <c r="R389" s="54">
        <f>IF(AND(G389&lt;=0,J389&gt;0),"Out of stock now",IF(G389&gt;=N389,"Covered to Nov 30",IF(G389+H389&gt;=N389,"Needs inbound in time","Short even with inbound")))</f>
        <v/>
      </c>
      <c r="S389" s="57" t="n">
        <v>0.143</v>
      </c>
      <c r="T389" s="59">
        <f>IF(S389="","",S389*34+S389*L389*12)</f>
        <v/>
      </c>
    </row>
    <row r="390">
      <c r="A390" s="54" t="inlineStr">
        <is>
          <t>US DC Bamboo Fitted</t>
        </is>
      </c>
      <c r="B390" s="54" t="inlineStr">
        <is>
          <t>US</t>
        </is>
      </c>
      <c r="C390" s="54" t="inlineStr">
        <is>
          <t>B0FX2VX6HN</t>
        </is>
      </c>
      <c r="D390" s="54" t="inlineStr">
        <is>
          <t>DC-BAMBOO-FITTED-KING-WHITE-1PC</t>
        </is>
      </c>
      <c r="E390" s="54" t="inlineStr">
        <is>
          <t>King</t>
        </is>
      </c>
      <c r="F390" s="54" t="inlineStr">
        <is>
          <t>White</t>
        </is>
      </c>
      <c r="G390" s="55" t="n">
        <v>0</v>
      </c>
      <c r="H390" s="55" t="n">
        <v>0</v>
      </c>
      <c r="I390" s="56" t="n"/>
      <c r="J390" s="57" t="n">
        <v>0.12</v>
      </c>
      <c r="K390" s="56" t="inlineStr">
        <is>
          <t>account data velocity</t>
        </is>
      </c>
      <c r="L390" s="58" t="n">
        <v>2.7396</v>
      </c>
      <c r="M390" s="56" t="inlineStr">
        <is>
          <t>ASSUMED: account BFCM 2025 lift (US); product's own 2025 lift not available</t>
        </is>
      </c>
      <c r="N390" s="59">
        <f>J390*34+J390*L390*12</f>
        <v/>
      </c>
      <c r="O390" s="59">
        <f>MAX(0,N390-G390-H390)</f>
        <v/>
      </c>
      <c r="P390" s="60">
        <f>IF(J390=0,"",IF(G390&lt;J390*34,DATE(2026,10,15)+G390/J390,IF(G390&lt;N390,DATE(2026,11,18)+(G390-J390*34)/(J390*L390),"after Nov 30")))</f>
        <v/>
      </c>
      <c r="Q390" s="60">
        <f>IF(J390=0,"",IF(G390+H390&lt;J390*34,DATE(2026,10,15)+(G390+H390)/J390,IF(G390+H390&lt;N390,DATE(2026,11,18)+(G390+H390-J390*34)/(J390*L390),"after Nov 30")))</f>
        <v/>
      </c>
      <c r="R390" s="54">
        <f>IF(AND(G390&lt;=0,J390&gt;0),"Out of stock now",IF(G390&gt;=N390,"Covered to Nov 30",IF(G390+H390&gt;=N390,"Needs inbound in time","Short even with inbound")))</f>
        <v/>
      </c>
      <c r="S390" s="57" t="n">
        <v>0.107</v>
      </c>
      <c r="T390" s="59">
        <f>IF(S390="","",S390*34+S390*L390*12)</f>
        <v/>
      </c>
    </row>
    <row r="391">
      <c r="A391" s="54" t="inlineStr">
        <is>
          <t>US DC Bamboo Fitted</t>
        </is>
      </c>
      <c r="B391" s="54" t="inlineStr">
        <is>
          <t>US</t>
        </is>
      </c>
      <c r="C391" s="54" t="inlineStr">
        <is>
          <t>B0FX2SK7TX</t>
        </is>
      </c>
      <c r="D391" s="54" t="inlineStr">
        <is>
          <t>DC-BAMBOO-FITTED-KING-LIGHT-GREY-1PC</t>
        </is>
      </c>
      <c r="E391" s="54" t="inlineStr">
        <is>
          <t>King</t>
        </is>
      </c>
      <c r="F391" s="54" t="inlineStr">
        <is>
          <t>Light Grey</t>
        </is>
      </c>
      <c r="G391" s="55" t="n">
        <v>86</v>
      </c>
      <c r="H391" s="55" t="n">
        <v>0</v>
      </c>
      <c r="I391" s="56" t="n"/>
      <c r="J391" s="57" t="n">
        <v>0.09</v>
      </c>
      <c r="K391" s="56" t="inlineStr">
        <is>
          <t>account data velocity</t>
        </is>
      </c>
      <c r="L391" s="58" t="n">
        <v>2.7396</v>
      </c>
      <c r="M391" s="56" t="inlineStr">
        <is>
          <t>ASSUMED: account BFCM 2025 lift (US); product's own 2025 lift not available</t>
        </is>
      </c>
      <c r="N391" s="59">
        <f>J391*34+J391*L391*12</f>
        <v/>
      </c>
      <c r="O391" s="59">
        <f>MAX(0,N391-G391-H391)</f>
        <v/>
      </c>
      <c r="P391" s="60">
        <f>IF(J391=0,"",IF(G391&lt;J391*34,DATE(2026,10,15)+G391/J391,IF(G391&lt;N391,DATE(2026,11,18)+(G391-J391*34)/(J391*L391),"after Nov 30")))</f>
        <v/>
      </c>
      <c r="Q391" s="60">
        <f>IF(J391=0,"",IF(G391+H391&lt;J391*34,DATE(2026,10,15)+(G391+H391)/J391,IF(G391+H391&lt;N391,DATE(2026,11,18)+(G391+H391-J391*34)/(J391*L391),"after Nov 30")))</f>
        <v/>
      </c>
      <c r="R391" s="54">
        <f>IF(AND(G391&lt;=0,J391&gt;0),"Out of stock now",IF(G391&gt;=N391,"Covered to Nov 30",IF(G391+H391&gt;=N391,"Needs inbound in time","Short even with inbound")))</f>
        <v/>
      </c>
      <c r="S391" s="57" t="n">
        <v>0.179</v>
      </c>
      <c r="T391" s="59">
        <f>IF(S391="","",S391*34+S391*L391*12)</f>
        <v/>
      </c>
    </row>
    <row r="392">
      <c r="A392" s="54" t="inlineStr">
        <is>
          <t>US DC Bamboo Fitted</t>
        </is>
      </c>
      <c r="B392" s="54" t="inlineStr">
        <is>
          <t>US</t>
        </is>
      </c>
      <c r="C392" s="54" t="inlineStr">
        <is>
          <t>B0FX2Q7R6W</t>
        </is>
      </c>
      <c r="D392" s="54" t="inlineStr">
        <is>
          <t>DC-BAMBOO-FITTED-QUEEN-NAVY-BLUE-1PC</t>
        </is>
      </c>
      <c r="E392" s="54" t="inlineStr">
        <is>
          <t>Queen</t>
        </is>
      </c>
      <c r="F392" s="54" t="inlineStr">
        <is>
          <t>Navy-Blue</t>
        </is>
      </c>
      <c r="G392" s="55" t="n">
        <v>29</v>
      </c>
      <c r="H392" s="55" t="n">
        <v>0</v>
      </c>
      <c r="I392" s="56" t="n"/>
      <c r="J392" s="57" t="n">
        <v>0.08</v>
      </c>
      <c r="K392" s="56" t="inlineStr">
        <is>
          <t>account data velocity</t>
        </is>
      </c>
      <c r="L392" s="58" t="n">
        <v>2.7396</v>
      </c>
      <c r="M392" s="56" t="inlineStr">
        <is>
          <t>ASSUMED: account BFCM 2025 lift (US); product's own 2025 lift not available</t>
        </is>
      </c>
      <c r="N392" s="59">
        <f>J392*34+J392*L392*12</f>
        <v/>
      </c>
      <c r="O392" s="59">
        <f>MAX(0,N392-G392-H392)</f>
        <v/>
      </c>
      <c r="P392" s="60">
        <f>IF(J392=0,"",IF(G392&lt;J392*34,DATE(2026,10,15)+G392/J392,IF(G392&lt;N392,DATE(2026,11,18)+(G392-J392*34)/(J392*L392),"after Nov 30")))</f>
        <v/>
      </c>
      <c r="Q392" s="60">
        <f>IF(J392=0,"",IF(G392+H392&lt;J392*34,DATE(2026,10,15)+(G392+H392)/J392,IF(G392+H392&lt;N392,DATE(2026,11,18)+(G392+H392-J392*34)/(J392*L392),"after Nov 30")))</f>
        <v/>
      </c>
      <c r="R392" s="54">
        <f>IF(AND(G392&lt;=0,J392&gt;0),"Out of stock now",IF(G392&gt;=N392,"Covered to Nov 30",IF(G392+H392&gt;=N392,"Needs inbound in time","Short even with inbound")))</f>
        <v/>
      </c>
      <c r="S392" s="57" t="n">
        <v>0.07099999999999999</v>
      </c>
      <c r="T392" s="59">
        <f>IF(S392="","",S392*34+S392*L392*12)</f>
        <v/>
      </c>
    </row>
    <row r="393">
      <c r="A393" s="54" t="inlineStr">
        <is>
          <t>US DC Bamboo Fitted</t>
        </is>
      </c>
      <c r="B393" s="54" t="inlineStr">
        <is>
          <t>US</t>
        </is>
      </c>
      <c r="C393" s="54" t="inlineStr">
        <is>
          <t>B0FX2SDSYH</t>
        </is>
      </c>
      <c r="D393" s="54" t="inlineStr">
        <is>
          <t>DC-BAMBOO-FITTED-KING-CREME-1PC</t>
        </is>
      </c>
      <c r="E393" s="54" t="inlineStr">
        <is>
          <t>King</t>
        </is>
      </c>
      <c r="F393" s="54" t="inlineStr">
        <is>
          <t>Creme</t>
        </is>
      </c>
      <c r="G393" s="55" t="n">
        <v>111</v>
      </c>
      <c r="H393" s="55" t="n">
        <v>0</v>
      </c>
      <c r="I393" s="56" t="n"/>
      <c r="J393" s="57" t="n">
        <v>0.07000000000000001</v>
      </c>
      <c r="K393" s="56" t="inlineStr">
        <is>
          <t>account data velocity</t>
        </is>
      </c>
      <c r="L393" s="58" t="n">
        <v>2.7396</v>
      </c>
      <c r="M393" s="56" t="inlineStr">
        <is>
          <t>ASSUMED: account BFCM 2025 lift (US); product's own 2025 lift not available</t>
        </is>
      </c>
      <c r="N393" s="59">
        <f>J393*34+J393*L393*12</f>
        <v/>
      </c>
      <c r="O393" s="59">
        <f>MAX(0,N393-G393-H393)</f>
        <v/>
      </c>
      <c r="P393" s="60">
        <f>IF(J393=0,"",IF(G393&lt;J393*34,DATE(2026,10,15)+G393/J393,IF(G393&lt;N393,DATE(2026,11,18)+(G393-J393*34)/(J393*L393),"after Nov 30")))</f>
        <v/>
      </c>
      <c r="Q393" s="60">
        <f>IF(J393=0,"",IF(G393+H393&lt;J393*34,DATE(2026,10,15)+(G393+H393)/J393,IF(G393+H393&lt;N393,DATE(2026,11,18)+(G393+H393-J393*34)/(J393*L393),"after Nov 30")))</f>
        <v/>
      </c>
      <c r="R393" s="54">
        <f>IF(AND(G393&lt;=0,J393&gt;0),"Out of stock now",IF(G393&gt;=N393,"Covered to Nov 30",IF(G393+H393&gt;=N393,"Needs inbound in time","Short even with inbound")))</f>
        <v/>
      </c>
      <c r="S393" s="57" t="n">
        <v>0.321</v>
      </c>
      <c r="T393" s="59">
        <f>IF(S393="","",S393*34+S393*L393*12)</f>
        <v/>
      </c>
    </row>
    <row r="394">
      <c r="A394" s="54" t="inlineStr">
        <is>
          <t>US DC Bamboo Fitted</t>
        </is>
      </c>
      <c r="B394" s="54" t="inlineStr">
        <is>
          <t>US</t>
        </is>
      </c>
      <c r="C394" s="54" t="inlineStr">
        <is>
          <t>B0FX2TFQL3</t>
        </is>
      </c>
      <c r="D394" s="54" t="inlineStr">
        <is>
          <t>DC-BAMBOO-FITTED-QUEEN-TAUPE-1PC</t>
        </is>
      </c>
      <c r="E394" s="54" t="inlineStr">
        <is>
          <t>Queen</t>
        </is>
      </c>
      <c r="F394" s="54" t="inlineStr">
        <is>
          <t>Taupe</t>
        </is>
      </c>
      <c r="G394" s="55" t="n">
        <v>85</v>
      </c>
      <c r="H394" s="55" t="n">
        <v>0</v>
      </c>
      <c r="I394" s="56" t="n"/>
      <c r="J394" s="57" t="n">
        <v>0.05</v>
      </c>
      <c r="K394" s="56" t="inlineStr">
        <is>
          <t>account data velocity</t>
        </is>
      </c>
      <c r="L394" s="58" t="n">
        <v>2.7396</v>
      </c>
      <c r="M394" s="56" t="inlineStr">
        <is>
          <t>ASSUMED: account BFCM 2025 lift (US); product's own 2025 lift not available</t>
        </is>
      </c>
      <c r="N394" s="59">
        <f>J394*34+J394*L394*12</f>
        <v/>
      </c>
      <c r="O394" s="59">
        <f>MAX(0,N394-G394-H394)</f>
        <v/>
      </c>
      <c r="P394" s="60">
        <f>IF(J394=0,"",IF(G394&lt;J394*34,DATE(2026,10,15)+G394/J394,IF(G394&lt;N394,DATE(2026,11,18)+(G394-J394*34)/(J394*L394),"after Nov 30")))</f>
        <v/>
      </c>
      <c r="Q394" s="60">
        <f>IF(J394=0,"",IF(G394+H394&lt;J394*34,DATE(2026,10,15)+(G394+H394)/J394,IF(G394+H394&lt;N394,DATE(2026,11,18)+(G394+H394-J394*34)/(J394*L394),"after Nov 30")))</f>
        <v/>
      </c>
      <c r="R394" s="54">
        <f>IF(AND(G394&lt;=0,J394&gt;0),"Out of stock now",IF(G394&gt;=N394,"Covered to Nov 30",IF(G394+H394&gt;=N394,"Needs inbound in time","Short even with inbound")))</f>
        <v/>
      </c>
      <c r="S394" s="57" t="n">
        <v>0.179</v>
      </c>
      <c r="T394" s="59">
        <f>IF(S394="","",S394*34+S394*L394*12)</f>
        <v/>
      </c>
    </row>
    <row r="395">
      <c r="A395" s="54" t="inlineStr">
        <is>
          <t>US DC Bamboo Fitted</t>
        </is>
      </c>
      <c r="B395" s="54" t="inlineStr">
        <is>
          <t>US</t>
        </is>
      </c>
      <c r="C395" s="54" t="inlineStr">
        <is>
          <t>B0FX2Q6HDW</t>
        </is>
      </c>
      <c r="D395" s="54" t="inlineStr">
        <is>
          <t>DC-BAMBOO-FITTED-KING-MID-GREY-1PC</t>
        </is>
      </c>
      <c r="E395" s="54" t="inlineStr">
        <is>
          <t>King</t>
        </is>
      </c>
      <c r="F395" s="54" t="inlineStr">
        <is>
          <t>Mid Grey</t>
        </is>
      </c>
      <c r="G395" s="55" t="n">
        <v>1</v>
      </c>
      <c r="H395" s="55" t="n">
        <v>0</v>
      </c>
      <c r="I395" s="56" t="n"/>
      <c r="J395" s="57" t="n">
        <v>0.04</v>
      </c>
      <c r="K395" s="56" t="inlineStr">
        <is>
          <t>account data velocity</t>
        </is>
      </c>
      <c r="L395" s="58" t="n">
        <v>2.7396</v>
      </c>
      <c r="M395" s="56" t="inlineStr">
        <is>
          <t>ASSUMED: account BFCM 2025 lift (US); product's own 2025 lift not available</t>
        </is>
      </c>
      <c r="N395" s="59">
        <f>J395*34+J395*L395*12</f>
        <v/>
      </c>
      <c r="O395" s="59">
        <f>MAX(0,N395-G395-H395)</f>
        <v/>
      </c>
      <c r="P395" s="60">
        <f>IF(J395=0,"",IF(G395&lt;J395*34,DATE(2026,10,15)+G395/J395,IF(G395&lt;N395,DATE(2026,11,18)+(G395-J395*34)/(J395*L395),"after Nov 30")))</f>
        <v/>
      </c>
      <c r="Q395" s="60">
        <f>IF(J395=0,"",IF(G395+H395&lt;J395*34,DATE(2026,10,15)+(G395+H395)/J395,IF(G395+H395&lt;N395,DATE(2026,11,18)+(G395+H395-J395*34)/(J395*L395),"after Nov 30")))</f>
        <v/>
      </c>
      <c r="R395" s="54">
        <f>IF(AND(G395&lt;=0,J395&gt;0),"Out of stock now",IF(G395&gt;=N395,"Covered to Nov 30",IF(G395+H395&gt;=N395,"Needs inbound in time","Short even with inbound")))</f>
        <v/>
      </c>
      <c r="S395" s="57" t="n">
        <v>0.107</v>
      </c>
      <c r="T395" s="59">
        <f>IF(S395="","",S395*34+S395*L395*12)</f>
        <v/>
      </c>
    </row>
    <row r="396">
      <c r="A396" s="54" t="inlineStr">
        <is>
          <t>US DC Bamboo Fitted</t>
        </is>
      </c>
      <c r="B396" s="54" t="inlineStr">
        <is>
          <t>US</t>
        </is>
      </c>
      <c r="C396" s="54" t="inlineStr">
        <is>
          <t>B0FX2TPJ2J</t>
        </is>
      </c>
      <c r="D396" s="54" t="inlineStr">
        <is>
          <t>DC-BAMBOO-FITTED-QUEEN-LIGHT-GREY-1PC</t>
        </is>
      </c>
      <c r="E396" s="54" t="inlineStr">
        <is>
          <t>Queen</t>
        </is>
      </c>
      <c r="F396" s="54" t="inlineStr">
        <is>
          <t>Light Grey</t>
        </is>
      </c>
      <c r="G396" s="55" t="n">
        <v>45</v>
      </c>
      <c r="H396" s="55" t="n">
        <v>0</v>
      </c>
      <c r="I396" s="56" t="n"/>
      <c r="J396" s="57" t="n">
        <v>0.03</v>
      </c>
      <c r="K396" s="56" t="inlineStr">
        <is>
          <t>account data velocity</t>
        </is>
      </c>
      <c r="L396" s="58" t="n">
        <v>2.7396</v>
      </c>
      <c r="M396" s="56" t="inlineStr">
        <is>
          <t>ASSUMED: account BFCM 2025 lift (US); product's own 2025 lift not available</t>
        </is>
      </c>
      <c r="N396" s="59">
        <f>J396*34+J396*L396*12</f>
        <v/>
      </c>
      <c r="O396" s="59">
        <f>MAX(0,N396-G396-H396)</f>
        <v/>
      </c>
      <c r="P396" s="60">
        <f>IF(J396=0,"",IF(G396&lt;J396*34,DATE(2026,10,15)+G396/J396,IF(G396&lt;N396,DATE(2026,11,18)+(G396-J396*34)/(J396*L396),"after Nov 30")))</f>
        <v/>
      </c>
      <c r="Q396" s="60">
        <f>IF(J396=0,"",IF(G396+H396&lt;J396*34,DATE(2026,10,15)+(G396+H396)/J396,IF(G396+H396&lt;N396,DATE(2026,11,18)+(G396+H396-J396*34)/(J396*L396),"after Nov 30")))</f>
        <v/>
      </c>
      <c r="R396" s="54">
        <f>IF(AND(G396&lt;=0,J396&gt;0),"Out of stock now",IF(G396&gt;=N396,"Covered to Nov 30",IF(G396+H396&gt;=N396,"Needs inbound in time","Short even with inbound")))</f>
        <v/>
      </c>
      <c r="S396" s="57" t="n">
        <v>0.179</v>
      </c>
      <c r="T396" s="59">
        <f>IF(S396="","",S396*34+S396*L396*12)</f>
        <v/>
      </c>
    </row>
    <row r="397">
      <c r="A397" s="54" t="inlineStr">
        <is>
          <t>US DC Bamboo Fitted</t>
        </is>
      </c>
      <c r="B397" s="54" t="inlineStr">
        <is>
          <t>US</t>
        </is>
      </c>
      <c r="C397" s="54" t="inlineStr">
        <is>
          <t>B0FX2TBZTM</t>
        </is>
      </c>
      <c r="D397" s="54" t="inlineStr">
        <is>
          <t>DC-BAMBOO-FITTED-QUEEN-BURGUNDY-1PC</t>
        </is>
      </c>
      <c r="E397" s="54" t="inlineStr">
        <is>
          <t>Queen</t>
        </is>
      </c>
      <c r="F397" s="54" t="inlineStr">
        <is>
          <t>Burgundy</t>
        </is>
      </c>
      <c r="G397" s="55" t="n">
        <v>45</v>
      </c>
      <c r="H397" s="55" t="n">
        <v>0</v>
      </c>
      <c r="I397" s="56" t="n"/>
      <c r="J397" s="57" t="n">
        <v>0.03</v>
      </c>
      <c r="K397" s="56" t="inlineStr">
        <is>
          <t>account data velocity</t>
        </is>
      </c>
      <c r="L397" s="58" t="n">
        <v>2.7396</v>
      </c>
      <c r="M397" s="56" t="inlineStr">
        <is>
          <t>ASSUMED: account BFCM 2025 lift (US); product's own 2025 lift not available</t>
        </is>
      </c>
      <c r="N397" s="59">
        <f>J397*34+J397*L397*12</f>
        <v/>
      </c>
      <c r="O397" s="59">
        <f>MAX(0,N397-G397-H397)</f>
        <v/>
      </c>
      <c r="P397" s="60">
        <f>IF(J397=0,"",IF(G397&lt;J397*34,DATE(2026,10,15)+G397/J397,IF(G397&lt;N397,DATE(2026,11,18)+(G397-J397*34)/(J397*L397),"after Nov 30")))</f>
        <v/>
      </c>
      <c r="Q397" s="60">
        <f>IF(J397=0,"",IF(G397+H397&lt;J397*34,DATE(2026,10,15)+(G397+H397)/J397,IF(G397+H397&lt;N397,DATE(2026,11,18)+(G397+H397-J397*34)/(J397*L397),"after Nov 30")))</f>
        <v/>
      </c>
      <c r="R397" s="54">
        <f>IF(AND(G397&lt;=0,J397&gt;0),"Out of stock now",IF(G397&gt;=N397,"Covered to Nov 30",IF(G397+H397&gt;=N397,"Needs inbound in time","Short even with inbound")))</f>
        <v/>
      </c>
      <c r="S397" s="57" t="n">
        <v>0.143</v>
      </c>
      <c r="T397" s="59">
        <f>IF(S397="","",S397*34+S397*L397*12)</f>
        <v/>
      </c>
    </row>
    <row r="398">
      <c r="A398" s="54" t="inlineStr">
        <is>
          <t>US DC Bamboo Fitted</t>
        </is>
      </c>
      <c r="B398" s="54" t="inlineStr">
        <is>
          <t>US</t>
        </is>
      </c>
      <c r="C398" s="54" t="inlineStr">
        <is>
          <t>B0FX2RBQXN</t>
        </is>
      </c>
      <c r="D398" s="54" t="inlineStr">
        <is>
          <t>DC-BAMBOO-FITTED-QUEEN-LIGHT-BLUE-1PC</t>
        </is>
      </c>
      <c r="E398" s="54" t="inlineStr">
        <is>
          <t>Queen</t>
        </is>
      </c>
      <c r="F398" s="54" t="inlineStr">
        <is>
          <t>Light Blue</t>
        </is>
      </c>
      <c r="G398" s="55" t="n">
        <v>90</v>
      </c>
      <c r="H398" s="55" t="n">
        <v>0</v>
      </c>
      <c r="I398" s="56" t="n"/>
      <c r="J398" s="57" t="n">
        <v>0.03</v>
      </c>
      <c r="K398" s="56" t="inlineStr">
        <is>
          <t>account data velocity</t>
        </is>
      </c>
      <c r="L398" s="58" t="n">
        <v>2.7396</v>
      </c>
      <c r="M398" s="56" t="inlineStr">
        <is>
          <t>ASSUMED: account BFCM 2025 lift (US); product's own 2025 lift not available</t>
        </is>
      </c>
      <c r="N398" s="59">
        <f>J398*34+J398*L398*12</f>
        <v/>
      </c>
      <c r="O398" s="59">
        <f>MAX(0,N398-G398-H398)</f>
        <v/>
      </c>
      <c r="P398" s="60">
        <f>IF(J398=0,"",IF(G398&lt;J398*34,DATE(2026,10,15)+G398/J398,IF(G398&lt;N398,DATE(2026,11,18)+(G398-J398*34)/(J398*L398),"after Nov 30")))</f>
        <v/>
      </c>
      <c r="Q398" s="60">
        <f>IF(J398=0,"",IF(G398+H398&lt;J398*34,DATE(2026,10,15)+(G398+H398)/J398,IF(G398+H398&lt;N398,DATE(2026,11,18)+(G398+H398-J398*34)/(J398*L398),"after Nov 30")))</f>
        <v/>
      </c>
      <c r="R398" s="54">
        <f>IF(AND(G398&lt;=0,J398&gt;0),"Out of stock now",IF(G398&gt;=N398,"Covered to Nov 30",IF(G398+H398&gt;=N398,"Needs inbound in time","Short even with inbound")))</f>
        <v/>
      </c>
      <c r="S398" s="57" t="n">
        <v>0.143</v>
      </c>
      <c r="T398" s="59">
        <f>IF(S398="","",S398*34+S398*L398*12)</f>
        <v/>
      </c>
    </row>
    <row r="399">
      <c r="A399" s="54" t="inlineStr">
        <is>
          <t>US DC Bamboo Fitted</t>
        </is>
      </c>
      <c r="B399" s="54" t="inlineStr">
        <is>
          <t>US</t>
        </is>
      </c>
      <c r="C399" s="54" t="inlineStr">
        <is>
          <t>B0FX2RFZP3</t>
        </is>
      </c>
      <c r="D399" s="54" t="inlineStr">
        <is>
          <t>DC-BAMBOO-FITTED-QUEEN-BLACK-1PC</t>
        </is>
      </c>
      <c r="E399" s="54" t="inlineStr">
        <is>
          <t>Queen</t>
        </is>
      </c>
      <c r="F399" s="54" t="inlineStr">
        <is>
          <t>Black</t>
        </is>
      </c>
      <c r="G399" s="55" t="n">
        <v>0</v>
      </c>
      <c r="H399" s="55" t="n">
        <v>0</v>
      </c>
      <c r="I399" s="56" t="n"/>
      <c r="J399" s="57" t="n">
        <v>0.03</v>
      </c>
      <c r="K399" s="56" t="inlineStr">
        <is>
          <t>account data velocity</t>
        </is>
      </c>
      <c r="L399" s="58" t="n">
        <v>2.7396</v>
      </c>
      <c r="M399" s="56" t="inlineStr">
        <is>
          <t>ASSUMED: account BFCM 2025 lift (US); product's own 2025 lift not available</t>
        </is>
      </c>
      <c r="N399" s="59">
        <f>J399*34+J399*L399*12</f>
        <v/>
      </c>
      <c r="O399" s="59">
        <f>MAX(0,N399-G399-H399)</f>
        <v/>
      </c>
      <c r="P399" s="60">
        <f>IF(J399=0,"",IF(G399&lt;J399*34,DATE(2026,10,15)+G399/J399,IF(G399&lt;N399,DATE(2026,11,18)+(G399-J399*34)/(J399*L399),"after Nov 30")))</f>
        <v/>
      </c>
      <c r="Q399" s="60">
        <f>IF(J399=0,"",IF(G399+H399&lt;J399*34,DATE(2026,10,15)+(G399+H399)/J399,IF(G399+H399&lt;N399,DATE(2026,11,18)+(G399+H399-J399*34)/(J399*L399),"after Nov 30")))</f>
        <v/>
      </c>
      <c r="R399" s="54">
        <f>IF(AND(G399&lt;=0,J399&gt;0),"Out of stock now",IF(G399&gt;=N399,"Covered to Nov 30",IF(G399+H399&gt;=N399,"Needs inbound in time","Short even with inbound")))</f>
        <v/>
      </c>
      <c r="S399" s="57" t="n">
        <v>0.07099999999999999</v>
      </c>
      <c r="T399" s="59">
        <f>IF(S399="","",S399*34+S399*L399*12)</f>
        <v/>
      </c>
    </row>
    <row r="400">
      <c r="A400" s="54" t="inlineStr">
        <is>
          <t>US DC Bamboo Fitted</t>
        </is>
      </c>
      <c r="B400" s="54" t="inlineStr">
        <is>
          <t>US</t>
        </is>
      </c>
      <c r="C400" s="54" t="inlineStr">
        <is>
          <t>B0FX2SSTZ2</t>
        </is>
      </c>
      <c r="D400" s="54" t="inlineStr">
        <is>
          <t>DC-BAMBOO-FITTED-QUEEN-GREY-1PC</t>
        </is>
      </c>
      <c r="E400" s="54" t="inlineStr">
        <is>
          <t>Queen</t>
        </is>
      </c>
      <c r="F400" s="54" t="inlineStr">
        <is>
          <t>Grey</t>
        </is>
      </c>
      <c r="G400" s="55" t="n">
        <v>130</v>
      </c>
      <c r="H400" s="55" t="n">
        <v>0</v>
      </c>
      <c r="I400" s="56" t="n"/>
      <c r="J400" s="57" t="n">
        <v>0.01</v>
      </c>
      <c r="K400" s="56" t="inlineStr">
        <is>
          <t>account data velocity</t>
        </is>
      </c>
      <c r="L400" s="58" t="n">
        <v>2.7396</v>
      </c>
      <c r="M400" s="56" t="inlineStr">
        <is>
          <t>ASSUMED: account BFCM 2025 lift (US); product's own 2025 lift not available</t>
        </is>
      </c>
      <c r="N400" s="59">
        <f>J400*34+J400*L400*12</f>
        <v/>
      </c>
      <c r="O400" s="59">
        <f>MAX(0,N400-G400-H400)</f>
        <v/>
      </c>
      <c r="P400" s="60">
        <f>IF(J400=0,"",IF(G400&lt;J400*34,DATE(2026,10,15)+G400/J400,IF(G400&lt;N400,DATE(2026,11,18)+(G400-J400*34)/(J400*L400),"after Nov 30")))</f>
        <v/>
      </c>
      <c r="Q400" s="60">
        <f>IF(J400=0,"",IF(G400+H400&lt;J400*34,DATE(2026,10,15)+(G400+H400)/J400,IF(G400+H400&lt;N400,DATE(2026,11,18)+(G400+H400-J400*34)/(J400*L400),"after Nov 30")))</f>
        <v/>
      </c>
      <c r="R400" s="54">
        <f>IF(AND(G400&lt;=0,J400&gt;0),"Out of stock now",IF(G400&gt;=N400,"Covered to Nov 30",IF(G400+H400&gt;=N400,"Needs inbound in time","Short even with inbound")))</f>
        <v/>
      </c>
      <c r="S400" s="57" t="n">
        <v>0.07099999999999999</v>
      </c>
      <c r="T400" s="59">
        <f>IF(S400="","",S400*34+S400*L400*12)</f>
        <v/>
      </c>
    </row>
    <row r="401">
      <c r="A401" s="54" t="inlineStr">
        <is>
          <t>US DC Bamboo Fitted</t>
        </is>
      </c>
      <c r="B401" s="54" t="inlineStr">
        <is>
          <t>US</t>
        </is>
      </c>
      <c r="C401" s="54" t="inlineStr">
        <is>
          <t>B0FX2T8CG8</t>
        </is>
      </c>
      <c r="D401" s="54" t="inlineStr">
        <is>
          <t>DC-BAMBOO-FITTED-KING-BLACK-1PC</t>
        </is>
      </c>
      <c r="E401" s="54" t="inlineStr">
        <is>
          <t>King</t>
        </is>
      </c>
      <c r="F401" s="54" t="inlineStr">
        <is>
          <t>Black</t>
        </is>
      </c>
      <c r="G401" s="55" t="n">
        <v>1</v>
      </c>
      <c r="H401" s="55" t="n">
        <v>0</v>
      </c>
      <c r="I401" s="56" t="n"/>
      <c r="J401" s="57" t="n">
        <v>0.01</v>
      </c>
      <c r="K401" s="56" t="inlineStr">
        <is>
          <t>account data velocity</t>
        </is>
      </c>
      <c r="L401" s="58" t="n">
        <v>2.7396</v>
      </c>
      <c r="M401" s="56" t="inlineStr">
        <is>
          <t>ASSUMED: account BFCM 2025 lift (US); product's own 2025 lift not available</t>
        </is>
      </c>
      <c r="N401" s="59">
        <f>J401*34+J401*L401*12</f>
        <v/>
      </c>
      <c r="O401" s="59">
        <f>MAX(0,N401-G401-H401)</f>
        <v/>
      </c>
      <c r="P401" s="60">
        <f>IF(J401=0,"",IF(G401&lt;J401*34,DATE(2026,10,15)+G401/J401,IF(G401&lt;N401,DATE(2026,11,18)+(G401-J401*34)/(J401*L401),"after Nov 30")))</f>
        <v/>
      </c>
      <c r="Q401" s="60">
        <f>IF(J401=0,"",IF(G401+H401&lt;J401*34,DATE(2026,10,15)+(G401+H401)/J401,IF(G401+H401&lt;N401,DATE(2026,11,18)+(G401+H401-J401*34)/(J401*L401),"after Nov 30")))</f>
        <v/>
      </c>
      <c r="R401" s="54">
        <f>IF(AND(G401&lt;=0,J401&gt;0),"Out of stock now",IF(G401&gt;=N401,"Covered to Nov 30",IF(G401+H401&gt;=N401,"Needs inbound in time","Short even with inbound")))</f>
        <v/>
      </c>
      <c r="S401" s="57" t="n">
        <v>0.036</v>
      </c>
      <c r="T401" s="59">
        <f>IF(S401="","",S401*34+S401*L401*12)</f>
        <v/>
      </c>
    </row>
    <row r="402">
      <c r="A402" s="54" t="inlineStr">
        <is>
          <t>US DC S4</t>
        </is>
      </c>
      <c r="B402" s="54" t="inlineStr">
        <is>
          <t>US</t>
        </is>
      </c>
      <c r="C402" s="54" t="inlineStr">
        <is>
          <t>B0839MKJMV</t>
        </is>
      </c>
      <c r="D402" s="54" t="inlineStr">
        <is>
          <t>SATIN-QUEEN-BLACK</t>
        </is>
      </c>
      <c r="E402" s="54" t="inlineStr">
        <is>
          <t>Queen</t>
        </is>
      </c>
      <c r="F402" s="54" t="inlineStr">
        <is>
          <t>Black</t>
        </is>
      </c>
      <c r="G402" s="55" t="n">
        <v>1494</v>
      </c>
      <c r="H402" s="55" t="n">
        <v>0</v>
      </c>
      <c r="I402" s="56" t="n"/>
      <c r="J402" s="57" t="n">
        <v>18.53</v>
      </c>
      <c r="K402" s="56" t="inlineStr">
        <is>
          <t>account data velocity</t>
        </is>
      </c>
      <c r="L402" s="58" t="n">
        <v>2.6371</v>
      </c>
      <c r="M402" s="56" t="inlineStr">
        <is>
          <t>own BFCM 2025 lift (account data)</t>
        </is>
      </c>
      <c r="N402" s="59">
        <f>J402*34+J402*L402*12</f>
        <v/>
      </c>
      <c r="O402" s="59">
        <f>MAX(0,N402-G402-H402)</f>
        <v/>
      </c>
      <c r="P402" s="60">
        <f>IF(J402=0,"",IF(G402&lt;J402*34,DATE(2026,10,15)+G402/J402,IF(G402&lt;N402,DATE(2026,11,18)+(G402-J402*34)/(J402*L402),"after Nov 30")))</f>
        <v/>
      </c>
      <c r="Q402" s="60">
        <f>IF(J402=0,"",IF(G402+H402&lt;J402*34,DATE(2026,10,15)+(G402+H402)/J402,IF(G402+H402&lt;N402,DATE(2026,11,18)+(G402+H402-J402*34)/(J402*L402),"after Nov 30")))</f>
        <v/>
      </c>
      <c r="R402" s="54">
        <f>IF(AND(G402&lt;=0,J402&gt;0),"Out of stock now",IF(G402&gt;=N402,"Covered to Nov 30",IF(G402+H402&gt;=N402,"Needs inbound in time","Short even with inbound")))</f>
        <v/>
      </c>
      <c r="S402" s="57" t="n">
        <v>15.643</v>
      </c>
      <c r="T402" s="59">
        <f>IF(S402="","",S402*34+S402*L402*12)</f>
        <v/>
      </c>
    </row>
    <row r="403">
      <c r="A403" s="54" t="inlineStr">
        <is>
          <t>US DC S4</t>
        </is>
      </c>
      <c r="B403" s="54" t="inlineStr">
        <is>
          <t>US</t>
        </is>
      </c>
      <c r="C403" s="54" t="inlineStr">
        <is>
          <t>B0839LCXBP</t>
        </is>
      </c>
      <c r="D403" s="54" t="inlineStr">
        <is>
          <t>SATIN-FULL-BLACK</t>
        </is>
      </c>
      <c r="E403" s="54" t="inlineStr">
        <is>
          <t>Full</t>
        </is>
      </c>
      <c r="F403" s="54" t="inlineStr">
        <is>
          <t>Black</t>
        </is>
      </c>
      <c r="G403" s="55" t="n">
        <v>589</v>
      </c>
      <c r="H403" s="55" t="n">
        <v>0</v>
      </c>
      <c r="I403" s="56" t="n"/>
      <c r="J403" s="57" t="n">
        <v>9.69</v>
      </c>
      <c r="K403" s="56" t="inlineStr">
        <is>
          <t>account data velocity</t>
        </is>
      </c>
      <c r="L403" s="58" t="n">
        <v>2.6371</v>
      </c>
      <c r="M403" s="56" t="inlineStr">
        <is>
          <t>own BFCM 2025 lift (account data)</t>
        </is>
      </c>
      <c r="N403" s="59">
        <f>J403*34+J403*L403*12</f>
        <v/>
      </c>
      <c r="O403" s="59">
        <f>MAX(0,N403-G403-H403)</f>
        <v/>
      </c>
      <c r="P403" s="60">
        <f>IF(J403=0,"",IF(G403&lt;J403*34,DATE(2026,10,15)+G403/J403,IF(G403&lt;N403,DATE(2026,11,18)+(G403-J403*34)/(J403*L403),"after Nov 30")))</f>
        <v/>
      </c>
      <c r="Q403" s="60">
        <f>IF(J403=0,"",IF(G403+H403&lt;J403*34,DATE(2026,10,15)+(G403+H403)/J403,IF(G403+H403&lt;N403,DATE(2026,11,18)+(G403+H403-J403*34)/(J403*L403),"after Nov 30")))</f>
        <v/>
      </c>
      <c r="R403" s="54">
        <f>IF(AND(G403&lt;=0,J403&gt;0),"Out of stock now",IF(G403&gt;=N403,"Covered to Nov 30",IF(G403+H403&gt;=N403,"Needs inbound in time","Short even with inbound")))</f>
        <v/>
      </c>
      <c r="S403" s="57" t="n">
        <v>7.857</v>
      </c>
      <c r="T403" s="59">
        <f>IF(S403="","",S403*34+S403*L403*12)</f>
        <v/>
      </c>
    </row>
    <row r="404">
      <c r="A404" s="54" t="inlineStr">
        <is>
          <t>US DC S4</t>
        </is>
      </c>
      <c r="B404" s="54" t="inlineStr">
        <is>
          <t>US</t>
        </is>
      </c>
      <c r="C404" s="54" t="inlineStr">
        <is>
          <t>B0839LD2WQ</t>
        </is>
      </c>
      <c r="D404" s="54" t="inlineStr">
        <is>
          <t>SATIN-KING-BLACK</t>
        </is>
      </c>
      <c r="E404" s="54" t="inlineStr">
        <is>
          <t>King</t>
        </is>
      </c>
      <c r="F404" s="54" t="inlineStr">
        <is>
          <t>Black</t>
        </is>
      </c>
      <c r="G404" s="55" t="n">
        <v>2530</v>
      </c>
      <c r="H404" s="55" t="n">
        <v>7</v>
      </c>
      <c r="I404" s="56" t="inlineStr">
        <is>
          <t>FBA19MR6P408 receiving: 1; FBA19M151HCM receiving: 6</t>
        </is>
      </c>
      <c r="J404" s="57" t="n">
        <v>9.25</v>
      </c>
      <c r="K404" s="56" t="inlineStr">
        <is>
          <t>account data velocity</t>
        </is>
      </c>
      <c r="L404" s="58" t="n">
        <v>2.6371</v>
      </c>
      <c r="M404" s="56" t="inlineStr">
        <is>
          <t>own BFCM 2025 lift (account data)</t>
        </is>
      </c>
      <c r="N404" s="59">
        <f>J404*34+J404*L404*12</f>
        <v/>
      </c>
      <c r="O404" s="59">
        <f>MAX(0,N404-G404-H404)</f>
        <v/>
      </c>
      <c r="P404" s="60">
        <f>IF(J404=0,"",IF(G404&lt;J404*34,DATE(2026,10,15)+G404/J404,IF(G404&lt;N404,DATE(2026,11,18)+(G404-J404*34)/(J404*L404),"after Nov 30")))</f>
        <v/>
      </c>
      <c r="Q404" s="60">
        <f>IF(J404=0,"",IF(G404+H404&lt;J404*34,DATE(2026,10,15)+(G404+H404)/J404,IF(G404+H404&lt;N404,DATE(2026,11,18)+(G404+H404-J404*34)/(J404*L404),"after Nov 30")))</f>
        <v/>
      </c>
      <c r="R404" s="54">
        <f>IF(AND(G404&lt;=0,J404&gt;0),"Out of stock now",IF(G404&gt;=N404,"Covered to Nov 30",IF(G404+H404&gt;=N404,"Needs inbound in time","Short even with inbound")))</f>
        <v/>
      </c>
      <c r="S404" s="57" t="n">
        <v>5.679</v>
      </c>
      <c r="T404" s="59">
        <f>IF(S404="","",S404*34+S404*L404*12)</f>
        <v/>
      </c>
    </row>
    <row r="405">
      <c r="A405" s="54" t="inlineStr">
        <is>
          <t>US DC S4</t>
        </is>
      </c>
      <c r="B405" s="54" t="inlineStr">
        <is>
          <t>US</t>
        </is>
      </c>
      <c r="C405" s="54" t="inlineStr">
        <is>
          <t>B0839LQK8K</t>
        </is>
      </c>
      <c r="D405" s="54" t="inlineStr">
        <is>
          <t>SATIN-QUEEN-GREY</t>
        </is>
      </c>
      <c r="E405" s="54" t="inlineStr">
        <is>
          <t>Queen</t>
        </is>
      </c>
      <c r="F405" s="54" t="inlineStr">
        <is>
          <t>Grey</t>
        </is>
      </c>
      <c r="G405" s="55" t="n">
        <v>1086</v>
      </c>
      <c r="H405" s="55" t="n">
        <v>0</v>
      </c>
      <c r="I405" s="56" t="n"/>
      <c r="J405" s="57" t="n">
        <v>3.68</v>
      </c>
      <c r="K405" s="56" t="inlineStr">
        <is>
          <t>account data velocity</t>
        </is>
      </c>
      <c r="L405" s="58" t="n">
        <v>2.6371</v>
      </c>
      <c r="M405" s="56" t="inlineStr">
        <is>
          <t>own BFCM 2025 lift (account data)</t>
        </is>
      </c>
      <c r="N405" s="59">
        <f>J405*34+J405*L405*12</f>
        <v/>
      </c>
      <c r="O405" s="59">
        <f>MAX(0,N405-G405-H405)</f>
        <v/>
      </c>
      <c r="P405" s="60">
        <f>IF(J405=0,"",IF(G405&lt;J405*34,DATE(2026,10,15)+G405/J405,IF(G405&lt;N405,DATE(2026,11,18)+(G405-J405*34)/(J405*L405),"after Nov 30")))</f>
        <v/>
      </c>
      <c r="Q405" s="60">
        <f>IF(J405=0,"",IF(G405+H405&lt;J405*34,DATE(2026,10,15)+(G405+H405)/J405,IF(G405+H405&lt;N405,DATE(2026,11,18)+(G405+H405-J405*34)/(J405*L405),"after Nov 30")))</f>
        <v/>
      </c>
      <c r="R405" s="54">
        <f>IF(AND(G405&lt;=0,J405&gt;0),"Out of stock now",IF(G405&gt;=N405,"Covered to Nov 30",IF(G405+H405&gt;=N405,"Needs inbound in time","Short even with inbound")))</f>
        <v/>
      </c>
      <c r="S405" s="57" t="n">
        <v>3.429</v>
      </c>
      <c r="T405" s="59">
        <f>IF(S405="","",S405*34+S405*L405*12)</f>
        <v/>
      </c>
    </row>
    <row r="406">
      <c r="A406" s="54" t="inlineStr">
        <is>
          <t>US DC S4</t>
        </is>
      </c>
      <c r="B406" s="54" t="inlineStr">
        <is>
          <t>US</t>
        </is>
      </c>
      <c r="C406" s="54" t="inlineStr">
        <is>
          <t>B08KRXDWNN</t>
        </is>
      </c>
      <c r="D406" s="54" t="inlineStr">
        <is>
          <t>SATIN-WHITE-QUEEN</t>
        </is>
      </c>
      <c r="E406" s="54" t="inlineStr">
        <is>
          <t>Queen</t>
        </is>
      </c>
      <c r="F406" s="54" t="inlineStr">
        <is>
          <t>White</t>
        </is>
      </c>
      <c r="G406" s="55" t="n">
        <v>298</v>
      </c>
      <c r="H406" s="55" t="n">
        <v>0</v>
      </c>
      <c r="I406" s="56" t="n"/>
      <c r="J406" s="57" t="n">
        <v>3.38</v>
      </c>
      <c r="K406" s="56" t="inlineStr">
        <is>
          <t>account data velocity</t>
        </is>
      </c>
      <c r="L406" s="58" t="n">
        <v>2.6371</v>
      </c>
      <c r="M406" s="56" t="inlineStr">
        <is>
          <t>own BFCM 2025 lift (account data)</t>
        </is>
      </c>
      <c r="N406" s="59">
        <f>J406*34+J406*L406*12</f>
        <v/>
      </c>
      <c r="O406" s="59">
        <f>MAX(0,N406-G406-H406)</f>
        <v/>
      </c>
      <c r="P406" s="60">
        <f>IF(J406=0,"",IF(G406&lt;J406*34,DATE(2026,10,15)+G406/J406,IF(G406&lt;N406,DATE(2026,11,18)+(G406-J406*34)/(J406*L406),"after Nov 30")))</f>
        <v/>
      </c>
      <c r="Q406" s="60">
        <f>IF(J406=0,"",IF(G406+H406&lt;J406*34,DATE(2026,10,15)+(G406+H406)/J406,IF(G406+H406&lt;N406,DATE(2026,11,18)+(G406+H406-J406*34)/(J406*L406),"after Nov 30")))</f>
        <v/>
      </c>
      <c r="R406" s="54">
        <f>IF(AND(G406&lt;=0,J406&gt;0),"Out of stock now",IF(G406&gt;=N406,"Covered to Nov 30",IF(G406+H406&gt;=N406,"Needs inbound in time","Short even with inbound")))</f>
        <v/>
      </c>
      <c r="S406" s="57" t="n">
        <v>2.464</v>
      </c>
      <c r="T406" s="59">
        <f>IF(S406="","",S406*34+S406*L406*12)</f>
        <v/>
      </c>
    </row>
    <row r="407">
      <c r="A407" s="54" t="inlineStr">
        <is>
          <t>US DC S4</t>
        </is>
      </c>
      <c r="B407" s="54" t="inlineStr">
        <is>
          <t>US</t>
        </is>
      </c>
      <c r="C407" s="54" t="inlineStr">
        <is>
          <t>B0CV4D38W9</t>
        </is>
      </c>
      <c r="D407" s="54" t="inlineStr">
        <is>
          <t>SATIN-4PC-KING-GREY</t>
        </is>
      </c>
      <c r="E407" s="54" t="inlineStr">
        <is>
          <t>King</t>
        </is>
      </c>
      <c r="F407" s="54" t="inlineStr">
        <is>
          <t>Grey</t>
        </is>
      </c>
      <c r="G407" s="55" t="n">
        <v>1028</v>
      </c>
      <c r="H407" s="55" t="n">
        <v>0</v>
      </c>
      <c r="I407" s="56" t="inlineStr">
        <is>
          <t>FBA19N82086K ready to ship: 66</t>
        </is>
      </c>
      <c r="J407" s="57" t="n">
        <v>3.3</v>
      </c>
      <c r="K407" s="56" t="inlineStr">
        <is>
          <t>account data velocity</t>
        </is>
      </c>
      <c r="L407" s="58" t="n">
        <v>2.6371</v>
      </c>
      <c r="M407" s="56" t="inlineStr">
        <is>
          <t>own BFCM 2025 lift (account data)</t>
        </is>
      </c>
      <c r="N407" s="59">
        <f>J407*34+J407*L407*12</f>
        <v/>
      </c>
      <c r="O407" s="59">
        <f>MAX(0,N407-G407-H407)</f>
        <v/>
      </c>
      <c r="P407" s="60">
        <f>IF(J407=0,"",IF(G407&lt;J407*34,DATE(2026,10,15)+G407/J407,IF(G407&lt;N407,DATE(2026,11,18)+(G407-J407*34)/(J407*L407),"after Nov 30")))</f>
        <v/>
      </c>
      <c r="Q407" s="60">
        <f>IF(J407=0,"",IF(G407+H407&lt;J407*34,DATE(2026,10,15)+(G407+H407)/J407,IF(G407+H407&lt;N407,DATE(2026,11,18)+(G407+H407-J407*34)/(J407*L407),"after Nov 30")))</f>
        <v/>
      </c>
      <c r="R407" s="54">
        <f>IF(AND(G407&lt;=0,J407&gt;0),"Out of stock now",IF(G407&gt;=N407,"Covered to Nov 30",IF(G407+H407&gt;=N407,"Needs inbound in time","Short even with inbound")))</f>
        <v/>
      </c>
      <c r="S407" s="57" t="n">
        <v>2.821</v>
      </c>
      <c r="T407" s="59">
        <f>IF(S407="","",S407*34+S407*L407*12)</f>
        <v/>
      </c>
    </row>
    <row r="408">
      <c r="A408" s="54" t="inlineStr">
        <is>
          <t>US DC S4</t>
        </is>
      </c>
      <c r="B408" s="54" t="inlineStr">
        <is>
          <t>US</t>
        </is>
      </c>
      <c r="C408" s="54" t="inlineStr">
        <is>
          <t>B0CQRXDZYF</t>
        </is>
      </c>
      <c r="D408" s="54" t="inlineStr">
        <is>
          <t>SATIN-4PC-QUEEN-NAVY BLUE</t>
        </is>
      </c>
      <c r="E408" s="54" t="inlineStr">
        <is>
          <t>Queen</t>
        </is>
      </c>
      <c r="F408" s="54" t="inlineStr">
        <is>
          <t>Navy Blue</t>
        </is>
      </c>
      <c r="G408" s="55" t="n">
        <v>140</v>
      </c>
      <c r="H408" s="55" t="n">
        <v>0</v>
      </c>
      <c r="I408" s="56" t="n"/>
      <c r="J408" s="57" t="n">
        <v>2.42</v>
      </c>
      <c r="K408" s="56" t="inlineStr">
        <is>
          <t>account data velocity</t>
        </is>
      </c>
      <c r="L408" s="58" t="n">
        <v>2.6371</v>
      </c>
      <c r="M408" s="56" t="inlineStr">
        <is>
          <t>own BFCM 2025 lift (account data)</t>
        </is>
      </c>
      <c r="N408" s="59">
        <f>J408*34+J408*L408*12</f>
        <v/>
      </c>
      <c r="O408" s="59">
        <f>MAX(0,N408-G408-H408)</f>
        <v/>
      </c>
      <c r="P408" s="60">
        <f>IF(J408=0,"",IF(G408&lt;J408*34,DATE(2026,10,15)+G408/J408,IF(G408&lt;N408,DATE(2026,11,18)+(G408-J408*34)/(J408*L408),"after Nov 30")))</f>
        <v/>
      </c>
      <c r="Q408" s="60">
        <f>IF(J408=0,"",IF(G408+H408&lt;J408*34,DATE(2026,10,15)+(G408+H408)/J408,IF(G408+H408&lt;N408,DATE(2026,11,18)+(G408+H408-J408*34)/(J408*L408),"after Nov 30")))</f>
        <v/>
      </c>
      <c r="R408" s="54">
        <f>IF(AND(G408&lt;=0,J408&gt;0),"Out of stock now",IF(G408&gt;=N408,"Covered to Nov 30",IF(G408+H408&gt;=N408,"Needs inbound in time","Short even with inbound")))</f>
        <v/>
      </c>
      <c r="S408" s="57" t="n">
        <v>1.607</v>
      </c>
      <c r="T408" s="59">
        <f>IF(S408="","",S408*34+S408*L408*12)</f>
        <v/>
      </c>
    </row>
    <row r="409">
      <c r="A409" s="54" t="inlineStr">
        <is>
          <t>US DC S4</t>
        </is>
      </c>
      <c r="B409" s="54" t="inlineStr">
        <is>
          <t>US</t>
        </is>
      </c>
      <c r="C409" s="54" t="inlineStr">
        <is>
          <t>B0DBQVGKTV</t>
        </is>
      </c>
      <c r="D409" s="54" t="inlineStr">
        <is>
          <t>SATIN-4PCS-KING-RED</t>
        </is>
      </c>
      <c r="E409" s="54" t="inlineStr">
        <is>
          <t>King</t>
        </is>
      </c>
      <c r="F409" s="54" t="inlineStr">
        <is>
          <t>Red</t>
        </is>
      </c>
      <c r="G409" s="55" t="n">
        <v>336</v>
      </c>
      <c r="H409" s="55" t="n">
        <v>306</v>
      </c>
      <c r="I409" s="56" t="inlineStr">
        <is>
          <t>FBA19STZ9LHZ ready to ship: 18; FBA19STRJMC3 ready to ship: 12; FBA19SV47PX1 ready to ship: 12; FBA19SV1CLVT ready to ship: 18; FBA19STYQSF4 ready to ship: 6; FBA19RS1HC4F shipped: 6; FBA19RRY6QFT shipped: 6; FBA19RS0N5K2 shipped: 6; FBA19RRYCGHJ shipped: 6; FBA19RRY5FBL shipped: 12; FBA19QLJLR1F shipped: 18; FBA19QLKCVBW shipped: 18; FBA19QLK9CYH shipped: 6; FBA19QLKHC6Q shipped: 18; FBA19QLJ0ZP4 shipped: 18; FBA19P55072C in transit: 24; FBA19N7WSG18 in transit: 18; FBA19N7RP6W7 in transit: 42; FBA19N7RQF4Q ready to ship: 42</t>
        </is>
      </c>
      <c r="J409" s="57" t="n">
        <v>2.3</v>
      </c>
      <c r="K409" s="56" t="inlineStr">
        <is>
          <t>account data velocity</t>
        </is>
      </c>
      <c r="L409" s="58" t="n">
        <v>2.6371</v>
      </c>
      <c r="M409" s="56" t="inlineStr">
        <is>
          <t>own BFCM 2025 lift (account data)</t>
        </is>
      </c>
      <c r="N409" s="59">
        <f>J409*34+J409*L409*12</f>
        <v/>
      </c>
      <c r="O409" s="59">
        <f>MAX(0,N409-G409-H409)</f>
        <v/>
      </c>
      <c r="P409" s="60">
        <f>IF(J409=0,"",IF(G409&lt;J409*34,DATE(2026,10,15)+G409/J409,IF(G409&lt;N409,DATE(2026,11,18)+(G409-J409*34)/(J409*L409),"after Nov 30")))</f>
        <v/>
      </c>
      <c r="Q409" s="60">
        <f>IF(J409=0,"",IF(G409+H409&lt;J409*34,DATE(2026,10,15)+(G409+H409)/J409,IF(G409+H409&lt;N409,DATE(2026,11,18)+(G409+H409-J409*34)/(J409*L409),"after Nov 30")))</f>
        <v/>
      </c>
      <c r="R409" s="54">
        <f>IF(AND(G409&lt;=0,J409&gt;0),"Out of stock now",IF(G409&gt;=N409,"Covered to Nov 30",IF(G409+H409&gt;=N409,"Needs inbound in time","Short even with inbound")))</f>
        <v/>
      </c>
      <c r="S409" s="57" t="n">
        <v>2.393</v>
      </c>
      <c r="T409" s="59">
        <f>IF(S409="","",S409*34+S409*L409*12)</f>
        <v/>
      </c>
    </row>
    <row r="410">
      <c r="A410" s="54" t="inlineStr">
        <is>
          <t>US DC S4</t>
        </is>
      </c>
      <c r="B410" s="54" t="inlineStr">
        <is>
          <t>US</t>
        </is>
      </c>
      <c r="C410" s="54" t="inlineStr">
        <is>
          <t>B0CV4CY67M</t>
        </is>
      </c>
      <c r="D410" s="54" t="inlineStr">
        <is>
          <t>SATIN-4PC-WHITE-KING</t>
        </is>
      </c>
      <c r="E410" s="54" t="inlineStr">
        <is>
          <t>King</t>
        </is>
      </c>
      <c r="F410" s="54" t="inlineStr">
        <is>
          <t>White</t>
        </is>
      </c>
      <c r="G410" s="55" t="n">
        <v>128</v>
      </c>
      <c r="H410" s="55" t="n">
        <v>1</v>
      </c>
      <c r="I410" s="56" t="inlineStr">
        <is>
          <t>FBA19M151HCM receiving: 1</t>
        </is>
      </c>
      <c r="J410" s="57" t="n">
        <v>2.07</v>
      </c>
      <c r="K410" s="56" t="inlineStr">
        <is>
          <t>account data velocity</t>
        </is>
      </c>
      <c r="L410" s="58" t="n">
        <v>2.6371</v>
      </c>
      <c r="M410" s="56" t="inlineStr">
        <is>
          <t>own BFCM 2025 lift (account data)</t>
        </is>
      </c>
      <c r="N410" s="59">
        <f>J410*34+J410*L410*12</f>
        <v/>
      </c>
      <c r="O410" s="59">
        <f>MAX(0,N410-G410-H410)</f>
        <v/>
      </c>
      <c r="P410" s="60">
        <f>IF(J410=0,"",IF(G410&lt;J410*34,DATE(2026,10,15)+G410/J410,IF(G410&lt;N410,DATE(2026,11,18)+(G410-J410*34)/(J410*L410),"after Nov 30")))</f>
        <v/>
      </c>
      <c r="Q410" s="60">
        <f>IF(J410=0,"",IF(G410+H410&lt;J410*34,DATE(2026,10,15)+(G410+H410)/J410,IF(G410+H410&lt;N410,DATE(2026,11,18)+(G410+H410-J410*34)/(J410*L410),"after Nov 30")))</f>
        <v/>
      </c>
      <c r="R410" s="54">
        <f>IF(AND(G410&lt;=0,J410&gt;0),"Out of stock now",IF(G410&gt;=N410,"Covered to Nov 30",IF(G410+H410&gt;=N410,"Needs inbound in time","Short even with inbound")))</f>
        <v/>
      </c>
      <c r="S410" s="57" t="n">
        <v>1.643</v>
      </c>
      <c r="T410" s="59">
        <f>IF(S410="","",S410*34+S410*L410*12)</f>
        <v/>
      </c>
    </row>
    <row r="411">
      <c r="A411" s="54" t="inlineStr">
        <is>
          <t>US DC S4</t>
        </is>
      </c>
      <c r="B411" s="54" t="inlineStr">
        <is>
          <t>US</t>
        </is>
      </c>
      <c r="C411" s="54" t="inlineStr">
        <is>
          <t>B0BG21THPM</t>
        </is>
      </c>
      <c r="D411" s="54" t="inlineStr">
        <is>
          <t>SATIN-ROSEWOOD-QUEEN</t>
        </is>
      </c>
      <c r="E411" s="54" t="inlineStr">
        <is>
          <t>Queen</t>
        </is>
      </c>
      <c r="F411" s="54" t="inlineStr">
        <is>
          <t>Rosewood</t>
        </is>
      </c>
      <c r="G411" s="55" t="n">
        <v>265</v>
      </c>
      <c r="H411" s="55" t="n">
        <v>1</v>
      </c>
      <c r="I411" s="56" t="inlineStr">
        <is>
          <t>FBA19M1451NC receiving: 1</t>
        </is>
      </c>
      <c r="J411" s="57" t="n">
        <v>2.02</v>
      </c>
      <c r="K411" s="56" t="inlineStr">
        <is>
          <t>account data velocity</t>
        </is>
      </c>
      <c r="L411" s="58" t="n">
        <v>2.6371</v>
      </c>
      <c r="M411" s="56" t="inlineStr">
        <is>
          <t>own BFCM 2025 lift (account data)</t>
        </is>
      </c>
      <c r="N411" s="59">
        <f>J411*34+J411*L411*12</f>
        <v/>
      </c>
      <c r="O411" s="59">
        <f>MAX(0,N411-G411-H411)</f>
        <v/>
      </c>
      <c r="P411" s="60">
        <f>IF(J411=0,"",IF(G411&lt;J411*34,DATE(2026,10,15)+G411/J411,IF(G411&lt;N411,DATE(2026,11,18)+(G411-J411*34)/(J411*L411),"after Nov 30")))</f>
        <v/>
      </c>
      <c r="Q411" s="60">
        <f>IF(J411=0,"",IF(G411+H411&lt;J411*34,DATE(2026,10,15)+(G411+H411)/J411,IF(G411+H411&lt;N411,DATE(2026,11,18)+(G411+H411-J411*34)/(J411*L411),"after Nov 30")))</f>
        <v/>
      </c>
      <c r="R411" s="54">
        <f>IF(AND(G411&lt;=0,J411&gt;0),"Out of stock now",IF(G411&gt;=N411,"Covered to Nov 30",IF(G411+H411&gt;=N411,"Needs inbound in time","Short even with inbound")))</f>
        <v/>
      </c>
      <c r="S411" s="57" t="n">
        <v>1.536</v>
      </c>
      <c r="T411" s="59">
        <f>IF(S411="","",S411*34+S411*L411*12)</f>
        <v/>
      </c>
    </row>
    <row r="412">
      <c r="A412" s="54" t="inlineStr">
        <is>
          <t>US DC S4</t>
        </is>
      </c>
      <c r="B412" s="54" t="inlineStr">
        <is>
          <t>US</t>
        </is>
      </c>
      <c r="C412" s="54" t="inlineStr">
        <is>
          <t>B0BG225D1J</t>
        </is>
      </c>
      <c r="D412" s="54" t="inlineStr">
        <is>
          <t>SATIN-IVORY-KING</t>
        </is>
      </c>
      <c r="E412" s="54" t="inlineStr">
        <is>
          <t>King</t>
        </is>
      </c>
      <c r="F412" s="54" t="inlineStr">
        <is>
          <t>Ivory</t>
        </is>
      </c>
      <c r="G412" s="55" t="n">
        <v>139</v>
      </c>
      <c r="H412" s="55" t="n">
        <v>0</v>
      </c>
      <c r="I412" s="56" t="n"/>
      <c r="J412" s="57" t="n">
        <v>1.99</v>
      </c>
      <c r="K412" s="56" t="inlineStr">
        <is>
          <t>account data velocity</t>
        </is>
      </c>
      <c r="L412" s="58" t="n">
        <v>2.6371</v>
      </c>
      <c r="M412" s="56" t="inlineStr">
        <is>
          <t>own BFCM 2025 lift (account data)</t>
        </is>
      </c>
      <c r="N412" s="59">
        <f>J412*34+J412*L412*12</f>
        <v/>
      </c>
      <c r="O412" s="59">
        <f>MAX(0,N412-G412-H412)</f>
        <v/>
      </c>
      <c r="P412" s="60">
        <f>IF(J412=0,"",IF(G412&lt;J412*34,DATE(2026,10,15)+G412/J412,IF(G412&lt;N412,DATE(2026,11,18)+(G412-J412*34)/(J412*L412),"after Nov 30")))</f>
        <v/>
      </c>
      <c r="Q412" s="60">
        <f>IF(J412=0,"",IF(G412+H412&lt;J412*34,DATE(2026,10,15)+(G412+H412)/J412,IF(G412+H412&lt;N412,DATE(2026,11,18)+(G412+H412-J412*34)/(J412*L412),"after Nov 30")))</f>
        <v/>
      </c>
      <c r="R412" s="54">
        <f>IF(AND(G412&lt;=0,J412&gt;0),"Out of stock now",IF(G412&gt;=N412,"Covered to Nov 30",IF(G412+H412&gt;=N412,"Needs inbound in time","Short even with inbound")))</f>
        <v/>
      </c>
      <c r="S412" s="57" t="n">
        <v>1.464</v>
      </c>
      <c r="T412" s="59">
        <f>IF(S412="","",S412*34+S412*L412*12)</f>
        <v/>
      </c>
    </row>
    <row r="413">
      <c r="A413" s="54" t="inlineStr">
        <is>
          <t>US DC S4</t>
        </is>
      </c>
      <c r="B413" s="54" t="inlineStr">
        <is>
          <t>US</t>
        </is>
      </c>
      <c r="C413" s="54" t="inlineStr">
        <is>
          <t>B0CQRXLH6M</t>
        </is>
      </c>
      <c r="D413" s="54" t="inlineStr">
        <is>
          <t>SATIN-4PC-QUEEN-BABY BLUE</t>
        </is>
      </c>
      <c r="E413" s="54" t="inlineStr">
        <is>
          <t>Queen</t>
        </is>
      </c>
      <c r="F413" s="54" t="inlineStr">
        <is>
          <t>Baby Blue</t>
        </is>
      </c>
      <c r="G413" s="55" t="n">
        <v>271</v>
      </c>
      <c r="H413" s="55" t="n">
        <v>1</v>
      </c>
      <c r="I413" s="56" t="inlineStr">
        <is>
          <t>FBA19M1451NC receiving: 1</t>
        </is>
      </c>
      <c r="J413" s="57" t="n">
        <v>1.86</v>
      </c>
      <c r="K413" s="56" t="inlineStr">
        <is>
          <t>account data velocity</t>
        </is>
      </c>
      <c r="L413" s="58" t="n">
        <v>2.6371</v>
      </c>
      <c r="M413" s="56" t="inlineStr">
        <is>
          <t>own BFCM 2025 lift (account data)</t>
        </is>
      </c>
      <c r="N413" s="59">
        <f>J413*34+J413*L413*12</f>
        <v/>
      </c>
      <c r="O413" s="59">
        <f>MAX(0,N413-G413-H413)</f>
        <v/>
      </c>
      <c r="P413" s="60">
        <f>IF(J413=0,"",IF(G413&lt;J413*34,DATE(2026,10,15)+G413/J413,IF(G413&lt;N413,DATE(2026,11,18)+(G413-J413*34)/(J413*L413),"after Nov 30")))</f>
        <v/>
      </c>
      <c r="Q413" s="60">
        <f>IF(J413=0,"",IF(G413+H413&lt;J413*34,DATE(2026,10,15)+(G413+H413)/J413,IF(G413+H413&lt;N413,DATE(2026,11,18)+(G413+H413-J413*34)/(J413*L413),"after Nov 30")))</f>
        <v/>
      </c>
      <c r="R413" s="54">
        <f>IF(AND(G413&lt;=0,J413&gt;0),"Out of stock now",IF(G413&gt;=N413,"Covered to Nov 30",IF(G413+H413&gt;=N413,"Needs inbound in time","Short even with inbound")))</f>
        <v/>
      </c>
      <c r="S413" s="57" t="n">
        <v>1.536</v>
      </c>
      <c r="T413" s="59">
        <f>IF(S413="","",S413*34+S413*L413*12)</f>
        <v/>
      </c>
    </row>
    <row r="414">
      <c r="A414" s="54" t="inlineStr">
        <is>
          <t>US DC S4</t>
        </is>
      </c>
      <c r="B414" s="54" t="inlineStr">
        <is>
          <t>US</t>
        </is>
      </c>
      <c r="C414" s="54" t="inlineStr">
        <is>
          <t>B0839L6R8Y</t>
        </is>
      </c>
      <c r="D414" s="54" t="inlineStr">
        <is>
          <t>SATIN-QUEEN-PURPLE</t>
        </is>
      </c>
      <c r="E414" s="54" t="inlineStr">
        <is>
          <t>Queen</t>
        </is>
      </c>
      <c r="F414" s="54" t="inlineStr">
        <is>
          <t>Purple</t>
        </is>
      </c>
      <c r="G414" s="55" t="n">
        <v>209</v>
      </c>
      <c r="H414" s="55" t="n">
        <v>48</v>
      </c>
      <c r="I414" s="56" t="inlineStr">
        <is>
          <t>FBA19SV5KWMR ready to ship: 6; FBA19STZ9LHZ ready to ship: 6; FBA19STRJMC3 ready to ship: 6; FBA19SV47PX1 ready to ship: 6; FBA19SV1CLVT ready to ship: 6; FBA19STYQSF4 ready to ship: 6; FBA19N7WSG18 in transit: 6; FBA19N7RP6W7 in transit: 6; FBA19N7RQF4Q ready to ship: 6</t>
        </is>
      </c>
      <c r="J414" s="57" t="n">
        <v>1.8</v>
      </c>
      <c r="K414" s="56" t="inlineStr">
        <is>
          <t>account data velocity</t>
        </is>
      </c>
      <c r="L414" s="58" t="n">
        <v>2.6371</v>
      </c>
      <c r="M414" s="56" t="inlineStr">
        <is>
          <t>own BFCM 2025 lift (account data)</t>
        </is>
      </c>
      <c r="N414" s="59">
        <f>J414*34+J414*L414*12</f>
        <v/>
      </c>
      <c r="O414" s="59">
        <f>MAX(0,N414-G414-H414)</f>
        <v/>
      </c>
      <c r="P414" s="60">
        <f>IF(J414=0,"",IF(G414&lt;J414*34,DATE(2026,10,15)+G414/J414,IF(G414&lt;N414,DATE(2026,11,18)+(G414-J414*34)/(J414*L414),"after Nov 30")))</f>
        <v/>
      </c>
      <c r="Q414" s="60">
        <f>IF(J414=0,"",IF(G414+H414&lt;J414*34,DATE(2026,10,15)+(G414+H414)/J414,IF(G414+H414&lt;N414,DATE(2026,11,18)+(G414+H414-J414*34)/(J414*L414),"after Nov 30")))</f>
        <v/>
      </c>
      <c r="R414" s="54">
        <f>IF(AND(G414&lt;=0,J414&gt;0),"Out of stock now",IF(G414&gt;=N414,"Covered to Nov 30",IF(G414+H414&gt;=N414,"Needs inbound in time","Short even with inbound")))</f>
        <v/>
      </c>
      <c r="S414" s="57" t="n">
        <v>1.321</v>
      </c>
      <c r="T414" s="59">
        <f>IF(S414="","",S414*34+S414*L414*12)</f>
        <v/>
      </c>
    </row>
    <row r="415">
      <c r="A415" s="54" t="inlineStr">
        <is>
          <t>US DC S4</t>
        </is>
      </c>
      <c r="B415" s="54" t="inlineStr">
        <is>
          <t>US</t>
        </is>
      </c>
      <c r="C415" s="54" t="inlineStr">
        <is>
          <t>B0839LKZV9</t>
        </is>
      </c>
      <c r="D415" s="54" t="inlineStr">
        <is>
          <t>SATIN-KING-PURPLE</t>
        </is>
      </c>
      <c r="E415" s="54" t="inlineStr">
        <is>
          <t>King</t>
        </is>
      </c>
      <c r="F415" s="54" t="inlineStr">
        <is>
          <t>Purple</t>
        </is>
      </c>
      <c r="G415" s="55" t="n">
        <v>106</v>
      </c>
      <c r="H415" s="55" t="n">
        <v>0</v>
      </c>
      <c r="I415" s="56" t="n"/>
      <c r="J415" s="57" t="n">
        <v>1.7</v>
      </c>
      <c r="K415" s="56" t="inlineStr">
        <is>
          <t>account data velocity</t>
        </is>
      </c>
      <c r="L415" s="58" t="n">
        <v>2.6371</v>
      </c>
      <c r="M415" s="56" t="inlineStr">
        <is>
          <t>own BFCM 2025 lift (account data)</t>
        </is>
      </c>
      <c r="N415" s="59">
        <f>J415*34+J415*L415*12</f>
        <v/>
      </c>
      <c r="O415" s="59">
        <f>MAX(0,N415-G415-H415)</f>
        <v/>
      </c>
      <c r="P415" s="60">
        <f>IF(J415=0,"",IF(G415&lt;J415*34,DATE(2026,10,15)+G415/J415,IF(G415&lt;N415,DATE(2026,11,18)+(G415-J415*34)/(J415*L415),"after Nov 30")))</f>
        <v/>
      </c>
      <c r="Q415" s="60">
        <f>IF(J415=0,"",IF(G415+H415&lt;J415*34,DATE(2026,10,15)+(G415+H415)/J415,IF(G415+H415&lt;N415,DATE(2026,11,18)+(G415+H415-J415*34)/(J415*L415),"after Nov 30")))</f>
        <v/>
      </c>
      <c r="R415" s="54">
        <f>IF(AND(G415&lt;=0,J415&gt;0),"Out of stock now",IF(G415&gt;=N415,"Covered to Nov 30",IF(G415+H415&gt;=N415,"Needs inbound in time","Short even with inbound")))</f>
        <v/>
      </c>
      <c r="S415" s="57" t="n">
        <v>1.75</v>
      </c>
      <c r="T415" s="59">
        <f>IF(S415="","",S415*34+S415*L415*12)</f>
        <v/>
      </c>
    </row>
    <row r="416">
      <c r="A416" s="54" t="inlineStr">
        <is>
          <t>US DC S4</t>
        </is>
      </c>
      <c r="B416" s="54" t="inlineStr">
        <is>
          <t>US</t>
        </is>
      </c>
      <c r="C416" s="54" t="inlineStr">
        <is>
          <t>B0CV4D54FV</t>
        </is>
      </c>
      <c r="D416" s="54" t="inlineStr">
        <is>
          <t>SATIN-4PC-RED-QUEEN</t>
        </is>
      </c>
      <c r="E416" s="54" t="inlineStr">
        <is>
          <t>Queen</t>
        </is>
      </c>
      <c r="F416" s="54" t="inlineStr">
        <is>
          <t>Red</t>
        </is>
      </c>
      <c r="G416" s="55" t="n">
        <v>0</v>
      </c>
      <c r="H416" s="55" t="n">
        <v>0</v>
      </c>
      <c r="I416" s="56" t="n"/>
      <c r="J416" s="57" t="n">
        <v>1.7</v>
      </c>
      <c r="K416" s="56" t="inlineStr">
        <is>
          <t>account data velocity</t>
        </is>
      </c>
      <c r="L416" s="58" t="n">
        <v>2.6371</v>
      </c>
      <c r="M416" s="56" t="inlineStr">
        <is>
          <t>own BFCM 2025 lift (account data)</t>
        </is>
      </c>
      <c r="N416" s="59">
        <f>J416*34+J416*L416*12</f>
        <v/>
      </c>
      <c r="O416" s="59">
        <f>MAX(0,N416-G416-H416)</f>
        <v/>
      </c>
      <c r="P416" s="60">
        <f>IF(J416=0,"",IF(G416&lt;J416*34,DATE(2026,10,15)+G416/J416,IF(G416&lt;N416,DATE(2026,11,18)+(G416-J416*34)/(J416*L416),"after Nov 30")))</f>
        <v/>
      </c>
      <c r="Q416" s="60">
        <f>IF(J416=0,"",IF(G416+H416&lt;J416*34,DATE(2026,10,15)+(G416+H416)/J416,IF(G416+H416&lt;N416,DATE(2026,11,18)+(G416+H416-J416*34)/(J416*L416),"after Nov 30")))</f>
        <v/>
      </c>
      <c r="R416" s="54">
        <f>IF(AND(G416&lt;=0,J416&gt;0),"Out of stock now",IF(G416&gt;=N416,"Covered to Nov 30",IF(G416+H416&gt;=N416,"Needs inbound in time","Short even with inbound")))</f>
        <v/>
      </c>
      <c r="S416" s="57" t="n">
        <v>1.607</v>
      </c>
      <c r="T416" s="59">
        <f>IF(S416="","",S416*34+S416*L416*12)</f>
        <v/>
      </c>
    </row>
    <row r="417">
      <c r="A417" s="54" t="inlineStr">
        <is>
          <t>US DC S4</t>
        </is>
      </c>
      <c r="B417" s="54" t="inlineStr">
        <is>
          <t>US</t>
        </is>
      </c>
      <c r="C417" s="54" t="inlineStr">
        <is>
          <t>B0839L4HWH</t>
        </is>
      </c>
      <c r="D417" s="54" t="inlineStr">
        <is>
          <t>SATIN-QUEEN-BLUE</t>
        </is>
      </c>
      <c r="E417" s="54" t="inlineStr">
        <is>
          <t>Queen</t>
        </is>
      </c>
      <c r="F417" s="54" t="inlineStr">
        <is>
          <t>Blue</t>
        </is>
      </c>
      <c r="G417" s="55" t="n">
        <v>340</v>
      </c>
      <c r="H417" s="55" t="n">
        <v>0</v>
      </c>
      <c r="I417" s="56" t="n"/>
      <c r="J417" s="57" t="n">
        <v>1.68</v>
      </c>
      <c r="K417" s="56" t="inlineStr">
        <is>
          <t>account data velocity</t>
        </is>
      </c>
      <c r="L417" s="58" t="n">
        <v>2.6371</v>
      </c>
      <c r="M417" s="56" t="inlineStr">
        <is>
          <t>own BFCM 2025 lift (account data)</t>
        </is>
      </c>
      <c r="N417" s="59">
        <f>J417*34+J417*L417*12</f>
        <v/>
      </c>
      <c r="O417" s="59">
        <f>MAX(0,N417-G417-H417)</f>
        <v/>
      </c>
      <c r="P417" s="60">
        <f>IF(J417=0,"",IF(G417&lt;J417*34,DATE(2026,10,15)+G417/J417,IF(G417&lt;N417,DATE(2026,11,18)+(G417-J417*34)/(J417*L417),"after Nov 30")))</f>
        <v/>
      </c>
      <c r="Q417" s="60">
        <f>IF(J417=0,"",IF(G417+H417&lt;J417*34,DATE(2026,10,15)+(G417+H417)/J417,IF(G417+H417&lt;N417,DATE(2026,11,18)+(G417+H417-J417*34)/(J417*L417),"after Nov 30")))</f>
        <v/>
      </c>
      <c r="R417" s="54">
        <f>IF(AND(G417&lt;=0,J417&gt;0),"Out of stock now",IF(G417&gt;=N417,"Covered to Nov 30",IF(G417+H417&gt;=N417,"Needs inbound in time","Short even with inbound")))</f>
        <v/>
      </c>
      <c r="S417" s="57" t="n">
        <v>1.607</v>
      </c>
      <c r="T417" s="59">
        <f>IF(S417="","",S417*34+S417*L417*12)</f>
        <v/>
      </c>
    </row>
    <row r="418">
      <c r="A418" s="54" t="inlineStr">
        <is>
          <t>US DC S4</t>
        </is>
      </c>
      <c r="B418" s="54" t="inlineStr">
        <is>
          <t>US</t>
        </is>
      </c>
      <c r="C418" s="54" t="inlineStr">
        <is>
          <t>B0BG1YXQGT</t>
        </is>
      </c>
      <c r="D418" s="54" t="inlineStr">
        <is>
          <t>SATIN-IVORY-QUEEN</t>
        </is>
      </c>
      <c r="E418" s="54" t="inlineStr">
        <is>
          <t>Queen</t>
        </is>
      </c>
      <c r="F418" s="54" t="inlineStr">
        <is>
          <t>Ivory</t>
        </is>
      </c>
      <c r="G418" s="55" t="n">
        <v>76</v>
      </c>
      <c r="H418" s="55" t="n">
        <v>0</v>
      </c>
      <c r="I418" s="56" t="n"/>
      <c r="J418" s="57" t="n">
        <v>1.67</v>
      </c>
      <c r="K418" s="56" t="inlineStr">
        <is>
          <t>account data velocity</t>
        </is>
      </c>
      <c r="L418" s="58" t="n">
        <v>2.6371</v>
      </c>
      <c r="M418" s="56" t="inlineStr">
        <is>
          <t>own BFCM 2025 lift (account data)</t>
        </is>
      </c>
      <c r="N418" s="59">
        <f>J418*34+J418*L418*12</f>
        <v/>
      </c>
      <c r="O418" s="59">
        <f>MAX(0,N418-G418-H418)</f>
        <v/>
      </c>
      <c r="P418" s="60">
        <f>IF(J418=0,"",IF(G418&lt;J418*34,DATE(2026,10,15)+G418/J418,IF(G418&lt;N418,DATE(2026,11,18)+(G418-J418*34)/(J418*L418),"after Nov 30")))</f>
        <v/>
      </c>
      <c r="Q418" s="60">
        <f>IF(J418=0,"",IF(G418+H418&lt;J418*34,DATE(2026,10,15)+(G418+H418)/J418,IF(G418+H418&lt;N418,DATE(2026,11,18)+(G418+H418-J418*34)/(J418*L418),"after Nov 30")))</f>
        <v/>
      </c>
      <c r="R418" s="54">
        <f>IF(AND(G418&lt;=0,J418&gt;0),"Out of stock now",IF(G418&gt;=N418,"Covered to Nov 30",IF(G418+H418&gt;=N418,"Needs inbound in time","Short even with inbound")))</f>
        <v/>
      </c>
      <c r="S418" s="57" t="n">
        <v>1.429</v>
      </c>
      <c r="T418" s="59">
        <f>IF(S418="","",S418*34+S418*L418*12)</f>
        <v/>
      </c>
    </row>
    <row r="419">
      <c r="A419" s="54" t="inlineStr">
        <is>
          <t>US DC S4</t>
        </is>
      </c>
      <c r="B419" s="54" t="inlineStr">
        <is>
          <t>US</t>
        </is>
      </c>
      <c r="C419" s="54" t="inlineStr">
        <is>
          <t>B0CQRXNLN6</t>
        </is>
      </c>
      <c r="D419" s="54" t="inlineStr">
        <is>
          <t>SATIN-4PC-KING-NAVY BLUE</t>
        </is>
      </c>
      <c r="E419" s="54" t="inlineStr">
        <is>
          <t>King</t>
        </is>
      </c>
      <c r="F419" s="54" t="inlineStr">
        <is>
          <t>Navy Blue</t>
        </is>
      </c>
      <c r="G419" s="55" t="n">
        <v>80</v>
      </c>
      <c r="H419" s="55" t="n">
        <v>0</v>
      </c>
      <c r="I419" s="56" t="n"/>
      <c r="J419" s="57" t="n">
        <v>1.64</v>
      </c>
      <c r="K419" s="56" t="inlineStr">
        <is>
          <t>account data velocity</t>
        </is>
      </c>
      <c r="L419" s="58" t="n">
        <v>2.6371</v>
      </c>
      <c r="M419" s="56" t="inlineStr">
        <is>
          <t>own BFCM 2025 lift (account data)</t>
        </is>
      </c>
      <c r="N419" s="59">
        <f>J419*34+J419*L419*12</f>
        <v/>
      </c>
      <c r="O419" s="59">
        <f>MAX(0,N419-G419-H419)</f>
        <v/>
      </c>
      <c r="P419" s="60">
        <f>IF(J419=0,"",IF(G419&lt;J419*34,DATE(2026,10,15)+G419/J419,IF(G419&lt;N419,DATE(2026,11,18)+(G419-J419*34)/(J419*L419),"after Nov 30")))</f>
        <v/>
      </c>
      <c r="Q419" s="60">
        <f>IF(J419=0,"",IF(G419+H419&lt;J419*34,DATE(2026,10,15)+(G419+H419)/J419,IF(G419+H419&lt;N419,DATE(2026,11,18)+(G419+H419-J419*34)/(J419*L419),"after Nov 30")))</f>
        <v/>
      </c>
      <c r="R419" s="54">
        <f>IF(AND(G419&lt;=0,J419&gt;0),"Out of stock now",IF(G419&gt;=N419,"Covered to Nov 30",IF(G419+H419&gt;=N419,"Needs inbound in time","Short even with inbound")))</f>
        <v/>
      </c>
      <c r="S419" s="57" t="n">
        <v>0.964</v>
      </c>
      <c r="T419" s="59">
        <f>IF(S419="","",S419*34+S419*L419*12)</f>
        <v/>
      </c>
    </row>
    <row r="420">
      <c r="A420" s="54" t="inlineStr">
        <is>
          <t>US DC S4</t>
        </is>
      </c>
      <c r="B420" s="54" t="inlineStr">
        <is>
          <t>US</t>
        </is>
      </c>
      <c r="C420" s="54" t="inlineStr">
        <is>
          <t>B0DD4JMGXN</t>
        </is>
      </c>
      <c r="D420" s="54" t="inlineStr">
        <is>
          <t>SATIN-4PCS-QUEEN-STONE-GREY</t>
        </is>
      </c>
      <c r="E420" s="54" t="inlineStr">
        <is>
          <t>Queen</t>
        </is>
      </c>
      <c r="F420" s="54" t="inlineStr">
        <is>
          <t>Stone Grey</t>
        </is>
      </c>
      <c r="G420" s="55" t="n">
        <v>795</v>
      </c>
      <c r="H420" s="55" t="n">
        <v>0</v>
      </c>
      <c r="I420" s="56" t="n"/>
      <c r="J420" s="57" t="n">
        <v>1.62</v>
      </c>
      <c r="K420" s="56" t="inlineStr">
        <is>
          <t>account data velocity</t>
        </is>
      </c>
      <c r="L420" s="58" t="n">
        <v>2.6371</v>
      </c>
      <c r="M420" s="56" t="inlineStr">
        <is>
          <t>own BFCM 2025 lift (account data)</t>
        </is>
      </c>
      <c r="N420" s="59">
        <f>J420*34+J420*L420*12</f>
        <v/>
      </c>
      <c r="O420" s="59">
        <f>MAX(0,N420-G420-H420)</f>
        <v/>
      </c>
      <c r="P420" s="60">
        <f>IF(J420=0,"",IF(G420&lt;J420*34,DATE(2026,10,15)+G420/J420,IF(G420&lt;N420,DATE(2026,11,18)+(G420-J420*34)/(J420*L420),"after Nov 30")))</f>
        <v/>
      </c>
      <c r="Q420" s="60">
        <f>IF(J420=0,"",IF(G420+H420&lt;J420*34,DATE(2026,10,15)+(G420+H420)/J420,IF(G420+H420&lt;N420,DATE(2026,11,18)+(G420+H420-J420*34)/(J420*L420),"after Nov 30")))</f>
        <v/>
      </c>
      <c r="R420" s="54">
        <f>IF(AND(G420&lt;=0,J420&gt;0),"Out of stock now",IF(G420&gt;=N420,"Covered to Nov 30",IF(G420+H420&gt;=N420,"Needs inbound in time","Short even with inbound")))</f>
        <v/>
      </c>
      <c r="S420" s="57" t="n">
        <v>1.786</v>
      </c>
      <c r="T420" s="59">
        <f>IF(S420="","",S420*34+S420*L420*12)</f>
        <v/>
      </c>
    </row>
    <row r="421">
      <c r="A421" s="54" t="inlineStr">
        <is>
          <t>US DC S4</t>
        </is>
      </c>
      <c r="B421" s="54" t="inlineStr">
        <is>
          <t>US</t>
        </is>
      </c>
      <c r="C421" s="54" t="inlineStr">
        <is>
          <t>B0839LMS13</t>
        </is>
      </c>
      <c r="D421" s="54" t="inlineStr">
        <is>
          <t>SATIN-FULL-GREY</t>
        </is>
      </c>
      <c r="E421" s="54" t="inlineStr">
        <is>
          <t>Full</t>
        </is>
      </c>
      <c r="F421" s="54" t="inlineStr">
        <is>
          <t>Grey</t>
        </is>
      </c>
      <c r="G421" s="55" t="n">
        <v>268</v>
      </c>
      <c r="H421" s="55" t="n">
        <v>0</v>
      </c>
      <c r="I421" s="56" t="n"/>
      <c r="J421" s="57" t="n">
        <v>1.52</v>
      </c>
      <c r="K421" s="56" t="inlineStr">
        <is>
          <t>account data velocity</t>
        </is>
      </c>
      <c r="L421" s="58" t="n">
        <v>2.6371</v>
      </c>
      <c r="M421" s="56" t="inlineStr">
        <is>
          <t>own BFCM 2025 lift (account data)</t>
        </is>
      </c>
      <c r="N421" s="59">
        <f>J421*34+J421*L421*12</f>
        <v/>
      </c>
      <c r="O421" s="59">
        <f>MAX(0,N421-G421-H421)</f>
        <v/>
      </c>
      <c r="P421" s="60">
        <f>IF(J421=0,"",IF(G421&lt;J421*34,DATE(2026,10,15)+G421/J421,IF(G421&lt;N421,DATE(2026,11,18)+(G421-J421*34)/(J421*L421),"after Nov 30")))</f>
        <v/>
      </c>
      <c r="Q421" s="60">
        <f>IF(J421=0,"",IF(G421+H421&lt;J421*34,DATE(2026,10,15)+(G421+H421)/J421,IF(G421+H421&lt;N421,DATE(2026,11,18)+(G421+H421-J421*34)/(J421*L421),"after Nov 30")))</f>
        <v/>
      </c>
      <c r="R421" s="54">
        <f>IF(AND(G421&lt;=0,J421&gt;0),"Out of stock now",IF(G421&gt;=N421,"Covered to Nov 30",IF(G421+H421&gt;=N421,"Needs inbound in time","Short even with inbound")))</f>
        <v/>
      </c>
      <c r="S421" s="57" t="n">
        <v>1.179</v>
      </c>
      <c r="T421" s="59">
        <f>IF(S421="","",S421*34+S421*L421*12)</f>
        <v/>
      </c>
    </row>
    <row r="422">
      <c r="A422" s="54" t="inlineStr">
        <is>
          <t>US DC S4</t>
        </is>
      </c>
      <c r="B422" s="54" t="inlineStr">
        <is>
          <t>US</t>
        </is>
      </c>
      <c r="C422" s="54" t="inlineStr">
        <is>
          <t>B0DBR1X2XQ</t>
        </is>
      </c>
      <c r="D422" s="54" t="inlineStr">
        <is>
          <t>SATIN-4PCS-KING-STONEGREY</t>
        </is>
      </c>
      <c r="E422" s="54" t="inlineStr">
        <is>
          <t>King</t>
        </is>
      </c>
      <c r="F422" s="54" t="inlineStr">
        <is>
          <t>Stone Grey</t>
        </is>
      </c>
      <c r="G422" s="55" t="n">
        <v>39</v>
      </c>
      <c r="H422" s="55" t="n">
        <v>42</v>
      </c>
      <c r="I422" s="56" t="inlineStr">
        <is>
          <t>FBA19N7XSBR9 in transit: 6; FBA19MR9TT8D receiving: 18; FBA19MR6P408 receiving: 18</t>
        </is>
      </c>
      <c r="J422" s="57" t="n">
        <v>1.51</v>
      </c>
      <c r="K422" s="56" t="inlineStr">
        <is>
          <t>account data velocity</t>
        </is>
      </c>
      <c r="L422" s="58" t="n">
        <v>2.6371</v>
      </c>
      <c r="M422" s="56" t="inlineStr">
        <is>
          <t>own BFCM 2025 lift (account data)</t>
        </is>
      </c>
      <c r="N422" s="59">
        <f>J422*34+J422*L422*12</f>
        <v/>
      </c>
      <c r="O422" s="59">
        <f>MAX(0,N422-G422-H422)</f>
        <v/>
      </c>
      <c r="P422" s="60">
        <f>IF(J422=0,"",IF(G422&lt;J422*34,DATE(2026,10,15)+G422/J422,IF(G422&lt;N422,DATE(2026,11,18)+(G422-J422*34)/(J422*L422),"after Nov 30")))</f>
        <v/>
      </c>
      <c r="Q422" s="60">
        <f>IF(J422=0,"",IF(G422+H422&lt;J422*34,DATE(2026,10,15)+(G422+H422)/J422,IF(G422+H422&lt;N422,DATE(2026,11,18)+(G422+H422-J422*34)/(J422*L422),"after Nov 30")))</f>
        <v/>
      </c>
      <c r="R422" s="54">
        <f>IF(AND(G422&lt;=0,J422&gt;0),"Out of stock now",IF(G422&gt;=N422,"Covered to Nov 30",IF(G422+H422&gt;=N422,"Needs inbound in time","Short even with inbound")))</f>
        <v/>
      </c>
      <c r="S422" s="57" t="n">
        <v>0.821</v>
      </c>
      <c r="T422" s="59">
        <f>IF(S422="","",S422*34+S422*L422*12)</f>
        <v/>
      </c>
    </row>
    <row r="423">
      <c r="A423" s="54" t="inlineStr">
        <is>
          <t>US DC S4</t>
        </is>
      </c>
      <c r="B423" s="54" t="inlineStr">
        <is>
          <t>US</t>
        </is>
      </c>
      <c r="C423" s="54" t="inlineStr">
        <is>
          <t>B0BG228RDJ</t>
        </is>
      </c>
      <c r="D423" s="54" t="inlineStr">
        <is>
          <t>SATIN-SEA-TEAL-QUEEN</t>
        </is>
      </c>
      <c r="E423" s="54" t="inlineStr">
        <is>
          <t>Queen</t>
        </is>
      </c>
      <c r="F423" s="54" t="inlineStr">
        <is>
          <t>Sea Teal</t>
        </is>
      </c>
      <c r="G423" s="55" t="n">
        <v>72</v>
      </c>
      <c r="H423" s="55" t="n">
        <v>0</v>
      </c>
      <c r="I423" s="56" t="n"/>
      <c r="J423" s="57" t="n">
        <v>1.46</v>
      </c>
      <c r="K423" s="56" t="inlineStr">
        <is>
          <t>account data velocity</t>
        </is>
      </c>
      <c r="L423" s="58" t="n">
        <v>2.6371</v>
      </c>
      <c r="M423" s="56" t="inlineStr">
        <is>
          <t>own BFCM 2025 lift (account data)</t>
        </is>
      </c>
      <c r="N423" s="59">
        <f>J423*34+J423*L423*12</f>
        <v/>
      </c>
      <c r="O423" s="59">
        <f>MAX(0,N423-G423-H423)</f>
        <v/>
      </c>
      <c r="P423" s="60">
        <f>IF(J423=0,"",IF(G423&lt;J423*34,DATE(2026,10,15)+G423/J423,IF(G423&lt;N423,DATE(2026,11,18)+(G423-J423*34)/(J423*L423),"after Nov 30")))</f>
        <v/>
      </c>
      <c r="Q423" s="60">
        <f>IF(J423=0,"",IF(G423+H423&lt;J423*34,DATE(2026,10,15)+(G423+H423)/J423,IF(G423+H423&lt;N423,DATE(2026,11,18)+(G423+H423-J423*34)/(J423*L423),"after Nov 30")))</f>
        <v/>
      </c>
      <c r="R423" s="54">
        <f>IF(AND(G423&lt;=0,J423&gt;0),"Out of stock now",IF(G423&gt;=N423,"Covered to Nov 30",IF(G423+H423&gt;=N423,"Needs inbound in time","Short even with inbound")))</f>
        <v/>
      </c>
      <c r="S423" s="57" t="n">
        <v>1.179</v>
      </c>
      <c r="T423" s="59">
        <f>IF(S423="","",S423*34+S423*L423*12)</f>
        <v/>
      </c>
    </row>
    <row r="424">
      <c r="A424" s="54" t="inlineStr">
        <is>
          <t>US DC S4</t>
        </is>
      </c>
      <c r="B424" s="54" t="inlineStr">
        <is>
          <t>US</t>
        </is>
      </c>
      <c r="C424" s="54" t="inlineStr">
        <is>
          <t>B0839L5PDJ</t>
        </is>
      </c>
      <c r="D424" s="54" t="inlineStr">
        <is>
          <t>SATIN-KING-BLUE</t>
        </is>
      </c>
      <c r="E424" s="54" t="inlineStr">
        <is>
          <t>King</t>
        </is>
      </c>
      <c r="F424" s="54" t="inlineStr">
        <is>
          <t>Blue</t>
        </is>
      </c>
      <c r="G424" s="55" t="n">
        <v>313</v>
      </c>
      <c r="H424" s="55" t="n">
        <v>0</v>
      </c>
      <c r="I424" s="56" t="n"/>
      <c r="J424" s="57" t="n">
        <v>1.36</v>
      </c>
      <c r="K424" s="56" t="inlineStr">
        <is>
          <t>account data velocity</t>
        </is>
      </c>
      <c r="L424" s="58" t="n">
        <v>2.6371</v>
      </c>
      <c r="M424" s="56" t="inlineStr">
        <is>
          <t>own BFCM 2025 lift (account data)</t>
        </is>
      </c>
      <c r="N424" s="59">
        <f>J424*34+J424*L424*12</f>
        <v/>
      </c>
      <c r="O424" s="59">
        <f>MAX(0,N424-G424-H424)</f>
        <v/>
      </c>
      <c r="P424" s="60">
        <f>IF(J424=0,"",IF(G424&lt;J424*34,DATE(2026,10,15)+G424/J424,IF(G424&lt;N424,DATE(2026,11,18)+(G424-J424*34)/(J424*L424),"after Nov 30")))</f>
        <v/>
      </c>
      <c r="Q424" s="60">
        <f>IF(J424=0,"",IF(G424+H424&lt;J424*34,DATE(2026,10,15)+(G424+H424)/J424,IF(G424+H424&lt;N424,DATE(2026,11,18)+(G424+H424-J424*34)/(J424*L424),"after Nov 30")))</f>
        <v/>
      </c>
      <c r="R424" s="54">
        <f>IF(AND(G424&lt;=0,J424&gt;0),"Out of stock now",IF(G424&gt;=N424,"Covered to Nov 30",IF(G424+H424&gt;=N424,"Needs inbound in time","Short even with inbound")))</f>
        <v/>
      </c>
      <c r="S424" s="57" t="n">
        <v>1.357</v>
      </c>
      <c r="T424" s="59">
        <f>IF(S424="","",S424*34+S424*L424*12)</f>
        <v/>
      </c>
    </row>
    <row r="425">
      <c r="A425" s="54" t="inlineStr">
        <is>
          <t>US DC S4</t>
        </is>
      </c>
      <c r="B425" s="54" t="inlineStr">
        <is>
          <t>US</t>
        </is>
      </c>
      <c r="C425" s="54" t="inlineStr">
        <is>
          <t>B0BZPV84V7</t>
        </is>
      </c>
      <c r="D425" s="54" t="inlineStr">
        <is>
          <t>SATIN-CHAMPAGNE-QUEEN</t>
        </is>
      </c>
      <c r="E425" s="54" t="inlineStr">
        <is>
          <t>Queen</t>
        </is>
      </c>
      <c r="F425" s="54" t="inlineStr">
        <is>
          <t>Champagne</t>
        </is>
      </c>
      <c r="G425" s="55" t="n">
        <v>121</v>
      </c>
      <c r="H425" s="55" t="n">
        <v>0</v>
      </c>
      <c r="I425" s="56" t="n"/>
      <c r="J425" s="57" t="n">
        <v>1.29</v>
      </c>
      <c r="K425" s="56" t="inlineStr">
        <is>
          <t>account data velocity</t>
        </is>
      </c>
      <c r="L425" s="58" t="n">
        <v>2.6371</v>
      </c>
      <c r="M425" s="56" t="inlineStr">
        <is>
          <t>own BFCM 2025 lift (account data)</t>
        </is>
      </c>
      <c r="N425" s="59">
        <f>J425*34+J425*L425*12</f>
        <v/>
      </c>
      <c r="O425" s="59">
        <f>MAX(0,N425-G425-H425)</f>
        <v/>
      </c>
      <c r="P425" s="60">
        <f>IF(J425=0,"",IF(G425&lt;J425*34,DATE(2026,10,15)+G425/J425,IF(G425&lt;N425,DATE(2026,11,18)+(G425-J425*34)/(J425*L425),"after Nov 30")))</f>
        <v/>
      </c>
      <c r="Q425" s="60">
        <f>IF(J425=0,"",IF(G425+H425&lt;J425*34,DATE(2026,10,15)+(G425+H425)/J425,IF(G425+H425&lt;N425,DATE(2026,11,18)+(G425+H425-J425*34)/(J425*L425),"after Nov 30")))</f>
        <v/>
      </c>
      <c r="R425" s="54">
        <f>IF(AND(G425&lt;=0,J425&gt;0),"Out of stock now",IF(G425&gt;=N425,"Covered to Nov 30",IF(G425+H425&gt;=N425,"Needs inbound in time","Short even with inbound")))</f>
        <v/>
      </c>
      <c r="S425" s="57" t="n">
        <v>0.929</v>
      </c>
      <c r="T425" s="59">
        <f>IF(S425="","",S425*34+S425*L425*12)</f>
        <v/>
      </c>
    </row>
    <row r="426">
      <c r="A426" s="54" t="inlineStr">
        <is>
          <t>US DC S4</t>
        </is>
      </c>
      <c r="B426" s="54" t="inlineStr">
        <is>
          <t>US</t>
        </is>
      </c>
      <c r="C426" s="54" t="inlineStr">
        <is>
          <t>B0839L7PJL</t>
        </is>
      </c>
      <c r="D426" s="54" t="inlineStr">
        <is>
          <t>SATIN-TWIN-BLACK-NEW</t>
        </is>
      </c>
      <c r="E426" s="54" t="inlineStr">
        <is>
          <t>Twin</t>
        </is>
      </c>
      <c r="F426" s="54" t="inlineStr">
        <is>
          <t>Black</t>
        </is>
      </c>
      <c r="G426" s="55" t="n">
        <v>57</v>
      </c>
      <c r="H426" s="55" t="n">
        <v>0</v>
      </c>
      <c r="I426" s="56" t="n"/>
      <c r="J426" s="57" t="n">
        <v>1.27</v>
      </c>
      <c r="K426" s="56" t="inlineStr">
        <is>
          <t>account data velocity</t>
        </is>
      </c>
      <c r="L426" s="58" t="n">
        <v>2.6371</v>
      </c>
      <c r="M426" s="56" t="inlineStr">
        <is>
          <t>own BFCM 2025 lift (account data)</t>
        </is>
      </c>
      <c r="N426" s="59">
        <f>J426*34+J426*L426*12</f>
        <v/>
      </c>
      <c r="O426" s="59">
        <f>MAX(0,N426-G426-H426)</f>
        <v/>
      </c>
      <c r="P426" s="60">
        <f>IF(J426=0,"",IF(G426&lt;J426*34,DATE(2026,10,15)+G426/J426,IF(G426&lt;N426,DATE(2026,11,18)+(G426-J426*34)/(J426*L426),"after Nov 30")))</f>
        <v/>
      </c>
      <c r="Q426" s="60">
        <f>IF(J426=0,"",IF(G426+H426&lt;J426*34,DATE(2026,10,15)+(G426+H426)/J426,IF(G426+H426&lt;N426,DATE(2026,11,18)+(G426+H426-J426*34)/(J426*L426),"after Nov 30")))</f>
        <v/>
      </c>
      <c r="R426" s="54">
        <f>IF(AND(G426&lt;=0,J426&gt;0),"Out of stock now",IF(G426&gt;=N426,"Covered to Nov 30",IF(G426+H426&gt;=N426,"Needs inbound in time","Short even with inbound")))</f>
        <v/>
      </c>
      <c r="S426" s="57" t="n">
        <v>1.321</v>
      </c>
      <c r="T426" s="59">
        <f>IF(S426="","",S426*34+S426*L426*12)</f>
        <v/>
      </c>
    </row>
    <row r="427">
      <c r="A427" s="54" t="inlineStr">
        <is>
          <t>US DC S4</t>
        </is>
      </c>
      <c r="B427" s="54" t="inlineStr">
        <is>
          <t>US</t>
        </is>
      </c>
      <c r="C427" s="54" t="inlineStr">
        <is>
          <t>B0CQRYDFC1</t>
        </is>
      </c>
      <c r="D427" s="54" t="inlineStr">
        <is>
          <t>SATIN-4PC-KING-BABY BLUE</t>
        </is>
      </c>
      <c r="E427" s="54" t="inlineStr">
        <is>
          <t>King</t>
        </is>
      </c>
      <c r="F427" s="54" t="inlineStr">
        <is>
          <t>Baby Blue</t>
        </is>
      </c>
      <c r="G427" s="55" t="n">
        <v>148</v>
      </c>
      <c r="H427" s="55" t="n">
        <v>0</v>
      </c>
      <c r="I427" s="56" t="inlineStr">
        <is>
          <t>FBA19SV5KWMR ready to ship: 18</t>
        </is>
      </c>
      <c r="J427" s="57" t="n">
        <v>1.23</v>
      </c>
      <c r="K427" s="56" t="inlineStr">
        <is>
          <t>account data velocity</t>
        </is>
      </c>
      <c r="L427" s="58" t="n">
        <v>2.6371</v>
      </c>
      <c r="M427" s="56" t="inlineStr">
        <is>
          <t>own BFCM 2025 lift (account data)</t>
        </is>
      </c>
      <c r="N427" s="59">
        <f>J427*34+J427*L427*12</f>
        <v/>
      </c>
      <c r="O427" s="59">
        <f>MAX(0,N427-G427-H427)</f>
        <v/>
      </c>
      <c r="P427" s="60">
        <f>IF(J427=0,"",IF(G427&lt;J427*34,DATE(2026,10,15)+G427/J427,IF(G427&lt;N427,DATE(2026,11,18)+(G427-J427*34)/(J427*L427),"after Nov 30")))</f>
        <v/>
      </c>
      <c r="Q427" s="60">
        <f>IF(J427=0,"",IF(G427+H427&lt;J427*34,DATE(2026,10,15)+(G427+H427)/J427,IF(G427+H427&lt;N427,DATE(2026,11,18)+(G427+H427-J427*34)/(J427*L427),"after Nov 30")))</f>
        <v/>
      </c>
      <c r="R427" s="54">
        <f>IF(AND(G427&lt;=0,J427&gt;0),"Out of stock now",IF(G427&gt;=N427,"Covered to Nov 30",IF(G427+H427&gt;=N427,"Needs inbound in time","Short even with inbound")))</f>
        <v/>
      </c>
      <c r="S427" s="57" t="n">
        <v>1.143</v>
      </c>
      <c r="T427" s="59">
        <f>IF(S427="","",S427*34+S427*L427*12)</f>
        <v/>
      </c>
    </row>
    <row r="428">
      <c r="A428" s="54" t="inlineStr">
        <is>
          <t>US DC S4</t>
        </is>
      </c>
      <c r="B428" s="54" t="inlineStr">
        <is>
          <t>US</t>
        </is>
      </c>
      <c r="C428" s="54" t="inlineStr">
        <is>
          <t>B0839LQG4C</t>
        </is>
      </c>
      <c r="D428" s="54" t="inlineStr">
        <is>
          <t>SATIN-QUEEN-PINK</t>
        </is>
      </c>
      <c r="E428" s="54" t="inlineStr">
        <is>
          <t>Queen</t>
        </is>
      </c>
      <c r="F428" s="54" t="inlineStr">
        <is>
          <t>Pink</t>
        </is>
      </c>
      <c r="G428" s="55" t="n">
        <v>302</v>
      </c>
      <c r="H428" s="55" t="n">
        <v>0</v>
      </c>
      <c r="I428" s="56" t="n"/>
      <c r="J428" s="57" t="n">
        <v>1.16</v>
      </c>
      <c r="K428" s="56" t="inlineStr">
        <is>
          <t>account data velocity</t>
        </is>
      </c>
      <c r="L428" s="58" t="n">
        <v>2.6371</v>
      </c>
      <c r="M428" s="56" t="inlineStr">
        <is>
          <t>own BFCM 2025 lift (account data)</t>
        </is>
      </c>
      <c r="N428" s="59">
        <f>J428*34+J428*L428*12</f>
        <v/>
      </c>
      <c r="O428" s="59">
        <f>MAX(0,N428-G428-H428)</f>
        <v/>
      </c>
      <c r="P428" s="60">
        <f>IF(J428=0,"",IF(G428&lt;J428*34,DATE(2026,10,15)+G428/J428,IF(G428&lt;N428,DATE(2026,11,18)+(G428-J428*34)/(J428*L428),"after Nov 30")))</f>
        <v/>
      </c>
      <c r="Q428" s="60">
        <f>IF(J428=0,"",IF(G428+H428&lt;J428*34,DATE(2026,10,15)+(G428+H428)/J428,IF(G428+H428&lt;N428,DATE(2026,11,18)+(G428+H428-J428*34)/(J428*L428),"after Nov 30")))</f>
        <v/>
      </c>
      <c r="R428" s="54">
        <f>IF(AND(G428&lt;=0,J428&gt;0),"Out of stock now",IF(G428&gt;=N428,"Covered to Nov 30",IF(G428+H428&gt;=N428,"Needs inbound in time","Short even with inbound")))</f>
        <v/>
      </c>
      <c r="S428" s="57" t="n">
        <v>1</v>
      </c>
      <c r="T428" s="59">
        <f>IF(S428="","",S428*34+S428*L428*12)</f>
        <v/>
      </c>
    </row>
    <row r="429">
      <c r="A429" s="54" t="inlineStr">
        <is>
          <t>US DC S4</t>
        </is>
      </c>
      <c r="B429" s="54" t="inlineStr">
        <is>
          <t>US</t>
        </is>
      </c>
      <c r="C429" s="54" t="inlineStr">
        <is>
          <t>B0CQRXKRPN</t>
        </is>
      </c>
      <c r="D429" s="54" t="inlineStr">
        <is>
          <t>SATIN-4PC-QUEEN-LAVENDER</t>
        </is>
      </c>
      <c r="E429" s="54" t="inlineStr">
        <is>
          <t>Queen</t>
        </is>
      </c>
      <c r="F429" s="54" t="inlineStr">
        <is>
          <t>Lavender</t>
        </is>
      </c>
      <c r="G429" s="55" t="n">
        <v>5</v>
      </c>
      <c r="H429" s="55" t="n">
        <v>0</v>
      </c>
      <c r="I429" s="56" t="n"/>
      <c r="J429" s="57" t="n">
        <v>1.09</v>
      </c>
      <c r="K429" s="56" t="inlineStr">
        <is>
          <t>account data velocity</t>
        </is>
      </c>
      <c r="L429" s="58" t="n">
        <v>2.6371</v>
      </c>
      <c r="M429" s="56" t="inlineStr">
        <is>
          <t>own BFCM 2025 lift (account data)</t>
        </is>
      </c>
      <c r="N429" s="59">
        <f>J429*34+J429*L429*12</f>
        <v/>
      </c>
      <c r="O429" s="59">
        <f>MAX(0,N429-G429-H429)</f>
        <v/>
      </c>
      <c r="P429" s="60">
        <f>IF(J429=0,"",IF(G429&lt;J429*34,DATE(2026,10,15)+G429/J429,IF(G429&lt;N429,DATE(2026,11,18)+(G429-J429*34)/(J429*L429),"after Nov 30")))</f>
        <v/>
      </c>
      <c r="Q429" s="60">
        <f>IF(J429=0,"",IF(G429+H429&lt;J429*34,DATE(2026,10,15)+(G429+H429)/J429,IF(G429+H429&lt;N429,DATE(2026,11,18)+(G429+H429-J429*34)/(J429*L429),"after Nov 30")))</f>
        <v/>
      </c>
      <c r="R429" s="54">
        <f>IF(AND(G429&lt;=0,J429&gt;0),"Out of stock now",IF(G429&gt;=N429,"Covered to Nov 30",IF(G429+H429&gt;=N429,"Needs inbound in time","Short even with inbound")))</f>
        <v/>
      </c>
      <c r="S429" s="57" t="n">
        <v>1.036</v>
      </c>
      <c r="T429" s="59">
        <f>IF(S429="","",S429*34+S429*L429*12)</f>
        <v/>
      </c>
    </row>
    <row r="430">
      <c r="A430" s="54" t="inlineStr">
        <is>
          <t>US DC S4</t>
        </is>
      </c>
      <c r="B430" s="54" t="inlineStr">
        <is>
          <t>US</t>
        </is>
      </c>
      <c r="C430" s="54" t="inlineStr">
        <is>
          <t>B08KRNYD9B</t>
        </is>
      </c>
      <c r="D430" s="54" t="inlineStr">
        <is>
          <t>SATIN-WHITE-FULL</t>
        </is>
      </c>
      <c r="E430" s="54" t="inlineStr">
        <is>
          <t>Full</t>
        </is>
      </c>
      <c r="F430" s="54" t="inlineStr">
        <is>
          <t>White</t>
        </is>
      </c>
      <c r="G430" s="55" t="n">
        <v>80</v>
      </c>
      <c r="H430" s="55" t="n">
        <v>0</v>
      </c>
      <c r="I430" s="56" t="n"/>
      <c r="J430" s="57" t="n">
        <v>1.07</v>
      </c>
      <c r="K430" s="56" t="inlineStr">
        <is>
          <t>account data velocity</t>
        </is>
      </c>
      <c r="L430" s="58" t="n">
        <v>2.6371</v>
      </c>
      <c r="M430" s="56" t="inlineStr">
        <is>
          <t>own BFCM 2025 lift (account data)</t>
        </is>
      </c>
      <c r="N430" s="59">
        <f>J430*34+J430*L430*12</f>
        <v/>
      </c>
      <c r="O430" s="59">
        <f>MAX(0,N430-G430-H430)</f>
        <v/>
      </c>
      <c r="P430" s="60">
        <f>IF(J430=0,"",IF(G430&lt;J430*34,DATE(2026,10,15)+G430/J430,IF(G430&lt;N430,DATE(2026,11,18)+(G430-J430*34)/(J430*L430),"after Nov 30")))</f>
        <v/>
      </c>
      <c r="Q430" s="60">
        <f>IF(J430=0,"",IF(G430+H430&lt;J430*34,DATE(2026,10,15)+(G430+H430)/J430,IF(G430+H430&lt;N430,DATE(2026,11,18)+(G430+H430-J430*34)/(J430*L430),"after Nov 30")))</f>
        <v/>
      </c>
      <c r="R430" s="54">
        <f>IF(AND(G430&lt;=0,J430&gt;0),"Out of stock now",IF(G430&gt;=N430,"Covered to Nov 30",IF(G430+H430&gt;=N430,"Needs inbound in time","Short even with inbound")))</f>
        <v/>
      </c>
      <c r="S430" s="57" t="n">
        <v>0.679</v>
      </c>
      <c r="T430" s="59">
        <f>IF(S430="","",S430*34+S430*L430*12)</f>
        <v/>
      </c>
    </row>
    <row r="431">
      <c r="A431" s="54" t="inlineStr">
        <is>
          <t>US DC S4</t>
        </is>
      </c>
      <c r="B431" s="54" t="inlineStr">
        <is>
          <t>US</t>
        </is>
      </c>
      <c r="C431" s="54" t="inlineStr">
        <is>
          <t>B09G6N2PNK</t>
        </is>
      </c>
      <c r="D431" s="54" t="inlineStr">
        <is>
          <t>SATIN-STRIPE-KING-WHITE</t>
        </is>
      </c>
      <c r="E431" s="54" t="inlineStr">
        <is>
          <t>King</t>
        </is>
      </c>
      <c r="F431" s="54" t="inlineStr">
        <is>
          <t>Striped White</t>
        </is>
      </c>
      <c r="G431" s="55" t="n">
        <v>19</v>
      </c>
      <c r="H431" s="55" t="n">
        <v>78</v>
      </c>
      <c r="I431" s="56" t="inlineStr">
        <is>
          <t>FBA19STZ9LHZ ready to ship: 6; FBA19STRJMC3 ready to ship: 6; FBA19SV47PX1 ready to ship: 6; FBA19SV1CLVT ready to ship: 6; FBA19STYQSF4 ready to ship: 6; FBA19RS1HC4F shipped: 6; FBA19RRY6QFT shipped: 6; FBA19RS0N5K2 shipped: 6; FBA19RRYCGHJ shipped: 6; FBA19RRY5FBL shipped: 6; FBA19N7WSG18 in transit: 6; FBA19N7RP6W7 in transit: 6; FBA19N7RQF4Q ready to ship: 6</t>
        </is>
      </c>
      <c r="J431" s="57" t="n">
        <v>1.05</v>
      </c>
      <c r="K431" s="56" t="inlineStr">
        <is>
          <t>account data velocity</t>
        </is>
      </c>
      <c r="L431" s="58" t="n">
        <v>2.6371</v>
      </c>
      <c r="M431" s="56" t="inlineStr">
        <is>
          <t>own BFCM 2025 lift (account data)</t>
        </is>
      </c>
      <c r="N431" s="59">
        <f>J431*34+J431*L431*12</f>
        <v/>
      </c>
      <c r="O431" s="59">
        <f>MAX(0,N431-G431-H431)</f>
        <v/>
      </c>
      <c r="P431" s="60">
        <f>IF(J431=0,"",IF(G431&lt;J431*34,DATE(2026,10,15)+G431/J431,IF(G431&lt;N431,DATE(2026,11,18)+(G431-J431*34)/(J431*L431),"after Nov 30")))</f>
        <v/>
      </c>
      <c r="Q431" s="60">
        <f>IF(J431=0,"",IF(G431+H431&lt;J431*34,DATE(2026,10,15)+(G431+H431)/J431,IF(G431+H431&lt;N431,DATE(2026,11,18)+(G431+H431-J431*34)/(J431*L431),"after Nov 30")))</f>
        <v/>
      </c>
      <c r="R431" s="54">
        <f>IF(AND(G431&lt;=0,J431&gt;0),"Out of stock now",IF(G431&gt;=N431,"Covered to Nov 30",IF(G431+H431&gt;=N431,"Needs inbound in time","Short even with inbound")))</f>
        <v/>
      </c>
      <c r="S431" s="57" t="n">
        <v>0.607</v>
      </c>
      <c r="T431" s="59">
        <f>IF(S431="","",S431*34+S431*L431*12)</f>
        <v/>
      </c>
    </row>
    <row r="432">
      <c r="A432" s="54" t="inlineStr">
        <is>
          <t>US DC S4</t>
        </is>
      </c>
      <c r="B432" s="54" t="inlineStr">
        <is>
          <t>US</t>
        </is>
      </c>
      <c r="C432" s="54" t="inlineStr">
        <is>
          <t>B0DBR1DWPP</t>
        </is>
      </c>
      <c r="D432" s="54" t="inlineStr">
        <is>
          <t>SATIN-4PCS-KING-ROSEWOOD</t>
        </is>
      </c>
      <c r="E432" s="54" t="inlineStr">
        <is>
          <t>King</t>
        </is>
      </c>
      <c r="F432" s="54" t="inlineStr">
        <is>
          <t>Rosewood</t>
        </is>
      </c>
      <c r="G432" s="55" t="n">
        <v>32</v>
      </c>
      <c r="H432" s="55" t="n">
        <v>0</v>
      </c>
      <c r="I432" s="56" t="n"/>
      <c r="J432" s="57" t="n">
        <v>0.99</v>
      </c>
      <c r="K432" s="56" t="inlineStr">
        <is>
          <t>account data velocity</t>
        </is>
      </c>
      <c r="L432" s="58" t="n">
        <v>2.6371</v>
      </c>
      <c r="M432" s="56" t="inlineStr">
        <is>
          <t>own BFCM 2025 lift (account data)</t>
        </is>
      </c>
      <c r="N432" s="59">
        <f>J432*34+J432*L432*12</f>
        <v/>
      </c>
      <c r="O432" s="59">
        <f>MAX(0,N432-G432-H432)</f>
        <v/>
      </c>
      <c r="P432" s="60">
        <f>IF(J432=0,"",IF(G432&lt;J432*34,DATE(2026,10,15)+G432/J432,IF(G432&lt;N432,DATE(2026,11,18)+(G432-J432*34)/(J432*L432),"after Nov 30")))</f>
        <v/>
      </c>
      <c r="Q432" s="60">
        <f>IF(J432=0,"",IF(G432+H432&lt;J432*34,DATE(2026,10,15)+(G432+H432)/J432,IF(G432+H432&lt;N432,DATE(2026,11,18)+(G432+H432-J432*34)/(J432*L432),"after Nov 30")))</f>
        <v/>
      </c>
      <c r="R432" s="54">
        <f>IF(AND(G432&lt;=0,J432&gt;0),"Out of stock now",IF(G432&gt;=N432,"Covered to Nov 30",IF(G432+H432&gt;=N432,"Needs inbound in time","Short even with inbound")))</f>
        <v/>
      </c>
      <c r="S432" s="57" t="n">
        <v>0.857</v>
      </c>
      <c r="T432" s="59">
        <f>IF(S432="","",S432*34+S432*L432*12)</f>
        <v/>
      </c>
    </row>
    <row r="433">
      <c r="A433" s="54" t="inlineStr">
        <is>
          <t>US DC S4</t>
        </is>
      </c>
      <c r="B433" s="54" t="inlineStr">
        <is>
          <t>US</t>
        </is>
      </c>
      <c r="C433" s="54" t="inlineStr">
        <is>
          <t>B0CQPPJFWN</t>
        </is>
      </c>
      <c r="D433" s="54" t="inlineStr">
        <is>
          <t>SATIN-4PC-KING-DARK GREEN</t>
        </is>
      </c>
      <c r="E433" s="54" t="inlineStr">
        <is>
          <t>King</t>
        </is>
      </c>
      <c r="F433" s="54" t="inlineStr">
        <is>
          <t>Dark Green</t>
        </is>
      </c>
      <c r="G433" s="55" t="n">
        <v>156</v>
      </c>
      <c r="H433" s="55" t="n">
        <v>12</v>
      </c>
      <c r="I433" s="56" t="inlineStr">
        <is>
          <t>FBA19MRB64ZM receiving: 6; FBA19MR798TN receiving: 6</t>
        </is>
      </c>
      <c r="J433" s="57" t="n">
        <v>0.99</v>
      </c>
      <c r="K433" s="56" t="inlineStr">
        <is>
          <t>account data velocity</t>
        </is>
      </c>
      <c r="L433" s="58" t="n">
        <v>2.6371</v>
      </c>
      <c r="M433" s="56" t="inlineStr">
        <is>
          <t>own BFCM 2025 lift (account data)</t>
        </is>
      </c>
      <c r="N433" s="59">
        <f>J433*34+J433*L433*12</f>
        <v/>
      </c>
      <c r="O433" s="59">
        <f>MAX(0,N433-G433-H433)</f>
        <v/>
      </c>
      <c r="P433" s="60">
        <f>IF(J433=0,"",IF(G433&lt;J433*34,DATE(2026,10,15)+G433/J433,IF(G433&lt;N433,DATE(2026,11,18)+(G433-J433*34)/(J433*L433),"after Nov 30")))</f>
        <v/>
      </c>
      <c r="Q433" s="60">
        <f>IF(J433=0,"",IF(G433+H433&lt;J433*34,DATE(2026,10,15)+(G433+H433)/J433,IF(G433+H433&lt;N433,DATE(2026,11,18)+(G433+H433-J433*34)/(J433*L433),"after Nov 30")))</f>
        <v/>
      </c>
      <c r="R433" s="54">
        <f>IF(AND(G433&lt;=0,J433&gt;0),"Out of stock now",IF(G433&gt;=N433,"Covered to Nov 30",IF(G433+H433&gt;=N433,"Needs inbound in time","Short even with inbound")))</f>
        <v/>
      </c>
      <c r="S433" s="57" t="n">
        <v>0.821</v>
      </c>
      <c r="T433" s="59">
        <f>IF(S433="","",S433*34+S433*L433*12)</f>
        <v/>
      </c>
    </row>
    <row r="434">
      <c r="A434" s="54" t="inlineStr">
        <is>
          <t>US DC S4</t>
        </is>
      </c>
      <c r="B434" s="54" t="inlineStr">
        <is>
          <t>US</t>
        </is>
      </c>
      <c r="C434" s="54" t="inlineStr">
        <is>
          <t>B0CQRZ6JQ3</t>
        </is>
      </c>
      <c r="D434" s="54" t="inlineStr">
        <is>
          <t>SATIN-4PC-QUEEN-BURNT ORANGE</t>
        </is>
      </c>
      <c r="E434" s="54" t="inlineStr">
        <is>
          <t>Queen</t>
        </is>
      </c>
      <c r="F434" s="54" t="inlineStr">
        <is>
          <t>Burnt Orange</t>
        </is>
      </c>
      <c r="G434" s="55" t="n">
        <v>23</v>
      </c>
      <c r="H434" s="55" t="n">
        <v>0</v>
      </c>
      <c r="I434" s="56" t="n"/>
      <c r="J434" s="57" t="n">
        <v>0.95</v>
      </c>
      <c r="K434" s="56" t="inlineStr">
        <is>
          <t>account data velocity</t>
        </is>
      </c>
      <c r="L434" s="58" t="n">
        <v>2.6371</v>
      </c>
      <c r="M434" s="56" t="inlineStr">
        <is>
          <t>own BFCM 2025 lift (account data)</t>
        </is>
      </c>
      <c r="N434" s="59">
        <f>J434*34+J434*L434*12</f>
        <v/>
      </c>
      <c r="O434" s="59">
        <f>MAX(0,N434-G434-H434)</f>
        <v/>
      </c>
      <c r="P434" s="60">
        <f>IF(J434=0,"",IF(G434&lt;J434*34,DATE(2026,10,15)+G434/J434,IF(G434&lt;N434,DATE(2026,11,18)+(G434-J434*34)/(J434*L434),"after Nov 30")))</f>
        <v/>
      </c>
      <c r="Q434" s="60">
        <f>IF(J434=0,"",IF(G434+H434&lt;J434*34,DATE(2026,10,15)+(G434+H434)/J434,IF(G434+H434&lt;N434,DATE(2026,11,18)+(G434+H434-J434*34)/(J434*L434),"after Nov 30")))</f>
        <v/>
      </c>
      <c r="R434" s="54">
        <f>IF(AND(G434&lt;=0,J434&gt;0),"Out of stock now",IF(G434&gt;=N434,"Covered to Nov 30",IF(G434+H434&gt;=N434,"Needs inbound in time","Short even with inbound")))</f>
        <v/>
      </c>
      <c r="S434" s="57" t="n">
        <v>0.643</v>
      </c>
      <c r="T434" s="59">
        <f>IF(S434="","",S434*34+S434*L434*12)</f>
        <v/>
      </c>
    </row>
    <row r="435">
      <c r="A435" s="54" t="inlineStr">
        <is>
          <t>US DC S4</t>
        </is>
      </c>
      <c r="B435" s="54" t="inlineStr">
        <is>
          <t>US</t>
        </is>
      </c>
      <c r="C435" s="54" t="inlineStr">
        <is>
          <t>B0CQRYGLY3</t>
        </is>
      </c>
      <c r="D435" s="54" t="inlineStr">
        <is>
          <t>SATIN-4PC-FULL-NAVY BLUE</t>
        </is>
      </c>
      <c r="E435" s="54" t="inlineStr">
        <is>
          <t>Full</t>
        </is>
      </c>
      <c r="F435" s="54" t="inlineStr">
        <is>
          <t>Navy Blue</t>
        </is>
      </c>
      <c r="G435" s="55" t="n">
        <v>25</v>
      </c>
      <c r="H435" s="55" t="n">
        <v>6</v>
      </c>
      <c r="I435" s="56" t="inlineStr">
        <is>
          <t>FBA19N7XSBR9 in transit: 6</t>
        </is>
      </c>
      <c r="J435" s="57" t="n">
        <v>0.95</v>
      </c>
      <c r="K435" s="56" t="inlineStr">
        <is>
          <t>account data velocity</t>
        </is>
      </c>
      <c r="L435" s="58" t="n">
        <v>2.6371</v>
      </c>
      <c r="M435" s="56" t="inlineStr">
        <is>
          <t>own BFCM 2025 lift (account data)</t>
        </is>
      </c>
      <c r="N435" s="59">
        <f>J435*34+J435*L435*12</f>
        <v/>
      </c>
      <c r="O435" s="59">
        <f>MAX(0,N435-G435-H435)</f>
        <v/>
      </c>
      <c r="P435" s="60">
        <f>IF(J435=0,"",IF(G435&lt;J435*34,DATE(2026,10,15)+G435/J435,IF(G435&lt;N435,DATE(2026,11,18)+(G435-J435*34)/(J435*L435),"after Nov 30")))</f>
        <v/>
      </c>
      <c r="Q435" s="60">
        <f>IF(J435=0,"",IF(G435+H435&lt;J435*34,DATE(2026,10,15)+(G435+H435)/J435,IF(G435+H435&lt;N435,DATE(2026,11,18)+(G435+H435-J435*34)/(J435*L435),"after Nov 30")))</f>
        <v/>
      </c>
      <c r="R435" s="54">
        <f>IF(AND(G435&lt;=0,J435&gt;0),"Out of stock now",IF(G435&gt;=N435,"Covered to Nov 30",IF(G435+H435&gt;=N435,"Needs inbound in time","Short even with inbound")))</f>
        <v/>
      </c>
      <c r="S435" s="57" t="n">
        <v>0.607</v>
      </c>
      <c r="T435" s="59">
        <f>IF(S435="","",S435*34+S435*L435*12)</f>
        <v/>
      </c>
    </row>
    <row r="436">
      <c r="A436" s="54" t="inlineStr">
        <is>
          <t>US DC S4</t>
        </is>
      </c>
      <c r="B436" s="54" t="inlineStr">
        <is>
          <t>US</t>
        </is>
      </c>
      <c r="C436" s="54" t="inlineStr">
        <is>
          <t>B0839LP6TM</t>
        </is>
      </c>
      <c r="D436" s="54" t="inlineStr">
        <is>
          <t>SATIN-FULL-PURPLE</t>
        </is>
      </c>
      <c r="E436" s="54" t="inlineStr">
        <is>
          <t>Full</t>
        </is>
      </c>
      <c r="F436" s="54" t="inlineStr">
        <is>
          <t>Purple</t>
        </is>
      </c>
      <c r="G436" s="55" t="n">
        <v>70</v>
      </c>
      <c r="H436" s="55" t="n">
        <v>0</v>
      </c>
      <c r="I436" s="56" t="n"/>
      <c r="J436" s="57" t="n">
        <v>0.9399999999999999</v>
      </c>
      <c r="K436" s="56" t="inlineStr">
        <is>
          <t>account data velocity</t>
        </is>
      </c>
      <c r="L436" s="58" t="n">
        <v>2.6371</v>
      </c>
      <c r="M436" s="56" t="inlineStr">
        <is>
          <t>own BFCM 2025 lift (account data)</t>
        </is>
      </c>
      <c r="N436" s="59">
        <f>J436*34+J436*L436*12</f>
        <v/>
      </c>
      <c r="O436" s="59">
        <f>MAX(0,N436-G436-H436)</f>
        <v/>
      </c>
      <c r="P436" s="60">
        <f>IF(J436=0,"",IF(G436&lt;J436*34,DATE(2026,10,15)+G436/J436,IF(G436&lt;N436,DATE(2026,11,18)+(G436-J436*34)/(J436*L436),"after Nov 30")))</f>
        <v/>
      </c>
      <c r="Q436" s="60">
        <f>IF(J436=0,"",IF(G436+H436&lt;J436*34,DATE(2026,10,15)+(G436+H436)/J436,IF(G436+H436&lt;N436,DATE(2026,11,18)+(G436+H436-J436*34)/(J436*L436),"after Nov 30")))</f>
        <v/>
      </c>
      <c r="R436" s="54">
        <f>IF(AND(G436&lt;=0,J436&gt;0),"Out of stock now",IF(G436&gt;=N436,"Covered to Nov 30",IF(G436+H436&gt;=N436,"Needs inbound in time","Short even with inbound")))</f>
        <v/>
      </c>
      <c r="S436" s="57" t="n">
        <v>0.821</v>
      </c>
      <c r="T436" s="59">
        <f>IF(S436="","",S436*34+S436*L436*12)</f>
        <v/>
      </c>
    </row>
    <row r="437">
      <c r="A437" s="54" t="inlineStr">
        <is>
          <t>US DC S4</t>
        </is>
      </c>
      <c r="B437" s="54" t="inlineStr">
        <is>
          <t>US</t>
        </is>
      </c>
      <c r="C437" s="54" t="inlineStr">
        <is>
          <t>B0CQRWY3Y7</t>
        </is>
      </c>
      <c r="D437" s="54" t="inlineStr">
        <is>
          <t>SATIN-4PC-KING-SAGE GREEN</t>
        </is>
      </c>
      <c r="E437" s="54" t="inlineStr">
        <is>
          <t>King</t>
        </is>
      </c>
      <c r="F437" s="54" t="inlineStr">
        <is>
          <t>Sage Green</t>
        </is>
      </c>
      <c r="G437" s="55" t="n">
        <v>100</v>
      </c>
      <c r="H437" s="55" t="n">
        <v>0</v>
      </c>
      <c r="I437" s="56" t="n"/>
      <c r="J437" s="57" t="n">
        <v>0.9</v>
      </c>
      <c r="K437" s="56" t="inlineStr">
        <is>
          <t>account data velocity</t>
        </is>
      </c>
      <c r="L437" s="58" t="n">
        <v>2.6371</v>
      </c>
      <c r="M437" s="56" t="inlineStr">
        <is>
          <t>own BFCM 2025 lift (account data)</t>
        </is>
      </c>
      <c r="N437" s="59">
        <f>J437*34+J437*L437*12</f>
        <v/>
      </c>
      <c r="O437" s="59">
        <f>MAX(0,N437-G437-H437)</f>
        <v/>
      </c>
      <c r="P437" s="60">
        <f>IF(J437=0,"",IF(G437&lt;J437*34,DATE(2026,10,15)+G437/J437,IF(G437&lt;N437,DATE(2026,11,18)+(G437-J437*34)/(J437*L437),"after Nov 30")))</f>
        <v/>
      </c>
      <c r="Q437" s="60">
        <f>IF(J437=0,"",IF(G437+H437&lt;J437*34,DATE(2026,10,15)+(G437+H437)/J437,IF(G437+H437&lt;N437,DATE(2026,11,18)+(G437+H437-J437*34)/(J437*L437),"after Nov 30")))</f>
        <v/>
      </c>
      <c r="R437" s="54">
        <f>IF(AND(G437&lt;=0,J437&gt;0),"Out of stock now",IF(G437&gt;=N437,"Covered to Nov 30",IF(G437+H437&gt;=N437,"Needs inbound in time","Short even with inbound")))</f>
        <v/>
      </c>
      <c r="S437" s="57" t="n">
        <v>0.571</v>
      </c>
      <c r="T437" s="59">
        <f>IF(S437="","",S437*34+S437*L437*12)</f>
        <v/>
      </c>
    </row>
    <row r="438">
      <c r="A438" s="54" t="inlineStr">
        <is>
          <t>US DC S4</t>
        </is>
      </c>
      <c r="B438" s="54" t="inlineStr">
        <is>
          <t>US</t>
        </is>
      </c>
      <c r="C438" s="54" t="inlineStr">
        <is>
          <t>B0DBQVFTZS</t>
        </is>
      </c>
      <c r="D438" s="54" t="inlineStr">
        <is>
          <t>SATIN-4PCS-FULL-ROSEWOOD</t>
        </is>
      </c>
      <c r="E438" s="54" t="inlineStr">
        <is>
          <t>Full</t>
        </is>
      </c>
      <c r="F438" s="54" t="inlineStr">
        <is>
          <t>Rosewood</t>
        </is>
      </c>
      <c r="G438" s="55" t="n">
        <v>182</v>
      </c>
      <c r="H438" s="55" t="n">
        <v>72</v>
      </c>
      <c r="I438" s="56" t="inlineStr">
        <is>
          <t>FBA19RS1HC4F shipped: 12; FBA19RRY6QFT shipped: 12; FBA19RS0N5K2 shipped: 6; FBA19RRYCGHJ shipped: 6; FBA19RRY5FBL shipped: 12; FBA19P55072C in transit: 6; FBA19N7XSBR9 in transit: 6; FBA19L31XWPR receiving: 12</t>
        </is>
      </c>
      <c r="J438" s="57" t="n">
        <v>0.89</v>
      </c>
      <c r="K438" s="56" t="inlineStr">
        <is>
          <t>account data velocity</t>
        </is>
      </c>
      <c r="L438" s="58" t="n">
        <v>2.6371</v>
      </c>
      <c r="M438" s="56" t="inlineStr">
        <is>
          <t>own BFCM 2025 lift (account data)</t>
        </is>
      </c>
      <c r="N438" s="59">
        <f>J438*34+J438*L438*12</f>
        <v/>
      </c>
      <c r="O438" s="59">
        <f>MAX(0,N438-G438-H438)</f>
        <v/>
      </c>
      <c r="P438" s="60">
        <f>IF(J438=0,"",IF(G438&lt;J438*34,DATE(2026,10,15)+G438/J438,IF(G438&lt;N438,DATE(2026,11,18)+(G438-J438*34)/(J438*L438),"after Nov 30")))</f>
        <v/>
      </c>
      <c r="Q438" s="60">
        <f>IF(J438=0,"",IF(G438+H438&lt;J438*34,DATE(2026,10,15)+(G438+H438)/J438,IF(G438+H438&lt;N438,DATE(2026,11,18)+(G438+H438-J438*34)/(J438*L438),"after Nov 30")))</f>
        <v/>
      </c>
      <c r="R438" s="54">
        <f>IF(AND(G438&lt;=0,J438&gt;0),"Out of stock now",IF(G438&gt;=N438,"Covered to Nov 30",IF(G438+H438&gt;=N438,"Needs inbound in time","Short even with inbound")))</f>
        <v/>
      </c>
      <c r="S438" s="57" t="n">
        <v>0.429</v>
      </c>
      <c r="T438" s="59">
        <f>IF(S438="","",S438*34+S438*L438*12)</f>
        <v/>
      </c>
    </row>
    <row r="439">
      <c r="A439" s="54" t="inlineStr">
        <is>
          <t>US DC S4</t>
        </is>
      </c>
      <c r="B439" s="54" t="inlineStr">
        <is>
          <t>US</t>
        </is>
      </c>
      <c r="C439" s="54" t="inlineStr">
        <is>
          <t>B0CQRXP69H</t>
        </is>
      </c>
      <c r="D439" s="54" t="inlineStr">
        <is>
          <t>SATIN-4PC-KING-BURNT ORANGE</t>
        </is>
      </c>
      <c r="E439" s="54" t="inlineStr">
        <is>
          <t>King</t>
        </is>
      </c>
      <c r="F439" s="54" t="inlineStr">
        <is>
          <t>Burnt Orange</t>
        </is>
      </c>
      <c r="G439" s="55" t="n">
        <v>46</v>
      </c>
      <c r="H439" s="55" t="n">
        <v>0</v>
      </c>
      <c r="I439" s="56" t="inlineStr">
        <is>
          <t>FBA19SV5KWMR ready to ship: 6</t>
        </is>
      </c>
      <c r="J439" s="57" t="n">
        <v>0.86</v>
      </c>
      <c r="K439" s="56" t="inlineStr">
        <is>
          <t>account data velocity</t>
        </is>
      </c>
      <c r="L439" s="58" t="n">
        <v>2.6371</v>
      </c>
      <c r="M439" s="56" t="inlineStr">
        <is>
          <t>own BFCM 2025 lift (account data)</t>
        </is>
      </c>
      <c r="N439" s="59">
        <f>J439*34+J439*L439*12</f>
        <v/>
      </c>
      <c r="O439" s="59">
        <f>MAX(0,N439-G439-H439)</f>
        <v/>
      </c>
      <c r="P439" s="60">
        <f>IF(J439=0,"",IF(G439&lt;J439*34,DATE(2026,10,15)+G439/J439,IF(G439&lt;N439,DATE(2026,11,18)+(G439-J439*34)/(J439*L439),"after Nov 30")))</f>
        <v/>
      </c>
      <c r="Q439" s="60">
        <f>IF(J439=0,"",IF(G439+H439&lt;J439*34,DATE(2026,10,15)+(G439+H439)/J439,IF(G439+H439&lt;N439,DATE(2026,11,18)+(G439+H439-J439*34)/(J439*L439),"after Nov 30")))</f>
        <v/>
      </c>
      <c r="R439" s="54">
        <f>IF(AND(G439&lt;=0,J439&gt;0),"Out of stock now",IF(G439&gt;=N439,"Covered to Nov 30",IF(G439+H439&gt;=N439,"Needs inbound in time","Short even with inbound")))</f>
        <v/>
      </c>
      <c r="S439" s="57" t="n">
        <v>0.607</v>
      </c>
      <c r="T439" s="59">
        <f>IF(S439="","",S439*34+S439*L439*12)</f>
        <v/>
      </c>
    </row>
    <row r="440">
      <c r="A440" s="54" t="inlineStr">
        <is>
          <t>US DC S4</t>
        </is>
      </c>
      <c r="B440" s="54" t="inlineStr">
        <is>
          <t>US</t>
        </is>
      </c>
      <c r="C440" s="54" t="inlineStr">
        <is>
          <t>B09G6JHW3F</t>
        </is>
      </c>
      <c r="D440" s="54" t="inlineStr">
        <is>
          <t>SATIN-STRIPE-KING-RED</t>
        </is>
      </c>
      <c r="E440" s="54" t="inlineStr">
        <is>
          <t>King</t>
        </is>
      </c>
      <c r="F440" s="54" t="inlineStr">
        <is>
          <t>Striped Red</t>
        </is>
      </c>
      <c r="G440" s="55" t="n">
        <v>0</v>
      </c>
      <c r="H440" s="55" t="n">
        <v>90</v>
      </c>
      <c r="I440" s="56" t="inlineStr">
        <is>
          <t>FBA19SV5KWMR ready to ship: 24; FBA19RS1HC4F shipped: 18; FBA19RRY6QFT shipped: 24; FBA19RS0N5K2 shipped: 12; FBA19RRYCGHJ shipped: 18; FBA19RRY5FBL shipped: 18</t>
        </is>
      </c>
      <c r="J440" s="57" t="n">
        <v>0.83</v>
      </c>
      <c r="K440" s="56" t="inlineStr">
        <is>
          <t>account data velocity</t>
        </is>
      </c>
      <c r="L440" s="58" t="n">
        <v>2.6371</v>
      </c>
      <c r="M440" s="56" t="inlineStr">
        <is>
          <t>own BFCM 2025 lift (account data)</t>
        </is>
      </c>
      <c r="N440" s="59">
        <f>J440*34+J440*L440*12</f>
        <v/>
      </c>
      <c r="O440" s="59">
        <f>MAX(0,N440-G440-H440)</f>
        <v/>
      </c>
      <c r="P440" s="60">
        <f>IF(J440=0,"",IF(G440&lt;J440*34,DATE(2026,10,15)+G440/J440,IF(G440&lt;N440,DATE(2026,11,18)+(G440-J440*34)/(J440*L440),"after Nov 30")))</f>
        <v/>
      </c>
      <c r="Q440" s="60">
        <f>IF(J440=0,"",IF(G440+H440&lt;J440*34,DATE(2026,10,15)+(G440+H440)/J440,IF(G440+H440&lt;N440,DATE(2026,11,18)+(G440+H440-J440*34)/(J440*L440),"after Nov 30")))</f>
        <v/>
      </c>
      <c r="R440" s="54">
        <f>IF(AND(G440&lt;=0,J440&gt;0),"Out of stock now",IF(G440&gt;=N440,"Covered to Nov 30",IF(G440+H440&gt;=N440,"Needs inbound in time","Short even with inbound")))</f>
        <v/>
      </c>
      <c r="S440" s="57" t="n">
        <v>0.107</v>
      </c>
      <c r="T440" s="59">
        <f>IF(S440="","",S440*34+S440*L440*12)</f>
        <v/>
      </c>
    </row>
    <row r="441">
      <c r="A441" s="54" t="inlineStr">
        <is>
          <t>US DC S4</t>
        </is>
      </c>
      <c r="B441" s="54" t="inlineStr">
        <is>
          <t>US</t>
        </is>
      </c>
      <c r="C441" s="54" t="inlineStr">
        <is>
          <t>B0BG23H2QY</t>
        </is>
      </c>
      <c r="D441" s="54" t="inlineStr">
        <is>
          <t>SATIN-STONEGREY-FULL</t>
        </is>
      </c>
      <c r="E441" s="54" t="inlineStr">
        <is>
          <t>Full</t>
        </is>
      </c>
      <c r="F441" s="54" t="inlineStr">
        <is>
          <t>Stone Grey</t>
        </is>
      </c>
      <c r="G441" s="55" t="n">
        <v>52</v>
      </c>
      <c r="H441" s="55" t="n">
        <v>0</v>
      </c>
      <c r="I441" s="56" t="n"/>
      <c r="J441" s="57" t="n">
        <v>0.82</v>
      </c>
      <c r="K441" s="56" t="inlineStr">
        <is>
          <t>account data velocity</t>
        </is>
      </c>
      <c r="L441" s="58" t="n">
        <v>2.6371</v>
      </c>
      <c r="M441" s="56" t="inlineStr">
        <is>
          <t>own BFCM 2025 lift (account data)</t>
        </is>
      </c>
      <c r="N441" s="59">
        <f>J441*34+J441*L441*12</f>
        <v/>
      </c>
      <c r="O441" s="59">
        <f>MAX(0,N441-G441-H441)</f>
        <v/>
      </c>
      <c r="P441" s="60">
        <f>IF(J441=0,"",IF(G441&lt;J441*34,DATE(2026,10,15)+G441/J441,IF(G441&lt;N441,DATE(2026,11,18)+(G441-J441*34)/(J441*L441),"after Nov 30")))</f>
        <v/>
      </c>
      <c r="Q441" s="60">
        <f>IF(J441=0,"",IF(G441+H441&lt;J441*34,DATE(2026,10,15)+(G441+H441)/J441,IF(G441+H441&lt;N441,DATE(2026,11,18)+(G441+H441-J441*34)/(J441*L441),"after Nov 30")))</f>
        <v/>
      </c>
      <c r="R441" s="54">
        <f>IF(AND(G441&lt;=0,J441&gt;0),"Out of stock now",IF(G441&gt;=N441,"Covered to Nov 30",IF(G441+H441&gt;=N441,"Needs inbound in time","Short even with inbound")))</f>
        <v/>
      </c>
      <c r="S441" s="57" t="n">
        <v>0.893</v>
      </c>
      <c r="T441" s="59">
        <f>IF(S441="","",S441*34+S441*L441*12)</f>
        <v/>
      </c>
    </row>
    <row r="442">
      <c r="A442" s="54" t="inlineStr">
        <is>
          <t>US DC S4</t>
        </is>
      </c>
      <c r="B442" s="54" t="inlineStr">
        <is>
          <t>US</t>
        </is>
      </c>
      <c r="C442" s="54" t="inlineStr">
        <is>
          <t>B0CQRXZLFQ</t>
        </is>
      </c>
      <c r="D442" s="54" t="inlineStr">
        <is>
          <t>SATIN-4PC-FULL-LAVENDER</t>
        </is>
      </c>
      <c r="E442" s="54" t="inlineStr">
        <is>
          <t>Full</t>
        </is>
      </c>
      <c r="F442" s="54" t="inlineStr">
        <is>
          <t>Lavender</t>
        </is>
      </c>
      <c r="G442" s="55" t="n">
        <v>88</v>
      </c>
      <c r="H442" s="55" t="n">
        <v>0</v>
      </c>
      <c r="I442" s="56" t="n"/>
      <c r="J442" s="57" t="n">
        <v>0.82</v>
      </c>
      <c r="K442" s="56" t="inlineStr">
        <is>
          <t>account data velocity</t>
        </is>
      </c>
      <c r="L442" s="58" t="n">
        <v>2.6371</v>
      </c>
      <c r="M442" s="56" t="inlineStr">
        <is>
          <t>own BFCM 2025 lift (account data)</t>
        </is>
      </c>
      <c r="N442" s="59">
        <f>J442*34+J442*L442*12</f>
        <v/>
      </c>
      <c r="O442" s="59">
        <f>MAX(0,N442-G442-H442)</f>
        <v/>
      </c>
      <c r="P442" s="60">
        <f>IF(J442=0,"",IF(G442&lt;J442*34,DATE(2026,10,15)+G442/J442,IF(G442&lt;N442,DATE(2026,11,18)+(G442-J442*34)/(J442*L442),"after Nov 30")))</f>
        <v/>
      </c>
      <c r="Q442" s="60">
        <f>IF(J442=0,"",IF(G442+H442&lt;J442*34,DATE(2026,10,15)+(G442+H442)/J442,IF(G442+H442&lt;N442,DATE(2026,11,18)+(G442+H442-J442*34)/(J442*L442),"after Nov 30")))</f>
        <v/>
      </c>
      <c r="R442" s="54">
        <f>IF(AND(G442&lt;=0,J442&gt;0),"Out of stock now",IF(G442&gt;=N442,"Covered to Nov 30",IF(G442+H442&gt;=N442,"Needs inbound in time","Short even with inbound")))</f>
        <v/>
      </c>
      <c r="S442" s="57" t="n">
        <v>0.321</v>
      </c>
      <c r="T442" s="59">
        <f>IF(S442="","",S442*34+S442*L442*12)</f>
        <v/>
      </c>
    </row>
    <row r="443">
      <c r="A443" s="54" t="inlineStr">
        <is>
          <t>US DC S4</t>
        </is>
      </c>
      <c r="B443" s="54" t="inlineStr">
        <is>
          <t>US</t>
        </is>
      </c>
      <c r="C443" s="54" t="inlineStr">
        <is>
          <t>B08KRW2BX3</t>
        </is>
      </c>
      <c r="D443" s="54" t="inlineStr">
        <is>
          <t>SATIN-GOLD-QUEEN</t>
        </is>
      </c>
      <c r="E443" s="54" t="inlineStr">
        <is>
          <t>Queen</t>
        </is>
      </c>
      <c r="F443" s="54" t="inlineStr">
        <is>
          <t>Gold</t>
        </is>
      </c>
      <c r="G443" s="55" t="n">
        <v>18</v>
      </c>
      <c r="H443" s="55" t="n">
        <v>0</v>
      </c>
      <c r="I443" s="56" t="n"/>
      <c r="J443" s="57" t="n">
        <v>0.79</v>
      </c>
      <c r="K443" s="56" t="inlineStr">
        <is>
          <t>account data velocity</t>
        </is>
      </c>
      <c r="L443" s="58" t="n">
        <v>2.6371</v>
      </c>
      <c r="M443" s="56" t="inlineStr">
        <is>
          <t>own BFCM 2025 lift (account data)</t>
        </is>
      </c>
      <c r="N443" s="59">
        <f>J443*34+J443*L443*12</f>
        <v/>
      </c>
      <c r="O443" s="59">
        <f>MAX(0,N443-G443-H443)</f>
        <v/>
      </c>
      <c r="P443" s="60">
        <f>IF(J443=0,"",IF(G443&lt;J443*34,DATE(2026,10,15)+G443/J443,IF(G443&lt;N443,DATE(2026,11,18)+(G443-J443*34)/(J443*L443),"after Nov 30")))</f>
        <v/>
      </c>
      <c r="Q443" s="60">
        <f>IF(J443=0,"",IF(G443+H443&lt;J443*34,DATE(2026,10,15)+(G443+H443)/J443,IF(G443+H443&lt;N443,DATE(2026,11,18)+(G443+H443-J443*34)/(J443*L443),"after Nov 30")))</f>
        <v/>
      </c>
      <c r="R443" s="54">
        <f>IF(AND(G443&lt;=0,J443&gt;0),"Out of stock now",IF(G443&gt;=N443,"Covered to Nov 30",IF(G443+H443&gt;=N443,"Needs inbound in time","Short even with inbound")))</f>
        <v/>
      </c>
      <c r="S443" s="57" t="n">
        <v>0.786</v>
      </c>
      <c r="T443" s="59">
        <f>IF(S443="","",S443*34+S443*L443*12)</f>
        <v/>
      </c>
    </row>
    <row r="444">
      <c r="A444" s="54" t="inlineStr">
        <is>
          <t>US DC S4</t>
        </is>
      </c>
      <c r="B444" s="54" t="inlineStr">
        <is>
          <t>US</t>
        </is>
      </c>
      <c r="C444" s="54" t="inlineStr">
        <is>
          <t>B0CQRY9WLD</t>
        </is>
      </c>
      <c r="D444" s="54" t="inlineStr">
        <is>
          <t>SATIN-4PC-FULL-BABY BLUE</t>
        </is>
      </c>
      <c r="E444" s="54" t="inlineStr">
        <is>
          <t>Full</t>
        </is>
      </c>
      <c r="F444" s="54" t="inlineStr">
        <is>
          <t>Baby Blue</t>
        </is>
      </c>
      <c r="G444" s="55" t="n">
        <v>134</v>
      </c>
      <c r="H444" s="55" t="n">
        <v>0</v>
      </c>
      <c r="I444" s="56" t="n"/>
      <c r="J444" s="57" t="n">
        <v>0.77</v>
      </c>
      <c r="K444" s="56" t="inlineStr">
        <is>
          <t>account data velocity</t>
        </is>
      </c>
      <c r="L444" s="58" t="n">
        <v>2.6371</v>
      </c>
      <c r="M444" s="56" t="inlineStr">
        <is>
          <t>own BFCM 2025 lift (account data)</t>
        </is>
      </c>
      <c r="N444" s="59">
        <f>J444*34+J444*L444*12</f>
        <v/>
      </c>
      <c r="O444" s="59">
        <f>MAX(0,N444-G444-H444)</f>
        <v/>
      </c>
      <c r="P444" s="60">
        <f>IF(J444=0,"",IF(G444&lt;J444*34,DATE(2026,10,15)+G444/J444,IF(G444&lt;N444,DATE(2026,11,18)+(G444-J444*34)/(J444*L444),"after Nov 30")))</f>
        <v/>
      </c>
      <c r="Q444" s="60">
        <f>IF(J444=0,"",IF(G444+H444&lt;J444*34,DATE(2026,10,15)+(G444+H444)/J444,IF(G444+H444&lt;N444,DATE(2026,11,18)+(G444+H444-J444*34)/(J444*L444),"after Nov 30")))</f>
        <v/>
      </c>
      <c r="R444" s="54">
        <f>IF(AND(G444&lt;=0,J444&gt;0),"Out of stock now",IF(G444&gt;=N444,"Covered to Nov 30",IF(G444+H444&gt;=N444,"Needs inbound in time","Short even with inbound")))</f>
        <v/>
      </c>
      <c r="S444" s="57" t="n">
        <v>0.5</v>
      </c>
      <c r="T444" s="59">
        <f>IF(S444="","",S444*34+S444*L444*12)</f>
        <v/>
      </c>
    </row>
    <row r="445">
      <c r="A445" s="54" t="inlineStr">
        <is>
          <t>US DC S4</t>
        </is>
      </c>
      <c r="B445" s="54" t="inlineStr">
        <is>
          <t>US</t>
        </is>
      </c>
      <c r="C445" s="54" t="inlineStr">
        <is>
          <t>B09G6K328B</t>
        </is>
      </c>
      <c r="D445" s="54" t="inlineStr">
        <is>
          <t>SATIN-STRIPE-QUEEN-WHITE</t>
        </is>
      </c>
      <c r="E445" s="54" t="inlineStr">
        <is>
          <t>Queen</t>
        </is>
      </c>
      <c r="F445" s="54" t="inlineStr">
        <is>
          <t>Striped White</t>
        </is>
      </c>
      <c r="G445" s="55" t="n">
        <v>34</v>
      </c>
      <c r="H445" s="55" t="n">
        <v>18</v>
      </c>
      <c r="I445" s="56" t="inlineStr">
        <is>
          <t>FBA19N7WSG18 in transit: 6; FBA19N7RP6W7 in transit: 6; FBA19N7RQF4Q ready to ship: 6</t>
        </is>
      </c>
      <c r="J445" s="57" t="n">
        <v>0.75</v>
      </c>
      <c r="K445" s="56" t="inlineStr">
        <is>
          <t>account data velocity</t>
        </is>
      </c>
      <c r="L445" s="58" t="n">
        <v>2.6371</v>
      </c>
      <c r="M445" s="56" t="inlineStr">
        <is>
          <t>own BFCM 2025 lift (account data)</t>
        </is>
      </c>
      <c r="N445" s="59">
        <f>J445*34+J445*L445*12</f>
        <v/>
      </c>
      <c r="O445" s="59">
        <f>MAX(0,N445-G445-H445)</f>
        <v/>
      </c>
      <c r="P445" s="60">
        <f>IF(J445=0,"",IF(G445&lt;J445*34,DATE(2026,10,15)+G445/J445,IF(G445&lt;N445,DATE(2026,11,18)+(G445-J445*34)/(J445*L445),"after Nov 30")))</f>
        <v/>
      </c>
      <c r="Q445" s="60">
        <f>IF(J445=0,"",IF(G445+H445&lt;J445*34,DATE(2026,10,15)+(G445+H445)/J445,IF(G445+H445&lt;N445,DATE(2026,11,18)+(G445+H445-J445*34)/(J445*L445),"after Nov 30")))</f>
        <v/>
      </c>
      <c r="R445" s="54">
        <f>IF(AND(G445&lt;=0,J445&gt;0),"Out of stock now",IF(G445&gt;=N445,"Covered to Nov 30",IF(G445+H445&gt;=N445,"Needs inbound in time","Short even with inbound")))</f>
        <v/>
      </c>
      <c r="S445" s="57" t="n">
        <v>0.5</v>
      </c>
      <c r="T445" s="59">
        <f>IF(S445="","",S445*34+S445*L445*12)</f>
        <v/>
      </c>
    </row>
    <row r="446">
      <c r="A446" s="54" t="inlineStr">
        <is>
          <t>US DC S4</t>
        </is>
      </c>
      <c r="B446" s="54" t="inlineStr">
        <is>
          <t>US</t>
        </is>
      </c>
      <c r="C446" s="54" t="inlineStr">
        <is>
          <t>B0CQRWGHJN</t>
        </is>
      </c>
      <c r="D446" s="54" t="inlineStr">
        <is>
          <t>SATIN-4PC-QUEEN-DARK GREEN</t>
        </is>
      </c>
      <c r="E446" s="54" t="inlineStr">
        <is>
          <t>Queen</t>
        </is>
      </c>
      <c r="F446" s="54" t="inlineStr">
        <is>
          <t>Dark Green</t>
        </is>
      </c>
      <c r="G446" s="55" t="n">
        <v>0</v>
      </c>
      <c r="H446" s="55" t="n">
        <v>0</v>
      </c>
      <c r="I446" s="56" t="n"/>
      <c r="J446" s="57" t="n">
        <v>0.74</v>
      </c>
      <c r="K446" s="56" t="inlineStr">
        <is>
          <t>account data velocity</t>
        </is>
      </c>
      <c r="L446" s="58" t="n">
        <v>2.6371</v>
      </c>
      <c r="M446" s="56" t="inlineStr">
        <is>
          <t>own BFCM 2025 lift (account data)</t>
        </is>
      </c>
      <c r="N446" s="59">
        <f>J446*34+J446*L446*12</f>
        <v/>
      </c>
      <c r="O446" s="59">
        <f>MAX(0,N446-G446-H446)</f>
        <v/>
      </c>
      <c r="P446" s="60">
        <f>IF(J446=0,"",IF(G446&lt;J446*34,DATE(2026,10,15)+G446/J446,IF(G446&lt;N446,DATE(2026,11,18)+(G446-J446*34)/(J446*L446),"after Nov 30")))</f>
        <v/>
      </c>
      <c r="Q446" s="60">
        <f>IF(J446=0,"",IF(G446+H446&lt;J446*34,DATE(2026,10,15)+(G446+H446)/J446,IF(G446+H446&lt;N446,DATE(2026,11,18)+(G446+H446-J446*34)/(J446*L446),"after Nov 30")))</f>
        <v/>
      </c>
      <c r="R446" s="54">
        <f>IF(AND(G446&lt;=0,J446&gt;0),"Out of stock now",IF(G446&gt;=N446,"Covered to Nov 30",IF(G446+H446&gt;=N446,"Needs inbound in time","Short even with inbound")))</f>
        <v/>
      </c>
      <c r="S446" s="57" t="n">
        <v>1</v>
      </c>
      <c r="T446" s="59">
        <f>IF(S446="","",S446*34+S446*L446*12)</f>
        <v/>
      </c>
    </row>
    <row r="447">
      <c r="A447" s="54" t="inlineStr">
        <is>
          <t>US DC S4</t>
        </is>
      </c>
      <c r="B447" s="54" t="inlineStr">
        <is>
          <t>US</t>
        </is>
      </c>
      <c r="C447" s="54" t="inlineStr">
        <is>
          <t>B0CQRY9WLG</t>
        </is>
      </c>
      <c r="D447" s="54" t="inlineStr">
        <is>
          <t>SATIN-4PC-FULL-SAGE GREEN</t>
        </is>
      </c>
      <c r="E447" s="54" t="inlineStr">
        <is>
          <t>Full</t>
        </is>
      </c>
      <c r="F447" s="54" t="inlineStr">
        <is>
          <t>Sage Green</t>
        </is>
      </c>
      <c r="G447" s="55" t="n">
        <v>49</v>
      </c>
      <c r="H447" s="55" t="n">
        <v>0</v>
      </c>
      <c r="I447" s="56" t="n"/>
      <c r="J447" s="57" t="n">
        <v>0.73</v>
      </c>
      <c r="K447" s="56" t="inlineStr">
        <is>
          <t>account data velocity</t>
        </is>
      </c>
      <c r="L447" s="58" t="n">
        <v>2.6371</v>
      </c>
      <c r="M447" s="56" t="inlineStr">
        <is>
          <t>own BFCM 2025 lift (account data)</t>
        </is>
      </c>
      <c r="N447" s="59">
        <f>J447*34+J447*L447*12</f>
        <v/>
      </c>
      <c r="O447" s="59">
        <f>MAX(0,N447-G447-H447)</f>
        <v/>
      </c>
      <c r="P447" s="60">
        <f>IF(J447=0,"",IF(G447&lt;J447*34,DATE(2026,10,15)+G447/J447,IF(G447&lt;N447,DATE(2026,11,18)+(G447-J447*34)/(J447*L447),"after Nov 30")))</f>
        <v/>
      </c>
      <c r="Q447" s="60">
        <f>IF(J447=0,"",IF(G447+H447&lt;J447*34,DATE(2026,10,15)+(G447+H447)/J447,IF(G447+H447&lt;N447,DATE(2026,11,18)+(G447+H447-J447*34)/(J447*L447),"after Nov 30")))</f>
        <v/>
      </c>
      <c r="R447" s="54">
        <f>IF(AND(G447&lt;=0,J447&gt;0),"Out of stock now",IF(G447&gt;=N447,"Covered to Nov 30",IF(G447+H447&gt;=N447,"Needs inbound in time","Short even with inbound")))</f>
        <v/>
      </c>
      <c r="S447" s="57" t="n">
        <v>0.643</v>
      </c>
      <c r="T447" s="59">
        <f>IF(S447="","",S447*34+S447*L447*12)</f>
        <v/>
      </c>
    </row>
    <row r="448">
      <c r="A448" s="54" t="inlineStr">
        <is>
          <t>US DC S4</t>
        </is>
      </c>
      <c r="B448" s="54" t="inlineStr">
        <is>
          <t>US</t>
        </is>
      </c>
      <c r="C448" s="54" t="inlineStr">
        <is>
          <t>B09G6LBXRX</t>
        </is>
      </c>
      <c r="D448" s="54" t="inlineStr">
        <is>
          <t>SATIN-STRIPE-QUEEN-BLACK</t>
        </is>
      </c>
      <c r="E448" s="54" t="inlineStr">
        <is>
          <t>Queen</t>
        </is>
      </c>
      <c r="F448" s="54" t="inlineStr">
        <is>
          <t>Striped Black</t>
        </is>
      </c>
      <c r="G448" s="55" t="n">
        <v>49</v>
      </c>
      <c r="H448" s="55" t="n">
        <v>0</v>
      </c>
      <c r="I448" s="56" t="n"/>
      <c r="J448" s="57" t="n">
        <v>0.73</v>
      </c>
      <c r="K448" s="56" t="inlineStr">
        <is>
          <t>account data velocity</t>
        </is>
      </c>
      <c r="L448" s="58" t="n">
        <v>2.6371</v>
      </c>
      <c r="M448" s="56" t="inlineStr">
        <is>
          <t>own BFCM 2025 lift (account data)</t>
        </is>
      </c>
      <c r="N448" s="59">
        <f>J448*34+J448*L448*12</f>
        <v/>
      </c>
      <c r="O448" s="59">
        <f>MAX(0,N448-G448-H448)</f>
        <v/>
      </c>
      <c r="P448" s="60">
        <f>IF(J448=0,"",IF(G448&lt;J448*34,DATE(2026,10,15)+G448/J448,IF(G448&lt;N448,DATE(2026,11,18)+(G448-J448*34)/(J448*L448),"after Nov 30")))</f>
        <v/>
      </c>
      <c r="Q448" s="60">
        <f>IF(J448=0,"",IF(G448+H448&lt;J448*34,DATE(2026,10,15)+(G448+H448)/J448,IF(G448+H448&lt;N448,DATE(2026,11,18)+(G448+H448-J448*34)/(J448*L448),"after Nov 30")))</f>
        <v/>
      </c>
      <c r="R448" s="54">
        <f>IF(AND(G448&lt;=0,J448&gt;0),"Out of stock now",IF(G448&gt;=N448,"Covered to Nov 30",IF(G448+H448&gt;=N448,"Needs inbound in time","Short even with inbound")))</f>
        <v/>
      </c>
      <c r="S448" s="57" t="n">
        <v>0.464</v>
      </c>
      <c r="T448" s="59">
        <f>IF(S448="","",S448*34+S448*L448*12)</f>
        <v/>
      </c>
    </row>
    <row r="449">
      <c r="A449" s="54" t="inlineStr">
        <is>
          <t>US DC S4</t>
        </is>
      </c>
      <c r="B449" s="54" t="inlineStr">
        <is>
          <t>US</t>
        </is>
      </c>
      <c r="C449" s="54" t="inlineStr">
        <is>
          <t>B09G6KCTXW</t>
        </is>
      </c>
      <c r="D449" s="54" t="inlineStr">
        <is>
          <t>SATIN-STRIPE-QUEEN-RED</t>
        </is>
      </c>
      <c r="E449" s="54" t="inlineStr">
        <is>
          <t>Queen</t>
        </is>
      </c>
      <c r="F449" s="54" t="inlineStr">
        <is>
          <t>Striped Red</t>
        </is>
      </c>
      <c r="G449" s="55" t="n">
        <v>26</v>
      </c>
      <c r="H449" s="55" t="n">
        <v>0</v>
      </c>
      <c r="I449" s="56" t="n"/>
      <c r="J449" s="57" t="n">
        <v>0.73</v>
      </c>
      <c r="K449" s="56" t="inlineStr">
        <is>
          <t>account data velocity</t>
        </is>
      </c>
      <c r="L449" s="58" t="n">
        <v>2.6371</v>
      </c>
      <c r="M449" s="56" t="inlineStr">
        <is>
          <t>own BFCM 2025 lift (account data)</t>
        </is>
      </c>
      <c r="N449" s="59">
        <f>J449*34+J449*L449*12</f>
        <v/>
      </c>
      <c r="O449" s="59">
        <f>MAX(0,N449-G449-H449)</f>
        <v/>
      </c>
      <c r="P449" s="60">
        <f>IF(J449=0,"",IF(G449&lt;J449*34,DATE(2026,10,15)+G449/J449,IF(G449&lt;N449,DATE(2026,11,18)+(G449-J449*34)/(J449*L449),"after Nov 30")))</f>
        <v/>
      </c>
      <c r="Q449" s="60">
        <f>IF(J449=0,"",IF(G449+H449&lt;J449*34,DATE(2026,10,15)+(G449+H449)/J449,IF(G449+H449&lt;N449,DATE(2026,11,18)+(G449+H449-J449*34)/(J449*L449),"after Nov 30")))</f>
        <v/>
      </c>
      <c r="R449" s="54">
        <f>IF(AND(G449&lt;=0,J449&gt;0),"Out of stock now",IF(G449&gt;=N449,"Covered to Nov 30",IF(G449+H449&gt;=N449,"Needs inbound in time","Short even with inbound")))</f>
        <v/>
      </c>
      <c r="S449" s="57" t="n">
        <v>0.393</v>
      </c>
      <c r="T449" s="59">
        <f>IF(S449="","",S449*34+S449*L449*12)</f>
        <v/>
      </c>
    </row>
    <row r="450">
      <c r="A450" s="54" t="inlineStr">
        <is>
          <t>US DC S4</t>
        </is>
      </c>
      <c r="B450" s="54" t="inlineStr">
        <is>
          <t>US</t>
        </is>
      </c>
      <c r="C450" s="54" t="inlineStr">
        <is>
          <t>B0CNS8T4ZK</t>
        </is>
      </c>
      <c r="D450" s="54" t="inlineStr">
        <is>
          <t>SATIN-QUEEN-BLUSH PINK</t>
        </is>
      </c>
      <c r="E450" s="54" t="inlineStr">
        <is>
          <t>Queen</t>
        </is>
      </c>
      <c r="F450" s="54" t="inlineStr">
        <is>
          <t>Blush Pink</t>
        </is>
      </c>
      <c r="G450" s="55" t="n">
        <v>94</v>
      </c>
      <c r="H450" s="55" t="n">
        <v>0</v>
      </c>
      <c r="I450" s="56" t="n"/>
      <c r="J450" s="57" t="n">
        <v>0.7</v>
      </c>
      <c r="K450" s="56" t="inlineStr">
        <is>
          <t>account data velocity</t>
        </is>
      </c>
      <c r="L450" s="58" t="n">
        <v>2.6371</v>
      </c>
      <c r="M450" s="56" t="inlineStr">
        <is>
          <t>own BFCM 2025 lift (account data)</t>
        </is>
      </c>
      <c r="N450" s="59">
        <f>J450*34+J450*L450*12</f>
        <v/>
      </c>
      <c r="O450" s="59">
        <f>MAX(0,N450-G450-H450)</f>
        <v/>
      </c>
      <c r="P450" s="60">
        <f>IF(J450=0,"",IF(G450&lt;J450*34,DATE(2026,10,15)+G450/J450,IF(G450&lt;N450,DATE(2026,11,18)+(G450-J450*34)/(J450*L450),"after Nov 30")))</f>
        <v/>
      </c>
      <c r="Q450" s="60">
        <f>IF(J450=0,"",IF(G450+H450&lt;J450*34,DATE(2026,10,15)+(G450+H450)/J450,IF(G450+H450&lt;N450,DATE(2026,11,18)+(G450+H450-J450*34)/(J450*L450),"after Nov 30")))</f>
        <v/>
      </c>
      <c r="R450" s="54">
        <f>IF(AND(G450&lt;=0,J450&gt;0),"Out of stock now",IF(G450&gt;=N450,"Covered to Nov 30",IF(G450+H450&gt;=N450,"Needs inbound in time","Short even with inbound")))</f>
        <v/>
      </c>
      <c r="S450" s="57" t="n">
        <v>0.679</v>
      </c>
      <c r="T450" s="59">
        <f>IF(S450="","",S450*34+S450*L450*12)</f>
        <v/>
      </c>
    </row>
    <row r="451">
      <c r="A451" s="54" t="inlineStr">
        <is>
          <t>US DC S4</t>
        </is>
      </c>
      <c r="B451" s="54" t="inlineStr">
        <is>
          <t>US</t>
        </is>
      </c>
      <c r="C451" s="54" t="inlineStr">
        <is>
          <t>B0839L9RSB</t>
        </is>
      </c>
      <c r="D451" s="54" t="inlineStr">
        <is>
          <t>SATIN-FULL-BLUE</t>
        </is>
      </c>
      <c r="E451" s="54" t="inlineStr">
        <is>
          <t>Full</t>
        </is>
      </c>
      <c r="F451" s="54" t="inlineStr">
        <is>
          <t>Blue</t>
        </is>
      </c>
      <c r="G451" s="55" t="n">
        <v>122</v>
      </c>
      <c r="H451" s="55" t="n">
        <v>0</v>
      </c>
      <c r="I451" s="56" t="n"/>
      <c r="J451" s="57" t="n">
        <v>0.67</v>
      </c>
      <c r="K451" s="56" t="inlineStr">
        <is>
          <t>account data velocity</t>
        </is>
      </c>
      <c r="L451" s="58" t="n">
        <v>2.6371</v>
      </c>
      <c r="M451" s="56" t="inlineStr">
        <is>
          <t>own BFCM 2025 lift (account data)</t>
        </is>
      </c>
      <c r="N451" s="59">
        <f>J451*34+J451*L451*12</f>
        <v/>
      </c>
      <c r="O451" s="59">
        <f>MAX(0,N451-G451-H451)</f>
        <v/>
      </c>
      <c r="P451" s="60">
        <f>IF(J451=0,"",IF(G451&lt;J451*34,DATE(2026,10,15)+G451/J451,IF(G451&lt;N451,DATE(2026,11,18)+(G451-J451*34)/(J451*L451),"after Nov 30")))</f>
        <v/>
      </c>
      <c r="Q451" s="60">
        <f>IF(J451=0,"",IF(G451+H451&lt;J451*34,DATE(2026,10,15)+(G451+H451)/J451,IF(G451+H451&lt;N451,DATE(2026,11,18)+(G451+H451-J451*34)/(J451*L451),"after Nov 30")))</f>
        <v/>
      </c>
      <c r="R451" s="54">
        <f>IF(AND(G451&lt;=0,J451&gt;0),"Out of stock now",IF(G451&gt;=N451,"Covered to Nov 30",IF(G451+H451&gt;=N451,"Needs inbound in time","Short even with inbound")))</f>
        <v/>
      </c>
      <c r="S451" s="57" t="n">
        <v>0.643</v>
      </c>
      <c r="T451" s="59">
        <f>IF(S451="","",S451*34+S451*L451*12)</f>
        <v/>
      </c>
    </row>
    <row r="452">
      <c r="A452" s="54" t="inlineStr">
        <is>
          <t>US DC S4</t>
        </is>
      </c>
      <c r="B452" s="54" t="inlineStr">
        <is>
          <t>US</t>
        </is>
      </c>
      <c r="C452" s="54" t="inlineStr">
        <is>
          <t>B08KRHBD49</t>
        </is>
      </c>
      <c r="D452" s="54" t="inlineStr">
        <is>
          <t>SATIN-RED-FULL</t>
        </is>
      </c>
      <c r="E452" s="54" t="inlineStr">
        <is>
          <t>Full</t>
        </is>
      </c>
      <c r="F452" s="54" t="inlineStr">
        <is>
          <t>Red</t>
        </is>
      </c>
      <c r="G452" s="55" t="n">
        <v>16</v>
      </c>
      <c r="H452" s="55" t="n">
        <v>0</v>
      </c>
      <c r="I452" s="56" t="n"/>
      <c r="J452" s="57" t="n">
        <v>0.66</v>
      </c>
      <c r="K452" s="56" t="inlineStr">
        <is>
          <t>account data velocity</t>
        </is>
      </c>
      <c r="L452" s="58" t="n">
        <v>2.6371</v>
      </c>
      <c r="M452" s="56" t="inlineStr">
        <is>
          <t>own BFCM 2025 lift (account data)</t>
        </is>
      </c>
      <c r="N452" s="59">
        <f>J452*34+J452*L452*12</f>
        <v/>
      </c>
      <c r="O452" s="59">
        <f>MAX(0,N452-G452-H452)</f>
        <v/>
      </c>
      <c r="P452" s="60">
        <f>IF(J452=0,"",IF(G452&lt;J452*34,DATE(2026,10,15)+G452/J452,IF(G452&lt;N452,DATE(2026,11,18)+(G452-J452*34)/(J452*L452),"after Nov 30")))</f>
        <v/>
      </c>
      <c r="Q452" s="60">
        <f>IF(J452=0,"",IF(G452+H452&lt;J452*34,DATE(2026,10,15)+(G452+H452)/J452,IF(G452+H452&lt;N452,DATE(2026,11,18)+(G452+H452-J452*34)/(J452*L452),"after Nov 30")))</f>
        <v/>
      </c>
      <c r="R452" s="54">
        <f>IF(AND(G452&lt;=0,J452&gt;0),"Out of stock now",IF(G452&gt;=N452,"Covered to Nov 30",IF(G452+H452&gt;=N452,"Needs inbound in time","Short even with inbound")))</f>
        <v/>
      </c>
      <c r="S452" s="57" t="n">
        <v>0.643</v>
      </c>
      <c r="T452" s="59">
        <f>IF(S452="","",S452*34+S452*L452*12)</f>
        <v/>
      </c>
    </row>
    <row r="453">
      <c r="A453" s="54" t="inlineStr">
        <is>
          <t>US DC S4</t>
        </is>
      </c>
      <c r="B453" s="54" t="inlineStr">
        <is>
          <t>US</t>
        </is>
      </c>
      <c r="C453" s="54" t="inlineStr">
        <is>
          <t>B0BG1Z32KQ</t>
        </is>
      </c>
      <c r="D453" s="54" t="inlineStr">
        <is>
          <t>SATIN-SEA-TEAL-FULL</t>
        </is>
      </c>
      <c r="E453" s="54" t="inlineStr">
        <is>
          <t>Full</t>
        </is>
      </c>
      <c r="F453" s="54" t="inlineStr">
        <is>
          <t>Sea Teal</t>
        </is>
      </c>
      <c r="G453" s="55" t="n">
        <v>25</v>
      </c>
      <c r="H453" s="55" t="n">
        <v>0</v>
      </c>
      <c r="I453" s="56" t="n"/>
      <c r="J453" s="57" t="n">
        <v>0.62</v>
      </c>
      <c r="K453" s="56" t="inlineStr">
        <is>
          <t>account data velocity</t>
        </is>
      </c>
      <c r="L453" s="58" t="n">
        <v>2.6371</v>
      </c>
      <c r="M453" s="56" t="inlineStr">
        <is>
          <t>own BFCM 2025 lift (account data)</t>
        </is>
      </c>
      <c r="N453" s="59">
        <f>J453*34+J453*L453*12</f>
        <v/>
      </c>
      <c r="O453" s="59">
        <f>MAX(0,N453-G453-H453)</f>
        <v/>
      </c>
      <c r="P453" s="60">
        <f>IF(J453=0,"",IF(G453&lt;J453*34,DATE(2026,10,15)+G453/J453,IF(G453&lt;N453,DATE(2026,11,18)+(G453-J453*34)/(J453*L453),"after Nov 30")))</f>
        <v/>
      </c>
      <c r="Q453" s="60">
        <f>IF(J453=0,"",IF(G453+H453&lt;J453*34,DATE(2026,10,15)+(G453+H453)/J453,IF(G453+H453&lt;N453,DATE(2026,11,18)+(G453+H453-J453*34)/(J453*L453),"after Nov 30")))</f>
        <v/>
      </c>
      <c r="R453" s="54">
        <f>IF(AND(G453&lt;=0,J453&gt;0),"Out of stock now",IF(G453&gt;=N453,"Covered to Nov 30",IF(G453+H453&gt;=N453,"Needs inbound in time","Short even with inbound")))</f>
        <v/>
      </c>
      <c r="S453" s="57" t="n">
        <v>0.536</v>
      </c>
      <c r="T453" s="59">
        <f>IF(S453="","",S453*34+S453*L453*12)</f>
        <v/>
      </c>
    </row>
    <row r="454">
      <c r="A454" s="54" t="inlineStr">
        <is>
          <t>US DC S4</t>
        </is>
      </c>
      <c r="B454" s="54" t="inlineStr">
        <is>
          <t>US</t>
        </is>
      </c>
      <c r="C454" s="54" t="inlineStr">
        <is>
          <t>B0CQRX1Q8Z</t>
        </is>
      </c>
      <c r="D454" s="54" t="inlineStr">
        <is>
          <t>SATIN-4PC-KING-LAVENDER</t>
        </is>
      </c>
      <c r="E454" s="54" t="inlineStr">
        <is>
          <t>King</t>
        </is>
      </c>
      <c r="F454" s="54" t="inlineStr">
        <is>
          <t>Lavender</t>
        </is>
      </c>
      <c r="G454" s="55" t="n">
        <v>209</v>
      </c>
      <c r="H454" s="55" t="n">
        <v>0</v>
      </c>
      <c r="I454" s="56" t="n"/>
      <c r="J454" s="57" t="n">
        <v>0.6</v>
      </c>
      <c r="K454" s="56" t="inlineStr">
        <is>
          <t>account data velocity</t>
        </is>
      </c>
      <c r="L454" s="58" t="n">
        <v>2.6371</v>
      </c>
      <c r="M454" s="56" t="inlineStr">
        <is>
          <t>own BFCM 2025 lift (account data)</t>
        </is>
      </c>
      <c r="N454" s="59">
        <f>J454*34+J454*L454*12</f>
        <v/>
      </c>
      <c r="O454" s="59">
        <f>MAX(0,N454-G454-H454)</f>
        <v/>
      </c>
      <c r="P454" s="60">
        <f>IF(J454=0,"",IF(G454&lt;J454*34,DATE(2026,10,15)+G454/J454,IF(G454&lt;N454,DATE(2026,11,18)+(G454-J454*34)/(J454*L454),"after Nov 30")))</f>
        <v/>
      </c>
      <c r="Q454" s="60">
        <f>IF(J454=0,"",IF(G454+H454&lt;J454*34,DATE(2026,10,15)+(G454+H454)/J454,IF(G454+H454&lt;N454,DATE(2026,11,18)+(G454+H454-J454*34)/(J454*L454),"after Nov 30")))</f>
        <v/>
      </c>
      <c r="R454" s="54">
        <f>IF(AND(G454&lt;=0,J454&gt;0),"Out of stock now",IF(G454&gt;=N454,"Covered to Nov 30",IF(G454+H454&gt;=N454,"Needs inbound in time","Short even with inbound")))</f>
        <v/>
      </c>
      <c r="S454" s="57" t="n">
        <v>0.607</v>
      </c>
      <c r="T454" s="59">
        <f>IF(S454="","",S454*34+S454*L454*12)</f>
        <v/>
      </c>
    </row>
    <row r="455">
      <c r="A455" s="54" t="inlineStr">
        <is>
          <t>US DC S4</t>
        </is>
      </c>
      <c r="B455" s="54" t="inlineStr">
        <is>
          <t>US</t>
        </is>
      </c>
      <c r="C455" s="54" t="inlineStr">
        <is>
          <t>B08KR9PWK1</t>
        </is>
      </c>
      <c r="D455" s="54" t="inlineStr">
        <is>
          <t>SATIN-GOLD-FULL</t>
        </is>
      </c>
      <c r="E455" s="54" t="inlineStr">
        <is>
          <t>Full</t>
        </is>
      </c>
      <c r="F455" s="54" t="inlineStr">
        <is>
          <t>Gold</t>
        </is>
      </c>
      <c r="G455" s="55" t="n">
        <v>30</v>
      </c>
      <c r="H455" s="55" t="n">
        <v>18</v>
      </c>
      <c r="I455" s="56" t="inlineStr">
        <is>
          <t>FBA19N7WSG18 in transit: 6; FBA19N7RP6W7 in transit: 6; FBA19N7RQF4Q ready to ship: 6</t>
        </is>
      </c>
      <c r="J455" s="57" t="n">
        <v>0.55</v>
      </c>
      <c r="K455" s="56" t="inlineStr">
        <is>
          <t>account data velocity</t>
        </is>
      </c>
      <c r="L455" s="58" t="n">
        <v>2.6371</v>
      </c>
      <c r="M455" s="56" t="inlineStr">
        <is>
          <t>own BFCM 2025 lift (account data)</t>
        </is>
      </c>
      <c r="N455" s="59">
        <f>J455*34+J455*L455*12</f>
        <v/>
      </c>
      <c r="O455" s="59">
        <f>MAX(0,N455-G455-H455)</f>
        <v/>
      </c>
      <c r="P455" s="60">
        <f>IF(J455=0,"",IF(G455&lt;J455*34,DATE(2026,10,15)+G455/J455,IF(G455&lt;N455,DATE(2026,11,18)+(G455-J455*34)/(J455*L455),"after Nov 30")))</f>
        <v/>
      </c>
      <c r="Q455" s="60">
        <f>IF(J455=0,"",IF(G455+H455&lt;J455*34,DATE(2026,10,15)+(G455+H455)/J455,IF(G455+H455&lt;N455,DATE(2026,11,18)+(G455+H455-J455*34)/(J455*L455),"after Nov 30")))</f>
        <v/>
      </c>
      <c r="R455" s="54">
        <f>IF(AND(G455&lt;=0,J455&gt;0),"Out of stock now",IF(G455&gt;=N455,"Covered to Nov 30",IF(G455+H455&gt;=N455,"Needs inbound in time","Short even with inbound")))</f>
        <v/>
      </c>
      <c r="S455" s="57" t="n">
        <v>0.179</v>
      </c>
      <c r="T455" s="59">
        <f>IF(S455="","",S455*34+S455*L455*12)</f>
        <v/>
      </c>
    </row>
    <row r="456">
      <c r="A456" s="54" t="inlineStr">
        <is>
          <t>US DC S4</t>
        </is>
      </c>
      <c r="B456" s="54" t="inlineStr">
        <is>
          <t>US</t>
        </is>
      </c>
      <c r="C456" s="54" t="inlineStr">
        <is>
          <t>B0839L6QG5</t>
        </is>
      </c>
      <c r="D456" s="54" t="inlineStr">
        <is>
          <t>SATIN-FULL-PINK</t>
        </is>
      </c>
      <c r="E456" s="54" t="inlineStr">
        <is>
          <t>Full</t>
        </is>
      </c>
      <c r="F456" s="54" t="inlineStr">
        <is>
          <t>Pink</t>
        </is>
      </c>
      <c r="G456" s="55" t="n">
        <v>138</v>
      </c>
      <c r="H456" s="55" t="n">
        <v>18</v>
      </c>
      <c r="I456" s="56" t="inlineStr">
        <is>
          <t>FBA19N82086K ready to ship: 108; FBA19P55072C in transit: 18</t>
        </is>
      </c>
      <c r="J456" s="57" t="n">
        <v>0.54</v>
      </c>
      <c r="K456" s="56" t="inlineStr">
        <is>
          <t>account data velocity</t>
        </is>
      </c>
      <c r="L456" s="58" t="n">
        <v>2.6371</v>
      </c>
      <c r="M456" s="56" t="inlineStr">
        <is>
          <t>own BFCM 2025 lift (account data)</t>
        </is>
      </c>
      <c r="N456" s="59">
        <f>J456*34+J456*L456*12</f>
        <v/>
      </c>
      <c r="O456" s="59">
        <f>MAX(0,N456-G456-H456)</f>
        <v/>
      </c>
      <c r="P456" s="60">
        <f>IF(J456=0,"",IF(G456&lt;J456*34,DATE(2026,10,15)+G456/J456,IF(G456&lt;N456,DATE(2026,11,18)+(G456-J456*34)/(J456*L456),"after Nov 30")))</f>
        <v/>
      </c>
      <c r="Q456" s="60">
        <f>IF(J456=0,"",IF(G456+H456&lt;J456*34,DATE(2026,10,15)+(G456+H456)/J456,IF(G456+H456&lt;N456,DATE(2026,11,18)+(G456+H456-J456*34)/(J456*L456),"after Nov 30")))</f>
        <v/>
      </c>
      <c r="R456" s="54">
        <f>IF(AND(G456&lt;=0,J456&gt;0),"Out of stock now",IF(G456&gt;=N456,"Covered to Nov 30",IF(G456+H456&gt;=N456,"Needs inbound in time","Short even with inbound")))</f>
        <v/>
      </c>
      <c r="S456" s="57" t="n">
        <v>0.607</v>
      </c>
      <c r="T456" s="59">
        <f>IF(S456="","",S456*34+S456*L456*12)</f>
        <v/>
      </c>
    </row>
    <row r="457">
      <c r="A457" s="54" t="inlineStr">
        <is>
          <t>US DC S4</t>
        </is>
      </c>
      <c r="B457" s="54" t="inlineStr">
        <is>
          <t>US</t>
        </is>
      </c>
      <c r="C457" s="54" t="inlineStr">
        <is>
          <t>B0CQRX2Z2G</t>
        </is>
      </c>
      <c r="D457" s="54" t="inlineStr">
        <is>
          <t>SATIN-4PC-FULL-DARK GREEN</t>
        </is>
      </c>
      <c r="E457" s="54" t="inlineStr">
        <is>
          <t>Full</t>
        </is>
      </c>
      <c r="F457" s="54" t="inlineStr">
        <is>
          <t>Dark Green</t>
        </is>
      </c>
      <c r="G457" s="55" t="n">
        <v>87</v>
      </c>
      <c r="H457" s="55" t="n">
        <v>0</v>
      </c>
      <c r="I457" s="56" t="n"/>
      <c r="J457" s="57" t="n">
        <v>0.5</v>
      </c>
      <c r="K457" s="56" t="inlineStr">
        <is>
          <t>account data velocity</t>
        </is>
      </c>
      <c r="L457" s="58" t="n">
        <v>2.6371</v>
      </c>
      <c r="M457" s="56" t="inlineStr">
        <is>
          <t>own BFCM 2025 lift (account data)</t>
        </is>
      </c>
      <c r="N457" s="59">
        <f>J457*34+J457*L457*12</f>
        <v/>
      </c>
      <c r="O457" s="59">
        <f>MAX(0,N457-G457-H457)</f>
        <v/>
      </c>
      <c r="P457" s="60">
        <f>IF(J457=0,"",IF(G457&lt;J457*34,DATE(2026,10,15)+G457/J457,IF(G457&lt;N457,DATE(2026,11,18)+(G457-J457*34)/(J457*L457),"after Nov 30")))</f>
        <v/>
      </c>
      <c r="Q457" s="60">
        <f>IF(J457=0,"",IF(G457+H457&lt;J457*34,DATE(2026,10,15)+(G457+H457)/J457,IF(G457+H457&lt;N457,DATE(2026,11,18)+(G457+H457-J457*34)/(J457*L457),"after Nov 30")))</f>
        <v/>
      </c>
      <c r="R457" s="54">
        <f>IF(AND(G457&lt;=0,J457&gt;0),"Out of stock now",IF(G457&gt;=N457,"Covered to Nov 30",IF(G457+H457&gt;=N457,"Needs inbound in time","Short even with inbound")))</f>
        <v/>
      </c>
      <c r="S457" s="57" t="n">
        <v>0.429</v>
      </c>
      <c r="T457" s="59">
        <f>IF(S457="","",S457*34+S457*L457*12)</f>
        <v/>
      </c>
    </row>
    <row r="458">
      <c r="A458" s="54" t="inlineStr">
        <is>
          <t>US DC S4</t>
        </is>
      </c>
      <c r="B458" s="54" t="inlineStr">
        <is>
          <t>US</t>
        </is>
      </c>
      <c r="C458" s="54" t="inlineStr">
        <is>
          <t>B0839M8LP5</t>
        </is>
      </c>
      <c r="D458" s="54" t="inlineStr">
        <is>
          <t>SATIN-TWIN-GREY</t>
        </is>
      </c>
      <c r="E458" s="54" t="inlineStr">
        <is>
          <t>Twin</t>
        </is>
      </c>
      <c r="F458" s="54" t="inlineStr">
        <is>
          <t>Grey</t>
        </is>
      </c>
      <c r="G458" s="55" t="n">
        <v>94</v>
      </c>
      <c r="H458" s="55" t="n">
        <v>0</v>
      </c>
      <c r="I458" s="56" t="n"/>
      <c r="J458" s="57" t="n">
        <v>0.5</v>
      </c>
      <c r="K458" s="56" t="inlineStr">
        <is>
          <t>account data velocity</t>
        </is>
      </c>
      <c r="L458" s="58" t="n">
        <v>2.6371</v>
      </c>
      <c r="M458" s="56" t="inlineStr">
        <is>
          <t>own BFCM 2025 lift (account data)</t>
        </is>
      </c>
      <c r="N458" s="59">
        <f>J458*34+J458*L458*12</f>
        <v/>
      </c>
      <c r="O458" s="59">
        <f>MAX(0,N458-G458-H458)</f>
        <v/>
      </c>
      <c r="P458" s="60">
        <f>IF(J458=0,"",IF(G458&lt;J458*34,DATE(2026,10,15)+G458/J458,IF(G458&lt;N458,DATE(2026,11,18)+(G458-J458*34)/(J458*L458),"after Nov 30")))</f>
        <v/>
      </c>
      <c r="Q458" s="60">
        <f>IF(J458=0,"",IF(G458+H458&lt;J458*34,DATE(2026,10,15)+(G458+H458)/J458,IF(G458+H458&lt;N458,DATE(2026,11,18)+(G458+H458-J458*34)/(J458*L458),"after Nov 30")))</f>
        <v/>
      </c>
      <c r="R458" s="54">
        <f>IF(AND(G458&lt;=0,J458&gt;0),"Out of stock now",IF(G458&gt;=N458,"Covered to Nov 30",IF(G458+H458&gt;=N458,"Needs inbound in time","Short even with inbound")))</f>
        <v/>
      </c>
      <c r="S458" s="57" t="n">
        <v>0.321</v>
      </c>
      <c r="T458" s="59">
        <f>IF(S458="","",S458*34+S458*L458*12)</f>
        <v/>
      </c>
    </row>
    <row r="459">
      <c r="A459" s="54" t="inlineStr">
        <is>
          <t>US DC S4</t>
        </is>
      </c>
      <c r="B459" s="54" t="inlineStr">
        <is>
          <t>US</t>
        </is>
      </c>
      <c r="C459" s="54" t="inlineStr">
        <is>
          <t>B0BG22CYFP</t>
        </is>
      </c>
      <c r="D459" s="54" t="inlineStr">
        <is>
          <t>SATIN-IVORY-FULL</t>
        </is>
      </c>
      <c r="E459" s="54" t="inlineStr">
        <is>
          <t>Full</t>
        </is>
      </c>
      <c r="F459" s="54" t="inlineStr">
        <is>
          <t>Ivory</t>
        </is>
      </c>
      <c r="G459" s="55" t="n">
        <v>81</v>
      </c>
      <c r="H459" s="55" t="n">
        <v>0</v>
      </c>
      <c r="I459" s="56" t="n"/>
      <c r="J459" s="57" t="n">
        <v>0.48</v>
      </c>
      <c r="K459" s="56" t="inlineStr">
        <is>
          <t>account data velocity</t>
        </is>
      </c>
      <c r="L459" s="58" t="n">
        <v>2.6371</v>
      </c>
      <c r="M459" s="56" t="inlineStr">
        <is>
          <t>own BFCM 2025 lift (account data)</t>
        </is>
      </c>
      <c r="N459" s="59">
        <f>J459*34+J459*L459*12</f>
        <v/>
      </c>
      <c r="O459" s="59">
        <f>MAX(0,N459-G459-H459)</f>
        <v/>
      </c>
      <c r="P459" s="60">
        <f>IF(J459=0,"",IF(G459&lt;J459*34,DATE(2026,10,15)+G459/J459,IF(G459&lt;N459,DATE(2026,11,18)+(G459-J459*34)/(J459*L459),"after Nov 30")))</f>
        <v/>
      </c>
      <c r="Q459" s="60">
        <f>IF(J459=0,"",IF(G459+H459&lt;J459*34,DATE(2026,10,15)+(G459+H459)/J459,IF(G459+H459&lt;N459,DATE(2026,11,18)+(G459+H459-J459*34)/(J459*L459),"after Nov 30")))</f>
        <v/>
      </c>
      <c r="R459" s="54">
        <f>IF(AND(G459&lt;=0,J459&gt;0),"Out of stock now",IF(G459&gt;=N459,"Covered to Nov 30",IF(G459+H459&gt;=N459,"Needs inbound in time","Short even with inbound")))</f>
        <v/>
      </c>
      <c r="S459" s="57" t="n">
        <v>0.643</v>
      </c>
      <c r="T459" s="59">
        <f>IF(S459="","",S459*34+S459*L459*12)</f>
        <v/>
      </c>
    </row>
    <row r="460">
      <c r="A460" s="54" t="inlineStr">
        <is>
          <t>US DC S4</t>
        </is>
      </c>
      <c r="B460" s="54" t="inlineStr">
        <is>
          <t>US</t>
        </is>
      </c>
      <c r="C460" s="54" t="inlineStr">
        <is>
          <t>B08KRS1K6H</t>
        </is>
      </c>
      <c r="D460" s="54" t="inlineStr">
        <is>
          <t>SATIN-WHITE-TWIN</t>
        </is>
      </c>
      <c r="E460" s="54" t="inlineStr">
        <is>
          <t>Twin</t>
        </is>
      </c>
      <c r="F460" s="54" t="inlineStr">
        <is>
          <t>White</t>
        </is>
      </c>
      <c r="G460" s="55" t="n">
        <v>26</v>
      </c>
      <c r="H460" s="55" t="n">
        <v>0</v>
      </c>
      <c r="I460" s="56" t="n"/>
      <c r="J460" s="57" t="n">
        <v>0.47</v>
      </c>
      <c r="K460" s="56" t="inlineStr">
        <is>
          <t>account data velocity</t>
        </is>
      </c>
      <c r="L460" s="58" t="n">
        <v>2.6371</v>
      </c>
      <c r="M460" s="56" t="inlineStr">
        <is>
          <t>own BFCM 2025 lift (account data)</t>
        </is>
      </c>
      <c r="N460" s="59">
        <f>J460*34+J460*L460*12</f>
        <v/>
      </c>
      <c r="O460" s="59">
        <f>MAX(0,N460-G460-H460)</f>
        <v/>
      </c>
      <c r="P460" s="60">
        <f>IF(J460=0,"",IF(G460&lt;J460*34,DATE(2026,10,15)+G460/J460,IF(G460&lt;N460,DATE(2026,11,18)+(G460-J460*34)/(J460*L460),"after Nov 30")))</f>
        <v/>
      </c>
      <c r="Q460" s="60">
        <f>IF(J460=0,"",IF(G460+H460&lt;J460*34,DATE(2026,10,15)+(G460+H460)/J460,IF(G460+H460&lt;N460,DATE(2026,11,18)+(G460+H460-J460*34)/(J460*L460),"after Nov 30")))</f>
        <v/>
      </c>
      <c r="R460" s="54">
        <f>IF(AND(G460&lt;=0,J460&gt;0),"Out of stock now",IF(G460&gt;=N460,"Covered to Nov 30",IF(G460+H460&gt;=N460,"Needs inbound in time","Short even with inbound")))</f>
        <v/>
      </c>
      <c r="S460" s="57" t="n">
        <v>0.179</v>
      </c>
      <c r="T460" s="59">
        <f>IF(S460="","",S460*34+S460*L460*12)</f>
        <v/>
      </c>
    </row>
    <row r="461">
      <c r="A461" s="54" t="inlineStr">
        <is>
          <t>US DC S4</t>
        </is>
      </c>
      <c r="B461" s="54" t="inlineStr">
        <is>
          <t>US</t>
        </is>
      </c>
      <c r="C461" s="54" t="inlineStr">
        <is>
          <t>B09G6JSW33</t>
        </is>
      </c>
      <c r="D461" s="54" t="inlineStr">
        <is>
          <t>SATIN-STRIPE-QUEEN-PINK</t>
        </is>
      </c>
      <c r="E461" s="54" t="inlineStr">
        <is>
          <t>Queen</t>
        </is>
      </c>
      <c r="F461" s="54" t="inlineStr">
        <is>
          <t>Striped Pink</t>
        </is>
      </c>
      <c r="G461" s="55" t="n">
        <v>66</v>
      </c>
      <c r="H461" s="55" t="n">
        <v>0</v>
      </c>
      <c r="I461" s="56" t="n"/>
      <c r="J461" s="57" t="n">
        <v>0.46</v>
      </c>
      <c r="K461" s="56" t="inlineStr">
        <is>
          <t>account data velocity</t>
        </is>
      </c>
      <c r="L461" s="58" t="n">
        <v>2.6371</v>
      </c>
      <c r="M461" s="56" t="inlineStr">
        <is>
          <t>own BFCM 2025 lift (account data)</t>
        </is>
      </c>
      <c r="N461" s="59">
        <f>J461*34+J461*L461*12</f>
        <v/>
      </c>
      <c r="O461" s="59">
        <f>MAX(0,N461-G461-H461)</f>
        <v/>
      </c>
      <c r="P461" s="60">
        <f>IF(J461=0,"",IF(G461&lt;J461*34,DATE(2026,10,15)+G461/J461,IF(G461&lt;N461,DATE(2026,11,18)+(G461-J461*34)/(J461*L461),"after Nov 30")))</f>
        <v/>
      </c>
      <c r="Q461" s="60">
        <f>IF(J461=0,"",IF(G461+H461&lt;J461*34,DATE(2026,10,15)+(G461+H461)/J461,IF(G461+H461&lt;N461,DATE(2026,11,18)+(G461+H461-J461*34)/(J461*L461),"after Nov 30")))</f>
        <v/>
      </c>
      <c r="R461" s="54">
        <f>IF(AND(G461&lt;=0,J461&gt;0),"Out of stock now",IF(G461&gt;=N461,"Covered to Nov 30",IF(G461+H461&gt;=N461,"Needs inbound in time","Short even with inbound")))</f>
        <v/>
      </c>
      <c r="S461" s="57" t="n">
        <v>0.25</v>
      </c>
      <c r="T461" s="59">
        <f>IF(S461="","",S461*34+S461*L461*12)</f>
        <v/>
      </c>
    </row>
    <row r="462">
      <c r="A462" s="54" t="inlineStr">
        <is>
          <t>US DC S4</t>
        </is>
      </c>
      <c r="B462" s="54" t="inlineStr">
        <is>
          <t>US</t>
        </is>
      </c>
      <c r="C462" s="54" t="inlineStr">
        <is>
          <t>B0BZPVYJK4</t>
        </is>
      </c>
      <c r="D462" s="54" t="inlineStr">
        <is>
          <t>SATIN-TAUPE-TWIN</t>
        </is>
      </c>
      <c r="E462" s="54" t="inlineStr">
        <is>
          <t>Twin</t>
        </is>
      </c>
      <c r="F462" s="54" t="inlineStr">
        <is>
          <t>Taupe</t>
        </is>
      </c>
      <c r="G462" s="55" t="n">
        <v>11</v>
      </c>
      <c r="H462" s="55" t="n">
        <v>0</v>
      </c>
      <c r="I462" s="56" t="n"/>
      <c r="J462" s="57" t="n">
        <v>0.46</v>
      </c>
      <c r="K462" s="56" t="inlineStr">
        <is>
          <t>account data velocity</t>
        </is>
      </c>
      <c r="L462" s="58" t="n">
        <v>2.6371</v>
      </c>
      <c r="M462" s="56" t="inlineStr">
        <is>
          <t>own BFCM 2025 lift (account data)</t>
        </is>
      </c>
      <c r="N462" s="59">
        <f>J462*34+J462*L462*12</f>
        <v/>
      </c>
      <c r="O462" s="59">
        <f>MAX(0,N462-G462-H462)</f>
        <v/>
      </c>
      <c r="P462" s="60">
        <f>IF(J462=0,"",IF(G462&lt;J462*34,DATE(2026,10,15)+G462/J462,IF(G462&lt;N462,DATE(2026,11,18)+(G462-J462*34)/(J462*L462),"after Nov 30")))</f>
        <v/>
      </c>
      <c r="Q462" s="60">
        <f>IF(J462=0,"",IF(G462+H462&lt;J462*34,DATE(2026,10,15)+(G462+H462)/J462,IF(G462+H462&lt;N462,DATE(2026,11,18)+(G462+H462-J462*34)/(J462*L462),"after Nov 30")))</f>
        <v/>
      </c>
      <c r="R462" s="54">
        <f>IF(AND(G462&lt;=0,J462&gt;0),"Out of stock now",IF(G462&gt;=N462,"Covered to Nov 30",IF(G462+H462&gt;=N462,"Needs inbound in time","Short even with inbound")))</f>
        <v/>
      </c>
      <c r="S462" s="57" t="n">
        <v>0.143</v>
      </c>
      <c r="T462" s="59">
        <f>IF(S462="","",S462*34+S462*L462*12)</f>
        <v/>
      </c>
    </row>
    <row r="463">
      <c r="A463" s="54" t="inlineStr">
        <is>
          <t>US DC S4</t>
        </is>
      </c>
      <c r="B463" s="54" t="inlineStr">
        <is>
          <t>US</t>
        </is>
      </c>
      <c r="C463" s="54" t="inlineStr">
        <is>
          <t>B0839LK8DB</t>
        </is>
      </c>
      <c r="D463" s="54" t="inlineStr">
        <is>
          <t>SATIN-KING-PINK</t>
        </is>
      </c>
      <c r="E463" s="54" t="inlineStr">
        <is>
          <t>King</t>
        </is>
      </c>
      <c r="F463" s="54" t="inlineStr">
        <is>
          <t>Pink</t>
        </is>
      </c>
      <c r="G463" s="55" t="n">
        <v>16</v>
      </c>
      <c r="H463" s="55" t="n">
        <v>78</v>
      </c>
      <c r="I463" s="56" t="inlineStr">
        <is>
          <t>FBA19SV5KWMR ready to ship: 12; FBA19RS1HC4F shipped: 18; FBA19RRY6QFT shipped: 12; FBA19RS0N5K2 shipped: 6; FBA19RRYCGHJ shipped: 18; FBA19RRY5FBL shipped: 24</t>
        </is>
      </c>
      <c r="J463" s="57" t="n">
        <v>0.4</v>
      </c>
      <c r="K463" s="56" t="inlineStr">
        <is>
          <t>account data velocity</t>
        </is>
      </c>
      <c r="L463" s="58" t="n">
        <v>2.6371</v>
      </c>
      <c r="M463" s="56" t="inlineStr">
        <is>
          <t>own BFCM 2025 lift (account data)</t>
        </is>
      </c>
      <c r="N463" s="59">
        <f>J463*34+J463*L463*12</f>
        <v/>
      </c>
      <c r="O463" s="59">
        <f>MAX(0,N463-G463-H463)</f>
        <v/>
      </c>
      <c r="P463" s="60">
        <f>IF(J463=0,"",IF(G463&lt;J463*34,DATE(2026,10,15)+G463/J463,IF(G463&lt;N463,DATE(2026,11,18)+(G463-J463*34)/(J463*L463),"after Nov 30")))</f>
        <v/>
      </c>
      <c r="Q463" s="60">
        <f>IF(J463=0,"",IF(G463+H463&lt;J463*34,DATE(2026,10,15)+(G463+H463)/J463,IF(G463+H463&lt;N463,DATE(2026,11,18)+(G463+H463-J463*34)/(J463*L463),"after Nov 30")))</f>
        <v/>
      </c>
      <c r="R463" s="54">
        <f>IF(AND(G463&lt;=0,J463&gt;0),"Out of stock now",IF(G463&gt;=N463,"Covered to Nov 30",IF(G463+H463&gt;=N463,"Needs inbound in time","Short even with inbound")))</f>
        <v/>
      </c>
      <c r="S463" s="57" t="n">
        <v>0.286</v>
      </c>
      <c r="T463" s="59">
        <f>IF(S463="","",S463*34+S463*L463*12)</f>
        <v/>
      </c>
    </row>
    <row r="464">
      <c r="A464" s="54" t="inlineStr">
        <is>
          <t>US DC S4</t>
        </is>
      </c>
      <c r="B464" s="54" t="inlineStr">
        <is>
          <t>US</t>
        </is>
      </c>
      <c r="C464" s="54" t="inlineStr">
        <is>
          <t>B0CNS9KLZR</t>
        </is>
      </c>
      <c r="D464" s="54" t="inlineStr">
        <is>
          <t>SATIN-KING-BLUSH PINK</t>
        </is>
      </c>
      <c r="E464" s="54" t="inlineStr">
        <is>
          <t>King</t>
        </is>
      </c>
      <c r="F464" s="54" t="inlineStr">
        <is>
          <t>Blush Pink</t>
        </is>
      </c>
      <c r="G464" s="55" t="n">
        <v>149</v>
      </c>
      <c r="H464" s="55" t="n">
        <v>0</v>
      </c>
      <c r="I464" s="56" t="n"/>
      <c r="J464" s="57" t="n">
        <v>0.39</v>
      </c>
      <c r="K464" s="56" t="inlineStr">
        <is>
          <t>account data velocity</t>
        </is>
      </c>
      <c r="L464" s="58" t="n">
        <v>2.6371</v>
      </c>
      <c r="M464" s="56" t="inlineStr">
        <is>
          <t>own BFCM 2025 lift (account data)</t>
        </is>
      </c>
      <c r="N464" s="59">
        <f>J464*34+J464*L464*12</f>
        <v/>
      </c>
      <c r="O464" s="59">
        <f>MAX(0,N464-G464-H464)</f>
        <v/>
      </c>
      <c r="P464" s="60">
        <f>IF(J464=0,"",IF(G464&lt;J464*34,DATE(2026,10,15)+G464/J464,IF(G464&lt;N464,DATE(2026,11,18)+(G464-J464*34)/(J464*L464),"after Nov 30")))</f>
        <v/>
      </c>
      <c r="Q464" s="60">
        <f>IF(J464=0,"",IF(G464+H464&lt;J464*34,DATE(2026,10,15)+(G464+H464)/J464,IF(G464+H464&lt;N464,DATE(2026,11,18)+(G464+H464-J464*34)/(J464*L464),"after Nov 30")))</f>
        <v/>
      </c>
      <c r="R464" s="54">
        <f>IF(AND(G464&lt;=0,J464&gt;0),"Out of stock now",IF(G464&gt;=N464,"Covered to Nov 30",IF(G464+H464&gt;=N464,"Needs inbound in time","Short even with inbound")))</f>
        <v/>
      </c>
      <c r="S464" s="57" t="n">
        <v>0.25</v>
      </c>
      <c r="T464" s="59">
        <f>IF(S464="","",S464*34+S464*L464*12)</f>
        <v/>
      </c>
    </row>
    <row r="465">
      <c r="A465" s="54" t="inlineStr">
        <is>
          <t>US DC S4</t>
        </is>
      </c>
      <c r="B465" s="54" t="inlineStr">
        <is>
          <t>US</t>
        </is>
      </c>
      <c r="C465" s="54" t="inlineStr">
        <is>
          <t>B0CQRZ6KRR</t>
        </is>
      </c>
      <c r="D465" s="54" t="inlineStr">
        <is>
          <t>SATIN-3PC-TWIN-NAVY BLUE</t>
        </is>
      </c>
      <c r="E465" s="54" t="inlineStr">
        <is>
          <t>Twin</t>
        </is>
      </c>
      <c r="F465" s="54" t="inlineStr">
        <is>
          <t>Navy Blue</t>
        </is>
      </c>
      <c r="G465" s="55" t="n">
        <v>21</v>
      </c>
      <c r="H465" s="55" t="n">
        <v>0</v>
      </c>
      <c r="I465" s="56" t="n"/>
      <c r="J465" s="57" t="n">
        <v>0.37</v>
      </c>
      <c r="K465" s="56" t="inlineStr">
        <is>
          <t>account data velocity</t>
        </is>
      </c>
      <c r="L465" s="58" t="n">
        <v>2.6371</v>
      </c>
      <c r="M465" s="56" t="inlineStr">
        <is>
          <t>own BFCM 2025 lift (account data)</t>
        </is>
      </c>
      <c r="N465" s="59">
        <f>J465*34+J465*L465*12</f>
        <v/>
      </c>
      <c r="O465" s="59">
        <f>MAX(0,N465-G465-H465)</f>
        <v/>
      </c>
      <c r="P465" s="60">
        <f>IF(J465=0,"",IF(G465&lt;J465*34,DATE(2026,10,15)+G465/J465,IF(G465&lt;N465,DATE(2026,11,18)+(G465-J465*34)/(J465*L465),"after Nov 30")))</f>
        <v/>
      </c>
      <c r="Q465" s="60">
        <f>IF(J465=0,"",IF(G465+H465&lt;J465*34,DATE(2026,10,15)+(G465+H465)/J465,IF(G465+H465&lt;N465,DATE(2026,11,18)+(G465+H465-J465*34)/(J465*L465),"after Nov 30")))</f>
        <v/>
      </c>
      <c r="R465" s="54">
        <f>IF(AND(G465&lt;=0,J465&gt;0),"Out of stock now",IF(G465&gt;=N465,"Covered to Nov 30",IF(G465+H465&gt;=N465,"Needs inbound in time","Short even with inbound")))</f>
        <v/>
      </c>
      <c r="S465" s="57" t="n">
        <v>0.286</v>
      </c>
      <c r="T465" s="59">
        <f>IF(S465="","",S465*34+S465*L465*12)</f>
        <v/>
      </c>
    </row>
    <row r="466">
      <c r="A466" s="54" t="inlineStr">
        <is>
          <t>US DC S4</t>
        </is>
      </c>
      <c r="B466" s="54" t="inlineStr">
        <is>
          <t>US</t>
        </is>
      </c>
      <c r="C466" s="54" t="inlineStr">
        <is>
          <t>B0CQRXM35T</t>
        </is>
      </c>
      <c r="D466" s="54" t="inlineStr">
        <is>
          <t>SATIN-3PC-TWIN-BABY BLUE</t>
        </is>
      </c>
      <c r="E466" s="54" t="inlineStr">
        <is>
          <t>Twin</t>
        </is>
      </c>
      <c r="F466" s="54" t="inlineStr">
        <is>
          <t>Baby Blue</t>
        </is>
      </c>
      <c r="G466" s="55" t="n">
        <v>34</v>
      </c>
      <c r="H466" s="55" t="n">
        <v>0</v>
      </c>
      <c r="I466" s="56" t="n"/>
      <c r="J466" s="57" t="n">
        <v>0.36</v>
      </c>
      <c r="K466" s="56" t="inlineStr">
        <is>
          <t>account data velocity</t>
        </is>
      </c>
      <c r="L466" s="58" t="n">
        <v>2.6371</v>
      </c>
      <c r="M466" s="56" t="inlineStr">
        <is>
          <t>own BFCM 2025 lift (account data)</t>
        </is>
      </c>
      <c r="N466" s="59">
        <f>J466*34+J466*L466*12</f>
        <v/>
      </c>
      <c r="O466" s="59">
        <f>MAX(0,N466-G466-H466)</f>
        <v/>
      </c>
      <c r="P466" s="60">
        <f>IF(J466=0,"",IF(G466&lt;J466*34,DATE(2026,10,15)+G466/J466,IF(G466&lt;N466,DATE(2026,11,18)+(G466-J466*34)/(J466*L466),"after Nov 30")))</f>
        <v/>
      </c>
      <c r="Q466" s="60">
        <f>IF(J466=0,"",IF(G466+H466&lt;J466*34,DATE(2026,10,15)+(G466+H466)/J466,IF(G466+H466&lt;N466,DATE(2026,11,18)+(G466+H466-J466*34)/(J466*L466),"after Nov 30")))</f>
        <v/>
      </c>
      <c r="R466" s="54">
        <f>IF(AND(G466&lt;=0,J466&gt;0),"Out of stock now",IF(G466&gt;=N466,"Covered to Nov 30",IF(G466+H466&gt;=N466,"Needs inbound in time","Short even with inbound")))</f>
        <v/>
      </c>
      <c r="S466" s="57" t="n">
        <v>0.25</v>
      </c>
      <c r="T466" s="59">
        <f>IF(S466="","",S466*34+S466*L466*12)</f>
        <v/>
      </c>
    </row>
    <row r="467">
      <c r="A467" s="54" t="inlineStr">
        <is>
          <t>US DC S4</t>
        </is>
      </c>
      <c r="B467" s="54" t="inlineStr">
        <is>
          <t>US</t>
        </is>
      </c>
      <c r="C467" s="54" t="inlineStr">
        <is>
          <t>B0DBR4XYLB</t>
        </is>
      </c>
      <c r="D467" s="54" t="inlineStr">
        <is>
          <t>SATIN-4PCS-QUEEN-STRIPE-GRAY</t>
        </is>
      </c>
      <c r="E467" s="54" t="inlineStr">
        <is>
          <t>Queen</t>
        </is>
      </c>
      <c r="F467" s="54" t="inlineStr">
        <is>
          <t>Striped Grey</t>
        </is>
      </c>
      <c r="G467" s="55" t="n">
        <v>118</v>
      </c>
      <c r="H467" s="55" t="n">
        <v>18</v>
      </c>
      <c r="I467" s="56" t="inlineStr">
        <is>
          <t>FBA19N7WSG18 in transit: 6; FBA19N7RP6W7 in transit: 6; FBA19N7RQF4Q ready to ship: 6</t>
        </is>
      </c>
      <c r="J467" s="57" t="n">
        <v>0.35</v>
      </c>
      <c r="K467" s="56" t="inlineStr">
        <is>
          <t>account data velocity</t>
        </is>
      </c>
      <c r="L467" s="58" t="n">
        <v>2.6371</v>
      </c>
      <c r="M467" s="56" t="inlineStr">
        <is>
          <t>own BFCM 2025 lift (account data)</t>
        </is>
      </c>
      <c r="N467" s="59">
        <f>J467*34+J467*L467*12</f>
        <v/>
      </c>
      <c r="O467" s="59">
        <f>MAX(0,N467-G467-H467)</f>
        <v/>
      </c>
      <c r="P467" s="60">
        <f>IF(J467=0,"",IF(G467&lt;J467*34,DATE(2026,10,15)+G467/J467,IF(G467&lt;N467,DATE(2026,11,18)+(G467-J467*34)/(J467*L467),"after Nov 30")))</f>
        <v/>
      </c>
      <c r="Q467" s="60">
        <f>IF(J467=0,"",IF(G467+H467&lt;J467*34,DATE(2026,10,15)+(G467+H467)/J467,IF(G467+H467&lt;N467,DATE(2026,11,18)+(G467+H467-J467*34)/(J467*L467),"after Nov 30")))</f>
        <v/>
      </c>
      <c r="R467" s="54">
        <f>IF(AND(G467&lt;=0,J467&gt;0),"Out of stock now",IF(G467&gt;=N467,"Covered to Nov 30",IF(G467+H467&gt;=N467,"Needs inbound in time","Short even with inbound")))</f>
        <v/>
      </c>
      <c r="S467" s="57" t="n">
        <v>0.464</v>
      </c>
      <c r="T467" s="59">
        <f>IF(S467="","",S467*34+S467*L467*12)</f>
        <v/>
      </c>
    </row>
    <row r="468">
      <c r="A468" s="54" t="inlineStr">
        <is>
          <t>US DC S4</t>
        </is>
      </c>
      <c r="B468" s="54" t="inlineStr">
        <is>
          <t>US</t>
        </is>
      </c>
      <c r="C468" s="54" t="inlineStr">
        <is>
          <t>B0BG21NBG9</t>
        </is>
      </c>
      <c r="D468" s="54" t="inlineStr">
        <is>
          <t>SATIN-STONEGREY-TWIN</t>
        </is>
      </c>
      <c r="E468" s="54" t="inlineStr">
        <is>
          <t>Twin</t>
        </is>
      </c>
      <c r="F468" s="54" t="inlineStr">
        <is>
          <t>Stone Grey</t>
        </is>
      </c>
      <c r="G468" s="55" t="n">
        <v>102</v>
      </c>
      <c r="H468" s="55" t="n">
        <v>0</v>
      </c>
      <c r="I468" s="56" t="n"/>
      <c r="J468" s="57" t="n">
        <v>0.35</v>
      </c>
      <c r="K468" s="56" t="inlineStr">
        <is>
          <t>account data velocity</t>
        </is>
      </c>
      <c r="L468" s="58" t="n">
        <v>2.6371</v>
      </c>
      <c r="M468" s="56" t="inlineStr">
        <is>
          <t>own BFCM 2025 lift (account data)</t>
        </is>
      </c>
      <c r="N468" s="59">
        <f>J468*34+J468*L468*12</f>
        <v/>
      </c>
      <c r="O468" s="59">
        <f>MAX(0,N468-G468-H468)</f>
        <v/>
      </c>
      <c r="P468" s="60">
        <f>IF(J468=0,"",IF(G468&lt;J468*34,DATE(2026,10,15)+G468/J468,IF(G468&lt;N468,DATE(2026,11,18)+(G468-J468*34)/(J468*L468),"after Nov 30")))</f>
        <v/>
      </c>
      <c r="Q468" s="60">
        <f>IF(J468=0,"",IF(G468+H468&lt;J468*34,DATE(2026,10,15)+(G468+H468)/J468,IF(G468+H468&lt;N468,DATE(2026,11,18)+(G468+H468-J468*34)/(J468*L468),"after Nov 30")))</f>
        <v/>
      </c>
      <c r="R468" s="54">
        <f>IF(AND(G468&lt;=0,J468&gt;0),"Out of stock now",IF(G468&gt;=N468,"Covered to Nov 30",IF(G468+H468&gt;=N468,"Needs inbound in time","Short even with inbound")))</f>
        <v/>
      </c>
      <c r="S468" s="57" t="n">
        <v>0.214</v>
      </c>
      <c r="T468" s="59">
        <f>IF(S468="","",S468*34+S468*L468*12)</f>
        <v/>
      </c>
    </row>
    <row r="469">
      <c r="A469" s="54" t="inlineStr">
        <is>
          <t>US DC S4</t>
        </is>
      </c>
      <c r="B469" s="54" t="inlineStr">
        <is>
          <t>US</t>
        </is>
      </c>
      <c r="C469" s="54" t="inlineStr">
        <is>
          <t>B09G6KKB4S</t>
        </is>
      </c>
      <c r="D469" s="54" t="inlineStr">
        <is>
          <t>SATIN-STRIPE-FULL-WHITE</t>
        </is>
      </c>
      <c r="E469" s="54" t="inlineStr">
        <is>
          <t>Full</t>
        </is>
      </c>
      <c r="F469" s="54" t="inlineStr">
        <is>
          <t>Striped White</t>
        </is>
      </c>
      <c r="G469" s="55" t="n">
        <v>17</v>
      </c>
      <c r="H469" s="55" t="n">
        <v>0</v>
      </c>
      <c r="I469" s="56" t="n"/>
      <c r="J469" s="57" t="n">
        <v>0.32</v>
      </c>
      <c r="K469" s="56" t="inlineStr">
        <is>
          <t>account data velocity</t>
        </is>
      </c>
      <c r="L469" s="58" t="n">
        <v>2.6371</v>
      </c>
      <c r="M469" s="56" t="inlineStr">
        <is>
          <t>own BFCM 2025 lift (account data)</t>
        </is>
      </c>
      <c r="N469" s="59">
        <f>J469*34+J469*L469*12</f>
        <v/>
      </c>
      <c r="O469" s="59">
        <f>MAX(0,N469-G469-H469)</f>
        <v/>
      </c>
      <c r="P469" s="60">
        <f>IF(J469=0,"",IF(G469&lt;J469*34,DATE(2026,10,15)+G469/J469,IF(G469&lt;N469,DATE(2026,11,18)+(G469-J469*34)/(J469*L469),"after Nov 30")))</f>
        <v/>
      </c>
      <c r="Q469" s="60">
        <f>IF(J469=0,"",IF(G469+H469&lt;J469*34,DATE(2026,10,15)+(G469+H469)/J469,IF(G469+H469&lt;N469,DATE(2026,11,18)+(G469+H469-J469*34)/(J469*L469),"after Nov 30")))</f>
        <v/>
      </c>
      <c r="R469" s="54">
        <f>IF(AND(G469&lt;=0,J469&gt;0),"Out of stock now",IF(G469&gt;=N469,"Covered to Nov 30",IF(G469+H469&gt;=N469,"Needs inbound in time","Short even with inbound")))</f>
        <v/>
      </c>
      <c r="S469" s="57" t="n">
        <v>0.214</v>
      </c>
      <c r="T469" s="59">
        <f>IF(S469="","",S469*34+S469*L469*12)</f>
        <v/>
      </c>
    </row>
    <row r="470">
      <c r="A470" s="54" t="inlineStr">
        <is>
          <t>US DC S4</t>
        </is>
      </c>
      <c r="B470" s="54" t="inlineStr">
        <is>
          <t>US</t>
        </is>
      </c>
      <c r="C470" s="54" t="inlineStr">
        <is>
          <t>B0BZPYNXPB</t>
        </is>
      </c>
      <c r="D470" s="54" t="inlineStr">
        <is>
          <t>SATIN-CHAMPAGNE-FULL</t>
        </is>
      </c>
      <c r="E470" s="54" t="inlineStr">
        <is>
          <t>Full</t>
        </is>
      </c>
      <c r="F470" s="54" t="inlineStr">
        <is>
          <t>Champagne</t>
        </is>
      </c>
      <c r="G470" s="55" t="n">
        <v>88</v>
      </c>
      <c r="H470" s="55" t="n">
        <v>0</v>
      </c>
      <c r="I470" s="56" t="n"/>
      <c r="J470" s="57" t="n">
        <v>0.3</v>
      </c>
      <c r="K470" s="56" t="inlineStr">
        <is>
          <t>account data velocity</t>
        </is>
      </c>
      <c r="L470" s="58" t="n">
        <v>2.6371</v>
      </c>
      <c r="M470" s="56" t="inlineStr">
        <is>
          <t>own BFCM 2025 lift (account data)</t>
        </is>
      </c>
      <c r="N470" s="59">
        <f>J470*34+J470*L470*12</f>
        <v/>
      </c>
      <c r="O470" s="59">
        <f>MAX(0,N470-G470-H470)</f>
        <v/>
      </c>
      <c r="P470" s="60">
        <f>IF(J470=0,"",IF(G470&lt;J470*34,DATE(2026,10,15)+G470/J470,IF(G470&lt;N470,DATE(2026,11,18)+(G470-J470*34)/(J470*L470),"after Nov 30")))</f>
        <v/>
      </c>
      <c r="Q470" s="60">
        <f>IF(J470=0,"",IF(G470+H470&lt;J470*34,DATE(2026,10,15)+(G470+H470)/J470,IF(G470+H470&lt;N470,DATE(2026,11,18)+(G470+H470-J470*34)/(J470*L470),"after Nov 30")))</f>
        <v/>
      </c>
      <c r="R470" s="54">
        <f>IF(AND(G470&lt;=0,J470&gt;0),"Out of stock now",IF(G470&gt;=N470,"Covered to Nov 30",IF(G470+H470&gt;=N470,"Needs inbound in time","Short even with inbound")))</f>
        <v/>
      </c>
      <c r="S470" s="57" t="n">
        <v>0.25</v>
      </c>
      <c r="T470" s="59">
        <f>IF(S470="","",S470*34+S470*L470*12)</f>
        <v/>
      </c>
    </row>
    <row r="471">
      <c r="A471" s="54" t="inlineStr">
        <is>
          <t>US DC S4</t>
        </is>
      </c>
      <c r="B471" s="54" t="inlineStr">
        <is>
          <t>US</t>
        </is>
      </c>
      <c r="C471" s="54" t="inlineStr">
        <is>
          <t>B09G6L5ZW6</t>
        </is>
      </c>
      <c r="D471" s="54" t="inlineStr">
        <is>
          <t>SATIN-STRIPE-QUEEN-PURPLE</t>
        </is>
      </c>
      <c r="E471" s="54" t="inlineStr">
        <is>
          <t>Queen</t>
        </is>
      </c>
      <c r="F471" s="54" t="inlineStr">
        <is>
          <t>Striped Purple</t>
        </is>
      </c>
      <c r="G471" s="55" t="n">
        <v>40</v>
      </c>
      <c r="H471" s="55" t="n">
        <v>0</v>
      </c>
      <c r="I471" s="56" t="n"/>
      <c r="J471" s="57" t="n">
        <v>0.3</v>
      </c>
      <c r="K471" s="56" t="inlineStr">
        <is>
          <t>account data velocity</t>
        </is>
      </c>
      <c r="L471" s="58" t="n">
        <v>2.6371</v>
      </c>
      <c r="M471" s="56" t="inlineStr">
        <is>
          <t>own BFCM 2025 lift (account data)</t>
        </is>
      </c>
      <c r="N471" s="59">
        <f>J471*34+J471*L471*12</f>
        <v/>
      </c>
      <c r="O471" s="59">
        <f>MAX(0,N471-G471-H471)</f>
        <v/>
      </c>
      <c r="P471" s="60">
        <f>IF(J471=0,"",IF(G471&lt;J471*34,DATE(2026,10,15)+G471/J471,IF(G471&lt;N471,DATE(2026,11,18)+(G471-J471*34)/(J471*L471),"after Nov 30")))</f>
        <v/>
      </c>
      <c r="Q471" s="60">
        <f>IF(J471=0,"",IF(G471+H471&lt;J471*34,DATE(2026,10,15)+(G471+H471)/J471,IF(G471+H471&lt;N471,DATE(2026,11,18)+(G471+H471-J471*34)/(J471*L471),"after Nov 30")))</f>
        <v/>
      </c>
      <c r="R471" s="54">
        <f>IF(AND(G471&lt;=0,J471&gt;0),"Out of stock now",IF(G471&gt;=N471,"Covered to Nov 30",IF(G471+H471&gt;=N471,"Needs inbound in time","Short even with inbound")))</f>
        <v/>
      </c>
      <c r="S471" s="57" t="n">
        <v>0.214</v>
      </c>
      <c r="T471" s="59">
        <f>IF(S471="","",S471*34+S471*L471*12)</f>
        <v/>
      </c>
    </row>
    <row r="472">
      <c r="A472" s="54" t="inlineStr">
        <is>
          <t>US DC S4</t>
        </is>
      </c>
      <c r="B472" s="54" t="inlineStr">
        <is>
          <t>US</t>
        </is>
      </c>
      <c r="C472" s="54" t="inlineStr">
        <is>
          <t>B0CNS85C1K</t>
        </is>
      </c>
      <c r="D472" s="54" t="inlineStr">
        <is>
          <t>SATIN-TWIN-BLUSH PINK</t>
        </is>
      </c>
      <c r="E472" s="54" t="inlineStr">
        <is>
          <t>Twin</t>
        </is>
      </c>
      <c r="F472" s="54" t="inlineStr">
        <is>
          <t>Blush Pink</t>
        </is>
      </c>
      <c r="G472" s="55" t="n">
        <v>25</v>
      </c>
      <c r="H472" s="55" t="n">
        <v>0</v>
      </c>
      <c r="I472" s="56" t="n"/>
      <c r="J472" s="57" t="n">
        <v>0.29</v>
      </c>
      <c r="K472" s="56" t="inlineStr">
        <is>
          <t>account data velocity</t>
        </is>
      </c>
      <c r="L472" s="58" t="n">
        <v>2.6371</v>
      </c>
      <c r="M472" s="56" t="inlineStr">
        <is>
          <t>own BFCM 2025 lift (account data)</t>
        </is>
      </c>
      <c r="N472" s="59">
        <f>J472*34+J472*L472*12</f>
        <v/>
      </c>
      <c r="O472" s="59">
        <f>MAX(0,N472-G472-H472)</f>
        <v/>
      </c>
      <c r="P472" s="60">
        <f>IF(J472=0,"",IF(G472&lt;J472*34,DATE(2026,10,15)+G472/J472,IF(G472&lt;N472,DATE(2026,11,18)+(G472-J472*34)/(J472*L472),"after Nov 30")))</f>
        <v/>
      </c>
      <c r="Q472" s="60">
        <f>IF(J472=0,"",IF(G472+H472&lt;J472*34,DATE(2026,10,15)+(G472+H472)/J472,IF(G472+H472&lt;N472,DATE(2026,11,18)+(G472+H472-J472*34)/(J472*L472),"after Nov 30")))</f>
        <v/>
      </c>
      <c r="R472" s="54">
        <f>IF(AND(G472&lt;=0,J472&gt;0),"Out of stock now",IF(G472&gt;=N472,"Covered to Nov 30",IF(G472+H472&gt;=N472,"Needs inbound in time","Short even with inbound")))</f>
        <v/>
      </c>
      <c r="S472" s="57" t="n">
        <v>0.143</v>
      </c>
      <c r="T472" s="59">
        <f>IF(S472="","",S472*34+S472*L472*12)</f>
        <v/>
      </c>
    </row>
    <row r="473">
      <c r="A473" s="54" t="inlineStr">
        <is>
          <t>US DC S4</t>
        </is>
      </c>
      <c r="B473" s="54" t="inlineStr">
        <is>
          <t>US</t>
        </is>
      </c>
      <c r="C473" s="54" t="inlineStr">
        <is>
          <t>B09G6K8WYQ</t>
        </is>
      </c>
      <c r="D473" s="54" t="inlineStr">
        <is>
          <t>SATIN-STRIPE-QUEEN-BLUE</t>
        </is>
      </c>
      <c r="E473" s="54" t="inlineStr">
        <is>
          <t>Queen</t>
        </is>
      </c>
      <c r="F473" s="54" t="inlineStr">
        <is>
          <t>Striped Blue</t>
        </is>
      </c>
      <c r="G473" s="55" t="n">
        <v>0</v>
      </c>
      <c r="H473" s="55" t="n">
        <v>0</v>
      </c>
      <c r="I473" s="56" t="n"/>
      <c r="J473" s="57" t="n">
        <v>0.27</v>
      </c>
      <c r="K473" s="56" t="inlineStr">
        <is>
          <t>account data velocity</t>
        </is>
      </c>
      <c r="L473" s="58" t="n">
        <v>2.6371</v>
      </c>
      <c r="M473" s="56" t="inlineStr">
        <is>
          <t>own BFCM 2025 lift (account data)</t>
        </is>
      </c>
      <c r="N473" s="59">
        <f>J473*34+J473*L473*12</f>
        <v/>
      </c>
      <c r="O473" s="59">
        <f>MAX(0,N473-G473-H473)</f>
        <v/>
      </c>
      <c r="P473" s="60">
        <f>IF(J473=0,"",IF(G473&lt;J473*34,DATE(2026,10,15)+G473/J473,IF(G473&lt;N473,DATE(2026,11,18)+(G473-J473*34)/(J473*L473),"after Nov 30")))</f>
        <v/>
      </c>
      <c r="Q473" s="60">
        <f>IF(J473=0,"",IF(G473+H473&lt;J473*34,DATE(2026,10,15)+(G473+H473)/J473,IF(G473+H473&lt;N473,DATE(2026,11,18)+(G473+H473-J473*34)/(J473*L473),"after Nov 30")))</f>
        <v/>
      </c>
      <c r="R473" s="54">
        <f>IF(AND(G473&lt;=0,J473&gt;0),"Out of stock now",IF(G473&gt;=N473,"Covered to Nov 30",IF(G473+H473&gt;=N473,"Needs inbound in time","Short even with inbound")))</f>
        <v/>
      </c>
      <c r="S473" s="57" t="n">
        <v>0.036</v>
      </c>
      <c r="T473" s="59">
        <f>IF(S473="","",S473*34+S473*L473*12)</f>
        <v/>
      </c>
    </row>
    <row r="474">
      <c r="A474" s="54" t="inlineStr">
        <is>
          <t>US DC S4</t>
        </is>
      </c>
      <c r="B474" s="54" t="inlineStr">
        <is>
          <t>US</t>
        </is>
      </c>
      <c r="C474" s="54" t="inlineStr">
        <is>
          <t>B0BG22FCVJ</t>
        </is>
      </c>
      <c r="D474" s="54" t="inlineStr">
        <is>
          <t>SATIN-ROSEWOOD-TWIN</t>
        </is>
      </c>
      <c r="E474" s="54" t="inlineStr">
        <is>
          <t>Twin</t>
        </is>
      </c>
      <c r="F474" s="54" t="inlineStr">
        <is>
          <t>Rosewood</t>
        </is>
      </c>
      <c r="G474" s="55" t="n">
        <v>26</v>
      </c>
      <c r="H474" s="55" t="n">
        <v>0</v>
      </c>
      <c r="I474" s="56" t="n"/>
      <c r="J474" s="57" t="n">
        <v>0.26</v>
      </c>
      <c r="K474" s="56" t="inlineStr">
        <is>
          <t>account data velocity</t>
        </is>
      </c>
      <c r="L474" s="58" t="n">
        <v>2.6371</v>
      </c>
      <c r="M474" s="56" t="inlineStr">
        <is>
          <t>own BFCM 2025 lift (account data)</t>
        </is>
      </c>
      <c r="N474" s="59">
        <f>J474*34+J474*L474*12</f>
        <v/>
      </c>
      <c r="O474" s="59">
        <f>MAX(0,N474-G474-H474)</f>
        <v/>
      </c>
      <c r="P474" s="60">
        <f>IF(J474=0,"",IF(G474&lt;J474*34,DATE(2026,10,15)+G474/J474,IF(G474&lt;N474,DATE(2026,11,18)+(G474-J474*34)/(J474*L474),"after Nov 30")))</f>
        <v/>
      </c>
      <c r="Q474" s="60">
        <f>IF(J474=0,"",IF(G474+H474&lt;J474*34,DATE(2026,10,15)+(G474+H474)/J474,IF(G474+H474&lt;N474,DATE(2026,11,18)+(G474+H474-J474*34)/(J474*L474),"after Nov 30")))</f>
        <v/>
      </c>
      <c r="R474" s="54">
        <f>IF(AND(G474&lt;=0,J474&gt;0),"Out of stock now",IF(G474&gt;=N474,"Covered to Nov 30",IF(G474+H474&gt;=N474,"Needs inbound in time","Short even with inbound")))</f>
        <v/>
      </c>
      <c r="S474" s="57" t="n">
        <v>0.286</v>
      </c>
      <c r="T474" s="59">
        <f>IF(S474="","",S474*34+S474*L474*12)</f>
        <v/>
      </c>
    </row>
    <row r="475">
      <c r="A475" s="54" t="inlineStr">
        <is>
          <t>US DC S4</t>
        </is>
      </c>
      <c r="B475" s="54" t="inlineStr">
        <is>
          <t>US</t>
        </is>
      </c>
      <c r="C475" s="54" t="inlineStr">
        <is>
          <t>B09G6K9C65</t>
        </is>
      </c>
      <c r="D475" s="54" t="inlineStr">
        <is>
          <t>SATIN-STRIPE-QUEEN-GOLD</t>
        </is>
      </c>
      <c r="E475" s="54" t="inlineStr">
        <is>
          <t>Queen</t>
        </is>
      </c>
      <c r="F475" s="54" t="inlineStr">
        <is>
          <t>Striped Gold</t>
        </is>
      </c>
      <c r="G475" s="55" t="n">
        <v>19</v>
      </c>
      <c r="H475" s="55" t="n">
        <v>0</v>
      </c>
      <c r="I475" s="56" t="inlineStr">
        <is>
          <t>FBA19SV5KWMR ready to ship: 24</t>
        </is>
      </c>
      <c r="J475" s="57" t="n">
        <v>0.26</v>
      </c>
      <c r="K475" s="56" t="inlineStr">
        <is>
          <t>account data velocity</t>
        </is>
      </c>
      <c r="L475" s="58" t="n">
        <v>2.6371</v>
      </c>
      <c r="M475" s="56" t="inlineStr">
        <is>
          <t>own BFCM 2025 lift (account data)</t>
        </is>
      </c>
      <c r="N475" s="59">
        <f>J475*34+J475*L475*12</f>
        <v/>
      </c>
      <c r="O475" s="59">
        <f>MAX(0,N475-G475-H475)</f>
        <v/>
      </c>
      <c r="P475" s="60">
        <f>IF(J475=0,"",IF(G475&lt;J475*34,DATE(2026,10,15)+G475/J475,IF(G475&lt;N475,DATE(2026,11,18)+(G475-J475*34)/(J475*L475),"after Nov 30")))</f>
        <v/>
      </c>
      <c r="Q475" s="60">
        <f>IF(J475=0,"",IF(G475+H475&lt;J475*34,DATE(2026,10,15)+(G475+H475)/J475,IF(G475+H475&lt;N475,DATE(2026,11,18)+(G475+H475-J475*34)/(J475*L475),"after Nov 30")))</f>
        <v/>
      </c>
      <c r="R475" s="54">
        <f>IF(AND(G475&lt;=0,J475&gt;0),"Out of stock now",IF(G475&gt;=N475,"Covered to Nov 30",IF(G475+H475&gt;=N475,"Needs inbound in time","Short even with inbound")))</f>
        <v/>
      </c>
      <c r="S475" s="57" t="n">
        <v>0.25</v>
      </c>
      <c r="T475" s="59">
        <f>IF(S475="","",S475*34+S475*L475*12)</f>
        <v/>
      </c>
    </row>
    <row r="476">
      <c r="A476" s="54" t="inlineStr">
        <is>
          <t>US DC S4</t>
        </is>
      </c>
      <c r="B476" s="54" t="inlineStr">
        <is>
          <t>US</t>
        </is>
      </c>
      <c r="C476" s="54" t="inlineStr">
        <is>
          <t>B0CQRY5N4Q</t>
        </is>
      </c>
      <c r="D476" s="54" t="inlineStr">
        <is>
          <t>SATIN-3PC-TWIN-DARK GREEN</t>
        </is>
      </c>
      <c r="E476" s="54" t="inlineStr">
        <is>
          <t>Twin</t>
        </is>
      </c>
      <c r="F476" s="54" t="inlineStr">
        <is>
          <t>Dark Green</t>
        </is>
      </c>
      <c r="G476" s="55" t="n">
        <v>31</v>
      </c>
      <c r="H476" s="55" t="n">
        <v>0</v>
      </c>
      <c r="I476" s="56" t="n"/>
      <c r="J476" s="57" t="n">
        <v>0.26</v>
      </c>
      <c r="K476" s="56" t="inlineStr">
        <is>
          <t>account data velocity</t>
        </is>
      </c>
      <c r="L476" s="58" t="n">
        <v>2.6371</v>
      </c>
      <c r="M476" s="56" t="inlineStr">
        <is>
          <t>own BFCM 2025 lift (account data)</t>
        </is>
      </c>
      <c r="N476" s="59">
        <f>J476*34+J476*L476*12</f>
        <v/>
      </c>
      <c r="O476" s="59">
        <f>MAX(0,N476-G476-H476)</f>
        <v/>
      </c>
      <c r="P476" s="60">
        <f>IF(J476=0,"",IF(G476&lt;J476*34,DATE(2026,10,15)+G476/J476,IF(G476&lt;N476,DATE(2026,11,18)+(G476-J476*34)/(J476*L476),"after Nov 30")))</f>
        <v/>
      </c>
      <c r="Q476" s="60">
        <f>IF(J476=0,"",IF(G476+H476&lt;J476*34,DATE(2026,10,15)+(G476+H476)/J476,IF(G476+H476&lt;N476,DATE(2026,11,18)+(G476+H476-J476*34)/(J476*L476),"after Nov 30")))</f>
        <v/>
      </c>
      <c r="R476" s="54">
        <f>IF(AND(G476&lt;=0,J476&gt;0),"Out of stock now",IF(G476&gt;=N476,"Covered to Nov 30",IF(G476+H476&gt;=N476,"Needs inbound in time","Short even with inbound")))</f>
        <v/>
      </c>
      <c r="S476" s="57" t="n">
        <v>0.25</v>
      </c>
      <c r="T476" s="59">
        <f>IF(S476="","",S476*34+S476*L476*12)</f>
        <v/>
      </c>
    </row>
    <row r="477">
      <c r="A477" s="54" t="inlineStr">
        <is>
          <t>US DC S4</t>
        </is>
      </c>
      <c r="B477" s="54" t="inlineStr">
        <is>
          <t>US</t>
        </is>
      </c>
      <c r="C477" s="54" t="inlineStr">
        <is>
          <t>B0CQRYL8Z4</t>
        </is>
      </c>
      <c r="D477" s="54" t="inlineStr">
        <is>
          <t>SATIN-3PC-TWIN-SAGE GREEN</t>
        </is>
      </c>
      <c r="E477" s="54" t="inlineStr">
        <is>
          <t>Twin</t>
        </is>
      </c>
      <c r="F477" s="54" t="inlineStr">
        <is>
          <t>Sage Green</t>
        </is>
      </c>
      <c r="G477" s="55" t="n">
        <v>80</v>
      </c>
      <c r="H477" s="55" t="n">
        <v>0</v>
      </c>
      <c r="I477" s="56" t="n"/>
      <c r="J477" s="57" t="n">
        <v>0.26</v>
      </c>
      <c r="K477" s="56" t="inlineStr">
        <is>
          <t>account data velocity</t>
        </is>
      </c>
      <c r="L477" s="58" t="n">
        <v>2.6371</v>
      </c>
      <c r="M477" s="56" t="inlineStr">
        <is>
          <t>own BFCM 2025 lift (account data)</t>
        </is>
      </c>
      <c r="N477" s="59">
        <f>J477*34+J477*L477*12</f>
        <v/>
      </c>
      <c r="O477" s="59">
        <f>MAX(0,N477-G477-H477)</f>
        <v/>
      </c>
      <c r="P477" s="60">
        <f>IF(J477=0,"",IF(G477&lt;J477*34,DATE(2026,10,15)+G477/J477,IF(G477&lt;N477,DATE(2026,11,18)+(G477-J477*34)/(J477*L477),"after Nov 30")))</f>
        <v/>
      </c>
      <c r="Q477" s="60">
        <f>IF(J477=0,"",IF(G477+H477&lt;J477*34,DATE(2026,10,15)+(G477+H477)/J477,IF(G477+H477&lt;N477,DATE(2026,11,18)+(G477+H477-J477*34)/(J477*L477),"after Nov 30")))</f>
        <v/>
      </c>
      <c r="R477" s="54">
        <f>IF(AND(G477&lt;=0,J477&gt;0),"Out of stock now",IF(G477&gt;=N477,"Covered to Nov 30",IF(G477+H477&gt;=N477,"Needs inbound in time","Short even with inbound")))</f>
        <v/>
      </c>
      <c r="S477" s="57" t="n">
        <v>0.214</v>
      </c>
      <c r="T477" s="59">
        <f>IF(S477="","",S477*34+S477*L477*12)</f>
        <v/>
      </c>
    </row>
    <row r="478">
      <c r="A478" s="54" t="inlineStr">
        <is>
          <t>US DC S4</t>
        </is>
      </c>
      <c r="B478" s="54" t="inlineStr">
        <is>
          <t>US</t>
        </is>
      </c>
      <c r="C478" s="54" t="inlineStr">
        <is>
          <t>B09G6J1HVY</t>
        </is>
      </c>
      <c r="D478" s="54" t="inlineStr">
        <is>
          <t>SATIN-STRIPE-FULL-GRAY</t>
        </is>
      </c>
      <c r="E478" s="54" t="inlineStr">
        <is>
          <t>Full</t>
        </is>
      </c>
      <c r="F478" s="54" t="inlineStr">
        <is>
          <t>Striped Grey</t>
        </is>
      </c>
      <c r="G478" s="55" t="n">
        <v>29</v>
      </c>
      <c r="H478" s="55" t="n">
        <v>0</v>
      </c>
      <c r="I478" s="56" t="n"/>
      <c r="J478" s="57" t="n">
        <v>0.24</v>
      </c>
      <c r="K478" s="56" t="inlineStr">
        <is>
          <t>account data velocity</t>
        </is>
      </c>
      <c r="L478" s="58" t="n">
        <v>2.6371</v>
      </c>
      <c r="M478" s="56" t="inlineStr">
        <is>
          <t>own BFCM 2025 lift (account data)</t>
        </is>
      </c>
      <c r="N478" s="59">
        <f>J478*34+J478*L478*12</f>
        <v/>
      </c>
      <c r="O478" s="59">
        <f>MAX(0,N478-G478-H478)</f>
        <v/>
      </c>
      <c r="P478" s="60">
        <f>IF(J478=0,"",IF(G478&lt;J478*34,DATE(2026,10,15)+G478/J478,IF(G478&lt;N478,DATE(2026,11,18)+(G478-J478*34)/(J478*L478),"after Nov 30")))</f>
        <v/>
      </c>
      <c r="Q478" s="60">
        <f>IF(J478=0,"",IF(G478+H478&lt;J478*34,DATE(2026,10,15)+(G478+H478)/J478,IF(G478+H478&lt;N478,DATE(2026,11,18)+(G478+H478-J478*34)/(J478*L478),"after Nov 30")))</f>
        <v/>
      </c>
      <c r="R478" s="54">
        <f>IF(AND(G478&lt;=0,J478&gt;0),"Out of stock now",IF(G478&gt;=N478,"Covered to Nov 30",IF(G478+H478&gt;=N478,"Needs inbound in time","Short even with inbound")))</f>
        <v/>
      </c>
      <c r="S478" s="57" t="n">
        <v>0.286</v>
      </c>
      <c r="T478" s="59">
        <f>IF(S478="","",S478*34+S478*L478*12)</f>
        <v/>
      </c>
    </row>
    <row r="479">
      <c r="A479" s="54" t="inlineStr">
        <is>
          <t>US DC S4</t>
        </is>
      </c>
      <c r="B479" s="54" t="inlineStr">
        <is>
          <t>US</t>
        </is>
      </c>
      <c r="C479" s="54" t="inlineStr">
        <is>
          <t>B09G6J7WQ8</t>
        </is>
      </c>
      <c r="D479" s="54" t="inlineStr">
        <is>
          <t>SATIN-STRIPE-TWIN-GRAY</t>
        </is>
      </c>
      <c r="E479" s="54" t="inlineStr">
        <is>
          <t>Twin</t>
        </is>
      </c>
      <c r="F479" s="54" t="inlineStr">
        <is>
          <t>Striped Grey</t>
        </is>
      </c>
      <c r="G479" s="55" t="n">
        <v>0</v>
      </c>
      <c r="H479" s="55" t="n">
        <v>0</v>
      </c>
      <c r="I479" s="56" t="n"/>
      <c r="J479" s="57" t="n">
        <v>0.23</v>
      </c>
      <c r="K479" s="56" t="inlineStr">
        <is>
          <t>account data velocity</t>
        </is>
      </c>
      <c r="L479" s="58" t="n">
        <v>2.6371</v>
      </c>
      <c r="M479" s="56" t="inlineStr">
        <is>
          <t>own BFCM 2025 lift (account data)</t>
        </is>
      </c>
      <c r="N479" s="59">
        <f>J479*34+J479*L479*12</f>
        <v/>
      </c>
      <c r="O479" s="59">
        <f>MAX(0,N479-G479-H479)</f>
        <v/>
      </c>
      <c r="P479" s="60">
        <f>IF(J479=0,"",IF(G479&lt;J479*34,DATE(2026,10,15)+G479/J479,IF(G479&lt;N479,DATE(2026,11,18)+(G479-J479*34)/(J479*L479),"after Nov 30")))</f>
        <v/>
      </c>
      <c r="Q479" s="60">
        <f>IF(J479=0,"",IF(G479+H479&lt;J479*34,DATE(2026,10,15)+(G479+H479)/J479,IF(G479+H479&lt;N479,DATE(2026,11,18)+(G479+H479-J479*34)/(J479*L479),"after Nov 30")))</f>
        <v/>
      </c>
      <c r="R479" s="54">
        <f>IF(AND(G479&lt;=0,J479&gt;0),"Out of stock now",IF(G479&gt;=N479,"Covered to Nov 30",IF(G479+H479&gt;=N479,"Needs inbound in time","Short even with inbound")))</f>
        <v/>
      </c>
      <c r="S479" s="57" t="n">
        <v>0.107</v>
      </c>
      <c r="T479" s="59">
        <f>IF(S479="","",S479*34+S479*L479*12)</f>
        <v/>
      </c>
    </row>
    <row r="480">
      <c r="A480" s="54" t="inlineStr">
        <is>
          <t>US DC S4</t>
        </is>
      </c>
      <c r="B480" s="54" t="inlineStr">
        <is>
          <t>US</t>
        </is>
      </c>
      <c r="C480" s="54" t="inlineStr">
        <is>
          <t>B09G6LBQHH</t>
        </is>
      </c>
      <c r="D480" s="54" t="inlineStr">
        <is>
          <t>SATIN-STRIPE-KING-PINK</t>
        </is>
      </c>
      <c r="E480" s="54" t="inlineStr">
        <is>
          <t>King</t>
        </is>
      </c>
      <c r="F480" s="54" t="inlineStr">
        <is>
          <t>Striped Pink</t>
        </is>
      </c>
      <c r="G480" s="55" t="n">
        <v>75</v>
      </c>
      <c r="H480" s="55" t="n">
        <v>0</v>
      </c>
      <c r="I480" s="56" t="n"/>
      <c r="J480" s="57" t="n">
        <v>0.23</v>
      </c>
      <c r="K480" s="56" t="inlineStr">
        <is>
          <t>account data velocity</t>
        </is>
      </c>
      <c r="L480" s="58" t="n">
        <v>2.6371</v>
      </c>
      <c r="M480" s="56" t="inlineStr">
        <is>
          <t>own BFCM 2025 lift (account data)</t>
        </is>
      </c>
      <c r="N480" s="59">
        <f>J480*34+J480*L480*12</f>
        <v/>
      </c>
      <c r="O480" s="59">
        <f>MAX(0,N480-G480-H480)</f>
        <v/>
      </c>
      <c r="P480" s="60">
        <f>IF(J480=0,"",IF(G480&lt;J480*34,DATE(2026,10,15)+G480/J480,IF(G480&lt;N480,DATE(2026,11,18)+(G480-J480*34)/(J480*L480),"after Nov 30")))</f>
        <v/>
      </c>
      <c r="Q480" s="60">
        <f>IF(J480=0,"",IF(G480+H480&lt;J480*34,DATE(2026,10,15)+(G480+H480)/J480,IF(G480+H480&lt;N480,DATE(2026,11,18)+(G480+H480-J480*34)/(J480*L480),"after Nov 30")))</f>
        <v/>
      </c>
      <c r="R480" s="54">
        <f>IF(AND(G480&lt;=0,J480&gt;0),"Out of stock now",IF(G480&gt;=N480,"Covered to Nov 30",IF(G480+H480&gt;=N480,"Needs inbound in time","Short even with inbound")))</f>
        <v/>
      </c>
      <c r="S480" s="57" t="n">
        <v>0.07099999999999999</v>
      </c>
      <c r="T480" s="59">
        <f>IF(S480="","",S480*34+S480*L480*12)</f>
        <v/>
      </c>
    </row>
    <row r="481">
      <c r="A481" s="54" t="inlineStr">
        <is>
          <t>US DC S4</t>
        </is>
      </c>
      <c r="B481" s="54" t="inlineStr">
        <is>
          <t>US</t>
        </is>
      </c>
      <c r="C481" s="54" t="inlineStr">
        <is>
          <t>B0839M48YF</t>
        </is>
      </c>
      <c r="D481" s="54" t="inlineStr">
        <is>
          <t>SATIN-TWIN-PURPLE</t>
        </is>
      </c>
      <c r="E481" s="54" t="inlineStr">
        <is>
          <t>Twin</t>
        </is>
      </c>
      <c r="F481" s="54" t="inlineStr">
        <is>
          <t>Purple</t>
        </is>
      </c>
      <c r="G481" s="55" t="n">
        <v>30</v>
      </c>
      <c r="H481" s="55" t="n">
        <v>0</v>
      </c>
      <c r="I481" s="56" t="n"/>
      <c r="J481" s="57" t="n">
        <v>0.2</v>
      </c>
      <c r="K481" s="56" t="inlineStr">
        <is>
          <t>account data velocity</t>
        </is>
      </c>
      <c r="L481" s="58" t="n">
        <v>2.6371</v>
      </c>
      <c r="M481" s="56" t="inlineStr">
        <is>
          <t>own BFCM 2025 lift (account data)</t>
        </is>
      </c>
      <c r="N481" s="59">
        <f>J481*34+J481*L481*12</f>
        <v/>
      </c>
      <c r="O481" s="59">
        <f>MAX(0,N481-G481-H481)</f>
        <v/>
      </c>
      <c r="P481" s="60">
        <f>IF(J481=0,"",IF(G481&lt;J481*34,DATE(2026,10,15)+G481/J481,IF(G481&lt;N481,DATE(2026,11,18)+(G481-J481*34)/(J481*L481),"after Nov 30")))</f>
        <v/>
      </c>
      <c r="Q481" s="60">
        <f>IF(J481=0,"",IF(G481+H481&lt;J481*34,DATE(2026,10,15)+(G481+H481)/J481,IF(G481+H481&lt;N481,DATE(2026,11,18)+(G481+H481-J481*34)/(J481*L481),"after Nov 30")))</f>
        <v/>
      </c>
      <c r="R481" s="54">
        <f>IF(AND(G481&lt;=0,J481&gt;0),"Out of stock now",IF(G481&gt;=N481,"Covered to Nov 30",IF(G481+H481&gt;=N481,"Needs inbound in time","Short even with inbound")))</f>
        <v/>
      </c>
      <c r="S481" s="57" t="n">
        <v>0.214</v>
      </c>
      <c r="T481" s="59">
        <f>IF(S481="","",S481*34+S481*L481*12)</f>
        <v/>
      </c>
    </row>
    <row r="482">
      <c r="A482" s="54" t="inlineStr">
        <is>
          <t>US DC S4</t>
        </is>
      </c>
      <c r="B482" s="54" t="inlineStr">
        <is>
          <t>US</t>
        </is>
      </c>
      <c r="C482" s="54" t="inlineStr">
        <is>
          <t>B09G6K4PXD</t>
        </is>
      </c>
      <c r="D482" s="54" t="inlineStr">
        <is>
          <t>SATIN-STRIPE-FULL-PURPLE</t>
        </is>
      </c>
      <c r="E482" s="54" t="inlineStr">
        <is>
          <t>Full</t>
        </is>
      </c>
      <c r="F482" s="54" t="inlineStr">
        <is>
          <t>Striped Purple</t>
        </is>
      </c>
      <c r="G482" s="55" t="n">
        <v>28</v>
      </c>
      <c r="H482" s="55" t="n">
        <v>6</v>
      </c>
      <c r="I482" s="56" t="inlineStr">
        <is>
          <t>FBA19N82086K ready to ship: 6; FBA19N7XSBR9 in transit: 6</t>
        </is>
      </c>
      <c r="J482" s="57" t="n">
        <v>0.2</v>
      </c>
      <c r="K482" s="56" t="inlineStr">
        <is>
          <t>account data velocity</t>
        </is>
      </c>
      <c r="L482" s="58" t="n">
        <v>2.6371</v>
      </c>
      <c r="M482" s="56" t="inlineStr">
        <is>
          <t>own BFCM 2025 lift (account data)</t>
        </is>
      </c>
      <c r="N482" s="59">
        <f>J482*34+J482*L482*12</f>
        <v/>
      </c>
      <c r="O482" s="59">
        <f>MAX(0,N482-G482-H482)</f>
        <v/>
      </c>
      <c r="P482" s="60">
        <f>IF(J482=0,"",IF(G482&lt;J482*34,DATE(2026,10,15)+G482/J482,IF(G482&lt;N482,DATE(2026,11,18)+(G482-J482*34)/(J482*L482),"after Nov 30")))</f>
        <v/>
      </c>
      <c r="Q482" s="60">
        <f>IF(J482=0,"",IF(G482+H482&lt;J482*34,DATE(2026,10,15)+(G482+H482)/J482,IF(G482+H482&lt;N482,DATE(2026,11,18)+(G482+H482-J482*34)/(J482*L482),"after Nov 30")))</f>
        <v/>
      </c>
      <c r="R482" s="54">
        <f>IF(AND(G482&lt;=0,J482&gt;0),"Out of stock now",IF(G482&gt;=N482,"Covered to Nov 30",IF(G482+H482&gt;=N482,"Needs inbound in time","Short even with inbound")))</f>
        <v/>
      </c>
      <c r="S482" s="57" t="n">
        <v>0.143</v>
      </c>
      <c r="T482" s="59">
        <f>IF(S482="","",S482*34+S482*L482*12)</f>
        <v/>
      </c>
    </row>
    <row r="483">
      <c r="A483" s="54" t="inlineStr">
        <is>
          <t>US DC S4</t>
        </is>
      </c>
      <c r="B483" s="54" t="inlineStr">
        <is>
          <t>US</t>
        </is>
      </c>
      <c r="C483" s="54" t="inlineStr">
        <is>
          <t>B09G6LCV5J</t>
        </is>
      </c>
      <c r="D483" s="54" t="inlineStr">
        <is>
          <t>SATIN-STRIPE-FULL-GOLD</t>
        </is>
      </c>
      <c r="E483" s="54" t="inlineStr">
        <is>
          <t>Full</t>
        </is>
      </c>
      <c r="F483" s="54" t="inlineStr">
        <is>
          <t>Striped Gold</t>
        </is>
      </c>
      <c r="G483" s="55" t="n">
        <v>36</v>
      </c>
      <c r="H483" s="55" t="n">
        <v>0</v>
      </c>
      <c r="I483" s="56" t="n"/>
      <c r="J483" s="57" t="n">
        <v>0.19</v>
      </c>
      <c r="K483" s="56" t="inlineStr">
        <is>
          <t>account data velocity</t>
        </is>
      </c>
      <c r="L483" s="58" t="n">
        <v>2.6371</v>
      </c>
      <c r="M483" s="56" t="inlineStr">
        <is>
          <t>own BFCM 2025 lift (account data)</t>
        </is>
      </c>
      <c r="N483" s="59">
        <f>J483*34+J483*L483*12</f>
        <v/>
      </c>
      <c r="O483" s="59">
        <f>MAX(0,N483-G483-H483)</f>
        <v/>
      </c>
      <c r="P483" s="60">
        <f>IF(J483=0,"",IF(G483&lt;J483*34,DATE(2026,10,15)+G483/J483,IF(G483&lt;N483,DATE(2026,11,18)+(G483-J483*34)/(J483*L483),"after Nov 30")))</f>
        <v/>
      </c>
      <c r="Q483" s="60">
        <f>IF(J483=0,"",IF(G483+H483&lt;J483*34,DATE(2026,10,15)+(G483+H483)/J483,IF(G483+H483&lt;N483,DATE(2026,11,18)+(G483+H483-J483*34)/(J483*L483),"after Nov 30")))</f>
        <v/>
      </c>
      <c r="R483" s="54">
        <f>IF(AND(G483&lt;=0,J483&gt;0),"Out of stock now",IF(G483&gt;=N483,"Covered to Nov 30",IF(G483+H483&gt;=N483,"Needs inbound in time","Short even with inbound")))</f>
        <v/>
      </c>
      <c r="S483" s="57" t="n">
        <v>0.179</v>
      </c>
      <c r="T483" s="59">
        <f>IF(S483="","",S483*34+S483*L483*12)</f>
        <v/>
      </c>
    </row>
    <row r="484">
      <c r="A484" s="54" t="inlineStr">
        <is>
          <t>US DC S4</t>
        </is>
      </c>
      <c r="B484" s="54" t="inlineStr">
        <is>
          <t>US</t>
        </is>
      </c>
      <c r="C484" s="54" t="inlineStr">
        <is>
          <t>B0839KG4VY</t>
        </is>
      </c>
      <c r="D484" s="54" t="inlineStr">
        <is>
          <t>SATIN-TWIN-BLUE</t>
        </is>
      </c>
      <c r="E484" s="54" t="inlineStr">
        <is>
          <t>Twin</t>
        </is>
      </c>
      <c r="F484" s="54" t="inlineStr">
        <is>
          <t>Blue</t>
        </is>
      </c>
      <c r="G484" s="55" t="n">
        <v>43</v>
      </c>
      <c r="H484" s="55" t="n">
        <v>0</v>
      </c>
      <c r="I484" s="56" t="n"/>
      <c r="J484" s="57" t="n">
        <v>0.18</v>
      </c>
      <c r="K484" s="56" t="inlineStr">
        <is>
          <t>account data velocity</t>
        </is>
      </c>
      <c r="L484" s="58" t="n">
        <v>2.6371</v>
      </c>
      <c r="M484" s="56" t="inlineStr">
        <is>
          <t>own BFCM 2025 lift (account data)</t>
        </is>
      </c>
      <c r="N484" s="59">
        <f>J484*34+J484*L484*12</f>
        <v/>
      </c>
      <c r="O484" s="59">
        <f>MAX(0,N484-G484-H484)</f>
        <v/>
      </c>
      <c r="P484" s="60">
        <f>IF(J484=0,"",IF(G484&lt;J484*34,DATE(2026,10,15)+G484/J484,IF(G484&lt;N484,DATE(2026,11,18)+(G484-J484*34)/(J484*L484),"after Nov 30")))</f>
        <v/>
      </c>
      <c r="Q484" s="60">
        <f>IF(J484=0,"",IF(G484+H484&lt;J484*34,DATE(2026,10,15)+(G484+H484)/J484,IF(G484+H484&lt;N484,DATE(2026,11,18)+(G484+H484-J484*34)/(J484*L484),"after Nov 30")))</f>
        <v/>
      </c>
      <c r="R484" s="54">
        <f>IF(AND(G484&lt;=0,J484&gt;0),"Out of stock now",IF(G484&gt;=N484,"Covered to Nov 30",IF(G484+H484&gt;=N484,"Needs inbound in time","Short even with inbound")))</f>
        <v/>
      </c>
      <c r="S484" s="57" t="n">
        <v>0.143</v>
      </c>
      <c r="T484" s="59">
        <f>IF(S484="","",S484*34+S484*L484*12)</f>
        <v/>
      </c>
    </row>
    <row r="485">
      <c r="A485" s="54" t="inlineStr">
        <is>
          <t>US DC S4</t>
        </is>
      </c>
      <c r="B485" s="54" t="inlineStr">
        <is>
          <t>US</t>
        </is>
      </c>
      <c r="C485" s="54" t="inlineStr">
        <is>
          <t>B09G6H23C3</t>
        </is>
      </c>
      <c r="D485" s="54" t="inlineStr">
        <is>
          <t>SATIN-STRIPE-TWIN-BLACK</t>
        </is>
      </c>
      <c r="E485" s="54" t="inlineStr">
        <is>
          <t>Twin</t>
        </is>
      </c>
      <c r="F485" s="54" t="inlineStr">
        <is>
          <t>Striped Black</t>
        </is>
      </c>
      <c r="G485" s="55" t="n">
        <v>15</v>
      </c>
      <c r="H485" s="55" t="n">
        <v>0</v>
      </c>
      <c r="I485" s="56" t="n"/>
      <c r="J485" s="57" t="n">
        <v>0.16</v>
      </c>
      <c r="K485" s="56" t="inlineStr">
        <is>
          <t>account data velocity</t>
        </is>
      </c>
      <c r="L485" s="58" t="n">
        <v>2.6371</v>
      </c>
      <c r="M485" s="56" t="inlineStr">
        <is>
          <t>own BFCM 2025 lift (account data)</t>
        </is>
      </c>
      <c r="N485" s="59">
        <f>J485*34+J485*L485*12</f>
        <v/>
      </c>
      <c r="O485" s="59">
        <f>MAX(0,N485-G485-H485)</f>
        <v/>
      </c>
      <c r="P485" s="60">
        <f>IF(J485=0,"",IF(G485&lt;J485*34,DATE(2026,10,15)+G485/J485,IF(G485&lt;N485,DATE(2026,11,18)+(G485-J485*34)/(J485*L485),"after Nov 30")))</f>
        <v/>
      </c>
      <c r="Q485" s="60">
        <f>IF(J485=0,"",IF(G485+H485&lt;J485*34,DATE(2026,10,15)+(G485+H485)/J485,IF(G485+H485&lt;N485,DATE(2026,11,18)+(G485+H485-J485*34)/(J485*L485),"after Nov 30")))</f>
        <v/>
      </c>
      <c r="R485" s="54">
        <f>IF(AND(G485&lt;=0,J485&gt;0),"Out of stock now",IF(G485&gt;=N485,"Covered to Nov 30",IF(G485+H485&gt;=N485,"Needs inbound in time","Short even with inbound")))</f>
        <v/>
      </c>
      <c r="S485" s="57" t="n">
        <v>0.214</v>
      </c>
      <c r="T485" s="59">
        <f>IF(S485="","",S485*34+S485*L485*12)</f>
        <v/>
      </c>
    </row>
    <row r="486">
      <c r="A486" s="54" t="inlineStr">
        <is>
          <t>US DC S4</t>
        </is>
      </c>
      <c r="B486" s="54" t="inlineStr">
        <is>
          <t>US</t>
        </is>
      </c>
      <c r="C486" s="54" t="inlineStr">
        <is>
          <t>B0BZPV4LYC</t>
        </is>
      </c>
      <c r="D486" s="54" t="inlineStr">
        <is>
          <t>SATIN-TAUPE-FULL</t>
        </is>
      </c>
      <c r="E486" s="54" t="inlineStr">
        <is>
          <t>Full</t>
        </is>
      </c>
      <c r="F486" s="54" t="inlineStr">
        <is>
          <t>Taupe</t>
        </is>
      </c>
      <c r="G486" s="55" t="n">
        <v>49</v>
      </c>
      <c r="H486" s="55" t="n">
        <v>0</v>
      </c>
      <c r="I486" s="56" t="n"/>
      <c r="J486" s="57" t="n">
        <v>0.16</v>
      </c>
      <c r="K486" s="56" t="inlineStr">
        <is>
          <t>account data velocity</t>
        </is>
      </c>
      <c r="L486" s="58" t="n">
        <v>2.6371</v>
      </c>
      <c r="M486" s="56" t="inlineStr">
        <is>
          <t>own BFCM 2025 lift (account data)</t>
        </is>
      </c>
      <c r="N486" s="59">
        <f>J486*34+J486*L486*12</f>
        <v/>
      </c>
      <c r="O486" s="59">
        <f>MAX(0,N486-G486-H486)</f>
        <v/>
      </c>
      <c r="P486" s="60">
        <f>IF(J486=0,"",IF(G486&lt;J486*34,DATE(2026,10,15)+G486/J486,IF(G486&lt;N486,DATE(2026,11,18)+(G486-J486*34)/(J486*L486),"after Nov 30")))</f>
        <v/>
      </c>
      <c r="Q486" s="60">
        <f>IF(J486=0,"",IF(G486+H486&lt;J486*34,DATE(2026,10,15)+(G486+H486)/J486,IF(G486+H486&lt;N486,DATE(2026,11,18)+(G486+H486-J486*34)/(J486*L486),"after Nov 30")))</f>
        <v/>
      </c>
      <c r="R486" s="54">
        <f>IF(AND(G486&lt;=0,J486&gt;0),"Out of stock now",IF(G486&gt;=N486,"Covered to Nov 30",IF(G486+H486&gt;=N486,"Needs inbound in time","Short even with inbound")))</f>
        <v/>
      </c>
      <c r="S486" s="57" t="n">
        <v>0.179</v>
      </c>
      <c r="T486" s="59">
        <f>IF(S486="","",S486*34+S486*L486*12)</f>
        <v/>
      </c>
    </row>
    <row r="487">
      <c r="A487" s="54" t="inlineStr">
        <is>
          <t>US DC S4</t>
        </is>
      </c>
      <c r="B487" s="54" t="inlineStr">
        <is>
          <t>US</t>
        </is>
      </c>
      <c r="C487" s="54" t="inlineStr">
        <is>
          <t>B0CQSJZV7C</t>
        </is>
      </c>
      <c r="D487" s="54" t="inlineStr">
        <is>
          <t>SATIN-4PC-FULL-BURNT ORANGE</t>
        </is>
      </c>
      <c r="E487" s="54" t="inlineStr">
        <is>
          <t>Full</t>
        </is>
      </c>
      <c r="F487" s="54" t="inlineStr">
        <is>
          <t>Burnt Orange</t>
        </is>
      </c>
      <c r="G487" s="55" t="n">
        <v>2</v>
      </c>
      <c r="H487" s="55" t="n">
        <v>0</v>
      </c>
      <c r="I487" s="56" t="n"/>
      <c r="J487" s="57" t="n">
        <v>0.16</v>
      </c>
      <c r="K487" s="56" t="inlineStr">
        <is>
          <t>account data velocity</t>
        </is>
      </c>
      <c r="L487" s="58" t="n">
        <v>2.6371</v>
      </c>
      <c r="M487" s="56" t="inlineStr">
        <is>
          <t>own BFCM 2025 lift (account data)</t>
        </is>
      </c>
      <c r="N487" s="59">
        <f>J487*34+J487*L487*12</f>
        <v/>
      </c>
      <c r="O487" s="59">
        <f>MAX(0,N487-G487-H487)</f>
        <v/>
      </c>
      <c r="P487" s="60">
        <f>IF(J487=0,"",IF(G487&lt;J487*34,DATE(2026,10,15)+G487/J487,IF(G487&lt;N487,DATE(2026,11,18)+(G487-J487*34)/(J487*L487),"after Nov 30")))</f>
        <v/>
      </c>
      <c r="Q487" s="60">
        <f>IF(J487=0,"",IF(G487+H487&lt;J487*34,DATE(2026,10,15)+(G487+H487)/J487,IF(G487+H487&lt;N487,DATE(2026,11,18)+(G487+H487-J487*34)/(J487*L487),"after Nov 30")))</f>
        <v/>
      </c>
      <c r="R487" s="54">
        <f>IF(AND(G487&lt;=0,J487&gt;0),"Out of stock now",IF(G487&gt;=N487,"Covered to Nov 30",IF(G487+H487&gt;=N487,"Needs inbound in time","Short even with inbound")))</f>
        <v/>
      </c>
      <c r="S487" s="57" t="n">
        <v>0.143</v>
      </c>
      <c r="T487" s="59">
        <f>IF(S487="","",S487*34+S487*L487*12)</f>
        <v/>
      </c>
    </row>
    <row r="488">
      <c r="A488" s="54" t="inlineStr">
        <is>
          <t>US DC S4</t>
        </is>
      </c>
      <c r="B488" s="54" t="inlineStr">
        <is>
          <t>US</t>
        </is>
      </c>
      <c r="C488" s="54" t="inlineStr">
        <is>
          <t>B08KR7V6TL</t>
        </is>
      </c>
      <c r="D488" s="54" t="inlineStr">
        <is>
          <t>SATIN-RED-TWIN</t>
        </is>
      </c>
      <c r="E488" s="54" t="inlineStr">
        <is>
          <t>Twin</t>
        </is>
      </c>
      <c r="F488" s="54" t="inlineStr">
        <is>
          <t>Red</t>
        </is>
      </c>
      <c r="G488" s="55" t="n">
        <v>22</v>
      </c>
      <c r="H488" s="55" t="n">
        <v>0</v>
      </c>
      <c r="I488" s="56" t="n"/>
      <c r="J488" s="57" t="n">
        <v>0.16</v>
      </c>
      <c r="K488" s="56" t="inlineStr">
        <is>
          <t>account data velocity</t>
        </is>
      </c>
      <c r="L488" s="58" t="n">
        <v>2.6371</v>
      </c>
      <c r="M488" s="56" t="inlineStr">
        <is>
          <t>own BFCM 2025 lift (account data)</t>
        </is>
      </c>
      <c r="N488" s="59">
        <f>J488*34+J488*L488*12</f>
        <v/>
      </c>
      <c r="O488" s="59">
        <f>MAX(0,N488-G488-H488)</f>
        <v/>
      </c>
      <c r="P488" s="60">
        <f>IF(J488=0,"",IF(G488&lt;J488*34,DATE(2026,10,15)+G488/J488,IF(G488&lt;N488,DATE(2026,11,18)+(G488-J488*34)/(J488*L488),"after Nov 30")))</f>
        <v/>
      </c>
      <c r="Q488" s="60">
        <f>IF(J488=0,"",IF(G488+H488&lt;J488*34,DATE(2026,10,15)+(G488+H488)/J488,IF(G488+H488&lt;N488,DATE(2026,11,18)+(G488+H488-J488*34)/(J488*L488),"after Nov 30")))</f>
        <v/>
      </c>
      <c r="R488" s="54">
        <f>IF(AND(G488&lt;=0,J488&gt;0),"Out of stock now",IF(G488&gt;=N488,"Covered to Nov 30",IF(G488+H488&gt;=N488,"Needs inbound in time","Short even with inbound")))</f>
        <v/>
      </c>
      <c r="S488" s="57" t="n">
        <v>0.07099999999999999</v>
      </c>
      <c r="T488" s="59">
        <f>IF(S488="","",S488*34+S488*L488*12)</f>
        <v/>
      </c>
    </row>
    <row r="489">
      <c r="A489" s="54" t="inlineStr">
        <is>
          <t>US DC S4</t>
        </is>
      </c>
      <c r="B489" s="54" t="inlineStr">
        <is>
          <t>US</t>
        </is>
      </c>
      <c r="C489" s="54" t="inlineStr">
        <is>
          <t>B0839LVHL1</t>
        </is>
      </c>
      <c r="D489" s="54" t="inlineStr">
        <is>
          <t>SATIN-TWIN-PINK</t>
        </is>
      </c>
      <c r="E489" s="54" t="inlineStr">
        <is>
          <t>Twin</t>
        </is>
      </c>
      <c r="F489" s="54" t="inlineStr">
        <is>
          <t>Pink</t>
        </is>
      </c>
      <c r="G489" s="55" t="n">
        <v>131</v>
      </c>
      <c r="H489" s="55" t="n">
        <v>0</v>
      </c>
      <c r="I489" s="56" t="n"/>
      <c r="J489" s="57" t="n">
        <v>0.14</v>
      </c>
      <c r="K489" s="56" t="inlineStr">
        <is>
          <t>account data velocity</t>
        </is>
      </c>
      <c r="L489" s="58" t="n">
        <v>2.6371</v>
      </c>
      <c r="M489" s="56" t="inlineStr">
        <is>
          <t>own BFCM 2025 lift (account data)</t>
        </is>
      </c>
      <c r="N489" s="59">
        <f>J489*34+J489*L489*12</f>
        <v/>
      </c>
      <c r="O489" s="59">
        <f>MAX(0,N489-G489-H489)</f>
        <v/>
      </c>
      <c r="P489" s="60">
        <f>IF(J489=0,"",IF(G489&lt;J489*34,DATE(2026,10,15)+G489/J489,IF(G489&lt;N489,DATE(2026,11,18)+(G489-J489*34)/(J489*L489),"after Nov 30")))</f>
        <v/>
      </c>
      <c r="Q489" s="60">
        <f>IF(J489=0,"",IF(G489+H489&lt;J489*34,DATE(2026,10,15)+(G489+H489)/J489,IF(G489+H489&lt;N489,DATE(2026,11,18)+(G489+H489-J489*34)/(J489*L489),"after Nov 30")))</f>
        <v/>
      </c>
      <c r="R489" s="54">
        <f>IF(AND(G489&lt;=0,J489&gt;0),"Out of stock now",IF(G489&gt;=N489,"Covered to Nov 30",IF(G489+H489&gt;=N489,"Needs inbound in time","Short even with inbound")))</f>
        <v/>
      </c>
      <c r="S489" s="57" t="n">
        <v>0.07099999999999999</v>
      </c>
      <c r="T489" s="59">
        <f>IF(S489="","",S489*34+S489*L489*12)</f>
        <v/>
      </c>
    </row>
    <row r="490">
      <c r="A490" s="54" t="inlineStr">
        <is>
          <t>US DC S4</t>
        </is>
      </c>
      <c r="B490" s="54" t="inlineStr">
        <is>
          <t>US</t>
        </is>
      </c>
      <c r="C490" s="54" t="inlineStr">
        <is>
          <t>B09G6KRX7T</t>
        </is>
      </c>
      <c r="D490" s="54" t="inlineStr">
        <is>
          <t>SATIN-STRIPE-TWIN-PINK</t>
        </is>
      </c>
      <c r="E490" s="54" t="inlineStr">
        <is>
          <t>Twin</t>
        </is>
      </c>
      <c r="F490" s="54" t="inlineStr">
        <is>
          <t>Striped Pink</t>
        </is>
      </c>
      <c r="G490" s="55" t="n">
        <v>33</v>
      </c>
      <c r="H490" s="55" t="n">
        <v>0</v>
      </c>
      <c r="I490" s="56" t="n"/>
      <c r="J490" s="57" t="n">
        <v>0.14</v>
      </c>
      <c r="K490" s="56" t="inlineStr">
        <is>
          <t>account data velocity</t>
        </is>
      </c>
      <c r="L490" s="58" t="n">
        <v>2.6371</v>
      </c>
      <c r="M490" s="56" t="inlineStr">
        <is>
          <t>own BFCM 2025 lift (account data)</t>
        </is>
      </c>
      <c r="N490" s="59">
        <f>J490*34+J490*L490*12</f>
        <v/>
      </c>
      <c r="O490" s="59">
        <f>MAX(0,N490-G490-H490)</f>
        <v/>
      </c>
      <c r="P490" s="60">
        <f>IF(J490=0,"",IF(G490&lt;J490*34,DATE(2026,10,15)+G490/J490,IF(G490&lt;N490,DATE(2026,11,18)+(G490-J490*34)/(J490*L490),"after Nov 30")))</f>
        <v/>
      </c>
      <c r="Q490" s="60">
        <f>IF(J490=0,"",IF(G490+H490&lt;J490*34,DATE(2026,10,15)+(G490+H490)/J490,IF(G490+H490&lt;N490,DATE(2026,11,18)+(G490+H490-J490*34)/(J490*L490),"after Nov 30")))</f>
        <v/>
      </c>
      <c r="R490" s="54">
        <f>IF(AND(G490&lt;=0,J490&gt;0),"Out of stock now",IF(G490&gt;=N490,"Covered to Nov 30",IF(G490+H490&gt;=N490,"Needs inbound in time","Short even with inbound")))</f>
        <v/>
      </c>
      <c r="S490" s="57" t="n">
        <v>0.036</v>
      </c>
      <c r="T490" s="59">
        <f>IF(S490="","",S490*34+S490*L490*12)</f>
        <v/>
      </c>
    </row>
    <row r="491">
      <c r="A491" s="54" t="inlineStr">
        <is>
          <t>US DC S4</t>
        </is>
      </c>
      <c r="B491" s="54" t="inlineStr">
        <is>
          <t>US</t>
        </is>
      </c>
      <c r="C491" s="54" t="inlineStr">
        <is>
          <t>B09G6KKSK6</t>
        </is>
      </c>
      <c r="D491" s="54" t="inlineStr">
        <is>
          <t>SATIN-STRIPE-FULL-RED</t>
        </is>
      </c>
      <c r="E491" s="54" t="inlineStr">
        <is>
          <t>Full</t>
        </is>
      </c>
      <c r="F491" s="54" t="inlineStr">
        <is>
          <t>Striped Red</t>
        </is>
      </c>
      <c r="G491" s="55" t="n">
        <v>18</v>
      </c>
      <c r="H491" s="55" t="n">
        <v>0</v>
      </c>
      <c r="I491" s="56" t="n"/>
      <c r="J491" s="57" t="n">
        <v>0.12</v>
      </c>
      <c r="K491" s="56" t="inlineStr">
        <is>
          <t>account data velocity</t>
        </is>
      </c>
      <c r="L491" s="58" t="n">
        <v>2.6371</v>
      </c>
      <c r="M491" s="56" t="inlineStr">
        <is>
          <t>own BFCM 2025 lift (account data)</t>
        </is>
      </c>
      <c r="N491" s="59">
        <f>J491*34+J491*L491*12</f>
        <v/>
      </c>
      <c r="O491" s="59">
        <f>MAX(0,N491-G491-H491)</f>
        <v/>
      </c>
      <c r="P491" s="60">
        <f>IF(J491=0,"",IF(G491&lt;J491*34,DATE(2026,10,15)+G491/J491,IF(G491&lt;N491,DATE(2026,11,18)+(G491-J491*34)/(J491*L491),"after Nov 30")))</f>
        <v/>
      </c>
      <c r="Q491" s="60">
        <f>IF(J491=0,"",IF(G491+H491&lt;J491*34,DATE(2026,10,15)+(G491+H491)/J491,IF(G491+H491&lt;N491,DATE(2026,11,18)+(G491+H491-J491*34)/(J491*L491),"after Nov 30")))</f>
        <v/>
      </c>
      <c r="R491" s="54">
        <f>IF(AND(G491&lt;=0,J491&gt;0),"Out of stock now",IF(G491&gt;=N491,"Covered to Nov 30",IF(G491+H491&gt;=N491,"Needs inbound in time","Short even with inbound")))</f>
        <v/>
      </c>
      <c r="S491" s="57" t="n">
        <v>0.143</v>
      </c>
      <c r="T491" s="59">
        <f>IF(S491="","",S491*34+S491*L491*12)</f>
        <v/>
      </c>
    </row>
    <row r="492">
      <c r="A492" s="54" t="inlineStr">
        <is>
          <t>US DC S4</t>
        </is>
      </c>
      <c r="B492" s="54" t="inlineStr">
        <is>
          <t>US</t>
        </is>
      </c>
      <c r="C492" s="54" t="inlineStr">
        <is>
          <t>B09G6L5Z5K</t>
        </is>
      </c>
      <c r="D492" s="54" t="inlineStr">
        <is>
          <t>SATIN-STRIPE-TWIN-BLUE</t>
        </is>
      </c>
      <c r="E492" s="54" t="inlineStr">
        <is>
          <t>Twin</t>
        </is>
      </c>
      <c r="F492" s="54" t="inlineStr">
        <is>
          <t>Striped Blue</t>
        </is>
      </c>
      <c r="G492" s="55" t="n">
        <v>11</v>
      </c>
      <c r="H492" s="55" t="n">
        <v>0</v>
      </c>
      <c r="I492" s="56" t="n"/>
      <c r="J492" s="57" t="n">
        <v>0.1</v>
      </c>
      <c r="K492" s="56" t="inlineStr">
        <is>
          <t>account data velocity</t>
        </is>
      </c>
      <c r="L492" s="58" t="n">
        <v>2.6371</v>
      </c>
      <c r="M492" s="56" t="inlineStr">
        <is>
          <t>own BFCM 2025 lift (account data)</t>
        </is>
      </c>
      <c r="N492" s="59">
        <f>J492*34+J492*L492*12</f>
        <v/>
      </c>
      <c r="O492" s="59">
        <f>MAX(0,N492-G492-H492)</f>
        <v/>
      </c>
      <c r="P492" s="60">
        <f>IF(J492=0,"",IF(G492&lt;J492*34,DATE(2026,10,15)+G492/J492,IF(G492&lt;N492,DATE(2026,11,18)+(G492-J492*34)/(J492*L492),"after Nov 30")))</f>
        <v/>
      </c>
      <c r="Q492" s="60">
        <f>IF(J492=0,"",IF(G492+H492&lt;J492*34,DATE(2026,10,15)+(G492+H492)/J492,IF(G492+H492&lt;N492,DATE(2026,11,18)+(G492+H492-J492*34)/(J492*L492),"after Nov 30")))</f>
        <v/>
      </c>
      <c r="R492" s="54">
        <f>IF(AND(G492&lt;=0,J492&gt;0),"Out of stock now",IF(G492&gt;=N492,"Covered to Nov 30",IF(G492+H492&gt;=N492,"Needs inbound in time","Short even with inbound")))</f>
        <v/>
      </c>
      <c r="S492" s="57" t="n">
        <v>0.107</v>
      </c>
      <c r="T492" s="59">
        <f>IF(S492="","",S492*34+S492*L492*12)</f>
        <v/>
      </c>
    </row>
    <row r="493">
      <c r="A493" s="54" t="inlineStr">
        <is>
          <t>US DC S4</t>
        </is>
      </c>
      <c r="B493" s="54" t="inlineStr">
        <is>
          <t>US</t>
        </is>
      </c>
      <c r="C493" s="54" t="inlineStr">
        <is>
          <t>B0BG25XZHJ</t>
        </is>
      </c>
      <c r="D493" s="54" t="inlineStr">
        <is>
          <t>SATIN-IVORY-TWIN</t>
        </is>
      </c>
      <c r="E493" s="54" t="inlineStr">
        <is>
          <t>Twin</t>
        </is>
      </c>
      <c r="F493" s="54" t="inlineStr">
        <is>
          <t>Ivory</t>
        </is>
      </c>
      <c r="G493" s="55" t="n">
        <v>55</v>
      </c>
      <c r="H493" s="55" t="n">
        <v>0</v>
      </c>
      <c r="I493" s="56" t="n"/>
      <c r="J493" s="57" t="n">
        <v>0.1</v>
      </c>
      <c r="K493" s="56" t="inlineStr">
        <is>
          <t>account data velocity</t>
        </is>
      </c>
      <c r="L493" s="58" t="n">
        <v>2.6371</v>
      </c>
      <c r="M493" s="56" t="inlineStr">
        <is>
          <t>own BFCM 2025 lift (account data)</t>
        </is>
      </c>
      <c r="N493" s="59">
        <f>J493*34+J493*L493*12</f>
        <v/>
      </c>
      <c r="O493" s="59">
        <f>MAX(0,N493-G493-H493)</f>
        <v/>
      </c>
      <c r="P493" s="60">
        <f>IF(J493=0,"",IF(G493&lt;J493*34,DATE(2026,10,15)+G493/J493,IF(G493&lt;N493,DATE(2026,11,18)+(G493-J493*34)/(J493*L493),"after Nov 30")))</f>
        <v/>
      </c>
      <c r="Q493" s="60">
        <f>IF(J493=0,"",IF(G493+H493&lt;J493*34,DATE(2026,10,15)+(G493+H493)/J493,IF(G493+H493&lt;N493,DATE(2026,11,18)+(G493+H493-J493*34)/(J493*L493),"after Nov 30")))</f>
        <v/>
      </c>
      <c r="R493" s="54">
        <f>IF(AND(G493&lt;=0,J493&gt;0),"Out of stock now",IF(G493&gt;=N493,"Covered to Nov 30",IF(G493+H493&gt;=N493,"Needs inbound in time","Short even with inbound")))</f>
        <v/>
      </c>
      <c r="S493" s="57" t="n">
        <v>0.07099999999999999</v>
      </c>
      <c r="T493" s="59">
        <f>IF(S493="","",S493*34+S493*L493*12)</f>
        <v/>
      </c>
    </row>
    <row r="494">
      <c r="A494" s="54" t="inlineStr">
        <is>
          <t>US DC S4</t>
        </is>
      </c>
      <c r="B494" s="54" t="inlineStr">
        <is>
          <t>US</t>
        </is>
      </c>
      <c r="C494" s="54" t="inlineStr">
        <is>
          <t>B0HCZKG6Q8</t>
        </is>
      </c>
      <c r="D494" s="54" t="inlineStr">
        <is>
          <t>SATIN-STRIPE-KING-GRAY-4PCS</t>
        </is>
      </c>
      <c r="E494" s="54" t="inlineStr">
        <is>
          <t>King</t>
        </is>
      </c>
      <c r="F494" s="54" t="inlineStr">
        <is>
          <t>Striped Grey</t>
        </is>
      </c>
      <c r="G494" s="55" t="n">
        <v>30</v>
      </c>
      <c r="H494" s="55" t="n">
        <v>12</v>
      </c>
      <c r="I494" s="56" t="inlineStr">
        <is>
          <t>FBA19M151HCM receiving: 12</t>
        </is>
      </c>
      <c r="J494" s="57" t="n">
        <v>0.08</v>
      </c>
      <c r="K494" s="56" t="inlineStr">
        <is>
          <t>account data velocity</t>
        </is>
      </c>
      <c r="L494" s="58" t="n">
        <v>2.6371</v>
      </c>
      <c r="M494" s="56" t="inlineStr">
        <is>
          <t>own BFCM 2025 lift (account data)</t>
        </is>
      </c>
      <c r="N494" s="59">
        <f>J494*34+J494*L494*12</f>
        <v/>
      </c>
      <c r="O494" s="59">
        <f>MAX(0,N494-G494-H494)</f>
        <v/>
      </c>
      <c r="P494" s="60">
        <f>IF(J494=0,"",IF(G494&lt;J494*34,DATE(2026,10,15)+G494/J494,IF(G494&lt;N494,DATE(2026,11,18)+(G494-J494*34)/(J494*L494),"after Nov 30")))</f>
        <v/>
      </c>
      <c r="Q494" s="60">
        <f>IF(J494=0,"",IF(G494+H494&lt;J494*34,DATE(2026,10,15)+(G494+H494)/J494,IF(G494+H494&lt;N494,DATE(2026,11,18)+(G494+H494-J494*34)/(J494*L494),"after Nov 30")))</f>
        <v/>
      </c>
      <c r="R494" s="54">
        <f>IF(AND(G494&lt;=0,J494&gt;0),"Out of stock now",IF(G494&gt;=N494,"Covered to Nov 30",IF(G494+H494&gt;=N494,"Needs inbound in time","Short even with inbound")))</f>
        <v/>
      </c>
      <c r="S494" s="57" t="n">
        <v>0.321</v>
      </c>
      <c r="T494" s="59">
        <f>IF(S494="","",S494*34+S494*L494*12)</f>
        <v/>
      </c>
    </row>
    <row r="495">
      <c r="A495" s="54" t="inlineStr">
        <is>
          <t>US DC S4</t>
        </is>
      </c>
      <c r="B495" s="54" t="inlineStr">
        <is>
          <t>US</t>
        </is>
      </c>
      <c r="C495" s="54" t="inlineStr">
        <is>
          <t>B09G6K2WSF</t>
        </is>
      </c>
      <c r="D495" s="54" t="inlineStr">
        <is>
          <t>SATIN-STRIPE-TWIN-GOLD</t>
        </is>
      </c>
      <c r="E495" s="54" t="inlineStr">
        <is>
          <t>Twin</t>
        </is>
      </c>
      <c r="F495" s="54" t="inlineStr">
        <is>
          <t>Striped Gold</t>
        </is>
      </c>
      <c r="G495" s="55" t="n">
        <v>7</v>
      </c>
      <c r="H495" s="55" t="n">
        <v>0</v>
      </c>
      <c r="I495" s="56" t="n"/>
      <c r="J495" s="57" t="n">
        <v>0.08</v>
      </c>
      <c r="K495" s="56" t="inlineStr">
        <is>
          <t>account data velocity</t>
        </is>
      </c>
      <c r="L495" s="58" t="n">
        <v>2.6371</v>
      </c>
      <c r="M495" s="56" t="inlineStr">
        <is>
          <t>own BFCM 2025 lift (account data)</t>
        </is>
      </c>
      <c r="N495" s="59">
        <f>J495*34+J495*L495*12</f>
        <v/>
      </c>
      <c r="O495" s="59">
        <f>MAX(0,N495-G495-H495)</f>
        <v/>
      </c>
      <c r="P495" s="60">
        <f>IF(J495=0,"",IF(G495&lt;J495*34,DATE(2026,10,15)+G495/J495,IF(G495&lt;N495,DATE(2026,11,18)+(G495-J495*34)/(J495*L495),"after Nov 30")))</f>
        <v/>
      </c>
      <c r="Q495" s="60">
        <f>IF(J495=0,"",IF(G495+H495&lt;J495*34,DATE(2026,10,15)+(G495+H495)/J495,IF(G495+H495&lt;N495,DATE(2026,11,18)+(G495+H495-J495*34)/(J495*L495),"after Nov 30")))</f>
        <v/>
      </c>
      <c r="R495" s="54">
        <f>IF(AND(G495&lt;=0,J495&gt;0),"Out of stock now",IF(G495&gt;=N495,"Covered to Nov 30",IF(G495+H495&gt;=N495,"Needs inbound in time","Short even with inbound")))</f>
        <v/>
      </c>
      <c r="S495" s="57" t="n">
        <v>0.143</v>
      </c>
      <c r="T495" s="59">
        <f>IF(S495="","",S495*34+S495*L495*12)</f>
        <v/>
      </c>
    </row>
    <row r="496">
      <c r="A496" s="54" t="inlineStr">
        <is>
          <t>US DC S4</t>
        </is>
      </c>
      <c r="B496" s="54" t="inlineStr">
        <is>
          <t>US</t>
        </is>
      </c>
      <c r="C496" s="54" t="inlineStr">
        <is>
          <t>B09G6M7WJ3</t>
        </is>
      </c>
      <c r="D496" s="54" t="inlineStr">
        <is>
          <t>SATIN-STRIPE-TWIN-RED</t>
        </is>
      </c>
      <c r="E496" s="54" t="inlineStr">
        <is>
          <t>Twin</t>
        </is>
      </c>
      <c r="F496" s="54" t="inlineStr">
        <is>
          <t>Striped Red</t>
        </is>
      </c>
      <c r="G496" s="55" t="n">
        <v>29</v>
      </c>
      <c r="H496" s="55" t="n">
        <v>0</v>
      </c>
      <c r="I496" s="56" t="n"/>
      <c r="J496" s="57" t="n">
        <v>0.08</v>
      </c>
      <c r="K496" s="56" t="inlineStr">
        <is>
          <t>account data velocity</t>
        </is>
      </c>
      <c r="L496" s="58" t="n">
        <v>2.6371</v>
      </c>
      <c r="M496" s="56" t="inlineStr">
        <is>
          <t>own BFCM 2025 lift (account data)</t>
        </is>
      </c>
      <c r="N496" s="59">
        <f>J496*34+J496*L496*12</f>
        <v/>
      </c>
      <c r="O496" s="59">
        <f>MAX(0,N496-G496-H496)</f>
        <v/>
      </c>
      <c r="P496" s="60">
        <f>IF(J496=0,"",IF(G496&lt;J496*34,DATE(2026,10,15)+G496/J496,IF(G496&lt;N496,DATE(2026,11,18)+(G496-J496*34)/(J496*L496),"after Nov 30")))</f>
        <v/>
      </c>
      <c r="Q496" s="60">
        <f>IF(J496=0,"",IF(G496+H496&lt;J496*34,DATE(2026,10,15)+(G496+H496)/J496,IF(G496+H496&lt;N496,DATE(2026,11,18)+(G496+H496-J496*34)/(J496*L496),"after Nov 30")))</f>
        <v/>
      </c>
      <c r="R496" s="54">
        <f>IF(AND(G496&lt;=0,J496&gt;0),"Out of stock now",IF(G496&gt;=N496,"Covered to Nov 30",IF(G496+H496&gt;=N496,"Needs inbound in time","Short even with inbound")))</f>
        <v/>
      </c>
      <c r="S496" s="57" t="n">
        <v>0.143</v>
      </c>
      <c r="T496" s="59">
        <f>IF(S496="","",S496*34+S496*L496*12)</f>
        <v/>
      </c>
    </row>
    <row r="497">
      <c r="A497" s="54" t="inlineStr">
        <is>
          <t>US DC S4</t>
        </is>
      </c>
      <c r="B497" s="54" t="inlineStr">
        <is>
          <t>US</t>
        </is>
      </c>
      <c r="C497" s="54" t="inlineStr">
        <is>
          <t>B08KR9THFG</t>
        </is>
      </c>
      <c r="D497" s="54" t="inlineStr">
        <is>
          <t>SATIN-GOLD-TWIN</t>
        </is>
      </c>
      <c r="E497" s="54" t="inlineStr">
        <is>
          <t>Twin</t>
        </is>
      </c>
      <c r="F497" s="54" t="inlineStr">
        <is>
          <t>Gold</t>
        </is>
      </c>
      <c r="G497" s="55" t="n">
        <v>33</v>
      </c>
      <c r="H497" s="55" t="n">
        <v>0</v>
      </c>
      <c r="I497" s="56" t="n"/>
      <c r="J497" s="57" t="n">
        <v>0.08</v>
      </c>
      <c r="K497" s="56" t="inlineStr">
        <is>
          <t>account data velocity</t>
        </is>
      </c>
      <c r="L497" s="58" t="n">
        <v>2.6371</v>
      </c>
      <c r="M497" s="56" t="inlineStr">
        <is>
          <t>own BFCM 2025 lift (account data)</t>
        </is>
      </c>
      <c r="N497" s="59">
        <f>J497*34+J497*L497*12</f>
        <v/>
      </c>
      <c r="O497" s="59">
        <f>MAX(0,N497-G497-H497)</f>
        <v/>
      </c>
      <c r="P497" s="60">
        <f>IF(J497=0,"",IF(G497&lt;J497*34,DATE(2026,10,15)+G497/J497,IF(G497&lt;N497,DATE(2026,11,18)+(G497-J497*34)/(J497*L497),"after Nov 30")))</f>
        <v/>
      </c>
      <c r="Q497" s="60">
        <f>IF(J497=0,"",IF(G497+H497&lt;J497*34,DATE(2026,10,15)+(G497+H497)/J497,IF(G497+H497&lt;N497,DATE(2026,11,18)+(G497+H497-J497*34)/(J497*L497),"after Nov 30")))</f>
        <v/>
      </c>
      <c r="R497" s="54">
        <f>IF(AND(G497&lt;=0,J497&gt;0),"Out of stock now",IF(G497&gt;=N497,"Covered to Nov 30",IF(G497+H497&gt;=N497,"Needs inbound in time","Short even with inbound")))</f>
        <v/>
      </c>
      <c r="S497" s="57" t="n">
        <v>0.107</v>
      </c>
      <c r="T497" s="59">
        <f>IF(S497="","",S497*34+S497*L497*12)</f>
        <v/>
      </c>
    </row>
    <row r="498">
      <c r="A498" s="54" t="inlineStr">
        <is>
          <t>US DC S4</t>
        </is>
      </c>
      <c r="B498" s="54" t="inlineStr">
        <is>
          <t>US</t>
        </is>
      </c>
      <c r="C498" s="54" t="inlineStr">
        <is>
          <t>B0BG21MMW9</t>
        </is>
      </c>
      <c r="D498" s="54" t="inlineStr">
        <is>
          <t>SATIN-SEA-TEAL-TWIN</t>
        </is>
      </c>
      <c r="E498" s="54" t="inlineStr">
        <is>
          <t>Twin</t>
        </is>
      </c>
      <c r="F498" s="54" t="inlineStr">
        <is>
          <t>Sea Teal</t>
        </is>
      </c>
      <c r="G498" s="55" t="n">
        <v>126</v>
      </c>
      <c r="H498" s="55" t="n">
        <v>0</v>
      </c>
      <c r="I498" s="56" t="n"/>
      <c r="J498" s="57" t="n">
        <v>0.08</v>
      </c>
      <c r="K498" s="56" t="inlineStr">
        <is>
          <t>account data velocity</t>
        </is>
      </c>
      <c r="L498" s="58" t="n">
        <v>2.6371</v>
      </c>
      <c r="M498" s="56" t="inlineStr">
        <is>
          <t>own BFCM 2025 lift (account data)</t>
        </is>
      </c>
      <c r="N498" s="59">
        <f>J498*34+J498*L498*12</f>
        <v/>
      </c>
      <c r="O498" s="59">
        <f>MAX(0,N498-G498-H498)</f>
        <v/>
      </c>
      <c r="P498" s="60">
        <f>IF(J498=0,"",IF(G498&lt;J498*34,DATE(2026,10,15)+G498/J498,IF(G498&lt;N498,DATE(2026,11,18)+(G498-J498*34)/(J498*L498),"after Nov 30")))</f>
        <v/>
      </c>
      <c r="Q498" s="60">
        <f>IF(J498=0,"",IF(G498+H498&lt;J498*34,DATE(2026,10,15)+(G498+H498)/J498,IF(G498+H498&lt;N498,DATE(2026,11,18)+(G498+H498-J498*34)/(J498*L498),"after Nov 30")))</f>
        <v/>
      </c>
      <c r="R498" s="54">
        <f>IF(AND(G498&lt;=0,J498&gt;0),"Out of stock now",IF(G498&gt;=N498,"Covered to Nov 30",IF(G498+H498&gt;=N498,"Needs inbound in time","Short even with inbound")))</f>
        <v/>
      </c>
      <c r="S498" s="57" t="n">
        <v>0.107</v>
      </c>
      <c r="T498" s="59">
        <f>IF(S498="","",S498*34+S498*L498*12)</f>
        <v/>
      </c>
    </row>
    <row r="499">
      <c r="A499" s="54" t="inlineStr">
        <is>
          <t>US DC S4</t>
        </is>
      </c>
      <c r="B499" s="54" t="inlineStr">
        <is>
          <t>US</t>
        </is>
      </c>
      <c r="C499" s="54" t="inlineStr">
        <is>
          <t>B0CQRX8Q2P</t>
        </is>
      </c>
      <c r="D499" s="54" t="inlineStr">
        <is>
          <t>SATIN-3PC-TWIN-LAVENDER</t>
        </is>
      </c>
      <c r="E499" s="54" t="inlineStr">
        <is>
          <t>Twin</t>
        </is>
      </c>
      <c r="F499" s="54" t="inlineStr">
        <is>
          <t>Lavender</t>
        </is>
      </c>
      <c r="G499" s="55" t="n">
        <v>29</v>
      </c>
      <c r="H499" s="55" t="n">
        <v>0</v>
      </c>
      <c r="I499" s="56" t="n"/>
      <c r="J499" s="57" t="n">
        <v>0.08</v>
      </c>
      <c r="K499" s="56" t="inlineStr">
        <is>
          <t>account data velocity</t>
        </is>
      </c>
      <c r="L499" s="58" t="n">
        <v>2.6371</v>
      </c>
      <c r="M499" s="56" t="inlineStr">
        <is>
          <t>own BFCM 2025 lift (account data)</t>
        </is>
      </c>
      <c r="N499" s="59">
        <f>J499*34+J499*L499*12</f>
        <v/>
      </c>
      <c r="O499" s="59">
        <f>MAX(0,N499-G499-H499)</f>
        <v/>
      </c>
      <c r="P499" s="60">
        <f>IF(J499=0,"",IF(G499&lt;J499*34,DATE(2026,10,15)+G499/J499,IF(G499&lt;N499,DATE(2026,11,18)+(G499-J499*34)/(J499*L499),"after Nov 30")))</f>
        <v/>
      </c>
      <c r="Q499" s="60">
        <f>IF(J499=0,"",IF(G499+H499&lt;J499*34,DATE(2026,10,15)+(G499+H499)/J499,IF(G499+H499&lt;N499,DATE(2026,11,18)+(G499+H499-J499*34)/(J499*L499),"after Nov 30")))</f>
        <v/>
      </c>
      <c r="R499" s="54">
        <f>IF(AND(G499&lt;=0,J499&gt;0),"Out of stock now",IF(G499&gt;=N499,"Covered to Nov 30",IF(G499+H499&gt;=N499,"Needs inbound in time","Short even with inbound")))</f>
        <v/>
      </c>
      <c r="S499" s="57" t="n">
        <v>0.07099999999999999</v>
      </c>
      <c r="T499" s="59">
        <f>IF(S499="","",S499*34+S499*L499*12)</f>
        <v/>
      </c>
    </row>
    <row r="500">
      <c r="A500" s="54" t="inlineStr">
        <is>
          <t>US DC S4</t>
        </is>
      </c>
      <c r="B500" s="54" t="inlineStr">
        <is>
          <t>US</t>
        </is>
      </c>
      <c r="C500" s="54" t="inlineStr">
        <is>
          <t>B0DBQZWWHB</t>
        </is>
      </c>
      <c r="D500" s="54" t="inlineStr">
        <is>
          <t>SATIN-4PCS-FULL-STRIPE-PINK</t>
        </is>
      </c>
      <c r="E500" s="54" t="inlineStr">
        <is>
          <t>Full</t>
        </is>
      </c>
      <c r="F500" s="54" t="inlineStr">
        <is>
          <t>Striped Pink</t>
        </is>
      </c>
      <c r="G500" s="55" t="n">
        <v>16</v>
      </c>
      <c r="H500" s="55" t="n">
        <v>0</v>
      </c>
      <c r="I500" s="56" t="n"/>
      <c r="J500" s="57" t="n">
        <v>0.07000000000000001</v>
      </c>
      <c r="K500" s="56" t="inlineStr">
        <is>
          <t>account data velocity</t>
        </is>
      </c>
      <c r="L500" s="58" t="n">
        <v>2.6371</v>
      </c>
      <c r="M500" s="56" t="inlineStr">
        <is>
          <t>own BFCM 2025 lift (account data)</t>
        </is>
      </c>
      <c r="N500" s="59">
        <f>J500*34+J500*L500*12</f>
        <v/>
      </c>
      <c r="O500" s="59">
        <f>MAX(0,N500-G500-H500)</f>
        <v/>
      </c>
      <c r="P500" s="60">
        <f>IF(J500=0,"",IF(G500&lt;J500*34,DATE(2026,10,15)+G500/J500,IF(G500&lt;N500,DATE(2026,11,18)+(G500-J500*34)/(J500*L500),"after Nov 30")))</f>
        <v/>
      </c>
      <c r="Q500" s="60">
        <f>IF(J500=0,"",IF(G500+H500&lt;J500*34,DATE(2026,10,15)+(G500+H500)/J500,IF(G500+H500&lt;N500,DATE(2026,11,18)+(G500+H500-J500*34)/(J500*L500),"after Nov 30")))</f>
        <v/>
      </c>
      <c r="R500" s="54">
        <f>IF(AND(G500&lt;=0,J500&gt;0),"Out of stock now",IF(G500&gt;=N500,"Covered to Nov 30",IF(G500+H500&gt;=N500,"Needs inbound in time","Short even with inbound")))</f>
        <v/>
      </c>
      <c r="S500" s="57" t="n">
        <v>0.07099999999999999</v>
      </c>
      <c r="T500" s="59">
        <f>IF(S500="","",S500*34+S500*L500*12)</f>
        <v/>
      </c>
    </row>
    <row r="501">
      <c r="A501" s="54" t="inlineStr">
        <is>
          <t>US DC S4</t>
        </is>
      </c>
      <c r="B501" s="54" t="inlineStr">
        <is>
          <t>US</t>
        </is>
      </c>
      <c r="C501" s="54" t="inlineStr">
        <is>
          <t>B0CQRXC2YT</t>
        </is>
      </c>
      <c r="D501" s="54" t="inlineStr">
        <is>
          <t>SATIN-3PC-TWIN-BURNT ORANGE</t>
        </is>
      </c>
      <c r="E501" s="54" t="inlineStr">
        <is>
          <t>Twin</t>
        </is>
      </c>
      <c r="F501" s="54" t="inlineStr">
        <is>
          <t>Burnt Orange</t>
        </is>
      </c>
      <c r="G501" s="55" t="n">
        <v>35</v>
      </c>
      <c r="H501" s="55" t="n">
        <v>0</v>
      </c>
      <c r="I501" s="56" t="n"/>
      <c r="J501" s="57" t="n">
        <v>0.06</v>
      </c>
      <c r="K501" s="56" t="inlineStr">
        <is>
          <t>account data velocity</t>
        </is>
      </c>
      <c r="L501" s="58" t="n">
        <v>2.6371</v>
      </c>
      <c r="M501" s="56" t="inlineStr">
        <is>
          <t>own BFCM 2025 lift (account data)</t>
        </is>
      </c>
      <c r="N501" s="59">
        <f>J501*34+J501*L501*12</f>
        <v/>
      </c>
      <c r="O501" s="59">
        <f>MAX(0,N501-G501-H501)</f>
        <v/>
      </c>
      <c r="P501" s="60">
        <f>IF(J501=0,"",IF(G501&lt;J501*34,DATE(2026,10,15)+G501/J501,IF(G501&lt;N501,DATE(2026,11,18)+(G501-J501*34)/(J501*L501),"after Nov 30")))</f>
        <v/>
      </c>
      <c r="Q501" s="60">
        <f>IF(J501=0,"",IF(G501+H501&lt;J501*34,DATE(2026,10,15)+(G501+H501)/J501,IF(G501+H501&lt;N501,DATE(2026,11,18)+(G501+H501-J501*34)/(J501*L501),"after Nov 30")))</f>
        <v/>
      </c>
      <c r="R501" s="54">
        <f>IF(AND(G501&lt;=0,J501&gt;0),"Out of stock now",IF(G501&gt;=N501,"Covered to Nov 30",IF(G501+H501&gt;=N501,"Needs inbound in time","Short even with inbound")))</f>
        <v/>
      </c>
      <c r="S501" s="57" t="n">
        <v>0.107</v>
      </c>
      <c r="T501" s="59">
        <f>IF(S501="","",S501*34+S501*L501*12)</f>
        <v/>
      </c>
    </row>
    <row r="502">
      <c r="A502" s="54" t="inlineStr">
        <is>
          <t>US DC S4</t>
        </is>
      </c>
      <c r="B502" s="54" t="inlineStr">
        <is>
          <t>US</t>
        </is>
      </c>
      <c r="C502" s="54" t="inlineStr">
        <is>
          <t>B09G6HZT1K</t>
        </is>
      </c>
      <c r="D502" s="54" t="inlineStr">
        <is>
          <t>SATIN-STRIPE-KING-BLACK</t>
        </is>
      </c>
      <c r="E502" s="54" t="inlineStr">
        <is>
          <t>King</t>
        </is>
      </c>
      <c r="F502" s="54" t="inlineStr">
        <is>
          <t>Striped Black</t>
        </is>
      </c>
      <c r="G502" s="55" t="n">
        <v>0</v>
      </c>
      <c r="H502" s="55" t="n">
        <v>0</v>
      </c>
      <c r="I502" s="56" t="n"/>
      <c r="J502" s="57" t="n">
        <v>0.04</v>
      </c>
      <c r="K502" s="56" t="inlineStr">
        <is>
          <t>account data velocity</t>
        </is>
      </c>
      <c r="L502" s="58" t="n">
        <v>2.6371</v>
      </c>
      <c r="M502" s="56" t="inlineStr">
        <is>
          <t>own BFCM 2025 lift (account data)</t>
        </is>
      </c>
      <c r="N502" s="59">
        <f>J502*34+J502*L502*12</f>
        <v/>
      </c>
      <c r="O502" s="59">
        <f>MAX(0,N502-G502-H502)</f>
        <v/>
      </c>
      <c r="P502" s="60">
        <f>IF(J502=0,"",IF(G502&lt;J502*34,DATE(2026,10,15)+G502/J502,IF(G502&lt;N502,DATE(2026,11,18)+(G502-J502*34)/(J502*L502),"after Nov 30")))</f>
        <v/>
      </c>
      <c r="Q502" s="60">
        <f>IF(J502=0,"",IF(G502+H502&lt;J502*34,DATE(2026,10,15)+(G502+H502)/J502,IF(G502+H502&lt;N502,DATE(2026,11,18)+(G502+H502-J502*34)/(J502*L502),"after Nov 30")))</f>
        <v/>
      </c>
      <c r="R502" s="54">
        <f>IF(AND(G502&lt;=0,J502&gt;0),"Out of stock now",IF(G502&gt;=N502,"Covered to Nov 30",IF(G502+H502&gt;=N502,"Needs inbound in time","Short even with inbound")))</f>
        <v/>
      </c>
      <c r="S502" s="57" t="n">
        <v>0.036</v>
      </c>
      <c r="T502" s="59">
        <f>IF(S502="","",S502*34+S502*L502*12)</f>
        <v/>
      </c>
    </row>
    <row r="503">
      <c r="A503" s="54" t="inlineStr">
        <is>
          <t>US DC S4</t>
        </is>
      </c>
      <c r="B503" s="54" t="inlineStr">
        <is>
          <t>US</t>
        </is>
      </c>
      <c r="C503" s="54" t="inlineStr">
        <is>
          <t>B0BZPVY39R</t>
        </is>
      </c>
      <c r="D503" s="54" t="inlineStr">
        <is>
          <t>SATIN-CHAMPAGNE-TWIN</t>
        </is>
      </c>
      <c r="E503" s="54" t="inlineStr">
        <is>
          <t>Twin</t>
        </is>
      </c>
      <c r="F503" s="54" t="inlineStr">
        <is>
          <t>Champagne</t>
        </is>
      </c>
      <c r="G503" s="55" t="n">
        <v>21</v>
      </c>
      <c r="H503" s="55" t="n">
        <v>0</v>
      </c>
      <c r="I503" s="56" t="n"/>
      <c r="J503" s="57" t="n">
        <v>0.04</v>
      </c>
      <c r="K503" s="56" t="inlineStr">
        <is>
          <t>account data velocity</t>
        </is>
      </c>
      <c r="L503" s="58" t="n">
        <v>2.6371</v>
      </c>
      <c r="M503" s="56" t="inlineStr">
        <is>
          <t>own BFCM 2025 lift (account data)</t>
        </is>
      </c>
      <c r="N503" s="59">
        <f>J503*34+J503*L503*12</f>
        <v/>
      </c>
      <c r="O503" s="59">
        <f>MAX(0,N503-G503-H503)</f>
        <v/>
      </c>
      <c r="P503" s="60">
        <f>IF(J503=0,"",IF(G503&lt;J503*34,DATE(2026,10,15)+G503/J503,IF(G503&lt;N503,DATE(2026,11,18)+(G503-J503*34)/(J503*L503),"after Nov 30")))</f>
        <v/>
      </c>
      <c r="Q503" s="60">
        <f>IF(J503=0,"",IF(G503+H503&lt;J503*34,DATE(2026,10,15)+(G503+H503)/J503,IF(G503+H503&lt;N503,DATE(2026,11,18)+(G503+H503-J503*34)/(J503*L503),"after Nov 30")))</f>
        <v/>
      </c>
      <c r="R503" s="54">
        <f>IF(AND(G503&lt;=0,J503&gt;0),"Out of stock now",IF(G503&gt;=N503,"Covered to Nov 30",IF(G503+H503&gt;=N503,"Needs inbound in time","Short even with inbound")))</f>
        <v/>
      </c>
      <c r="S503" s="57" t="n">
        <v>0.036</v>
      </c>
      <c r="T503" s="59">
        <f>IF(S503="","",S503*34+S503*L503*12)</f>
        <v/>
      </c>
    </row>
    <row r="504">
      <c r="A504" s="54" t="inlineStr">
        <is>
          <t>US DC S4</t>
        </is>
      </c>
      <c r="B504" s="54" t="inlineStr">
        <is>
          <t>US</t>
        </is>
      </c>
      <c r="C504" s="54" t="inlineStr">
        <is>
          <t>B09G6JWVWD</t>
        </is>
      </c>
      <c r="D504" s="54" t="inlineStr">
        <is>
          <t>SATIN-STRIPE-TWIN-PURPLE</t>
        </is>
      </c>
      <c r="E504" s="54" t="inlineStr">
        <is>
          <t>Twin</t>
        </is>
      </c>
      <c r="F504" s="54" t="inlineStr">
        <is>
          <t>Striped Purple</t>
        </is>
      </c>
      <c r="G504" s="55" t="n">
        <v>13</v>
      </c>
      <c r="H504" s="55" t="n">
        <v>0</v>
      </c>
      <c r="I504" s="56" t="n"/>
      <c r="J504" s="57" t="n">
        <v>0.04</v>
      </c>
      <c r="K504" s="56" t="inlineStr">
        <is>
          <t>account data velocity</t>
        </is>
      </c>
      <c r="L504" s="58" t="n">
        <v>2.6371</v>
      </c>
      <c r="M504" s="56" t="inlineStr">
        <is>
          <t>own BFCM 2025 lift (account data)</t>
        </is>
      </c>
      <c r="N504" s="59">
        <f>J504*34+J504*L504*12</f>
        <v/>
      </c>
      <c r="O504" s="59">
        <f>MAX(0,N504-G504-H504)</f>
        <v/>
      </c>
      <c r="P504" s="60">
        <f>IF(J504=0,"",IF(G504&lt;J504*34,DATE(2026,10,15)+G504/J504,IF(G504&lt;N504,DATE(2026,11,18)+(G504-J504*34)/(J504*L504),"after Nov 30")))</f>
        <v/>
      </c>
      <c r="Q504" s="60">
        <f>IF(J504=0,"",IF(G504+H504&lt;J504*34,DATE(2026,10,15)+(G504+H504)/J504,IF(G504+H504&lt;N504,DATE(2026,11,18)+(G504+H504-J504*34)/(J504*L504),"after Nov 30")))</f>
        <v/>
      </c>
      <c r="R504" s="54">
        <f>IF(AND(G504&lt;=0,J504&gt;0),"Out of stock now",IF(G504&gt;=N504,"Covered to Nov 30",IF(G504+H504&gt;=N504,"Needs inbound in time","Short even with inbound")))</f>
        <v/>
      </c>
      <c r="S504" s="57" t="n">
        <v>0.036</v>
      </c>
      <c r="T504" s="59">
        <f>IF(S504="","",S504*34+S504*L504*12)</f>
        <v/>
      </c>
    </row>
    <row r="505">
      <c r="A505" s="54" t="inlineStr">
        <is>
          <t>US DC S4</t>
        </is>
      </c>
      <c r="B505" s="54" t="inlineStr">
        <is>
          <t>US</t>
        </is>
      </c>
      <c r="C505" s="54" t="inlineStr">
        <is>
          <t>B0BZPVZKVS</t>
        </is>
      </c>
      <c r="D505" s="54" t="inlineStr">
        <is>
          <t>SATIN-TAUPE-KING</t>
        </is>
      </c>
      <c r="E505" s="54" t="inlineStr">
        <is>
          <t>King</t>
        </is>
      </c>
      <c r="F505" s="54" t="inlineStr">
        <is>
          <t>Taupe</t>
        </is>
      </c>
      <c r="G505" s="55" t="n">
        <v>1</v>
      </c>
      <c r="H505" s="55" t="n">
        <v>0</v>
      </c>
      <c r="I505" s="56" t="n"/>
      <c r="J505" s="57" t="n">
        <v>0.04</v>
      </c>
      <c r="K505" s="56" t="inlineStr">
        <is>
          <t>account data velocity</t>
        </is>
      </c>
      <c r="L505" s="58" t="n">
        <v>2.6371</v>
      </c>
      <c r="M505" s="56" t="inlineStr">
        <is>
          <t>own BFCM 2025 lift (account data)</t>
        </is>
      </c>
      <c r="N505" s="59">
        <f>J505*34+J505*L505*12</f>
        <v/>
      </c>
      <c r="O505" s="59">
        <f>MAX(0,N505-G505-H505)</f>
        <v/>
      </c>
      <c r="P505" s="60">
        <f>IF(J505=0,"",IF(G505&lt;J505*34,DATE(2026,10,15)+G505/J505,IF(G505&lt;N505,DATE(2026,11,18)+(G505-J505*34)/(J505*L505),"after Nov 30")))</f>
        <v/>
      </c>
      <c r="Q505" s="60">
        <f>IF(J505=0,"",IF(G505+H505&lt;J505*34,DATE(2026,10,15)+(G505+H505)/J505,IF(G505+H505&lt;N505,DATE(2026,11,18)+(G505+H505-J505*34)/(J505*L505),"after Nov 30")))</f>
        <v/>
      </c>
      <c r="R505" s="54">
        <f>IF(AND(G505&lt;=0,J505&gt;0),"Out of stock now",IF(G505&gt;=N505,"Covered to Nov 30",IF(G505+H505&gt;=N505,"Needs inbound in time","Short even with inbound")))</f>
        <v/>
      </c>
      <c r="S505" s="57" t="n"/>
      <c r="T505" s="59">
        <f>IF(S505="","",S505*34+S505*L505*12)</f>
        <v/>
      </c>
    </row>
    <row r="506">
      <c r="A506" s="54" t="inlineStr">
        <is>
          <t>US DC S4</t>
        </is>
      </c>
      <c r="B506" s="54" t="inlineStr">
        <is>
          <t>US</t>
        </is>
      </c>
      <c r="C506" s="54" t="inlineStr">
        <is>
          <t>B09G6KMXVX</t>
        </is>
      </c>
      <c r="D506" s="54" t="inlineStr">
        <is>
          <t>SATIN-STRIPE-FULL-BLACK</t>
        </is>
      </c>
      <c r="E506" s="54" t="inlineStr">
        <is>
          <t>Full</t>
        </is>
      </c>
      <c r="F506" s="54" t="inlineStr">
        <is>
          <t>Striped Black</t>
        </is>
      </c>
      <c r="G506" s="55" t="n">
        <v>0</v>
      </c>
      <c r="H506" s="55" t="n">
        <v>0</v>
      </c>
      <c r="I506" s="56" t="n"/>
      <c r="J506" s="57" t="n">
        <v>0.02</v>
      </c>
      <c r="K506" s="56" t="inlineStr">
        <is>
          <t>account data velocity</t>
        </is>
      </c>
      <c r="L506" s="58" t="n">
        <v>2.6371</v>
      </c>
      <c r="M506" s="56" t="inlineStr">
        <is>
          <t>own BFCM 2025 lift (account data)</t>
        </is>
      </c>
      <c r="N506" s="59">
        <f>J506*34+J506*L506*12</f>
        <v/>
      </c>
      <c r="O506" s="59">
        <f>MAX(0,N506-G506-H506)</f>
        <v/>
      </c>
      <c r="P506" s="60">
        <f>IF(J506=0,"",IF(G506&lt;J506*34,DATE(2026,10,15)+G506/J506,IF(G506&lt;N506,DATE(2026,11,18)+(G506-J506*34)/(J506*L506),"after Nov 30")))</f>
        <v/>
      </c>
      <c r="Q506" s="60">
        <f>IF(J506=0,"",IF(G506+H506&lt;J506*34,DATE(2026,10,15)+(G506+H506)/J506,IF(G506+H506&lt;N506,DATE(2026,11,18)+(G506+H506-J506*34)/(J506*L506),"after Nov 30")))</f>
        <v/>
      </c>
      <c r="R506" s="54">
        <f>IF(AND(G506&lt;=0,J506&gt;0),"Out of stock now",IF(G506&gt;=N506,"Covered to Nov 30",IF(G506+H506&gt;=N506,"Needs inbound in time","Short even with inbound")))</f>
        <v/>
      </c>
      <c r="S506" s="57" t="n"/>
      <c r="T506" s="59">
        <f>IF(S506="","",S506*34+S506*L506*12)</f>
        <v/>
      </c>
    </row>
    <row r="507">
      <c r="A507" s="54" t="inlineStr">
        <is>
          <t>US DC S4</t>
        </is>
      </c>
      <c r="B507" s="54" t="inlineStr">
        <is>
          <t>US</t>
        </is>
      </c>
      <c r="C507" s="54" t="inlineStr">
        <is>
          <t>B09G6M7WJ2</t>
        </is>
      </c>
      <c r="D507" s="54" t="inlineStr">
        <is>
          <t>SATIN-STRIPE-FULL-BLUE</t>
        </is>
      </c>
      <c r="E507" s="54" t="inlineStr">
        <is>
          <t>Full</t>
        </is>
      </c>
      <c r="F507" s="54" t="inlineStr">
        <is>
          <t>Striped Blue</t>
        </is>
      </c>
      <c r="G507" s="55" t="n">
        <v>23</v>
      </c>
      <c r="H507" s="55" t="n">
        <v>0</v>
      </c>
      <c r="I507" s="56" t="n"/>
      <c r="J507" s="57" t="n">
        <v>0.02</v>
      </c>
      <c r="K507" s="56" t="inlineStr">
        <is>
          <t>account data velocity</t>
        </is>
      </c>
      <c r="L507" s="58" t="n">
        <v>2.6371</v>
      </c>
      <c r="M507" s="56" t="inlineStr">
        <is>
          <t>own BFCM 2025 lift (account data)</t>
        </is>
      </c>
      <c r="N507" s="59">
        <f>J507*34+J507*L507*12</f>
        <v/>
      </c>
      <c r="O507" s="59">
        <f>MAX(0,N507-G507-H507)</f>
        <v/>
      </c>
      <c r="P507" s="60">
        <f>IF(J507=0,"",IF(G507&lt;J507*34,DATE(2026,10,15)+G507/J507,IF(G507&lt;N507,DATE(2026,11,18)+(G507-J507*34)/(J507*L507),"after Nov 30")))</f>
        <v/>
      </c>
      <c r="Q507" s="60">
        <f>IF(J507=0,"",IF(G507+H507&lt;J507*34,DATE(2026,10,15)+(G507+H507)/J507,IF(G507+H507&lt;N507,DATE(2026,11,18)+(G507+H507-J507*34)/(J507*L507),"after Nov 30")))</f>
        <v/>
      </c>
      <c r="R507" s="54">
        <f>IF(AND(G507&lt;=0,J507&gt;0),"Out of stock now",IF(G507&gt;=N507,"Covered to Nov 30",IF(G507+H507&gt;=N507,"Needs inbound in time","Short even with inbound")))</f>
        <v/>
      </c>
      <c r="S507" s="57" t="n">
        <v>0</v>
      </c>
      <c r="T507" s="59">
        <f>IF(S507="","",S507*34+S507*L507*12)</f>
        <v/>
      </c>
    </row>
    <row r="508">
      <c r="A508" s="54" t="inlineStr">
        <is>
          <t>US DC S4</t>
        </is>
      </c>
      <c r="B508" s="54" t="inlineStr">
        <is>
          <t>US</t>
        </is>
      </c>
      <c r="C508" s="54" t="inlineStr">
        <is>
          <t>B09G6K4M5V</t>
        </is>
      </c>
      <c r="D508" s="54" t="inlineStr">
        <is>
          <t>SATIN-STRIPE-KING-GOLD</t>
        </is>
      </c>
      <c r="E508" s="54" t="inlineStr">
        <is>
          <t>King</t>
        </is>
      </c>
      <c r="F508" s="54" t="inlineStr">
        <is>
          <t>Striped Gold</t>
        </is>
      </c>
      <c r="G508" s="55" t="n">
        <v>0</v>
      </c>
      <c r="H508" s="55" t="n">
        <v>0</v>
      </c>
      <c r="I508" s="56" t="n"/>
      <c r="J508" s="57" t="n">
        <v>0.02</v>
      </c>
      <c r="K508" s="56" t="inlineStr">
        <is>
          <t>account data velocity</t>
        </is>
      </c>
      <c r="L508" s="58" t="n">
        <v>2.6371</v>
      </c>
      <c r="M508" s="56" t="inlineStr">
        <is>
          <t>own BFCM 2025 lift (account data)</t>
        </is>
      </c>
      <c r="N508" s="59">
        <f>J508*34+J508*L508*12</f>
        <v/>
      </c>
      <c r="O508" s="59">
        <f>MAX(0,N508-G508-H508)</f>
        <v/>
      </c>
      <c r="P508" s="60">
        <f>IF(J508=0,"",IF(G508&lt;J508*34,DATE(2026,10,15)+G508/J508,IF(G508&lt;N508,DATE(2026,11,18)+(G508-J508*34)/(J508*L508),"after Nov 30")))</f>
        <v/>
      </c>
      <c r="Q508" s="60">
        <f>IF(J508=0,"",IF(G508+H508&lt;J508*34,DATE(2026,10,15)+(G508+H508)/J508,IF(G508+H508&lt;N508,DATE(2026,11,18)+(G508+H508-J508*34)/(J508*L508),"after Nov 30")))</f>
        <v/>
      </c>
      <c r="R508" s="54">
        <f>IF(AND(G508&lt;=0,J508&gt;0),"Out of stock now",IF(G508&gt;=N508,"Covered to Nov 30",IF(G508+H508&gt;=N508,"Needs inbound in time","Short even with inbound")))</f>
        <v/>
      </c>
      <c r="S508" s="57" t="n"/>
      <c r="T508" s="59">
        <f>IF(S508="","",S508*34+S508*L508*12)</f>
        <v/>
      </c>
    </row>
    <row r="509">
      <c r="A509" s="54" t="inlineStr">
        <is>
          <t>US DC S4</t>
        </is>
      </c>
      <c r="B509" s="54" t="inlineStr">
        <is>
          <t>US</t>
        </is>
      </c>
      <c r="C509" s="54" t="inlineStr">
        <is>
          <t>B09G6K53S2</t>
        </is>
      </c>
      <c r="D509" s="54" t="inlineStr">
        <is>
          <t>SATIN-STRIPE-KING-GRAY</t>
        </is>
      </c>
      <c r="E509" s="54" t="inlineStr">
        <is>
          <t>King</t>
        </is>
      </c>
      <c r="F509" s="54" t="inlineStr">
        <is>
          <t>Striped Grey</t>
        </is>
      </c>
      <c r="G509" s="55" t="n">
        <v>1</v>
      </c>
      <c r="H509" s="55" t="n">
        <v>0</v>
      </c>
      <c r="I509" s="56" t="n"/>
      <c r="J509" s="57" t="n">
        <v>0</v>
      </c>
      <c r="K509" s="56" t="inlineStr">
        <is>
          <t>account data velocity</t>
        </is>
      </c>
      <c r="L509" s="58" t="n">
        <v>2.6371</v>
      </c>
      <c r="M509" s="56" t="inlineStr">
        <is>
          <t>own BFCM 2025 lift (account data)</t>
        </is>
      </c>
      <c r="N509" s="59">
        <f>J509*34+J509*L509*12</f>
        <v/>
      </c>
      <c r="O509" s="59">
        <f>MAX(0,N509-G509-H509)</f>
        <v/>
      </c>
      <c r="P509" s="60">
        <f>IF(J509=0,"",IF(G509&lt;J509*34,DATE(2026,10,15)+G509/J509,IF(G509&lt;N509,DATE(2026,11,18)+(G509-J509*34)/(J509*L509),"after Nov 30")))</f>
        <v/>
      </c>
      <c r="Q509" s="60">
        <f>IF(J509=0,"",IF(G509+H509&lt;J509*34,DATE(2026,10,15)+(G509+H509)/J509,IF(G509+H509&lt;N509,DATE(2026,11,18)+(G509+H509-J509*34)/(J509*L509),"after Nov 30")))</f>
        <v/>
      </c>
      <c r="R509" s="54">
        <f>IF(AND(G509&lt;=0,J509&gt;0),"Out of stock now",IF(G509&gt;=N509,"Covered to Nov 30",IF(G509+H509&gt;=N509,"Needs inbound in time","Short even with inbound")))</f>
        <v/>
      </c>
      <c r="S509" s="57" t="n"/>
      <c r="T509" s="59">
        <f>IF(S509="","",S509*34+S509*L509*12)</f>
        <v/>
      </c>
    </row>
    <row r="510">
      <c r="A510" s="54" t="inlineStr">
        <is>
          <t>US DC S4</t>
        </is>
      </c>
      <c r="B510" s="54" t="inlineStr">
        <is>
          <t>US</t>
        </is>
      </c>
      <c r="C510" s="54" t="inlineStr">
        <is>
          <t>B09G6JK5ZL</t>
        </is>
      </c>
      <c r="D510" s="54" t="inlineStr">
        <is>
          <t>SATIN-STRIPE-TWIN-WHITE</t>
        </is>
      </c>
      <c r="E510" s="54" t="inlineStr">
        <is>
          <t>Twin</t>
        </is>
      </c>
      <c r="F510" s="54" t="inlineStr">
        <is>
          <t>Striped White</t>
        </is>
      </c>
      <c r="G510" s="55" t="n">
        <v>11</v>
      </c>
      <c r="H510" s="55" t="n">
        <v>0</v>
      </c>
      <c r="I510" s="56" t="n"/>
      <c r="J510" s="57" t="n">
        <v>0</v>
      </c>
      <c r="K510" s="56" t="inlineStr">
        <is>
          <t>account data velocity</t>
        </is>
      </c>
      <c r="L510" s="58" t="n">
        <v>2.6371</v>
      </c>
      <c r="M510" s="56" t="inlineStr">
        <is>
          <t>own BFCM 2025 lift (account data)</t>
        </is>
      </c>
      <c r="N510" s="59">
        <f>J510*34+J510*L510*12</f>
        <v/>
      </c>
      <c r="O510" s="59">
        <f>MAX(0,N510-G510-H510)</f>
        <v/>
      </c>
      <c r="P510" s="60">
        <f>IF(J510=0,"",IF(G510&lt;J510*34,DATE(2026,10,15)+G510/J510,IF(G510&lt;N510,DATE(2026,11,18)+(G510-J510*34)/(J510*L510),"after Nov 30")))</f>
        <v/>
      </c>
      <c r="Q510" s="60">
        <f>IF(J510=0,"",IF(G510+H510&lt;J510*34,DATE(2026,10,15)+(G510+H510)/J510,IF(G510+H510&lt;N510,DATE(2026,11,18)+(G510+H510-J510*34)/(J510*L510),"after Nov 30")))</f>
        <v/>
      </c>
      <c r="R510" s="54">
        <f>IF(AND(G510&lt;=0,J510&gt;0),"Out of stock now",IF(G510&gt;=N510,"Covered to Nov 30",IF(G510+H510&gt;=N510,"Needs inbound in time","Short even with inbound")))</f>
        <v/>
      </c>
      <c r="S510" s="57" t="n">
        <v>0</v>
      </c>
      <c r="T510" s="59">
        <f>IF(S510="","",S510*34+S510*L510*12)</f>
        <v/>
      </c>
    </row>
    <row r="511">
      <c r="A511" s="54" t="inlineStr">
        <is>
          <t>CA DC S4</t>
        </is>
      </c>
      <c r="B511" s="54" t="inlineStr">
        <is>
          <t>CA</t>
        </is>
      </c>
      <c r="C511" s="54" t="inlineStr">
        <is>
          <t>B0CQRXKRPN</t>
        </is>
      </c>
      <c r="D511" s="54" t="inlineStr">
        <is>
          <t>SATIN-4PC-QUEEN-LAVENDER</t>
        </is>
      </c>
      <c r="E511" s="54" t="inlineStr">
        <is>
          <t>Queen</t>
        </is>
      </c>
      <c r="F511" s="54" t="inlineStr">
        <is>
          <t>Lavender</t>
        </is>
      </c>
      <c r="G511" s="55" t="n">
        <v>0</v>
      </c>
      <c r="H511" s="55" t="n">
        <v>0</v>
      </c>
      <c r="I511" s="56" t="n"/>
      <c r="J511" s="57" t="n">
        <v>2.7</v>
      </c>
      <c r="K511" s="56" t="inlineStr">
        <is>
          <t>account data velocity</t>
        </is>
      </c>
      <c r="L511" s="58" t="n">
        <v>3.269</v>
      </c>
      <c r="M511" s="56" t="inlineStr">
        <is>
          <t>own BFCM 2025 lift (account data)</t>
        </is>
      </c>
      <c r="N511" s="59">
        <f>J511*34+J511*L511*12</f>
        <v/>
      </c>
      <c r="O511" s="59">
        <f>MAX(0,N511-G511-H511)</f>
        <v/>
      </c>
      <c r="P511" s="60">
        <f>IF(J511=0,"",IF(G511&lt;J511*34,DATE(2026,10,15)+G511/J511,IF(G511&lt;N511,DATE(2026,11,18)+(G511-J511*34)/(J511*L511),"after Nov 30")))</f>
        <v/>
      </c>
      <c r="Q511" s="60">
        <f>IF(J511=0,"",IF(G511+H511&lt;J511*34,DATE(2026,10,15)+(G511+H511)/J511,IF(G511+H511&lt;N511,DATE(2026,11,18)+(G511+H511-J511*34)/(J511*L511),"after Nov 30")))</f>
        <v/>
      </c>
      <c r="R511" s="54">
        <f>IF(AND(G511&lt;=0,J511&gt;0),"Out of stock now",IF(G511&gt;=N511,"Covered to Nov 30",IF(G511+H511&gt;=N511,"Needs inbound in time","Short even with inbound")))</f>
        <v/>
      </c>
      <c r="S511" s="57" t="n">
        <v>0.214</v>
      </c>
      <c r="T511" s="59">
        <f>IF(S511="","",S511*34+S511*L511*12)</f>
        <v/>
      </c>
    </row>
    <row r="512">
      <c r="A512" s="54" t="inlineStr">
        <is>
          <t>CA DC S4</t>
        </is>
      </c>
      <c r="B512" s="54" t="inlineStr">
        <is>
          <t>CA</t>
        </is>
      </c>
      <c r="C512" s="54" t="inlineStr">
        <is>
          <t>B0839MKJMV</t>
        </is>
      </c>
      <c r="D512" s="54" t="inlineStr">
        <is>
          <t>SATIN-QUEEN-BLACK</t>
        </is>
      </c>
      <c r="E512" s="54" t="inlineStr">
        <is>
          <t>Queen</t>
        </is>
      </c>
      <c r="F512" s="54" t="inlineStr">
        <is>
          <t>Black</t>
        </is>
      </c>
      <c r="G512" s="55" t="n">
        <v>29</v>
      </c>
      <c r="H512" s="55" t="n">
        <v>0</v>
      </c>
      <c r="I512" s="56" t="n"/>
      <c r="J512" s="57" t="n">
        <v>1.21</v>
      </c>
      <c r="K512" s="56" t="inlineStr">
        <is>
          <t>account data velocity</t>
        </is>
      </c>
      <c r="L512" s="58" t="n">
        <v>3.269</v>
      </c>
      <c r="M512" s="56" t="inlineStr">
        <is>
          <t>own BFCM 2025 lift (account data)</t>
        </is>
      </c>
      <c r="N512" s="59">
        <f>J512*34+J512*L512*12</f>
        <v/>
      </c>
      <c r="O512" s="59">
        <f>MAX(0,N512-G512-H512)</f>
        <v/>
      </c>
      <c r="P512" s="60">
        <f>IF(J512=0,"",IF(G512&lt;J512*34,DATE(2026,10,15)+G512/J512,IF(G512&lt;N512,DATE(2026,11,18)+(G512-J512*34)/(J512*L512),"after Nov 30")))</f>
        <v/>
      </c>
      <c r="Q512" s="60">
        <f>IF(J512=0,"",IF(G512+H512&lt;J512*34,DATE(2026,10,15)+(G512+H512)/J512,IF(G512+H512&lt;N512,DATE(2026,11,18)+(G512+H512-J512*34)/(J512*L512),"after Nov 30")))</f>
        <v/>
      </c>
      <c r="R512" s="54">
        <f>IF(AND(G512&lt;=0,J512&gt;0),"Out of stock now",IF(G512&gt;=N512,"Covered to Nov 30",IF(G512+H512&gt;=N512,"Needs inbound in time","Short even with inbound")))</f>
        <v/>
      </c>
      <c r="S512" s="57" t="n">
        <v>1.214</v>
      </c>
      <c r="T512" s="59">
        <f>IF(S512="","",S512*34+S512*L512*12)</f>
        <v/>
      </c>
    </row>
    <row r="513">
      <c r="A513" s="54" t="inlineStr">
        <is>
          <t>CA DC S4</t>
        </is>
      </c>
      <c r="B513" s="54" t="inlineStr">
        <is>
          <t>CA</t>
        </is>
      </c>
      <c r="C513" s="54" t="inlineStr">
        <is>
          <t>B0839LD2WQ</t>
        </is>
      </c>
      <c r="D513" s="54" t="inlineStr">
        <is>
          <t>SATIN-KING-BLACK</t>
        </is>
      </c>
      <c r="E513" s="54" t="inlineStr">
        <is>
          <t>King</t>
        </is>
      </c>
      <c r="F513" s="54" t="inlineStr">
        <is>
          <t>Black</t>
        </is>
      </c>
      <c r="G513" s="55" t="n">
        <v>120</v>
      </c>
      <c r="H513" s="55" t="n">
        <v>0</v>
      </c>
      <c r="I513" s="56" t="n"/>
      <c r="J513" s="57" t="n">
        <v>1.2</v>
      </c>
      <c r="K513" s="56" t="inlineStr">
        <is>
          <t>account data velocity</t>
        </is>
      </c>
      <c r="L513" s="58" t="n">
        <v>3.269</v>
      </c>
      <c r="M513" s="56" t="inlineStr">
        <is>
          <t>own BFCM 2025 lift (account data)</t>
        </is>
      </c>
      <c r="N513" s="59">
        <f>J513*34+J513*L513*12</f>
        <v/>
      </c>
      <c r="O513" s="59">
        <f>MAX(0,N513-G513-H513)</f>
        <v/>
      </c>
      <c r="P513" s="60">
        <f>IF(J513=0,"",IF(G513&lt;J513*34,DATE(2026,10,15)+G513/J513,IF(G513&lt;N513,DATE(2026,11,18)+(G513-J513*34)/(J513*L513),"after Nov 30")))</f>
        <v/>
      </c>
      <c r="Q513" s="60">
        <f>IF(J513=0,"",IF(G513+H513&lt;J513*34,DATE(2026,10,15)+(G513+H513)/J513,IF(G513+H513&lt;N513,DATE(2026,11,18)+(G513+H513-J513*34)/(J513*L513),"after Nov 30")))</f>
        <v/>
      </c>
      <c r="R513" s="54">
        <f>IF(AND(G513&lt;=0,J513&gt;0),"Out of stock now",IF(G513&gt;=N513,"Covered to Nov 30",IF(G513+H513&gt;=N513,"Needs inbound in time","Short even with inbound")))</f>
        <v/>
      </c>
      <c r="S513" s="57" t="n">
        <v>1.036</v>
      </c>
      <c r="T513" s="59">
        <f>IF(S513="","",S513*34+S513*L513*12)</f>
        <v/>
      </c>
    </row>
    <row r="514">
      <c r="A514" s="54" t="inlineStr">
        <is>
          <t>CA DC S4</t>
        </is>
      </c>
      <c r="B514" s="54" t="inlineStr">
        <is>
          <t>CA</t>
        </is>
      </c>
      <c r="C514" s="54" t="inlineStr">
        <is>
          <t>B0839LQK8K</t>
        </is>
      </c>
      <c r="D514" s="54" t="inlineStr">
        <is>
          <t>SATIN-QUEEN-GREY</t>
        </is>
      </c>
      <c r="E514" s="54" t="inlineStr">
        <is>
          <t>Queen</t>
        </is>
      </c>
      <c r="F514" s="54" t="inlineStr">
        <is>
          <t>Grey</t>
        </is>
      </c>
      <c r="G514" s="55" t="n">
        <v>81</v>
      </c>
      <c r="H514" s="55" t="n">
        <v>0</v>
      </c>
      <c r="I514" s="56" t="n"/>
      <c r="J514" s="57" t="n">
        <v>1.02</v>
      </c>
      <c r="K514" s="56" t="inlineStr">
        <is>
          <t>account data velocity</t>
        </is>
      </c>
      <c r="L514" s="58" t="n">
        <v>3.269</v>
      </c>
      <c r="M514" s="56" t="inlineStr">
        <is>
          <t>own BFCM 2025 lift (account data)</t>
        </is>
      </c>
      <c r="N514" s="59">
        <f>J514*34+J514*L514*12</f>
        <v/>
      </c>
      <c r="O514" s="59">
        <f>MAX(0,N514-G514-H514)</f>
        <v/>
      </c>
      <c r="P514" s="60">
        <f>IF(J514=0,"",IF(G514&lt;J514*34,DATE(2026,10,15)+G514/J514,IF(G514&lt;N514,DATE(2026,11,18)+(G514-J514*34)/(J514*L514),"after Nov 30")))</f>
        <v/>
      </c>
      <c r="Q514" s="60">
        <f>IF(J514=0,"",IF(G514+H514&lt;J514*34,DATE(2026,10,15)+(G514+H514)/J514,IF(G514+H514&lt;N514,DATE(2026,11,18)+(G514+H514-J514*34)/(J514*L514),"after Nov 30")))</f>
        <v/>
      </c>
      <c r="R514" s="54">
        <f>IF(AND(G514&lt;=0,J514&gt;0),"Out of stock now",IF(G514&gt;=N514,"Covered to Nov 30",IF(G514+H514&gt;=N514,"Needs inbound in time","Short even with inbound")))</f>
        <v/>
      </c>
      <c r="S514" s="57" t="n">
        <v>1.107</v>
      </c>
      <c r="T514" s="59">
        <f>IF(S514="","",S514*34+S514*L514*12)</f>
        <v/>
      </c>
    </row>
    <row r="515">
      <c r="A515" s="54" t="inlineStr">
        <is>
          <t>CA DC S4</t>
        </is>
      </c>
      <c r="B515" s="54" t="inlineStr">
        <is>
          <t>CA</t>
        </is>
      </c>
      <c r="C515" s="54" t="inlineStr">
        <is>
          <t>B08KRW2BX3</t>
        </is>
      </c>
      <c r="D515" s="54" t="inlineStr">
        <is>
          <t>SATIN-GOLD-QUEEN</t>
        </is>
      </c>
      <c r="E515" s="54" t="inlineStr">
        <is>
          <t>Queen</t>
        </is>
      </c>
      <c r="F515" s="54" t="inlineStr">
        <is>
          <t>Gold</t>
        </is>
      </c>
      <c r="G515" s="55" t="n">
        <v>0</v>
      </c>
      <c r="H515" s="55" t="n">
        <v>0</v>
      </c>
      <c r="I515" s="56" t="n"/>
      <c r="J515" s="57" t="n">
        <v>0.9</v>
      </c>
      <c r="K515" s="56" t="inlineStr">
        <is>
          <t>account data velocity</t>
        </is>
      </c>
      <c r="L515" s="58" t="n">
        <v>3.269</v>
      </c>
      <c r="M515" s="56" t="inlineStr">
        <is>
          <t>own BFCM 2025 lift (account data)</t>
        </is>
      </c>
      <c r="N515" s="59">
        <f>J515*34+J515*L515*12</f>
        <v/>
      </c>
      <c r="O515" s="59">
        <f>MAX(0,N515-G515-H515)</f>
        <v/>
      </c>
      <c r="P515" s="60">
        <f>IF(J515=0,"",IF(G515&lt;J515*34,DATE(2026,10,15)+G515/J515,IF(G515&lt;N515,DATE(2026,11,18)+(G515-J515*34)/(J515*L515),"after Nov 30")))</f>
        <v/>
      </c>
      <c r="Q515" s="60">
        <f>IF(J515=0,"",IF(G515+H515&lt;J515*34,DATE(2026,10,15)+(G515+H515)/J515,IF(G515+H515&lt;N515,DATE(2026,11,18)+(G515+H515-J515*34)/(J515*L515),"after Nov 30")))</f>
        <v/>
      </c>
      <c r="R515" s="54">
        <f>IF(AND(G515&lt;=0,J515&gt;0),"Out of stock now",IF(G515&gt;=N515,"Covered to Nov 30",IF(G515+H515&gt;=N515,"Needs inbound in time","Short even with inbound")))</f>
        <v/>
      </c>
      <c r="S515" s="57" t="n">
        <v>0.179</v>
      </c>
      <c r="T515" s="59">
        <f>IF(S515="","",S515*34+S515*L515*12)</f>
        <v/>
      </c>
    </row>
    <row r="516">
      <c r="A516" s="54" t="inlineStr">
        <is>
          <t>CA DC S4</t>
        </is>
      </c>
      <c r="B516" s="54" t="inlineStr">
        <is>
          <t>CA</t>
        </is>
      </c>
      <c r="C516" s="54" t="inlineStr">
        <is>
          <t>B0839LQG4C</t>
        </is>
      </c>
      <c r="D516" s="54" t="inlineStr">
        <is>
          <t>SATIN-QUEEN-PINK</t>
        </is>
      </c>
      <c r="E516" s="54" t="inlineStr">
        <is>
          <t>Queen</t>
        </is>
      </c>
      <c r="F516" s="54" t="inlineStr">
        <is>
          <t>Pink</t>
        </is>
      </c>
      <c r="G516" s="55" t="n">
        <v>285</v>
      </c>
      <c r="H516" s="55" t="n">
        <v>174</v>
      </c>
      <c r="I516" s="56" t="inlineStr">
        <is>
          <t>FBA19MV0YVFX shipped: 174</t>
        </is>
      </c>
      <c r="J516" s="57" t="n">
        <v>0.89</v>
      </c>
      <c r="K516" s="56" t="inlineStr">
        <is>
          <t>account data velocity</t>
        </is>
      </c>
      <c r="L516" s="58" t="n">
        <v>3.269</v>
      </c>
      <c r="M516" s="56" t="inlineStr">
        <is>
          <t>own BFCM 2025 lift (account data)</t>
        </is>
      </c>
      <c r="N516" s="59">
        <f>J516*34+J516*L516*12</f>
        <v/>
      </c>
      <c r="O516" s="59">
        <f>MAX(0,N516-G516-H516)</f>
        <v/>
      </c>
      <c r="P516" s="60">
        <f>IF(J516=0,"",IF(G516&lt;J516*34,DATE(2026,10,15)+G516/J516,IF(G516&lt;N516,DATE(2026,11,18)+(G516-J516*34)/(J516*L516),"after Nov 30")))</f>
        <v/>
      </c>
      <c r="Q516" s="60">
        <f>IF(J516=0,"",IF(G516+H516&lt;J516*34,DATE(2026,10,15)+(G516+H516)/J516,IF(G516+H516&lt;N516,DATE(2026,11,18)+(G516+H516-J516*34)/(J516*L516),"after Nov 30")))</f>
        <v/>
      </c>
      <c r="R516" s="54">
        <f>IF(AND(G516&lt;=0,J516&gt;0),"Out of stock now",IF(G516&gt;=N516,"Covered to Nov 30",IF(G516+H516&gt;=N516,"Needs inbound in time","Short even with inbound")))</f>
        <v/>
      </c>
      <c r="S516" s="57" t="n">
        <v>0.607</v>
      </c>
      <c r="T516" s="59">
        <f>IF(S516="","",S516*34+S516*L516*12)</f>
        <v/>
      </c>
    </row>
    <row r="517">
      <c r="A517" s="54" t="inlineStr">
        <is>
          <t>CA DC S4</t>
        </is>
      </c>
      <c r="B517" s="54" t="inlineStr">
        <is>
          <t>CA</t>
        </is>
      </c>
      <c r="C517" s="54" t="inlineStr">
        <is>
          <t>B0BG21THPM</t>
        </is>
      </c>
      <c r="D517" s="54" t="inlineStr">
        <is>
          <t>SATIN-ROSEWOOD-QUEEN</t>
        </is>
      </c>
      <c r="E517" s="54" t="inlineStr">
        <is>
          <t>Queen</t>
        </is>
      </c>
      <c r="F517" s="54" t="inlineStr">
        <is>
          <t>Rosewood</t>
        </is>
      </c>
      <c r="G517" s="55" t="n">
        <v>21</v>
      </c>
      <c r="H517" s="55" t="n">
        <v>0</v>
      </c>
      <c r="I517" s="56" t="n"/>
      <c r="J517" s="57" t="n">
        <v>0.73</v>
      </c>
      <c r="K517" s="56" t="inlineStr">
        <is>
          <t>account data velocity</t>
        </is>
      </c>
      <c r="L517" s="58" t="n">
        <v>3.269</v>
      </c>
      <c r="M517" s="56" t="inlineStr">
        <is>
          <t>own BFCM 2025 lift (account data)</t>
        </is>
      </c>
      <c r="N517" s="59">
        <f>J517*34+J517*L517*12</f>
        <v/>
      </c>
      <c r="O517" s="59">
        <f>MAX(0,N517-G517-H517)</f>
        <v/>
      </c>
      <c r="P517" s="60">
        <f>IF(J517=0,"",IF(G517&lt;J517*34,DATE(2026,10,15)+G517/J517,IF(G517&lt;N517,DATE(2026,11,18)+(G517-J517*34)/(J517*L517),"after Nov 30")))</f>
        <v/>
      </c>
      <c r="Q517" s="60">
        <f>IF(J517=0,"",IF(G517+H517&lt;J517*34,DATE(2026,10,15)+(G517+H517)/J517,IF(G517+H517&lt;N517,DATE(2026,11,18)+(G517+H517-J517*34)/(J517*L517),"after Nov 30")))</f>
        <v/>
      </c>
      <c r="R517" s="54">
        <f>IF(AND(G517&lt;=0,J517&gt;0),"Out of stock now",IF(G517&gt;=N517,"Covered to Nov 30",IF(G517+H517&gt;=N517,"Needs inbound in time","Short even with inbound")))</f>
        <v/>
      </c>
      <c r="S517" s="57" t="n">
        <v>0.321</v>
      </c>
      <c r="T517" s="59">
        <f>IF(S517="","",S517*34+S517*L517*12)</f>
        <v/>
      </c>
    </row>
    <row r="518">
      <c r="A518" s="54" t="inlineStr">
        <is>
          <t>CA DC S4</t>
        </is>
      </c>
      <c r="B518" s="54" t="inlineStr">
        <is>
          <t>CA</t>
        </is>
      </c>
      <c r="C518" s="54" t="inlineStr">
        <is>
          <t>B08KRXDWNN</t>
        </is>
      </c>
      <c r="D518" s="54" t="inlineStr">
        <is>
          <t>SATIN-WHITE-QUEEN</t>
        </is>
      </c>
      <c r="E518" s="54" t="inlineStr">
        <is>
          <t>Queen</t>
        </is>
      </c>
      <c r="F518" s="54" t="inlineStr">
        <is>
          <t>White</t>
        </is>
      </c>
      <c r="G518" s="55" t="n">
        <v>142</v>
      </c>
      <c r="H518" s="55" t="n">
        <v>0</v>
      </c>
      <c r="I518" s="56" t="n"/>
      <c r="J518" s="57" t="n">
        <v>0.68</v>
      </c>
      <c r="K518" s="56" t="inlineStr">
        <is>
          <t>account data velocity</t>
        </is>
      </c>
      <c r="L518" s="58" t="n">
        <v>3.269</v>
      </c>
      <c r="M518" s="56" t="inlineStr">
        <is>
          <t>own BFCM 2025 lift (account data)</t>
        </is>
      </c>
      <c r="N518" s="59">
        <f>J518*34+J518*L518*12</f>
        <v/>
      </c>
      <c r="O518" s="59">
        <f>MAX(0,N518-G518-H518)</f>
        <v/>
      </c>
      <c r="P518" s="60">
        <f>IF(J518=0,"",IF(G518&lt;J518*34,DATE(2026,10,15)+G518/J518,IF(G518&lt;N518,DATE(2026,11,18)+(G518-J518*34)/(J518*L518),"after Nov 30")))</f>
        <v/>
      </c>
      <c r="Q518" s="60">
        <f>IF(J518=0,"",IF(G518+H518&lt;J518*34,DATE(2026,10,15)+(G518+H518)/J518,IF(G518+H518&lt;N518,DATE(2026,11,18)+(G518+H518-J518*34)/(J518*L518),"after Nov 30")))</f>
        <v/>
      </c>
      <c r="R518" s="54">
        <f>IF(AND(G518&lt;=0,J518&gt;0),"Out of stock now",IF(G518&gt;=N518,"Covered to Nov 30",IF(G518+H518&gt;=N518,"Needs inbound in time","Short even with inbound")))</f>
        <v/>
      </c>
      <c r="S518" s="57" t="n">
        <v>0.5</v>
      </c>
      <c r="T518" s="59">
        <f>IF(S518="","",S518*34+S518*L518*12)</f>
        <v/>
      </c>
    </row>
    <row r="519">
      <c r="A519" s="54" t="inlineStr">
        <is>
          <t>CA DC S4</t>
        </is>
      </c>
      <c r="B519" s="54" t="inlineStr">
        <is>
          <t>CA</t>
        </is>
      </c>
      <c r="C519" s="54" t="inlineStr">
        <is>
          <t>B0839L6QG5</t>
        </is>
      </c>
      <c r="D519" s="54" t="inlineStr">
        <is>
          <t>SATIN-FULL-PINK</t>
        </is>
      </c>
      <c r="E519" s="54" t="inlineStr">
        <is>
          <t>Full</t>
        </is>
      </c>
      <c r="F519" s="54" t="inlineStr">
        <is>
          <t>Pink</t>
        </is>
      </c>
      <c r="G519" s="55" t="n">
        <v>86</v>
      </c>
      <c r="H519" s="55" t="n">
        <v>108</v>
      </c>
      <c r="I519" s="56" t="n"/>
      <c r="J519" s="57" t="n">
        <v>0.61</v>
      </c>
      <c r="K519" s="56" t="inlineStr">
        <is>
          <t>account data velocity</t>
        </is>
      </c>
      <c r="L519" s="58" t="n">
        <v>3.269</v>
      </c>
      <c r="M519" s="56" t="inlineStr">
        <is>
          <t>own BFCM 2025 lift (account data)</t>
        </is>
      </c>
      <c r="N519" s="59">
        <f>J519*34+J519*L519*12</f>
        <v/>
      </c>
      <c r="O519" s="59">
        <f>MAX(0,N519-G519-H519)</f>
        <v/>
      </c>
      <c r="P519" s="60">
        <f>IF(J519=0,"",IF(G519&lt;J519*34,DATE(2026,10,15)+G519/J519,IF(G519&lt;N519,DATE(2026,11,18)+(G519-J519*34)/(J519*L519),"after Nov 30")))</f>
        <v/>
      </c>
      <c r="Q519" s="60">
        <f>IF(J519=0,"",IF(G519+H519&lt;J519*34,DATE(2026,10,15)+(G519+H519)/J519,IF(G519+H519&lt;N519,DATE(2026,11,18)+(G519+H519-J519*34)/(J519*L519),"after Nov 30")))</f>
        <v/>
      </c>
      <c r="R519" s="54">
        <f>IF(AND(G519&lt;=0,J519&gt;0),"Out of stock now",IF(G519&gt;=N519,"Covered to Nov 30",IF(G519+H519&gt;=N519,"Needs inbound in time","Short even with inbound")))</f>
        <v/>
      </c>
      <c r="S519" s="57" t="n">
        <v>0.357</v>
      </c>
      <c r="T519" s="59">
        <f>IF(S519="","",S519*34+S519*L519*12)</f>
        <v/>
      </c>
    </row>
    <row r="520">
      <c r="A520" s="54" t="inlineStr">
        <is>
          <t>CA DC S4</t>
        </is>
      </c>
      <c r="B520" s="54" t="inlineStr">
        <is>
          <t>CA</t>
        </is>
      </c>
      <c r="C520" s="54" t="inlineStr">
        <is>
          <t>B0CQRXZLFQ</t>
        </is>
      </c>
      <c r="D520" s="54" t="inlineStr">
        <is>
          <t>SATIN-4PC-FULL-LAVENDER</t>
        </is>
      </c>
      <c r="E520" s="54" t="inlineStr">
        <is>
          <t>Full</t>
        </is>
      </c>
      <c r="F520" s="54" t="inlineStr">
        <is>
          <t>Lavender</t>
        </is>
      </c>
      <c r="G520" s="55" t="n">
        <v>3</v>
      </c>
      <c r="H520" s="55" t="n">
        <v>0</v>
      </c>
      <c r="I520" s="56" t="n"/>
      <c r="J520" s="57" t="n">
        <v>0.61</v>
      </c>
      <c r="K520" s="56" t="inlineStr">
        <is>
          <t>account data velocity</t>
        </is>
      </c>
      <c r="L520" s="58" t="n">
        <v>3.269</v>
      </c>
      <c r="M520" s="56" t="inlineStr">
        <is>
          <t>own BFCM 2025 lift (account data)</t>
        </is>
      </c>
      <c r="N520" s="59">
        <f>J520*34+J520*L520*12</f>
        <v/>
      </c>
      <c r="O520" s="59">
        <f>MAX(0,N520-G520-H520)</f>
        <v/>
      </c>
      <c r="P520" s="60">
        <f>IF(J520=0,"",IF(G520&lt;J520*34,DATE(2026,10,15)+G520/J520,IF(G520&lt;N520,DATE(2026,11,18)+(G520-J520*34)/(J520*L520),"after Nov 30")))</f>
        <v/>
      </c>
      <c r="Q520" s="60">
        <f>IF(J520=0,"",IF(G520+H520&lt;J520*34,DATE(2026,10,15)+(G520+H520)/J520,IF(G520+H520&lt;N520,DATE(2026,11,18)+(G520+H520-J520*34)/(J520*L520),"after Nov 30")))</f>
        <v/>
      </c>
      <c r="R520" s="54">
        <f>IF(AND(G520&lt;=0,J520&gt;0),"Out of stock now",IF(G520&gt;=N520,"Covered to Nov 30",IF(G520+H520&gt;=N520,"Needs inbound in time","Short even with inbound")))</f>
        <v/>
      </c>
      <c r="S520" s="57" t="n">
        <v>0.07099999999999999</v>
      </c>
      <c r="T520" s="59">
        <f>IF(S520="","",S520*34+S520*L520*12)</f>
        <v/>
      </c>
    </row>
    <row r="521">
      <c r="A521" s="54" t="inlineStr">
        <is>
          <t>CA DC S4</t>
        </is>
      </c>
      <c r="B521" s="54" t="inlineStr">
        <is>
          <t>CA</t>
        </is>
      </c>
      <c r="C521" s="54" t="inlineStr">
        <is>
          <t>B0839LCXBP</t>
        </is>
      </c>
      <c r="D521" s="54" t="inlineStr">
        <is>
          <t>SATIN-FULL-BLACK</t>
        </is>
      </c>
      <c r="E521" s="54" t="inlineStr">
        <is>
          <t>Full</t>
        </is>
      </c>
      <c r="F521" s="54" t="inlineStr">
        <is>
          <t>Black</t>
        </is>
      </c>
      <c r="G521" s="55" t="n">
        <v>134</v>
      </c>
      <c r="H521" s="55" t="n">
        <v>10</v>
      </c>
      <c r="I521" s="56" t="inlineStr">
        <is>
          <t>FBA19KGF9QJN shipped: 10</t>
        </is>
      </c>
      <c r="J521" s="57" t="n">
        <v>0.6</v>
      </c>
      <c r="K521" s="56" t="inlineStr">
        <is>
          <t>account data velocity</t>
        </is>
      </c>
      <c r="L521" s="58" t="n">
        <v>3.269</v>
      </c>
      <c r="M521" s="56" t="inlineStr">
        <is>
          <t>own BFCM 2025 lift (account data)</t>
        </is>
      </c>
      <c r="N521" s="59">
        <f>J521*34+J521*L521*12</f>
        <v/>
      </c>
      <c r="O521" s="59">
        <f>MAX(0,N521-G521-H521)</f>
        <v/>
      </c>
      <c r="P521" s="60">
        <f>IF(J521=0,"",IF(G521&lt;J521*34,DATE(2026,10,15)+G521/J521,IF(G521&lt;N521,DATE(2026,11,18)+(G521-J521*34)/(J521*L521),"after Nov 30")))</f>
        <v/>
      </c>
      <c r="Q521" s="60">
        <f>IF(J521=0,"",IF(G521+H521&lt;J521*34,DATE(2026,10,15)+(G521+H521)/J521,IF(G521+H521&lt;N521,DATE(2026,11,18)+(G521+H521-J521*34)/(J521*L521),"after Nov 30")))</f>
        <v/>
      </c>
      <c r="R521" s="54">
        <f>IF(AND(G521&lt;=0,J521&gt;0),"Out of stock now",IF(G521&gt;=N521,"Covered to Nov 30",IF(G521+H521&gt;=N521,"Needs inbound in time","Short even with inbound")))</f>
        <v/>
      </c>
      <c r="S521" s="57" t="n">
        <v>0.429</v>
      </c>
      <c r="T521" s="59">
        <f>IF(S521="","",S521*34+S521*L521*12)</f>
        <v/>
      </c>
    </row>
    <row r="522">
      <c r="A522" s="54" t="inlineStr">
        <is>
          <t>CA DC S4</t>
        </is>
      </c>
      <c r="B522" s="54" t="inlineStr">
        <is>
          <t>CA</t>
        </is>
      </c>
      <c r="C522" s="54" t="inlineStr">
        <is>
          <t>B0839L4HWH</t>
        </is>
      </c>
      <c r="D522" s="54" t="inlineStr">
        <is>
          <t>SATIN-QUEEN-BLUE</t>
        </is>
      </c>
      <c r="E522" s="54" t="inlineStr">
        <is>
          <t>Queen</t>
        </is>
      </c>
      <c r="F522" s="54" t="inlineStr">
        <is>
          <t>Blue</t>
        </is>
      </c>
      <c r="G522" s="55" t="n">
        <v>112</v>
      </c>
      <c r="H522" s="55" t="n">
        <v>0</v>
      </c>
      <c r="I522" s="56" t="n"/>
      <c r="J522" s="57" t="n">
        <v>0.59</v>
      </c>
      <c r="K522" s="56" t="inlineStr">
        <is>
          <t>account data velocity</t>
        </is>
      </c>
      <c r="L522" s="58" t="n">
        <v>3.269</v>
      </c>
      <c r="M522" s="56" t="inlineStr">
        <is>
          <t>own BFCM 2025 lift (account data)</t>
        </is>
      </c>
      <c r="N522" s="59">
        <f>J522*34+J522*L522*12</f>
        <v/>
      </c>
      <c r="O522" s="59">
        <f>MAX(0,N522-G522-H522)</f>
        <v/>
      </c>
      <c r="P522" s="60">
        <f>IF(J522=0,"",IF(G522&lt;J522*34,DATE(2026,10,15)+G522/J522,IF(G522&lt;N522,DATE(2026,11,18)+(G522-J522*34)/(J522*L522),"after Nov 30")))</f>
        <v/>
      </c>
      <c r="Q522" s="60">
        <f>IF(J522=0,"",IF(G522+H522&lt;J522*34,DATE(2026,10,15)+(G522+H522)/J522,IF(G522+H522&lt;N522,DATE(2026,11,18)+(G522+H522-J522*34)/(J522*L522),"after Nov 30")))</f>
        <v/>
      </c>
      <c r="R522" s="54">
        <f>IF(AND(G522&lt;=0,J522&gt;0),"Out of stock now",IF(G522&gt;=N522,"Covered to Nov 30",IF(G522+H522&gt;=N522,"Needs inbound in time","Short even with inbound")))</f>
        <v/>
      </c>
      <c r="S522" s="57" t="n">
        <v>0.5</v>
      </c>
      <c r="T522" s="59">
        <f>IF(S522="","",S522*34+S522*L522*12)</f>
        <v/>
      </c>
    </row>
    <row r="523">
      <c r="A523" s="54" t="inlineStr">
        <is>
          <t>CA DC S4</t>
        </is>
      </c>
      <c r="B523" s="54" t="inlineStr">
        <is>
          <t>CA</t>
        </is>
      </c>
      <c r="C523" s="54" t="inlineStr">
        <is>
          <t>B0839L6R8Y</t>
        </is>
      </c>
      <c r="D523" s="54" t="inlineStr">
        <is>
          <t>SATIN-QUEEN-PURPLE</t>
        </is>
      </c>
      <c r="E523" s="54" t="inlineStr">
        <is>
          <t>Queen</t>
        </is>
      </c>
      <c r="F523" s="54" t="inlineStr">
        <is>
          <t>Purple</t>
        </is>
      </c>
      <c r="G523" s="55" t="n">
        <v>98</v>
      </c>
      <c r="H523" s="55" t="n">
        <v>108</v>
      </c>
      <c r="I523" s="56" t="inlineStr">
        <is>
          <t>FBA19MV0YVFX shipped: 102</t>
        </is>
      </c>
      <c r="J523" s="57" t="n">
        <v>0.58</v>
      </c>
      <c r="K523" s="56" t="inlineStr">
        <is>
          <t>account data velocity</t>
        </is>
      </c>
      <c r="L523" s="58" t="n">
        <v>3.269</v>
      </c>
      <c r="M523" s="56" t="inlineStr">
        <is>
          <t>own BFCM 2025 lift (account data)</t>
        </is>
      </c>
      <c r="N523" s="59">
        <f>J523*34+J523*L523*12</f>
        <v/>
      </c>
      <c r="O523" s="59">
        <f>MAX(0,N523-G523-H523)</f>
        <v/>
      </c>
      <c r="P523" s="60">
        <f>IF(J523=0,"",IF(G523&lt;J523*34,DATE(2026,10,15)+G523/J523,IF(G523&lt;N523,DATE(2026,11,18)+(G523-J523*34)/(J523*L523),"after Nov 30")))</f>
        <v/>
      </c>
      <c r="Q523" s="60">
        <f>IF(J523=0,"",IF(G523+H523&lt;J523*34,DATE(2026,10,15)+(G523+H523)/J523,IF(G523+H523&lt;N523,DATE(2026,11,18)+(G523+H523-J523*34)/(J523*L523),"after Nov 30")))</f>
        <v/>
      </c>
      <c r="R523" s="54">
        <f>IF(AND(G523&lt;=0,J523&gt;0),"Out of stock now",IF(G523&gt;=N523,"Covered to Nov 30",IF(G523+H523&gt;=N523,"Needs inbound in time","Short even with inbound")))</f>
        <v/>
      </c>
      <c r="S523" s="57" t="n">
        <v>0.393</v>
      </c>
      <c r="T523" s="59">
        <f>IF(S523="","",S523*34+S523*L523*12)</f>
        <v/>
      </c>
    </row>
    <row r="524">
      <c r="A524" s="54" t="inlineStr">
        <is>
          <t>CA DC S4</t>
        </is>
      </c>
      <c r="B524" s="54" t="inlineStr">
        <is>
          <t>CA</t>
        </is>
      </c>
      <c r="C524" s="54" t="inlineStr">
        <is>
          <t>B09G6L5ZW6</t>
        </is>
      </c>
      <c r="D524" s="54" t="inlineStr">
        <is>
          <t>SATIN-STRIPE-QUEEN-PURPLE</t>
        </is>
      </c>
      <c r="E524" s="54" t="inlineStr">
        <is>
          <t>Queen</t>
        </is>
      </c>
      <c r="F524" s="54" t="inlineStr">
        <is>
          <t>Striped Purple</t>
        </is>
      </c>
      <c r="G524" s="55" t="n">
        <v>0</v>
      </c>
      <c r="H524" s="55" t="n">
        <v>0</v>
      </c>
      <c r="I524" s="56" t="n"/>
      <c r="J524" s="57" t="n">
        <v>0.5</v>
      </c>
      <c r="K524" s="56" t="inlineStr">
        <is>
          <t>account data velocity</t>
        </is>
      </c>
      <c r="L524" s="58" t="n">
        <v>3.269</v>
      </c>
      <c r="M524" s="56" t="inlineStr">
        <is>
          <t>own BFCM 2025 lift (account data)</t>
        </is>
      </c>
      <c r="N524" s="59">
        <f>J524*34+J524*L524*12</f>
        <v/>
      </c>
      <c r="O524" s="59">
        <f>MAX(0,N524-G524-H524)</f>
        <v/>
      </c>
      <c r="P524" s="60">
        <f>IF(J524=0,"",IF(G524&lt;J524*34,DATE(2026,10,15)+G524/J524,IF(G524&lt;N524,DATE(2026,11,18)+(G524-J524*34)/(J524*L524),"after Nov 30")))</f>
        <v/>
      </c>
      <c r="Q524" s="60">
        <f>IF(J524=0,"",IF(G524+H524&lt;J524*34,DATE(2026,10,15)+(G524+H524)/J524,IF(G524+H524&lt;N524,DATE(2026,11,18)+(G524+H524-J524*34)/(J524*L524),"after Nov 30")))</f>
        <v/>
      </c>
      <c r="R524" s="54">
        <f>IF(AND(G524&lt;=0,J524&gt;0),"Out of stock now",IF(G524&gt;=N524,"Covered to Nov 30",IF(G524+H524&gt;=N524,"Needs inbound in time","Short even with inbound")))</f>
        <v/>
      </c>
      <c r="S524" s="57" t="n">
        <v>0.179</v>
      </c>
      <c r="T524" s="59">
        <f>IF(S524="","",S524*34+S524*L524*12)</f>
        <v/>
      </c>
    </row>
    <row r="525">
      <c r="A525" s="54" t="inlineStr">
        <is>
          <t>CA DC S4</t>
        </is>
      </c>
      <c r="B525" s="54" t="inlineStr">
        <is>
          <t>CA</t>
        </is>
      </c>
      <c r="C525" s="54" t="inlineStr">
        <is>
          <t>B0CNS9FHSD</t>
        </is>
      </c>
      <c r="D525" s="54" t="inlineStr">
        <is>
          <t>SATIN-FULL-BLUSH PINK</t>
        </is>
      </c>
      <c r="E525" s="54" t="inlineStr">
        <is>
          <t>Full</t>
        </is>
      </c>
      <c r="F525" s="54" t="inlineStr">
        <is>
          <t>Blush Pink</t>
        </is>
      </c>
      <c r="G525" s="55" t="n">
        <v>143</v>
      </c>
      <c r="H525" s="55" t="n">
        <v>0</v>
      </c>
      <c r="I525" s="56" t="n"/>
      <c r="J525" s="57" t="n">
        <v>0.47</v>
      </c>
      <c r="K525" s="56" t="inlineStr">
        <is>
          <t>account data velocity</t>
        </is>
      </c>
      <c r="L525" s="58" t="n">
        <v>3.269</v>
      </c>
      <c r="M525" s="56" t="inlineStr">
        <is>
          <t>own BFCM 2025 lift (account data)</t>
        </is>
      </c>
      <c r="N525" s="59">
        <f>J525*34+J525*L525*12</f>
        <v/>
      </c>
      <c r="O525" s="59">
        <f>MAX(0,N525-G525-H525)</f>
        <v/>
      </c>
      <c r="P525" s="60">
        <f>IF(J525=0,"",IF(G525&lt;J525*34,DATE(2026,10,15)+G525/J525,IF(G525&lt;N525,DATE(2026,11,18)+(G525-J525*34)/(J525*L525),"after Nov 30")))</f>
        <v/>
      </c>
      <c r="Q525" s="60">
        <f>IF(J525=0,"",IF(G525+H525&lt;J525*34,DATE(2026,10,15)+(G525+H525)/J525,IF(G525+H525&lt;N525,DATE(2026,11,18)+(G525+H525-J525*34)/(J525*L525),"after Nov 30")))</f>
        <v/>
      </c>
      <c r="R525" s="54">
        <f>IF(AND(G525&lt;=0,J525&gt;0),"Out of stock now",IF(G525&gt;=N525,"Covered to Nov 30",IF(G525+H525&gt;=N525,"Needs inbound in time","Short even with inbound")))</f>
        <v/>
      </c>
      <c r="S525" s="57" t="n">
        <v>0.5</v>
      </c>
      <c r="T525" s="59">
        <f>IF(S525="","",S525*34+S525*L525*12)</f>
        <v/>
      </c>
    </row>
    <row r="526">
      <c r="A526" s="54" t="inlineStr">
        <is>
          <t>CA DC S4</t>
        </is>
      </c>
      <c r="B526" s="54" t="inlineStr">
        <is>
          <t>CA</t>
        </is>
      </c>
      <c r="C526" s="54" t="inlineStr">
        <is>
          <t>B08KRNYD9B</t>
        </is>
      </c>
      <c r="D526" s="54" t="inlineStr">
        <is>
          <t>SATIN-WHITE-FULL</t>
        </is>
      </c>
      <c r="E526" s="54" t="inlineStr">
        <is>
          <t>Full</t>
        </is>
      </c>
      <c r="F526" s="54" t="inlineStr">
        <is>
          <t>White</t>
        </is>
      </c>
      <c r="G526" s="55" t="n">
        <v>104</v>
      </c>
      <c r="H526" s="55" t="n">
        <v>0</v>
      </c>
      <c r="I526" s="56" t="n"/>
      <c r="J526" s="57" t="n">
        <v>0.47</v>
      </c>
      <c r="K526" s="56" t="inlineStr">
        <is>
          <t>account data velocity</t>
        </is>
      </c>
      <c r="L526" s="58" t="n">
        <v>3.269</v>
      </c>
      <c r="M526" s="56" t="inlineStr">
        <is>
          <t>own BFCM 2025 lift (account data)</t>
        </is>
      </c>
      <c r="N526" s="59">
        <f>J526*34+J526*L526*12</f>
        <v/>
      </c>
      <c r="O526" s="59">
        <f>MAX(0,N526-G526-H526)</f>
        <v/>
      </c>
      <c r="P526" s="60">
        <f>IF(J526=0,"",IF(G526&lt;J526*34,DATE(2026,10,15)+G526/J526,IF(G526&lt;N526,DATE(2026,11,18)+(G526-J526*34)/(J526*L526),"after Nov 30")))</f>
        <v/>
      </c>
      <c r="Q526" s="60">
        <f>IF(J526=0,"",IF(G526+H526&lt;J526*34,DATE(2026,10,15)+(G526+H526)/J526,IF(G526+H526&lt;N526,DATE(2026,11,18)+(G526+H526-J526*34)/(J526*L526),"after Nov 30")))</f>
        <v/>
      </c>
      <c r="R526" s="54">
        <f>IF(AND(G526&lt;=0,J526&gt;0),"Out of stock now",IF(G526&gt;=N526,"Covered to Nov 30",IF(G526+H526&gt;=N526,"Needs inbound in time","Short even with inbound")))</f>
        <v/>
      </c>
      <c r="S526" s="57" t="n">
        <v>0.286</v>
      </c>
      <c r="T526" s="59">
        <f>IF(S526="","",S526*34+S526*L526*12)</f>
        <v/>
      </c>
    </row>
    <row r="527">
      <c r="A527" s="54" t="inlineStr">
        <is>
          <t>CA DC S4</t>
        </is>
      </c>
      <c r="B527" s="54" t="inlineStr">
        <is>
          <t>CA</t>
        </is>
      </c>
      <c r="C527" s="54" t="inlineStr">
        <is>
          <t>B0839LVHL1</t>
        </is>
      </c>
      <c r="D527" s="54" t="inlineStr">
        <is>
          <t>SATIN-TWIN-PINK</t>
        </is>
      </c>
      <c r="E527" s="54" t="inlineStr">
        <is>
          <t>Twin</t>
        </is>
      </c>
      <c r="F527" s="54" t="inlineStr">
        <is>
          <t>Pink</t>
        </is>
      </c>
      <c r="G527" s="55" t="n">
        <v>0</v>
      </c>
      <c r="H527" s="55" t="n">
        <v>0</v>
      </c>
      <c r="I527" s="56" t="inlineStr">
        <is>
          <t>FBA19KGF9QJN shipped: 168</t>
        </is>
      </c>
      <c r="J527" s="57" t="n">
        <v>0.45</v>
      </c>
      <c r="K527" s="56" t="inlineStr">
        <is>
          <t>account data velocity</t>
        </is>
      </c>
      <c r="L527" s="58" t="n">
        <v>3.269</v>
      </c>
      <c r="M527" s="56" t="inlineStr">
        <is>
          <t>own BFCM 2025 lift (account data)</t>
        </is>
      </c>
      <c r="N527" s="59">
        <f>J527*34+J527*L527*12</f>
        <v/>
      </c>
      <c r="O527" s="59">
        <f>MAX(0,N527-G527-H527)</f>
        <v/>
      </c>
      <c r="P527" s="60">
        <f>IF(J527=0,"",IF(G527&lt;J527*34,DATE(2026,10,15)+G527/J527,IF(G527&lt;N527,DATE(2026,11,18)+(G527-J527*34)/(J527*L527),"after Nov 30")))</f>
        <v/>
      </c>
      <c r="Q527" s="60">
        <f>IF(J527=0,"",IF(G527+H527&lt;J527*34,DATE(2026,10,15)+(G527+H527)/J527,IF(G527+H527&lt;N527,DATE(2026,11,18)+(G527+H527-J527*34)/(J527*L527),"after Nov 30")))</f>
        <v/>
      </c>
      <c r="R527" s="54">
        <f>IF(AND(G527&lt;=0,J527&gt;0),"Out of stock now",IF(G527&gt;=N527,"Covered to Nov 30",IF(G527+H527&gt;=N527,"Needs inbound in time","Short even with inbound")))</f>
        <v/>
      </c>
      <c r="S527" s="57" t="n">
        <v>0.25</v>
      </c>
      <c r="T527" s="59">
        <f>IF(S527="","",S527*34+S527*L527*12)</f>
        <v/>
      </c>
    </row>
    <row r="528">
      <c r="A528" s="54" t="inlineStr">
        <is>
          <t>CA DC S4</t>
        </is>
      </c>
      <c r="B528" s="54" t="inlineStr">
        <is>
          <t>CA</t>
        </is>
      </c>
      <c r="C528" s="54" t="inlineStr">
        <is>
          <t>B09G6LBXRX</t>
        </is>
      </c>
      <c r="D528" s="54" t="inlineStr">
        <is>
          <t>SATIN-STRIPE-QUEEN-BLACK</t>
        </is>
      </c>
      <c r="E528" s="54" t="inlineStr">
        <is>
          <t>Queen</t>
        </is>
      </c>
      <c r="F528" s="54" t="inlineStr">
        <is>
          <t>Striped Black</t>
        </is>
      </c>
      <c r="G528" s="55" t="n">
        <v>12</v>
      </c>
      <c r="H528" s="55" t="n">
        <v>0</v>
      </c>
      <c r="I528" s="56" t="n"/>
      <c r="J528" s="57" t="n">
        <v>0.43</v>
      </c>
      <c r="K528" s="56" t="inlineStr">
        <is>
          <t>account data velocity</t>
        </is>
      </c>
      <c r="L528" s="58" t="n">
        <v>3.269</v>
      </c>
      <c r="M528" s="56" t="inlineStr">
        <is>
          <t>own BFCM 2025 lift (account data)</t>
        </is>
      </c>
      <c r="N528" s="59">
        <f>J528*34+J528*L528*12</f>
        <v/>
      </c>
      <c r="O528" s="59">
        <f>MAX(0,N528-G528-H528)</f>
        <v/>
      </c>
      <c r="P528" s="60">
        <f>IF(J528=0,"",IF(G528&lt;J528*34,DATE(2026,10,15)+G528/J528,IF(G528&lt;N528,DATE(2026,11,18)+(G528-J528*34)/(J528*L528),"after Nov 30")))</f>
        <v/>
      </c>
      <c r="Q528" s="60">
        <f>IF(J528=0,"",IF(G528+H528&lt;J528*34,DATE(2026,10,15)+(G528+H528)/J528,IF(G528+H528&lt;N528,DATE(2026,11,18)+(G528+H528-J528*34)/(J528*L528),"after Nov 30")))</f>
        <v/>
      </c>
      <c r="R528" s="54">
        <f>IF(AND(G528&lt;=0,J528&gt;0),"Out of stock now",IF(G528&gt;=N528,"Covered to Nov 30",IF(G528+H528&gt;=N528,"Needs inbound in time","Short even with inbound")))</f>
        <v/>
      </c>
      <c r="S528" s="57" t="n">
        <v>0.286</v>
      </c>
      <c r="T528" s="59">
        <f>IF(S528="","",S528*34+S528*L528*12)</f>
        <v/>
      </c>
    </row>
    <row r="529">
      <c r="A529" s="54" t="inlineStr">
        <is>
          <t>CA DC S4</t>
        </is>
      </c>
      <c r="B529" s="54" t="inlineStr">
        <is>
          <t>CA</t>
        </is>
      </c>
      <c r="C529" s="54" t="inlineStr">
        <is>
          <t>B0CQPPJFWN</t>
        </is>
      </c>
      <c r="D529" s="54" t="inlineStr">
        <is>
          <t>SATIN-4PC-KING-DARK GREEN</t>
        </is>
      </c>
      <c r="E529" s="54" t="inlineStr">
        <is>
          <t>King</t>
        </is>
      </c>
      <c r="F529" s="54" t="inlineStr">
        <is>
          <t>Dark Green</t>
        </is>
      </c>
      <c r="G529" s="55" t="n">
        <v>30</v>
      </c>
      <c r="H529" s="55" t="n">
        <v>0</v>
      </c>
      <c r="I529" s="56" t="n"/>
      <c r="J529" s="57" t="n">
        <v>0.42</v>
      </c>
      <c r="K529" s="56" t="inlineStr">
        <is>
          <t>account data velocity</t>
        </is>
      </c>
      <c r="L529" s="58" t="n">
        <v>3.269</v>
      </c>
      <c r="M529" s="56" t="inlineStr">
        <is>
          <t>own BFCM 2025 lift (account data)</t>
        </is>
      </c>
      <c r="N529" s="59">
        <f>J529*34+J529*L529*12</f>
        <v/>
      </c>
      <c r="O529" s="59">
        <f>MAX(0,N529-G529-H529)</f>
        <v/>
      </c>
      <c r="P529" s="60">
        <f>IF(J529=0,"",IF(G529&lt;J529*34,DATE(2026,10,15)+G529/J529,IF(G529&lt;N529,DATE(2026,11,18)+(G529-J529*34)/(J529*L529),"after Nov 30")))</f>
        <v/>
      </c>
      <c r="Q529" s="60">
        <f>IF(J529=0,"",IF(G529+H529&lt;J529*34,DATE(2026,10,15)+(G529+H529)/J529,IF(G529+H529&lt;N529,DATE(2026,11,18)+(G529+H529-J529*34)/(J529*L529),"after Nov 30")))</f>
        <v/>
      </c>
      <c r="R529" s="54">
        <f>IF(AND(G529&lt;=0,J529&gt;0),"Out of stock now",IF(G529&gt;=N529,"Covered to Nov 30",IF(G529+H529&gt;=N529,"Needs inbound in time","Short even with inbound")))</f>
        <v/>
      </c>
      <c r="S529" s="57" t="n">
        <v>0.107</v>
      </c>
      <c r="T529" s="59">
        <f>IF(S529="","",S529*34+S529*L529*12)</f>
        <v/>
      </c>
    </row>
    <row r="530">
      <c r="A530" s="54" t="inlineStr">
        <is>
          <t>CA DC S4</t>
        </is>
      </c>
      <c r="B530" s="54" t="inlineStr">
        <is>
          <t>CA</t>
        </is>
      </c>
      <c r="C530" s="54" t="inlineStr">
        <is>
          <t>B0CQRZ6JQ3</t>
        </is>
      </c>
      <c r="D530" s="54" t="inlineStr">
        <is>
          <t>SATIN-4PC-QUEEN-BURNT ORANGE</t>
        </is>
      </c>
      <c r="E530" s="54" t="inlineStr">
        <is>
          <t>Queen</t>
        </is>
      </c>
      <c r="F530" s="54" t="inlineStr">
        <is>
          <t>Burnt Orange</t>
        </is>
      </c>
      <c r="G530" s="55" t="n">
        <v>0</v>
      </c>
      <c r="H530" s="55" t="n">
        <v>0</v>
      </c>
      <c r="I530" s="56" t="n"/>
      <c r="J530" s="57" t="n">
        <v>0.36</v>
      </c>
      <c r="K530" s="56" t="inlineStr">
        <is>
          <t>account data velocity</t>
        </is>
      </c>
      <c r="L530" s="58" t="n">
        <v>3.269</v>
      </c>
      <c r="M530" s="56" t="inlineStr">
        <is>
          <t>own BFCM 2025 lift (account data)</t>
        </is>
      </c>
      <c r="N530" s="59">
        <f>J530*34+J530*L530*12</f>
        <v/>
      </c>
      <c r="O530" s="59">
        <f>MAX(0,N530-G530-H530)</f>
        <v/>
      </c>
      <c r="P530" s="60">
        <f>IF(J530=0,"",IF(G530&lt;J530*34,DATE(2026,10,15)+G530/J530,IF(G530&lt;N530,DATE(2026,11,18)+(G530-J530*34)/(J530*L530),"after Nov 30")))</f>
        <v/>
      </c>
      <c r="Q530" s="60">
        <f>IF(J530=0,"",IF(G530+H530&lt;J530*34,DATE(2026,10,15)+(G530+H530)/J530,IF(G530+H530&lt;N530,DATE(2026,11,18)+(G530+H530-J530*34)/(J530*L530),"after Nov 30")))</f>
        <v/>
      </c>
      <c r="R530" s="54">
        <f>IF(AND(G530&lt;=0,J530&gt;0),"Out of stock now",IF(G530&gt;=N530,"Covered to Nov 30",IF(G530+H530&gt;=N530,"Needs inbound in time","Short even with inbound")))</f>
        <v/>
      </c>
      <c r="S530" s="57" t="n">
        <v>0.143</v>
      </c>
      <c r="T530" s="59">
        <f>IF(S530="","",S530*34+S530*L530*12)</f>
        <v/>
      </c>
    </row>
    <row r="531">
      <c r="A531" s="54" t="inlineStr">
        <is>
          <t>CA DC S4</t>
        </is>
      </c>
      <c r="B531" s="54" t="inlineStr">
        <is>
          <t>CA</t>
        </is>
      </c>
      <c r="C531" s="54" t="inlineStr">
        <is>
          <t>B0BG1YXQGT</t>
        </is>
      </c>
      <c r="D531" s="54" t="inlineStr">
        <is>
          <t>SATIN-IVORY-QUEEN</t>
        </is>
      </c>
      <c r="E531" s="54" t="inlineStr">
        <is>
          <t>Queen</t>
        </is>
      </c>
      <c r="F531" s="54" t="inlineStr">
        <is>
          <t>Ivory</t>
        </is>
      </c>
      <c r="G531" s="55" t="n">
        <v>6</v>
      </c>
      <c r="H531" s="55" t="n">
        <v>10</v>
      </c>
      <c r="I531" s="56" t="inlineStr">
        <is>
          <t>FBA19KGF9QJN shipped: 10</t>
        </is>
      </c>
      <c r="J531" s="57" t="n">
        <v>0.34</v>
      </c>
      <c r="K531" s="56" t="inlineStr">
        <is>
          <t>account data velocity</t>
        </is>
      </c>
      <c r="L531" s="58" t="n">
        <v>3.269</v>
      </c>
      <c r="M531" s="56" t="inlineStr">
        <is>
          <t>own BFCM 2025 lift (account data)</t>
        </is>
      </c>
      <c r="N531" s="59">
        <f>J531*34+J531*L531*12</f>
        <v/>
      </c>
      <c r="O531" s="59">
        <f>MAX(0,N531-G531-H531)</f>
        <v/>
      </c>
      <c r="P531" s="60">
        <f>IF(J531=0,"",IF(G531&lt;J531*34,DATE(2026,10,15)+G531/J531,IF(G531&lt;N531,DATE(2026,11,18)+(G531-J531*34)/(J531*L531),"after Nov 30")))</f>
        <v/>
      </c>
      <c r="Q531" s="60">
        <f>IF(J531=0,"",IF(G531+H531&lt;J531*34,DATE(2026,10,15)+(G531+H531)/J531,IF(G531+H531&lt;N531,DATE(2026,11,18)+(G531+H531-J531*34)/(J531*L531),"after Nov 30")))</f>
        <v/>
      </c>
      <c r="R531" s="54">
        <f>IF(AND(G531&lt;=0,J531&gt;0),"Out of stock now",IF(G531&gt;=N531,"Covered to Nov 30",IF(G531+H531&gt;=N531,"Needs inbound in time","Short even with inbound")))</f>
        <v/>
      </c>
      <c r="S531" s="57" t="n">
        <v>0.25</v>
      </c>
      <c r="T531" s="59">
        <f>IF(S531="","",S531*34+S531*L531*12)</f>
        <v/>
      </c>
    </row>
    <row r="532">
      <c r="A532" s="54" t="inlineStr">
        <is>
          <t>CA DC S4</t>
        </is>
      </c>
      <c r="B532" s="54" t="inlineStr">
        <is>
          <t>CA</t>
        </is>
      </c>
      <c r="C532" s="54" t="inlineStr">
        <is>
          <t>B08KRHBD49</t>
        </is>
      </c>
      <c r="D532" s="54" t="inlineStr">
        <is>
          <t>SATIN-RED-FULL</t>
        </is>
      </c>
      <c r="E532" s="54" t="inlineStr">
        <is>
          <t>Full</t>
        </is>
      </c>
      <c r="F532" s="54" t="inlineStr">
        <is>
          <t>Red</t>
        </is>
      </c>
      <c r="G532" s="55" t="n">
        <v>7</v>
      </c>
      <c r="H532" s="55" t="n">
        <v>0</v>
      </c>
      <c r="I532" s="56" t="n"/>
      <c r="J532" s="57" t="n">
        <v>0.31</v>
      </c>
      <c r="K532" s="56" t="inlineStr">
        <is>
          <t>account data velocity</t>
        </is>
      </c>
      <c r="L532" s="58" t="n">
        <v>3.269</v>
      </c>
      <c r="M532" s="56" t="inlineStr">
        <is>
          <t>own BFCM 2025 lift (account data)</t>
        </is>
      </c>
      <c r="N532" s="59">
        <f>J532*34+J532*L532*12</f>
        <v/>
      </c>
      <c r="O532" s="59">
        <f>MAX(0,N532-G532-H532)</f>
        <v/>
      </c>
      <c r="P532" s="60">
        <f>IF(J532=0,"",IF(G532&lt;J532*34,DATE(2026,10,15)+G532/J532,IF(G532&lt;N532,DATE(2026,11,18)+(G532-J532*34)/(J532*L532),"after Nov 30")))</f>
        <v/>
      </c>
      <c r="Q532" s="60">
        <f>IF(J532=0,"",IF(G532+H532&lt;J532*34,DATE(2026,10,15)+(G532+H532)/J532,IF(G532+H532&lt;N532,DATE(2026,11,18)+(G532+H532-J532*34)/(J532*L532),"after Nov 30")))</f>
        <v/>
      </c>
      <c r="R532" s="54">
        <f>IF(AND(G532&lt;=0,J532&gt;0),"Out of stock now",IF(G532&gt;=N532,"Covered to Nov 30",IF(G532+H532&gt;=N532,"Needs inbound in time","Short even with inbound")))</f>
        <v/>
      </c>
      <c r="S532" s="57" t="n">
        <v>0.321</v>
      </c>
      <c r="T532" s="59">
        <f>IF(S532="","",S532*34+S532*L532*12)</f>
        <v/>
      </c>
    </row>
    <row r="533">
      <c r="A533" s="54" t="inlineStr">
        <is>
          <t>CA DC S4</t>
        </is>
      </c>
      <c r="B533" s="54" t="inlineStr">
        <is>
          <t>CA</t>
        </is>
      </c>
      <c r="C533" s="54" t="inlineStr">
        <is>
          <t>B0BZPV84V7</t>
        </is>
      </c>
      <c r="D533" s="54" t="inlineStr">
        <is>
          <t>SATIN-CHAMPAGNE-QUEEN</t>
        </is>
      </c>
      <c r="E533" s="54" t="inlineStr">
        <is>
          <t>Queen</t>
        </is>
      </c>
      <c r="F533" s="54" t="inlineStr">
        <is>
          <t>Champagne</t>
        </is>
      </c>
      <c r="G533" s="55" t="n">
        <v>65</v>
      </c>
      <c r="H533" s="55" t="n">
        <v>0</v>
      </c>
      <c r="I533" s="56" t="n"/>
      <c r="J533" s="57" t="n">
        <v>0.31</v>
      </c>
      <c r="K533" s="56" t="inlineStr">
        <is>
          <t>account data velocity</t>
        </is>
      </c>
      <c r="L533" s="58" t="n">
        <v>3.269</v>
      </c>
      <c r="M533" s="56" t="inlineStr">
        <is>
          <t>own BFCM 2025 lift (account data)</t>
        </is>
      </c>
      <c r="N533" s="59">
        <f>J533*34+J533*L533*12</f>
        <v/>
      </c>
      <c r="O533" s="59">
        <f>MAX(0,N533-G533-H533)</f>
        <v/>
      </c>
      <c r="P533" s="60">
        <f>IF(J533=0,"",IF(G533&lt;J533*34,DATE(2026,10,15)+G533/J533,IF(G533&lt;N533,DATE(2026,11,18)+(G533-J533*34)/(J533*L533),"after Nov 30")))</f>
        <v/>
      </c>
      <c r="Q533" s="60">
        <f>IF(J533=0,"",IF(G533+H533&lt;J533*34,DATE(2026,10,15)+(G533+H533)/J533,IF(G533+H533&lt;N533,DATE(2026,11,18)+(G533+H533-J533*34)/(J533*L533),"after Nov 30")))</f>
        <v/>
      </c>
      <c r="R533" s="54">
        <f>IF(AND(G533&lt;=0,J533&gt;0),"Out of stock now",IF(G533&gt;=N533,"Covered to Nov 30",IF(G533+H533&gt;=N533,"Needs inbound in time","Short even with inbound")))</f>
        <v/>
      </c>
      <c r="S533" s="57" t="n">
        <v>0.143</v>
      </c>
      <c r="T533" s="59">
        <f>IF(S533="","",S533*34+S533*L533*12)</f>
        <v/>
      </c>
    </row>
    <row r="534">
      <c r="A534" s="54" t="inlineStr">
        <is>
          <t>CA DC S4</t>
        </is>
      </c>
      <c r="B534" s="54" t="inlineStr">
        <is>
          <t>CA</t>
        </is>
      </c>
      <c r="C534" s="54" t="inlineStr">
        <is>
          <t>B0CQRWSS2D</t>
        </is>
      </c>
      <c r="D534" s="54" t="inlineStr">
        <is>
          <t>SATIN-4PC-QUEEN-SAGE GREEN</t>
        </is>
      </c>
      <c r="E534" s="54" t="inlineStr">
        <is>
          <t>Queen</t>
        </is>
      </c>
      <c r="F534" s="54" t="inlineStr">
        <is>
          <t>Sage Green</t>
        </is>
      </c>
      <c r="G534" s="55" t="n">
        <v>22</v>
      </c>
      <c r="H534" s="55" t="n">
        <v>0</v>
      </c>
      <c r="I534" s="56" t="n"/>
      <c r="J534" s="57" t="n">
        <v>0.3</v>
      </c>
      <c r="K534" s="56" t="inlineStr">
        <is>
          <t>account data velocity</t>
        </is>
      </c>
      <c r="L534" s="58" t="n">
        <v>3.269</v>
      </c>
      <c r="M534" s="56" t="inlineStr">
        <is>
          <t>own BFCM 2025 lift (account data)</t>
        </is>
      </c>
      <c r="N534" s="59">
        <f>J534*34+J534*L534*12</f>
        <v/>
      </c>
      <c r="O534" s="59">
        <f>MAX(0,N534-G534-H534)</f>
        <v/>
      </c>
      <c r="P534" s="60">
        <f>IF(J534=0,"",IF(G534&lt;J534*34,DATE(2026,10,15)+G534/J534,IF(G534&lt;N534,DATE(2026,11,18)+(G534-J534*34)/(J534*L534),"after Nov 30")))</f>
        <v/>
      </c>
      <c r="Q534" s="60">
        <f>IF(J534=0,"",IF(G534+H534&lt;J534*34,DATE(2026,10,15)+(G534+H534)/J534,IF(G534+H534&lt;N534,DATE(2026,11,18)+(G534+H534-J534*34)/(J534*L534),"after Nov 30")))</f>
        <v/>
      </c>
      <c r="R534" s="54">
        <f>IF(AND(G534&lt;=0,J534&gt;0),"Out of stock now",IF(G534&gt;=N534,"Covered to Nov 30",IF(G534+H534&gt;=N534,"Needs inbound in time","Short even with inbound")))</f>
        <v/>
      </c>
      <c r="S534" s="57" t="n">
        <v>0.321</v>
      </c>
      <c r="T534" s="59">
        <f>IF(S534="","",S534*34+S534*L534*12)</f>
        <v/>
      </c>
    </row>
    <row r="535">
      <c r="A535" s="54" t="inlineStr">
        <is>
          <t>CA DC S4</t>
        </is>
      </c>
      <c r="B535" s="54" t="inlineStr">
        <is>
          <t>CA</t>
        </is>
      </c>
      <c r="C535" s="54" t="inlineStr">
        <is>
          <t>B09G6K328B</t>
        </is>
      </c>
      <c r="D535" s="54" t="inlineStr">
        <is>
          <t>SATIN-STRIPE-QUEEN-WHITE</t>
        </is>
      </c>
      <c r="E535" s="54" t="inlineStr">
        <is>
          <t>Queen</t>
        </is>
      </c>
      <c r="F535" s="54" t="inlineStr">
        <is>
          <t>Striped White</t>
        </is>
      </c>
      <c r="G535" s="55" t="n">
        <v>0</v>
      </c>
      <c r="H535" s="55" t="n">
        <v>0</v>
      </c>
      <c r="I535" s="56" t="inlineStr">
        <is>
          <t>FBA19RSBKFGZ shipped: 6</t>
        </is>
      </c>
      <c r="J535" s="57" t="n">
        <v>0.3</v>
      </c>
      <c r="K535" s="56" t="inlineStr">
        <is>
          <t>account data velocity</t>
        </is>
      </c>
      <c r="L535" s="58" t="n">
        <v>3.269</v>
      </c>
      <c r="M535" s="56" t="inlineStr">
        <is>
          <t>own BFCM 2025 lift (account data)</t>
        </is>
      </c>
      <c r="N535" s="59">
        <f>J535*34+J535*L535*12</f>
        <v/>
      </c>
      <c r="O535" s="59">
        <f>MAX(0,N535-G535-H535)</f>
        <v/>
      </c>
      <c r="P535" s="60">
        <f>IF(J535=0,"",IF(G535&lt;J535*34,DATE(2026,10,15)+G535/J535,IF(G535&lt;N535,DATE(2026,11,18)+(G535-J535*34)/(J535*L535),"after Nov 30")))</f>
        <v/>
      </c>
      <c r="Q535" s="60">
        <f>IF(J535=0,"",IF(G535+H535&lt;J535*34,DATE(2026,10,15)+(G535+H535)/J535,IF(G535+H535&lt;N535,DATE(2026,11,18)+(G535+H535-J535*34)/(J535*L535),"after Nov 30")))</f>
        <v/>
      </c>
      <c r="R535" s="54">
        <f>IF(AND(G535&lt;=0,J535&gt;0),"Out of stock now",IF(G535&gt;=N535,"Covered to Nov 30",IF(G535+H535&gt;=N535,"Needs inbound in time","Short even with inbound")))</f>
        <v/>
      </c>
      <c r="S535" s="57" t="n">
        <v>0.214</v>
      </c>
      <c r="T535" s="59">
        <f>IF(S535="","",S535*34+S535*L535*12)</f>
        <v/>
      </c>
    </row>
    <row r="536">
      <c r="A536" s="54" t="inlineStr">
        <is>
          <t>CA DC S4</t>
        </is>
      </c>
      <c r="B536" s="54" t="inlineStr">
        <is>
          <t>CA</t>
        </is>
      </c>
      <c r="C536" s="54" t="inlineStr">
        <is>
          <t>B0CV4D38W9</t>
        </is>
      </c>
      <c r="D536" s="54" t="inlineStr">
        <is>
          <t>SATIN-4PC-KING-GREY</t>
        </is>
      </c>
      <c r="E536" s="54" t="inlineStr">
        <is>
          <t>King</t>
        </is>
      </c>
      <c r="F536" s="54" t="inlineStr">
        <is>
          <t>Grey</t>
        </is>
      </c>
      <c r="G536" s="55" t="n">
        <v>54</v>
      </c>
      <c r="H536" s="55" t="n">
        <v>66</v>
      </c>
      <c r="I536" s="56" t="n"/>
      <c r="J536" s="57" t="n">
        <v>0.3</v>
      </c>
      <c r="K536" s="56" t="inlineStr">
        <is>
          <t>account data velocity</t>
        </is>
      </c>
      <c r="L536" s="58" t="n">
        <v>3.269</v>
      </c>
      <c r="M536" s="56" t="inlineStr">
        <is>
          <t>own BFCM 2025 lift (account data)</t>
        </is>
      </c>
      <c r="N536" s="59">
        <f>J536*34+J536*L536*12</f>
        <v/>
      </c>
      <c r="O536" s="59">
        <f>MAX(0,N536-G536-H536)</f>
        <v/>
      </c>
      <c r="P536" s="60">
        <f>IF(J536=0,"",IF(G536&lt;J536*34,DATE(2026,10,15)+G536/J536,IF(G536&lt;N536,DATE(2026,11,18)+(G536-J536*34)/(J536*L536),"after Nov 30")))</f>
        <v/>
      </c>
      <c r="Q536" s="60">
        <f>IF(J536=0,"",IF(G536+H536&lt;J536*34,DATE(2026,10,15)+(G536+H536)/J536,IF(G536+H536&lt;N536,DATE(2026,11,18)+(G536+H536-J536*34)/(J536*L536),"after Nov 30")))</f>
        <v/>
      </c>
      <c r="R536" s="54">
        <f>IF(AND(G536&lt;=0,J536&gt;0),"Out of stock now",IF(G536&gt;=N536,"Covered to Nov 30",IF(G536+H536&gt;=N536,"Needs inbound in time","Short even with inbound")))</f>
        <v/>
      </c>
      <c r="S536" s="57" t="n">
        <v>0.179</v>
      </c>
      <c r="T536" s="59">
        <f>IF(S536="","",S536*34+S536*L536*12)</f>
        <v/>
      </c>
    </row>
    <row r="537">
      <c r="A537" s="54" t="inlineStr">
        <is>
          <t>CA DC S4</t>
        </is>
      </c>
      <c r="B537" s="54" t="inlineStr">
        <is>
          <t>CA</t>
        </is>
      </c>
      <c r="C537" s="54" t="inlineStr">
        <is>
          <t>B08KRS1K6H</t>
        </is>
      </c>
      <c r="D537" s="54" t="inlineStr">
        <is>
          <t>SATIN-WHITE-TWIN</t>
        </is>
      </c>
      <c r="E537" s="54" t="inlineStr">
        <is>
          <t>Twin</t>
        </is>
      </c>
      <c r="F537" s="54" t="inlineStr">
        <is>
          <t>White</t>
        </is>
      </c>
      <c r="G537" s="55" t="n">
        <v>27</v>
      </c>
      <c r="H537" s="55" t="n">
        <v>0</v>
      </c>
      <c r="I537" s="56" t="n"/>
      <c r="J537" s="57" t="n">
        <v>0.3</v>
      </c>
      <c r="K537" s="56" t="inlineStr">
        <is>
          <t>account data velocity</t>
        </is>
      </c>
      <c r="L537" s="58" t="n">
        <v>3.269</v>
      </c>
      <c r="M537" s="56" t="inlineStr">
        <is>
          <t>own BFCM 2025 lift (account data)</t>
        </is>
      </c>
      <c r="N537" s="59">
        <f>J537*34+J537*L537*12</f>
        <v/>
      </c>
      <c r="O537" s="59">
        <f>MAX(0,N537-G537-H537)</f>
        <v/>
      </c>
      <c r="P537" s="60">
        <f>IF(J537=0,"",IF(G537&lt;J537*34,DATE(2026,10,15)+G537/J537,IF(G537&lt;N537,DATE(2026,11,18)+(G537-J537*34)/(J537*L537),"after Nov 30")))</f>
        <v/>
      </c>
      <c r="Q537" s="60">
        <f>IF(J537=0,"",IF(G537+H537&lt;J537*34,DATE(2026,10,15)+(G537+H537)/J537,IF(G537+H537&lt;N537,DATE(2026,11,18)+(G537+H537-J537*34)/(J537*L537),"after Nov 30")))</f>
        <v/>
      </c>
      <c r="R537" s="54">
        <f>IF(AND(G537&lt;=0,J537&gt;0),"Out of stock now",IF(G537&gt;=N537,"Covered to Nov 30",IF(G537+H537&gt;=N537,"Needs inbound in time","Short even with inbound")))</f>
        <v/>
      </c>
      <c r="S537" s="57" t="n">
        <v>0.143</v>
      </c>
      <c r="T537" s="59">
        <f>IF(S537="","",S537*34+S537*L537*12)</f>
        <v/>
      </c>
    </row>
    <row r="538">
      <c r="A538" s="54" t="inlineStr">
        <is>
          <t>CA DC S4</t>
        </is>
      </c>
      <c r="B538" s="54" t="inlineStr">
        <is>
          <t>CA</t>
        </is>
      </c>
      <c r="C538" s="54" t="inlineStr">
        <is>
          <t>B0839M8LP5</t>
        </is>
      </c>
      <c r="D538" s="54" t="inlineStr">
        <is>
          <t>SATIN-TWIN-GREY</t>
        </is>
      </c>
      <c r="E538" s="54" t="inlineStr">
        <is>
          <t>Twin</t>
        </is>
      </c>
      <c r="F538" s="54" t="inlineStr">
        <is>
          <t>Grey</t>
        </is>
      </c>
      <c r="G538" s="55" t="n">
        <v>0</v>
      </c>
      <c r="H538" s="55" t="n">
        <v>0</v>
      </c>
      <c r="I538" s="56" t="n"/>
      <c r="J538" s="57" t="n">
        <v>0.3</v>
      </c>
      <c r="K538" s="56" t="inlineStr">
        <is>
          <t>account data velocity</t>
        </is>
      </c>
      <c r="L538" s="58" t="n">
        <v>3.269</v>
      </c>
      <c r="M538" s="56" t="inlineStr">
        <is>
          <t>own BFCM 2025 lift (account data)</t>
        </is>
      </c>
      <c r="N538" s="59">
        <f>J538*34+J538*L538*12</f>
        <v/>
      </c>
      <c r="O538" s="59">
        <f>MAX(0,N538-G538-H538)</f>
        <v/>
      </c>
      <c r="P538" s="60">
        <f>IF(J538=0,"",IF(G538&lt;J538*34,DATE(2026,10,15)+G538/J538,IF(G538&lt;N538,DATE(2026,11,18)+(G538-J538*34)/(J538*L538),"after Nov 30")))</f>
        <v/>
      </c>
      <c r="Q538" s="60">
        <f>IF(J538=0,"",IF(G538+H538&lt;J538*34,DATE(2026,10,15)+(G538+H538)/J538,IF(G538+H538&lt;N538,DATE(2026,11,18)+(G538+H538-J538*34)/(J538*L538),"after Nov 30")))</f>
        <v/>
      </c>
      <c r="R538" s="54">
        <f>IF(AND(G538&lt;=0,J538&gt;0),"Out of stock now",IF(G538&gt;=N538,"Covered to Nov 30",IF(G538+H538&gt;=N538,"Needs inbound in time","Short even with inbound")))</f>
        <v/>
      </c>
      <c r="S538" s="57" t="n">
        <v>0</v>
      </c>
      <c r="T538" s="59">
        <f>IF(S538="","",S538*34+S538*L538*12)</f>
        <v/>
      </c>
    </row>
    <row r="539">
      <c r="A539" s="54" t="inlineStr">
        <is>
          <t>CA DC S4</t>
        </is>
      </c>
      <c r="B539" s="54" t="inlineStr">
        <is>
          <t>CA</t>
        </is>
      </c>
      <c r="C539" s="54" t="inlineStr">
        <is>
          <t>B0BG22FCVJ</t>
        </is>
      </c>
      <c r="D539" s="54" t="inlineStr">
        <is>
          <t>SATIN-ROSEWOOD-TWIN</t>
        </is>
      </c>
      <c r="E539" s="54" t="inlineStr">
        <is>
          <t>Twin</t>
        </is>
      </c>
      <c r="F539" s="54" t="inlineStr">
        <is>
          <t>Rosewood</t>
        </is>
      </c>
      <c r="G539" s="55" t="n">
        <v>0</v>
      </c>
      <c r="H539" s="55" t="n">
        <v>0</v>
      </c>
      <c r="I539" s="56" t="n"/>
      <c r="J539" s="57" t="n">
        <v>0.28</v>
      </c>
      <c r="K539" s="56" t="inlineStr">
        <is>
          <t>account data velocity</t>
        </is>
      </c>
      <c r="L539" s="58" t="n">
        <v>3.269</v>
      </c>
      <c r="M539" s="56" t="inlineStr">
        <is>
          <t>own BFCM 2025 lift (account data)</t>
        </is>
      </c>
      <c r="N539" s="59">
        <f>J539*34+J539*L539*12</f>
        <v/>
      </c>
      <c r="O539" s="59">
        <f>MAX(0,N539-G539-H539)</f>
        <v/>
      </c>
      <c r="P539" s="60">
        <f>IF(J539=0,"",IF(G539&lt;J539*34,DATE(2026,10,15)+G539/J539,IF(G539&lt;N539,DATE(2026,11,18)+(G539-J539*34)/(J539*L539),"after Nov 30")))</f>
        <v/>
      </c>
      <c r="Q539" s="60">
        <f>IF(J539=0,"",IF(G539+H539&lt;J539*34,DATE(2026,10,15)+(G539+H539)/J539,IF(G539+H539&lt;N539,DATE(2026,11,18)+(G539+H539-J539*34)/(J539*L539),"after Nov 30")))</f>
        <v/>
      </c>
      <c r="R539" s="54">
        <f>IF(AND(G539&lt;=0,J539&gt;0),"Out of stock now",IF(G539&gt;=N539,"Covered to Nov 30",IF(G539+H539&gt;=N539,"Needs inbound in time","Short even with inbound")))</f>
        <v/>
      </c>
      <c r="S539" s="57" t="n">
        <v>0.036</v>
      </c>
      <c r="T539" s="59">
        <f>IF(S539="","",S539*34+S539*L539*12)</f>
        <v/>
      </c>
    </row>
    <row r="540">
      <c r="A540" s="54" t="inlineStr">
        <is>
          <t>CA DC S4</t>
        </is>
      </c>
      <c r="B540" s="54" t="inlineStr">
        <is>
          <t>CA</t>
        </is>
      </c>
      <c r="C540" s="54" t="inlineStr">
        <is>
          <t>B0CQRYGLY3</t>
        </is>
      </c>
      <c r="D540" s="54" t="inlineStr">
        <is>
          <t>SATIN-4PC-FULL-NAVY BLUE</t>
        </is>
      </c>
      <c r="E540" s="54" t="inlineStr">
        <is>
          <t>Full</t>
        </is>
      </c>
      <c r="F540" s="54" t="inlineStr">
        <is>
          <t>Navy Blue</t>
        </is>
      </c>
      <c r="G540" s="55" t="n">
        <v>32</v>
      </c>
      <c r="H540" s="55" t="n">
        <v>96</v>
      </c>
      <c r="I540" s="56" t="inlineStr">
        <is>
          <t>FBA19MV0YVFX shipped: 96</t>
        </is>
      </c>
      <c r="J540" s="57" t="n">
        <v>0.27</v>
      </c>
      <c r="K540" s="56" t="inlineStr">
        <is>
          <t>account data velocity</t>
        </is>
      </c>
      <c r="L540" s="58" t="n">
        <v>3.269</v>
      </c>
      <c r="M540" s="56" t="inlineStr">
        <is>
          <t>own BFCM 2025 lift (account data)</t>
        </is>
      </c>
      <c r="N540" s="59">
        <f>J540*34+J540*L540*12</f>
        <v/>
      </c>
      <c r="O540" s="59">
        <f>MAX(0,N540-G540-H540)</f>
        <v/>
      </c>
      <c r="P540" s="60">
        <f>IF(J540=0,"",IF(G540&lt;J540*34,DATE(2026,10,15)+G540/J540,IF(G540&lt;N540,DATE(2026,11,18)+(G540-J540*34)/(J540*L540),"after Nov 30")))</f>
        <v/>
      </c>
      <c r="Q540" s="60">
        <f>IF(J540=0,"",IF(G540+H540&lt;J540*34,DATE(2026,10,15)+(G540+H540)/J540,IF(G540+H540&lt;N540,DATE(2026,11,18)+(G540+H540-J540*34)/(J540*L540),"after Nov 30")))</f>
        <v/>
      </c>
      <c r="R540" s="54">
        <f>IF(AND(G540&lt;=0,J540&gt;0),"Out of stock now",IF(G540&gt;=N540,"Covered to Nov 30",IF(G540+H540&gt;=N540,"Needs inbound in time","Short even with inbound")))</f>
        <v/>
      </c>
      <c r="S540" s="57" t="n">
        <v>0.286</v>
      </c>
      <c r="T540" s="59">
        <f>IF(S540="","",S540*34+S540*L540*12)</f>
        <v/>
      </c>
    </row>
    <row r="541">
      <c r="A541" s="54" t="inlineStr">
        <is>
          <t>CA DC S4</t>
        </is>
      </c>
      <c r="B541" s="54" t="inlineStr">
        <is>
          <t>CA</t>
        </is>
      </c>
      <c r="C541" s="54" t="inlineStr">
        <is>
          <t>B0CQRZ6KRR</t>
        </is>
      </c>
      <c r="D541" s="54" t="inlineStr">
        <is>
          <t>SATIN-3PC-TWIN-NAVY BLUE</t>
        </is>
      </c>
      <c r="E541" s="54" t="inlineStr">
        <is>
          <t>Twin</t>
        </is>
      </c>
      <c r="F541" s="54" t="inlineStr">
        <is>
          <t>Navy Blue</t>
        </is>
      </c>
      <c r="G541" s="55" t="n">
        <v>0</v>
      </c>
      <c r="H541" s="55" t="n">
        <v>0</v>
      </c>
      <c r="I541" s="56" t="n"/>
      <c r="J541" s="57" t="n">
        <v>0.26</v>
      </c>
      <c r="K541" s="56" t="inlineStr">
        <is>
          <t>account data velocity</t>
        </is>
      </c>
      <c r="L541" s="58" t="n">
        <v>3.269</v>
      </c>
      <c r="M541" s="56" t="inlineStr">
        <is>
          <t>own BFCM 2025 lift (account data)</t>
        </is>
      </c>
      <c r="N541" s="59">
        <f>J541*34+J541*L541*12</f>
        <v/>
      </c>
      <c r="O541" s="59">
        <f>MAX(0,N541-G541-H541)</f>
        <v/>
      </c>
      <c r="P541" s="60">
        <f>IF(J541=0,"",IF(G541&lt;J541*34,DATE(2026,10,15)+G541/J541,IF(G541&lt;N541,DATE(2026,11,18)+(G541-J541*34)/(J541*L541),"after Nov 30")))</f>
        <v/>
      </c>
      <c r="Q541" s="60">
        <f>IF(J541=0,"",IF(G541+H541&lt;J541*34,DATE(2026,10,15)+(G541+H541)/J541,IF(G541+H541&lt;N541,DATE(2026,11,18)+(G541+H541-J541*34)/(J541*L541),"after Nov 30")))</f>
        <v/>
      </c>
      <c r="R541" s="54">
        <f>IF(AND(G541&lt;=0,J541&gt;0),"Out of stock now",IF(G541&gt;=N541,"Covered to Nov 30",IF(G541+H541&gt;=N541,"Needs inbound in time","Short even with inbound")))</f>
        <v/>
      </c>
      <c r="S541" s="57" t="n">
        <v>0.179</v>
      </c>
      <c r="T541" s="59">
        <f>IF(S541="","",S541*34+S541*L541*12)</f>
        <v/>
      </c>
    </row>
    <row r="542">
      <c r="A542" s="54" t="inlineStr">
        <is>
          <t>CA DC S4</t>
        </is>
      </c>
      <c r="B542" s="54" t="inlineStr">
        <is>
          <t>CA</t>
        </is>
      </c>
      <c r="C542" s="54" t="inlineStr">
        <is>
          <t>B0839KG4VY</t>
        </is>
      </c>
      <c r="D542" s="54" t="inlineStr">
        <is>
          <t>SATIN-TWIN-BLUE</t>
        </is>
      </c>
      <c r="E542" s="54" t="inlineStr">
        <is>
          <t>Twin</t>
        </is>
      </c>
      <c r="F542" s="54" t="inlineStr">
        <is>
          <t>Blue</t>
        </is>
      </c>
      <c r="G542" s="55" t="n">
        <v>0</v>
      </c>
      <c r="H542" s="55" t="n">
        <v>0</v>
      </c>
      <c r="I542" s="56" t="n"/>
      <c r="J542" s="57" t="n">
        <v>0.25</v>
      </c>
      <c r="K542" s="56" t="inlineStr">
        <is>
          <t>account data velocity</t>
        </is>
      </c>
      <c r="L542" s="58" t="n">
        <v>3.269</v>
      </c>
      <c r="M542" s="56" t="inlineStr">
        <is>
          <t>own BFCM 2025 lift (account data)</t>
        </is>
      </c>
      <c r="N542" s="59">
        <f>J542*34+J542*L542*12</f>
        <v/>
      </c>
      <c r="O542" s="59">
        <f>MAX(0,N542-G542-H542)</f>
        <v/>
      </c>
      <c r="P542" s="60">
        <f>IF(J542=0,"",IF(G542&lt;J542*34,DATE(2026,10,15)+G542/J542,IF(G542&lt;N542,DATE(2026,11,18)+(G542-J542*34)/(J542*L542),"after Nov 30")))</f>
        <v/>
      </c>
      <c r="Q542" s="60">
        <f>IF(J542=0,"",IF(G542+H542&lt;J542*34,DATE(2026,10,15)+(G542+H542)/J542,IF(G542+H542&lt;N542,DATE(2026,11,18)+(G542+H542-J542*34)/(J542*L542),"after Nov 30")))</f>
        <v/>
      </c>
      <c r="R542" s="54">
        <f>IF(AND(G542&lt;=0,J542&gt;0),"Out of stock now",IF(G542&gt;=N542,"Covered to Nov 30",IF(G542+H542&gt;=N542,"Needs inbound in time","Short even with inbound")))</f>
        <v/>
      </c>
      <c r="S542" s="57" t="n">
        <v>0.143</v>
      </c>
      <c r="T542" s="59">
        <f>IF(S542="","",S542*34+S542*L542*12)</f>
        <v/>
      </c>
    </row>
    <row r="543">
      <c r="A543" s="54" t="inlineStr">
        <is>
          <t>CA DC S4</t>
        </is>
      </c>
      <c r="B543" s="54" t="inlineStr">
        <is>
          <t>CA</t>
        </is>
      </c>
      <c r="C543" s="54" t="inlineStr">
        <is>
          <t>B0CNS8T4ZK</t>
        </is>
      </c>
      <c r="D543" s="54" t="inlineStr">
        <is>
          <t>SATIN-QUEEN-BLUSH PINK</t>
        </is>
      </c>
      <c r="E543" s="54" t="inlineStr">
        <is>
          <t>Queen</t>
        </is>
      </c>
      <c r="F543" s="54" t="inlineStr">
        <is>
          <t>Blush Pink</t>
        </is>
      </c>
      <c r="G543" s="55" t="n">
        <v>64</v>
      </c>
      <c r="H543" s="55" t="n">
        <v>0</v>
      </c>
      <c r="I543" s="56" t="n"/>
      <c r="J543" s="57" t="n">
        <v>0.24</v>
      </c>
      <c r="K543" s="56" t="inlineStr">
        <is>
          <t>account data velocity</t>
        </is>
      </c>
      <c r="L543" s="58" t="n">
        <v>3.269</v>
      </c>
      <c r="M543" s="56" t="inlineStr">
        <is>
          <t>own BFCM 2025 lift (account data)</t>
        </is>
      </c>
      <c r="N543" s="59">
        <f>J543*34+J543*L543*12</f>
        <v/>
      </c>
      <c r="O543" s="59">
        <f>MAX(0,N543-G543-H543)</f>
        <v/>
      </c>
      <c r="P543" s="60">
        <f>IF(J543=0,"",IF(G543&lt;J543*34,DATE(2026,10,15)+G543/J543,IF(G543&lt;N543,DATE(2026,11,18)+(G543-J543*34)/(J543*L543),"after Nov 30")))</f>
        <v/>
      </c>
      <c r="Q543" s="60">
        <f>IF(J543=0,"",IF(G543+H543&lt;J543*34,DATE(2026,10,15)+(G543+H543)/J543,IF(G543+H543&lt;N543,DATE(2026,11,18)+(G543+H543-J543*34)/(J543*L543),"after Nov 30")))</f>
        <v/>
      </c>
      <c r="R543" s="54">
        <f>IF(AND(G543&lt;=0,J543&gt;0),"Out of stock now",IF(G543&gt;=N543,"Covered to Nov 30",IF(G543+H543&gt;=N543,"Needs inbound in time","Short even with inbound")))</f>
        <v/>
      </c>
      <c r="S543" s="57" t="n">
        <v>0.321</v>
      </c>
      <c r="T543" s="59">
        <f>IF(S543="","",S543*34+S543*L543*12)</f>
        <v/>
      </c>
    </row>
    <row r="544">
      <c r="A544" s="54" t="inlineStr">
        <is>
          <t>CA DC S4</t>
        </is>
      </c>
      <c r="B544" s="54" t="inlineStr">
        <is>
          <t>CA</t>
        </is>
      </c>
      <c r="C544" s="54" t="inlineStr">
        <is>
          <t>B0CQRX1Q8Z</t>
        </is>
      </c>
      <c r="D544" s="54" t="inlineStr">
        <is>
          <t>SATIN-4PC-KING-LAVENDER</t>
        </is>
      </c>
      <c r="E544" s="54" t="inlineStr">
        <is>
          <t>King</t>
        </is>
      </c>
      <c r="F544" s="54" t="inlineStr">
        <is>
          <t>Lavender</t>
        </is>
      </c>
      <c r="G544" s="55" t="n">
        <v>26</v>
      </c>
      <c r="H544" s="55" t="n">
        <v>0</v>
      </c>
      <c r="I544" s="56" t="n"/>
      <c r="J544" s="57" t="n">
        <v>0.24</v>
      </c>
      <c r="K544" s="56" t="inlineStr">
        <is>
          <t>account data velocity</t>
        </is>
      </c>
      <c r="L544" s="58" t="n">
        <v>3.269</v>
      </c>
      <c r="M544" s="56" t="inlineStr">
        <is>
          <t>own BFCM 2025 lift (account data)</t>
        </is>
      </c>
      <c r="N544" s="59">
        <f>J544*34+J544*L544*12</f>
        <v/>
      </c>
      <c r="O544" s="59">
        <f>MAX(0,N544-G544-H544)</f>
        <v/>
      </c>
      <c r="P544" s="60">
        <f>IF(J544=0,"",IF(G544&lt;J544*34,DATE(2026,10,15)+G544/J544,IF(G544&lt;N544,DATE(2026,11,18)+(G544-J544*34)/(J544*L544),"after Nov 30")))</f>
        <v/>
      </c>
      <c r="Q544" s="60">
        <f>IF(J544=0,"",IF(G544+H544&lt;J544*34,DATE(2026,10,15)+(G544+H544)/J544,IF(G544+H544&lt;N544,DATE(2026,11,18)+(G544+H544-J544*34)/(J544*L544),"after Nov 30")))</f>
        <v/>
      </c>
      <c r="R544" s="54">
        <f>IF(AND(G544&lt;=0,J544&gt;0),"Out of stock now",IF(G544&gt;=N544,"Covered to Nov 30",IF(G544+H544&gt;=N544,"Needs inbound in time","Short even with inbound")))</f>
        <v/>
      </c>
      <c r="S544" s="57" t="n">
        <v>0.107</v>
      </c>
      <c r="T544" s="59">
        <f>IF(S544="","",S544*34+S544*L544*12)</f>
        <v/>
      </c>
    </row>
    <row r="545">
      <c r="A545" s="54" t="inlineStr">
        <is>
          <t>CA DC S4</t>
        </is>
      </c>
      <c r="B545" s="54" t="inlineStr">
        <is>
          <t>CA</t>
        </is>
      </c>
      <c r="C545" s="54" t="inlineStr">
        <is>
          <t>B0839L7PJL</t>
        </is>
      </c>
      <c r="D545" s="54" t="inlineStr">
        <is>
          <t>SATIN-TWIN-BLACK-NEW</t>
        </is>
      </c>
      <c r="E545" s="54" t="inlineStr">
        <is>
          <t>Twin</t>
        </is>
      </c>
      <c r="F545" s="54" t="inlineStr">
        <is>
          <t>Black</t>
        </is>
      </c>
      <c r="G545" s="55" t="n">
        <v>3</v>
      </c>
      <c r="H545" s="55" t="n">
        <v>0</v>
      </c>
      <c r="I545" s="56" t="n"/>
      <c r="J545" s="57" t="n">
        <v>0.24</v>
      </c>
      <c r="K545" s="56" t="inlineStr">
        <is>
          <t>account data velocity</t>
        </is>
      </c>
      <c r="L545" s="58" t="n">
        <v>3.269</v>
      </c>
      <c r="M545" s="56" t="inlineStr">
        <is>
          <t>own BFCM 2025 lift (account data)</t>
        </is>
      </c>
      <c r="N545" s="59">
        <f>J545*34+J545*L545*12</f>
        <v/>
      </c>
      <c r="O545" s="59">
        <f>MAX(0,N545-G545-H545)</f>
        <v/>
      </c>
      <c r="P545" s="60">
        <f>IF(J545=0,"",IF(G545&lt;J545*34,DATE(2026,10,15)+G545/J545,IF(G545&lt;N545,DATE(2026,11,18)+(G545-J545*34)/(J545*L545),"after Nov 30")))</f>
        <v/>
      </c>
      <c r="Q545" s="60">
        <f>IF(J545=0,"",IF(G545+H545&lt;J545*34,DATE(2026,10,15)+(G545+H545)/J545,IF(G545+H545&lt;N545,DATE(2026,11,18)+(G545+H545-J545*34)/(J545*L545),"after Nov 30")))</f>
        <v/>
      </c>
      <c r="R545" s="54">
        <f>IF(AND(G545&lt;=0,J545&gt;0),"Out of stock now",IF(G545&gt;=N545,"Covered to Nov 30",IF(G545+H545&gt;=N545,"Needs inbound in time","Short even with inbound")))</f>
        <v/>
      </c>
      <c r="S545" s="57" t="n">
        <v>0.036</v>
      </c>
      <c r="T545" s="59">
        <f>IF(S545="","",S545*34+S545*L545*12)</f>
        <v/>
      </c>
    </row>
    <row r="546">
      <c r="A546" s="54" t="inlineStr">
        <is>
          <t>CA DC S4</t>
        </is>
      </c>
      <c r="B546" s="54" t="inlineStr">
        <is>
          <t>CA</t>
        </is>
      </c>
      <c r="C546" s="54" t="inlineStr">
        <is>
          <t>B0CNS9KLZR</t>
        </is>
      </c>
      <c r="D546" s="54" t="inlineStr">
        <is>
          <t>SATIN-KING-BLUSH PINK</t>
        </is>
      </c>
      <c r="E546" s="54" t="inlineStr">
        <is>
          <t>King</t>
        </is>
      </c>
      <c r="F546" s="54" t="inlineStr">
        <is>
          <t>Blush Pink</t>
        </is>
      </c>
      <c r="G546" s="55" t="n">
        <v>43</v>
      </c>
      <c r="H546" s="55" t="n">
        <v>0</v>
      </c>
      <c r="I546" s="56" t="n"/>
      <c r="J546" s="57" t="n">
        <v>0.23</v>
      </c>
      <c r="K546" s="56" t="inlineStr">
        <is>
          <t>account data velocity</t>
        </is>
      </c>
      <c r="L546" s="58" t="n">
        <v>3.269</v>
      </c>
      <c r="M546" s="56" t="inlineStr">
        <is>
          <t>own BFCM 2025 lift (account data)</t>
        </is>
      </c>
      <c r="N546" s="59">
        <f>J546*34+J546*L546*12</f>
        <v/>
      </c>
      <c r="O546" s="59">
        <f>MAX(0,N546-G546-H546)</f>
        <v/>
      </c>
      <c r="P546" s="60">
        <f>IF(J546=0,"",IF(G546&lt;J546*34,DATE(2026,10,15)+G546/J546,IF(G546&lt;N546,DATE(2026,11,18)+(G546-J546*34)/(J546*L546),"after Nov 30")))</f>
        <v/>
      </c>
      <c r="Q546" s="60">
        <f>IF(J546=0,"",IF(G546+H546&lt;J546*34,DATE(2026,10,15)+(G546+H546)/J546,IF(G546+H546&lt;N546,DATE(2026,11,18)+(G546+H546-J546*34)/(J546*L546),"after Nov 30")))</f>
        <v/>
      </c>
      <c r="R546" s="54">
        <f>IF(AND(G546&lt;=0,J546&gt;0),"Out of stock now",IF(G546&gt;=N546,"Covered to Nov 30",IF(G546+H546&gt;=N546,"Needs inbound in time","Short even with inbound")))</f>
        <v/>
      </c>
      <c r="S546" s="57" t="n">
        <v>0.143</v>
      </c>
      <c r="T546" s="59">
        <f>IF(S546="","",S546*34+S546*L546*12)</f>
        <v/>
      </c>
    </row>
    <row r="547">
      <c r="A547" s="54" t="inlineStr">
        <is>
          <t>CA DC S4</t>
        </is>
      </c>
      <c r="B547" s="54" t="inlineStr">
        <is>
          <t>CA</t>
        </is>
      </c>
      <c r="C547" s="54" t="inlineStr">
        <is>
          <t>B0BG225D1J</t>
        </is>
      </c>
      <c r="D547" s="54" t="inlineStr">
        <is>
          <t>SATIN-IVORY-KING</t>
        </is>
      </c>
      <c r="E547" s="54" t="inlineStr">
        <is>
          <t>King</t>
        </is>
      </c>
      <c r="F547" s="54" t="inlineStr">
        <is>
          <t>Ivory</t>
        </is>
      </c>
      <c r="G547" s="55" t="n">
        <v>12</v>
      </c>
      <c r="H547" s="55" t="n">
        <v>0</v>
      </c>
      <c r="I547" s="56" t="n"/>
      <c r="J547" s="57" t="n">
        <v>0.22</v>
      </c>
      <c r="K547" s="56" t="inlineStr">
        <is>
          <t>account data velocity</t>
        </is>
      </c>
      <c r="L547" s="58" t="n">
        <v>3.269</v>
      </c>
      <c r="M547" s="56" t="inlineStr">
        <is>
          <t>own BFCM 2025 lift (account data)</t>
        </is>
      </c>
      <c r="N547" s="59">
        <f>J547*34+J547*L547*12</f>
        <v/>
      </c>
      <c r="O547" s="59">
        <f>MAX(0,N547-G547-H547)</f>
        <v/>
      </c>
      <c r="P547" s="60">
        <f>IF(J547=0,"",IF(G547&lt;J547*34,DATE(2026,10,15)+G547/J547,IF(G547&lt;N547,DATE(2026,11,18)+(G547-J547*34)/(J547*L547),"after Nov 30")))</f>
        <v/>
      </c>
      <c r="Q547" s="60">
        <f>IF(J547=0,"",IF(G547+H547&lt;J547*34,DATE(2026,10,15)+(G547+H547)/J547,IF(G547+H547&lt;N547,DATE(2026,11,18)+(G547+H547-J547*34)/(J547*L547),"after Nov 30")))</f>
        <v/>
      </c>
      <c r="R547" s="54">
        <f>IF(AND(G547&lt;=0,J547&gt;0),"Out of stock now",IF(G547&gt;=N547,"Covered to Nov 30",IF(G547+H547&gt;=N547,"Needs inbound in time","Short even with inbound")))</f>
        <v/>
      </c>
      <c r="S547" s="57" t="n">
        <v>0.321</v>
      </c>
      <c r="T547" s="59">
        <f>IF(S547="","",S547*34+S547*L547*12)</f>
        <v/>
      </c>
    </row>
    <row r="548">
      <c r="A548" s="54" t="inlineStr">
        <is>
          <t>CA DC S4</t>
        </is>
      </c>
      <c r="B548" s="54" t="inlineStr">
        <is>
          <t>CA</t>
        </is>
      </c>
      <c r="C548" s="54" t="inlineStr">
        <is>
          <t>B0839LKZV9</t>
        </is>
      </c>
      <c r="D548" s="54" t="inlineStr">
        <is>
          <t>SATIN-KING-PURPLE</t>
        </is>
      </c>
      <c r="E548" s="54" t="inlineStr">
        <is>
          <t>King</t>
        </is>
      </c>
      <c r="F548" s="54" t="inlineStr">
        <is>
          <t>Purple</t>
        </is>
      </c>
      <c r="G548" s="55" t="n">
        <v>23</v>
      </c>
      <c r="H548" s="55" t="n">
        <v>0</v>
      </c>
      <c r="I548" s="56" t="n"/>
      <c r="J548" s="57" t="n">
        <v>0.22</v>
      </c>
      <c r="K548" s="56" t="inlineStr">
        <is>
          <t>account data velocity</t>
        </is>
      </c>
      <c r="L548" s="58" t="n">
        <v>3.269</v>
      </c>
      <c r="M548" s="56" t="inlineStr">
        <is>
          <t>own BFCM 2025 lift (account data)</t>
        </is>
      </c>
      <c r="N548" s="59">
        <f>J548*34+J548*L548*12</f>
        <v/>
      </c>
      <c r="O548" s="59">
        <f>MAX(0,N548-G548-H548)</f>
        <v/>
      </c>
      <c r="P548" s="60">
        <f>IF(J548=0,"",IF(G548&lt;J548*34,DATE(2026,10,15)+G548/J548,IF(G548&lt;N548,DATE(2026,11,18)+(G548-J548*34)/(J548*L548),"after Nov 30")))</f>
        <v/>
      </c>
      <c r="Q548" s="60">
        <f>IF(J548=0,"",IF(G548+H548&lt;J548*34,DATE(2026,10,15)+(G548+H548)/J548,IF(G548+H548&lt;N548,DATE(2026,11,18)+(G548+H548-J548*34)/(J548*L548),"after Nov 30")))</f>
        <v/>
      </c>
      <c r="R548" s="54">
        <f>IF(AND(G548&lt;=0,J548&gt;0),"Out of stock now",IF(G548&gt;=N548,"Covered to Nov 30",IF(G548+H548&gt;=N548,"Needs inbound in time","Short even with inbound")))</f>
        <v/>
      </c>
      <c r="S548" s="57" t="n">
        <v>0.25</v>
      </c>
      <c r="T548" s="59">
        <f>IF(S548="","",S548*34+S548*L548*12)</f>
        <v/>
      </c>
    </row>
    <row r="549">
      <c r="A549" s="54" t="inlineStr">
        <is>
          <t>CA DC S4</t>
        </is>
      </c>
      <c r="B549" s="54" t="inlineStr">
        <is>
          <t>CA</t>
        </is>
      </c>
      <c r="C549" s="54" t="inlineStr">
        <is>
          <t>B0CQRXNLN6</t>
        </is>
      </c>
      <c r="D549" s="54" t="inlineStr">
        <is>
          <t>SATIN-4PC-KING-NAVY BLUE</t>
        </is>
      </c>
      <c r="E549" s="54" t="inlineStr">
        <is>
          <t>King</t>
        </is>
      </c>
      <c r="F549" s="54" t="inlineStr">
        <is>
          <t>Navy Blue</t>
        </is>
      </c>
      <c r="G549" s="55" t="n">
        <v>42</v>
      </c>
      <c r="H549" s="55" t="n">
        <v>0</v>
      </c>
      <c r="I549" s="56" t="n"/>
      <c r="J549" s="57" t="n">
        <v>0.22</v>
      </c>
      <c r="K549" s="56" t="inlineStr">
        <is>
          <t>account data velocity</t>
        </is>
      </c>
      <c r="L549" s="58" t="n">
        <v>3.269</v>
      </c>
      <c r="M549" s="56" t="inlineStr">
        <is>
          <t>own BFCM 2025 lift (account data)</t>
        </is>
      </c>
      <c r="N549" s="59">
        <f>J549*34+J549*L549*12</f>
        <v/>
      </c>
      <c r="O549" s="59">
        <f>MAX(0,N549-G549-H549)</f>
        <v/>
      </c>
      <c r="P549" s="60">
        <f>IF(J549=0,"",IF(G549&lt;J549*34,DATE(2026,10,15)+G549/J549,IF(G549&lt;N549,DATE(2026,11,18)+(G549-J549*34)/(J549*L549),"after Nov 30")))</f>
        <v/>
      </c>
      <c r="Q549" s="60">
        <f>IF(J549=0,"",IF(G549+H549&lt;J549*34,DATE(2026,10,15)+(G549+H549)/J549,IF(G549+H549&lt;N549,DATE(2026,11,18)+(G549+H549-J549*34)/(J549*L549),"after Nov 30")))</f>
        <v/>
      </c>
      <c r="R549" s="54">
        <f>IF(AND(G549&lt;=0,J549&gt;0),"Out of stock now",IF(G549&gt;=N549,"Covered to Nov 30",IF(G549+H549&gt;=N549,"Needs inbound in time","Short even with inbound")))</f>
        <v/>
      </c>
      <c r="S549" s="57" t="n">
        <v>0.214</v>
      </c>
      <c r="T549" s="59">
        <f>IF(S549="","",S549*34+S549*L549*12)</f>
        <v/>
      </c>
    </row>
    <row r="550">
      <c r="A550" s="54" t="inlineStr">
        <is>
          <t>CA DC S4</t>
        </is>
      </c>
      <c r="B550" s="54" t="inlineStr">
        <is>
          <t>CA</t>
        </is>
      </c>
      <c r="C550" s="54" t="inlineStr">
        <is>
          <t>B0BZPVY39R</t>
        </is>
      </c>
      <c r="D550" s="54" t="inlineStr">
        <is>
          <t>SATIN-CHAMPAGNE-TWIN</t>
        </is>
      </c>
      <c r="E550" s="54" t="inlineStr">
        <is>
          <t>Twin</t>
        </is>
      </c>
      <c r="F550" s="54" t="inlineStr">
        <is>
          <t>Champagne</t>
        </is>
      </c>
      <c r="G550" s="55" t="n">
        <v>28</v>
      </c>
      <c r="H550" s="55" t="n">
        <v>0</v>
      </c>
      <c r="I550" s="56" t="n"/>
      <c r="J550" s="57" t="n">
        <v>0.22</v>
      </c>
      <c r="K550" s="56" t="inlineStr">
        <is>
          <t>account data velocity</t>
        </is>
      </c>
      <c r="L550" s="58" t="n">
        <v>3.269</v>
      </c>
      <c r="M550" s="56" t="inlineStr">
        <is>
          <t>own BFCM 2025 lift (account data)</t>
        </is>
      </c>
      <c r="N550" s="59">
        <f>J550*34+J550*L550*12</f>
        <v/>
      </c>
      <c r="O550" s="59">
        <f>MAX(0,N550-G550-H550)</f>
        <v/>
      </c>
      <c r="P550" s="60">
        <f>IF(J550=0,"",IF(G550&lt;J550*34,DATE(2026,10,15)+G550/J550,IF(G550&lt;N550,DATE(2026,11,18)+(G550-J550*34)/(J550*L550),"after Nov 30")))</f>
        <v/>
      </c>
      <c r="Q550" s="60">
        <f>IF(J550=0,"",IF(G550+H550&lt;J550*34,DATE(2026,10,15)+(G550+H550)/J550,IF(G550+H550&lt;N550,DATE(2026,11,18)+(G550+H550-J550*34)/(J550*L550),"after Nov 30")))</f>
        <v/>
      </c>
      <c r="R550" s="54">
        <f>IF(AND(G550&lt;=0,J550&gt;0),"Out of stock now",IF(G550&gt;=N550,"Covered to Nov 30",IF(G550+H550&gt;=N550,"Needs inbound in time","Short even with inbound")))</f>
        <v/>
      </c>
      <c r="S550" s="57" t="n">
        <v>0.036</v>
      </c>
      <c r="T550" s="59">
        <f>IF(S550="","",S550*34+S550*L550*12)</f>
        <v/>
      </c>
    </row>
    <row r="551">
      <c r="A551" s="54" t="inlineStr">
        <is>
          <t>CA DC S4</t>
        </is>
      </c>
      <c r="B551" s="54" t="inlineStr">
        <is>
          <t>CA</t>
        </is>
      </c>
      <c r="C551" s="54" t="inlineStr">
        <is>
          <t>B0CQRXLH6M</t>
        </is>
      </c>
      <c r="D551" s="54" t="inlineStr">
        <is>
          <t>SATIN-4PC-QUEEN-BABY BLUE</t>
        </is>
      </c>
      <c r="E551" s="54" t="inlineStr">
        <is>
          <t>Queen</t>
        </is>
      </c>
      <c r="F551" s="54" t="inlineStr">
        <is>
          <t>Baby Blue</t>
        </is>
      </c>
      <c r="G551" s="55" t="n">
        <v>0</v>
      </c>
      <c r="H551" s="55" t="n">
        <v>0</v>
      </c>
      <c r="I551" s="56" t="n"/>
      <c r="J551" s="57" t="n">
        <v>0.214</v>
      </c>
      <c r="K551" s="56" t="inlineStr">
        <is>
          <t>units last 28 days / 28 (no account data velocity: out of stock)</t>
        </is>
      </c>
      <c r="L551" s="58" t="n">
        <v>3.269</v>
      </c>
      <c r="M551" s="56" t="inlineStr">
        <is>
          <t>own BFCM 2025 lift (account data)</t>
        </is>
      </c>
      <c r="N551" s="59">
        <f>J551*34+J551*L551*12</f>
        <v/>
      </c>
      <c r="O551" s="59">
        <f>MAX(0,N551-G551-H551)</f>
        <v/>
      </c>
      <c r="P551" s="60">
        <f>IF(J551=0,"",IF(G551&lt;J551*34,DATE(2026,10,15)+G551/J551,IF(G551&lt;N551,DATE(2026,11,18)+(G551-J551*34)/(J551*L551),"after Nov 30")))</f>
        <v/>
      </c>
      <c r="Q551" s="60">
        <f>IF(J551=0,"",IF(G551+H551&lt;J551*34,DATE(2026,10,15)+(G551+H551)/J551,IF(G551+H551&lt;N551,DATE(2026,11,18)+(G551+H551-J551*34)/(J551*L551),"after Nov 30")))</f>
        <v/>
      </c>
      <c r="R551" s="54">
        <f>IF(AND(G551&lt;=0,J551&gt;0),"Out of stock now",IF(G551&gt;=N551,"Covered to Nov 30",IF(G551+H551&gt;=N551,"Needs inbound in time","Short even with inbound")))</f>
        <v/>
      </c>
      <c r="S551" s="57" t="n">
        <v>0.214</v>
      </c>
      <c r="T551" s="59">
        <f>IF(S551="","",S551*34+S551*L551*12)</f>
        <v/>
      </c>
    </row>
    <row r="552">
      <c r="A552" s="54" t="inlineStr">
        <is>
          <t>CA DC S4</t>
        </is>
      </c>
      <c r="B552" s="54" t="inlineStr">
        <is>
          <t>CA</t>
        </is>
      </c>
      <c r="C552" s="54" t="inlineStr">
        <is>
          <t>B09G6KCTXW</t>
        </is>
      </c>
      <c r="D552" s="54" t="inlineStr">
        <is>
          <t>SATIN-STRIPE-QUEEN-RED</t>
        </is>
      </c>
      <c r="E552" s="54" t="inlineStr">
        <is>
          <t>Queen</t>
        </is>
      </c>
      <c r="F552" s="54" t="inlineStr">
        <is>
          <t>Striped Red</t>
        </is>
      </c>
      <c r="G552" s="55" t="n">
        <v>84</v>
      </c>
      <c r="H552" s="55" t="n">
        <v>0</v>
      </c>
      <c r="I552" s="56" t="n"/>
      <c r="J552" s="57" t="n">
        <v>0.21</v>
      </c>
      <c r="K552" s="56" t="inlineStr">
        <is>
          <t>account data velocity</t>
        </is>
      </c>
      <c r="L552" s="58" t="n">
        <v>3.269</v>
      </c>
      <c r="M552" s="56" t="inlineStr">
        <is>
          <t>own BFCM 2025 lift (account data)</t>
        </is>
      </c>
      <c r="N552" s="59">
        <f>J552*34+J552*L552*12</f>
        <v/>
      </c>
      <c r="O552" s="59">
        <f>MAX(0,N552-G552-H552)</f>
        <v/>
      </c>
      <c r="P552" s="60">
        <f>IF(J552=0,"",IF(G552&lt;J552*34,DATE(2026,10,15)+G552/J552,IF(G552&lt;N552,DATE(2026,11,18)+(G552-J552*34)/(J552*L552),"after Nov 30")))</f>
        <v/>
      </c>
      <c r="Q552" s="60">
        <f>IF(J552=0,"",IF(G552+H552&lt;J552*34,DATE(2026,10,15)+(G552+H552)/J552,IF(G552+H552&lt;N552,DATE(2026,11,18)+(G552+H552-J552*34)/(J552*L552),"after Nov 30")))</f>
        <v/>
      </c>
      <c r="R552" s="54">
        <f>IF(AND(G552&lt;=0,J552&gt;0),"Out of stock now",IF(G552&gt;=N552,"Covered to Nov 30",IF(G552+H552&gt;=N552,"Needs inbound in time","Short even with inbound")))</f>
        <v/>
      </c>
      <c r="S552" s="57" t="n">
        <v>0.25</v>
      </c>
      <c r="T552" s="59">
        <f>IF(S552="","",S552*34+S552*L552*12)</f>
        <v/>
      </c>
    </row>
    <row r="553">
      <c r="A553" s="54" t="inlineStr">
        <is>
          <t>CA DC S4</t>
        </is>
      </c>
      <c r="B553" s="54" t="inlineStr">
        <is>
          <t>CA</t>
        </is>
      </c>
      <c r="C553" s="54" t="inlineStr">
        <is>
          <t>B0BZPVZKVS</t>
        </is>
      </c>
      <c r="D553" s="54" t="inlineStr">
        <is>
          <t>SATIN-TAUPE-KING</t>
        </is>
      </c>
      <c r="E553" s="54" t="inlineStr">
        <is>
          <t>King</t>
        </is>
      </c>
      <c r="F553" s="54" t="inlineStr">
        <is>
          <t>Taupe</t>
        </is>
      </c>
      <c r="G553" s="55" t="n">
        <v>0</v>
      </c>
      <c r="H553" s="55" t="n">
        <v>100</v>
      </c>
      <c r="I553" s="56" t="inlineStr">
        <is>
          <t>FBA19KGF9QJN shipped: 100</t>
        </is>
      </c>
      <c r="J553" s="57" t="n">
        <v>0.21</v>
      </c>
      <c r="K553" s="56" t="inlineStr">
        <is>
          <t>account data velocity</t>
        </is>
      </c>
      <c r="L553" s="58" t="n">
        <v>3.269</v>
      </c>
      <c r="M553" s="56" t="inlineStr">
        <is>
          <t>own BFCM 2025 lift (account data)</t>
        </is>
      </c>
      <c r="N553" s="59">
        <f>J553*34+J553*L553*12</f>
        <v/>
      </c>
      <c r="O553" s="59">
        <f>MAX(0,N553-G553-H553)</f>
        <v/>
      </c>
      <c r="P553" s="60">
        <f>IF(J553=0,"",IF(G553&lt;J553*34,DATE(2026,10,15)+G553/J553,IF(G553&lt;N553,DATE(2026,11,18)+(G553-J553*34)/(J553*L553),"after Nov 30")))</f>
        <v/>
      </c>
      <c r="Q553" s="60">
        <f>IF(J553=0,"",IF(G553+H553&lt;J553*34,DATE(2026,10,15)+(G553+H553)/J553,IF(G553+H553&lt;N553,DATE(2026,11,18)+(G553+H553-J553*34)/(J553*L553),"after Nov 30")))</f>
        <v/>
      </c>
      <c r="R553" s="54">
        <f>IF(AND(G553&lt;=0,J553&gt;0),"Out of stock now",IF(G553&gt;=N553,"Covered to Nov 30",IF(G553+H553&gt;=N553,"Needs inbound in time","Short even with inbound")))</f>
        <v/>
      </c>
      <c r="S553" s="57" t="n">
        <v>0.179</v>
      </c>
      <c r="T553" s="59">
        <f>IF(S553="","",S553*34+S553*L553*12)</f>
        <v/>
      </c>
    </row>
    <row r="554">
      <c r="A554" s="54" t="inlineStr">
        <is>
          <t>CA DC S4</t>
        </is>
      </c>
      <c r="B554" s="54" t="inlineStr">
        <is>
          <t>CA</t>
        </is>
      </c>
      <c r="C554" s="54" t="inlineStr">
        <is>
          <t>B0CQRXP69H</t>
        </is>
      </c>
      <c r="D554" s="54" t="inlineStr">
        <is>
          <t>SATIN-4PC-KING-BURNT ORANGE</t>
        </is>
      </c>
      <c r="E554" s="54" t="inlineStr">
        <is>
          <t>King</t>
        </is>
      </c>
      <c r="F554" s="54" t="inlineStr">
        <is>
          <t>Burnt Orange</t>
        </is>
      </c>
      <c r="G554" s="55" t="n">
        <v>64</v>
      </c>
      <c r="H554" s="55" t="n">
        <v>6</v>
      </c>
      <c r="I554" s="56" t="n"/>
      <c r="J554" s="57" t="n">
        <v>0.21</v>
      </c>
      <c r="K554" s="56" t="inlineStr">
        <is>
          <t>account data velocity</t>
        </is>
      </c>
      <c r="L554" s="58" t="n">
        <v>3.269</v>
      </c>
      <c r="M554" s="56" t="inlineStr">
        <is>
          <t>own BFCM 2025 lift (account data)</t>
        </is>
      </c>
      <c r="N554" s="59">
        <f>J554*34+J554*L554*12</f>
        <v/>
      </c>
      <c r="O554" s="59">
        <f>MAX(0,N554-G554-H554)</f>
        <v/>
      </c>
      <c r="P554" s="60">
        <f>IF(J554=0,"",IF(G554&lt;J554*34,DATE(2026,10,15)+G554/J554,IF(G554&lt;N554,DATE(2026,11,18)+(G554-J554*34)/(J554*L554),"after Nov 30")))</f>
        <v/>
      </c>
      <c r="Q554" s="60">
        <f>IF(J554=0,"",IF(G554+H554&lt;J554*34,DATE(2026,10,15)+(G554+H554)/J554,IF(G554+H554&lt;N554,DATE(2026,11,18)+(G554+H554-J554*34)/(J554*L554),"after Nov 30")))</f>
        <v/>
      </c>
      <c r="R554" s="54">
        <f>IF(AND(G554&lt;=0,J554&gt;0),"Out of stock now",IF(G554&gt;=N554,"Covered to Nov 30",IF(G554+H554&gt;=N554,"Needs inbound in time","Short even with inbound")))</f>
        <v/>
      </c>
      <c r="S554" s="57" t="n">
        <v>0.143</v>
      </c>
      <c r="T554" s="59">
        <f>IF(S554="","",S554*34+S554*L554*12)</f>
        <v/>
      </c>
    </row>
    <row r="555">
      <c r="A555" s="54" t="inlineStr">
        <is>
          <t>CA DC S4</t>
        </is>
      </c>
      <c r="B555" s="54" t="inlineStr">
        <is>
          <t>CA</t>
        </is>
      </c>
      <c r="C555" s="54" t="inlineStr">
        <is>
          <t>B09G6K53S2</t>
        </is>
      </c>
      <c r="D555" s="54" t="inlineStr">
        <is>
          <t>SATIN-STRIPE-KING-GRAY</t>
        </is>
      </c>
      <c r="E555" s="54" t="inlineStr">
        <is>
          <t>King</t>
        </is>
      </c>
      <c r="F555" s="54" t="inlineStr">
        <is>
          <t>Striped Grey</t>
        </is>
      </c>
      <c r="G555" s="55" t="n">
        <v>0</v>
      </c>
      <c r="H555" s="55" t="n">
        <v>0</v>
      </c>
      <c r="I555" s="56" t="n"/>
      <c r="J555" s="57" t="n">
        <v>0.2</v>
      </c>
      <c r="K555" s="56" t="inlineStr">
        <is>
          <t>account data velocity</t>
        </is>
      </c>
      <c r="L555" s="58" t="n">
        <v>3.269</v>
      </c>
      <c r="M555" s="56" t="inlineStr">
        <is>
          <t>own BFCM 2025 lift (account data)</t>
        </is>
      </c>
      <c r="N555" s="59">
        <f>J555*34+J555*L555*12</f>
        <v/>
      </c>
      <c r="O555" s="59">
        <f>MAX(0,N555-G555-H555)</f>
        <v/>
      </c>
      <c r="P555" s="60">
        <f>IF(J555=0,"",IF(G555&lt;J555*34,DATE(2026,10,15)+G555/J555,IF(G555&lt;N555,DATE(2026,11,18)+(G555-J555*34)/(J555*L555),"after Nov 30")))</f>
        <v/>
      </c>
      <c r="Q555" s="60">
        <f>IF(J555=0,"",IF(G555+H555&lt;J555*34,DATE(2026,10,15)+(G555+H555)/J555,IF(G555+H555&lt;N555,DATE(2026,11,18)+(G555+H555-J555*34)/(J555*L555),"after Nov 30")))</f>
        <v/>
      </c>
      <c r="R555" s="54">
        <f>IF(AND(G555&lt;=0,J555&gt;0),"Out of stock now",IF(G555&gt;=N555,"Covered to Nov 30",IF(G555+H555&gt;=N555,"Needs inbound in time","Short even with inbound")))</f>
        <v/>
      </c>
      <c r="S555" s="57" t="n">
        <v>0.107</v>
      </c>
      <c r="T555" s="59">
        <f>IF(S555="","",S555*34+S555*L555*12)</f>
        <v/>
      </c>
    </row>
    <row r="556">
      <c r="A556" s="54" t="inlineStr">
        <is>
          <t>CA DC S4</t>
        </is>
      </c>
      <c r="B556" s="54" t="inlineStr">
        <is>
          <t>CA</t>
        </is>
      </c>
      <c r="C556" s="54" t="inlineStr">
        <is>
          <t>B0BZQ1LTK3</t>
        </is>
      </c>
      <c r="D556" s="54" t="inlineStr">
        <is>
          <t>SATIN-TAUPE-QUEEN</t>
        </is>
      </c>
      <c r="E556" s="54" t="inlineStr">
        <is>
          <t>Queen</t>
        </is>
      </c>
      <c r="F556" s="54" t="inlineStr">
        <is>
          <t>Taupe-01</t>
        </is>
      </c>
      <c r="G556" s="55" t="n">
        <v>0</v>
      </c>
      <c r="H556" s="55" t="n">
        <v>0</v>
      </c>
      <c r="I556" s="56" t="n"/>
      <c r="J556" s="57" t="n">
        <v>0.2</v>
      </c>
      <c r="K556" s="56" t="inlineStr">
        <is>
          <t>account data velocity</t>
        </is>
      </c>
      <c r="L556" s="58" t="n">
        <v>3.269</v>
      </c>
      <c r="M556" s="56" t="inlineStr">
        <is>
          <t>own BFCM 2025 lift (account data)</t>
        </is>
      </c>
      <c r="N556" s="59">
        <f>J556*34+J556*L556*12</f>
        <v/>
      </c>
      <c r="O556" s="59">
        <f>MAX(0,N556-G556-H556)</f>
        <v/>
      </c>
      <c r="P556" s="60">
        <f>IF(J556=0,"",IF(G556&lt;J556*34,DATE(2026,10,15)+G556/J556,IF(G556&lt;N556,DATE(2026,11,18)+(G556-J556*34)/(J556*L556),"after Nov 30")))</f>
        <v/>
      </c>
      <c r="Q556" s="60">
        <f>IF(J556=0,"",IF(G556+H556&lt;J556*34,DATE(2026,10,15)+(G556+H556)/J556,IF(G556+H556&lt;N556,DATE(2026,11,18)+(G556+H556-J556*34)/(J556*L556),"after Nov 30")))</f>
        <v/>
      </c>
      <c r="R556" s="54">
        <f>IF(AND(G556&lt;=0,J556&gt;0),"Out of stock now",IF(G556&gt;=N556,"Covered to Nov 30",IF(G556+H556&gt;=N556,"Needs inbound in time","Short even with inbound")))</f>
        <v/>
      </c>
      <c r="S556" s="57" t="n">
        <v>0.07099999999999999</v>
      </c>
      <c r="T556" s="59">
        <f>IF(S556="","",S556*34+S556*L556*12)</f>
        <v/>
      </c>
    </row>
    <row r="557">
      <c r="A557" s="54" t="inlineStr">
        <is>
          <t>CA DC S4</t>
        </is>
      </c>
      <c r="B557" s="54" t="inlineStr">
        <is>
          <t>CA</t>
        </is>
      </c>
      <c r="C557" s="54" t="inlineStr">
        <is>
          <t>B09G6K9C65</t>
        </is>
      </c>
      <c r="D557" s="54" t="inlineStr">
        <is>
          <t>SATIN-STRIPE-QUEEN-GOLD</t>
        </is>
      </c>
      <c r="E557" s="54" t="inlineStr">
        <is>
          <t>Queen</t>
        </is>
      </c>
      <c r="F557" s="54" t="inlineStr">
        <is>
          <t>Striped Gold</t>
        </is>
      </c>
      <c r="G557" s="55" t="n">
        <v>19</v>
      </c>
      <c r="H557" s="55" t="n">
        <v>36</v>
      </c>
      <c r="I557" s="56" t="inlineStr">
        <is>
          <t>FBA19MV0YVFX shipped: 12</t>
        </is>
      </c>
      <c r="J557" s="57" t="n">
        <v>0.19</v>
      </c>
      <c r="K557" s="56" t="inlineStr">
        <is>
          <t>account data velocity</t>
        </is>
      </c>
      <c r="L557" s="58" t="n">
        <v>3.269</v>
      </c>
      <c r="M557" s="56" t="inlineStr">
        <is>
          <t>own BFCM 2025 lift (account data)</t>
        </is>
      </c>
      <c r="N557" s="59">
        <f>J557*34+J557*L557*12</f>
        <v/>
      </c>
      <c r="O557" s="59">
        <f>MAX(0,N557-G557-H557)</f>
        <v/>
      </c>
      <c r="P557" s="60">
        <f>IF(J557=0,"",IF(G557&lt;J557*34,DATE(2026,10,15)+G557/J557,IF(G557&lt;N557,DATE(2026,11,18)+(G557-J557*34)/(J557*L557),"after Nov 30")))</f>
        <v/>
      </c>
      <c r="Q557" s="60">
        <f>IF(J557=0,"",IF(G557+H557&lt;J557*34,DATE(2026,10,15)+(G557+H557)/J557,IF(G557+H557&lt;N557,DATE(2026,11,18)+(G557+H557-J557*34)/(J557*L557),"after Nov 30")))</f>
        <v/>
      </c>
      <c r="R557" s="54">
        <f>IF(AND(G557&lt;=0,J557&gt;0),"Out of stock now",IF(G557&gt;=N557,"Covered to Nov 30",IF(G557+H557&gt;=N557,"Needs inbound in time","Short even with inbound")))</f>
        <v/>
      </c>
      <c r="S557" s="57" t="n">
        <v>0.07099999999999999</v>
      </c>
      <c r="T557" s="59">
        <f>IF(S557="","",S557*34+S557*L557*12)</f>
        <v/>
      </c>
    </row>
    <row r="558">
      <c r="A558" s="54" t="inlineStr">
        <is>
          <t>CA DC S4</t>
        </is>
      </c>
      <c r="B558" s="54" t="inlineStr">
        <is>
          <t>CA</t>
        </is>
      </c>
      <c r="C558" s="54" t="inlineStr">
        <is>
          <t>B0CQRXDZYF</t>
        </is>
      </c>
      <c r="D558" s="54" t="inlineStr">
        <is>
          <t>SATIN-4PC-QUEEN-NAVY BLUE</t>
        </is>
      </c>
      <c r="E558" s="54" t="inlineStr">
        <is>
          <t>Queen</t>
        </is>
      </c>
      <c r="F558" s="54" t="inlineStr">
        <is>
          <t>Navy Blue</t>
        </is>
      </c>
      <c r="G558" s="55" t="n">
        <v>0</v>
      </c>
      <c r="H558" s="55" t="n">
        <v>0</v>
      </c>
      <c r="I558" s="56" t="n"/>
      <c r="J558" s="57" t="n">
        <v>0.179</v>
      </c>
      <c r="K558" s="56" t="inlineStr">
        <is>
          <t>units last 28 days / 28 (no account data velocity: out of stock)</t>
        </is>
      </c>
      <c r="L558" s="58" t="n">
        <v>3.269</v>
      </c>
      <c r="M558" s="56" t="inlineStr">
        <is>
          <t>own BFCM 2025 lift (account data)</t>
        </is>
      </c>
      <c r="N558" s="59">
        <f>J558*34+J558*L558*12</f>
        <v/>
      </c>
      <c r="O558" s="59">
        <f>MAX(0,N558-G558-H558)</f>
        <v/>
      </c>
      <c r="P558" s="60">
        <f>IF(J558=0,"",IF(G558&lt;J558*34,DATE(2026,10,15)+G558/J558,IF(G558&lt;N558,DATE(2026,11,18)+(G558-J558*34)/(J558*L558),"after Nov 30")))</f>
        <v/>
      </c>
      <c r="Q558" s="60">
        <f>IF(J558=0,"",IF(G558+H558&lt;J558*34,DATE(2026,10,15)+(G558+H558)/J558,IF(G558+H558&lt;N558,DATE(2026,11,18)+(G558+H558-J558*34)/(J558*L558),"after Nov 30")))</f>
        <v/>
      </c>
      <c r="R558" s="54">
        <f>IF(AND(G558&lt;=0,J558&gt;0),"Out of stock now",IF(G558&gt;=N558,"Covered to Nov 30",IF(G558+H558&gt;=N558,"Needs inbound in time","Short even with inbound")))</f>
        <v/>
      </c>
      <c r="S558" s="57" t="n">
        <v>0.179</v>
      </c>
      <c r="T558" s="59">
        <f>IF(S558="","",S558*34+S558*L558*12)</f>
        <v/>
      </c>
    </row>
    <row r="559">
      <c r="A559" s="54" t="inlineStr">
        <is>
          <t>CA DC S4</t>
        </is>
      </c>
      <c r="B559" s="54" t="inlineStr">
        <is>
          <t>CA</t>
        </is>
      </c>
      <c r="C559" s="54" t="inlineStr">
        <is>
          <t>B0839L5PDJ</t>
        </is>
      </c>
      <c r="D559" s="54" t="inlineStr">
        <is>
          <t>SATIN-KING-BLUE</t>
        </is>
      </c>
      <c r="E559" s="54" t="inlineStr">
        <is>
          <t>King</t>
        </is>
      </c>
      <c r="F559" s="54" t="inlineStr">
        <is>
          <t>Blue</t>
        </is>
      </c>
      <c r="G559" s="55" t="n">
        <v>20</v>
      </c>
      <c r="H559" s="55" t="n">
        <v>0</v>
      </c>
      <c r="I559" s="56" t="n"/>
      <c r="J559" s="57" t="n">
        <v>0.17</v>
      </c>
      <c r="K559" s="56" t="inlineStr">
        <is>
          <t>account data velocity</t>
        </is>
      </c>
      <c r="L559" s="58" t="n">
        <v>3.269</v>
      </c>
      <c r="M559" s="56" t="inlineStr">
        <is>
          <t>own BFCM 2025 lift (account data)</t>
        </is>
      </c>
      <c r="N559" s="59">
        <f>J559*34+J559*L559*12</f>
        <v/>
      </c>
      <c r="O559" s="59">
        <f>MAX(0,N559-G559-H559)</f>
        <v/>
      </c>
      <c r="P559" s="60">
        <f>IF(J559=0,"",IF(G559&lt;J559*34,DATE(2026,10,15)+G559/J559,IF(G559&lt;N559,DATE(2026,11,18)+(G559-J559*34)/(J559*L559),"after Nov 30")))</f>
        <v/>
      </c>
      <c r="Q559" s="60">
        <f>IF(J559=0,"",IF(G559+H559&lt;J559*34,DATE(2026,10,15)+(G559+H559)/J559,IF(G559+H559&lt;N559,DATE(2026,11,18)+(G559+H559-J559*34)/(J559*L559),"after Nov 30")))</f>
        <v/>
      </c>
      <c r="R559" s="54">
        <f>IF(AND(G559&lt;=0,J559&gt;0),"Out of stock now",IF(G559&gt;=N559,"Covered to Nov 30",IF(G559+H559&gt;=N559,"Needs inbound in time","Short even with inbound")))</f>
        <v/>
      </c>
      <c r="S559" s="57" t="n">
        <v>0.143</v>
      </c>
      <c r="T559" s="59">
        <f>IF(S559="","",S559*34+S559*L559*12)</f>
        <v/>
      </c>
    </row>
    <row r="560">
      <c r="A560" s="54" t="inlineStr">
        <is>
          <t>CA DC S4</t>
        </is>
      </c>
      <c r="B560" s="54" t="inlineStr">
        <is>
          <t>CA</t>
        </is>
      </c>
      <c r="C560" s="54" t="inlineStr">
        <is>
          <t>B09G6KKSK6</t>
        </is>
      </c>
      <c r="D560" s="54" t="inlineStr">
        <is>
          <t>SATIN-STRIPE-FULL-RED</t>
        </is>
      </c>
      <c r="E560" s="54" t="inlineStr">
        <is>
          <t>Full</t>
        </is>
      </c>
      <c r="F560" s="54" t="inlineStr">
        <is>
          <t>Striped Red</t>
        </is>
      </c>
      <c r="G560" s="55" t="n">
        <v>4</v>
      </c>
      <c r="H560" s="55" t="n">
        <v>0</v>
      </c>
      <c r="I560" s="56" t="n"/>
      <c r="J560" s="57" t="n">
        <v>0.17</v>
      </c>
      <c r="K560" s="56" t="inlineStr">
        <is>
          <t>account data velocity</t>
        </is>
      </c>
      <c r="L560" s="58" t="n">
        <v>3.269</v>
      </c>
      <c r="M560" s="56" t="inlineStr">
        <is>
          <t>own BFCM 2025 lift (account data)</t>
        </is>
      </c>
      <c r="N560" s="59">
        <f>J560*34+J560*L560*12</f>
        <v/>
      </c>
      <c r="O560" s="59">
        <f>MAX(0,N560-G560-H560)</f>
        <v/>
      </c>
      <c r="P560" s="60">
        <f>IF(J560=0,"",IF(G560&lt;J560*34,DATE(2026,10,15)+G560/J560,IF(G560&lt;N560,DATE(2026,11,18)+(G560-J560*34)/(J560*L560),"after Nov 30")))</f>
        <v/>
      </c>
      <c r="Q560" s="60">
        <f>IF(J560=0,"",IF(G560+H560&lt;J560*34,DATE(2026,10,15)+(G560+H560)/J560,IF(G560+H560&lt;N560,DATE(2026,11,18)+(G560+H560-J560*34)/(J560*L560),"after Nov 30")))</f>
        <v/>
      </c>
      <c r="R560" s="54">
        <f>IF(AND(G560&lt;=0,J560&gt;0),"Out of stock now",IF(G560&gt;=N560,"Covered to Nov 30",IF(G560+H560&gt;=N560,"Needs inbound in time","Short even with inbound")))</f>
        <v/>
      </c>
      <c r="S560" s="57" t="n">
        <v>0.07099999999999999</v>
      </c>
      <c r="T560" s="59">
        <f>IF(S560="","",S560*34+S560*L560*12)</f>
        <v/>
      </c>
    </row>
    <row r="561">
      <c r="A561" s="54" t="inlineStr">
        <is>
          <t>CA DC S4</t>
        </is>
      </c>
      <c r="B561" s="54" t="inlineStr">
        <is>
          <t>CA</t>
        </is>
      </c>
      <c r="C561" s="54" t="inlineStr">
        <is>
          <t>B0CQRXM35T</t>
        </is>
      </c>
      <c r="D561" s="54" t="inlineStr">
        <is>
          <t>SATIN-3PC-TWIN-BABY BLUE</t>
        </is>
      </c>
      <c r="E561" s="54" t="inlineStr">
        <is>
          <t>Twin</t>
        </is>
      </c>
      <c r="F561" s="54" t="inlineStr">
        <is>
          <t>Baby Blue</t>
        </is>
      </c>
      <c r="G561" s="55" t="n">
        <v>8</v>
      </c>
      <c r="H561" s="55" t="n">
        <v>0</v>
      </c>
      <c r="I561" s="56" t="n"/>
      <c r="J561" s="57" t="n">
        <v>0.15</v>
      </c>
      <c r="K561" s="56" t="inlineStr">
        <is>
          <t>account data velocity</t>
        </is>
      </c>
      <c r="L561" s="58" t="n">
        <v>3.269</v>
      </c>
      <c r="M561" s="56" t="inlineStr">
        <is>
          <t>own BFCM 2025 lift (account data)</t>
        </is>
      </c>
      <c r="N561" s="59">
        <f>J561*34+J561*L561*12</f>
        <v/>
      </c>
      <c r="O561" s="59">
        <f>MAX(0,N561-G561-H561)</f>
        <v/>
      </c>
      <c r="P561" s="60">
        <f>IF(J561=0,"",IF(G561&lt;J561*34,DATE(2026,10,15)+G561/J561,IF(G561&lt;N561,DATE(2026,11,18)+(G561-J561*34)/(J561*L561),"after Nov 30")))</f>
        <v/>
      </c>
      <c r="Q561" s="60">
        <f>IF(J561=0,"",IF(G561+H561&lt;J561*34,DATE(2026,10,15)+(G561+H561)/J561,IF(G561+H561&lt;N561,DATE(2026,11,18)+(G561+H561-J561*34)/(J561*L561),"after Nov 30")))</f>
        <v/>
      </c>
      <c r="R561" s="54">
        <f>IF(AND(G561&lt;=0,J561&gt;0),"Out of stock now",IF(G561&gt;=N561,"Covered to Nov 30",IF(G561+H561&gt;=N561,"Needs inbound in time","Short even with inbound")))</f>
        <v/>
      </c>
      <c r="S561" s="57" t="n">
        <v>0.179</v>
      </c>
      <c r="T561" s="59">
        <f>IF(S561="","",S561*34+S561*L561*12)</f>
        <v/>
      </c>
    </row>
    <row r="562">
      <c r="A562" s="54" t="inlineStr">
        <is>
          <t>CA DC S4</t>
        </is>
      </c>
      <c r="B562" s="54" t="inlineStr">
        <is>
          <t>CA</t>
        </is>
      </c>
      <c r="C562" s="54" t="inlineStr">
        <is>
          <t>B0CV4D54FV</t>
        </is>
      </c>
      <c r="D562" s="54" t="inlineStr">
        <is>
          <t>SATIN-4PC-RED-QUEEN</t>
        </is>
      </c>
      <c r="E562" s="54" t="inlineStr">
        <is>
          <t>Queen</t>
        </is>
      </c>
      <c r="F562" s="54" t="inlineStr">
        <is>
          <t>Red</t>
        </is>
      </c>
      <c r="G562" s="55" t="n">
        <v>22</v>
      </c>
      <c r="H562" s="55" t="n">
        <v>0</v>
      </c>
      <c r="I562" s="56" t="n"/>
      <c r="J562" s="57" t="n">
        <v>0.14</v>
      </c>
      <c r="K562" s="56" t="inlineStr">
        <is>
          <t>account data velocity</t>
        </is>
      </c>
      <c r="L562" s="58" t="n">
        <v>3.269</v>
      </c>
      <c r="M562" s="56" t="inlineStr">
        <is>
          <t>own BFCM 2025 lift (account data)</t>
        </is>
      </c>
      <c r="N562" s="59">
        <f>J562*34+J562*L562*12</f>
        <v/>
      </c>
      <c r="O562" s="59">
        <f>MAX(0,N562-G562-H562)</f>
        <v/>
      </c>
      <c r="P562" s="60">
        <f>IF(J562=0,"",IF(G562&lt;J562*34,DATE(2026,10,15)+G562/J562,IF(G562&lt;N562,DATE(2026,11,18)+(G562-J562*34)/(J562*L562),"after Nov 30")))</f>
        <v/>
      </c>
      <c r="Q562" s="60">
        <f>IF(J562=0,"",IF(G562+H562&lt;J562*34,DATE(2026,10,15)+(G562+H562)/J562,IF(G562+H562&lt;N562,DATE(2026,11,18)+(G562+H562-J562*34)/(J562*L562),"after Nov 30")))</f>
        <v/>
      </c>
      <c r="R562" s="54">
        <f>IF(AND(G562&lt;=0,J562&gt;0),"Out of stock now",IF(G562&gt;=N562,"Covered to Nov 30",IF(G562+H562&gt;=N562,"Needs inbound in time","Short even with inbound")))</f>
        <v/>
      </c>
      <c r="S562" s="57" t="n">
        <v>0.214</v>
      </c>
      <c r="T562" s="59">
        <f>IF(S562="","",S562*34+S562*L562*12)</f>
        <v/>
      </c>
    </row>
    <row r="563">
      <c r="A563" s="54" t="inlineStr">
        <is>
          <t>CA DC S4</t>
        </is>
      </c>
      <c r="B563" s="54" t="inlineStr">
        <is>
          <t>CA</t>
        </is>
      </c>
      <c r="C563" s="54" t="inlineStr">
        <is>
          <t>B0CQRX2Z2G</t>
        </is>
      </c>
      <c r="D563" s="54" t="inlineStr">
        <is>
          <t>SATIN-4PC-FULL-DARK GREEN</t>
        </is>
      </c>
      <c r="E563" s="54" t="inlineStr">
        <is>
          <t>Full</t>
        </is>
      </c>
      <c r="F563" s="54" t="inlineStr">
        <is>
          <t>Dark Green</t>
        </is>
      </c>
      <c r="G563" s="55" t="n">
        <v>26</v>
      </c>
      <c r="H563" s="55" t="n">
        <v>0</v>
      </c>
      <c r="I563" s="56" t="n"/>
      <c r="J563" s="57" t="n">
        <v>0.14</v>
      </c>
      <c r="K563" s="56" t="inlineStr">
        <is>
          <t>account data velocity</t>
        </is>
      </c>
      <c r="L563" s="58" t="n">
        <v>3.269</v>
      </c>
      <c r="M563" s="56" t="inlineStr">
        <is>
          <t>own BFCM 2025 lift (account data)</t>
        </is>
      </c>
      <c r="N563" s="59">
        <f>J563*34+J563*L563*12</f>
        <v/>
      </c>
      <c r="O563" s="59">
        <f>MAX(0,N563-G563-H563)</f>
        <v/>
      </c>
      <c r="P563" s="60">
        <f>IF(J563=0,"",IF(G563&lt;J563*34,DATE(2026,10,15)+G563/J563,IF(G563&lt;N563,DATE(2026,11,18)+(G563-J563*34)/(J563*L563),"after Nov 30")))</f>
        <v/>
      </c>
      <c r="Q563" s="60">
        <f>IF(J563=0,"",IF(G563+H563&lt;J563*34,DATE(2026,10,15)+(G563+H563)/J563,IF(G563+H563&lt;N563,DATE(2026,11,18)+(G563+H563-J563*34)/(J563*L563),"after Nov 30")))</f>
        <v/>
      </c>
      <c r="R563" s="54">
        <f>IF(AND(G563&lt;=0,J563&gt;0),"Out of stock now",IF(G563&gt;=N563,"Covered to Nov 30",IF(G563+H563&gt;=N563,"Needs inbound in time","Short even with inbound")))</f>
        <v/>
      </c>
      <c r="S563" s="57" t="n">
        <v>0.143</v>
      </c>
      <c r="T563" s="59">
        <f>IF(S563="","",S563*34+S563*L563*12)</f>
        <v/>
      </c>
    </row>
    <row r="564">
      <c r="A564" s="54" t="inlineStr">
        <is>
          <t>CA DC S4</t>
        </is>
      </c>
      <c r="B564" s="54" t="inlineStr">
        <is>
          <t>CA</t>
        </is>
      </c>
      <c r="C564" s="54" t="inlineStr">
        <is>
          <t>B0BG21MMW9</t>
        </is>
      </c>
      <c r="D564" s="54" t="inlineStr">
        <is>
          <t>SATIN-SEA-TEAL-TWIN</t>
        </is>
      </c>
      <c r="E564" s="54" t="inlineStr">
        <is>
          <t>Twin</t>
        </is>
      </c>
      <c r="F564" s="54" t="inlineStr">
        <is>
          <t>Sea Teal</t>
        </is>
      </c>
      <c r="G564" s="55" t="n">
        <v>18</v>
      </c>
      <c r="H564" s="55" t="n">
        <v>0</v>
      </c>
      <c r="I564" s="56" t="n"/>
      <c r="J564" s="57" t="n">
        <v>0.14</v>
      </c>
      <c r="K564" s="56" t="inlineStr">
        <is>
          <t>account data velocity</t>
        </is>
      </c>
      <c r="L564" s="58" t="n">
        <v>3.269</v>
      </c>
      <c r="M564" s="56" t="inlineStr">
        <is>
          <t>own BFCM 2025 lift (account data)</t>
        </is>
      </c>
      <c r="N564" s="59">
        <f>J564*34+J564*L564*12</f>
        <v/>
      </c>
      <c r="O564" s="59">
        <f>MAX(0,N564-G564-H564)</f>
        <v/>
      </c>
      <c r="P564" s="60">
        <f>IF(J564=0,"",IF(G564&lt;J564*34,DATE(2026,10,15)+G564/J564,IF(G564&lt;N564,DATE(2026,11,18)+(G564-J564*34)/(J564*L564),"after Nov 30")))</f>
        <v/>
      </c>
      <c r="Q564" s="60">
        <f>IF(J564=0,"",IF(G564+H564&lt;J564*34,DATE(2026,10,15)+(G564+H564)/J564,IF(G564+H564&lt;N564,DATE(2026,11,18)+(G564+H564-J564*34)/(J564*L564),"after Nov 30")))</f>
        <v/>
      </c>
      <c r="R564" s="54">
        <f>IF(AND(G564&lt;=0,J564&gt;0),"Out of stock now",IF(G564&gt;=N564,"Covered to Nov 30",IF(G564+H564&gt;=N564,"Needs inbound in time","Short even with inbound")))</f>
        <v/>
      </c>
      <c r="S564" s="57" t="n">
        <v>0.07099999999999999</v>
      </c>
      <c r="T564" s="59">
        <f>IF(S564="","",S564*34+S564*L564*12)</f>
        <v/>
      </c>
    </row>
    <row r="565">
      <c r="A565" s="54" t="inlineStr">
        <is>
          <t>CA DC S4</t>
        </is>
      </c>
      <c r="B565" s="54" t="inlineStr">
        <is>
          <t>CA</t>
        </is>
      </c>
      <c r="C565" s="54" t="inlineStr">
        <is>
          <t>B0CQRXC2YT</t>
        </is>
      </c>
      <c r="D565" s="54" t="inlineStr">
        <is>
          <t>SATIN-3PC-TWIN-BURNT ORANGE</t>
        </is>
      </c>
      <c r="E565" s="54" t="inlineStr">
        <is>
          <t>Twin</t>
        </is>
      </c>
      <c r="F565" s="54" t="inlineStr">
        <is>
          <t>Burnt Orange</t>
        </is>
      </c>
      <c r="G565" s="55" t="n">
        <v>12</v>
      </c>
      <c r="H565" s="55" t="n">
        <v>0</v>
      </c>
      <c r="I565" s="56" t="n"/>
      <c r="J565" s="57" t="n">
        <v>0.14</v>
      </c>
      <c r="K565" s="56" t="inlineStr">
        <is>
          <t>account data velocity</t>
        </is>
      </c>
      <c r="L565" s="58" t="n">
        <v>3.269</v>
      </c>
      <c r="M565" s="56" t="inlineStr">
        <is>
          <t>own BFCM 2025 lift (account data)</t>
        </is>
      </c>
      <c r="N565" s="59">
        <f>J565*34+J565*L565*12</f>
        <v/>
      </c>
      <c r="O565" s="59">
        <f>MAX(0,N565-G565-H565)</f>
        <v/>
      </c>
      <c r="P565" s="60">
        <f>IF(J565=0,"",IF(G565&lt;J565*34,DATE(2026,10,15)+G565/J565,IF(G565&lt;N565,DATE(2026,11,18)+(G565-J565*34)/(J565*L565),"after Nov 30")))</f>
        <v/>
      </c>
      <c r="Q565" s="60">
        <f>IF(J565=0,"",IF(G565+H565&lt;J565*34,DATE(2026,10,15)+(G565+H565)/J565,IF(G565+H565&lt;N565,DATE(2026,11,18)+(G565+H565-J565*34)/(J565*L565),"after Nov 30")))</f>
        <v/>
      </c>
      <c r="R565" s="54">
        <f>IF(AND(G565&lt;=0,J565&gt;0),"Out of stock now",IF(G565&gt;=N565,"Covered to Nov 30",IF(G565+H565&gt;=N565,"Needs inbound in time","Short even with inbound")))</f>
        <v/>
      </c>
      <c r="S565" s="57" t="n">
        <v>0.036</v>
      </c>
      <c r="T565" s="59">
        <f>IF(S565="","",S565*34+S565*L565*12)</f>
        <v/>
      </c>
    </row>
    <row r="566">
      <c r="A566" s="54" t="inlineStr">
        <is>
          <t>CA DC S4</t>
        </is>
      </c>
      <c r="B566" s="54" t="inlineStr">
        <is>
          <t>CA</t>
        </is>
      </c>
      <c r="C566" s="54" t="inlineStr">
        <is>
          <t>B0CQRY9WLD</t>
        </is>
      </c>
      <c r="D566" s="54" t="inlineStr">
        <is>
          <t>SATIN-4PC-FULL-BABY BLUE</t>
        </is>
      </c>
      <c r="E566" s="54" t="inlineStr">
        <is>
          <t>Full</t>
        </is>
      </c>
      <c r="F566" s="54" t="inlineStr">
        <is>
          <t>Baby Blue</t>
        </is>
      </c>
      <c r="G566" s="55" t="n">
        <v>46</v>
      </c>
      <c r="H566" s="55" t="n">
        <v>0</v>
      </c>
      <c r="I566" s="56" t="n"/>
      <c r="J566" s="57" t="n">
        <v>0.13</v>
      </c>
      <c r="K566" s="56" t="inlineStr">
        <is>
          <t>account data velocity</t>
        </is>
      </c>
      <c r="L566" s="58" t="n">
        <v>3.269</v>
      </c>
      <c r="M566" s="56" t="inlineStr">
        <is>
          <t>own BFCM 2025 lift (account data)</t>
        </is>
      </c>
      <c r="N566" s="59">
        <f>J566*34+J566*L566*12</f>
        <v/>
      </c>
      <c r="O566" s="59">
        <f>MAX(0,N566-G566-H566)</f>
        <v/>
      </c>
      <c r="P566" s="60">
        <f>IF(J566=0,"",IF(G566&lt;J566*34,DATE(2026,10,15)+G566/J566,IF(G566&lt;N566,DATE(2026,11,18)+(G566-J566*34)/(J566*L566),"after Nov 30")))</f>
        <v/>
      </c>
      <c r="Q566" s="60">
        <f>IF(J566=0,"",IF(G566+H566&lt;J566*34,DATE(2026,10,15)+(G566+H566)/J566,IF(G566+H566&lt;N566,DATE(2026,11,18)+(G566+H566-J566*34)/(J566*L566),"after Nov 30")))</f>
        <v/>
      </c>
      <c r="R566" s="54">
        <f>IF(AND(G566&lt;=0,J566&gt;0),"Out of stock now",IF(G566&gt;=N566,"Covered to Nov 30",IF(G566+H566&gt;=N566,"Needs inbound in time","Short even with inbound")))</f>
        <v/>
      </c>
      <c r="S566" s="57" t="n">
        <v>0.214</v>
      </c>
      <c r="T566" s="59">
        <f>IF(S566="","",S566*34+S566*L566*12)</f>
        <v/>
      </c>
    </row>
    <row r="567">
      <c r="A567" s="54" t="inlineStr">
        <is>
          <t>CA DC S4</t>
        </is>
      </c>
      <c r="B567" s="54" t="inlineStr">
        <is>
          <t>CA</t>
        </is>
      </c>
      <c r="C567" s="54" t="inlineStr">
        <is>
          <t>B0CQRYDFC1</t>
        </is>
      </c>
      <c r="D567" s="54" t="inlineStr">
        <is>
          <t>SATIN-4PC-KING-BABY BLUE</t>
        </is>
      </c>
      <c r="E567" s="54" t="inlineStr">
        <is>
          <t>King</t>
        </is>
      </c>
      <c r="F567" s="54" t="inlineStr">
        <is>
          <t>Baby Blue</t>
        </is>
      </c>
      <c r="G567" s="55" t="n">
        <v>21</v>
      </c>
      <c r="H567" s="55" t="n">
        <v>36</v>
      </c>
      <c r="I567" s="56" t="inlineStr">
        <is>
          <t>FBA19RSBKFGZ shipped: 12; FBA19MV0YVFX shipped: 6</t>
        </is>
      </c>
      <c r="J567" s="57" t="n">
        <v>0.12</v>
      </c>
      <c r="K567" s="56" t="inlineStr">
        <is>
          <t>account data velocity</t>
        </is>
      </c>
      <c r="L567" s="58" t="n">
        <v>3.269</v>
      </c>
      <c r="M567" s="56" t="inlineStr">
        <is>
          <t>own BFCM 2025 lift (account data)</t>
        </is>
      </c>
      <c r="N567" s="59">
        <f>J567*34+J567*L567*12</f>
        <v/>
      </c>
      <c r="O567" s="59">
        <f>MAX(0,N567-G567-H567)</f>
        <v/>
      </c>
      <c r="P567" s="60">
        <f>IF(J567=0,"",IF(G567&lt;J567*34,DATE(2026,10,15)+G567/J567,IF(G567&lt;N567,DATE(2026,11,18)+(G567-J567*34)/(J567*L567),"after Nov 30")))</f>
        <v/>
      </c>
      <c r="Q567" s="60">
        <f>IF(J567=0,"",IF(G567+H567&lt;J567*34,DATE(2026,10,15)+(G567+H567)/J567,IF(G567+H567&lt;N567,DATE(2026,11,18)+(G567+H567-J567*34)/(J567*L567),"after Nov 30")))</f>
        <v/>
      </c>
      <c r="R567" s="54">
        <f>IF(AND(G567&lt;=0,J567&gt;0),"Out of stock now",IF(G567&gt;=N567,"Covered to Nov 30",IF(G567+H567&gt;=N567,"Needs inbound in time","Short even with inbound")))</f>
        <v/>
      </c>
      <c r="S567" s="57" t="n">
        <v>0.107</v>
      </c>
      <c r="T567" s="59">
        <f>IF(S567="","",S567*34+S567*L567*12)</f>
        <v/>
      </c>
    </row>
    <row r="568">
      <c r="A568" s="54" t="inlineStr">
        <is>
          <t>CA DC S4</t>
        </is>
      </c>
      <c r="B568" s="54" t="inlineStr">
        <is>
          <t>CA</t>
        </is>
      </c>
      <c r="C568" s="54" t="inlineStr">
        <is>
          <t>B09G6K4M5V</t>
        </is>
      </c>
      <c r="D568" s="54" t="inlineStr">
        <is>
          <t>SATIN-STRIPE-KING-GOLD</t>
        </is>
      </c>
      <c r="E568" s="54" t="inlineStr">
        <is>
          <t>King</t>
        </is>
      </c>
      <c r="F568" s="54" t="inlineStr">
        <is>
          <t>Striped Gold</t>
        </is>
      </c>
      <c r="G568" s="55" t="n">
        <v>86</v>
      </c>
      <c r="H568" s="55" t="n">
        <v>0</v>
      </c>
      <c r="I568" s="56" t="n"/>
      <c r="J568" s="57" t="n">
        <v>0.11</v>
      </c>
      <c r="K568" s="56" t="inlineStr">
        <is>
          <t>account data velocity</t>
        </is>
      </c>
      <c r="L568" s="58" t="n">
        <v>3.269</v>
      </c>
      <c r="M568" s="56" t="inlineStr">
        <is>
          <t>own BFCM 2025 lift (account data)</t>
        </is>
      </c>
      <c r="N568" s="59">
        <f>J568*34+J568*L568*12</f>
        <v/>
      </c>
      <c r="O568" s="59">
        <f>MAX(0,N568-G568-H568)</f>
        <v/>
      </c>
      <c r="P568" s="60">
        <f>IF(J568=0,"",IF(G568&lt;J568*34,DATE(2026,10,15)+G568/J568,IF(G568&lt;N568,DATE(2026,11,18)+(G568-J568*34)/(J568*L568),"after Nov 30")))</f>
        <v/>
      </c>
      <c r="Q568" s="60">
        <f>IF(J568=0,"",IF(G568+H568&lt;J568*34,DATE(2026,10,15)+(G568+H568)/J568,IF(G568+H568&lt;N568,DATE(2026,11,18)+(G568+H568-J568*34)/(J568*L568),"after Nov 30")))</f>
        <v/>
      </c>
      <c r="R568" s="54">
        <f>IF(AND(G568&lt;=0,J568&gt;0),"Out of stock now",IF(G568&gt;=N568,"Covered to Nov 30",IF(G568+H568&gt;=N568,"Needs inbound in time","Short even with inbound")))</f>
        <v/>
      </c>
      <c r="S568" s="57" t="n">
        <v>0.143</v>
      </c>
      <c r="T568" s="59">
        <f>IF(S568="","",S568*34+S568*L568*12)</f>
        <v/>
      </c>
    </row>
    <row r="569">
      <c r="A569" s="54" t="inlineStr">
        <is>
          <t>CA DC S4</t>
        </is>
      </c>
      <c r="B569" s="54" t="inlineStr">
        <is>
          <t>CA</t>
        </is>
      </c>
      <c r="C569" s="54" t="inlineStr">
        <is>
          <t>B0839LP6TM</t>
        </is>
      </c>
      <c r="D569" s="54" t="inlineStr">
        <is>
          <t>SATIN-FULL-PURPLE</t>
        </is>
      </c>
      <c r="E569" s="54" t="inlineStr">
        <is>
          <t>Full</t>
        </is>
      </c>
      <c r="F569" s="54" t="inlineStr">
        <is>
          <t>Purple</t>
        </is>
      </c>
      <c r="G569" s="55" t="n">
        <v>8</v>
      </c>
      <c r="H569" s="55" t="n">
        <v>0</v>
      </c>
      <c r="I569" s="56" t="n"/>
      <c r="J569" s="57" t="n">
        <v>0.11</v>
      </c>
      <c r="K569" s="56" t="inlineStr">
        <is>
          <t>account data velocity</t>
        </is>
      </c>
      <c r="L569" s="58" t="n">
        <v>3.269</v>
      </c>
      <c r="M569" s="56" t="inlineStr">
        <is>
          <t>own BFCM 2025 lift (account data)</t>
        </is>
      </c>
      <c r="N569" s="59">
        <f>J569*34+J569*L569*12</f>
        <v/>
      </c>
      <c r="O569" s="59">
        <f>MAX(0,N569-G569-H569)</f>
        <v/>
      </c>
      <c r="P569" s="60">
        <f>IF(J569=0,"",IF(G569&lt;J569*34,DATE(2026,10,15)+G569/J569,IF(G569&lt;N569,DATE(2026,11,18)+(G569-J569*34)/(J569*L569),"after Nov 30")))</f>
        <v/>
      </c>
      <c r="Q569" s="60">
        <f>IF(J569=0,"",IF(G569+H569&lt;J569*34,DATE(2026,10,15)+(G569+H569)/J569,IF(G569+H569&lt;N569,DATE(2026,11,18)+(G569+H569-J569*34)/(J569*L569),"after Nov 30")))</f>
        <v/>
      </c>
      <c r="R569" s="54">
        <f>IF(AND(G569&lt;=0,J569&gt;0),"Out of stock now",IF(G569&gt;=N569,"Covered to Nov 30",IF(G569+H569&gt;=N569,"Needs inbound in time","Short even with inbound")))</f>
        <v/>
      </c>
      <c r="S569" s="57" t="n">
        <v>0.107</v>
      </c>
      <c r="T569" s="59">
        <f>IF(S569="","",S569*34+S569*L569*12)</f>
        <v/>
      </c>
    </row>
    <row r="570">
      <c r="A570" s="54" t="inlineStr">
        <is>
          <t>CA DC S4</t>
        </is>
      </c>
      <c r="B570" s="54" t="inlineStr">
        <is>
          <t>CA</t>
        </is>
      </c>
      <c r="C570" s="54" t="inlineStr">
        <is>
          <t>B0CQRY5N4Q</t>
        </is>
      </c>
      <c r="D570" s="54" t="inlineStr">
        <is>
          <t>SATIN-3PC-TWIN-DARK GREEN</t>
        </is>
      </c>
      <c r="E570" s="54" t="inlineStr">
        <is>
          <t>Twin</t>
        </is>
      </c>
      <c r="F570" s="54" t="inlineStr">
        <is>
          <t>Dark Green</t>
        </is>
      </c>
      <c r="G570" s="55" t="n">
        <v>16</v>
      </c>
      <c r="H570" s="55" t="n">
        <v>6</v>
      </c>
      <c r="I570" s="56" t="inlineStr">
        <is>
          <t>FBA19LC3BT3C receiving: 6</t>
        </is>
      </c>
      <c r="J570" s="57" t="n">
        <v>0.11</v>
      </c>
      <c r="K570" s="56" t="inlineStr">
        <is>
          <t>account data velocity</t>
        </is>
      </c>
      <c r="L570" s="58" t="n">
        <v>3.269</v>
      </c>
      <c r="M570" s="56" t="inlineStr">
        <is>
          <t>own BFCM 2025 lift (account data)</t>
        </is>
      </c>
      <c r="N570" s="59">
        <f>J570*34+J570*L570*12</f>
        <v/>
      </c>
      <c r="O570" s="59">
        <f>MAX(0,N570-G570-H570)</f>
        <v/>
      </c>
      <c r="P570" s="60">
        <f>IF(J570=0,"",IF(G570&lt;J570*34,DATE(2026,10,15)+G570/J570,IF(G570&lt;N570,DATE(2026,11,18)+(G570-J570*34)/(J570*L570),"after Nov 30")))</f>
        <v/>
      </c>
      <c r="Q570" s="60">
        <f>IF(J570=0,"",IF(G570+H570&lt;J570*34,DATE(2026,10,15)+(G570+H570)/J570,IF(G570+H570&lt;N570,DATE(2026,11,18)+(G570+H570-J570*34)/(J570*L570),"after Nov 30")))</f>
        <v/>
      </c>
      <c r="R570" s="54">
        <f>IF(AND(G570&lt;=0,J570&gt;0),"Out of stock now",IF(G570&gt;=N570,"Covered to Nov 30",IF(G570+H570&gt;=N570,"Needs inbound in time","Short even with inbound")))</f>
        <v/>
      </c>
      <c r="S570" s="57" t="n">
        <v>0.07099999999999999</v>
      </c>
      <c r="T570" s="59">
        <f>IF(S570="","",S570*34+S570*L570*12)</f>
        <v/>
      </c>
    </row>
    <row r="571">
      <c r="A571" s="54" t="inlineStr">
        <is>
          <t>CA DC S4</t>
        </is>
      </c>
      <c r="B571" s="54" t="inlineStr">
        <is>
          <t>CA</t>
        </is>
      </c>
      <c r="C571" s="54" t="inlineStr">
        <is>
          <t>B09G6N2PNK</t>
        </is>
      </c>
      <c r="D571" s="54" t="inlineStr">
        <is>
          <t>SATIN-STRIPE-KING-WHITE</t>
        </is>
      </c>
      <c r="E571" s="54" t="inlineStr">
        <is>
          <t>King</t>
        </is>
      </c>
      <c r="F571" s="54" t="inlineStr">
        <is>
          <t>Striped White</t>
        </is>
      </c>
      <c r="G571" s="55" t="n">
        <v>3</v>
      </c>
      <c r="H571" s="55" t="n">
        <v>36</v>
      </c>
      <c r="I571" s="56" t="inlineStr">
        <is>
          <t>FBA19RSBKFGZ shipped: 36</t>
        </is>
      </c>
      <c r="J571" s="57" t="n">
        <v>0.09</v>
      </c>
      <c r="K571" s="56" t="inlineStr">
        <is>
          <t>account data velocity</t>
        </is>
      </c>
      <c r="L571" s="58" t="n">
        <v>3.269</v>
      </c>
      <c r="M571" s="56" t="inlineStr">
        <is>
          <t>own BFCM 2025 lift (account data)</t>
        </is>
      </c>
      <c r="N571" s="59">
        <f>J571*34+J571*L571*12</f>
        <v/>
      </c>
      <c r="O571" s="59">
        <f>MAX(0,N571-G571-H571)</f>
        <v/>
      </c>
      <c r="P571" s="60">
        <f>IF(J571=0,"",IF(G571&lt;J571*34,DATE(2026,10,15)+G571/J571,IF(G571&lt;N571,DATE(2026,11,18)+(G571-J571*34)/(J571*L571),"after Nov 30")))</f>
        <v/>
      </c>
      <c r="Q571" s="60">
        <f>IF(J571=0,"",IF(G571+H571&lt;J571*34,DATE(2026,10,15)+(G571+H571)/J571,IF(G571+H571&lt;N571,DATE(2026,11,18)+(G571+H571-J571*34)/(J571*L571),"after Nov 30")))</f>
        <v/>
      </c>
      <c r="R571" s="54">
        <f>IF(AND(G571&lt;=0,J571&gt;0),"Out of stock now",IF(G571&gt;=N571,"Covered to Nov 30",IF(G571+H571&gt;=N571,"Needs inbound in time","Short even with inbound")))</f>
        <v/>
      </c>
      <c r="S571" s="57" t="n">
        <v>0.107</v>
      </c>
      <c r="T571" s="59">
        <f>IF(S571="","",S571*34+S571*L571*12)</f>
        <v/>
      </c>
    </row>
    <row r="572">
      <c r="A572" s="54" t="inlineStr">
        <is>
          <t>CA DC S4</t>
        </is>
      </c>
      <c r="B572" s="54" t="inlineStr">
        <is>
          <t>CA</t>
        </is>
      </c>
      <c r="C572" s="54" t="inlineStr">
        <is>
          <t>B09G6K4PXD</t>
        </is>
      </c>
      <c r="D572" s="54" t="inlineStr">
        <is>
          <t>SATIN-STRIPE-FULL-PURPLE</t>
        </is>
      </c>
      <c r="E572" s="54" t="inlineStr">
        <is>
          <t>Full</t>
        </is>
      </c>
      <c r="F572" s="54" t="inlineStr">
        <is>
          <t>Striped Purple</t>
        </is>
      </c>
      <c r="G572" s="55" t="n">
        <v>15</v>
      </c>
      <c r="H572" s="55" t="n">
        <v>6</v>
      </c>
      <c r="I572" s="56" t="n"/>
      <c r="J572" s="57" t="n">
        <v>0.09</v>
      </c>
      <c r="K572" s="56" t="inlineStr">
        <is>
          <t>account data velocity</t>
        </is>
      </c>
      <c r="L572" s="58" t="n">
        <v>3.269</v>
      </c>
      <c r="M572" s="56" t="inlineStr">
        <is>
          <t>own BFCM 2025 lift (account data)</t>
        </is>
      </c>
      <c r="N572" s="59">
        <f>J572*34+J572*L572*12</f>
        <v/>
      </c>
      <c r="O572" s="59">
        <f>MAX(0,N572-G572-H572)</f>
        <v/>
      </c>
      <c r="P572" s="60">
        <f>IF(J572=0,"",IF(G572&lt;J572*34,DATE(2026,10,15)+G572/J572,IF(G572&lt;N572,DATE(2026,11,18)+(G572-J572*34)/(J572*L572),"after Nov 30")))</f>
        <v/>
      </c>
      <c r="Q572" s="60">
        <f>IF(J572=0,"",IF(G572+H572&lt;J572*34,DATE(2026,10,15)+(G572+H572)/J572,IF(G572+H572&lt;N572,DATE(2026,11,18)+(G572+H572-J572*34)/(J572*L572),"after Nov 30")))</f>
        <v/>
      </c>
      <c r="R572" s="54">
        <f>IF(AND(G572&lt;=0,J572&gt;0),"Out of stock now",IF(G572&gt;=N572,"Covered to Nov 30",IF(G572+H572&gt;=N572,"Needs inbound in time","Short even with inbound")))</f>
        <v/>
      </c>
      <c r="S572" s="57" t="n">
        <v>0.07099999999999999</v>
      </c>
      <c r="T572" s="59">
        <f>IF(S572="","",S572*34+S572*L572*12)</f>
        <v/>
      </c>
    </row>
    <row r="573">
      <c r="A573" s="54" t="inlineStr">
        <is>
          <t>CA DC S4</t>
        </is>
      </c>
      <c r="B573" s="54" t="inlineStr">
        <is>
          <t>CA</t>
        </is>
      </c>
      <c r="C573" s="54" t="inlineStr">
        <is>
          <t>B09G6KKB4S</t>
        </is>
      </c>
      <c r="D573" s="54" t="inlineStr">
        <is>
          <t>SATIN-STRIPE-FULL-WHITE</t>
        </is>
      </c>
      <c r="E573" s="54" t="inlineStr">
        <is>
          <t>Full</t>
        </is>
      </c>
      <c r="F573" s="54" t="inlineStr">
        <is>
          <t>Striped White</t>
        </is>
      </c>
      <c r="G573" s="55" t="n">
        <v>19</v>
      </c>
      <c r="H573" s="55" t="n">
        <v>0</v>
      </c>
      <c r="I573" s="56" t="n"/>
      <c r="J573" s="57" t="n">
        <v>0.09</v>
      </c>
      <c r="K573" s="56" t="inlineStr">
        <is>
          <t>account data velocity</t>
        </is>
      </c>
      <c r="L573" s="58" t="n">
        <v>3.269</v>
      </c>
      <c r="M573" s="56" t="inlineStr">
        <is>
          <t>own BFCM 2025 lift (account data)</t>
        </is>
      </c>
      <c r="N573" s="59">
        <f>J573*34+J573*L573*12</f>
        <v/>
      </c>
      <c r="O573" s="59">
        <f>MAX(0,N573-G573-H573)</f>
        <v/>
      </c>
      <c r="P573" s="60">
        <f>IF(J573=0,"",IF(G573&lt;J573*34,DATE(2026,10,15)+G573/J573,IF(G573&lt;N573,DATE(2026,11,18)+(G573-J573*34)/(J573*L573),"after Nov 30")))</f>
        <v/>
      </c>
      <c r="Q573" s="60">
        <f>IF(J573=0,"",IF(G573+H573&lt;J573*34,DATE(2026,10,15)+(G573+H573)/J573,IF(G573+H573&lt;N573,DATE(2026,11,18)+(G573+H573-J573*34)/(J573*L573),"after Nov 30")))</f>
        <v/>
      </c>
      <c r="R573" s="54">
        <f>IF(AND(G573&lt;=0,J573&gt;0),"Out of stock now",IF(G573&gt;=N573,"Covered to Nov 30",IF(G573+H573&gt;=N573,"Needs inbound in time","Short even with inbound")))</f>
        <v/>
      </c>
      <c r="S573" s="57" t="n">
        <v>0.07099999999999999</v>
      </c>
      <c r="T573" s="59">
        <f>IF(S573="","",S573*34+S573*L573*12)</f>
        <v/>
      </c>
    </row>
    <row r="574">
      <c r="A574" s="54" t="inlineStr">
        <is>
          <t>CA DC S4</t>
        </is>
      </c>
      <c r="B574" s="54" t="inlineStr">
        <is>
          <t>CA</t>
        </is>
      </c>
      <c r="C574" s="54" t="inlineStr">
        <is>
          <t>B09G6JK5ZL</t>
        </is>
      </c>
      <c r="D574" s="54" t="inlineStr">
        <is>
          <t>SATIN-STRIPE-TWIN-WHITE</t>
        </is>
      </c>
      <c r="E574" s="54" t="inlineStr">
        <is>
          <t>Twin</t>
        </is>
      </c>
      <c r="F574" s="54" t="inlineStr">
        <is>
          <t>Striped White</t>
        </is>
      </c>
      <c r="G574" s="55" t="n">
        <v>0</v>
      </c>
      <c r="H574" s="55" t="n">
        <v>0</v>
      </c>
      <c r="I574" s="56" t="n"/>
      <c r="J574" s="57" t="n">
        <v>0.08</v>
      </c>
      <c r="K574" s="56" t="inlineStr">
        <is>
          <t>account data velocity</t>
        </is>
      </c>
      <c r="L574" s="58" t="n">
        <v>3.269</v>
      </c>
      <c r="M574" s="56" t="inlineStr">
        <is>
          <t>own BFCM 2025 lift (account data)</t>
        </is>
      </c>
      <c r="N574" s="59">
        <f>J574*34+J574*L574*12</f>
        <v/>
      </c>
      <c r="O574" s="59">
        <f>MAX(0,N574-G574-H574)</f>
        <v/>
      </c>
      <c r="P574" s="60">
        <f>IF(J574=0,"",IF(G574&lt;J574*34,DATE(2026,10,15)+G574/J574,IF(G574&lt;N574,DATE(2026,11,18)+(G574-J574*34)/(J574*L574),"after Nov 30")))</f>
        <v/>
      </c>
      <c r="Q574" s="60">
        <f>IF(J574=0,"",IF(G574+H574&lt;J574*34,DATE(2026,10,15)+(G574+H574)/J574,IF(G574+H574&lt;N574,DATE(2026,11,18)+(G574+H574-J574*34)/(J574*L574),"after Nov 30")))</f>
        <v/>
      </c>
      <c r="R574" s="54">
        <f>IF(AND(G574&lt;=0,J574&gt;0),"Out of stock now",IF(G574&gt;=N574,"Covered to Nov 30",IF(G574+H574&gt;=N574,"Needs inbound in time","Short even with inbound")))</f>
        <v/>
      </c>
      <c r="S574" s="57" t="n">
        <v>0.036</v>
      </c>
      <c r="T574" s="59">
        <f>IF(S574="","",S574*34+S574*L574*12)</f>
        <v/>
      </c>
    </row>
    <row r="575">
      <c r="A575" s="54" t="inlineStr">
        <is>
          <t>CA DC S4</t>
        </is>
      </c>
      <c r="B575" s="54" t="inlineStr">
        <is>
          <t>CA</t>
        </is>
      </c>
      <c r="C575" s="54" t="inlineStr">
        <is>
          <t>B0CQRWGHJN</t>
        </is>
      </c>
      <c r="D575" s="54" t="inlineStr">
        <is>
          <t>SATIN-4PC-QUEEN-DARK GREEN</t>
        </is>
      </c>
      <c r="E575" s="54" t="inlineStr">
        <is>
          <t>Queen</t>
        </is>
      </c>
      <c r="F575" s="54" t="inlineStr">
        <is>
          <t>Dark Green</t>
        </is>
      </c>
      <c r="G575" s="55" t="n">
        <v>0</v>
      </c>
      <c r="H575" s="55" t="n">
        <v>0</v>
      </c>
      <c r="I575" s="56" t="n"/>
      <c r="J575" s="57" t="n">
        <v>0.07099999999999999</v>
      </c>
      <c r="K575" s="56" t="inlineStr">
        <is>
          <t>units last 28 days / 28 (no account data velocity: out of stock)</t>
        </is>
      </c>
      <c r="L575" s="58" t="n">
        <v>3.269</v>
      </c>
      <c r="M575" s="56" t="inlineStr">
        <is>
          <t>own BFCM 2025 lift (account data)</t>
        </is>
      </c>
      <c r="N575" s="59">
        <f>J575*34+J575*L575*12</f>
        <v/>
      </c>
      <c r="O575" s="59">
        <f>MAX(0,N575-G575-H575)</f>
        <v/>
      </c>
      <c r="P575" s="60">
        <f>IF(J575=0,"",IF(G575&lt;J575*34,DATE(2026,10,15)+G575/J575,IF(G575&lt;N575,DATE(2026,11,18)+(G575-J575*34)/(J575*L575),"after Nov 30")))</f>
        <v/>
      </c>
      <c r="Q575" s="60">
        <f>IF(J575=0,"",IF(G575+H575&lt;J575*34,DATE(2026,10,15)+(G575+H575)/J575,IF(G575+H575&lt;N575,DATE(2026,11,18)+(G575+H575-J575*34)/(J575*L575),"after Nov 30")))</f>
        <v/>
      </c>
      <c r="R575" s="54">
        <f>IF(AND(G575&lt;=0,J575&gt;0),"Out of stock now",IF(G575&gt;=N575,"Covered to Nov 30",IF(G575+H575&gt;=N575,"Needs inbound in time","Short even with inbound")))</f>
        <v/>
      </c>
      <c r="S575" s="57" t="n">
        <v>0.07099999999999999</v>
      </c>
      <c r="T575" s="59">
        <f>IF(S575="","",S575*34+S575*L575*12)</f>
        <v/>
      </c>
    </row>
    <row r="576">
      <c r="A576" s="54" t="inlineStr">
        <is>
          <t>CA DC S4</t>
        </is>
      </c>
      <c r="B576" s="54" t="inlineStr">
        <is>
          <t>CA</t>
        </is>
      </c>
      <c r="C576" s="54" t="inlineStr">
        <is>
          <t>B08KR9THFG</t>
        </is>
      </c>
      <c r="D576" s="54" t="inlineStr">
        <is>
          <t>SATIN-GOLD-TWIN</t>
        </is>
      </c>
      <c r="E576" s="54" t="inlineStr">
        <is>
          <t>Twin</t>
        </is>
      </c>
      <c r="F576" s="54" t="inlineStr">
        <is>
          <t>Gold</t>
        </is>
      </c>
      <c r="G576" s="55" t="n">
        <v>0</v>
      </c>
      <c r="H576" s="55" t="n">
        <v>0</v>
      </c>
      <c r="I576" s="56" t="n"/>
      <c r="J576" s="57" t="n">
        <v>0.07099999999999999</v>
      </c>
      <c r="K576" s="56" t="inlineStr">
        <is>
          <t>units last 28 days / 28 (no account data velocity: out of stock)</t>
        </is>
      </c>
      <c r="L576" s="58" t="n">
        <v>3.269</v>
      </c>
      <c r="M576" s="56" t="inlineStr">
        <is>
          <t>own BFCM 2025 lift (account data)</t>
        </is>
      </c>
      <c r="N576" s="59">
        <f>J576*34+J576*L576*12</f>
        <v/>
      </c>
      <c r="O576" s="59">
        <f>MAX(0,N576-G576-H576)</f>
        <v/>
      </c>
      <c r="P576" s="60">
        <f>IF(J576=0,"",IF(G576&lt;J576*34,DATE(2026,10,15)+G576/J576,IF(G576&lt;N576,DATE(2026,11,18)+(G576-J576*34)/(J576*L576),"after Nov 30")))</f>
        <v/>
      </c>
      <c r="Q576" s="60">
        <f>IF(J576=0,"",IF(G576+H576&lt;J576*34,DATE(2026,10,15)+(G576+H576)/J576,IF(G576+H576&lt;N576,DATE(2026,11,18)+(G576+H576-J576*34)/(J576*L576),"after Nov 30")))</f>
        <v/>
      </c>
      <c r="R576" s="54">
        <f>IF(AND(G576&lt;=0,J576&gt;0),"Out of stock now",IF(G576&gt;=N576,"Covered to Nov 30",IF(G576+H576&gt;=N576,"Needs inbound in time","Short even with inbound")))</f>
        <v/>
      </c>
      <c r="S576" s="57" t="n">
        <v>0.07099999999999999</v>
      </c>
      <c r="T576" s="59">
        <f>IF(S576="","",S576*34+S576*L576*12)</f>
        <v/>
      </c>
    </row>
    <row r="577">
      <c r="A577" s="54" t="inlineStr">
        <is>
          <t>CA DC S4</t>
        </is>
      </c>
      <c r="B577" s="54" t="inlineStr">
        <is>
          <t>CA</t>
        </is>
      </c>
      <c r="C577" s="54" t="inlineStr">
        <is>
          <t>B0BG22CYFP</t>
        </is>
      </c>
      <c r="D577" s="54" t="inlineStr">
        <is>
          <t>SATIN-IVORY-FULL</t>
        </is>
      </c>
      <c r="E577" s="54" t="inlineStr">
        <is>
          <t>Full</t>
        </is>
      </c>
      <c r="F577" s="54" t="inlineStr">
        <is>
          <t>Ivory</t>
        </is>
      </c>
      <c r="G577" s="55" t="n">
        <v>4</v>
      </c>
      <c r="H577" s="55" t="n">
        <v>0</v>
      </c>
      <c r="I577" s="56" t="n"/>
      <c r="J577" s="57" t="n">
        <v>0.07000000000000001</v>
      </c>
      <c r="K577" s="56" t="inlineStr">
        <is>
          <t>account data velocity</t>
        </is>
      </c>
      <c r="L577" s="58" t="n">
        <v>3.269</v>
      </c>
      <c r="M577" s="56" t="inlineStr">
        <is>
          <t>own BFCM 2025 lift (account data)</t>
        </is>
      </c>
      <c r="N577" s="59">
        <f>J577*34+J577*L577*12</f>
        <v/>
      </c>
      <c r="O577" s="59">
        <f>MAX(0,N577-G577-H577)</f>
        <v/>
      </c>
      <c r="P577" s="60">
        <f>IF(J577=0,"",IF(G577&lt;J577*34,DATE(2026,10,15)+G577/J577,IF(G577&lt;N577,DATE(2026,11,18)+(G577-J577*34)/(J577*L577),"after Nov 30")))</f>
        <v/>
      </c>
      <c r="Q577" s="60">
        <f>IF(J577=0,"",IF(G577+H577&lt;J577*34,DATE(2026,10,15)+(G577+H577)/J577,IF(G577+H577&lt;N577,DATE(2026,11,18)+(G577+H577-J577*34)/(J577*L577),"after Nov 30")))</f>
        <v/>
      </c>
      <c r="R577" s="54">
        <f>IF(AND(G577&lt;=0,J577&gt;0),"Out of stock now",IF(G577&gt;=N577,"Covered to Nov 30",IF(G577+H577&gt;=N577,"Needs inbound in time","Short even with inbound")))</f>
        <v/>
      </c>
      <c r="S577" s="57" t="n">
        <v>0.107</v>
      </c>
      <c r="T577" s="59">
        <f>IF(S577="","",S577*34+S577*L577*12)</f>
        <v/>
      </c>
    </row>
    <row r="578">
      <c r="A578" s="54" t="inlineStr">
        <is>
          <t>CA DC S4</t>
        </is>
      </c>
      <c r="B578" s="54" t="inlineStr">
        <is>
          <t>CA</t>
        </is>
      </c>
      <c r="C578" s="54" t="inlineStr">
        <is>
          <t>B09G6HZT1K</t>
        </is>
      </c>
      <c r="D578" s="54" t="inlineStr">
        <is>
          <t>SATIN-STRIPE-KING-BLACK</t>
        </is>
      </c>
      <c r="E578" s="54" t="inlineStr">
        <is>
          <t>King</t>
        </is>
      </c>
      <c r="F578" s="54" t="inlineStr">
        <is>
          <t>Striped Black</t>
        </is>
      </c>
      <c r="G578" s="55" t="n">
        <v>7</v>
      </c>
      <c r="H578" s="55" t="n">
        <v>0</v>
      </c>
      <c r="I578" s="56" t="n"/>
      <c r="J578" s="57" t="n">
        <v>0.07000000000000001</v>
      </c>
      <c r="K578" s="56" t="inlineStr">
        <is>
          <t>account data velocity</t>
        </is>
      </c>
      <c r="L578" s="58" t="n">
        <v>3.269</v>
      </c>
      <c r="M578" s="56" t="inlineStr">
        <is>
          <t>own BFCM 2025 lift (account data)</t>
        </is>
      </c>
      <c r="N578" s="59">
        <f>J578*34+J578*L578*12</f>
        <v/>
      </c>
      <c r="O578" s="59">
        <f>MAX(0,N578-G578-H578)</f>
        <v/>
      </c>
      <c r="P578" s="60">
        <f>IF(J578=0,"",IF(G578&lt;J578*34,DATE(2026,10,15)+G578/J578,IF(G578&lt;N578,DATE(2026,11,18)+(G578-J578*34)/(J578*L578),"after Nov 30")))</f>
        <v/>
      </c>
      <c r="Q578" s="60">
        <f>IF(J578=0,"",IF(G578+H578&lt;J578*34,DATE(2026,10,15)+(G578+H578)/J578,IF(G578+H578&lt;N578,DATE(2026,11,18)+(G578+H578-J578*34)/(J578*L578),"after Nov 30")))</f>
        <v/>
      </c>
      <c r="R578" s="54">
        <f>IF(AND(G578&lt;=0,J578&gt;0),"Out of stock now",IF(G578&gt;=N578,"Covered to Nov 30",IF(G578+H578&gt;=N578,"Needs inbound in time","Short even with inbound")))</f>
        <v/>
      </c>
      <c r="S578" s="57" t="n">
        <v>0.107</v>
      </c>
      <c r="T578" s="59">
        <f>IF(S578="","",S578*34+S578*L578*12)</f>
        <v/>
      </c>
    </row>
    <row r="579">
      <c r="A579" s="54" t="inlineStr">
        <is>
          <t>CA DC S4</t>
        </is>
      </c>
      <c r="B579" s="54" t="inlineStr">
        <is>
          <t>CA</t>
        </is>
      </c>
      <c r="C579" s="54" t="inlineStr">
        <is>
          <t>B09G6LCV5J</t>
        </is>
      </c>
      <c r="D579" s="54" t="inlineStr">
        <is>
          <t>SATIN-STRIPE-FULL-GOLD</t>
        </is>
      </c>
      <c r="E579" s="54" t="inlineStr">
        <is>
          <t>Full</t>
        </is>
      </c>
      <c r="F579" s="54" t="inlineStr">
        <is>
          <t>Striped Gold</t>
        </is>
      </c>
      <c r="G579" s="55" t="n">
        <v>4</v>
      </c>
      <c r="H579" s="55" t="n">
        <v>0</v>
      </c>
      <c r="I579" s="56" t="n"/>
      <c r="J579" s="57" t="n">
        <v>0.07000000000000001</v>
      </c>
      <c r="K579" s="56" t="inlineStr">
        <is>
          <t>account data velocity</t>
        </is>
      </c>
      <c r="L579" s="58" t="n">
        <v>3.269</v>
      </c>
      <c r="M579" s="56" t="inlineStr">
        <is>
          <t>own BFCM 2025 lift (account data)</t>
        </is>
      </c>
      <c r="N579" s="59">
        <f>J579*34+J579*L579*12</f>
        <v/>
      </c>
      <c r="O579" s="59">
        <f>MAX(0,N579-G579-H579)</f>
        <v/>
      </c>
      <c r="P579" s="60">
        <f>IF(J579=0,"",IF(G579&lt;J579*34,DATE(2026,10,15)+G579/J579,IF(G579&lt;N579,DATE(2026,11,18)+(G579-J579*34)/(J579*L579),"after Nov 30")))</f>
        <v/>
      </c>
      <c r="Q579" s="60">
        <f>IF(J579=0,"",IF(G579+H579&lt;J579*34,DATE(2026,10,15)+(G579+H579)/J579,IF(G579+H579&lt;N579,DATE(2026,11,18)+(G579+H579-J579*34)/(J579*L579),"after Nov 30")))</f>
        <v/>
      </c>
      <c r="R579" s="54">
        <f>IF(AND(G579&lt;=0,J579&gt;0),"Out of stock now",IF(G579&gt;=N579,"Covered to Nov 30",IF(G579+H579&gt;=N579,"Needs inbound in time","Short even with inbound")))</f>
        <v/>
      </c>
      <c r="S579" s="57" t="n">
        <v>0.036</v>
      </c>
      <c r="T579" s="59">
        <f>IF(S579="","",S579*34+S579*L579*12)</f>
        <v/>
      </c>
    </row>
    <row r="580">
      <c r="A580" s="54" t="inlineStr">
        <is>
          <t>CA DC S4</t>
        </is>
      </c>
      <c r="B580" s="54" t="inlineStr">
        <is>
          <t>CA</t>
        </is>
      </c>
      <c r="C580" s="54" t="inlineStr">
        <is>
          <t>B0BG1Z32KQ</t>
        </is>
      </c>
      <c r="D580" s="54" t="inlineStr">
        <is>
          <t>SATIN-SEA-TEAL-FULL</t>
        </is>
      </c>
      <c r="E580" s="54" t="inlineStr">
        <is>
          <t>Full</t>
        </is>
      </c>
      <c r="F580" s="54" t="inlineStr">
        <is>
          <t>Sea Teal</t>
        </is>
      </c>
      <c r="G580" s="55" t="n">
        <v>5</v>
      </c>
      <c r="H580" s="55" t="n">
        <v>0</v>
      </c>
      <c r="I580" s="56" t="n"/>
      <c r="J580" s="57" t="n">
        <v>0.07000000000000001</v>
      </c>
      <c r="K580" s="56" t="inlineStr">
        <is>
          <t>account data velocity</t>
        </is>
      </c>
      <c r="L580" s="58" t="n">
        <v>3.269</v>
      </c>
      <c r="M580" s="56" t="inlineStr">
        <is>
          <t>own BFCM 2025 lift (account data)</t>
        </is>
      </c>
      <c r="N580" s="59">
        <f>J580*34+J580*L580*12</f>
        <v/>
      </c>
      <c r="O580" s="59">
        <f>MAX(0,N580-G580-H580)</f>
        <v/>
      </c>
      <c r="P580" s="60">
        <f>IF(J580=0,"",IF(G580&lt;J580*34,DATE(2026,10,15)+G580/J580,IF(G580&lt;N580,DATE(2026,11,18)+(G580-J580*34)/(J580*L580),"after Nov 30")))</f>
        <v/>
      </c>
      <c r="Q580" s="60">
        <f>IF(J580=0,"",IF(G580+H580&lt;J580*34,DATE(2026,10,15)+(G580+H580)/J580,IF(G580+H580&lt;N580,DATE(2026,11,18)+(G580+H580-J580*34)/(J580*L580),"after Nov 30")))</f>
        <v/>
      </c>
      <c r="R580" s="54">
        <f>IF(AND(G580&lt;=0,J580&gt;0),"Out of stock now",IF(G580&gt;=N580,"Covered to Nov 30",IF(G580+H580&gt;=N580,"Needs inbound in time","Short even with inbound")))</f>
        <v/>
      </c>
      <c r="S580" s="57" t="n">
        <v>0</v>
      </c>
      <c r="T580" s="59">
        <f>IF(S580="","",S580*34+S580*L580*12)</f>
        <v/>
      </c>
    </row>
    <row r="581">
      <c r="A581" s="54" t="inlineStr">
        <is>
          <t>CA DC S4</t>
        </is>
      </c>
      <c r="B581" s="54" t="inlineStr">
        <is>
          <t>CA</t>
        </is>
      </c>
      <c r="C581" s="54" t="inlineStr">
        <is>
          <t>B0839LK8DB</t>
        </is>
      </c>
      <c r="D581" s="54" t="inlineStr">
        <is>
          <t>SATIN-KING-PINK</t>
        </is>
      </c>
      <c r="E581" s="54" t="inlineStr">
        <is>
          <t>King</t>
        </is>
      </c>
      <c r="F581" s="54" t="inlineStr">
        <is>
          <t>Pink</t>
        </is>
      </c>
      <c r="G581" s="55" t="n">
        <v>35</v>
      </c>
      <c r="H581" s="55" t="n">
        <v>36</v>
      </c>
      <c r="I581" s="56" t="inlineStr">
        <is>
          <t>FBA19MV0YVFX shipped: 24</t>
        </is>
      </c>
      <c r="J581" s="57" t="n">
        <v>0.07000000000000001</v>
      </c>
      <c r="K581" s="56" t="inlineStr">
        <is>
          <t>account data velocity</t>
        </is>
      </c>
      <c r="L581" s="58" t="n">
        <v>3.269</v>
      </c>
      <c r="M581" s="56" t="inlineStr">
        <is>
          <t>own BFCM 2025 lift (account data)</t>
        </is>
      </c>
      <c r="N581" s="59">
        <f>J581*34+J581*L581*12</f>
        <v/>
      </c>
      <c r="O581" s="59">
        <f>MAX(0,N581-G581-H581)</f>
        <v/>
      </c>
      <c r="P581" s="60">
        <f>IF(J581=0,"",IF(G581&lt;J581*34,DATE(2026,10,15)+G581/J581,IF(G581&lt;N581,DATE(2026,11,18)+(G581-J581*34)/(J581*L581),"after Nov 30")))</f>
        <v/>
      </c>
      <c r="Q581" s="60">
        <f>IF(J581=0,"",IF(G581+H581&lt;J581*34,DATE(2026,10,15)+(G581+H581)/J581,IF(G581+H581&lt;N581,DATE(2026,11,18)+(G581+H581-J581*34)/(J581*L581),"after Nov 30")))</f>
        <v/>
      </c>
      <c r="R581" s="54">
        <f>IF(AND(G581&lt;=0,J581&gt;0),"Out of stock now",IF(G581&gt;=N581,"Covered to Nov 30",IF(G581+H581&gt;=N581,"Needs inbound in time","Short even with inbound")))</f>
        <v/>
      </c>
      <c r="S581" s="57" t="n">
        <v>0</v>
      </c>
      <c r="T581" s="59">
        <f>IF(S581="","",S581*34+S581*L581*12)</f>
        <v/>
      </c>
    </row>
    <row r="582">
      <c r="A582" s="54" t="inlineStr">
        <is>
          <t>CA DC S4</t>
        </is>
      </c>
      <c r="B582" s="54" t="inlineStr">
        <is>
          <t>CA</t>
        </is>
      </c>
      <c r="C582" s="54" t="inlineStr">
        <is>
          <t>B09G6JGMY9</t>
        </is>
      </c>
      <c r="D582" s="54" t="inlineStr">
        <is>
          <t>SATIN-STRIPE-KING-BLUE</t>
        </is>
      </c>
      <c r="E582" s="54" t="inlineStr">
        <is>
          <t>King</t>
        </is>
      </c>
      <c r="F582" s="54" t="inlineStr">
        <is>
          <t>Striped Blue</t>
        </is>
      </c>
      <c r="G582" s="55" t="n">
        <v>4</v>
      </c>
      <c r="H582" s="55" t="n">
        <v>0</v>
      </c>
      <c r="I582" s="56" t="n"/>
      <c r="J582" s="57" t="n">
        <v>0.07000000000000001</v>
      </c>
      <c r="K582" s="56" t="inlineStr">
        <is>
          <t>account data velocity</t>
        </is>
      </c>
      <c r="L582" s="58" t="n">
        <v>3.269</v>
      </c>
      <c r="M582" s="56" t="inlineStr">
        <is>
          <t>own BFCM 2025 lift (account data)</t>
        </is>
      </c>
      <c r="N582" s="59">
        <f>J582*34+J582*L582*12</f>
        <v/>
      </c>
      <c r="O582" s="59">
        <f>MAX(0,N582-G582-H582)</f>
        <v/>
      </c>
      <c r="P582" s="60">
        <f>IF(J582=0,"",IF(G582&lt;J582*34,DATE(2026,10,15)+G582/J582,IF(G582&lt;N582,DATE(2026,11,18)+(G582-J582*34)/(J582*L582),"after Nov 30")))</f>
        <v/>
      </c>
      <c r="Q582" s="60">
        <f>IF(J582=0,"",IF(G582+H582&lt;J582*34,DATE(2026,10,15)+(G582+H582)/J582,IF(G582+H582&lt;N582,DATE(2026,11,18)+(G582+H582-J582*34)/(J582*L582),"after Nov 30")))</f>
        <v/>
      </c>
      <c r="R582" s="54">
        <f>IF(AND(G582&lt;=0,J582&gt;0),"Out of stock now",IF(G582&gt;=N582,"Covered to Nov 30",IF(G582+H582&gt;=N582,"Needs inbound in time","Short even with inbound")))</f>
        <v/>
      </c>
      <c r="S582" s="57" t="n">
        <v>0</v>
      </c>
      <c r="T582" s="59">
        <f>IF(S582="","",S582*34+S582*L582*12)</f>
        <v/>
      </c>
    </row>
    <row r="583">
      <c r="A583" s="54" t="inlineStr">
        <is>
          <t>CA DC S4</t>
        </is>
      </c>
      <c r="B583" s="54" t="inlineStr">
        <is>
          <t>CA</t>
        </is>
      </c>
      <c r="C583" s="54" t="inlineStr">
        <is>
          <t>B0CQRWY3Y7</t>
        </is>
      </c>
      <c r="D583" s="54" t="inlineStr">
        <is>
          <t>SATIN-4PC-KING-SAGE GREEN</t>
        </is>
      </c>
      <c r="E583" s="54" t="inlineStr">
        <is>
          <t>King</t>
        </is>
      </c>
      <c r="F583" s="54" t="inlineStr">
        <is>
          <t>Sage Green</t>
        </is>
      </c>
      <c r="G583" s="55" t="n">
        <v>10</v>
      </c>
      <c r="H583" s="55" t="n">
        <v>0</v>
      </c>
      <c r="I583" s="56" t="n"/>
      <c r="J583" s="57" t="n">
        <v>0.06</v>
      </c>
      <c r="K583" s="56" t="inlineStr">
        <is>
          <t>account data velocity</t>
        </is>
      </c>
      <c r="L583" s="58" t="n">
        <v>3.269</v>
      </c>
      <c r="M583" s="56" t="inlineStr">
        <is>
          <t>own BFCM 2025 lift (account data)</t>
        </is>
      </c>
      <c r="N583" s="59">
        <f>J583*34+J583*L583*12</f>
        <v/>
      </c>
      <c r="O583" s="59">
        <f>MAX(0,N583-G583-H583)</f>
        <v/>
      </c>
      <c r="P583" s="60">
        <f>IF(J583=0,"",IF(G583&lt;J583*34,DATE(2026,10,15)+G583/J583,IF(G583&lt;N583,DATE(2026,11,18)+(G583-J583*34)/(J583*L583),"after Nov 30")))</f>
        <v/>
      </c>
      <c r="Q583" s="60">
        <f>IF(J583=0,"",IF(G583+H583&lt;J583*34,DATE(2026,10,15)+(G583+H583)/J583,IF(G583+H583&lt;N583,DATE(2026,11,18)+(G583+H583-J583*34)/(J583*L583),"after Nov 30")))</f>
        <v/>
      </c>
      <c r="R583" s="54">
        <f>IF(AND(G583&lt;=0,J583&gt;0),"Out of stock now",IF(G583&gt;=N583,"Covered to Nov 30",IF(G583+H583&gt;=N583,"Needs inbound in time","Short even with inbound")))</f>
        <v/>
      </c>
      <c r="S583" s="57" t="n">
        <v>0.07099999999999999</v>
      </c>
      <c r="T583" s="59">
        <f>IF(S583="","",S583*34+S583*L583*12)</f>
        <v/>
      </c>
    </row>
    <row r="584">
      <c r="A584" s="54" t="inlineStr">
        <is>
          <t>CA DC S4</t>
        </is>
      </c>
      <c r="B584" s="54" t="inlineStr">
        <is>
          <t>CA</t>
        </is>
      </c>
      <c r="C584" s="54" t="inlineStr">
        <is>
          <t>B08KR9PWK1</t>
        </is>
      </c>
      <c r="D584" s="54" t="inlineStr">
        <is>
          <t>SATIN-GOLD-FULL</t>
        </is>
      </c>
      <c r="E584" s="54" t="inlineStr">
        <is>
          <t>Full</t>
        </is>
      </c>
      <c r="F584" s="54" t="inlineStr">
        <is>
          <t>Gold</t>
        </is>
      </c>
      <c r="G584" s="55" t="n">
        <v>0</v>
      </c>
      <c r="H584" s="55" t="n">
        <v>0</v>
      </c>
      <c r="I584" s="56" t="n"/>
      <c r="J584" s="57" t="n">
        <v>0.05</v>
      </c>
      <c r="K584" s="56" t="inlineStr">
        <is>
          <t>account data velocity</t>
        </is>
      </c>
      <c r="L584" s="58" t="n">
        <v>3.269</v>
      </c>
      <c r="M584" s="56" t="inlineStr">
        <is>
          <t>own BFCM 2025 lift (account data)</t>
        </is>
      </c>
      <c r="N584" s="59">
        <f>J584*34+J584*L584*12</f>
        <v/>
      </c>
      <c r="O584" s="59">
        <f>MAX(0,N584-G584-H584)</f>
        <v/>
      </c>
      <c r="P584" s="60">
        <f>IF(J584=0,"",IF(G584&lt;J584*34,DATE(2026,10,15)+G584/J584,IF(G584&lt;N584,DATE(2026,11,18)+(G584-J584*34)/(J584*L584),"after Nov 30")))</f>
        <v/>
      </c>
      <c r="Q584" s="60">
        <f>IF(J584=0,"",IF(G584+H584&lt;J584*34,DATE(2026,10,15)+(G584+H584)/J584,IF(G584+H584&lt;N584,DATE(2026,11,18)+(G584+H584-J584*34)/(J584*L584),"after Nov 30")))</f>
        <v/>
      </c>
      <c r="R584" s="54">
        <f>IF(AND(G584&lt;=0,J584&gt;0),"Out of stock now",IF(G584&gt;=N584,"Covered to Nov 30",IF(G584+H584&gt;=N584,"Needs inbound in time","Short even with inbound")))</f>
        <v/>
      </c>
      <c r="S584" s="57" t="n">
        <v>0.036</v>
      </c>
      <c r="T584" s="59">
        <f>IF(S584="","",S584*34+S584*L584*12)</f>
        <v/>
      </c>
    </row>
    <row r="585">
      <c r="A585" s="54" t="inlineStr">
        <is>
          <t>CA DC S4</t>
        </is>
      </c>
      <c r="B585" s="54" t="inlineStr">
        <is>
          <t>CA</t>
        </is>
      </c>
      <c r="C585" s="54" t="inlineStr">
        <is>
          <t>B0839LMS13</t>
        </is>
      </c>
      <c r="D585" s="54" t="inlineStr">
        <is>
          <t>SATIN-FULL-GREY</t>
        </is>
      </c>
      <c r="E585" s="54" t="inlineStr">
        <is>
          <t>Full</t>
        </is>
      </c>
      <c r="F585" s="54" t="inlineStr">
        <is>
          <t>Grey</t>
        </is>
      </c>
      <c r="G585" s="55" t="n">
        <v>6</v>
      </c>
      <c r="H585" s="55" t="n">
        <v>0</v>
      </c>
      <c r="I585" s="56" t="n"/>
      <c r="J585" s="57" t="n">
        <v>0.04</v>
      </c>
      <c r="K585" s="56" t="inlineStr">
        <is>
          <t>account data velocity</t>
        </is>
      </c>
      <c r="L585" s="58" t="n">
        <v>3.269</v>
      </c>
      <c r="M585" s="56" t="inlineStr">
        <is>
          <t>own BFCM 2025 lift (account data)</t>
        </is>
      </c>
      <c r="N585" s="59">
        <f>J585*34+J585*L585*12</f>
        <v/>
      </c>
      <c r="O585" s="59">
        <f>MAX(0,N585-G585-H585)</f>
        <v/>
      </c>
      <c r="P585" s="60">
        <f>IF(J585=0,"",IF(G585&lt;J585*34,DATE(2026,10,15)+G585/J585,IF(G585&lt;N585,DATE(2026,11,18)+(G585-J585*34)/(J585*L585),"after Nov 30")))</f>
        <v/>
      </c>
      <c r="Q585" s="60">
        <f>IF(J585=0,"",IF(G585+H585&lt;J585*34,DATE(2026,10,15)+(G585+H585)/J585,IF(G585+H585&lt;N585,DATE(2026,11,18)+(G585+H585-J585*34)/(J585*L585),"after Nov 30")))</f>
        <v/>
      </c>
      <c r="R585" s="54">
        <f>IF(AND(G585&lt;=0,J585&gt;0),"Out of stock now",IF(G585&gt;=N585,"Covered to Nov 30",IF(G585+H585&gt;=N585,"Needs inbound in time","Short even with inbound")))</f>
        <v/>
      </c>
      <c r="S585" s="57" t="n">
        <v>0.07099999999999999</v>
      </c>
      <c r="T585" s="59">
        <f>IF(S585="","",S585*34+S585*L585*12)</f>
        <v/>
      </c>
    </row>
    <row r="586">
      <c r="A586" s="54" t="inlineStr">
        <is>
          <t>CA DC S4</t>
        </is>
      </c>
      <c r="B586" s="54" t="inlineStr">
        <is>
          <t>CA</t>
        </is>
      </c>
      <c r="C586" s="54" t="inlineStr">
        <is>
          <t>B0BG25XZHJ</t>
        </is>
      </c>
      <c r="D586" s="54" t="inlineStr">
        <is>
          <t>SATIN-IVORY-TWIN</t>
        </is>
      </c>
      <c r="E586" s="54" t="inlineStr">
        <is>
          <t>Twin</t>
        </is>
      </c>
      <c r="F586" s="54" t="inlineStr">
        <is>
          <t>Ivory</t>
        </is>
      </c>
      <c r="G586" s="55" t="n">
        <v>0</v>
      </c>
      <c r="H586" s="55" t="n">
        <v>0</v>
      </c>
      <c r="I586" s="56" t="n"/>
      <c r="J586" s="57" t="n">
        <v>0.04</v>
      </c>
      <c r="K586" s="56" t="inlineStr">
        <is>
          <t>account data velocity</t>
        </is>
      </c>
      <c r="L586" s="58" t="n">
        <v>3.269</v>
      </c>
      <c r="M586" s="56" t="inlineStr">
        <is>
          <t>own BFCM 2025 lift (account data)</t>
        </is>
      </c>
      <c r="N586" s="59">
        <f>J586*34+J586*L586*12</f>
        <v/>
      </c>
      <c r="O586" s="59">
        <f>MAX(0,N586-G586-H586)</f>
        <v/>
      </c>
      <c r="P586" s="60">
        <f>IF(J586=0,"",IF(G586&lt;J586*34,DATE(2026,10,15)+G586/J586,IF(G586&lt;N586,DATE(2026,11,18)+(G586-J586*34)/(J586*L586),"after Nov 30")))</f>
        <v/>
      </c>
      <c r="Q586" s="60">
        <f>IF(J586=0,"",IF(G586+H586&lt;J586*34,DATE(2026,10,15)+(G586+H586)/J586,IF(G586+H586&lt;N586,DATE(2026,11,18)+(G586+H586-J586*34)/(J586*L586),"after Nov 30")))</f>
        <v/>
      </c>
      <c r="R586" s="54">
        <f>IF(AND(G586&lt;=0,J586&gt;0),"Out of stock now",IF(G586&gt;=N586,"Covered to Nov 30",IF(G586+H586&gt;=N586,"Needs inbound in time","Short even with inbound")))</f>
        <v/>
      </c>
      <c r="S586" s="57" t="n">
        <v>0.036</v>
      </c>
      <c r="T586" s="59">
        <f>IF(S586="","",S586*34+S586*L586*12)</f>
        <v/>
      </c>
    </row>
    <row r="587">
      <c r="A587" s="54" t="inlineStr">
        <is>
          <t>CA DC S4</t>
        </is>
      </c>
      <c r="B587" s="54" t="inlineStr">
        <is>
          <t>CA</t>
        </is>
      </c>
      <c r="C587" s="54" t="inlineStr">
        <is>
          <t>B0BG21NBG9</t>
        </is>
      </c>
      <c r="D587" s="54" t="inlineStr">
        <is>
          <t>SATIN-STONEGREY-TWIN</t>
        </is>
      </c>
      <c r="E587" s="54" t="inlineStr">
        <is>
          <t>Twin</t>
        </is>
      </c>
      <c r="F587" s="54" t="inlineStr">
        <is>
          <t>Stone Grey</t>
        </is>
      </c>
      <c r="G587" s="55" t="n">
        <v>27</v>
      </c>
      <c r="H587" s="55" t="n">
        <v>30</v>
      </c>
      <c r="I587" s="56" t="inlineStr">
        <is>
          <t>FBA19RSBKFGZ shipped: 18; FBA19QLVD3FK shipped: 12</t>
        </is>
      </c>
      <c r="J587" s="57" t="n">
        <v>0.04</v>
      </c>
      <c r="K587" s="56" t="inlineStr">
        <is>
          <t>account data velocity</t>
        </is>
      </c>
      <c r="L587" s="58" t="n">
        <v>3.269</v>
      </c>
      <c r="M587" s="56" t="inlineStr">
        <is>
          <t>own BFCM 2025 lift (account data)</t>
        </is>
      </c>
      <c r="N587" s="59">
        <f>J587*34+J587*L587*12</f>
        <v/>
      </c>
      <c r="O587" s="59">
        <f>MAX(0,N587-G587-H587)</f>
        <v/>
      </c>
      <c r="P587" s="60">
        <f>IF(J587=0,"",IF(G587&lt;J587*34,DATE(2026,10,15)+G587/J587,IF(G587&lt;N587,DATE(2026,11,18)+(G587-J587*34)/(J587*L587),"after Nov 30")))</f>
        <v/>
      </c>
      <c r="Q587" s="60">
        <f>IF(J587=0,"",IF(G587+H587&lt;J587*34,DATE(2026,10,15)+(G587+H587)/J587,IF(G587+H587&lt;N587,DATE(2026,11,18)+(G587+H587-J587*34)/(J587*L587),"after Nov 30")))</f>
        <v/>
      </c>
      <c r="R587" s="54">
        <f>IF(AND(G587&lt;=0,J587&gt;0),"Out of stock now",IF(G587&gt;=N587,"Covered to Nov 30",IF(G587+H587&gt;=N587,"Needs inbound in time","Short even with inbound")))</f>
        <v/>
      </c>
      <c r="S587" s="57" t="n">
        <v>0.036</v>
      </c>
      <c r="T587" s="59">
        <f>IF(S587="","",S587*34+S587*L587*12)</f>
        <v/>
      </c>
    </row>
    <row r="588">
      <c r="A588" s="54" t="inlineStr">
        <is>
          <t>CA DC S4</t>
        </is>
      </c>
      <c r="B588" s="54" t="inlineStr">
        <is>
          <t>CA</t>
        </is>
      </c>
      <c r="C588" s="54" t="inlineStr">
        <is>
          <t>B0CQSJZV7C</t>
        </is>
      </c>
      <c r="D588" s="54" t="inlineStr">
        <is>
          <t>SATIN-4PC-FULL-BURNT ORANGE</t>
        </is>
      </c>
      <c r="E588" s="54" t="inlineStr">
        <is>
          <t>Full</t>
        </is>
      </c>
      <c r="F588" s="54" t="inlineStr">
        <is>
          <t>Burnt Orange</t>
        </is>
      </c>
      <c r="G588" s="55" t="n">
        <v>0</v>
      </c>
      <c r="H588" s="55" t="n">
        <v>0</v>
      </c>
      <c r="I588" s="56" t="n"/>
      <c r="J588" s="57" t="n">
        <v>0.036</v>
      </c>
      <c r="K588" s="56" t="inlineStr">
        <is>
          <t>units last 28 days / 28 (no account data velocity: out of stock)</t>
        </is>
      </c>
      <c r="L588" s="58" t="n">
        <v>3.269</v>
      </c>
      <c r="M588" s="56" t="inlineStr">
        <is>
          <t>own BFCM 2025 lift (account data)</t>
        </is>
      </c>
      <c r="N588" s="59">
        <f>J588*34+J588*L588*12</f>
        <v/>
      </c>
      <c r="O588" s="59">
        <f>MAX(0,N588-G588-H588)</f>
        <v/>
      </c>
      <c r="P588" s="60">
        <f>IF(J588=0,"",IF(G588&lt;J588*34,DATE(2026,10,15)+G588/J588,IF(G588&lt;N588,DATE(2026,11,18)+(G588-J588*34)/(J588*L588),"after Nov 30")))</f>
        <v/>
      </c>
      <c r="Q588" s="60">
        <f>IF(J588=0,"",IF(G588+H588&lt;J588*34,DATE(2026,10,15)+(G588+H588)/J588,IF(G588+H588&lt;N588,DATE(2026,11,18)+(G588+H588-J588*34)/(J588*L588),"after Nov 30")))</f>
        <v/>
      </c>
      <c r="R588" s="54">
        <f>IF(AND(G588&lt;=0,J588&gt;0),"Out of stock now",IF(G588&gt;=N588,"Covered to Nov 30",IF(G588+H588&gt;=N588,"Needs inbound in time","Short even with inbound")))</f>
        <v/>
      </c>
      <c r="S588" s="57" t="n">
        <v>0.036</v>
      </c>
      <c r="T588" s="59">
        <f>IF(S588="","",S588*34+S588*L588*12)</f>
        <v/>
      </c>
    </row>
    <row r="589">
      <c r="A589" s="54" t="inlineStr">
        <is>
          <t>CA DC S4</t>
        </is>
      </c>
      <c r="B589" s="54" t="inlineStr">
        <is>
          <t>CA</t>
        </is>
      </c>
      <c r="C589" s="54" t="inlineStr">
        <is>
          <t>B09G6KWNBW</t>
        </is>
      </c>
      <c r="D589" s="54" t="inlineStr">
        <is>
          <t>SATIN-STRIPE-QUEEN-GRAY</t>
        </is>
      </c>
      <c r="E589" s="54" t="inlineStr">
        <is>
          <t>Queen</t>
        </is>
      </c>
      <c r="F589" s="54" t="inlineStr">
        <is>
          <t>Stripe Grey-01</t>
        </is>
      </c>
      <c r="G589" s="55" t="n">
        <v>0</v>
      </c>
      <c r="H589" s="55" t="n">
        <v>0</v>
      </c>
      <c r="I589" s="56" t="n"/>
      <c r="J589" s="57" t="n">
        <v>0.036</v>
      </c>
      <c r="K589" s="56" t="inlineStr">
        <is>
          <t>units last 28 days / 28 (no account data velocity: out of stock)</t>
        </is>
      </c>
      <c r="L589" s="58" t="n">
        <v>3.269</v>
      </c>
      <c r="M589" s="56" t="inlineStr">
        <is>
          <t>own BFCM 2025 lift (account data)</t>
        </is>
      </c>
      <c r="N589" s="59">
        <f>J589*34+J589*L589*12</f>
        <v/>
      </c>
      <c r="O589" s="59">
        <f>MAX(0,N589-G589-H589)</f>
        <v/>
      </c>
      <c r="P589" s="60">
        <f>IF(J589=0,"",IF(G589&lt;J589*34,DATE(2026,10,15)+G589/J589,IF(G589&lt;N589,DATE(2026,11,18)+(G589-J589*34)/(J589*L589),"after Nov 30")))</f>
        <v/>
      </c>
      <c r="Q589" s="60">
        <f>IF(J589=0,"",IF(G589+H589&lt;J589*34,DATE(2026,10,15)+(G589+H589)/J589,IF(G589+H589&lt;N589,DATE(2026,11,18)+(G589+H589-J589*34)/(J589*L589),"after Nov 30")))</f>
        <v/>
      </c>
      <c r="R589" s="54">
        <f>IF(AND(G589&lt;=0,J589&gt;0),"Out of stock now",IF(G589&gt;=N589,"Covered to Nov 30",IF(G589+H589&gt;=N589,"Needs inbound in time","Short even with inbound")))</f>
        <v/>
      </c>
      <c r="S589" s="57" t="n">
        <v>0.036</v>
      </c>
      <c r="T589" s="59">
        <f>IF(S589="","",S589*34+S589*L589*12)</f>
        <v/>
      </c>
    </row>
    <row r="590">
      <c r="A590" s="54" t="inlineStr">
        <is>
          <t>CA DC S4</t>
        </is>
      </c>
      <c r="B590" s="54" t="inlineStr">
        <is>
          <t>CA</t>
        </is>
      </c>
      <c r="C590" s="54" t="inlineStr">
        <is>
          <t>B09G6JSW33</t>
        </is>
      </c>
      <c r="D590" s="54" t="inlineStr">
        <is>
          <t>SATIN-STRIPE-QUEEN-PINK</t>
        </is>
      </c>
      <c r="E590" s="54" t="inlineStr">
        <is>
          <t>Queen</t>
        </is>
      </c>
      <c r="F590" s="54" t="inlineStr">
        <is>
          <t>Striped Pink</t>
        </is>
      </c>
      <c r="G590" s="55" t="n">
        <v>0</v>
      </c>
      <c r="H590" s="55" t="n">
        <v>0</v>
      </c>
      <c r="I590" s="56" t="n"/>
      <c r="J590" s="57" t="n">
        <v>0.036</v>
      </c>
      <c r="K590" s="56" t="inlineStr">
        <is>
          <t>units last 28 days / 28 (no account data velocity: out of stock)</t>
        </is>
      </c>
      <c r="L590" s="58" t="n">
        <v>3.269</v>
      </c>
      <c r="M590" s="56" t="inlineStr">
        <is>
          <t>own BFCM 2025 lift (account data)</t>
        </is>
      </c>
      <c r="N590" s="59">
        <f>J590*34+J590*L590*12</f>
        <v/>
      </c>
      <c r="O590" s="59">
        <f>MAX(0,N590-G590-H590)</f>
        <v/>
      </c>
      <c r="P590" s="60">
        <f>IF(J590=0,"",IF(G590&lt;J590*34,DATE(2026,10,15)+G590/J590,IF(G590&lt;N590,DATE(2026,11,18)+(G590-J590*34)/(J590*L590),"after Nov 30")))</f>
        <v/>
      </c>
      <c r="Q590" s="60">
        <f>IF(J590=0,"",IF(G590+H590&lt;J590*34,DATE(2026,10,15)+(G590+H590)/J590,IF(G590+H590&lt;N590,DATE(2026,11,18)+(G590+H590-J590*34)/(J590*L590),"after Nov 30")))</f>
        <v/>
      </c>
      <c r="R590" s="54">
        <f>IF(AND(G590&lt;=0,J590&gt;0),"Out of stock now",IF(G590&gt;=N590,"Covered to Nov 30",IF(G590+H590&gt;=N590,"Needs inbound in time","Short even with inbound")))</f>
        <v/>
      </c>
      <c r="S590" s="57" t="n">
        <v>0.036</v>
      </c>
      <c r="T590" s="59">
        <f>IF(S590="","",S590*34+S590*L590*12)</f>
        <v/>
      </c>
    </row>
    <row r="591">
      <c r="A591" s="54" t="inlineStr">
        <is>
          <t>CA DC S4</t>
        </is>
      </c>
      <c r="B591" s="54" t="inlineStr">
        <is>
          <t>CA</t>
        </is>
      </c>
      <c r="C591" s="54" t="inlineStr">
        <is>
          <t>B0CQRX8Q2P</t>
        </is>
      </c>
      <c r="D591" s="54" t="inlineStr">
        <is>
          <t>SATIN-3PC-TWIN-LAVENDER</t>
        </is>
      </c>
      <c r="E591" s="54" t="inlineStr">
        <is>
          <t>Twin</t>
        </is>
      </c>
      <c r="F591" s="54" t="inlineStr">
        <is>
          <t>Lavender</t>
        </is>
      </c>
      <c r="G591" s="55" t="n">
        <v>0</v>
      </c>
      <c r="H591" s="55" t="n">
        <v>0</v>
      </c>
      <c r="I591" s="56" t="inlineStr">
        <is>
          <t>FBA19KGF9QJN shipped: 140</t>
        </is>
      </c>
      <c r="J591" s="57" t="n">
        <v>0.036</v>
      </c>
      <c r="K591" s="56" t="inlineStr">
        <is>
          <t>units last 28 days / 28 (no account data velocity: out of stock)</t>
        </is>
      </c>
      <c r="L591" s="58" t="n">
        <v>3.269</v>
      </c>
      <c r="M591" s="56" t="inlineStr">
        <is>
          <t>own BFCM 2025 lift (account data)</t>
        </is>
      </c>
      <c r="N591" s="59">
        <f>J591*34+J591*L591*12</f>
        <v/>
      </c>
      <c r="O591" s="59">
        <f>MAX(0,N591-G591-H591)</f>
        <v/>
      </c>
      <c r="P591" s="60">
        <f>IF(J591=0,"",IF(G591&lt;J591*34,DATE(2026,10,15)+G591/J591,IF(G591&lt;N591,DATE(2026,11,18)+(G591-J591*34)/(J591*L591),"after Nov 30")))</f>
        <v/>
      </c>
      <c r="Q591" s="60">
        <f>IF(J591=0,"",IF(G591+H591&lt;J591*34,DATE(2026,10,15)+(G591+H591)/J591,IF(G591+H591&lt;N591,DATE(2026,11,18)+(G591+H591-J591*34)/(J591*L591),"after Nov 30")))</f>
        <v/>
      </c>
      <c r="R591" s="54">
        <f>IF(AND(G591&lt;=0,J591&gt;0),"Out of stock now",IF(G591&gt;=N591,"Covered to Nov 30",IF(G591+H591&gt;=N591,"Needs inbound in time","Short even with inbound")))</f>
        <v/>
      </c>
      <c r="S591" s="57" t="n">
        <v>0.036</v>
      </c>
      <c r="T591" s="59">
        <f>IF(S591="","",S591*34+S591*L591*12)</f>
        <v/>
      </c>
    </row>
    <row r="592">
      <c r="A592" s="54" t="inlineStr">
        <is>
          <t>CA DC S4</t>
        </is>
      </c>
      <c r="B592" s="54" t="inlineStr">
        <is>
          <t>CA</t>
        </is>
      </c>
      <c r="C592" s="54" t="inlineStr">
        <is>
          <t>B0839M48YF</t>
        </is>
      </c>
      <c r="D592" s="54" t="inlineStr">
        <is>
          <t>SATIN-TWIN-PURPLE</t>
        </is>
      </c>
      <c r="E592" s="54" t="inlineStr">
        <is>
          <t>Twin</t>
        </is>
      </c>
      <c r="F592" s="54" t="inlineStr">
        <is>
          <t>Purple</t>
        </is>
      </c>
      <c r="G592" s="55" t="n">
        <v>0</v>
      </c>
      <c r="H592" s="55" t="n">
        <v>0</v>
      </c>
      <c r="I592" s="56" t="n"/>
      <c r="J592" s="57" t="n">
        <v>0.036</v>
      </c>
      <c r="K592" s="56" t="inlineStr">
        <is>
          <t>units last 28 days / 28 (no account data velocity: out of stock)</t>
        </is>
      </c>
      <c r="L592" s="58" t="n">
        <v>3.269</v>
      </c>
      <c r="M592" s="56" t="inlineStr">
        <is>
          <t>own BFCM 2025 lift (account data)</t>
        </is>
      </c>
      <c r="N592" s="59">
        <f>J592*34+J592*L592*12</f>
        <v/>
      </c>
      <c r="O592" s="59">
        <f>MAX(0,N592-G592-H592)</f>
        <v/>
      </c>
      <c r="P592" s="60">
        <f>IF(J592=0,"",IF(G592&lt;J592*34,DATE(2026,10,15)+G592/J592,IF(G592&lt;N592,DATE(2026,11,18)+(G592-J592*34)/(J592*L592),"after Nov 30")))</f>
        <v/>
      </c>
      <c r="Q592" s="60">
        <f>IF(J592=0,"",IF(G592+H592&lt;J592*34,DATE(2026,10,15)+(G592+H592)/J592,IF(G592+H592&lt;N592,DATE(2026,11,18)+(G592+H592-J592*34)/(J592*L592),"after Nov 30")))</f>
        <v/>
      </c>
      <c r="R592" s="54">
        <f>IF(AND(G592&lt;=0,J592&gt;0),"Out of stock now",IF(G592&gt;=N592,"Covered to Nov 30",IF(G592+H592&gt;=N592,"Needs inbound in time","Short even with inbound")))</f>
        <v/>
      </c>
      <c r="S592" s="57" t="n">
        <v>0.036</v>
      </c>
      <c r="T592" s="59">
        <f>IF(S592="","",S592*34+S592*L592*12)</f>
        <v/>
      </c>
    </row>
    <row r="593">
      <c r="A593" s="54" t="inlineStr">
        <is>
          <t>CA DC S4</t>
        </is>
      </c>
      <c r="B593" s="54" t="inlineStr">
        <is>
          <t>CA</t>
        </is>
      </c>
      <c r="C593" s="54" t="inlineStr">
        <is>
          <t>B09G6LBQHH</t>
        </is>
      </c>
      <c r="D593" s="54" t="inlineStr">
        <is>
          <t>SATIN-STRIPE-KING-PINK</t>
        </is>
      </c>
      <c r="E593" s="54" t="inlineStr">
        <is>
          <t>King</t>
        </is>
      </c>
      <c r="F593" s="54" t="inlineStr">
        <is>
          <t>Striped Pink</t>
        </is>
      </c>
      <c r="G593" s="55" t="n">
        <v>5</v>
      </c>
      <c r="H593" s="55" t="n">
        <v>0</v>
      </c>
      <c r="I593" s="56" t="n"/>
      <c r="J593" s="57" t="n">
        <v>0.03</v>
      </c>
      <c r="K593" s="56" t="inlineStr">
        <is>
          <t>account data velocity</t>
        </is>
      </c>
      <c r="L593" s="58" t="n">
        <v>3.269</v>
      </c>
      <c r="M593" s="56" t="inlineStr">
        <is>
          <t>own BFCM 2025 lift (account data)</t>
        </is>
      </c>
      <c r="N593" s="59">
        <f>J593*34+J593*L593*12</f>
        <v/>
      </c>
      <c r="O593" s="59">
        <f>MAX(0,N593-G593-H593)</f>
        <v/>
      </c>
      <c r="P593" s="60">
        <f>IF(J593=0,"",IF(G593&lt;J593*34,DATE(2026,10,15)+G593/J593,IF(G593&lt;N593,DATE(2026,11,18)+(G593-J593*34)/(J593*L593),"after Nov 30")))</f>
        <v/>
      </c>
      <c r="Q593" s="60">
        <f>IF(J593=0,"",IF(G593+H593&lt;J593*34,DATE(2026,10,15)+(G593+H593)/J593,IF(G593+H593&lt;N593,DATE(2026,11,18)+(G593+H593-J593*34)/(J593*L593),"after Nov 30")))</f>
        <v/>
      </c>
      <c r="R593" s="54">
        <f>IF(AND(G593&lt;=0,J593&gt;0),"Out of stock now",IF(G593&gt;=N593,"Covered to Nov 30",IF(G593+H593&gt;=N593,"Needs inbound in time","Short even with inbound")))</f>
        <v/>
      </c>
      <c r="S593" s="57" t="n">
        <v>0.036</v>
      </c>
      <c r="T593" s="59">
        <f>IF(S593="","",S593*34+S593*L593*12)</f>
        <v/>
      </c>
    </row>
    <row r="594">
      <c r="A594" s="54" t="inlineStr">
        <is>
          <t>CA DC S4</t>
        </is>
      </c>
      <c r="B594" s="54" t="inlineStr">
        <is>
          <t>CA</t>
        </is>
      </c>
      <c r="C594" s="54" t="inlineStr">
        <is>
          <t>B0BZPYNXPB</t>
        </is>
      </c>
      <c r="D594" s="54" t="inlineStr">
        <is>
          <t>SATIN-CHAMPAGNE-FULL</t>
        </is>
      </c>
      <c r="E594" s="54" t="inlineStr">
        <is>
          <t>Full</t>
        </is>
      </c>
      <c r="F594" s="54" t="inlineStr">
        <is>
          <t>Champagne</t>
        </is>
      </c>
      <c r="G594" s="55" t="n">
        <v>8</v>
      </c>
      <c r="H594" s="55" t="n">
        <v>0</v>
      </c>
      <c r="I594" s="56" t="n"/>
      <c r="J594" s="57" t="n">
        <v>0.02</v>
      </c>
      <c r="K594" s="56" t="inlineStr">
        <is>
          <t>account data velocity</t>
        </is>
      </c>
      <c r="L594" s="58" t="n">
        <v>3.269</v>
      </c>
      <c r="M594" s="56" t="inlineStr">
        <is>
          <t>own BFCM 2025 lift (account data)</t>
        </is>
      </c>
      <c r="N594" s="59">
        <f>J594*34+J594*L594*12</f>
        <v/>
      </c>
      <c r="O594" s="59">
        <f>MAX(0,N594-G594-H594)</f>
        <v/>
      </c>
      <c r="P594" s="60">
        <f>IF(J594=0,"",IF(G594&lt;J594*34,DATE(2026,10,15)+G594/J594,IF(G594&lt;N594,DATE(2026,11,18)+(G594-J594*34)/(J594*L594),"after Nov 30")))</f>
        <v/>
      </c>
      <c r="Q594" s="60">
        <f>IF(J594=0,"",IF(G594+H594&lt;J594*34,DATE(2026,10,15)+(G594+H594)/J594,IF(G594+H594&lt;N594,DATE(2026,11,18)+(G594+H594-J594*34)/(J594*L594),"after Nov 30")))</f>
        <v/>
      </c>
      <c r="R594" s="54">
        <f>IF(AND(G594&lt;=0,J594&gt;0),"Out of stock now",IF(G594&gt;=N594,"Covered to Nov 30",IF(G594+H594&gt;=N594,"Needs inbound in time","Short even with inbound")))</f>
        <v/>
      </c>
      <c r="S594" s="57" t="n">
        <v>0.036</v>
      </c>
      <c r="T594" s="59">
        <f>IF(S594="","",S594*34+S594*L594*12)</f>
        <v/>
      </c>
    </row>
    <row r="595">
      <c r="A595" s="54" t="inlineStr">
        <is>
          <t>CA DC S4</t>
        </is>
      </c>
      <c r="B595" s="54" t="inlineStr">
        <is>
          <t>CA</t>
        </is>
      </c>
      <c r="C595" s="54" t="inlineStr">
        <is>
          <t>B09G6J1HVY</t>
        </is>
      </c>
      <c r="D595" s="54" t="inlineStr">
        <is>
          <t>SATIN-STRIPE-FULL-GRAY</t>
        </is>
      </c>
      <c r="E595" s="54" t="inlineStr">
        <is>
          <t>Full</t>
        </is>
      </c>
      <c r="F595" s="54" t="inlineStr">
        <is>
          <t>Striped Grey</t>
        </is>
      </c>
      <c r="G595" s="55" t="n">
        <v>5</v>
      </c>
      <c r="H595" s="55" t="n">
        <v>0</v>
      </c>
      <c r="I595" s="56" t="n"/>
      <c r="J595" s="57" t="n">
        <v>0.02</v>
      </c>
      <c r="K595" s="56" t="inlineStr">
        <is>
          <t>account data velocity</t>
        </is>
      </c>
      <c r="L595" s="58" t="n">
        <v>3.269</v>
      </c>
      <c r="M595" s="56" t="inlineStr">
        <is>
          <t>own BFCM 2025 lift (account data)</t>
        </is>
      </c>
      <c r="N595" s="59">
        <f>J595*34+J595*L595*12</f>
        <v/>
      </c>
      <c r="O595" s="59">
        <f>MAX(0,N595-G595-H595)</f>
        <v/>
      </c>
      <c r="P595" s="60">
        <f>IF(J595=0,"",IF(G595&lt;J595*34,DATE(2026,10,15)+G595/J595,IF(G595&lt;N595,DATE(2026,11,18)+(G595-J595*34)/(J595*L595),"after Nov 30")))</f>
        <v/>
      </c>
      <c r="Q595" s="60">
        <f>IF(J595=0,"",IF(G595+H595&lt;J595*34,DATE(2026,10,15)+(G595+H595)/J595,IF(G595+H595&lt;N595,DATE(2026,11,18)+(G595+H595-J595*34)/(J595*L595),"after Nov 30")))</f>
        <v/>
      </c>
      <c r="R595" s="54">
        <f>IF(AND(G595&lt;=0,J595&gt;0),"Out of stock now",IF(G595&gt;=N595,"Covered to Nov 30",IF(G595+H595&gt;=N595,"Needs inbound in time","Short even with inbound")))</f>
        <v/>
      </c>
      <c r="S595" s="57" t="n">
        <v>0</v>
      </c>
      <c r="T595" s="59">
        <f>IF(S595="","",S595*34+S595*L595*12)</f>
        <v/>
      </c>
    </row>
    <row r="596">
      <c r="A596" s="54" t="inlineStr">
        <is>
          <t>CA DC S4</t>
        </is>
      </c>
      <c r="B596" s="54" t="inlineStr">
        <is>
          <t>CA</t>
        </is>
      </c>
      <c r="C596" s="54" t="inlineStr">
        <is>
          <t>B0DBQVFTZS</t>
        </is>
      </c>
      <c r="D596" s="54" t="inlineStr">
        <is>
          <t>SATIN-4PCS-FULL-ROSEWOOD</t>
        </is>
      </c>
      <c r="E596" s="54" t="inlineStr">
        <is>
          <t>Full</t>
        </is>
      </c>
      <c r="F596" s="54" t="inlineStr">
        <is>
          <t>Rosewood</t>
        </is>
      </c>
      <c r="G596" s="55" t="n">
        <v>0</v>
      </c>
      <c r="H596" s="55" t="n">
        <v>0</v>
      </c>
      <c r="I596" s="56" t="n"/>
      <c r="J596" s="57" t="n">
        <v>0.01</v>
      </c>
      <c r="K596" s="56" t="inlineStr">
        <is>
          <t>account data velocity</t>
        </is>
      </c>
      <c r="L596" s="58" t="n">
        <v>3.269</v>
      </c>
      <c r="M596" s="56" t="inlineStr">
        <is>
          <t>own BFCM 2025 lift (account data)</t>
        </is>
      </c>
      <c r="N596" s="59">
        <f>J596*34+J596*L596*12</f>
        <v/>
      </c>
      <c r="O596" s="59">
        <f>MAX(0,N596-G596-H596)</f>
        <v/>
      </c>
      <c r="P596" s="60">
        <f>IF(J596=0,"",IF(G596&lt;J596*34,DATE(2026,10,15)+G596/J596,IF(G596&lt;N596,DATE(2026,11,18)+(G596-J596*34)/(J596*L596),"after Nov 30")))</f>
        <v/>
      </c>
      <c r="Q596" s="60">
        <f>IF(J596=0,"",IF(G596+H596&lt;J596*34,DATE(2026,10,15)+(G596+H596)/J596,IF(G596+H596&lt;N596,DATE(2026,11,18)+(G596+H596-J596*34)/(J596*L596),"after Nov 30")))</f>
        <v/>
      </c>
      <c r="R596" s="54">
        <f>IF(AND(G596&lt;=0,J596&gt;0),"Out of stock now",IF(G596&gt;=N596,"Covered to Nov 30",IF(G596+H596&gt;=N596,"Needs inbound in time","Short even with inbound")))</f>
        <v/>
      </c>
      <c r="S596" s="57" t="n">
        <v>0.036</v>
      </c>
      <c r="T596" s="59">
        <f>IF(S596="","",S596*34+S596*L596*12)</f>
        <v/>
      </c>
    </row>
    <row r="597">
      <c r="A597" s="54" t="inlineStr">
        <is>
          <t>CA DC S4</t>
        </is>
      </c>
      <c r="B597" s="54" t="inlineStr">
        <is>
          <t>CA</t>
        </is>
      </c>
      <c r="C597" s="54" t="inlineStr">
        <is>
          <t>B0DBR1DWPP</t>
        </is>
      </c>
      <c r="D597" s="54" t="inlineStr">
        <is>
          <t>SATIN-4PCS-KING-ROSEWOOD</t>
        </is>
      </c>
      <c r="E597" s="54" t="inlineStr">
        <is>
          <t>King</t>
        </is>
      </c>
      <c r="F597" s="54" t="inlineStr">
        <is>
          <t>Rosewood</t>
        </is>
      </c>
      <c r="G597" s="55" t="n">
        <v>54</v>
      </c>
      <c r="H597" s="55" t="n">
        <v>0</v>
      </c>
      <c r="I597" s="56" t="n"/>
      <c r="J597" s="57" t="n">
        <v>0.01</v>
      </c>
      <c r="K597" s="56" t="inlineStr">
        <is>
          <t>account data velocity</t>
        </is>
      </c>
      <c r="L597" s="58" t="n">
        <v>3.269</v>
      </c>
      <c r="M597" s="56" t="inlineStr">
        <is>
          <t>own BFCM 2025 lift (account data)</t>
        </is>
      </c>
      <c r="N597" s="59">
        <f>J597*34+J597*L597*12</f>
        <v/>
      </c>
      <c r="O597" s="59">
        <f>MAX(0,N597-G597-H597)</f>
        <v/>
      </c>
      <c r="P597" s="60">
        <f>IF(J597=0,"",IF(G597&lt;J597*34,DATE(2026,10,15)+G597/J597,IF(G597&lt;N597,DATE(2026,11,18)+(G597-J597*34)/(J597*L597),"after Nov 30")))</f>
        <v/>
      </c>
      <c r="Q597" s="60">
        <f>IF(J597=0,"",IF(G597+H597&lt;J597*34,DATE(2026,10,15)+(G597+H597)/J597,IF(G597+H597&lt;N597,DATE(2026,11,18)+(G597+H597-J597*34)/(J597*L597),"after Nov 30")))</f>
        <v/>
      </c>
      <c r="R597" s="54">
        <f>IF(AND(G597&lt;=0,J597&gt;0),"Out of stock now",IF(G597&gt;=N597,"Covered to Nov 30",IF(G597+H597&gt;=N597,"Needs inbound in time","Short even with inbound")))</f>
        <v/>
      </c>
      <c r="S597" s="57" t="n">
        <v>0</v>
      </c>
      <c r="T597" s="59">
        <f>IF(S597="","",S597*34+S597*L597*12)</f>
        <v/>
      </c>
    </row>
    <row r="598">
      <c r="A598" s="54" t="inlineStr">
        <is>
          <t>CA DC S4</t>
        </is>
      </c>
      <c r="B598" s="54" t="inlineStr">
        <is>
          <t>CA</t>
        </is>
      </c>
      <c r="C598" s="54" t="inlineStr">
        <is>
          <t>B0BG23H2QY</t>
        </is>
      </c>
      <c r="D598" s="54" t="inlineStr">
        <is>
          <t>SATIN-STONEGREY-FULL</t>
        </is>
      </c>
      <c r="E598" s="54" t="inlineStr">
        <is>
          <t>Full</t>
        </is>
      </c>
      <c r="F598" s="54" t="inlineStr">
        <is>
          <t>Stone Grey</t>
        </is>
      </c>
      <c r="G598" s="55" t="n">
        <v>1</v>
      </c>
      <c r="H598" s="55" t="n">
        <v>0</v>
      </c>
      <c r="I598" s="56" t="n"/>
      <c r="J598" s="57" t="n">
        <v>0</v>
      </c>
      <c r="K598" s="56" t="inlineStr">
        <is>
          <t>account data velocity</t>
        </is>
      </c>
      <c r="L598" s="58" t="n">
        <v>3.269</v>
      </c>
      <c r="M598" s="56" t="inlineStr">
        <is>
          <t>own BFCM 2025 lift (account data)</t>
        </is>
      </c>
      <c r="N598" s="59">
        <f>J598*34+J598*L598*12</f>
        <v/>
      </c>
      <c r="O598" s="59">
        <f>MAX(0,N598-G598-H598)</f>
        <v/>
      </c>
      <c r="P598" s="60">
        <f>IF(J598=0,"",IF(G598&lt;J598*34,DATE(2026,10,15)+G598/J598,IF(G598&lt;N598,DATE(2026,11,18)+(G598-J598*34)/(J598*L598),"after Nov 30")))</f>
        <v/>
      </c>
      <c r="Q598" s="60">
        <f>IF(J598=0,"",IF(G598+H598&lt;J598*34,DATE(2026,10,15)+(G598+H598)/J598,IF(G598+H598&lt;N598,DATE(2026,11,18)+(G598+H598-J598*34)/(J598*L598),"after Nov 30")))</f>
        <v/>
      </c>
      <c r="R598" s="54">
        <f>IF(AND(G598&lt;=0,J598&gt;0),"Out of stock now",IF(G598&gt;=N598,"Covered to Nov 30",IF(G598+H598&gt;=N598,"Needs inbound in time","Short even with inbound")))</f>
        <v/>
      </c>
      <c r="S598" s="57" t="n">
        <v>0</v>
      </c>
      <c r="T598" s="59">
        <f>IF(S598="","",S598*34+S598*L598*12)</f>
        <v/>
      </c>
    </row>
    <row r="599">
      <c r="A599" s="54" t="inlineStr">
        <is>
          <t>CA DC S4</t>
        </is>
      </c>
      <c r="B599" s="54" t="inlineStr">
        <is>
          <t>CA</t>
        </is>
      </c>
      <c r="C599" s="54" t="inlineStr">
        <is>
          <t>B09G6M7WJ2</t>
        </is>
      </c>
      <c r="D599" s="54" t="inlineStr">
        <is>
          <t>SATIN-STRIPE-FULL-BLUE</t>
        </is>
      </c>
      <c r="E599" s="54" t="inlineStr">
        <is>
          <t>Full</t>
        </is>
      </c>
      <c r="F599" s="54" t="inlineStr">
        <is>
          <t>Striped Blue</t>
        </is>
      </c>
      <c r="G599" s="55" t="n">
        <v>2</v>
      </c>
      <c r="H599" s="55" t="n">
        <v>0</v>
      </c>
      <c r="I599" s="56" t="n"/>
      <c r="J599" s="57" t="n">
        <v>0</v>
      </c>
      <c r="K599" s="56" t="inlineStr">
        <is>
          <t>account data velocity</t>
        </is>
      </c>
      <c r="L599" s="58" t="n">
        <v>3.269</v>
      </c>
      <c r="M599" s="56" t="inlineStr">
        <is>
          <t>own BFCM 2025 lift (account data)</t>
        </is>
      </c>
      <c r="N599" s="59">
        <f>J599*34+J599*L599*12</f>
        <v/>
      </c>
      <c r="O599" s="59">
        <f>MAX(0,N599-G599-H599)</f>
        <v/>
      </c>
      <c r="P599" s="60">
        <f>IF(J599=0,"",IF(G599&lt;J599*34,DATE(2026,10,15)+G599/J599,IF(G599&lt;N599,DATE(2026,11,18)+(G599-J599*34)/(J599*L599),"after Nov 30")))</f>
        <v/>
      </c>
      <c r="Q599" s="60">
        <f>IF(J599=0,"",IF(G599+H599&lt;J599*34,DATE(2026,10,15)+(G599+H599)/J599,IF(G599+H599&lt;N599,DATE(2026,11,18)+(G599+H599-J599*34)/(J599*L599),"after Nov 30")))</f>
        <v/>
      </c>
      <c r="R599" s="54">
        <f>IF(AND(G599&lt;=0,J599&gt;0),"Out of stock now",IF(G599&gt;=N599,"Covered to Nov 30",IF(G599+H599&gt;=N599,"Needs inbound in time","Short even with inbound")))</f>
        <v/>
      </c>
      <c r="S599" s="57" t="n">
        <v>0</v>
      </c>
      <c r="T599" s="59">
        <f>IF(S599="","",S599*34+S599*L599*12)</f>
        <v/>
      </c>
    </row>
    <row r="600">
      <c r="A600" s="54" t="inlineStr">
        <is>
          <t>CA DC S4</t>
        </is>
      </c>
      <c r="B600" s="54" t="inlineStr">
        <is>
          <t>CA</t>
        </is>
      </c>
      <c r="C600" s="54" t="inlineStr">
        <is>
          <t>B0DBQZWWHB</t>
        </is>
      </c>
      <c r="D600" s="54" t="inlineStr">
        <is>
          <t>SATIN-4PCS-FULL-STRIPE-PINK</t>
        </is>
      </c>
      <c r="E600" s="54" t="inlineStr">
        <is>
          <t>Full</t>
        </is>
      </c>
      <c r="F600" s="54" t="inlineStr">
        <is>
          <t>Striped Pink</t>
        </is>
      </c>
      <c r="G600" s="55" t="n">
        <v>90</v>
      </c>
      <c r="H600" s="55" t="n">
        <v>0</v>
      </c>
      <c r="I600" s="56" t="n"/>
      <c r="J600" s="57" t="n">
        <v>0</v>
      </c>
      <c r="K600" s="56" t="inlineStr">
        <is>
          <t>account data velocity</t>
        </is>
      </c>
      <c r="L600" s="58" t="n">
        <v>3.269</v>
      </c>
      <c r="M600" s="56" t="inlineStr">
        <is>
          <t>own BFCM 2025 lift (account data)</t>
        </is>
      </c>
      <c r="N600" s="59">
        <f>J600*34+J600*L600*12</f>
        <v/>
      </c>
      <c r="O600" s="59">
        <f>MAX(0,N600-G600-H600)</f>
        <v/>
      </c>
      <c r="P600" s="60">
        <f>IF(J600=0,"",IF(G600&lt;J600*34,DATE(2026,10,15)+G600/J600,IF(G600&lt;N600,DATE(2026,11,18)+(G600-J600*34)/(J600*L600),"after Nov 30")))</f>
        <v/>
      </c>
      <c r="Q600" s="60">
        <f>IF(J600=0,"",IF(G600+H600&lt;J600*34,DATE(2026,10,15)+(G600+H600)/J600,IF(G600+H600&lt;N600,DATE(2026,11,18)+(G600+H600-J600*34)/(J600*L600),"after Nov 30")))</f>
        <v/>
      </c>
      <c r="R600" s="54">
        <f>IF(AND(G600&lt;=0,J600&gt;0),"Out of stock now",IF(G600&gt;=N600,"Covered to Nov 30",IF(G600+H600&gt;=N600,"Needs inbound in time","Short even with inbound")))</f>
        <v/>
      </c>
      <c r="S600" s="57" t="n">
        <v>0</v>
      </c>
      <c r="T600" s="59">
        <f>IF(S600="","",S600*34+S600*L600*12)</f>
        <v/>
      </c>
    </row>
    <row r="601">
      <c r="A601" s="54" t="inlineStr">
        <is>
          <t>CA DC S4</t>
        </is>
      </c>
      <c r="B601" s="54" t="inlineStr">
        <is>
          <t>CA</t>
        </is>
      </c>
      <c r="C601" s="54" t="inlineStr">
        <is>
          <t>B0DBQVGKTV</t>
        </is>
      </c>
      <c r="D601" s="54" t="inlineStr">
        <is>
          <t>SATIN-4PCS-KING-RED</t>
        </is>
      </c>
      <c r="E601" s="54" t="inlineStr">
        <is>
          <t>King</t>
        </is>
      </c>
      <c r="F601" s="54" t="inlineStr">
        <is>
          <t>Red</t>
        </is>
      </c>
      <c r="G601" s="55" t="n">
        <v>13</v>
      </c>
      <c r="H601" s="55" t="n">
        <v>6</v>
      </c>
      <c r="I601" s="56" t="inlineStr">
        <is>
          <t>FBA19RSBKFGZ shipped: 6</t>
        </is>
      </c>
      <c r="J601" s="57" t="n">
        <v>0</v>
      </c>
      <c r="K601" s="56" t="inlineStr">
        <is>
          <t>account data velocity</t>
        </is>
      </c>
      <c r="L601" s="58" t="n">
        <v>3.269</v>
      </c>
      <c r="M601" s="56" t="inlineStr">
        <is>
          <t>own BFCM 2025 lift (account data)</t>
        </is>
      </c>
      <c r="N601" s="59">
        <f>J601*34+J601*L601*12</f>
        <v/>
      </c>
      <c r="O601" s="59">
        <f>MAX(0,N601-G601-H601)</f>
        <v/>
      </c>
      <c r="P601" s="60">
        <f>IF(J601=0,"",IF(G601&lt;J601*34,DATE(2026,10,15)+G601/J601,IF(G601&lt;N601,DATE(2026,11,18)+(G601-J601*34)/(J601*L601),"after Nov 30")))</f>
        <v/>
      </c>
      <c r="Q601" s="60">
        <f>IF(J601=0,"",IF(G601+H601&lt;J601*34,DATE(2026,10,15)+(G601+H601)/J601,IF(G601+H601&lt;N601,DATE(2026,11,18)+(G601+H601-J601*34)/(J601*L601),"after Nov 30")))</f>
        <v/>
      </c>
      <c r="R601" s="54">
        <f>IF(AND(G601&lt;=0,J601&gt;0),"Out of stock now",IF(G601&gt;=N601,"Covered to Nov 30",IF(G601+H601&gt;=N601,"Needs inbound in time","Short even with inbound")))</f>
        <v/>
      </c>
      <c r="S601" s="57" t="n">
        <v>0</v>
      </c>
      <c r="T601" s="59">
        <f>IF(S601="","",S601*34+S601*L601*12)</f>
        <v/>
      </c>
    </row>
    <row r="602">
      <c r="A602" s="54" t="inlineStr">
        <is>
          <t>CA DC S4</t>
        </is>
      </c>
      <c r="B602" s="54" t="inlineStr">
        <is>
          <t>CA</t>
        </is>
      </c>
      <c r="C602" s="54" t="inlineStr">
        <is>
          <t>B0DBQZ1MMF</t>
        </is>
      </c>
      <c r="D602" s="54" t="inlineStr">
        <is>
          <t>SATIN-4PCS-KING-SEA-TEAL</t>
        </is>
      </c>
      <c r="E602" s="54" t="inlineStr">
        <is>
          <t>King</t>
        </is>
      </c>
      <c r="F602" s="54" t="inlineStr">
        <is>
          <t>Sea Teal</t>
        </is>
      </c>
      <c r="G602" s="55" t="n">
        <v>12</v>
      </c>
      <c r="H602" s="55" t="n">
        <v>0</v>
      </c>
      <c r="I602" s="56" t="n"/>
      <c r="J602" s="57" t="n">
        <v>0</v>
      </c>
      <c r="K602" s="56" t="inlineStr">
        <is>
          <t>account data velocity</t>
        </is>
      </c>
      <c r="L602" s="58" t="n">
        <v>3.269</v>
      </c>
      <c r="M602" s="56" t="inlineStr">
        <is>
          <t>own BFCM 2025 lift (account data)</t>
        </is>
      </c>
      <c r="N602" s="59">
        <f>J602*34+J602*L602*12</f>
        <v/>
      </c>
      <c r="O602" s="59">
        <f>MAX(0,N602-G602-H602)</f>
        <v/>
      </c>
      <c r="P602" s="60">
        <f>IF(J602=0,"",IF(G602&lt;J602*34,DATE(2026,10,15)+G602/J602,IF(G602&lt;N602,DATE(2026,11,18)+(G602-J602*34)/(J602*L602),"after Nov 30")))</f>
        <v/>
      </c>
      <c r="Q602" s="60">
        <f>IF(J602=0,"",IF(G602+H602&lt;J602*34,DATE(2026,10,15)+(G602+H602)/J602,IF(G602+H602&lt;N602,DATE(2026,11,18)+(G602+H602-J602*34)/(J602*L602),"after Nov 30")))</f>
        <v/>
      </c>
      <c r="R602" s="54">
        <f>IF(AND(G602&lt;=0,J602&gt;0),"Out of stock now",IF(G602&gt;=N602,"Covered to Nov 30",IF(G602+H602&gt;=N602,"Needs inbound in time","Short even with inbound")))</f>
        <v/>
      </c>
      <c r="S602" s="57" t="n">
        <v>0</v>
      </c>
      <c r="T602" s="59">
        <f>IF(S602="","",S602*34+S602*L602*12)</f>
        <v/>
      </c>
    </row>
    <row r="603">
      <c r="A603" s="54" t="inlineStr">
        <is>
          <t>CA DC S4</t>
        </is>
      </c>
      <c r="B603" s="54" t="inlineStr">
        <is>
          <t>CA</t>
        </is>
      </c>
      <c r="C603" s="54" t="inlineStr">
        <is>
          <t>B0DBR1X2XQ</t>
        </is>
      </c>
      <c r="D603" s="54" t="inlineStr">
        <is>
          <t>SATIN-4PCS-KING-STONEGREY</t>
        </is>
      </c>
      <c r="E603" s="54" t="inlineStr">
        <is>
          <t>King</t>
        </is>
      </c>
      <c r="F603" s="54" t="inlineStr">
        <is>
          <t>Stone Grey</t>
        </is>
      </c>
      <c r="G603" s="55" t="n">
        <v>7</v>
      </c>
      <c r="H603" s="55" t="n">
        <v>0</v>
      </c>
      <c r="I603" s="56" t="n"/>
      <c r="J603" s="57" t="n">
        <v>0</v>
      </c>
      <c r="K603" s="56" t="inlineStr">
        <is>
          <t>account data velocity</t>
        </is>
      </c>
      <c r="L603" s="58" t="n">
        <v>3.269</v>
      </c>
      <c r="M603" s="56" t="inlineStr">
        <is>
          <t>own BFCM 2025 lift (account data)</t>
        </is>
      </c>
      <c r="N603" s="59">
        <f>J603*34+J603*L603*12</f>
        <v/>
      </c>
      <c r="O603" s="59">
        <f>MAX(0,N603-G603-H603)</f>
        <v/>
      </c>
      <c r="P603" s="60">
        <f>IF(J603=0,"",IF(G603&lt;J603*34,DATE(2026,10,15)+G603/J603,IF(G603&lt;N603,DATE(2026,11,18)+(G603-J603*34)/(J603*L603),"after Nov 30")))</f>
        <v/>
      </c>
      <c r="Q603" s="60">
        <f>IF(J603=0,"",IF(G603+H603&lt;J603*34,DATE(2026,10,15)+(G603+H603)/J603,IF(G603+H603&lt;N603,DATE(2026,11,18)+(G603+H603-J603*34)/(J603*L603),"after Nov 30")))</f>
        <v/>
      </c>
      <c r="R603" s="54">
        <f>IF(AND(G603&lt;=0,J603&gt;0),"Out of stock now",IF(G603&gt;=N603,"Covered to Nov 30",IF(G603+H603&gt;=N603,"Needs inbound in time","Short even with inbound")))</f>
        <v/>
      </c>
      <c r="S603" s="57" t="n"/>
      <c r="T603" s="59">
        <f>IF(S603="","",S603*34+S603*L603*12)</f>
        <v/>
      </c>
    </row>
    <row r="604">
      <c r="A604" s="54" t="inlineStr">
        <is>
          <t>CA DC S4</t>
        </is>
      </c>
      <c r="B604" s="54" t="inlineStr">
        <is>
          <t>CA</t>
        </is>
      </c>
      <c r="C604" s="54" t="inlineStr">
        <is>
          <t>B09G6JHW3F</t>
        </is>
      </c>
      <c r="D604" s="54" t="inlineStr">
        <is>
          <t>SATIN-STRIPE-KING-RED</t>
        </is>
      </c>
      <c r="E604" s="54" t="inlineStr">
        <is>
          <t>King</t>
        </is>
      </c>
      <c r="F604" s="54" t="inlineStr">
        <is>
          <t>Striped Red</t>
        </is>
      </c>
      <c r="G604" s="55" t="n">
        <v>0</v>
      </c>
      <c r="H604" s="55" t="n">
        <v>70</v>
      </c>
      <c r="I604" s="56" t="inlineStr">
        <is>
          <t>FBA19RSBKFGZ shipped: 36; FBA19KGF9QJN shipped: 10</t>
        </is>
      </c>
      <c r="J604" s="57" t="n">
        <v>0</v>
      </c>
      <c r="K604" s="56" t="inlineStr">
        <is>
          <t>account data velocity</t>
        </is>
      </c>
      <c r="L604" s="58" t="n">
        <v>3.269</v>
      </c>
      <c r="M604" s="56" t="inlineStr">
        <is>
          <t>own BFCM 2025 lift (account data)</t>
        </is>
      </c>
      <c r="N604" s="59">
        <f>J604*34+J604*L604*12</f>
        <v/>
      </c>
      <c r="O604" s="59">
        <f>MAX(0,N604-G604-H604)</f>
        <v/>
      </c>
      <c r="P604" s="60">
        <f>IF(J604=0,"",IF(G604&lt;J604*34,DATE(2026,10,15)+G604/J604,IF(G604&lt;N604,DATE(2026,11,18)+(G604-J604*34)/(J604*L604),"after Nov 30")))</f>
        <v/>
      </c>
      <c r="Q604" s="60">
        <f>IF(J604=0,"",IF(G604+H604&lt;J604*34,DATE(2026,10,15)+(G604+H604)/J604,IF(G604+H604&lt;N604,DATE(2026,11,18)+(G604+H604-J604*34)/(J604*L604),"after Nov 30")))</f>
        <v/>
      </c>
      <c r="R604" s="54">
        <f>IF(AND(G604&lt;=0,J604&gt;0),"Out of stock now",IF(G604&gt;=N604,"Covered to Nov 30",IF(G604+H604&gt;=N604,"Needs inbound in time","Short even with inbound")))</f>
        <v/>
      </c>
      <c r="S604" s="57" t="n"/>
      <c r="T604" s="59">
        <f>IF(S604="","",S604*34+S604*L604*12)</f>
        <v/>
      </c>
    </row>
    <row r="605">
      <c r="A605" s="54" t="inlineStr">
        <is>
          <t>CA DC S4</t>
        </is>
      </c>
      <c r="B605" s="54" t="inlineStr">
        <is>
          <t>CA</t>
        </is>
      </c>
      <c r="C605" s="54" t="inlineStr">
        <is>
          <t>B0CV4CY67M</t>
        </is>
      </c>
      <c r="D605" s="54" t="inlineStr">
        <is>
          <t>SATIN-4PC-WHITE-KING</t>
        </is>
      </c>
      <c r="E605" s="54" t="inlineStr">
        <is>
          <t>King</t>
        </is>
      </c>
      <c r="F605" s="54" t="inlineStr">
        <is>
          <t>White</t>
        </is>
      </c>
      <c r="G605" s="55" t="n">
        <v>31</v>
      </c>
      <c r="H605" s="55" t="n">
        <v>0</v>
      </c>
      <c r="I605" s="56" t="n"/>
      <c r="J605" s="57" t="n">
        <v>0</v>
      </c>
      <c r="K605" s="56" t="inlineStr">
        <is>
          <t>account data velocity</t>
        </is>
      </c>
      <c r="L605" s="58" t="n">
        <v>3.269</v>
      </c>
      <c r="M605" s="56" t="inlineStr">
        <is>
          <t>own BFCM 2025 lift (account data)</t>
        </is>
      </c>
      <c r="N605" s="59">
        <f>J605*34+J605*L605*12</f>
        <v/>
      </c>
      <c r="O605" s="59">
        <f>MAX(0,N605-G605-H605)</f>
        <v/>
      </c>
      <c r="P605" s="60">
        <f>IF(J605=0,"",IF(G605&lt;J605*34,DATE(2026,10,15)+G605/J605,IF(G605&lt;N605,DATE(2026,11,18)+(G605-J605*34)/(J605*L605),"after Nov 30")))</f>
        <v/>
      </c>
      <c r="Q605" s="60">
        <f>IF(J605=0,"",IF(G605+H605&lt;J605*34,DATE(2026,10,15)+(G605+H605)/J605,IF(G605+H605&lt;N605,DATE(2026,11,18)+(G605+H605-J605*34)/(J605*L605),"after Nov 30")))</f>
        <v/>
      </c>
      <c r="R605" s="54">
        <f>IF(AND(G605&lt;=0,J605&gt;0),"Out of stock now",IF(G605&gt;=N605,"Covered to Nov 30",IF(G605+H605&gt;=N605,"Needs inbound in time","Short even with inbound")))</f>
        <v/>
      </c>
      <c r="S605" s="57" t="n"/>
      <c r="T605" s="59">
        <f>IF(S605="","",S605*34+S605*L605*12)</f>
        <v/>
      </c>
    </row>
    <row r="606">
      <c r="A606" s="54" t="inlineStr">
        <is>
          <t>CA DC S4</t>
        </is>
      </c>
      <c r="B606" s="54" t="inlineStr">
        <is>
          <t>CA</t>
        </is>
      </c>
      <c r="C606" s="54" t="inlineStr">
        <is>
          <t>B0DD4JMGXN</t>
        </is>
      </c>
      <c r="D606" s="54" t="inlineStr">
        <is>
          <t>SATIN-4PCS-QUEEN-STONE-GREY</t>
        </is>
      </c>
      <c r="E606" s="54" t="inlineStr">
        <is>
          <t>Queen</t>
        </is>
      </c>
      <c r="F606" s="54" t="inlineStr">
        <is>
          <t>Stone Grey</t>
        </is>
      </c>
      <c r="G606" s="55" t="n">
        <v>4</v>
      </c>
      <c r="H606" s="55" t="n">
        <v>0</v>
      </c>
      <c r="I606" s="56" t="n"/>
      <c r="J606" s="57" t="n">
        <v>0</v>
      </c>
      <c r="K606" s="56" t="inlineStr">
        <is>
          <t>account data velocity</t>
        </is>
      </c>
      <c r="L606" s="58" t="n">
        <v>3.269</v>
      </c>
      <c r="M606" s="56" t="inlineStr">
        <is>
          <t>own BFCM 2025 lift (account data)</t>
        </is>
      </c>
      <c r="N606" s="59">
        <f>J606*34+J606*L606*12</f>
        <v/>
      </c>
      <c r="O606" s="59">
        <f>MAX(0,N606-G606-H606)</f>
        <v/>
      </c>
      <c r="P606" s="60">
        <f>IF(J606=0,"",IF(G606&lt;J606*34,DATE(2026,10,15)+G606/J606,IF(G606&lt;N606,DATE(2026,11,18)+(G606-J606*34)/(J606*L606),"after Nov 30")))</f>
        <v/>
      </c>
      <c r="Q606" s="60">
        <f>IF(J606=0,"",IF(G606+H606&lt;J606*34,DATE(2026,10,15)+(G606+H606)/J606,IF(G606+H606&lt;N606,DATE(2026,11,18)+(G606+H606-J606*34)/(J606*L606),"after Nov 30")))</f>
        <v/>
      </c>
      <c r="R606" s="54">
        <f>IF(AND(G606&lt;=0,J606&gt;0),"Out of stock now",IF(G606&gt;=N606,"Covered to Nov 30",IF(G606+H606&gt;=N606,"Needs inbound in time","Short even with inbound")))</f>
        <v/>
      </c>
      <c r="S606" s="57" t="n">
        <v>0</v>
      </c>
      <c r="T606" s="59">
        <f>IF(S606="","",S606*34+S606*L606*12)</f>
        <v/>
      </c>
    </row>
    <row r="607">
      <c r="A607" s="54" t="inlineStr">
        <is>
          <t>CA DC S4</t>
        </is>
      </c>
      <c r="B607" s="54" t="inlineStr">
        <is>
          <t>CA</t>
        </is>
      </c>
      <c r="C607" s="54" t="inlineStr">
        <is>
          <t>B0DBR4XYLB</t>
        </is>
      </c>
      <c r="D607" s="54" t="inlineStr">
        <is>
          <t>SATIN-4PCS-QUEEN-STRIPE-GRAY</t>
        </is>
      </c>
      <c r="E607" s="54" t="inlineStr">
        <is>
          <t>Queen</t>
        </is>
      </c>
      <c r="F607" s="54" t="inlineStr">
        <is>
          <t>Striped Grey</t>
        </is>
      </c>
      <c r="G607" s="55" t="n">
        <v>11</v>
      </c>
      <c r="H607" s="55" t="n">
        <v>0</v>
      </c>
      <c r="I607" s="56" t="n"/>
      <c r="J607" s="57" t="n">
        <v>0</v>
      </c>
      <c r="K607" s="56" t="inlineStr">
        <is>
          <t>account data velocity</t>
        </is>
      </c>
      <c r="L607" s="58" t="n">
        <v>3.269</v>
      </c>
      <c r="M607" s="56" t="inlineStr">
        <is>
          <t>own BFCM 2025 lift (account data)</t>
        </is>
      </c>
      <c r="N607" s="59">
        <f>J607*34+J607*L607*12</f>
        <v/>
      </c>
      <c r="O607" s="59">
        <f>MAX(0,N607-G607-H607)</f>
        <v/>
      </c>
      <c r="P607" s="60">
        <f>IF(J607=0,"",IF(G607&lt;J607*34,DATE(2026,10,15)+G607/J607,IF(G607&lt;N607,DATE(2026,11,18)+(G607-J607*34)/(J607*L607),"after Nov 30")))</f>
        <v/>
      </c>
      <c r="Q607" s="60">
        <f>IF(J607=0,"",IF(G607+H607&lt;J607*34,DATE(2026,10,15)+(G607+H607)/J607,IF(G607+H607&lt;N607,DATE(2026,11,18)+(G607+H607-J607*34)/(J607*L607),"after Nov 30")))</f>
        <v/>
      </c>
      <c r="R607" s="54">
        <f>IF(AND(G607&lt;=0,J607&gt;0),"Out of stock now",IF(G607&gt;=N607,"Covered to Nov 30",IF(G607+H607&gt;=N607,"Needs inbound in time","Short even with inbound")))</f>
        <v/>
      </c>
      <c r="S607" s="57" t="n"/>
      <c r="T607" s="59">
        <f>IF(S607="","",S607*34+S607*L607*12)</f>
        <v/>
      </c>
    </row>
    <row r="608">
      <c r="A608" s="54" t="inlineStr">
        <is>
          <t>CA DC S4</t>
        </is>
      </c>
      <c r="B608" s="54" t="inlineStr">
        <is>
          <t>CA</t>
        </is>
      </c>
      <c r="C608" s="54" t="inlineStr">
        <is>
          <t>B09G6H23C3</t>
        </is>
      </c>
      <c r="D608" s="54" t="inlineStr">
        <is>
          <t>SATIN-STRIPE-TWIN-BLACK</t>
        </is>
      </c>
      <c r="E608" s="54" t="inlineStr">
        <is>
          <t>Twin</t>
        </is>
      </c>
      <c r="F608" s="54" t="inlineStr">
        <is>
          <t>Striped Black</t>
        </is>
      </c>
      <c r="G608" s="55" t="n">
        <v>7</v>
      </c>
      <c r="H608" s="55" t="n">
        <v>0</v>
      </c>
      <c r="I608" s="56" t="n"/>
      <c r="J608" s="57" t="n">
        <v>0</v>
      </c>
      <c r="K608" s="56" t="inlineStr">
        <is>
          <t>account data velocity</t>
        </is>
      </c>
      <c r="L608" s="58" t="n">
        <v>3.269</v>
      </c>
      <c r="M608" s="56" t="inlineStr">
        <is>
          <t>own BFCM 2025 lift (account data)</t>
        </is>
      </c>
      <c r="N608" s="59">
        <f>J608*34+J608*L608*12</f>
        <v/>
      </c>
      <c r="O608" s="59">
        <f>MAX(0,N608-G608-H608)</f>
        <v/>
      </c>
      <c r="P608" s="60">
        <f>IF(J608=0,"",IF(G608&lt;J608*34,DATE(2026,10,15)+G608/J608,IF(G608&lt;N608,DATE(2026,11,18)+(G608-J608*34)/(J608*L608),"after Nov 30")))</f>
        <v/>
      </c>
      <c r="Q608" s="60">
        <f>IF(J608=0,"",IF(G608+H608&lt;J608*34,DATE(2026,10,15)+(G608+H608)/J608,IF(G608+H608&lt;N608,DATE(2026,11,18)+(G608+H608-J608*34)/(J608*L608),"after Nov 30")))</f>
        <v/>
      </c>
      <c r="R608" s="54">
        <f>IF(AND(G608&lt;=0,J608&gt;0),"Out of stock now",IF(G608&gt;=N608,"Covered to Nov 30",IF(G608+H608&gt;=N608,"Needs inbound in time","Short even with inbound")))</f>
        <v/>
      </c>
      <c r="S608" s="57" t="n">
        <v>0</v>
      </c>
      <c r="T608" s="59">
        <f>IF(S608="","",S608*34+S608*L608*12)</f>
        <v/>
      </c>
    </row>
    <row r="609">
      <c r="A609" s="54" t="inlineStr">
        <is>
          <t>CA DC S4</t>
        </is>
      </c>
      <c r="B609" s="54" t="inlineStr">
        <is>
          <t>CA</t>
        </is>
      </c>
      <c r="C609" s="54" t="inlineStr">
        <is>
          <t>B0BZPVYJK4</t>
        </is>
      </c>
      <c r="D609" s="54" t="inlineStr">
        <is>
          <t>SATIN-TAUPE-TWIN</t>
        </is>
      </c>
      <c r="E609" s="54" t="inlineStr">
        <is>
          <t>Twin</t>
        </is>
      </c>
      <c r="F609" s="54" t="inlineStr">
        <is>
          <t>Taupe</t>
        </is>
      </c>
      <c r="G609" s="55" t="n">
        <v>8</v>
      </c>
      <c r="H609" s="55" t="n">
        <v>0</v>
      </c>
      <c r="I609" s="56" t="n"/>
      <c r="J609" s="57" t="n">
        <v>0</v>
      </c>
      <c r="K609" s="56" t="inlineStr">
        <is>
          <t>account data velocity</t>
        </is>
      </c>
      <c r="L609" s="58" t="n">
        <v>3.269</v>
      </c>
      <c r="M609" s="56" t="inlineStr">
        <is>
          <t>own BFCM 2025 lift (account data)</t>
        </is>
      </c>
      <c r="N609" s="59">
        <f>J609*34+J609*L609*12</f>
        <v/>
      </c>
      <c r="O609" s="59">
        <f>MAX(0,N609-G609-H609)</f>
        <v/>
      </c>
      <c r="P609" s="60">
        <f>IF(J609=0,"",IF(G609&lt;J609*34,DATE(2026,10,15)+G609/J609,IF(G609&lt;N609,DATE(2026,11,18)+(G609-J609*34)/(J609*L609),"after Nov 30")))</f>
        <v/>
      </c>
      <c r="Q609" s="60">
        <f>IF(J609=0,"",IF(G609+H609&lt;J609*34,DATE(2026,10,15)+(G609+H609)/J609,IF(G609+H609&lt;N609,DATE(2026,11,18)+(G609+H609-J609*34)/(J609*L609),"after Nov 30")))</f>
        <v/>
      </c>
      <c r="R609" s="54">
        <f>IF(AND(G609&lt;=0,J609&gt;0),"Out of stock now",IF(G609&gt;=N609,"Covered to Nov 30",IF(G609+H609&gt;=N609,"Needs inbound in time","Short even with inbound")))</f>
        <v/>
      </c>
      <c r="S609" s="57" t="n">
        <v>0</v>
      </c>
      <c r="T609" s="59">
        <f>IF(S609="","",S609*34+S609*L609*12)</f>
        <v/>
      </c>
    </row>
    <row r="610">
      <c r="A610" s="54" t="inlineStr">
        <is>
          <t>US DC S6</t>
        </is>
      </c>
      <c r="B610" s="54" t="inlineStr">
        <is>
          <t>US</t>
        </is>
      </c>
      <c r="C610" s="54" t="inlineStr">
        <is>
          <t>B0C7FXXS6R</t>
        </is>
      </c>
      <c r="D610" s="54" t="inlineStr">
        <is>
          <t>SATIN-KING-BLACK-6-PCS</t>
        </is>
      </c>
      <c r="E610" s="54" t="inlineStr">
        <is>
          <t>King</t>
        </is>
      </c>
      <c r="F610" s="54" t="inlineStr">
        <is>
          <t>Black</t>
        </is>
      </c>
      <c r="G610" s="55" t="n">
        <v>764</v>
      </c>
      <c r="H610" s="55" t="n">
        <v>6</v>
      </c>
      <c r="I610" s="56" t="inlineStr">
        <is>
          <t>FBA19M151HCM receiving: 6</t>
        </is>
      </c>
      <c r="J610" s="57" t="n">
        <v>3.28</v>
      </c>
      <c r="K610" s="56" t="inlineStr">
        <is>
          <t>account data velocity</t>
        </is>
      </c>
      <c r="L610" s="58" t="n">
        <v>3.076</v>
      </c>
      <c r="M610" s="56" t="inlineStr">
        <is>
          <t>own BFCM 2025 lift (account data)</t>
        </is>
      </c>
      <c r="N610" s="59">
        <f>J610*34+J610*L610*12</f>
        <v/>
      </c>
      <c r="O610" s="59">
        <f>MAX(0,N610-G610-H610)</f>
        <v/>
      </c>
      <c r="P610" s="60">
        <f>IF(J610=0,"",IF(G610&lt;J610*34,DATE(2026,10,15)+G610/J610,IF(G610&lt;N610,DATE(2026,11,18)+(G610-J610*34)/(J610*L610),"after Nov 30")))</f>
        <v/>
      </c>
      <c r="Q610" s="60">
        <f>IF(J610=0,"",IF(G610+H610&lt;J610*34,DATE(2026,10,15)+(G610+H610)/J610,IF(G610+H610&lt;N610,DATE(2026,11,18)+(G610+H610-J610*34)/(J610*L610),"after Nov 30")))</f>
        <v/>
      </c>
      <c r="R610" s="54">
        <f>IF(AND(G610&lt;=0,J610&gt;0),"Out of stock now",IF(G610&gt;=N610,"Covered to Nov 30",IF(G610+H610&gt;=N610,"Needs inbound in time","Short even with inbound")))</f>
        <v/>
      </c>
      <c r="S610" s="57" t="n">
        <v>2.107</v>
      </c>
      <c r="T610" s="59">
        <f>IF(S610="","",S610*34+S610*L610*12)</f>
        <v/>
      </c>
    </row>
    <row r="611">
      <c r="A611" s="54" t="inlineStr">
        <is>
          <t>US DC S6</t>
        </is>
      </c>
      <c r="B611" s="54" t="inlineStr">
        <is>
          <t>US</t>
        </is>
      </c>
      <c r="C611" s="54" t="inlineStr">
        <is>
          <t>B0C7FX1GFS</t>
        </is>
      </c>
      <c r="D611" s="54" t="inlineStr">
        <is>
          <t>SATIN-QUEEN-BLACK-6-PCS</t>
        </is>
      </c>
      <c r="E611" s="54" t="inlineStr">
        <is>
          <t>Queen</t>
        </is>
      </c>
      <c r="F611" s="54" t="inlineStr">
        <is>
          <t>Black</t>
        </is>
      </c>
      <c r="G611" s="55" t="n">
        <v>440</v>
      </c>
      <c r="H611" s="55" t="n">
        <v>6</v>
      </c>
      <c r="I611" s="56" t="inlineStr">
        <is>
          <t>FBA19JDZKH56 receiving: 6</t>
        </is>
      </c>
      <c r="J611" s="57" t="n">
        <v>1.63</v>
      </c>
      <c r="K611" s="56" t="inlineStr">
        <is>
          <t>account data velocity</t>
        </is>
      </c>
      <c r="L611" s="58" t="n">
        <v>3.076</v>
      </c>
      <c r="M611" s="56" t="inlineStr">
        <is>
          <t>own BFCM 2025 lift (account data)</t>
        </is>
      </c>
      <c r="N611" s="59">
        <f>J611*34+J611*L611*12</f>
        <v/>
      </c>
      <c r="O611" s="59">
        <f>MAX(0,N611-G611-H611)</f>
        <v/>
      </c>
      <c r="P611" s="60">
        <f>IF(J611=0,"",IF(G611&lt;J611*34,DATE(2026,10,15)+G611/J611,IF(G611&lt;N611,DATE(2026,11,18)+(G611-J611*34)/(J611*L611),"after Nov 30")))</f>
        <v/>
      </c>
      <c r="Q611" s="60">
        <f>IF(J611=0,"",IF(G611+H611&lt;J611*34,DATE(2026,10,15)+(G611+H611)/J611,IF(G611+H611&lt;N611,DATE(2026,11,18)+(G611+H611-J611*34)/(J611*L611),"after Nov 30")))</f>
        <v/>
      </c>
      <c r="R611" s="54">
        <f>IF(AND(G611&lt;=0,J611&gt;0),"Out of stock now",IF(G611&gt;=N611,"Covered to Nov 30",IF(G611+H611&gt;=N611,"Needs inbound in time","Short even with inbound")))</f>
        <v/>
      </c>
      <c r="S611" s="57" t="n">
        <v>1.393</v>
      </c>
      <c r="T611" s="59">
        <f>IF(S611="","",S611*34+S611*L611*12)</f>
        <v/>
      </c>
    </row>
    <row r="612">
      <c r="A612" s="54" t="inlineStr">
        <is>
          <t>US DC S6</t>
        </is>
      </c>
      <c r="B612" s="54" t="inlineStr">
        <is>
          <t>US</t>
        </is>
      </c>
      <c r="C612" s="54" t="inlineStr">
        <is>
          <t>B0C7FMYDFC</t>
        </is>
      </c>
      <c r="D612" s="54" t="inlineStr">
        <is>
          <t>SATIN-GOLD-KING-6PCS</t>
        </is>
      </c>
      <c r="E612" s="54" t="inlineStr">
        <is>
          <t>King</t>
        </is>
      </c>
      <c r="F612" s="54" t="inlineStr">
        <is>
          <t>Gold</t>
        </is>
      </c>
      <c r="G612" s="55" t="n">
        <v>234</v>
      </c>
      <c r="H612" s="55" t="n">
        <v>0</v>
      </c>
      <c r="I612" s="56" t="n"/>
      <c r="J612" s="57" t="n">
        <v>1.12</v>
      </c>
      <c r="K612" s="56" t="inlineStr">
        <is>
          <t>account data velocity</t>
        </is>
      </c>
      <c r="L612" s="58" t="n">
        <v>3.076</v>
      </c>
      <c r="M612" s="56" t="inlineStr">
        <is>
          <t>own BFCM 2025 lift (account data)</t>
        </is>
      </c>
      <c r="N612" s="59">
        <f>J612*34+J612*L612*12</f>
        <v/>
      </c>
      <c r="O612" s="59">
        <f>MAX(0,N612-G612-H612)</f>
        <v/>
      </c>
      <c r="P612" s="60">
        <f>IF(J612=0,"",IF(G612&lt;J612*34,DATE(2026,10,15)+G612/J612,IF(G612&lt;N612,DATE(2026,11,18)+(G612-J612*34)/(J612*L612),"after Nov 30")))</f>
        <v/>
      </c>
      <c r="Q612" s="60">
        <f>IF(J612=0,"",IF(G612+H612&lt;J612*34,DATE(2026,10,15)+(G612+H612)/J612,IF(G612+H612&lt;N612,DATE(2026,11,18)+(G612+H612-J612*34)/(J612*L612),"after Nov 30")))</f>
        <v/>
      </c>
      <c r="R612" s="54">
        <f>IF(AND(G612&lt;=0,J612&gt;0),"Out of stock now",IF(G612&gt;=N612,"Covered to Nov 30",IF(G612+H612&gt;=N612,"Needs inbound in time","Short even with inbound")))</f>
        <v/>
      </c>
      <c r="S612" s="57" t="n">
        <v>0.714</v>
      </c>
      <c r="T612" s="59">
        <f>IF(S612="","",S612*34+S612*L612*12)</f>
        <v/>
      </c>
    </row>
    <row r="613">
      <c r="A613" s="54" t="inlineStr">
        <is>
          <t>US DC S6</t>
        </is>
      </c>
      <c r="B613" s="54" t="inlineStr">
        <is>
          <t>US</t>
        </is>
      </c>
      <c r="C613" s="54" t="inlineStr">
        <is>
          <t>B0C7FMCXBV</t>
        </is>
      </c>
      <c r="D613" s="54" t="inlineStr">
        <is>
          <t>SATIN-ROSEWOOD-QUEEN-6PCS</t>
        </is>
      </c>
      <c r="E613" s="54" t="inlineStr">
        <is>
          <t>Queen</t>
        </is>
      </c>
      <c r="F613" s="54" t="inlineStr">
        <is>
          <t>Rosewood</t>
        </is>
      </c>
      <c r="G613" s="55" t="n">
        <v>75</v>
      </c>
      <c r="H613" s="55" t="n">
        <v>1</v>
      </c>
      <c r="I613" s="56" t="inlineStr">
        <is>
          <t>FBA19MDXQD7C receiving: 1</t>
        </is>
      </c>
      <c r="J613" s="57" t="n">
        <v>0.98</v>
      </c>
      <c r="K613" s="56" t="inlineStr">
        <is>
          <t>account data velocity</t>
        </is>
      </c>
      <c r="L613" s="58" t="n">
        <v>3.076</v>
      </c>
      <c r="M613" s="56" t="inlineStr">
        <is>
          <t>own BFCM 2025 lift (account data)</t>
        </is>
      </c>
      <c r="N613" s="59">
        <f>J613*34+J613*L613*12</f>
        <v/>
      </c>
      <c r="O613" s="59">
        <f>MAX(0,N613-G613-H613)</f>
        <v/>
      </c>
      <c r="P613" s="60">
        <f>IF(J613=0,"",IF(G613&lt;J613*34,DATE(2026,10,15)+G613/J613,IF(G613&lt;N613,DATE(2026,11,18)+(G613-J613*34)/(J613*L613),"after Nov 30")))</f>
        <v/>
      </c>
      <c r="Q613" s="60">
        <f>IF(J613=0,"",IF(G613+H613&lt;J613*34,DATE(2026,10,15)+(G613+H613)/J613,IF(G613+H613&lt;N613,DATE(2026,11,18)+(G613+H613-J613*34)/(J613*L613),"after Nov 30")))</f>
        <v/>
      </c>
      <c r="R613" s="54">
        <f>IF(AND(G613&lt;=0,J613&gt;0),"Out of stock now",IF(G613&gt;=N613,"Covered to Nov 30",IF(G613+H613&gt;=N613,"Needs inbound in time","Short even with inbound")))</f>
        <v/>
      </c>
      <c r="S613" s="57" t="n">
        <v>0.857</v>
      </c>
      <c r="T613" s="59">
        <f>IF(S613="","",S613*34+S613*L613*12)</f>
        <v/>
      </c>
    </row>
    <row r="614">
      <c r="A614" s="54" t="inlineStr">
        <is>
          <t>US DC S6</t>
        </is>
      </c>
      <c r="B614" s="54" t="inlineStr">
        <is>
          <t>US</t>
        </is>
      </c>
      <c r="C614" s="54" t="inlineStr">
        <is>
          <t>B0C7FMM2QN</t>
        </is>
      </c>
      <c r="D614" s="54" t="inlineStr">
        <is>
          <t>SATIN-FULL-BLACK-6PCS</t>
        </is>
      </c>
      <c r="E614" s="54" t="inlineStr">
        <is>
          <t>Full</t>
        </is>
      </c>
      <c r="F614" s="54" t="inlineStr">
        <is>
          <t>Black</t>
        </is>
      </c>
      <c r="G614" s="55" t="n">
        <v>146</v>
      </c>
      <c r="H614" s="55" t="n">
        <v>0</v>
      </c>
      <c r="I614" s="56" t="n"/>
      <c r="J614" s="57" t="n">
        <v>0.91</v>
      </c>
      <c r="K614" s="56" t="inlineStr">
        <is>
          <t>account data velocity</t>
        </is>
      </c>
      <c r="L614" s="58" t="n">
        <v>3.076</v>
      </c>
      <c r="M614" s="56" t="inlineStr">
        <is>
          <t>own BFCM 2025 lift (account data)</t>
        </is>
      </c>
      <c r="N614" s="59">
        <f>J614*34+J614*L614*12</f>
        <v/>
      </c>
      <c r="O614" s="59">
        <f>MAX(0,N614-G614-H614)</f>
        <v/>
      </c>
      <c r="P614" s="60">
        <f>IF(J614=0,"",IF(G614&lt;J614*34,DATE(2026,10,15)+G614/J614,IF(G614&lt;N614,DATE(2026,11,18)+(G614-J614*34)/(J614*L614),"after Nov 30")))</f>
        <v/>
      </c>
      <c r="Q614" s="60">
        <f>IF(J614=0,"",IF(G614+H614&lt;J614*34,DATE(2026,10,15)+(G614+H614)/J614,IF(G614+H614&lt;N614,DATE(2026,11,18)+(G614+H614-J614*34)/(J614*L614),"after Nov 30")))</f>
        <v/>
      </c>
      <c r="R614" s="54">
        <f>IF(AND(G614&lt;=0,J614&gt;0),"Out of stock now",IF(G614&gt;=N614,"Covered to Nov 30",IF(G614+H614&gt;=N614,"Needs inbound in time","Short even with inbound")))</f>
        <v/>
      </c>
      <c r="S614" s="57" t="n">
        <v>0.536</v>
      </c>
      <c r="T614" s="59">
        <f>IF(S614="","",S614*34+S614*L614*12)</f>
        <v/>
      </c>
    </row>
    <row r="615">
      <c r="A615" s="54" t="inlineStr">
        <is>
          <t>US DC S6</t>
        </is>
      </c>
      <c r="B615" s="54" t="inlineStr">
        <is>
          <t>US</t>
        </is>
      </c>
      <c r="C615" s="54" t="inlineStr">
        <is>
          <t>B0C7FJLP2F</t>
        </is>
      </c>
      <c r="D615" s="54" t="inlineStr">
        <is>
          <t>SATIN-RED-QUEEN-6PCS</t>
        </is>
      </c>
      <c r="E615" s="54" t="inlineStr">
        <is>
          <t>Queen</t>
        </is>
      </c>
      <c r="F615" s="54" t="inlineStr">
        <is>
          <t>Red</t>
        </is>
      </c>
      <c r="G615" s="55" t="n">
        <v>200</v>
      </c>
      <c r="H615" s="55" t="n">
        <v>0</v>
      </c>
      <c r="I615" s="56" t="n"/>
      <c r="J615" s="57" t="n">
        <v>0.91</v>
      </c>
      <c r="K615" s="56" t="inlineStr">
        <is>
          <t>account data velocity</t>
        </is>
      </c>
      <c r="L615" s="58" t="n">
        <v>3.076</v>
      </c>
      <c r="M615" s="56" t="inlineStr">
        <is>
          <t>own BFCM 2025 lift (account data)</t>
        </is>
      </c>
      <c r="N615" s="59">
        <f>J615*34+J615*L615*12</f>
        <v/>
      </c>
      <c r="O615" s="59">
        <f>MAX(0,N615-G615-H615)</f>
        <v/>
      </c>
      <c r="P615" s="60">
        <f>IF(J615=0,"",IF(G615&lt;J615*34,DATE(2026,10,15)+G615/J615,IF(G615&lt;N615,DATE(2026,11,18)+(G615-J615*34)/(J615*L615),"after Nov 30")))</f>
        <v/>
      </c>
      <c r="Q615" s="60">
        <f>IF(J615=0,"",IF(G615+H615&lt;J615*34,DATE(2026,10,15)+(G615+H615)/J615,IF(G615+H615&lt;N615,DATE(2026,11,18)+(G615+H615-J615*34)/(J615*L615),"after Nov 30")))</f>
        <v/>
      </c>
      <c r="R615" s="54">
        <f>IF(AND(G615&lt;=0,J615&gt;0),"Out of stock now",IF(G615&gt;=N615,"Covered to Nov 30",IF(G615+H615&gt;=N615,"Needs inbound in time","Short even with inbound")))</f>
        <v/>
      </c>
      <c r="S615" s="57" t="n">
        <v>0.5</v>
      </c>
      <c r="T615" s="59">
        <f>IF(S615="","",S615*34+S615*L615*12)</f>
        <v/>
      </c>
    </row>
    <row r="616">
      <c r="A616" s="54" t="inlineStr">
        <is>
          <t>US DC S6</t>
        </is>
      </c>
      <c r="B616" s="54" t="inlineStr">
        <is>
          <t>US</t>
        </is>
      </c>
      <c r="C616" s="54" t="inlineStr">
        <is>
          <t>B0C7FPM5CR</t>
        </is>
      </c>
      <c r="D616" s="54" t="inlineStr">
        <is>
          <t>SATIN-GOLD-QUEEN-6PCS</t>
        </is>
      </c>
      <c r="E616" s="54" t="inlineStr">
        <is>
          <t>Queen</t>
        </is>
      </c>
      <c r="F616" s="54" t="inlineStr">
        <is>
          <t>Gold</t>
        </is>
      </c>
      <c r="G616" s="55" t="n">
        <v>110</v>
      </c>
      <c r="H616" s="55" t="n">
        <v>8</v>
      </c>
      <c r="I616" s="56" t="inlineStr">
        <is>
          <t>FBA19MR6P408 receiving: 6; FBA19M1451NC receiving: 2</t>
        </is>
      </c>
      <c r="J616" s="57" t="n">
        <v>0.74</v>
      </c>
      <c r="K616" s="56" t="inlineStr">
        <is>
          <t>account data velocity</t>
        </is>
      </c>
      <c r="L616" s="58" t="n">
        <v>3.076</v>
      </c>
      <c r="M616" s="56" t="inlineStr">
        <is>
          <t>own BFCM 2025 lift (account data)</t>
        </is>
      </c>
      <c r="N616" s="59">
        <f>J616*34+J616*L616*12</f>
        <v/>
      </c>
      <c r="O616" s="59">
        <f>MAX(0,N616-G616-H616)</f>
        <v/>
      </c>
      <c r="P616" s="60">
        <f>IF(J616=0,"",IF(G616&lt;J616*34,DATE(2026,10,15)+G616/J616,IF(G616&lt;N616,DATE(2026,11,18)+(G616-J616*34)/(J616*L616),"after Nov 30")))</f>
        <v/>
      </c>
      <c r="Q616" s="60">
        <f>IF(J616=0,"",IF(G616+H616&lt;J616*34,DATE(2026,10,15)+(G616+H616)/J616,IF(G616+H616&lt;N616,DATE(2026,11,18)+(G616+H616-J616*34)/(J616*L616),"after Nov 30")))</f>
        <v/>
      </c>
      <c r="R616" s="54">
        <f>IF(AND(G616&lt;=0,J616&gt;0),"Out of stock now",IF(G616&gt;=N616,"Covered to Nov 30",IF(G616+H616&gt;=N616,"Needs inbound in time","Short even with inbound")))</f>
        <v/>
      </c>
      <c r="S616" s="57" t="n">
        <v>0.393</v>
      </c>
      <c r="T616" s="59">
        <f>IF(S616="","",S616*34+S616*L616*12)</f>
        <v/>
      </c>
    </row>
    <row r="617">
      <c r="A617" s="54" t="inlineStr">
        <is>
          <t>US DC S6</t>
        </is>
      </c>
      <c r="B617" s="54" t="inlineStr">
        <is>
          <t>US</t>
        </is>
      </c>
      <c r="C617" s="54" t="inlineStr">
        <is>
          <t>B0C7FKF7J1</t>
        </is>
      </c>
      <c r="D617" s="54" t="inlineStr">
        <is>
          <t>SATIN-RED-KING-6PCS</t>
        </is>
      </c>
      <c r="E617" s="54" t="inlineStr">
        <is>
          <t>King</t>
        </is>
      </c>
      <c r="F617" s="54" t="inlineStr">
        <is>
          <t>Red</t>
        </is>
      </c>
      <c r="G617" s="55" t="n">
        <v>0</v>
      </c>
      <c r="H617" s="55" t="n">
        <v>0</v>
      </c>
      <c r="I617" s="56" t="n"/>
      <c r="J617" s="57" t="n">
        <v>0.71</v>
      </c>
      <c r="K617" s="56" t="inlineStr">
        <is>
          <t>account data velocity</t>
        </is>
      </c>
      <c r="L617" s="58" t="n">
        <v>3.076</v>
      </c>
      <c r="M617" s="56" t="inlineStr">
        <is>
          <t>own BFCM 2025 lift (account data)</t>
        </is>
      </c>
      <c r="N617" s="59">
        <f>J617*34+J617*L617*12</f>
        <v/>
      </c>
      <c r="O617" s="59">
        <f>MAX(0,N617-G617-H617)</f>
        <v/>
      </c>
      <c r="P617" s="60">
        <f>IF(J617=0,"",IF(G617&lt;J617*34,DATE(2026,10,15)+G617/J617,IF(G617&lt;N617,DATE(2026,11,18)+(G617-J617*34)/(J617*L617),"after Nov 30")))</f>
        <v/>
      </c>
      <c r="Q617" s="60">
        <f>IF(J617=0,"",IF(G617+H617&lt;J617*34,DATE(2026,10,15)+(G617+H617)/J617,IF(G617+H617&lt;N617,DATE(2026,11,18)+(G617+H617-J617*34)/(J617*L617),"after Nov 30")))</f>
        <v/>
      </c>
      <c r="R617" s="54">
        <f>IF(AND(G617&lt;=0,J617&gt;0),"Out of stock now",IF(G617&gt;=N617,"Covered to Nov 30",IF(G617+H617&gt;=N617,"Needs inbound in time","Short even with inbound")))</f>
        <v/>
      </c>
      <c r="S617" s="57" t="n">
        <v>0.179</v>
      </c>
      <c r="T617" s="59">
        <f>IF(S617="","",S617*34+S617*L617*12)</f>
        <v/>
      </c>
    </row>
    <row r="618">
      <c r="A618" s="54" t="inlineStr">
        <is>
          <t>US DC S6</t>
        </is>
      </c>
      <c r="B618" s="54" t="inlineStr">
        <is>
          <t>US</t>
        </is>
      </c>
      <c r="C618" s="54" t="inlineStr">
        <is>
          <t>B0C9LSVFPR</t>
        </is>
      </c>
      <c r="D618" s="54" t="inlineStr">
        <is>
          <t>PURPLE-SATIN-SET-6PCS</t>
        </is>
      </c>
      <c r="E618" s="54" t="inlineStr">
        <is>
          <t>Queen</t>
        </is>
      </c>
      <c r="F618" s="54" t="inlineStr">
        <is>
          <t>Purple</t>
        </is>
      </c>
      <c r="G618" s="55" t="n">
        <v>73</v>
      </c>
      <c r="H618" s="55" t="n">
        <v>0</v>
      </c>
      <c r="I618" s="56" t="n"/>
      <c r="J618" s="57" t="n">
        <v>0.6899999999999999</v>
      </c>
      <c r="K618" s="56" t="inlineStr">
        <is>
          <t>account data velocity</t>
        </is>
      </c>
      <c r="L618" s="58" t="n">
        <v>3.076</v>
      </c>
      <c r="M618" s="56" t="inlineStr">
        <is>
          <t>own BFCM 2025 lift (account data)</t>
        </is>
      </c>
      <c r="N618" s="59">
        <f>J618*34+J618*L618*12</f>
        <v/>
      </c>
      <c r="O618" s="59">
        <f>MAX(0,N618-G618-H618)</f>
        <v/>
      </c>
      <c r="P618" s="60">
        <f>IF(J618=0,"",IF(G618&lt;J618*34,DATE(2026,10,15)+G618/J618,IF(G618&lt;N618,DATE(2026,11,18)+(G618-J618*34)/(J618*L618),"after Nov 30")))</f>
        <v/>
      </c>
      <c r="Q618" s="60">
        <f>IF(J618=0,"",IF(G618+H618&lt;J618*34,DATE(2026,10,15)+(G618+H618)/J618,IF(G618+H618&lt;N618,DATE(2026,11,18)+(G618+H618-J618*34)/(J618*L618),"after Nov 30")))</f>
        <v/>
      </c>
      <c r="R618" s="54">
        <f>IF(AND(G618&lt;=0,J618&gt;0),"Out of stock now",IF(G618&gt;=N618,"Covered to Nov 30",IF(G618+H618&gt;=N618,"Needs inbound in time","Short even with inbound")))</f>
        <v/>
      </c>
      <c r="S618" s="57" t="n">
        <v>0.357</v>
      </c>
      <c r="T618" s="59">
        <f>IF(S618="","",S618*34+S618*L618*12)</f>
        <v/>
      </c>
    </row>
    <row r="619">
      <c r="A619" s="54" t="inlineStr">
        <is>
          <t>US DC S6</t>
        </is>
      </c>
      <c r="B619" s="54" t="inlineStr">
        <is>
          <t>US</t>
        </is>
      </c>
      <c r="C619" s="54" t="inlineStr">
        <is>
          <t>B0C7FKZ4VG</t>
        </is>
      </c>
      <c r="D619" s="54" t="inlineStr">
        <is>
          <t>SATIN-CHAMPAGNE-KING-6PCS</t>
        </is>
      </c>
      <c r="E619" s="54" t="inlineStr">
        <is>
          <t>King</t>
        </is>
      </c>
      <c r="F619" s="54" t="inlineStr">
        <is>
          <t>Champagne</t>
        </is>
      </c>
      <c r="G619" s="55" t="n">
        <v>152</v>
      </c>
      <c r="H619" s="55" t="n">
        <v>0</v>
      </c>
      <c r="I619" s="56" t="n"/>
      <c r="J619" s="57" t="n">
        <v>0.68</v>
      </c>
      <c r="K619" s="56" t="inlineStr">
        <is>
          <t>account data velocity</t>
        </is>
      </c>
      <c r="L619" s="58" t="n">
        <v>3.076</v>
      </c>
      <c r="M619" s="56" t="inlineStr">
        <is>
          <t>own BFCM 2025 lift (account data)</t>
        </is>
      </c>
      <c r="N619" s="59">
        <f>J619*34+J619*L619*12</f>
        <v/>
      </c>
      <c r="O619" s="59">
        <f>MAX(0,N619-G619-H619)</f>
        <v/>
      </c>
      <c r="P619" s="60">
        <f>IF(J619=0,"",IF(G619&lt;J619*34,DATE(2026,10,15)+G619/J619,IF(G619&lt;N619,DATE(2026,11,18)+(G619-J619*34)/(J619*L619),"after Nov 30")))</f>
        <v/>
      </c>
      <c r="Q619" s="60">
        <f>IF(J619=0,"",IF(G619+H619&lt;J619*34,DATE(2026,10,15)+(G619+H619)/J619,IF(G619+H619&lt;N619,DATE(2026,11,18)+(G619+H619-J619*34)/(J619*L619),"after Nov 30")))</f>
        <v/>
      </c>
      <c r="R619" s="54">
        <f>IF(AND(G619&lt;=0,J619&gt;0),"Out of stock now",IF(G619&gt;=N619,"Covered to Nov 30",IF(G619+H619&gt;=N619,"Needs inbound in time","Short even with inbound")))</f>
        <v/>
      </c>
      <c r="S619" s="57" t="n">
        <v>0.357</v>
      </c>
      <c r="T619" s="59">
        <f>IF(S619="","",S619*34+S619*L619*12)</f>
        <v/>
      </c>
    </row>
    <row r="620">
      <c r="A620" s="54" t="inlineStr">
        <is>
          <t>US DC S6</t>
        </is>
      </c>
      <c r="B620" s="54" t="inlineStr">
        <is>
          <t>US</t>
        </is>
      </c>
      <c r="C620" s="54" t="inlineStr">
        <is>
          <t>B0D9QSYR9G</t>
        </is>
      </c>
      <c r="D620" s="54" t="inlineStr">
        <is>
          <t>SATIN-6PC-QUEEN-DARK GREEN</t>
        </is>
      </c>
      <c r="E620" s="54" t="inlineStr">
        <is>
          <t>Queen</t>
        </is>
      </c>
      <c r="F620" s="54" t="inlineStr">
        <is>
          <t>Dark Green</t>
        </is>
      </c>
      <c r="G620" s="55" t="n">
        <v>105</v>
      </c>
      <c r="H620" s="55" t="n">
        <v>12</v>
      </c>
      <c r="I620" s="56" t="inlineStr">
        <is>
          <t>FBA19KFX24C6 delivered: 12</t>
        </is>
      </c>
      <c r="J620" s="57" t="n">
        <v>0.66</v>
      </c>
      <c r="K620" s="56" t="inlineStr">
        <is>
          <t>account data velocity</t>
        </is>
      </c>
      <c r="L620" s="58" t="n">
        <v>3.076</v>
      </c>
      <c r="M620" s="56" t="inlineStr">
        <is>
          <t>own BFCM 2025 lift (account data)</t>
        </is>
      </c>
      <c r="N620" s="59">
        <f>J620*34+J620*L620*12</f>
        <v/>
      </c>
      <c r="O620" s="59">
        <f>MAX(0,N620-G620-H620)</f>
        <v/>
      </c>
      <c r="P620" s="60">
        <f>IF(J620=0,"",IF(G620&lt;J620*34,DATE(2026,10,15)+G620/J620,IF(G620&lt;N620,DATE(2026,11,18)+(G620-J620*34)/(J620*L620),"after Nov 30")))</f>
        <v/>
      </c>
      <c r="Q620" s="60">
        <f>IF(J620=0,"",IF(G620+H620&lt;J620*34,DATE(2026,10,15)+(G620+H620)/J620,IF(G620+H620&lt;N620,DATE(2026,11,18)+(G620+H620-J620*34)/(J620*L620),"after Nov 30")))</f>
        <v/>
      </c>
      <c r="R620" s="54">
        <f>IF(AND(G620&lt;=0,J620&gt;0),"Out of stock now",IF(G620&gt;=N620,"Covered to Nov 30",IF(G620+H620&gt;=N620,"Needs inbound in time","Short even with inbound")))</f>
        <v/>
      </c>
      <c r="S620" s="57" t="n">
        <v>0.214</v>
      </c>
      <c r="T620" s="59">
        <f>IF(S620="","",S620*34+S620*L620*12)</f>
        <v/>
      </c>
    </row>
    <row r="621">
      <c r="A621" s="54" t="inlineStr">
        <is>
          <t>US DC S6</t>
        </is>
      </c>
      <c r="B621" s="54" t="inlineStr">
        <is>
          <t>US</t>
        </is>
      </c>
      <c r="C621" s="54" t="inlineStr">
        <is>
          <t>B0C7FP1L1V</t>
        </is>
      </c>
      <c r="D621" s="54" t="inlineStr">
        <is>
          <t>SATIN-ROSEWOOD-KING-6PCS</t>
        </is>
      </c>
      <c r="E621" s="54" t="inlineStr">
        <is>
          <t>King</t>
        </is>
      </c>
      <c r="F621" s="54" t="inlineStr">
        <is>
          <t>Rosewood</t>
        </is>
      </c>
      <c r="G621" s="55" t="n">
        <v>112</v>
      </c>
      <c r="H621" s="55" t="n">
        <v>0</v>
      </c>
      <c r="I621" s="56" t="n"/>
      <c r="J621" s="57" t="n">
        <v>0.63</v>
      </c>
      <c r="K621" s="56" t="inlineStr">
        <is>
          <t>account data velocity</t>
        </is>
      </c>
      <c r="L621" s="58" t="n">
        <v>3.076</v>
      </c>
      <c r="M621" s="56" t="inlineStr">
        <is>
          <t>own BFCM 2025 lift (account data)</t>
        </is>
      </c>
      <c r="N621" s="59">
        <f>J621*34+J621*L621*12</f>
        <v/>
      </c>
      <c r="O621" s="59">
        <f>MAX(0,N621-G621-H621)</f>
        <v/>
      </c>
      <c r="P621" s="60">
        <f>IF(J621=0,"",IF(G621&lt;J621*34,DATE(2026,10,15)+G621/J621,IF(G621&lt;N621,DATE(2026,11,18)+(G621-J621*34)/(J621*L621),"after Nov 30")))</f>
        <v/>
      </c>
      <c r="Q621" s="60">
        <f>IF(J621=0,"",IF(G621+H621&lt;J621*34,DATE(2026,10,15)+(G621+H621)/J621,IF(G621+H621&lt;N621,DATE(2026,11,18)+(G621+H621-J621*34)/(J621*L621),"after Nov 30")))</f>
        <v/>
      </c>
      <c r="R621" s="54">
        <f>IF(AND(G621&lt;=0,J621&gt;0),"Out of stock now",IF(G621&gt;=N621,"Covered to Nov 30",IF(G621+H621&gt;=N621,"Needs inbound in time","Short even with inbound")))</f>
        <v/>
      </c>
      <c r="S621" s="57" t="n">
        <v>0.179</v>
      </c>
      <c r="T621" s="59">
        <f>IF(S621="","",S621*34+S621*L621*12)</f>
        <v/>
      </c>
    </row>
    <row r="622">
      <c r="A622" s="54" t="inlineStr">
        <is>
          <t>US DC S6</t>
        </is>
      </c>
      <c r="B622" s="54" t="inlineStr">
        <is>
          <t>US</t>
        </is>
      </c>
      <c r="C622" s="54" t="inlineStr">
        <is>
          <t>B0C7FFMKP8</t>
        </is>
      </c>
      <c r="D622" s="54" t="inlineStr">
        <is>
          <t>SATIN-IVORY-KING-6PCS</t>
        </is>
      </c>
      <c r="E622" s="54" t="inlineStr">
        <is>
          <t>King</t>
        </is>
      </c>
      <c r="F622" s="54" t="inlineStr">
        <is>
          <t>Ivory</t>
        </is>
      </c>
      <c r="G622" s="55" t="n">
        <v>98</v>
      </c>
      <c r="H622" s="55" t="n">
        <v>30</v>
      </c>
      <c r="I622" s="56" t="inlineStr">
        <is>
          <t>FBA19N7WSG18 in transit: 6; FBA19N7RP6W7 in transit: 12; FBA19N7RQF4Q ready to ship: 12</t>
        </is>
      </c>
      <c r="J622" s="57" t="n">
        <v>0.59</v>
      </c>
      <c r="K622" s="56" t="inlineStr">
        <is>
          <t>account data velocity</t>
        </is>
      </c>
      <c r="L622" s="58" t="n">
        <v>3.076</v>
      </c>
      <c r="M622" s="56" t="inlineStr">
        <is>
          <t>own BFCM 2025 lift (account data)</t>
        </is>
      </c>
      <c r="N622" s="59">
        <f>J622*34+J622*L622*12</f>
        <v/>
      </c>
      <c r="O622" s="59">
        <f>MAX(0,N622-G622-H622)</f>
        <v/>
      </c>
      <c r="P622" s="60">
        <f>IF(J622=0,"",IF(G622&lt;J622*34,DATE(2026,10,15)+G622/J622,IF(G622&lt;N622,DATE(2026,11,18)+(G622-J622*34)/(J622*L622),"after Nov 30")))</f>
        <v/>
      </c>
      <c r="Q622" s="60">
        <f>IF(J622=0,"",IF(G622+H622&lt;J622*34,DATE(2026,10,15)+(G622+H622)/J622,IF(G622+H622&lt;N622,DATE(2026,11,18)+(G622+H622-J622*34)/(J622*L622),"after Nov 30")))</f>
        <v/>
      </c>
      <c r="R622" s="54">
        <f>IF(AND(G622&lt;=0,J622&gt;0),"Out of stock now",IF(G622&gt;=N622,"Covered to Nov 30",IF(G622+H622&gt;=N622,"Needs inbound in time","Short even with inbound")))</f>
        <v/>
      </c>
      <c r="S622" s="57" t="n">
        <v>0.07099999999999999</v>
      </c>
      <c r="T622" s="59">
        <f>IF(S622="","",S622*34+S622*L622*12)</f>
        <v/>
      </c>
    </row>
    <row r="623">
      <c r="A623" s="54" t="inlineStr">
        <is>
          <t>US DC S6</t>
        </is>
      </c>
      <c r="B623" s="54" t="inlineStr">
        <is>
          <t>US</t>
        </is>
      </c>
      <c r="C623" s="54" t="inlineStr">
        <is>
          <t>B0C7FM7GXS</t>
        </is>
      </c>
      <c r="D623" s="54" t="inlineStr">
        <is>
          <t>SATIN-ROSEWOOD-FULL-6PCS</t>
        </is>
      </c>
      <c r="E623" s="54" t="inlineStr">
        <is>
          <t>Full</t>
        </is>
      </c>
      <c r="F623" s="54" t="inlineStr">
        <is>
          <t>Rosewood</t>
        </is>
      </c>
      <c r="G623" s="55" t="n">
        <v>13</v>
      </c>
      <c r="H623" s="55" t="n">
        <v>0</v>
      </c>
      <c r="I623" s="56" t="n"/>
      <c r="J623" s="57" t="n">
        <v>0.57</v>
      </c>
      <c r="K623" s="56" t="inlineStr">
        <is>
          <t>account data velocity</t>
        </is>
      </c>
      <c r="L623" s="58" t="n">
        <v>3.076</v>
      </c>
      <c r="M623" s="56" t="inlineStr">
        <is>
          <t>own BFCM 2025 lift (account data)</t>
        </is>
      </c>
      <c r="N623" s="59">
        <f>J623*34+J623*L623*12</f>
        <v/>
      </c>
      <c r="O623" s="59">
        <f>MAX(0,N623-G623-H623)</f>
        <v/>
      </c>
      <c r="P623" s="60">
        <f>IF(J623=0,"",IF(G623&lt;J623*34,DATE(2026,10,15)+G623/J623,IF(G623&lt;N623,DATE(2026,11,18)+(G623-J623*34)/(J623*L623),"after Nov 30")))</f>
        <v/>
      </c>
      <c r="Q623" s="60">
        <f>IF(J623=0,"",IF(G623+H623&lt;J623*34,DATE(2026,10,15)+(G623+H623)/J623,IF(G623+H623&lt;N623,DATE(2026,11,18)+(G623+H623-J623*34)/(J623*L623),"after Nov 30")))</f>
        <v/>
      </c>
      <c r="R623" s="54">
        <f>IF(AND(G623&lt;=0,J623&gt;0),"Out of stock now",IF(G623&gt;=N623,"Covered to Nov 30",IF(G623+H623&gt;=N623,"Needs inbound in time","Short even with inbound")))</f>
        <v/>
      </c>
      <c r="S623" s="57" t="n">
        <v>0.321</v>
      </c>
      <c r="T623" s="59">
        <f>IF(S623="","",S623*34+S623*L623*12)</f>
        <v/>
      </c>
    </row>
    <row r="624">
      <c r="A624" s="54" t="inlineStr">
        <is>
          <t>US DC S6</t>
        </is>
      </c>
      <c r="B624" s="54" t="inlineStr">
        <is>
          <t>US</t>
        </is>
      </c>
      <c r="C624" s="54" t="inlineStr">
        <is>
          <t>B0C7FD1CLN</t>
        </is>
      </c>
      <c r="D624" s="54" t="inlineStr">
        <is>
          <t>SATIN-SEA-TEAL-QUEEN-6PCS</t>
        </is>
      </c>
      <c r="E624" s="54" t="inlineStr">
        <is>
          <t>Queen</t>
        </is>
      </c>
      <c r="F624" s="54" t="inlineStr">
        <is>
          <t>Sea Teal</t>
        </is>
      </c>
      <c r="G624" s="55" t="n">
        <v>198</v>
      </c>
      <c r="H624" s="55" t="n">
        <v>0</v>
      </c>
      <c r="I624" s="56" t="n"/>
      <c r="J624" s="57" t="n">
        <v>0.57</v>
      </c>
      <c r="K624" s="56" t="inlineStr">
        <is>
          <t>account data velocity</t>
        </is>
      </c>
      <c r="L624" s="58" t="n">
        <v>3.076</v>
      </c>
      <c r="M624" s="56" t="inlineStr">
        <is>
          <t>own BFCM 2025 lift (account data)</t>
        </is>
      </c>
      <c r="N624" s="59">
        <f>J624*34+J624*L624*12</f>
        <v/>
      </c>
      <c r="O624" s="59">
        <f>MAX(0,N624-G624-H624)</f>
        <v/>
      </c>
      <c r="P624" s="60">
        <f>IF(J624=0,"",IF(G624&lt;J624*34,DATE(2026,10,15)+G624/J624,IF(G624&lt;N624,DATE(2026,11,18)+(G624-J624*34)/(J624*L624),"after Nov 30")))</f>
        <v/>
      </c>
      <c r="Q624" s="60">
        <f>IF(J624=0,"",IF(G624+H624&lt;J624*34,DATE(2026,10,15)+(G624+H624)/J624,IF(G624+H624&lt;N624,DATE(2026,11,18)+(G624+H624-J624*34)/(J624*L624),"after Nov 30")))</f>
        <v/>
      </c>
      <c r="R624" s="54">
        <f>IF(AND(G624&lt;=0,J624&gt;0),"Out of stock now",IF(G624&gt;=N624,"Covered to Nov 30",IF(G624+H624&gt;=N624,"Needs inbound in time","Short even with inbound")))</f>
        <v/>
      </c>
      <c r="S624" s="57" t="n">
        <v>0.286</v>
      </c>
      <c r="T624" s="59">
        <f>IF(S624="","",S624*34+S624*L624*12)</f>
        <v/>
      </c>
    </row>
    <row r="625">
      <c r="A625" s="54" t="inlineStr">
        <is>
          <t>US DC S6</t>
        </is>
      </c>
      <c r="B625" s="54" t="inlineStr">
        <is>
          <t>US</t>
        </is>
      </c>
      <c r="C625" s="54" t="inlineStr">
        <is>
          <t>B0C7K74SLC</t>
        </is>
      </c>
      <c r="D625" s="54" t="inlineStr">
        <is>
          <t>SATIN-STRIPE-KING-GRAY--6-PCS</t>
        </is>
      </c>
      <c r="E625" s="54" t="inlineStr">
        <is>
          <t>King</t>
        </is>
      </c>
      <c r="F625" s="54" t="inlineStr">
        <is>
          <t>Striped Grey</t>
        </is>
      </c>
      <c r="G625" s="55" t="n">
        <v>133</v>
      </c>
      <c r="H625" s="55" t="n">
        <v>12</v>
      </c>
      <c r="I625" s="56" t="inlineStr">
        <is>
          <t>FBA19KFX24C6 delivered: 12</t>
        </is>
      </c>
      <c r="J625" s="57" t="n">
        <v>0.54</v>
      </c>
      <c r="K625" s="56" t="inlineStr">
        <is>
          <t>account data velocity</t>
        </is>
      </c>
      <c r="L625" s="58" t="n">
        <v>3.076</v>
      </c>
      <c r="M625" s="56" t="inlineStr">
        <is>
          <t>own BFCM 2025 lift (account data)</t>
        </is>
      </c>
      <c r="N625" s="59">
        <f>J625*34+J625*L625*12</f>
        <v/>
      </c>
      <c r="O625" s="59">
        <f>MAX(0,N625-G625-H625)</f>
        <v/>
      </c>
      <c r="P625" s="60">
        <f>IF(J625=0,"",IF(G625&lt;J625*34,DATE(2026,10,15)+G625/J625,IF(G625&lt;N625,DATE(2026,11,18)+(G625-J625*34)/(J625*L625),"after Nov 30")))</f>
        <v/>
      </c>
      <c r="Q625" s="60">
        <f>IF(J625=0,"",IF(G625+H625&lt;J625*34,DATE(2026,10,15)+(G625+H625)/J625,IF(G625+H625&lt;N625,DATE(2026,11,18)+(G625+H625-J625*34)/(J625*L625),"after Nov 30")))</f>
        <v/>
      </c>
      <c r="R625" s="54">
        <f>IF(AND(G625&lt;=0,J625&gt;0),"Out of stock now",IF(G625&gt;=N625,"Covered to Nov 30",IF(G625+H625&gt;=N625,"Needs inbound in time","Short even with inbound")))</f>
        <v/>
      </c>
      <c r="S625" s="57" t="n">
        <v>0.214</v>
      </c>
      <c r="T625" s="59">
        <f>IF(S625="","",S625*34+S625*L625*12)</f>
        <v/>
      </c>
    </row>
    <row r="626">
      <c r="A626" s="54" t="inlineStr">
        <is>
          <t>US DC S6</t>
        </is>
      </c>
      <c r="B626" s="54" t="inlineStr">
        <is>
          <t>US</t>
        </is>
      </c>
      <c r="C626" s="54" t="inlineStr">
        <is>
          <t>B0C7KB5TWS</t>
        </is>
      </c>
      <c r="D626" s="54" t="inlineStr">
        <is>
          <t>SATIN-STRIPE-KING-BLACK--6-PCS</t>
        </is>
      </c>
      <c r="E626" s="54" t="inlineStr">
        <is>
          <t>King</t>
        </is>
      </c>
      <c r="F626" s="54" t="inlineStr">
        <is>
          <t>Striped Black</t>
        </is>
      </c>
      <c r="G626" s="55" t="n">
        <v>78</v>
      </c>
      <c r="H626" s="55" t="n">
        <v>0</v>
      </c>
      <c r="I626" s="56" t="n"/>
      <c r="J626" s="57" t="n">
        <v>0.51</v>
      </c>
      <c r="K626" s="56" t="inlineStr">
        <is>
          <t>account data velocity</t>
        </is>
      </c>
      <c r="L626" s="58" t="n">
        <v>3.076</v>
      </c>
      <c r="M626" s="56" t="inlineStr">
        <is>
          <t>own BFCM 2025 lift (account data)</t>
        </is>
      </c>
      <c r="N626" s="59">
        <f>J626*34+J626*L626*12</f>
        <v/>
      </c>
      <c r="O626" s="59">
        <f>MAX(0,N626-G626-H626)</f>
        <v/>
      </c>
      <c r="P626" s="60">
        <f>IF(J626=0,"",IF(G626&lt;J626*34,DATE(2026,10,15)+G626/J626,IF(G626&lt;N626,DATE(2026,11,18)+(G626-J626*34)/(J626*L626),"after Nov 30")))</f>
        <v/>
      </c>
      <c r="Q626" s="60">
        <f>IF(J626=0,"",IF(G626+H626&lt;J626*34,DATE(2026,10,15)+(G626+H626)/J626,IF(G626+H626&lt;N626,DATE(2026,11,18)+(G626+H626-J626*34)/(J626*L626),"after Nov 30")))</f>
        <v/>
      </c>
      <c r="R626" s="54">
        <f>IF(AND(G626&lt;=0,J626&gt;0),"Out of stock now",IF(G626&gt;=N626,"Covered to Nov 30",IF(G626+H626&gt;=N626,"Needs inbound in time","Short even with inbound")))</f>
        <v/>
      </c>
      <c r="S626" s="57" t="n">
        <v>0.214</v>
      </c>
      <c r="T626" s="59">
        <f>IF(S626="","",S626*34+S626*L626*12)</f>
        <v/>
      </c>
    </row>
    <row r="627">
      <c r="A627" s="54" t="inlineStr">
        <is>
          <t>US DC S6</t>
        </is>
      </c>
      <c r="B627" s="54" t="inlineStr">
        <is>
          <t>US</t>
        </is>
      </c>
      <c r="C627" s="54" t="inlineStr">
        <is>
          <t>B0C7F5ZR17</t>
        </is>
      </c>
      <c r="D627" s="54" t="inlineStr">
        <is>
          <t>SATIN-QUEEN-GREY-6PCS</t>
        </is>
      </c>
      <c r="E627" s="54" t="inlineStr">
        <is>
          <t>Queen</t>
        </is>
      </c>
      <c r="F627" s="54" t="inlineStr">
        <is>
          <t>Grey</t>
        </is>
      </c>
      <c r="G627" s="55" t="n">
        <v>46</v>
      </c>
      <c r="H627" s="55" t="n">
        <v>0</v>
      </c>
      <c r="I627" s="56" t="n"/>
      <c r="J627" s="57" t="n">
        <v>0.5</v>
      </c>
      <c r="K627" s="56" t="inlineStr">
        <is>
          <t>account data velocity</t>
        </is>
      </c>
      <c r="L627" s="58" t="n">
        <v>3.076</v>
      </c>
      <c r="M627" s="56" t="inlineStr">
        <is>
          <t>own BFCM 2025 lift (account data)</t>
        </is>
      </c>
      <c r="N627" s="59">
        <f>J627*34+J627*L627*12</f>
        <v/>
      </c>
      <c r="O627" s="59">
        <f>MAX(0,N627-G627-H627)</f>
        <v/>
      </c>
      <c r="P627" s="60">
        <f>IF(J627=0,"",IF(G627&lt;J627*34,DATE(2026,10,15)+G627/J627,IF(G627&lt;N627,DATE(2026,11,18)+(G627-J627*34)/(J627*L627),"after Nov 30")))</f>
        <v/>
      </c>
      <c r="Q627" s="60">
        <f>IF(J627=0,"",IF(G627+H627&lt;J627*34,DATE(2026,10,15)+(G627+H627)/J627,IF(G627+H627&lt;N627,DATE(2026,11,18)+(G627+H627-J627*34)/(J627*L627),"after Nov 30")))</f>
        <v/>
      </c>
      <c r="R627" s="54">
        <f>IF(AND(G627&lt;=0,J627&gt;0),"Out of stock now",IF(G627&gt;=N627,"Covered to Nov 30",IF(G627+H627&gt;=N627,"Needs inbound in time","Short even with inbound")))</f>
        <v/>
      </c>
      <c r="S627" s="57" t="n">
        <v>0.286</v>
      </c>
      <c r="T627" s="59">
        <f>IF(S627="","",S627*34+S627*L627*12)</f>
        <v/>
      </c>
    </row>
    <row r="628">
      <c r="A628" s="54" t="inlineStr">
        <is>
          <t>US DC S6</t>
        </is>
      </c>
      <c r="B628" s="54" t="inlineStr">
        <is>
          <t>US</t>
        </is>
      </c>
      <c r="C628" s="54" t="inlineStr">
        <is>
          <t>B0C7FTB8MQ</t>
        </is>
      </c>
      <c r="D628" s="54" t="inlineStr">
        <is>
          <t>SATIN-STONEGREY-QUEEN-6PCS</t>
        </is>
      </c>
      <c r="E628" s="54" t="inlineStr">
        <is>
          <t>Queen</t>
        </is>
      </c>
      <c r="F628" s="54" t="inlineStr">
        <is>
          <t>Stone Grey</t>
        </is>
      </c>
      <c r="G628" s="55" t="n">
        <v>115</v>
      </c>
      <c r="H628" s="55" t="n">
        <v>0</v>
      </c>
      <c r="I628" s="56" t="n"/>
      <c r="J628" s="57" t="n">
        <v>0.46</v>
      </c>
      <c r="K628" s="56" t="inlineStr">
        <is>
          <t>account data velocity</t>
        </is>
      </c>
      <c r="L628" s="58" t="n">
        <v>3.076</v>
      </c>
      <c r="M628" s="56" t="inlineStr">
        <is>
          <t>own BFCM 2025 lift (account data)</t>
        </is>
      </c>
      <c r="N628" s="59">
        <f>J628*34+J628*L628*12</f>
        <v/>
      </c>
      <c r="O628" s="59">
        <f>MAX(0,N628-G628-H628)</f>
        <v/>
      </c>
      <c r="P628" s="60">
        <f>IF(J628=0,"",IF(G628&lt;J628*34,DATE(2026,10,15)+G628/J628,IF(G628&lt;N628,DATE(2026,11,18)+(G628-J628*34)/(J628*L628),"after Nov 30")))</f>
        <v/>
      </c>
      <c r="Q628" s="60">
        <f>IF(J628=0,"",IF(G628+H628&lt;J628*34,DATE(2026,10,15)+(G628+H628)/J628,IF(G628+H628&lt;N628,DATE(2026,11,18)+(G628+H628-J628*34)/(J628*L628),"after Nov 30")))</f>
        <v/>
      </c>
      <c r="R628" s="54">
        <f>IF(AND(G628&lt;=0,J628&gt;0),"Out of stock now",IF(G628&gt;=N628,"Covered to Nov 30",IF(G628+H628&gt;=N628,"Needs inbound in time","Short even with inbound")))</f>
        <v/>
      </c>
      <c r="S628" s="57" t="n">
        <v>0.214</v>
      </c>
      <c r="T628" s="59">
        <f>IF(S628="","",S628*34+S628*L628*12)</f>
        <v/>
      </c>
    </row>
    <row r="629">
      <c r="A629" s="54" t="inlineStr">
        <is>
          <t>US DC S6</t>
        </is>
      </c>
      <c r="B629" s="54" t="inlineStr">
        <is>
          <t>US</t>
        </is>
      </c>
      <c r="C629" s="54" t="inlineStr">
        <is>
          <t>B0C7FNQH3B</t>
        </is>
      </c>
      <c r="D629" s="54" t="inlineStr">
        <is>
          <t>SATIN-KING-GREY-6PCS</t>
        </is>
      </c>
      <c r="E629" s="54" t="inlineStr">
        <is>
          <t>King</t>
        </is>
      </c>
      <c r="F629" s="54" t="inlineStr">
        <is>
          <t>Grey</t>
        </is>
      </c>
      <c r="G629" s="55" t="n">
        <v>54</v>
      </c>
      <c r="H629" s="55" t="n">
        <v>0</v>
      </c>
      <c r="I629" s="56" t="n"/>
      <c r="J629" s="57" t="n">
        <v>0.45</v>
      </c>
      <c r="K629" s="56" t="inlineStr">
        <is>
          <t>account data velocity</t>
        </is>
      </c>
      <c r="L629" s="58" t="n">
        <v>3.076</v>
      </c>
      <c r="M629" s="56" t="inlineStr">
        <is>
          <t>own BFCM 2025 lift (account data)</t>
        </is>
      </c>
      <c r="N629" s="59">
        <f>J629*34+J629*L629*12</f>
        <v/>
      </c>
      <c r="O629" s="59">
        <f>MAX(0,N629-G629-H629)</f>
        <v/>
      </c>
      <c r="P629" s="60">
        <f>IF(J629=0,"",IF(G629&lt;J629*34,DATE(2026,10,15)+G629/J629,IF(G629&lt;N629,DATE(2026,11,18)+(G629-J629*34)/(J629*L629),"after Nov 30")))</f>
        <v/>
      </c>
      <c r="Q629" s="60">
        <f>IF(J629=0,"",IF(G629+H629&lt;J629*34,DATE(2026,10,15)+(G629+H629)/J629,IF(G629+H629&lt;N629,DATE(2026,11,18)+(G629+H629-J629*34)/(J629*L629),"after Nov 30")))</f>
        <v/>
      </c>
      <c r="R629" s="54">
        <f>IF(AND(G629&lt;=0,J629&gt;0),"Out of stock now",IF(G629&gt;=N629,"Covered to Nov 30",IF(G629+H629&gt;=N629,"Needs inbound in time","Short even with inbound")))</f>
        <v/>
      </c>
      <c r="S629" s="57" t="n">
        <v>0.357</v>
      </c>
      <c r="T629" s="59">
        <f>IF(S629="","",S629*34+S629*L629*12)</f>
        <v/>
      </c>
    </row>
    <row r="630">
      <c r="A630" s="54" t="inlineStr">
        <is>
          <t>US DC S6</t>
        </is>
      </c>
      <c r="B630" s="54" t="inlineStr">
        <is>
          <t>US</t>
        </is>
      </c>
      <c r="C630" s="54" t="inlineStr">
        <is>
          <t>B0D9QSG8V3</t>
        </is>
      </c>
      <c r="D630" s="54" t="inlineStr">
        <is>
          <t>SATIN-6PC-KING-DARK GREEN</t>
        </is>
      </c>
      <c r="E630" s="54" t="inlineStr">
        <is>
          <t>King</t>
        </is>
      </c>
      <c r="F630" s="54" t="inlineStr">
        <is>
          <t>Dark Green</t>
        </is>
      </c>
      <c r="G630" s="55" t="n">
        <v>5</v>
      </c>
      <c r="H630" s="55" t="n">
        <v>0</v>
      </c>
      <c r="I630" s="56" t="n"/>
      <c r="J630" s="57" t="n">
        <v>0.44</v>
      </c>
      <c r="K630" s="56" t="inlineStr">
        <is>
          <t>account data velocity</t>
        </is>
      </c>
      <c r="L630" s="58" t="n">
        <v>3.076</v>
      </c>
      <c r="M630" s="56" t="inlineStr">
        <is>
          <t>own BFCM 2025 lift (account data)</t>
        </is>
      </c>
      <c r="N630" s="59">
        <f>J630*34+J630*L630*12</f>
        <v/>
      </c>
      <c r="O630" s="59">
        <f>MAX(0,N630-G630-H630)</f>
        <v/>
      </c>
      <c r="P630" s="60">
        <f>IF(J630=0,"",IF(G630&lt;J630*34,DATE(2026,10,15)+G630/J630,IF(G630&lt;N630,DATE(2026,11,18)+(G630-J630*34)/(J630*L630),"after Nov 30")))</f>
        <v/>
      </c>
      <c r="Q630" s="60">
        <f>IF(J630=0,"",IF(G630+H630&lt;J630*34,DATE(2026,10,15)+(G630+H630)/J630,IF(G630+H630&lt;N630,DATE(2026,11,18)+(G630+H630-J630*34)/(J630*L630),"after Nov 30")))</f>
        <v/>
      </c>
      <c r="R630" s="54">
        <f>IF(AND(G630&lt;=0,J630&gt;0),"Out of stock now",IF(G630&gt;=N630,"Covered to Nov 30",IF(G630+H630&gt;=N630,"Needs inbound in time","Short even with inbound")))</f>
        <v/>
      </c>
      <c r="S630" s="57" t="n">
        <v>0.25</v>
      </c>
      <c r="T630" s="59">
        <f>IF(S630="","",S630*34+S630*L630*12)</f>
        <v/>
      </c>
    </row>
    <row r="631">
      <c r="A631" s="54" t="inlineStr">
        <is>
          <t>US DC S6</t>
        </is>
      </c>
      <c r="B631" s="54" t="inlineStr">
        <is>
          <t>US</t>
        </is>
      </c>
      <c r="C631" s="54" t="inlineStr">
        <is>
          <t>B0D9QSZH1N</t>
        </is>
      </c>
      <c r="D631" s="54" t="inlineStr">
        <is>
          <t>SATIN-6PC-QUEEN-BABY BLUE</t>
        </is>
      </c>
      <c r="E631" s="54" t="inlineStr">
        <is>
          <t>Queen</t>
        </is>
      </c>
      <c r="F631" s="54" t="inlineStr">
        <is>
          <t>Baby Blue</t>
        </is>
      </c>
      <c r="G631" s="55" t="n">
        <v>48</v>
      </c>
      <c r="H631" s="55" t="n">
        <v>0</v>
      </c>
      <c r="I631" s="56" t="n"/>
      <c r="J631" s="57" t="n">
        <v>0.44</v>
      </c>
      <c r="K631" s="56" t="inlineStr">
        <is>
          <t>account data velocity</t>
        </is>
      </c>
      <c r="L631" s="58" t="n">
        <v>3.076</v>
      </c>
      <c r="M631" s="56" t="inlineStr">
        <is>
          <t>own BFCM 2025 lift (account data)</t>
        </is>
      </c>
      <c r="N631" s="59">
        <f>J631*34+J631*L631*12</f>
        <v/>
      </c>
      <c r="O631" s="59">
        <f>MAX(0,N631-G631-H631)</f>
        <v/>
      </c>
      <c r="P631" s="60">
        <f>IF(J631=0,"",IF(G631&lt;J631*34,DATE(2026,10,15)+G631/J631,IF(G631&lt;N631,DATE(2026,11,18)+(G631-J631*34)/(J631*L631),"after Nov 30")))</f>
        <v/>
      </c>
      <c r="Q631" s="60">
        <f>IF(J631=0,"",IF(G631+H631&lt;J631*34,DATE(2026,10,15)+(G631+H631)/J631,IF(G631+H631&lt;N631,DATE(2026,11,18)+(G631+H631-J631*34)/(J631*L631),"after Nov 30")))</f>
        <v/>
      </c>
      <c r="R631" s="54">
        <f>IF(AND(G631&lt;=0,J631&gt;0),"Out of stock now",IF(G631&gt;=N631,"Covered to Nov 30",IF(G631+H631&gt;=N631,"Needs inbound in time","Short even with inbound")))</f>
        <v/>
      </c>
      <c r="S631" s="57" t="n">
        <v>0.25</v>
      </c>
      <c r="T631" s="59">
        <f>IF(S631="","",S631*34+S631*L631*12)</f>
        <v/>
      </c>
    </row>
    <row r="632">
      <c r="A632" s="54" t="inlineStr">
        <is>
          <t>US DC S6</t>
        </is>
      </c>
      <c r="B632" s="54" t="inlineStr">
        <is>
          <t>US</t>
        </is>
      </c>
      <c r="C632" s="54" t="inlineStr">
        <is>
          <t>B0D9QSYPF2</t>
        </is>
      </c>
      <c r="D632" s="54" t="inlineStr">
        <is>
          <t>SATIN-6PC-QUEEN-LAVENDER</t>
        </is>
      </c>
      <c r="E632" s="54" t="inlineStr">
        <is>
          <t>Queen</t>
        </is>
      </c>
      <c r="F632" s="54" t="inlineStr">
        <is>
          <t>Lavender</t>
        </is>
      </c>
      <c r="G632" s="55" t="n">
        <v>58</v>
      </c>
      <c r="H632" s="55" t="n">
        <v>0</v>
      </c>
      <c r="I632" s="56" t="n"/>
      <c r="J632" s="57" t="n">
        <v>0.43</v>
      </c>
      <c r="K632" s="56" t="inlineStr">
        <is>
          <t>account data velocity</t>
        </is>
      </c>
      <c r="L632" s="58" t="n">
        <v>3.076</v>
      </c>
      <c r="M632" s="56" t="inlineStr">
        <is>
          <t>own BFCM 2025 lift (account data)</t>
        </is>
      </c>
      <c r="N632" s="59">
        <f>J632*34+J632*L632*12</f>
        <v/>
      </c>
      <c r="O632" s="59">
        <f>MAX(0,N632-G632-H632)</f>
        <v/>
      </c>
      <c r="P632" s="60">
        <f>IF(J632=0,"",IF(G632&lt;J632*34,DATE(2026,10,15)+G632/J632,IF(G632&lt;N632,DATE(2026,11,18)+(G632-J632*34)/(J632*L632),"after Nov 30")))</f>
        <v/>
      </c>
      <c r="Q632" s="60">
        <f>IF(J632=0,"",IF(G632+H632&lt;J632*34,DATE(2026,10,15)+(G632+H632)/J632,IF(G632+H632&lt;N632,DATE(2026,11,18)+(G632+H632-J632*34)/(J632*L632),"after Nov 30")))</f>
        <v/>
      </c>
      <c r="R632" s="54">
        <f>IF(AND(G632&lt;=0,J632&gt;0),"Out of stock now",IF(G632&gt;=N632,"Covered to Nov 30",IF(G632+H632&gt;=N632,"Needs inbound in time","Short even with inbound")))</f>
        <v/>
      </c>
      <c r="S632" s="57" t="n">
        <v>0.25</v>
      </c>
      <c r="T632" s="59">
        <f>IF(S632="","",S632*34+S632*L632*12)</f>
        <v/>
      </c>
    </row>
    <row r="633">
      <c r="A633" s="54" t="inlineStr">
        <is>
          <t>US DC S6</t>
        </is>
      </c>
      <c r="B633" s="54" t="inlineStr">
        <is>
          <t>US</t>
        </is>
      </c>
      <c r="C633" s="54" t="inlineStr">
        <is>
          <t>B0C7JYWFP8</t>
        </is>
      </c>
      <c r="D633" s="54" t="inlineStr">
        <is>
          <t>SATIN-STRIPE-KING-RED--6-PCS</t>
        </is>
      </c>
      <c r="E633" s="54" t="inlineStr">
        <is>
          <t>King</t>
        </is>
      </c>
      <c r="F633" s="54" t="inlineStr">
        <is>
          <t>Striped Red</t>
        </is>
      </c>
      <c r="G633" s="55" t="n">
        <v>104</v>
      </c>
      <c r="H633" s="55" t="n">
        <v>0</v>
      </c>
      <c r="I633" s="56" t="n"/>
      <c r="J633" s="57" t="n">
        <v>0.42</v>
      </c>
      <c r="K633" s="56" t="inlineStr">
        <is>
          <t>account data velocity</t>
        </is>
      </c>
      <c r="L633" s="58" t="n">
        <v>3.076</v>
      </c>
      <c r="M633" s="56" t="inlineStr">
        <is>
          <t>own BFCM 2025 lift (account data)</t>
        </is>
      </c>
      <c r="N633" s="59">
        <f>J633*34+J633*L633*12</f>
        <v/>
      </c>
      <c r="O633" s="59">
        <f>MAX(0,N633-G633-H633)</f>
        <v/>
      </c>
      <c r="P633" s="60">
        <f>IF(J633=0,"",IF(G633&lt;J633*34,DATE(2026,10,15)+G633/J633,IF(G633&lt;N633,DATE(2026,11,18)+(G633-J633*34)/(J633*L633),"after Nov 30")))</f>
        <v/>
      </c>
      <c r="Q633" s="60">
        <f>IF(J633=0,"",IF(G633+H633&lt;J633*34,DATE(2026,10,15)+(G633+H633)/J633,IF(G633+H633&lt;N633,DATE(2026,11,18)+(G633+H633-J633*34)/(J633*L633),"after Nov 30")))</f>
        <v/>
      </c>
      <c r="R633" s="54">
        <f>IF(AND(G633&lt;=0,J633&gt;0),"Out of stock now",IF(G633&gt;=N633,"Covered to Nov 30",IF(G633+H633&gt;=N633,"Needs inbound in time","Short even with inbound")))</f>
        <v/>
      </c>
      <c r="S633" s="57" t="n">
        <v>0.25</v>
      </c>
      <c r="T633" s="59">
        <f>IF(S633="","",S633*34+S633*L633*12)</f>
        <v/>
      </c>
    </row>
    <row r="634">
      <c r="A634" s="54" t="inlineStr">
        <is>
          <t>US DC S6</t>
        </is>
      </c>
      <c r="B634" s="54" t="inlineStr">
        <is>
          <t>US</t>
        </is>
      </c>
      <c r="C634" s="54" t="inlineStr">
        <is>
          <t>B0D9QSZR2C</t>
        </is>
      </c>
      <c r="D634" s="54" t="inlineStr">
        <is>
          <t>SATIN-6PC-KING-BABY BLUE</t>
        </is>
      </c>
      <c r="E634" s="54" t="inlineStr">
        <is>
          <t>King</t>
        </is>
      </c>
      <c r="F634" s="54" t="inlineStr">
        <is>
          <t>Baby Blue</t>
        </is>
      </c>
      <c r="G634" s="55" t="n">
        <v>45</v>
      </c>
      <c r="H634" s="55" t="n">
        <v>0</v>
      </c>
      <c r="I634" s="56" t="n"/>
      <c r="J634" s="57" t="n">
        <v>0.41</v>
      </c>
      <c r="K634" s="56" t="inlineStr">
        <is>
          <t>account data velocity</t>
        </is>
      </c>
      <c r="L634" s="58" t="n">
        <v>3.076</v>
      </c>
      <c r="M634" s="56" t="inlineStr">
        <is>
          <t>own BFCM 2025 lift (account data)</t>
        </is>
      </c>
      <c r="N634" s="59">
        <f>J634*34+J634*L634*12</f>
        <v/>
      </c>
      <c r="O634" s="59">
        <f>MAX(0,N634-G634-H634)</f>
        <v/>
      </c>
      <c r="P634" s="60">
        <f>IF(J634=0,"",IF(G634&lt;J634*34,DATE(2026,10,15)+G634/J634,IF(G634&lt;N634,DATE(2026,11,18)+(G634-J634*34)/(J634*L634),"after Nov 30")))</f>
        <v/>
      </c>
      <c r="Q634" s="60">
        <f>IF(J634=0,"",IF(G634+H634&lt;J634*34,DATE(2026,10,15)+(G634+H634)/J634,IF(G634+H634&lt;N634,DATE(2026,11,18)+(G634+H634-J634*34)/(J634*L634),"after Nov 30")))</f>
        <v/>
      </c>
      <c r="R634" s="54">
        <f>IF(AND(G634&lt;=0,J634&gt;0),"Out of stock now",IF(G634&gt;=N634,"Covered to Nov 30",IF(G634+H634&gt;=N634,"Needs inbound in time","Short even with inbound")))</f>
        <v/>
      </c>
      <c r="S634" s="57" t="n">
        <v>0.143</v>
      </c>
      <c r="T634" s="59">
        <f>IF(S634="","",S634*34+S634*L634*12)</f>
        <v/>
      </c>
    </row>
    <row r="635">
      <c r="A635" s="54" t="inlineStr">
        <is>
          <t>US DC S6</t>
        </is>
      </c>
      <c r="B635" s="54" t="inlineStr">
        <is>
          <t>US</t>
        </is>
      </c>
      <c r="C635" s="54" t="inlineStr">
        <is>
          <t>B0D9QWZJ4P</t>
        </is>
      </c>
      <c r="D635" s="54" t="inlineStr">
        <is>
          <t>SATIN-6PC-QUEEN-SAGE GREEN</t>
        </is>
      </c>
      <c r="E635" s="54" t="inlineStr">
        <is>
          <t>Queen</t>
        </is>
      </c>
      <c r="F635" s="54" t="inlineStr">
        <is>
          <t>Sage Green</t>
        </is>
      </c>
      <c r="G635" s="55" t="n">
        <v>32</v>
      </c>
      <c r="H635" s="55" t="n">
        <v>0</v>
      </c>
      <c r="I635" s="56" t="n"/>
      <c r="J635" s="57" t="n">
        <v>0.41</v>
      </c>
      <c r="K635" s="56" t="inlineStr">
        <is>
          <t>account data velocity</t>
        </is>
      </c>
      <c r="L635" s="58" t="n">
        <v>3.076</v>
      </c>
      <c r="M635" s="56" t="inlineStr">
        <is>
          <t>own BFCM 2025 lift (account data)</t>
        </is>
      </c>
      <c r="N635" s="59">
        <f>J635*34+J635*L635*12</f>
        <v/>
      </c>
      <c r="O635" s="59">
        <f>MAX(0,N635-G635-H635)</f>
        <v/>
      </c>
      <c r="P635" s="60">
        <f>IF(J635=0,"",IF(G635&lt;J635*34,DATE(2026,10,15)+G635/J635,IF(G635&lt;N635,DATE(2026,11,18)+(G635-J635*34)/(J635*L635),"after Nov 30")))</f>
        <v/>
      </c>
      <c r="Q635" s="60">
        <f>IF(J635=0,"",IF(G635+H635&lt;J635*34,DATE(2026,10,15)+(G635+H635)/J635,IF(G635+H635&lt;N635,DATE(2026,11,18)+(G635+H635-J635*34)/(J635*L635),"after Nov 30")))</f>
        <v/>
      </c>
      <c r="R635" s="54">
        <f>IF(AND(G635&lt;=0,J635&gt;0),"Out of stock now",IF(G635&gt;=N635,"Covered to Nov 30",IF(G635+H635&gt;=N635,"Needs inbound in time","Short even with inbound")))</f>
        <v/>
      </c>
      <c r="S635" s="57" t="n">
        <v>0.107</v>
      </c>
      <c r="T635" s="59">
        <f>IF(S635="","",S635*34+S635*L635*12)</f>
        <v/>
      </c>
    </row>
    <row r="636">
      <c r="A636" s="54" t="inlineStr">
        <is>
          <t>US DC S6</t>
        </is>
      </c>
      <c r="B636" s="54" t="inlineStr">
        <is>
          <t>US</t>
        </is>
      </c>
      <c r="C636" s="54" t="inlineStr">
        <is>
          <t>B0C7K5GC4L</t>
        </is>
      </c>
      <c r="D636" s="54" t="inlineStr">
        <is>
          <t>SATIN-STRIPE-QUEEN-BLACK--6-PCS</t>
        </is>
      </c>
      <c r="E636" s="54" t="inlineStr">
        <is>
          <t>Queen</t>
        </is>
      </c>
      <c r="F636" s="54" t="inlineStr">
        <is>
          <t>Striped Black</t>
        </is>
      </c>
      <c r="G636" s="55" t="n">
        <v>28</v>
      </c>
      <c r="H636" s="55" t="n">
        <v>0</v>
      </c>
      <c r="I636" s="56" t="n"/>
      <c r="J636" s="57" t="n">
        <v>0.4</v>
      </c>
      <c r="K636" s="56" t="inlineStr">
        <is>
          <t>account data velocity</t>
        </is>
      </c>
      <c r="L636" s="58" t="n">
        <v>3.076</v>
      </c>
      <c r="M636" s="56" t="inlineStr">
        <is>
          <t>own BFCM 2025 lift (account data)</t>
        </is>
      </c>
      <c r="N636" s="59">
        <f>J636*34+J636*L636*12</f>
        <v/>
      </c>
      <c r="O636" s="59">
        <f>MAX(0,N636-G636-H636)</f>
        <v/>
      </c>
      <c r="P636" s="60">
        <f>IF(J636=0,"",IF(G636&lt;J636*34,DATE(2026,10,15)+G636/J636,IF(G636&lt;N636,DATE(2026,11,18)+(G636-J636*34)/(J636*L636),"after Nov 30")))</f>
        <v/>
      </c>
      <c r="Q636" s="60">
        <f>IF(J636=0,"",IF(G636+H636&lt;J636*34,DATE(2026,10,15)+(G636+H636)/J636,IF(G636+H636&lt;N636,DATE(2026,11,18)+(G636+H636-J636*34)/(J636*L636),"after Nov 30")))</f>
        <v/>
      </c>
      <c r="R636" s="54">
        <f>IF(AND(G636&lt;=0,J636&gt;0),"Out of stock now",IF(G636&gt;=N636,"Covered to Nov 30",IF(G636+H636&gt;=N636,"Needs inbound in time","Short even with inbound")))</f>
        <v/>
      </c>
      <c r="S636" s="57" t="n">
        <v>0.107</v>
      </c>
      <c r="T636" s="59">
        <f>IF(S636="","",S636*34+S636*L636*12)</f>
        <v/>
      </c>
    </row>
    <row r="637">
      <c r="A637" s="54" t="inlineStr">
        <is>
          <t>US DC S6</t>
        </is>
      </c>
      <c r="B637" s="54" t="inlineStr">
        <is>
          <t>US</t>
        </is>
      </c>
      <c r="C637" s="54" t="inlineStr">
        <is>
          <t>B0C7F622QD</t>
        </is>
      </c>
      <c r="D637" s="54" t="inlineStr">
        <is>
          <t>SATIN-TWIN-BLACK-6PCS</t>
        </is>
      </c>
      <c r="E637" s="54" t="inlineStr">
        <is>
          <t>Twin</t>
        </is>
      </c>
      <c r="F637" s="54" t="inlineStr">
        <is>
          <t>Black</t>
        </is>
      </c>
      <c r="G637" s="55" t="n">
        <v>86</v>
      </c>
      <c r="H637" s="55" t="n">
        <v>6</v>
      </c>
      <c r="I637" s="56" t="inlineStr">
        <is>
          <t>FBA19N7XSBR9 in transit: 6</t>
        </is>
      </c>
      <c r="J637" s="57" t="n">
        <v>0.39</v>
      </c>
      <c r="K637" s="56" t="inlineStr">
        <is>
          <t>account data velocity</t>
        </is>
      </c>
      <c r="L637" s="58" t="n">
        <v>3.076</v>
      </c>
      <c r="M637" s="56" t="inlineStr">
        <is>
          <t>own BFCM 2025 lift (account data)</t>
        </is>
      </c>
      <c r="N637" s="59">
        <f>J637*34+J637*L637*12</f>
        <v/>
      </c>
      <c r="O637" s="59">
        <f>MAX(0,N637-G637-H637)</f>
        <v/>
      </c>
      <c r="P637" s="60">
        <f>IF(J637=0,"",IF(G637&lt;J637*34,DATE(2026,10,15)+G637/J637,IF(G637&lt;N637,DATE(2026,11,18)+(G637-J637*34)/(J637*L637),"after Nov 30")))</f>
        <v/>
      </c>
      <c r="Q637" s="60">
        <f>IF(J637=0,"",IF(G637+H637&lt;J637*34,DATE(2026,10,15)+(G637+H637)/J637,IF(G637+H637&lt;N637,DATE(2026,11,18)+(G637+H637-J637*34)/(J637*L637),"after Nov 30")))</f>
        <v/>
      </c>
      <c r="R637" s="54">
        <f>IF(AND(G637&lt;=0,J637&gt;0),"Out of stock now",IF(G637&gt;=N637,"Covered to Nov 30",IF(G637+H637&gt;=N637,"Needs inbound in time","Short even with inbound")))</f>
        <v/>
      </c>
      <c r="S637" s="57" t="n">
        <v>0.357</v>
      </c>
      <c r="T637" s="59">
        <f>IF(S637="","",S637*34+S637*L637*12)</f>
        <v/>
      </c>
    </row>
    <row r="638">
      <c r="A638" s="54" t="inlineStr">
        <is>
          <t>US DC S6</t>
        </is>
      </c>
      <c r="B638" s="54" t="inlineStr">
        <is>
          <t>US</t>
        </is>
      </c>
      <c r="C638" s="54" t="inlineStr">
        <is>
          <t>B0C7FSZ6RY</t>
        </is>
      </c>
      <c r="D638" s="54" t="inlineStr">
        <is>
          <t>SATIN-QUEEN-PINK-6PCS</t>
        </is>
      </c>
      <c r="E638" s="54" t="inlineStr">
        <is>
          <t>Queen</t>
        </is>
      </c>
      <c r="F638" s="54" t="inlineStr">
        <is>
          <t>Pink</t>
        </is>
      </c>
      <c r="G638" s="55" t="n">
        <v>77</v>
      </c>
      <c r="H638" s="55" t="n">
        <v>18</v>
      </c>
      <c r="I638" s="56" t="inlineStr">
        <is>
          <t>FBA19SV5KWMR ready to ship: 60; FBA19N7WSG18 in transit: 6; FBA19N7RP6W7 in transit: 6; FBA19N7RQF4Q ready to ship: 6</t>
        </is>
      </c>
      <c r="J638" s="57" t="n">
        <v>0.38</v>
      </c>
      <c r="K638" s="56" t="inlineStr">
        <is>
          <t>account data velocity</t>
        </is>
      </c>
      <c r="L638" s="58" t="n">
        <v>3.076</v>
      </c>
      <c r="M638" s="56" t="inlineStr">
        <is>
          <t>own BFCM 2025 lift (account data)</t>
        </is>
      </c>
      <c r="N638" s="59">
        <f>J638*34+J638*L638*12</f>
        <v/>
      </c>
      <c r="O638" s="59">
        <f>MAX(0,N638-G638-H638)</f>
        <v/>
      </c>
      <c r="P638" s="60">
        <f>IF(J638=0,"",IF(G638&lt;J638*34,DATE(2026,10,15)+G638/J638,IF(G638&lt;N638,DATE(2026,11,18)+(G638-J638*34)/(J638*L638),"after Nov 30")))</f>
        <v/>
      </c>
      <c r="Q638" s="60">
        <f>IF(J638=0,"",IF(G638+H638&lt;J638*34,DATE(2026,10,15)+(G638+H638)/J638,IF(G638+H638&lt;N638,DATE(2026,11,18)+(G638+H638-J638*34)/(J638*L638),"after Nov 30")))</f>
        <v/>
      </c>
      <c r="R638" s="54">
        <f>IF(AND(G638&lt;=0,J638&gt;0),"Out of stock now",IF(G638&gt;=N638,"Covered to Nov 30",IF(G638+H638&gt;=N638,"Needs inbound in time","Short even with inbound")))</f>
        <v/>
      </c>
      <c r="S638" s="57" t="n">
        <v>0.214</v>
      </c>
      <c r="T638" s="59">
        <f>IF(S638="","",S638*34+S638*L638*12)</f>
        <v/>
      </c>
    </row>
    <row r="639">
      <c r="A639" s="54" t="inlineStr">
        <is>
          <t>US DC S6</t>
        </is>
      </c>
      <c r="B639" s="54" t="inlineStr">
        <is>
          <t>US</t>
        </is>
      </c>
      <c r="C639" s="54" t="inlineStr">
        <is>
          <t>B0C7FQQH6V</t>
        </is>
      </c>
      <c r="D639" s="54" t="inlineStr">
        <is>
          <t>SATIN-KING-PURPLE-6PCS</t>
        </is>
      </c>
      <c r="E639" s="54" t="inlineStr">
        <is>
          <t>King</t>
        </is>
      </c>
      <c r="F639" s="54" t="inlineStr">
        <is>
          <t>Purple</t>
        </is>
      </c>
      <c r="G639" s="55" t="n">
        <v>41</v>
      </c>
      <c r="H639" s="55" t="n">
        <v>0</v>
      </c>
      <c r="I639" s="56" t="n"/>
      <c r="J639" s="57" t="n">
        <v>0.35</v>
      </c>
      <c r="K639" s="56" t="inlineStr">
        <is>
          <t>account data velocity</t>
        </is>
      </c>
      <c r="L639" s="58" t="n">
        <v>3.076</v>
      </c>
      <c r="M639" s="56" t="inlineStr">
        <is>
          <t>own BFCM 2025 lift (account data)</t>
        </is>
      </c>
      <c r="N639" s="59">
        <f>J639*34+J639*L639*12</f>
        <v/>
      </c>
      <c r="O639" s="59">
        <f>MAX(0,N639-G639-H639)</f>
        <v/>
      </c>
      <c r="P639" s="60">
        <f>IF(J639=0,"",IF(G639&lt;J639*34,DATE(2026,10,15)+G639/J639,IF(G639&lt;N639,DATE(2026,11,18)+(G639-J639*34)/(J639*L639),"after Nov 30")))</f>
        <v/>
      </c>
      <c r="Q639" s="60">
        <f>IF(J639=0,"",IF(G639+H639&lt;J639*34,DATE(2026,10,15)+(G639+H639)/J639,IF(G639+H639&lt;N639,DATE(2026,11,18)+(G639+H639-J639*34)/(J639*L639),"after Nov 30")))</f>
        <v/>
      </c>
      <c r="R639" s="54">
        <f>IF(AND(G639&lt;=0,J639&gt;0),"Out of stock now",IF(G639&gt;=N639,"Covered to Nov 30",IF(G639+H639&gt;=N639,"Needs inbound in time","Short even with inbound")))</f>
        <v/>
      </c>
      <c r="S639" s="57" t="n">
        <v>0.25</v>
      </c>
      <c r="T639" s="59">
        <f>IF(S639="","",S639*34+S639*L639*12)</f>
        <v/>
      </c>
    </row>
    <row r="640">
      <c r="A640" s="54" t="inlineStr">
        <is>
          <t>US DC S6</t>
        </is>
      </c>
      <c r="B640" s="54" t="inlineStr">
        <is>
          <t>US</t>
        </is>
      </c>
      <c r="C640" s="54" t="inlineStr">
        <is>
          <t>B0C7KD5MPK</t>
        </is>
      </c>
      <c r="D640" s="54" t="inlineStr">
        <is>
          <t>SATIN-STRIPE-KING-WHITE--6-PCS</t>
        </is>
      </c>
      <c r="E640" s="54" t="inlineStr">
        <is>
          <t>King</t>
        </is>
      </c>
      <c r="F640" s="54" t="inlineStr">
        <is>
          <t>Striped White</t>
        </is>
      </c>
      <c r="G640" s="55" t="n">
        <v>0</v>
      </c>
      <c r="H640" s="55" t="n">
        <v>0</v>
      </c>
      <c r="I640" s="56" t="n"/>
      <c r="J640" s="57" t="n">
        <v>0.34</v>
      </c>
      <c r="K640" s="56" t="inlineStr">
        <is>
          <t>account data velocity</t>
        </is>
      </c>
      <c r="L640" s="58" t="n">
        <v>3.076</v>
      </c>
      <c r="M640" s="56" t="inlineStr">
        <is>
          <t>own BFCM 2025 lift (account data)</t>
        </is>
      </c>
      <c r="N640" s="59">
        <f>J640*34+J640*L640*12</f>
        <v/>
      </c>
      <c r="O640" s="59">
        <f>MAX(0,N640-G640-H640)</f>
        <v/>
      </c>
      <c r="P640" s="60">
        <f>IF(J640=0,"",IF(G640&lt;J640*34,DATE(2026,10,15)+G640/J640,IF(G640&lt;N640,DATE(2026,11,18)+(G640-J640*34)/(J640*L640),"after Nov 30")))</f>
        <v/>
      </c>
      <c r="Q640" s="60">
        <f>IF(J640=0,"",IF(G640+H640&lt;J640*34,DATE(2026,10,15)+(G640+H640)/J640,IF(G640+H640&lt;N640,DATE(2026,11,18)+(G640+H640-J640*34)/(J640*L640),"after Nov 30")))</f>
        <v/>
      </c>
      <c r="R640" s="54">
        <f>IF(AND(G640&lt;=0,J640&gt;0),"Out of stock now",IF(G640&gt;=N640,"Covered to Nov 30",IF(G640+H640&gt;=N640,"Needs inbound in time","Short even with inbound")))</f>
        <v/>
      </c>
      <c r="S640" s="57" t="n">
        <v>0</v>
      </c>
      <c r="T640" s="59">
        <f>IF(S640="","",S640*34+S640*L640*12)</f>
        <v/>
      </c>
    </row>
    <row r="641">
      <c r="A641" s="54" t="inlineStr">
        <is>
          <t>US DC S6</t>
        </is>
      </c>
      <c r="B641" s="54" t="inlineStr">
        <is>
          <t>US</t>
        </is>
      </c>
      <c r="C641" s="54" t="inlineStr">
        <is>
          <t>B0C7F5VMC8</t>
        </is>
      </c>
      <c r="D641" s="54" t="inlineStr">
        <is>
          <t>SATIN-WHITE-KING-6PCS</t>
        </is>
      </c>
      <c r="E641" s="54" t="inlineStr">
        <is>
          <t>King</t>
        </is>
      </c>
      <c r="F641" s="54" t="inlineStr">
        <is>
          <t>White</t>
        </is>
      </c>
      <c r="G641" s="55" t="n">
        <v>20</v>
      </c>
      <c r="H641" s="55" t="n">
        <v>0</v>
      </c>
      <c r="I641" s="56" t="n"/>
      <c r="J641" s="57" t="n">
        <v>0.33</v>
      </c>
      <c r="K641" s="56" t="inlineStr">
        <is>
          <t>account data velocity</t>
        </is>
      </c>
      <c r="L641" s="58" t="n">
        <v>3.076</v>
      </c>
      <c r="M641" s="56" t="inlineStr">
        <is>
          <t>own BFCM 2025 lift (account data)</t>
        </is>
      </c>
      <c r="N641" s="59">
        <f>J641*34+J641*L641*12</f>
        <v/>
      </c>
      <c r="O641" s="59">
        <f>MAX(0,N641-G641-H641)</f>
        <v/>
      </c>
      <c r="P641" s="60">
        <f>IF(J641=0,"",IF(G641&lt;J641*34,DATE(2026,10,15)+G641/J641,IF(G641&lt;N641,DATE(2026,11,18)+(G641-J641*34)/(J641*L641),"after Nov 30")))</f>
        <v/>
      </c>
      <c r="Q641" s="60">
        <f>IF(J641=0,"",IF(G641+H641&lt;J641*34,DATE(2026,10,15)+(G641+H641)/J641,IF(G641+H641&lt;N641,DATE(2026,11,18)+(G641+H641-J641*34)/(J641*L641),"after Nov 30")))</f>
        <v/>
      </c>
      <c r="R641" s="54">
        <f>IF(AND(G641&lt;=0,J641&gt;0),"Out of stock now",IF(G641&gt;=N641,"Covered to Nov 30",IF(G641+H641&gt;=N641,"Needs inbound in time","Short even with inbound")))</f>
        <v/>
      </c>
      <c r="S641" s="57" t="n">
        <v>0.143</v>
      </c>
      <c r="T641" s="59">
        <f>IF(S641="","",S641*34+S641*L641*12)</f>
        <v/>
      </c>
    </row>
    <row r="642">
      <c r="A642" s="54" t="inlineStr">
        <is>
          <t>US DC S6</t>
        </is>
      </c>
      <c r="B642" s="54" t="inlineStr">
        <is>
          <t>US</t>
        </is>
      </c>
      <c r="C642" s="54" t="inlineStr">
        <is>
          <t>B0D9QQHLK8</t>
        </is>
      </c>
      <c r="D642" s="54" t="inlineStr">
        <is>
          <t>SATIN-6PC-QUEEN-NAVY BLUE</t>
        </is>
      </c>
      <c r="E642" s="54" t="inlineStr">
        <is>
          <t>Queen</t>
        </is>
      </c>
      <c r="F642" s="54" t="inlineStr">
        <is>
          <t>Navy Blue</t>
        </is>
      </c>
      <c r="G642" s="55" t="n">
        <v>66</v>
      </c>
      <c r="H642" s="55" t="n">
        <v>0</v>
      </c>
      <c r="I642" s="56" t="n"/>
      <c r="J642" s="57" t="n">
        <v>0.32</v>
      </c>
      <c r="K642" s="56" t="inlineStr">
        <is>
          <t>account data velocity</t>
        </is>
      </c>
      <c r="L642" s="58" t="n">
        <v>3.076</v>
      </c>
      <c r="M642" s="56" t="inlineStr">
        <is>
          <t>own BFCM 2025 lift (account data)</t>
        </is>
      </c>
      <c r="N642" s="59">
        <f>J642*34+J642*L642*12</f>
        <v/>
      </c>
      <c r="O642" s="59">
        <f>MAX(0,N642-G642-H642)</f>
        <v/>
      </c>
      <c r="P642" s="60">
        <f>IF(J642=0,"",IF(G642&lt;J642*34,DATE(2026,10,15)+G642/J642,IF(G642&lt;N642,DATE(2026,11,18)+(G642-J642*34)/(J642*L642),"after Nov 30")))</f>
        <v/>
      </c>
      <c r="Q642" s="60">
        <f>IF(J642=0,"",IF(G642+H642&lt;J642*34,DATE(2026,10,15)+(G642+H642)/J642,IF(G642+H642&lt;N642,DATE(2026,11,18)+(G642+H642-J642*34)/(J642*L642),"after Nov 30")))</f>
        <v/>
      </c>
      <c r="R642" s="54">
        <f>IF(AND(G642&lt;=0,J642&gt;0),"Out of stock now",IF(G642&gt;=N642,"Covered to Nov 30",IF(G642+H642&gt;=N642,"Needs inbound in time","Short even with inbound")))</f>
        <v/>
      </c>
      <c r="S642" s="57" t="n">
        <v>0.321</v>
      </c>
      <c r="T642" s="59">
        <f>IF(S642="","",S642*34+S642*L642*12)</f>
        <v/>
      </c>
    </row>
    <row r="643">
      <c r="A643" s="54" t="inlineStr">
        <is>
          <t>US DC S6</t>
        </is>
      </c>
      <c r="B643" s="54" t="inlineStr">
        <is>
          <t>US</t>
        </is>
      </c>
      <c r="C643" s="54" t="inlineStr">
        <is>
          <t>B0C7FSZHXL</t>
        </is>
      </c>
      <c r="D643" s="54" t="inlineStr">
        <is>
          <t>SATIN-SEA-TEAL-KING-6PCS</t>
        </is>
      </c>
      <c r="E643" s="54" t="inlineStr">
        <is>
          <t>King</t>
        </is>
      </c>
      <c r="F643" s="54" t="inlineStr">
        <is>
          <t>Sea Teal</t>
        </is>
      </c>
      <c r="G643" s="55" t="n">
        <v>86</v>
      </c>
      <c r="H643" s="55" t="n">
        <v>0</v>
      </c>
      <c r="I643" s="56" t="inlineStr">
        <is>
          <t>FBA19N82086K ready to ship: 60</t>
        </is>
      </c>
      <c r="J643" s="57" t="n">
        <v>0.3</v>
      </c>
      <c r="K643" s="56" t="inlineStr">
        <is>
          <t>account data velocity</t>
        </is>
      </c>
      <c r="L643" s="58" t="n">
        <v>3.076</v>
      </c>
      <c r="M643" s="56" t="inlineStr">
        <is>
          <t>own BFCM 2025 lift (account data)</t>
        </is>
      </c>
      <c r="N643" s="59">
        <f>J643*34+J643*L643*12</f>
        <v/>
      </c>
      <c r="O643" s="59">
        <f>MAX(0,N643-G643-H643)</f>
        <v/>
      </c>
      <c r="P643" s="60">
        <f>IF(J643=0,"",IF(G643&lt;J643*34,DATE(2026,10,15)+G643/J643,IF(G643&lt;N643,DATE(2026,11,18)+(G643-J643*34)/(J643*L643),"after Nov 30")))</f>
        <v/>
      </c>
      <c r="Q643" s="60">
        <f>IF(J643=0,"",IF(G643+H643&lt;J643*34,DATE(2026,10,15)+(G643+H643)/J643,IF(G643+H643&lt;N643,DATE(2026,11,18)+(G643+H643-J643*34)/(J643*L643),"after Nov 30")))</f>
        <v/>
      </c>
      <c r="R643" s="54">
        <f>IF(AND(G643&lt;=0,J643&gt;0),"Out of stock now",IF(G643&gt;=N643,"Covered to Nov 30",IF(G643+H643&gt;=N643,"Needs inbound in time","Short even with inbound")))</f>
        <v/>
      </c>
      <c r="S643" s="57" t="n">
        <v>0.321</v>
      </c>
      <c r="T643" s="59">
        <f>IF(S643="","",S643*34+S643*L643*12)</f>
        <v/>
      </c>
    </row>
    <row r="644">
      <c r="A644" s="54" t="inlineStr">
        <is>
          <t>US DC S6</t>
        </is>
      </c>
      <c r="B644" s="54" t="inlineStr">
        <is>
          <t>US</t>
        </is>
      </c>
      <c r="C644" s="54" t="inlineStr">
        <is>
          <t>B0C7KJMDNG</t>
        </is>
      </c>
      <c r="D644" s="54" t="inlineStr">
        <is>
          <t>SATIN-STRIPE-QUEEN-BLUE--6-PCS</t>
        </is>
      </c>
      <c r="E644" s="54" t="inlineStr">
        <is>
          <t>Queen</t>
        </is>
      </c>
      <c r="F644" s="54" t="inlineStr">
        <is>
          <t>Striped Blue</t>
        </is>
      </c>
      <c r="G644" s="55" t="n">
        <v>72</v>
      </c>
      <c r="H644" s="55" t="n">
        <v>6</v>
      </c>
      <c r="I644" s="56" t="inlineStr">
        <is>
          <t>FBA19N82086K ready to ship: 6; FBA19N7XSBR9 in transit: 6</t>
        </is>
      </c>
      <c r="J644" s="57" t="n">
        <v>0.29</v>
      </c>
      <c r="K644" s="56" t="inlineStr">
        <is>
          <t>account data velocity</t>
        </is>
      </c>
      <c r="L644" s="58" t="n">
        <v>3.076</v>
      </c>
      <c r="M644" s="56" t="inlineStr">
        <is>
          <t>own BFCM 2025 lift (account data)</t>
        </is>
      </c>
      <c r="N644" s="59">
        <f>J644*34+J644*L644*12</f>
        <v/>
      </c>
      <c r="O644" s="59">
        <f>MAX(0,N644-G644-H644)</f>
        <v/>
      </c>
      <c r="P644" s="60">
        <f>IF(J644=0,"",IF(G644&lt;J644*34,DATE(2026,10,15)+G644/J644,IF(G644&lt;N644,DATE(2026,11,18)+(G644-J644*34)/(J644*L644),"after Nov 30")))</f>
        <v/>
      </c>
      <c r="Q644" s="60">
        <f>IF(J644=0,"",IF(G644+H644&lt;J644*34,DATE(2026,10,15)+(G644+H644)/J644,IF(G644+H644&lt;N644,DATE(2026,11,18)+(G644+H644-J644*34)/(J644*L644),"after Nov 30")))</f>
        <v/>
      </c>
      <c r="R644" s="54">
        <f>IF(AND(G644&lt;=0,J644&gt;0),"Out of stock now",IF(G644&gt;=N644,"Covered to Nov 30",IF(G644+H644&gt;=N644,"Needs inbound in time","Short even with inbound")))</f>
        <v/>
      </c>
      <c r="S644" s="57" t="n">
        <v>0.143</v>
      </c>
      <c r="T644" s="59">
        <f>IF(S644="","",S644*34+S644*L644*12)</f>
        <v/>
      </c>
    </row>
    <row r="645">
      <c r="A645" s="54" t="inlineStr">
        <is>
          <t>US DC S6</t>
        </is>
      </c>
      <c r="B645" s="54" t="inlineStr">
        <is>
          <t>US</t>
        </is>
      </c>
      <c r="C645" s="54" t="inlineStr">
        <is>
          <t>B0C7FMQP5L</t>
        </is>
      </c>
      <c r="D645" s="54" t="inlineStr">
        <is>
          <t>SATIN-IVORY-QUEEN-6PCS</t>
        </is>
      </c>
      <c r="E645" s="54" t="inlineStr">
        <is>
          <t>Queen</t>
        </is>
      </c>
      <c r="F645" s="54" t="inlineStr">
        <is>
          <t>Ivory</t>
        </is>
      </c>
      <c r="G645" s="55" t="n">
        <v>34</v>
      </c>
      <c r="H645" s="55" t="n">
        <v>0</v>
      </c>
      <c r="I645" s="56" t="n"/>
      <c r="J645" s="57" t="n">
        <v>0.27</v>
      </c>
      <c r="K645" s="56" t="inlineStr">
        <is>
          <t>account data velocity</t>
        </is>
      </c>
      <c r="L645" s="58" t="n">
        <v>3.076</v>
      </c>
      <c r="M645" s="56" t="inlineStr">
        <is>
          <t>own BFCM 2025 lift (account data)</t>
        </is>
      </c>
      <c r="N645" s="59">
        <f>J645*34+J645*L645*12</f>
        <v/>
      </c>
      <c r="O645" s="59">
        <f>MAX(0,N645-G645-H645)</f>
        <v/>
      </c>
      <c r="P645" s="60">
        <f>IF(J645=0,"",IF(G645&lt;J645*34,DATE(2026,10,15)+G645/J645,IF(G645&lt;N645,DATE(2026,11,18)+(G645-J645*34)/(J645*L645),"after Nov 30")))</f>
        <v/>
      </c>
      <c r="Q645" s="60">
        <f>IF(J645=0,"",IF(G645+H645&lt;J645*34,DATE(2026,10,15)+(G645+H645)/J645,IF(G645+H645&lt;N645,DATE(2026,11,18)+(G645+H645-J645*34)/(J645*L645),"after Nov 30")))</f>
        <v/>
      </c>
      <c r="R645" s="54">
        <f>IF(AND(G645&lt;=0,J645&gt;0),"Out of stock now",IF(G645&gt;=N645,"Covered to Nov 30",IF(G645+H645&gt;=N645,"Needs inbound in time","Short even with inbound")))</f>
        <v/>
      </c>
      <c r="S645" s="57" t="n">
        <v>0.214</v>
      </c>
      <c r="T645" s="59">
        <f>IF(S645="","",S645*34+S645*L645*12)</f>
        <v/>
      </c>
    </row>
    <row r="646">
      <c r="A646" s="54" t="inlineStr">
        <is>
          <t>US DC S6</t>
        </is>
      </c>
      <c r="B646" s="54" t="inlineStr">
        <is>
          <t>US</t>
        </is>
      </c>
      <c r="C646" s="54" t="inlineStr">
        <is>
          <t>B0C7K5TSRR</t>
        </is>
      </c>
      <c r="D646" s="54" t="inlineStr">
        <is>
          <t>SATIN-STRIPE-TWIN-GOLD--6-PCS</t>
        </is>
      </c>
      <c r="E646" s="54" t="inlineStr">
        <is>
          <t>Twin</t>
        </is>
      </c>
      <c r="F646" s="54" t="inlineStr">
        <is>
          <t>Striped Gold</t>
        </is>
      </c>
      <c r="G646" s="55" t="n">
        <v>33</v>
      </c>
      <c r="H646" s="55" t="n">
        <v>0</v>
      </c>
      <c r="I646" s="56" t="n"/>
      <c r="J646" s="57" t="n">
        <v>0.26</v>
      </c>
      <c r="K646" s="56" t="inlineStr">
        <is>
          <t>account data velocity</t>
        </is>
      </c>
      <c r="L646" s="58" t="n">
        <v>3.076</v>
      </c>
      <c r="M646" s="56" t="inlineStr">
        <is>
          <t>own BFCM 2025 lift (account data)</t>
        </is>
      </c>
      <c r="N646" s="59">
        <f>J646*34+J646*L646*12</f>
        <v/>
      </c>
      <c r="O646" s="59">
        <f>MAX(0,N646-G646-H646)</f>
        <v/>
      </c>
      <c r="P646" s="60">
        <f>IF(J646=0,"",IF(G646&lt;J646*34,DATE(2026,10,15)+G646/J646,IF(G646&lt;N646,DATE(2026,11,18)+(G646-J646*34)/(J646*L646),"after Nov 30")))</f>
        <v/>
      </c>
      <c r="Q646" s="60">
        <f>IF(J646=0,"",IF(G646+H646&lt;J646*34,DATE(2026,10,15)+(G646+H646)/J646,IF(G646+H646&lt;N646,DATE(2026,11,18)+(G646+H646-J646*34)/(J646*L646),"after Nov 30")))</f>
        <v/>
      </c>
      <c r="R646" s="54">
        <f>IF(AND(G646&lt;=0,J646&gt;0),"Out of stock now",IF(G646&gt;=N646,"Covered to Nov 30",IF(G646+H646&gt;=N646,"Needs inbound in time","Short even with inbound")))</f>
        <v/>
      </c>
      <c r="S646" s="57" t="n">
        <v>0.143</v>
      </c>
      <c r="T646" s="59">
        <f>IF(S646="","",S646*34+S646*L646*12)</f>
        <v/>
      </c>
    </row>
    <row r="647">
      <c r="A647" s="54" t="inlineStr">
        <is>
          <t>US DC S6</t>
        </is>
      </c>
      <c r="B647" s="54" t="inlineStr">
        <is>
          <t>US</t>
        </is>
      </c>
      <c r="C647" s="54" t="inlineStr">
        <is>
          <t>B0D9QR66X1</t>
        </is>
      </c>
      <c r="D647" s="54" t="inlineStr">
        <is>
          <t>SATIN-6PC-QUEEN-BLUSH PINK</t>
        </is>
      </c>
      <c r="E647" s="54" t="inlineStr">
        <is>
          <t>Queen</t>
        </is>
      </c>
      <c r="F647" s="54" t="inlineStr">
        <is>
          <t>Blush Pink</t>
        </is>
      </c>
      <c r="G647" s="55" t="n">
        <v>101</v>
      </c>
      <c r="H647" s="55" t="n">
        <v>6</v>
      </c>
      <c r="I647" s="56" t="inlineStr">
        <is>
          <t>FBA19KFX24C6 delivered: 6</t>
        </is>
      </c>
      <c r="J647" s="57" t="n">
        <v>0.26</v>
      </c>
      <c r="K647" s="56" t="inlineStr">
        <is>
          <t>account data velocity</t>
        </is>
      </c>
      <c r="L647" s="58" t="n">
        <v>3.076</v>
      </c>
      <c r="M647" s="56" t="inlineStr">
        <is>
          <t>own BFCM 2025 lift (account data)</t>
        </is>
      </c>
      <c r="N647" s="59">
        <f>J647*34+J647*L647*12</f>
        <v/>
      </c>
      <c r="O647" s="59">
        <f>MAX(0,N647-G647-H647)</f>
        <v/>
      </c>
      <c r="P647" s="60">
        <f>IF(J647=0,"",IF(G647&lt;J647*34,DATE(2026,10,15)+G647/J647,IF(G647&lt;N647,DATE(2026,11,18)+(G647-J647*34)/(J647*L647),"after Nov 30")))</f>
        <v/>
      </c>
      <c r="Q647" s="60">
        <f>IF(J647=0,"",IF(G647+H647&lt;J647*34,DATE(2026,10,15)+(G647+H647)/J647,IF(G647+H647&lt;N647,DATE(2026,11,18)+(G647+H647-J647*34)/(J647*L647),"after Nov 30")))</f>
        <v/>
      </c>
      <c r="R647" s="54">
        <f>IF(AND(G647&lt;=0,J647&gt;0),"Out of stock now",IF(G647&gt;=N647,"Covered to Nov 30",IF(G647+H647&gt;=N647,"Needs inbound in time","Short even with inbound")))</f>
        <v/>
      </c>
      <c r="S647" s="57" t="n">
        <v>0.07099999999999999</v>
      </c>
      <c r="T647" s="59">
        <f>IF(S647="","",S647*34+S647*L647*12)</f>
        <v/>
      </c>
    </row>
    <row r="648">
      <c r="A648" s="54" t="inlineStr">
        <is>
          <t>US DC S6</t>
        </is>
      </c>
      <c r="B648" s="54" t="inlineStr">
        <is>
          <t>US</t>
        </is>
      </c>
      <c r="C648" s="54" t="inlineStr">
        <is>
          <t>B0D9QTXKQD</t>
        </is>
      </c>
      <c r="D648" s="54" t="inlineStr">
        <is>
          <t>SATIN-6PC-KING-BURNT ORANGE</t>
        </is>
      </c>
      <c r="E648" s="54" t="inlineStr">
        <is>
          <t>King</t>
        </is>
      </c>
      <c r="F648" s="54" t="inlineStr">
        <is>
          <t>Burnt Orange</t>
        </is>
      </c>
      <c r="G648" s="55" t="n">
        <v>23</v>
      </c>
      <c r="H648" s="55" t="n">
        <v>4</v>
      </c>
      <c r="I648" s="56" t="inlineStr">
        <is>
          <t>FBA19M1451NC receiving: 4</t>
        </is>
      </c>
      <c r="J648" s="57" t="n">
        <v>0.25</v>
      </c>
      <c r="K648" s="56" t="inlineStr">
        <is>
          <t>account data velocity</t>
        </is>
      </c>
      <c r="L648" s="58" t="n">
        <v>3.076</v>
      </c>
      <c r="M648" s="56" t="inlineStr">
        <is>
          <t>own BFCM 2025 lift (account data)</t>
        </is>
      </c>
      <c r="N648" s="59">
        <f>J648*34+J648*L648*12</f>
        <v/>
      </c>
      <c r="O648" s="59">
        <f>MAX(0,N648-G648-H648)</f>
        <v/>
      </c>
      <c r="P648" s="60">
        <f>IF(J648=0,"",IF(G648&lt;J648*34,DATE(2026,10,15)+G648/J648,IF(G648&lt;N648,DATE(2026,11,18)+(G648-J648*34)/(J648*L648),"after Nov 30")))</f>
        <v/>
      </c>
      <c r="Q648" s="60">
        <f>IF(J648=0,"",IF(G648+H648&lt;J648*34,DATE(2026,10,15)+(G648+H648)/J648,IF(G648+H648&lt;N648,DATE(2026,11,18)+(G648+H648-J648*34)/(J648*L648),"after Nov 30")))</f>
        <v/>
      </c>
      <c r="R648" s="54">
        <f>IF(AND(G648&lt;=0,J648&gt;0),"Out of stock now",IF(G648&gt;=N648,"Covered to Nov 30",IF(G648+H648&gt;=N648,"Needs inbound in time","Short even with inbound")))</f>
        <v/>
      </c>
      <c r="S648" s="57" t="n">
        <v>0.214</v>
      </c>
      <c r="T648" s="59">
        <f>IF(S648="","",S648*34+S648*L648*12)</f>
        <v/>
      </c>
    </row>
    <row r="649">
      <c r="A649" s="54" t="inlineStr">
        <is>
          <t>US DC S6</t>
        </is>
      </c>
      <c r="B649" s="54" t="inlineStr">
        <is>
          <t>US</t>
        </is>
      </c>
      <c r="C649" s="54" t="inlineStr">
        <is>
          <t>B0D9QTV7S6</t>
        </is>
      </c>
      <c r="D649" s="54" t="inlineStr">
        <is>
          <t>SATIN-6PC-QUEEN-BURNT ORANGE</t>
        </is>
      </c>
      <c r="E649" s="54" t="inlineStr">
        <is>
          <t>Queen</t>
        </is>
      </c>
      <c r="F649" s="54" t="inlineStr">
        <is>
          <t>Burnt Orange</t>
        </is>
      </c>
      <c r="G649" s="55" t="n">
        <v>14</v>
      </c>
      <c r="H649" s="55" t="n">
        <v>0</v>
      </c>
      <c r="I649" s="56" t="n"/>
      <c r="J649" s="57" t="n">
        <v>0.22</v>
      </c>
      <c r="K649" s="56" t="inlineStr">
        <is>
          <t>account data velocity</t>
        </is>
      </c>
      <c r="L649" s="58" t="n">
        <v>3.076</v>
      </c>
      <c r="M649" s="56" t="inlineStr">
        <is>
          <t>own BFCM 2025 lift (account data)</t>
        </is>
      </c>
      <c r="N649" s="59">
        <f>J649*34+J649*L649*12</f>
        <v/>
      </c>
      <c r="O649" s="59">
        <f>MAX(0,N649-G649-H649)</f>
        <v/>
      </c>
      <c r="P649" s="60">
        <f>IF(J649=0,"",IF(G649&lt;J649*34,DATE(2026,10,15)+G649/J649,IF(G649&lt;N649,DATE(2026,11,18)+(G649-J649*34)/(J649*L649),"after Nov 30")))</f>
        <v/>
      </c>
      <c r="Q649" s="60">
        <f>IF(J649=0,"",IF(G649+H649&lt;J649*34,DATE(2026,10,15)+(G649+H649)/J649,IF(G649+H649&lt;N649,DATE(2026,11,18)+(G649+H649-J649*34)/(J649*L649),"after Nov 30")))</f>
        <v/>
      </c>
      <c r="R649" s="54">
        <f>IF(AND(G649&lt;=0,J649&gt;0),"Out of stock now",IF(G649&gt;=N649,"Covered to Nov 30",IF(G649+H649&gt;=N649,"Needs inbound in time","Short even with inbound")))</f>
        <v/>
      </c>
      <c r="S649" s="57" t="n">
        <v>0.25</v>
      </c>
      <c r="T649" s="59">
        <f>IF(S649="","",S649*34+S649*L649*12)</f>
        <v/>
      </c>
    </row>
    <row r="650">
      <c r="A650" s="54" t="inlineStr">
        <is>
          <t>US DC S6</t>
        </is>
      </c>
      <c r="B650" s="54" t="inlineStr">
        <is>
          <t>US</t>
        </is>
      </c>
      <c r="C650" s="54" t="inlineStr">
        <is>
          <t>B0C7FJ461D</t>
        </is>
      </c>
      <c r="D650" s="54" t="inlineStr">
        <is>
          <t>SATIN-QUEEN-BLUE-6PCS</t>
        </is>
      </c>
      <c r="E650" s="54" t="inlineStr">
        <is>
          <t>Queen</t>
        </is>
      </c>
      <c r="F650" s="54" t="inlineStr">
        <is>
          <t>Blue</t>
        </is>
      </c>
      <c r="G650" s="55" t="n">
        <v>53</v>
      </c>
      <c r="H650" s="55" t="n">
        <v>0</v>
      </c>
      <c r="I650" s="56" t="n"/>
      <c r="J650" s="57" t="n">
        <v>0.22</v>
      </c>
      <c r="K650" s="56" t="inlineStr">
        <is>
          <t>account data velocity</t>
        </is>
      </c>
      <c r="L650" s="58" t="n">
        <v>3.076</v>
      </c>
      <c r="M650" s="56" t="inlineStr">
        <is>
          <t>own BFCM 2025 lift (account data)</t>
        </is>
      </c>
      <c r="N650" s="59">
        <f>J650*34+J650*L650*12</f>
        <v/>
      </c>
      <c r="O650" s="59">
        <f>MAX(0,N650-G650-H650)</f>
        <v/>
      </c>
      <c r="P650" s="60">
        <f>IF(J650=0,"",IF(G650&lt;J650*34,DATE(2026,10,15)+G650/J650,IF(G650&lt;N650,DATE(2026,11,18)+(G650-J650*34)/(J650*L650),"after Nov 30")))</f>
        <v/>
      </c>
      <c r="Q650" s="60">
        <f>IF(J650=0,"",IF(G650+H650&lt;J650*34,DATE(2026,10,15)+(G650+H650)/J650,IF(G650+H650&lt;N650,DATE(2026,11,18)+(G650+H650-J650*34)/(J650*L650),"after Nov 30")))</f>
        <v/>
      </c>
      <c r="R650" s="54">
        <f>IF(AND(G650&lt;=0,J650&gt;0),"Out of stock now",IF(G650&gt;=N650,"Covered to Nov 30",IF(G650+H650&gt;=N650,"Needs inbound in time","Short even with inbound")))</f>
        <v/>
      </c>
      <c r="S650" s="57" t="n">
        <v>0.143</v>
      </c>
      <c r="T650" s="59">
        <f>IF(S650="","",S650*34+S650*L650*12)</f>
        <v/>
      </c>
    </row>
    <row r="651">
      <c r="A651" s="54" t="inlineStr">
        <is>
          <t>US DC S6</t>
        </is>
      </c>
      <c r="B651" s="54" t="inlineStr">
        <is>
          <t>US</t>
        </is>
      </c>
      <c r="C651" s="54" t="inlineStr">
        <is>
          <t>B0C7FMDPBF</t>
        </is>
      </c>
      <c r="D651" s="54" t="inlineStr">
        <is>
          <t>SATIN-KING-PINK-6PCS</t>
        </is>
      </c>
      <c r="E651" s="54" t="inlineStr">
        <is>
          <t>King</t>
        </is>
      </c>
      <c r="F651" s="54" t="inlineStr">
        <is>
          <t>Pink</t>
        </is>
      </c>
      <c r="G651" s="55" t="n">
        <v>56</v>
      </c>
      <c r="H651" s="55" t="n">
        <v>30</v>
      </c>
      <c r="I651" s="56" t="inlineStr">
        <is>
          <t>FBA19N7WSG18 in transit: 6; FBA19N7RP6W7 in transit: 12; FBA19N7RQF4Q ready to ship: 12</t>
        </is>
      </c>
      <c r="J651" s="57" t="n">
        <v>0.22</v>
      </c>
      <c r="K651" s="56" t="inlineStr">
        <is>
          <t>account data velocity</t>
        </is>
      </c>
      <c r="L651" s="58" t="n">
        <v>3.076</v>
      </c>
      <c r="M651" s="56" t="inlineStr">
        <is>
          <t>own BFCM 2025 lift (account data)</t>
        </is>
      </c>
      <c r="N651" s="59">
        <f>J651*34+J651*L651*12</f>
        <v/>
      </c>
      <c r="O651" s="59">
        <f>MAX(0,N651-G651-H651)</f>
        <v/>
      </c>
      <c r="P651" s="60">
        <f>IF(J651=0,"",IF(G651&lt;J651*34,DATE(2026,10,15)+G651/J651,IF(G651&lt;N651,DATE(2026,11,18)+(G651-J651*34)/(J651*L651),"after Nov 30")))</f>
        <v/>
      </c>
      <c r="Q651" s="60">
        <f>IF(J651=0,"",IF(G651+H651&lt;J651*34,DATE(2026,10,15)+(G651+H651)/J651,IF(G651+H651&lt;N651,DATE(2026,11,18)+(G651+H651-J651*34)/(J651*L651),"after Nov 30")))</f>
        <v/>
      </c>
      <c r="R651" s="54">
        <f>IF(AND(G651&lt;=0,J651&gt;0),"Out of stock now",IF(G651&gt;=N651,"Covered to Nov 30",IF(G651+H651&gt;=N651,"Needs inbound in time","Short even with inbound")))</f>
        <v/>
      </c>
      <c r="S651" s="57" t="n">
        <v>0.07099999999999999</v>
      </c>
      <c r="T651" s="59">
        <f>IF(S651="","",S651*34+S651*L651*12)</f>
        <v/>
      </c>
    </row>
    <row r="652">
      <c r="A652" s="54" t="inlineStr">
        <is>
          <t>US DC S6</t>
        </is>
      </c>
      <c r="B652" s="54" t="inlineStr">
        <is>
          <t>US</t>
        </is>
      </c>
      <c r="C652" s="54" t="inlineStr">
        <is>
          <t>B0C7FK2H2W</t>
        </is>
      </c>
      <c r="D652" s="54" t="inlineStr">
        <is>
          <t>SATIN-RED-TWIN-6PCS</t>
        </is>
      </c>
      <c r="E652" s="54" t="inlineStr">
        <is>
          <t>Twin</t>
        </is>
      </c>
      <c r="F652" s="54" t="inlineStr">
        <is>
          <t>Red</t>
        </is>
      </c>
      <c r="G652" s="55" t="n">
        <v>18</v>
      </c>
      <c r="H652" s="55" t="n">
        <v>0</v>
      </c>
      <c r="I652" s="56" t="n"/>
      <c r="J652" s="57" t="n">
        <v>0.22</v>
      </c>
      <c r="K652" s="56" t="inlineStr">
        <is>
          <t>account data velocity</t>
        </is>
      </c>
      <c r="L652" s="58" t="n">
        <v>3.076</v>
      </c>
      <c r="M652" s="56" t="inlineStr">
        <is>
          <t>own BFCM 2025 lift (account data)</t>
        </is>
      </c>
      <c r="N652" s="59">
        <f>J652*34+J652*L652*12</f>
        <v/>
      </c>
      <c r="O652" s="59">
        <f>MAX(0,N652-G652-H652)</f>
        <v/>
      </c>
      <c r="P652" s="60">
        <f>IF(J652=0,"",IF(G652&lt;J652*34,DATE(2026,10,15)+G652/J652,IF(G652&lt;N652,DATE(2026,11,18)+(G652-J652*34)/(J652*L652),"after Nov 30")))</f>
        <v/>
      </c>
      <c r="Q652" s="60">
        <f>IF(J652=0,"",IF(G652+H652&lt;J652*34,DATE(2026,10,15)+(G652+H652)/J652,IF(G652+H652&lt;N652,DATE(2026,11,18)+(G652+H652-J652*34)/(J652*L652),"after Nov 30")))</f>
        <v/>
      </c>
      <c r="R652" s="54">
        <f>IF(AND(G652&lt;=0,J652&gt;0),"Out of stock now",IF(G652&gt;=N652,"Covered to Nov 30",IF(G652+H652&gt;=N652,"Needs inbound in time","Short even with inbound")))</f>
        <v/>
      </c>
      <c r="S652" s="57" t="n">
        <v>0.036</v>
      </c>
      <c r="T652" s="59">
        <f>IF(S652="","",S652*34+S652*L652*12)</f>
        <v/>
      </c>
    </row>
    <row r="653">
      <c r="A653" s="54" t="inlineStr">
        <is>
          <t>US DC S6</t>
        </is>
      </c>
      <c r="B653" s="54" t="inlineStr">
        <is>
          <t>US</t>
        </is>
      </c>
      <c r="C653" s="54" t="inlineStr">
        <is>
          <t>B0C7F9HG21</t>
        </is>
      </c>
      <c r="D653" s="54" t="inlineStr">
        <is>
          <t>SATIN-STONEGREY-TWIN-6PCS</t>
        </is>
      </c>
      <c r="E653" s="54" t="inlineStr">
        <is>
          <t>Twin</t>
        </is>
      </c>
      <c r="F653" s="54" t="inlineStr">
        <is>
          <t>Stone Grey</t>
        </is>
      </c>
      <c r="G653" s="55" t="n">
        <v>22</v>
      </c>
      <c r="H653" s="55" t="n">
        <v>6</v>
      </c>
      <c r="I653" s="56" t="inlineStr">
        <is>
          <t>FBA19N82086K ready to ship: 6; FBA19N7XSBR9 in transit: 6</t>
        </is>
      </c>
      <c r="J653" s="57" t="n">
        <v>0.21</v>
      </c>
      <c r="K653" s="56" t="inlineStr">
        <is>
          <t>account data velocity</t>
        </is>
      </c>
      <c r="L653" s="58" t="n">
        <v>3.076</v>
      </c>
      <c r="M653" s="56" t="inlineStr">
        <is>
          <t>own BFCM 2025 lift (account data)</t>
        </is>
      </c>
      <c r="N653" s="59">
        <f>J653*34+J653*L653*12</f>
        <v/>
      </c>
      <c r="O653" s="59">
        <f>MAX(0,N653-G653-H653)</f>
        <v/>
      </c>
      <c r="P653" s="60">
        <f>IF(J653=0,"",IF(G653&lt;J653*34,DATE(2026,10,15)+G653/J653,IF(G653&lt;N653,DATE(2026,11,18)+(G653-J653*34)/(J653*L653),"after Nov 30")))</f>
        <v/>
      </c>
      <c r="Q653" s="60">
        <f>IF(J653=0,"",IF(G653+H653&lt;J653*34,DATE(2026,10,15)+(G653+H653)/J653,IF(G653+H653&lt;N653,DATE(2026,11,18)+(G653+H653-J653*34)/(J653*L653),"after Nov 30")))</f>
        <v/>
      </c>
      <c r="R653" s="54">
        <f>IF(AND(G653&lt;=0,J653&gt;0),"Out of stock now",IF(G653&gt;=N653,"Covered to Nov 30",IF(G653+H653&gt;=N653,"Needs inbound in time","Short even with inbound")))</f>
        <v/>
      </c>
      <c r="S653" s="57" t="n">
        <v>0</v>
      </c>
      <c r="T653" s="59">
        <f>IF(S653="","",S653*34+S653*L653*12)</f>
        <v/>
      </c>
    </row>
    <row r="654">
      <c r="A654" s="54" t="inlineStr">
        <is>
          <t>US DC S6</t>
        </is>
      </c>
      <c r="B654" s="54" t="inlineStr">
        <is>
          <t>US</t>
        </is>
      </c>
      <c r="C654" s="54" t="inlineStr">
        <is>
          <t>B0D9QVPJ4C</t>
        </is>
      </c>
      <c r="D654" s="54" t="inlineStr">
        <is>
          <t>SATIN-6PC-FULL-SAGE GREEN</t>
        </is>
      </c>
      <c r="E654" s="54" t="inlineStr">
        <is>
          <t>Full</t>
        </is>
      </c>
      <c r="F654" s="54" t="inlineStr">
        <is>
          <t>Sage Green</t>
        </is>
      </c>
      <c r="G654" s="55" t="n">
        <v>13</v>
      </c>
      <c r="H654" s="55" t="n">
        <v>0</v>
      </c>
      <c r="I654" s="56" t="n"/>
      <c r="J654" s="57" t="n">
        <v>0.2</v>
      </c>
      <c r="K654" s="56" t="inlineStr">
        <is>
          <t>account data velocity</t>
        </is>
      </c>
      <c r="L654" s="58" t="n">
        <v>3.076</v>
      </c>
      <c r="M654" s="56" t="inlineStr">
        <is>
          <t>own BFCM 2025 lift (account data)</t>
        </is>
      </c>
      <c r="N654" s="59">
        <f>J654*34+J654*L654*12</f>
        <v/>
      </c>
      <c r="O654" s="59">
        <f>MAX(0,N654-G654-H654)</f>
        <v/>
      </c>
      <c r="P654" s="60">
        <f>IF(J654=0,"",IF(G654&lt;J654*34,DATE(2026,10,15)+G654/J654,IF(G654&lt;N654,DATE(2026,11,18)+(G654-J654*34)/(J654*L654),"after Nov 30")))</f>
        <v/>
      </c>
      <c r="Q654" s="60">
        <f>IF(J654=0,"",IF(G654+H654&lt;J654*34,DATE(2026,10,15)+(G654+H654)/J654,IF(G654+H654&lt;N654,DATE(2026,11,18)+(G654+H654-J654*34)/(J654*L654),"after Nov 30")))</f>
        <v/>
      </c>
      <c r="R654" s="54">
        <f>IF(AND(G654&lt;=0,J654&gt;0),"Out of stock now",IF(G654&gt;=N654,"Covered to Nov 30",IF(G654+H654&gt;=N654,"Needs inbound in time","Short even with inbound")))</f>
        <v/>
      </c>
      <c r="S654" s="57" t="n">
        <v>0.107</v>
      </c>
      <c r="T654" s="59">
        <f>IF(S654="","",S654*34+S654*L654*12)</f>
        <v/>
      </c>
    </row>
    <row r="655">
      <c r="A655" s="54" t="inlineStr">
        <is>
          <t>US DC S6</t>
        </is>
      </c>
      <c r="B655" s="54" t="inlineStr">
        <is>
          <t>US</t>
        </is>
      </c>
      <c r="C655" s="54" t="inlineStr">
        <is>
          <t>B0C7FQTJYM</t>
        </is>
      </c>
      <c r="D655" s="54" t="inlineStr">
        <is>
          <t>SATIN-FULL-PINK-6PCS</t>
        </is>
      </c>
      <c r="E655" s="54" t="inlineStr">
        <is>
          <t>Full</t>
        </is>
      </c>
      <c r="F655" s="54" t="inlineStr">
        <is>
          <t>Pink</t>
        </is>
      </c>
      <c r="G655" s="55" t="n">
        <v>25</v>
      </c>
      <c r="H655" s="55" t="n">
        <v>0</v>
      </c>
      <c r="I655" s="56" t="inlineStr">
        <is>
          <t>FBA19SV5KWMR ready to ship: 24; FBA19N82086K ready to ship: 30</t>
        </is>
      </c>
      <c r="J655" s="57" t="n">
        <v>0.2</v>
      </c>
      <c r="K655" s="56" t="inlineStr">
        <is>
          <t>account data velocity</t>
        </is>
      </c>
      <c r="L655" s="58" t="n">
        <v>3.076</v>
      </c>
      <c r="M655" s="56" t="inlineStr">
        <is>
          <t>own BFCM 2025 lift (account data)</t>
        </is>
      </c>
      <c r="N655" s="59">
        <f>J655*34+J655*L655*12</f>
        <v/>
      </c>
      <c r="O655" s="59">
        <f>MAX(0,N655-G655-H655)</f>
        <v/>
      </c>
      <c r="P655" s="60">
        <f>IF(J655=0,"",IF(G655&lt;J655*34,DATE(2026,10,15)+G655/J655,IF(G655&lt;N655,DATE(2026,11,18)+(G655-J655*34)/(J655*L655),"after Nov 30")))</f>
        <v/>
      </c>
      <c r="Q655" s="60">
        <f>IF(J655=0,"",IF(G655+H655&lt;J655*34,DATE(2026,10,15)+(G655+H655)/J655,IF(G655+H655&lt;N655,DATE(2026,11,18)+(G655+H655-J655*34)/(J655*L655),"after Nov 30")))</f>
        <v/>
      </c>
      <c r="R655" s="54">
        <f>IF(AND(G655&lt;=0,J655&gt;0),"Out of stock now",IF(G655&gt;=N655,"Covered to Nov 30",IF(G655+H655&gt;=N655,"Needs inbound in time","Short even with inbound")))</f>
        <v/>
      </c>
      <c r="S655" s="57" t="n">
        <v>0.07099999999999999</v>
      </c>
      <c r="T655" s="59">
        <f>IF(S655="","",S655*34+S655*L655*12)</f>
        <v/>
      </c>
    </row>
    <row r="656">
      <c r="A656" s="54" t="inlineStr">
        <is>
          <t>US DC S6</t>
        </is>
      </c>
      <c r="B656" s="54" t="inlineStr">
        <is>
          <t>US</t>
        </is>
      </c>
      <c r="C656" s="54" t="inlineStr">
        <is>
          <t>B0C7FW4Q1C</t>
        </is>
      </c>
      <c r="D656" s="54" t="inlineStr">
        <is>
          <t>SATIN-SEA-TEAL-FULL-6PCS</t>
        </is>
      </c>
      <c r="E656" s="54" t="inlineStr">
        <is>
          <t>Full</t>
        </is>
      </c>
      <c r="F656" s="54" t="inlineStr">
        <is>
          <t>Sea Teal</t>
        </is>
      </c>
      <c r="G656" s="55" t="n">
        <v>8</v>
      </c>
      <c r="H656" s="55" t="n">
        <v>0</v>
      </c>
      <c r="I656" s="56" t="n"/>
      <c r="J656" s="57" t="n">
        <v>0.2</v>
      </c>
      <c r="K656" s="56" t="inlineStr">
        <is>
          <t>account data velocity</t>
        </is>
      </c>
      <c r="L656" s="58" t="n">
        <v>3.076</v>
      </c>
      <c r="M656" s="56" t="inlineStr">
        <is>
          <t>own BFCM 2025 lift (account data)</t>
        </is>
      </c>
      <c r="N656" s="59">
        <f>J656*34+J656*L656*12</f>
        <v/>
      </c>
      <c r="O656" s="59">
        <f>MAX(0,N656-G656-H656)</f>
        <v/>
      </c>
      <c r="P656" s="60">
        <f>IF(J656=0,"",IF(G656&lt;J656*34,DATE(2026,10,15)+G656/J656,IF(G656&lt;N656,DATE(2026,11,18)+(G656-J656*34)/(J656*L656),"after Nov 30")))</f>
        <v/>
      </c>
      <c r="Q656" s="60">
        <f>IF(J656=0,"",IF(G656+H656&lt;J656*34,DATE(2026,10,15)+(G656+H656)/J656,IF(G656+H656&lt;N656,DATE(2026,11,18)+(G656+H656-J656*34)/(J656*L656),"after Nov 30")))</f>
        <v/>
      </c>
      <c r="R656" s="54">
        <f>IF(AND(G656&lt;=0,J656&gt;0),"Out of stock now",IF(G656&gt;=N656,"Covered to Nov 30",IF(G656+H656&gt;=N656,"Needs inbound in time","Short even with inbound")))</f>
        <v/>
      </c>
      <c r="S656" s="57" t="n">
        <v>0.07099999999999999</v>
      </c>
      <c r="T656" s="59">
        <f>IF(S656="","",S656*34+S656*L656*12)</f>
        <v/>
      </c>
    </row>
    <row r="657">
      <c r="A657" s="54" t="inlineStr">
        <is>
          <t>US DC S6</t>
        </is>
      </c>
      <c r="B657" s="54" t="inlineStr">
        <is>
          <t>US</t>
        </is>
      </c>
      <c r="C657" s="54" t="inlineStr">
        <is>
          <t>B0C7K438ML</t>
        </is>
      </c>
      <c r="D657" s="54" t="inlineStr">
        <is>
          <t>SATIN-STRIPE-QUEEN-GRAY--6-PCS</t>
        </is>
      </c>
      <c r="E657" s="54" t="inlineStr">
        <is>
          <t>Queen</t>
        </is>
      </c>
      <c r="F657" s="54" t="inlineStr">
        <is>
          <t>Striped Grey</t>
        </is>
      </c>
      <c r="G657" s="55" t="n">
        <v>80</v>
      </c>
      <c r="H657" s="55" t="n">
        <v>12</v>
      </c>
      <c r="I657" s="56" t="inlineStr">
        <is>
          <t>FBA19KFX24C6 delivered: 12</t>
        </is>
      </c>
      <c r="J657" s="57" t="n">
        <v>0.2</v>
      </c>
      <c r="K657" s="56" t="inlineStr">
        <is>
          <t>account data velocity</t>
        </is>
      </c>
      <c r="L657" s="58" t="n">
        <v>3.076</v>
      </c>
      <c r="M657" s="56" t="inlineStr">
        <is>
          <t>own BFCM 2025 lift (account data)</t>
        </is>
      </c>
      <c r="N657" s="59">
        <f>J657*34+J657*L657*12</f>
        <v/>
      </c>
      <c r="O657" s="59">
        <f>MAX(0,N657-G657-H657)</f>
        <v/>
      </c>
      <c r="P657" s="60">
        <f>IF(J657=0,"",IF(G657&lt;J657*34,DATE(2026,10,15)+G657/J657,IF(G657&lt;N657,DATE(2026,11,18)+(G657-J657*34)/(J657*L657),"after Nov 30")))</f>
        <v/>
      </c>
      <c r="Q657" s="60">
        <f>IF(J657=0,"",IF(G657+H657&lt;J657*34,DATE(2026,10,15)+(G657+H657)/J657,IF(G657+H657&lt;N657,DATE(2026,11,18)+(G657+H657-J657*34)/(J657*L657),"after Nov 30")))</f>
        <v/>
      </c>
      <c r="R657" s="54">
        <f>IF(AND(G657&lt;=0,J657&gt;0),"Out of stock now",IF(G657&gt;=N657,"Covered to Nov 30",IF(G657+H657&gt;=N657,"Needs inbound in time","Short even with inbound")))</f>
        <v/>
      </c>
      <c r="S657" s="57" t="n">
        <v>0.07099999999999999</v>
      </c>
      <c r="T657" s="59">
        <f>IF(S657="","",S657*34+S657*L657*12)</f>
        <v/>
      </c>
    </row>
    <row r="658">
      <c r="A658" s="54" t="inlineStr">
        <is>
          <t>US DC S6</t>
        </is>
      </c>
      <c r="B658" s="54" t="inlineStr">
        <is>
          <t>US</t>
        </is>
      </c>
      <c r="C658" s="54" t="inlineStr">
        <is>
          <t>B0C7FBBPL1</t>
        </is>
      </c>
      <c r="D658" s="54" t="inlineStr">
        <is>
          <t>SATIN-KING-BLUE-6PCS</t>
        </is>
      </c>
      <c r="E658" s="54" t="inlineStr">
        <is>
          <t>King</t>
        </is>
      </c>
      <c r="F658" s="54" t="inlineStr">
        <is>
          <t>Blue</t>
        </is>
      </c>
      <c r="G658" s="55" t="n">
        <v>70</v>
      </c>
      <c r="H658" s="55" t="n">
        <v>0</v>
      </c>
      <c r="I658" s="56" t="n"/>
      <c r="J658" s="57" t="n">
        <v>0.19</v>
      </c>
      <c r="K658" s="56" t="inlineStr">
        <is>
          <t>account data velocity</t>
        </is>
      </c>
      <c r="L658" s="58" t="n">
        <v>3.076</v>
      </c>
      <c r="M658" s="56" t="inlineStr">
        <is>
          <t>own BFCM 2025 lift (account data)</t>
        </is>
      </c>
      <c r="N658" s="59">
        <f>J658*34+J658*L658*12</f>
        <v/>
      </c>
      <c r="O658" s="59">
        <f>MAX(0,N658-G658-H658)</f>
        <v/>
      </c>
      <c r="P658" s="60">
        <f>IF(J658=0,"",IF(G658&lt;J658*34,DATE(2026,10,15)+G658/J658,IF(G658&lt;N658,DATE(2026,11,18)+(G658-J658*34)/(J658*L658),"after Nov 30")))</f>
        <v/>
      </c>
      <c r="Q658" s="60">
        <f>IF(J658=0,"",IF(G658+H658&lt;J658*34,DATE(2026,10,15)+(G658+H658)/J658,IF(G658+H658&lt;N658,DATE(2026,11,18)+(G658+H658-J658*34)/(J658*L658),"after Nov 30")))</f>
        <v/>
      </c>
      <c r="R658" s="54">
        <f>IF(AND(G658&lt;=0,J658&gt;0),"Out of stock now",IF(G658&gt;=N658,"Covered to Nov 30",IF(G658+H658&gt;=N658,"Needs inbound in time","Short even with inbound")))</f>
        <v/>
      </c>
      <c r="S658" s="57" t="n">
        <v>0.214</v>
      </c>
      <c r="T658" s="59">
        <f>IF(S658="","",S658*34+S658*L658*12)</f>
        <v/>
      </c>
    </row>
    <row r="659">
      <c r="A659" s="54" t="inlineStr">
        <is>
          <t>US DC S6</t>
        </is>
      </c>
      <c r="B659" s="54" t="inlineStr">
        <is>
          <t>US</t>
        </is>
      </c>
      <c r="C659" s="54" t="inlineStr">
        <is>
          <t>B0C7JQ8266</t>
        </is>
      </c>
      <c r="D659" s="54" t="inlineStr">
        <is>
          <t>SATIN-STRIPE-QUEEN-WHITE--6-PCS</t>
        </is>
      </c>
      <c r="E659" s="54" t="inlineStr">
        <is>
          <t>Queen</t>
        </is>
      </c>
      <c r="F659" s="54" t="inlineStr">
        <is>
          <t>Striped White</t>
        </is>
      </c>
      <c r="G659" s="55" t="n">
        <v>26</v>
      </c>
      <c r="H659" s="55" t="n">
        <v>0</v>
      </c>
      <c r="I659" s="56" t="n"/>
      <c r="J659" s="57" t="n">
        <v>0.19</v>
      </c>
      <c r="K659" s="56" t="inlineStr">
        <is>
          <t>account data velocity</t>
        </is>
      </c>
      <c r="L659" s="58" t="n">
        <v>3.076</v>
      </c>
      <c r="M659" s="56" t="inlineStr">
        <is>
          <t>own BFCM 2025 lift (account data)</t>
        </is>
      </c>
      <c r="N659" s="59">
        <f>J659*34+J659*L659*12</f>
        <v/>
      </c>
      <c r="O659" s="59">
        <f>MAX(0,N659-G659-H659)</f>
        <v/>
      </c>
      <c r="P659" s="60">
        <f>IF(J659=0,"",IF(G659&lt;J659*34,DATE(2026,10,15)+G659/J659,IF(G659&lt;N659,DATE(2026,11,18)+(G659-J659*34)/(J659*L659),"after Nov 30")))</f>
        <v/>
      </c>
      <c r="Q659" s="60">
        <f>IF(J659=0,"",IF(G659+H659&lt;J659*34,DATE(2026,10,15)+(G659+H659)/J659,IF(G659+H659&lt;N659,DATE(2026,11,18)+(G659+H659-J659*34)/(J659*L659),"after Nov 30")))</f>
        <v/>
      </c>
      <c r="R659" s="54">
        <f>IF(AND(G659&lt;=0,J659&gt;0),"Out of stock now",IF(G659&gt;=N659,"Covered to Nov 30",IF(G659+H659&gt;=N659,"Needs inbound in time","Short even with inbound")))</f>
        <v/>
      </c>
      <c r="S659" s="57" t="n">
        <v>0.107</v>
      </c>
      <c r="T659" s="59">
        <f>IF(S659="","",S659*34+S659*L659*12)</f>
        <v/>
      </c>
    </row>
    <row r="660">
      <c r="A660" s="54" t="inlineStr">
        <is>
          <t>US DC S6</t>
        </is>
      </c>
      <c r="B660" s="54" t="inlineStr">
        <is>
          <t>US</t>
        </is>
      </c>
      <c r="C660" s="54" t="inlineStr">
        <is>
          <t>B0C7FR94LJ</t>
        </is>
      </c>
      <c r="D660" s="54" t="inlineStr">
        <is>
          <t>SATIN-WHITE-QUEEN-6PCS</t>
        </is>
      </c>
      <c r="E660" s="54" t="inlineStr">
        <is>
          <t>Queen</t>
        </is>
      </c>
      <c r="F660" s="54" t="inlineStr">
        <is>
          <t>White</t>
        </is>
      </c>
      <c r="G660" s="55" t="n">
        <v>20</v>
      </c>
      <c r="H660" s="55" t="n">
        <v>0</v>
      </c>
      <c r="I660" s="56" t="n"/>
      <c r="J660" s="57" t="n">
        <v>0.19</v>
      </c>
      <c r="K660" s="56" t="inlineStr">
        <is>
          <t>account data velocity</t>
        </is>
      </c>
      <c r="L660" s="58" t="n">
        <v>3.076</v>
      </c>
      <c r="M660" s="56" t="inlineStr">
        <is>
          <t>own BFCM 2025 lift (account data)</t>
        </is>
      </c>
      <c r="N660" s="59">
        <f>J660*34+J660*L660*12</f>
        <v/>
      </c>
      <c r="O660" s="59">
        <f>MAX(0,N660-G660-H660)</f>
        <v/>
      </c>
      <c r="P660" s="60">
        <f>IF(J660=0,"",IF(G660&lt;J660*34,DATE(2026,10,15)+G660/J660,IF(G660&lt;N660,DATE(2026,11,18)+(G660-J660*34)/(J660*L660),"after Nov 30")))</f>
        <v/>
      </c>
      <c r="Q660" s="60">
        <f>IF(J660=0,"",IF(G660+H660&lt;J660*34,DATE(2026,10,15)+(G660+H660)/J660,IF(G660+H660&lt;N660,DATE(2026,11,18)+(G660+H660-J660*34)/(J660*L660),"after Nov 30")))</f>
        <v/>
      </c>
      <c r="R660" s="54">
        <f>IF(AND(G660&lt;=0,J660&gt;0),"Out of stock now",IF(G660&gt;=N660,"Covered to Nov 30",IF(G660+H660&gt;=N660,"Needs inbound in time","Short even with inbound")))</f>
        <v/>
      </c>
      <c r="S660" s="57" t="n">
        <v>0.07099999999999999</v>
      </c>
      <c r="T660" s="59">
        <f>IF(S660="","",S660*34+S660*L660*12)</f>
        <v/>
      </c>
    </row>
    <row r="661">
      <c r="A661" s="54" t="inlineStr">
        <is>
          <t>US DC S6</t>
        </is>
      </c>
      <c r="B661" s="54" t="inlineStr">
        <is>
          <t>US</t>
        </is>
      </c>
      <c r="C661" s="54" t="inlineStr">
        <is>
          <t>B0C7FFM7L9</t>
        </is>
      </c>
      <c r="D661" s="54" t="inlineStr">
        <is>
          <t>SATIN-TWIN-BLUE-6PCS</t>
        </is>
      </c>
      <c r="E661" s="54" t="inlineStr">
        <is>
          <t>Twin</t>
        </is>
      </c>
      <c r="F661" s="54" t="inlineStr">
        <is>
          <t>Blue</t>
        </is>
      </c>
      <c r="G661" s="55" t="n">
        <v>38</v>
      </c>
      <c r="H661" s="55" t="n">
        <v>0</v>
      </c>
      <c r="I661" s="56" t="n"/>
      <c r="J661" s="57" t="n">
        <v>0.18</v>
      </c>
      <c r="K661" s="56" t="inlineStr">
        <is>
          <t>account data velocity</t>
        </is>
      </c>
      <c r="L661" s="58" t="n">
        <v>3.076</v>
      </c>
      <c r="M661" s="56" t="inlineStr">
        <is>
          <t>own BFCM 2025 lift (account data)</t>
        </is>
      </c>
      <c r="N661" s="59">
        <f>J661*34+J661*L661*12</f>
        <v/>
      </c>
      <c r="O661" s="59">
        <f>MAX(0,N661-G661-H661)</f>
        <v/>
      </c>
      <c r="P661" s="60">
        <f>IF(J661=0,"",IF(G661&lt;J661*34,DATE(2026,10,15)+G661/J661,IF(G661&lt;N661,DATE(2026,11,18)+(G661-J661*34)/(J661*L661),"after Nov 30")))</f>
        <v/>
      </c>
      <c r="Q661" s="60">
        <f>IF(J661=0,"",IF(G661+H661&lt;J661*34,DATE(2026,10,15)+(G661+H661)/J661,IF(G661+H661&lt;N661,DATE(2026,11,18)+(G661+H661-J661*34)/(J661*L661),"after Nov 30")))</f>
        <v/>
      </c>
      <c r="R661" s="54">
        <f>IF(AND(G661&lt;=0,J661&gt;0),"Out of stock now",IF(G661&gt;=N661,"Covered to Nov 30",IF(G661+H661&gt;=N661,"Needs inbound in time","Short even with inbound")))</f>
        <v/>
      </c>
      <c r="S661" s="57" t="n">
        <v>0.07099999999999999</v>
      </c>
      <c r="T661" s="59">
        <f>IF(S661="","",S661*34+S661*L661*12)</f>
        <v/>
      </c>
    </row>
    <row r="662">
      <c r="A662" s="54" t="inlineStr">
        <is>
          <t>US DC S6</t>
        </is>
      </c>
      <c r="B662" s="54" t="inlineStr">
        <is>
          <t>US</t>
        </is>
      </c>
      <c r="C662" s="54" t="inlineStr">
        <is>
          <t>B0D9QSYXL8</t>
        </is>
      </c>
      <c r="D662" s="54" t="inlineStr">
        <is>
          <t>SATIN-4PC-TWIN-NAVY BLUE</t>
        </is>
      </c>
      <c r="E662" s="54" t="inlineStr">
        <is>
          <t>Twin</t>
        </is>
      </c>
      <c r="F662" s="54" t="inlineStr">
        <is>
          <t>Navy Blue</t>
        </is>
      </c>
      <c r="G662" s="55" t="n">
        <v>6</v>
      </c>
      <c r="H662" s="55" t="n">
        <v>30</v>
      </c>
      <c r="I662" s="56" t="inlineStr">
        <is>
          <t>FBA19RS1HC4F shipped: 6; FBA19RRY6QFT shipped: 12; FBA19RRYCGHJ shipped: 6; FBA19RRY5FBL shipped: 6</t>
        </is>
      </c>
      <c r="J662" s="57" t="n">
        <v>0.18</v>
      </c>
      <c r="K662" s="56" t="inlineStr">
        <is>
          <t>account data velocity</t>
        </is>
      </c>
      <c r="L662" s="58" t="n">
        <v>3.076</v>
      </c>
      <c r="M662" s="56" t="inlineStr">
        <is>
          <t>own BFCM 2025 lift (account data)</t>
        </is>
      </c>
      <c r="N662" s="59">
        <f>J662*34+J662*L662*12</f>
        <v/>
      </c>
      <c r="O662" s="59">
        <f>MAX(0,N662-G662-H662)</f>
        <v/>
      </c>
      <c r="P662" s="60">
        <f>IF(J662=0,"",IF(G662&lt;J662*34,DATE(2026,10,15)+G662/J662,IF(G662&lt;N662,DATE(2026,11,18)+(G662-J662*34)/(J662*L662),"after Nov 30")))</f>
        <v/>
      </c>
      <c r="Q662" s="60">
        <f>IF(J662=0,"",IF(G662+H662&lt;J662*34,DATE(2026,10,15)+(G662+H662)/J662,IF(G662+H662&lt;N662,DATE(2026,11,18)+(G662+H662-J662*34)/(J662*L662),"after Nov 30")))</f>
        <v/>
      </c>
      <c r="R662" s="54">
        <f>IF(AND(G662&lt;=0,J662&gt;0),"Out of stock now",IF(G662&gt;=N662,"Covered to Nov 30",IF(G662+H662&gt;=N662,"Needs inbound in time","Short even with inbound")))</f>
        <v/>
      </c>
      <c r="S662" s="57" t="n">
        <v>0.07099999999999999</v>
      </c>
      <c r="T662" s="59">
        <f>IF(S662="","",S662*34+S662*L662*12)</f>
        <v/>
      </c>
    </row>
    <row r="663">
      <c r="A663" s="54" t="inlineStr">
        <is>
          <t>US DC S6</t>
        </is>
      </c>
      <c r="B663" s="54" t="inlineStr">
        <is>
          <t>US</t>
        </is>
      </c>
      <c r="C663" s="54" t="inlineStr">
        <is>
          <t>B0C7FXQZVG</t>
        </is>
      </c>
      <c r="D663" s="54" t="inlineStr">
        <is>
          <t>SATIN-FULL-BLUE-6PCS</t>
        </is>
      </c>
      <c r="E663" s="54" t="inlineStr">
        <is>
          <t>Full</t>
        </is>
      </c>
      <c r="F663" s="54" t="inlineStr">
        <is>
          <t>Blue</t>
        </is>
      </c>
      <c r="G663" s="55" t="n">
        <v>46</v>
      </c>
      <c r="H663" s="55" t="n">
        <v>0</v>
      </c>
      <c r="I663" s="56" t="n"/>
      <c r="J663" s="57" t="n">
        <v>0.17</v>
      </c>
      <c r="K663" s="56" t="inlineStr">
        <is>
          <t>account data velocity</t>
        </is>
      </c>
      <c r="L663" s="58" t="n">
        <v>3.076</v>
      </c>
      <c r="M663" s="56" t="inlineStr">
        <is>
          <t>own BFCM 2025 lift (account data)</t>
        </is>
      </c>
      <c r="N663" s="59">
        <f>J663*34+J663*L663*12</f>
        <v/>
      </c>
      <c r="O663" s="59">
        <f>MAX(0,N663-G663-H663)</f>
        <v/>
      </c>
      <c r="P663" s="60">
        <f>IF(J663=0,"",IF(G663&lt;J663*34,DATE(2026,10,15)+G663/J663,IF(G663&lt;N663,DATE(2026,11,18)+(G663-J663*34)/(J663*L663),"after Nov 30")))</f>
        <v/>
      </c>
      <c r="Q663" s="60">
        <f>IF(J663=0,"",IF(G663+H663&lt;J663*34,DATE(2026,10,15)+(G663+H663)/J663,IF(G663+H663&lt;N663,DATE(2026,11,18)+(G663+H663-J663*34)/(J663*L663),"after Nov 30")))</f>
        <v/>
      </c>
      <c r="R663" s="54">
        <f>IF(AND(G663&lt;=0,J663&gt;0),"Out of stock now",IF(G663&gt;=N663,"Covered to Nov 30",IF(G663+H663&gt;=N663,"Needs inbound in time","Short even with inbound")))</f>
        <v/>
      </c>
      <c r="S663" s="57" t="n">
        <v>0.107</v>
      </c>
      <c r="T663" s="59">
        <f>IF(S663="","",S663*34+S663*L663*12)</f>
        <v/>
      </c>
    </row>
    <row r="664">
      <c r="A664" s="54" t="inlineStr">
        <is>
          <t>US DC S6</t>
        </is>
      </c>
      <c r="B664" s="54" t="inlineStr">
        <is>
          <t>US</t>
        </is>
      </c>
      <c r="C664" s="54" t="inlineStr">
        <is>
          <t>B0C7FFRNMH</t>
        </is>
      </c>
      <c r="D664" s="54" t="inlineStr">
        <is>
          <t>SATIN-CHAMPAGNE-QUEEN-6PCS</t>
        </is>
      </c>
      <c r="E664" s="54" t="inlineStr">
        <is>
          <t>Queen</t>
        </is>
      </c>
      <c r="F664" s="54" t="inlineStr">
        <is>
          <t>Champagne</t>
        </is>
      </c>
      <c r="G664" s="55" t="n">
        <v>0</v>
      </c>
      <c r="H664" s="55" t="n">
        <v>0</v>
      </c>
      <c r="I664" s="56" t="n"/>
      <c r="J664" s="57" t="n">
        <v>0.17</v>
      </c>
      <c r="K664" s="56" t="inlineStr">
        <is>
          <t>account data velocity</t>
        </is>
      </c>
      <c r="L664" s="58" t="n">
        <v>3.076</v>
      </c>
      <c r="M664" s="56" t="inlineStr">
        <is>
          <t>own BFCM 2025 lift (account data)</t>
        </is>
      </c>
      <c r="N664" s="59">
        <f>J664*34+J664*L664*12</f>
        <v/>
      </c>
      <c r="O664" s="59">
        <f>MAX(0,N664-G664-H664)</f>
        <v/>
      </c>
      <c r="P664" s="60">
        <f>IF(J664=0,"",IF(G664&lt;J664*34,DATE(2026,10,15)+G664/J664,IF(G664&lt;N664,DATE(2026,11,18)+(G664-J664*34)/(J664*L664),"after Nov 30")))</f>
        <v/>
      </c>
      <c r="Q664" s="60">
        <f>IF(J664=0,"",IF(G664+H664&lt;J664*34,DATE(2026,10,15)+(G664+H664)/J664,IF(G664+H664&lt;N664,DATE(2026,11,18)+(G664+H664-J664*34)/(J664*L664),"after Nov 30")))</f>
        <v/>
      </c>
      <c r="R664" s="54">
        <f>IF(AND(G664&lt;=0,J664&gt;0),"Out of stock now",IF(G664&gt;=N664,"Covered to Nov 30",IF(G664+H664&gt;=N664,"Needs inbound in time","Short even with inbound")))</f>
        <v/>
      </c>
      <c r="S664" s="57" t="n">
        <v>0.036</v>
      </c>
      <c r="T664" s="59">
        <f>IF(S664="","",S664*34+S664*L664*12)</f>
        <v/>
      </c>
    </row>
    <row r="665">
      <c r="A665" s="54" t="inlineStr">
        <is>
          <t>US DC S6</t>
        </is>
      </c>
      <c r="B665" s="54" t="inlineStr">
        <is>
          <t>US</t>
        </is>
      </c>
      <c r="C665" s="54" t="inlineStr">
        <is>
          <t>B0C7FWSYPL</t>
        </is>
      </c>
      <c r="D665" s="54" t="inlineStr">
        <is>
          <t>SATIN-RED-FULL-6-PCS</t>
        </is>
      </c>
      <c r="E665" s="54" t="inlineStr">
        <is>
          <t>Full</t>
        </is>
      </c>
      <c r="F665" s="54" t="inlineStr">
        <is>
          <t>Red</t>
        </is>
      </c>
      <c r="G665" s="55" t="n">
        <v>20</v>
      </c>
      <c r="H665" s="55" t="n">
        <v>0</v>
      </c>
      <c r="I665" s="56" t="n"/>
      <c r="J665" s="57" t="n">
        <v>0.16</v>
      </c>
      <c r="K665" s="56" t="inlineStr">
        <is>
          <t>account data velocity</t>
        </is>
      </c>
      <c r="L665" s="58" t="n">
        <v>3.076</v>
      </c>
      <c r="M665" s="56" t="inlineStr">
        <is>
          <t>own BFCM 2025 lift (account data)</t>
        </is>
      </c>
      <c r="N665" s="59">
        <f>J665*34+J665*L665*12</f>
        <v/>
      </c>
      <c r="O665" s="59">
        <f>MAX(0,N665-G665-H665)</f>
        <v/>
      </c>
      <c r="P665" s="60">
        <f>IF(J665=0,"",IF(G665&lt;J665*34,DATE(2026,10,15)+G665/J665,IF(G665&lt;N665,DATE(2026,11,18)+(G665-J665*34)/(J665*L665),"after Nov 30")))</f>
        <v/>
      </c>
      <c r="Q665" s="60">
        <f>IF(J665=0,"",IF(G665+H665&lt;J665*34,DATE(2026,10,15)+(G665+H665)/J665,IF(G665+H665&lt;N665,DATE(2026,11,18)+(G665+H665-J665*34)/(J665*L665),"after Nov 30")))</f>
        <v/>
      </c>
      <c r="R665" s="54">
        <f>IF(AND(G665&lt;=0,J665&gt;0),"Out of stock now",IF(G665&gt;=N665,"Covered to Nov 30",IF(G665+H665&gt;=N665,"Needs inbound in time","Short even with inbound")))</f>
        <v/>
      </c>
      <c r="S665" s="57" t="n">
        <v>0.107</v>
      </c>
      <c r="T665" s="59">
        <f>IF(S665="","",S665*34+S665*L665*12)</f>
        <v/>
      </c>
    </row>
    <row r="666">
      <c r="A666" s="54" t="inlineStr">
        <is>
          <t>US DC S6</t>
        </is>
      </c>
      <c r="B666" s="54" t="inlineStr">
        <is>
          <t>US</t>
        </is>
      </c>
      <c r="C666" s="54" t="inlineStr">
        <is>
          <t>B0C7G4HJL5</t>
        </is>
      </c>
      <c r="D666" s="54" t="inlineStr">
        <is>
          <t>SATIN-STONEGREY-FULL-6PCS</t>
        </is>
      </c>
      <c r="E666" s="54" t="inlineStr">
        <is>
          <t>Full</t>
        </is>
      </c>
      <c r="F666" s="54" t="inlineStr">
        <is>
          <t>Stone Grey</t>
        </is>
      </c>
      <c r="G666" s="55" t="n">
        <v>29</v>
      </c>
      <c r="H666" s="55" t="n">
        <v>0</v>
      </c>
      <c r="I666" s="56" t="n"/>
      <c r="J666" s="57" t="n">
        <v>0.16</v>
      </c>
      <c r="K666" s="56" t="inlineStr">
        <is>
          <t>account data velocity</t>
        </is>
      </c>
      <c r="L666" s="58" t="n">
        <v>3.076</v>
      </c>
      <c r="M666" s="56" t="inlineStr">
        <is>
          <t>own BFCM 2025 lift (account data)</t>
        </is>
      </c>
      <c r="N666" s="59">
        <f>J666*34+J666*L666*12</f>
        <v/>
      </c>
      <c r="O666" s="59">
        <f>MAX(0,N666-G666-H666)</f>
        <v/>
      </c>
      <c r="P666" s="60">
        <f>IF(J666=0,"",IF(G666&lt;J666*34,DATE(2026,10,15)+G666/J666,IF(G666&lt;N666,DATE(2026,11,18)+(G666-J666*34)/(J666*L666),"after Nov 30")))</f>
        <v/>
      </c>
      <c r="Q666" s="60">
        <f>IF(J666=0,"",IF(G666+H666&lt;J666*34,DATE(2026,10,15)+(G666+H666)/J666,IF(G666+H666&lt;N666,DATE(2026,11,18)+(G666+H666-J666*34)/(J666*L666),"after Nov 30")))</f>
        <v/>
      </c>
      <c r="R666" s="54">
        <f>IF(AND(G666&lt;=0,J666&gt;0),"Out of stock now",IF(G666&gt;=N666,"Covered to Nov 30",IF(G666+H666&gt;=N666,"Needs inbound in time","Short even with inbound")))</f>
        <v/>
      </c>
      <c r="S666" s="57" t="n">
        <v>0.107</v>
      </c>
      <c r="T666" s="59">
        <f>IF(S666="","",S666*34+S666*L666*12)</f>
        <v/>
      </c>
    </row>
    <row r="667">
      <c r="A667" s="54" t="inlineStr">
        <is>
          <t>US DC S6</t>
        </is>
      </c>
      <c r="B667" s="54" t="inlineStr">
        <is>
          <t>US</t>
        </is>
      </c>
      <c r="C667" s="54" t="inlineStr">
        <is>
          <t>B0C7KGFHT7</t>
        </is>
      </c>
      <c r="D667" s="54" t="inlineStr">
        <is>
          <t>SATIN-STRIPE-FULL-GOLD--6-PCS</t>
        </is>
      </c>
      <c r="E667" s="54" t="inlineStr">
        <is>
          <t>Full</t>
        </is>
      </c>
      <c r="F667" s="54" t="inlineStr">
        <is>
          <t>Striped Gold</t>
        </is>
      </c>
      <c r="G667" s="55" t="n">
        <v>9</v>
      </c>
      <c r="H667" s="55" t="n">
        <v>0</v>
      </c>
      <c r="I667" s="56" t="n"/>
      <c r="J667" s="57" t="n">
        <v>0.16</v>
      </c>
      <c r="K667" s="56" t="inlineStr">
        <is>
          <t>account data velocity</t>
        </is>
      </c>
      <c r="L667" s="58" t="n">
        <v>3.076</v>
      </c>
      <c r="M667" s="56" t="inlineStr">
        <is>
          <t>own BFCM 2025 lift (account data)</t>
        </is>
      </c>
      <c r="N667" s="59">
        <f>J667*34+J667*L667*12</f>
        <v/>
      </c>
      <c r="O667" s="59">
        <f>MAX(0,N667-G667-H667)</f>
        <v/>
      </c>
      <c r="P667" s="60">
        <f>IF(J667=0,"",IF(G667&lt;J667*34,DATE(2026,10,15)+G667/J667,IF(G667&lt;N667,DATE(2026,11,18)+(G667-J667*34)/(J667*L667),"after Nov 30")))</f>
        <v/>
      </c>
      <c r="Q667" s="60">
        <f>IF(J667=0,"",IF(G667+H667&lt;J667*34,DATE(2026,10,15)+(G667+H667)/J667,IF(G667+H667&lt;N667,DATE(2026,11,18)+(G667+H667-J667*34)/(J667*L667),"after Nov 30")))</f>
        <v/>
      </c>
      <c r="R667" s="54">
        <f>IF(AND(G667&lt;=0,J667&gt;0),"Out of stock now",IF(G667&gt;=N667,"Covered to Nov 30",IF(G667+H667&gt;=N667,"Needs inbound in time","Short even with inbound")))</f>
        <v/>
      </c>
      <c r="S667" s="57" t="n">
        <v>0.036</v>
      </c>
      <c r="T667" s="59">
        <f>IF(S667="","",S667*34+S667*L667*12)</f>
        <v/>
      </c>
    </row>
    <row r="668">
      <c r="A668" s="54" t="inlineStr">
        <is>
          <t>US DC S6</t>
        </is>
      </c>
      <c r="B668" s="54" t="inlineStr">
        <is>
          <t>US</t>
        </is>
      </c>
      <c r="C668" s="54" t="inlineStr">
        <is>
          <t>B0D9QRVYMT</t>
        </is>
      </c>
      <c r="D668" s="54" t="inlineStr">
        <is>
          <t>SATIN-4PC-TWIN-SAGE GREEN</t>
        </is>
      </c>
      <c r="E668" s="54" t="inlineStr">
        <is>
          <t>Twin</t>
        </is>
      </c>
      <c r="F668" s="54" t="inlineStr">
        <is>
          <t>Sage Green</t>
        </is>
      </c>
      <c r="G668" s="55" t="n">
        <v>4</v>
      </c>
      <c r="H668" s="55" t="n">
        <v>30</v>
      </c>
      <c r="I668" s="56" t="inlineStr">
        <is>
          <t>FBA19RS1HC4F shipped: 6; FBA19RRY6QFT shipped: 6; FBA19RRYCGHJ shipped: 6; FBA19RRY5FBL shipped: 12</t>
        </is>
      </c>
      <c r="J668" s="57" t="n">
        <v>0.16</v>
      </c>
      <c r="K668" s="56" t="inlineStr">
        <is>
          <t>account data velocity</t>
        </is>
      </c>
      <c r="L668" s="58" t="n">
        <v>3.076</v>
      </c>
      <c r="M668" s="56" t="inlineStr">
        <is>
          <t>own BFCM 2025 lift (account data)</t>
        </is>
      </c>
      <c r="N668" s="59">
        <f>J668*34+J668*L668*12</f>
        <v/>
      </c>
      <c r="O668" s="59">
        <f>MAX(0,N668-G668-H668)</f>
        <v/>
      </c>
      <c r="P668" s="60">
        <f>IF(J668=0,"",IF(G668&lt;J668*34,DATE(2026,10,15)+G668/J668,IF(G668&lt;N668,DATE(2026,11,18)+(G668-J668*34)/(J668*L668),"after Nov 30")))</f>
        <v/>
      </c>
      <c r="Q668" s="60">
        <f>IF(J668=0,"",IF(G668+H668&lt;J668*34,DATE(2026,10,15)+(G668+H668)/J668,IF(G668+H668&lt;N668,DATE(2026,11,18)+(G668+H668-J668*34)/(J668*L668),"after Nov 30")))</f>
        <v/>
      </c>
      <c r="R668" s="54">
        <f>IF(AND(G668&lt;=0,J668&gt;0),"Out of stock now",IF(G668&gt;=N668,"Covered to Nov 30",IF(G668+H668&gt;=N668,"Needs inbound in time","Short even with inbound")))</f>
        <v/>
      </c>
      <c r="S668" s="57" t="n">
        <v>0.036</v>
      </c>
      <c r="T668" s="59">
        <f>IF(S668="","",S668*34+S668*L668*12)</f>
        <v/>
      </c>
    </row>
    <row r="669">
      <c r="A669" s="54" t="inlineStr">
        <is>
          <t>US DC S6</t>
        </is>
      </c>
      <c r="B669" s="54" t="inlineStr">
        <is>
          <t>US</t>
        </is>
      </c>
      <c r="C669" s="54" t="inlineStr">
        <is>
          <t>B0D9QRRTN7</t>
        </is>
      </c>
      <c r="D669" s="54" t="inlineStr">
        <is>
          <t>SATIN-6PC-KING-LAVENDER</t>
        </is>
      </c>
      <c r="E669" s="54" t="inlineStr">
        <is>
          <t>King</t>
        </is>
      </c>
      <c r="F669" s="54" t="inlineStr">
        <is>
          <t>Lavender</t>
        </is>
      </c>
      <c r="G669" s="55" t="n">
        <v>17</v>
      </c>
      <c r="H669" s="55" t="n">
        <v>0</v>
      </c>
      <c r="I669" s="56" t="n"/>
      <c r="J669" s="57" t="n">
        <v>0.15</v>
      </c>
      <c r="K669" s="56" t="inlineStr">
        <is>
          <t>account data velocity</t>
        </is>
      </c>
      <c r="L669" s="58" t="n">
        <v>3.076</v>
      </c>
      <c r="M669" s="56" t="inlineStr">
        <is>
          <t>own BFCM 2025 lift (account data)</t>
        </is>
      </c>
      <c r="N669" s="59">
        <f>J669*34+J669*L669*12</f>
        <v/>
      </c>
      <c r="O669" s="59">
        <f>MAX(0,N669-G669-H669)</f>
        <v/>
      </c>
      <c r="P669" s="60">
        <f>IF(J669=0,"",IF(G669&lt;J669*34,DATE(2026,10,15)+G669/J669,IF(G669&lt;N669,DATE(2026,11,18)+(G669-J669*34)/(J669*L669),"after Nov 30")))</f>
        <v/>
      </c>
      <c r="Q669" s="60">
        <f>IF(J669=0,"",IF(G669+H669&lt;J669*34,DATE(2026,10,15)+(G669+H669)/J669,IF(G669+H669&lt;N669,DATE(2026,11,18)+(G669+H669-J669*34)/(J669*L669),"after Nov 30")))</f>
        <v/>
      </c>
      <c r="R669" s="54">
        <f>IF(AND(G669&lt;=0,J669&gt;0),"Out of stock now",IF(G669&gt;=N669,"Covered to Nov 30",IF(G669+H669&gt;=N669,"Needs inbound in time","Short even with inbound")))</f>
        <v/>
      </c>
      <c r="S669" s="57" t="n">
        <v>0.214</v>
      </c>
      <c r="T669" s="59">
        <f>IF(S669="","",S669*34+S669*L669*12)</f>
        <v/>
      </c>
    </row>
    <row r="670">
      <c r="A670" s="54" t="inlineStr">
        <is>
          <t>US DC S6</t>
        </is>
      </c>
      <c r="B670" s="54" t="inlineStr">
        <is>
          <t>US</t>
        </is>
      </c>
      <c r="C670" s="54" t="inlineStr">
        <is>
          <t>B0C7FNVCWM</t>
        </is>
      </c>
      <c r="D670" s="54" t="inlineStr">
        <is>
          <t>SATIN-TWIN-GREY-6PCS</t>
        </is>
      </c>
      <c r="E670" s="54" t="inlineStr">
        <is>
          <t>Twin</t>
        </is>
      </c>
      <c r="F670" s="54" t="inlineStr">
        <is>
          <t>Grey</t>
        </is>
      </c>
      <c r="G670" s="55" t="n">
        <v>25</v>
      </c>
      <c r="H670" s="55" t="n">
        <v>0</v>
      </c>
      <c r="I670" s="56" t="inlineStr">
        <is>
          <t>FBA19SV5KWMR ready to ship: 24</t>
        </is>
      </c>
      <c r="J670" s="57" t="n">
        <v>0.15</v>
      </c>
      <c r="K670" s="56" t="inlineStr">
        <is>
          <t>account data velocity</t>
        </is>
      </c>
      <c r="L670" s="58" t="n">
        <v>3.076</v>
      </c>
      <c r="M670" s="56" t="inlineStr">
        <is>
          <t>own BFCM 2025 lift (account data)</t>
        </is>
      </c>
      <c r="N670" s="59">
        <f>J670*34+J670*L670*12</f>
        <v/>
      </c>
      <c r="O670" s="59">
        <f>MAX(0,N670-G670-H670)</f>
        <v/>
      </c>
      <c r="P670" s="60">
        <f>IF(J670=0,"",IF(G670&lt;J670*34,DATE(2026,10,15)+G670/J670,IF(G670&lt;N670,DATE(2026,11,18)+(G670-J670*34)/(J670*L670),"after Nov 30")))</f>
        <v/>
      </c>
      <c r="Q670" s="60">
        <f>IF(J670=0,"",IF(G670+H670&lt;J670*34,DATE(2026,10,15)+(G670+H670)/J670,IF(G670+H670&lt;N670,DATE(2026,11,18)+(G670+H670-J670*34)/(J670*L670),"after Nov 30")))</f>
        <v/>
      </c>
      <c r="R670" s="54">
        <f>IF(AND(G670&lt;=0,J670&gt;0),"Out of stock now",IF(G670&gt;=N670,"Covered to Nov 30",IF(G670+H670&gt;=N670,"Needs inbound in time","Short even with inbound")))</f>
        <v/>
      </c>
      <c r="S670" s="57" t="n">
        <v>0.107</v>
      </c>
      <c r="T670" s="59">
        <f>IF(S670="","",S670*34+S670*L670*12)</f>
        <v/>
      </c>
    </row>
    <row r="671">
      <c r="A671" s="54" t="inlineStr">
        <is>
          <t>US DC S6</t>
        </is>
      </c>
      <c r="B671" s="54" t="inlineStr">
        <is>
          <t>US</t>
        </is>
      </c>
      <c r="C671" s="54" t="inlineStr">
        <is>
          <t>B0D9QR6YSH</t>
        </is>
      </c>
      <c r="D671" s="54" t="inlineStr">
        <is>
          <t>SATIN-6PC-FULL-LAVENDER</t>
        </is>
      </c>
      <c r="E671" s="54" t="inlineStr">
        <is>
          <t>Full</t>
        </is>
      </c>
      <c r="F671" s="54" t="inlineStr">
        <is>
          <t>Lavender</t>
        </is>
      </c>
      <c r="G671" s="55" t="n">
        <v>43</v>
      </c>
      <c r="H671" s="55" t="n">
        <v>0</v>
      </c>
      <c r="I671" s="56" t="n"/>
      <c r="J671" s="57" t="n">
        <v>0.14</v>
      </c>
      <c r="K671" s="56" t="inlineStr">
        <is>
          <t>account data velocity</t>
        </is>
      </c>
      <c r="L671" s="58" t="n">
        <v>3.076</v>
      </c>
      <c r="M671" s="56" t="inlineStr">
        <is>
          <t>own BFCM 2025 lift (account data)</t>
        </is>
      </c>
      <c r="N671" s="59">
        <f>J671*34+J671*L671*12</f>
        <v/>
      </c>
      <c r="O671" s="59">
        <f>MAX(0,N671-G671-H671)</f>
        <v/>
      </c>
      <c r="P671" s="60">
        <f>IF(J671=0,"",IF(G671&lt;J671*34,DATE(2026,10,15)+G671/J671,IF(G671&lt;N671,DATE(2026,11,18)+(G671-J671*34)/(J671*L671),"after Nov 30")))</f>
        <v/>
      </c>
      <c r="Q671" s="60">
        <f>IF(J671=0,"",IF(G671+H671&lt;J671*34,DATE(2026,10,15)+(G671+H671)/J671,IF(G671+H671&lt;N671,DATE(2026,11,18)+(G671+H671-J671*34)/(J671*L671),"after Nov 30")))</f>
        <v/>
      </c>
      <c r="R671" s="54">
        <f>IF(AND(G671&lt;=0,J671&gt;0),"Out of stock now",IF(G671&gt;=N671,"Covered to Nov 30",IF(G671+H671&gt;=N671,"Needs inbound in time","Short even with inbound")))</f>
        <v/>
      </c>
      <c r="S671" s="57" t="n">
        <v>0.179</v>
      </c>
      <c r="T671" s="59">
        <f>IF(S671="","",S671*34+S671*L671*12)</f>
        <v/>
      </c>
    </row>
    <row r="672">
      <c r="A672" s="54" t="inlineStr">
        <is>
          <t>US DC S6</t>
        </is>
      </c>
      <c r="B672" s="54" t="inlineStr">
        <is>
          <t>US</t>
        </is>
      </c>
      <c r="C672" s="54" t="inlineStr">
        <is>
          <t>B0C7K6YWWL</t>
        </is>
      </c>
      <c r="D672" s="54" t="inlineStr">
        <is>
          <t>SATIN-STRIPE-TWIN-PURPLE--6-PCS</t>
        </is>
      </c>
      <c r="E672" s="54" t="inlineStr">
        <is>
          <t>Twin</t>
        </is>
      </c>
      <c r="F672" s="54" t="inlineStr">
        <is>
          <t>Striped Purple</t>
        </is>
      </c>
      <c r="G672" s="55" t="n">
        <v>85</v>
      </c>
      <c r="H672" s="55" t="n">
        <v>0</v>
      </c>
      <c r="I672" s="56" t="inlineStr">
        <is>
          <t>FBA19N82086K ready to ship: 6</t>
        </is>
      </c>
      <c r="J672" s="57" t="n">
        <v>0.14</v>
      </c>
      <c r="K672" s="56" t="inlineStr">
        <is>
          <t>account data velocity</t>
        </is>
      </c>
      <c r="L672" s="58" t="n">
        <v>3.076</v>
      </c>
      <c r="M672" s="56" t="inlineStr">
        <is>
          <t>own BFCM 2025 lift (account data)</t>
        </is>
      </c>
      <c r="N672" s="59">
        <f>J672*34+J672*L672*12</f>
        <v/>
      </c>
      <c r="O672" s="59">
        <f>MAX(0,N672-G672-H672)</f>
        <v/>
      </c>
      <c r="P672" s="60">
        <f>IF(J672=0,"",IF(G672&lt;J672*34,DATE(2026,10,15)+G672/J672,IF(G672&lt;N672,DATE(2026,11,18)+(G672-J672*34)/(J672*L672),"after Nov 30")))</f>
        <v/>
      </c>
      <c r="Q672" s="60">
        <f>IF(J672=0,"",IF(G672+H672&lt;J672*34,DATE(2026,10,15)+(G672+H672)/J672,IF(G672+H672&lt;N672,DATE(2026,11,18)+(G672+H672-J672*34)/(J672*L672),"after Nov 30")))</f>
        <v/>
      </c>
      <c r="R672" s="54">
        <f>IF(AND(G672&lt;=0,J672&gt;0),"Out of stock now",IF(G672&gt;=N672,"Covered to Nov 30",IF(G672+H672&gt;=N672,"Needs inbound in time","Short even with inbound")))</f>
        <v/>
      </c>
      <c r="S672" s="57" t="n">
        <v>0.07099999999999999</v>
      </c>
      <c r="T672" s="59">
        <f>IF(S672="","",S672*34+S672*L672*12)</f>
        <v/>
      </c>
    </row>
    <row r="673">
      <c r="A673" s="54" t="inlineStr">
        <is>
          <t>US DC S6</t>
        </is>
      </c>
      <c r="B673" s="54" t="inlineStr">
        <is>
          <t>US</t>
        </is>
      </c>
      <c r="C673" s="54" t="inlineStr">
        <is>
          <t>B0C7FM1K6P</t>
        </is>
      </c>
      <c r="D673" s="54" t="inlineStr">
        <is>
          <t>SATIN-IVORY-TWIN-6PCS</t>
        </is>
      </c>
      <c r="E673" s="54" t="inlineStr">
        <is>
          <t>Twin</t>
        </is>
      </c>
      <c r="F673" s="54" t="inlineStr">
        <is>
          <t>Ivory</t>
        </is>
      </c>
      <c r="G673" s="55" t="n">
        <v>7</v>
      </c>
      <c r="H673" s="55" t="n">
        <v>0</v>
      </c>
      <c r="I673" s="56" t="n"/>
      <c r="J673" s="57" t="n">
        <v>0.13</v>
      </c>
      <c r="K673" s="56" t="inlineStr">
        <is>
          <t>account data velocity</t>
        </is>
      </c>
      <c r="L673" s="58" t="n">
        <v>3.076</v>
      </c>
      <c r="M673" s="56" t="inlineStr">
        <is>
          <t>own BFCM 2025 lift (account data)</t>
        </is>
      </c>
      <c r="N673" s="59">
        <f>J673*34+J673*L673*12</f>
        <v/>
      </c>
      <c r="O673" s="59">
        <f>MAX(0,N673-G673-H673)</f>
        <v/>
      </c>
      <c r="P673" s="60">
        <f>IF(J673=0,"",IF(G673&lt;J673*34,DATE(2026,10,15)+G673/J673,IF(G673&lt;N673,DATE(2026,11,18)+(G673-J673*34)/(J673*L673),"after Nov 30")))</f>
        <v/>
      </c>
      <c r="Q673" s="60">
        <f>IF(J673=0,"",IF(G673+H673&lt;J673*34,DATE(2026,10,15)+(G673+H673)/J673,IF(G673+H673&lt;N673,DATE(2026,11,18)+(G673+H673-J673*34)/(J673*L673),"after Nov 30")))</f>
        <v/>
      </c>
      <c r="R673" s="54">
        <f>IF(AND(G673&lt;=0,J673&gt;0),"Out of stock now",IF(G673&gt;=N673,"Covered to Nov 30",IF(G673+H673&gt;=N673,"Needs inbound in time","Short even with inbound")))</f>
        <v/>
      </c>
      <c r="S673" s="57" t="n">
        <v>0.07099999999999999</v>
      </c>
      <c r="T673" s="59">
        <f>IF(S673="","",S673*34+S673*L673*12)</f>
        <v/>
      </c>
    </row>
    <row r="674">
      <c r="A674" s="54" t="inlineStr">
        <is>
          <t>US DC S6</t>
        </is>
      </c>
      <c r="B674" s="54" t="inlineStr">
        <is>
          <t>US</t>
        </is>
      </c>
      <c r="C674" s="54" t="inlineStr">
        <is>
          <t>B0D9QT3LWG</t>
        </is>
      </c>
      <c r="D674" s="54" t="inlineStr">
        <is>
          <t>SATIN-6PC-FULL-BLUSH PINK</t>
        </is>
      </c>
      <c r="E674" s="54" t="inlineStr">
        <is>
          <t>Full</t>
        </is>
      </c>
      <c r="F674" s="54" t="inlineStr">
        <is>
          <t>Blush Pink</t>
        </is>
      </c>
      <c r="G674" s="55" t="n">
        <v>34</v>
      </c>
      <c r="H674" s="55" t="n">
        <v>0</v>
      </c>
      <c r="I674" s="56" t="inlineStr">
        <is>
          <t>FBA19SV5KWMR ready to ship: 6</t>
        </is>
      </c>
      <c r="J674" s="57" t="n">
        <v>0.13</v>
      </c>
      <c r="K674" s="56" t="inlineStr">
        <is>
          <t>account data velocity</t>
        </is>
      </c>
      <c r="L674" s="58" t="n">
        <v>3.076</v>
      </c>
      <c r="M674" s="56" t="inlineStr">
        <is>
          <t>own BFCM 2025 lift (account data)</t>
        </is>
      </c>
      <c r="N674" s="59">
        <f>J674*34+J674*L674*12</f>
        <v/>
      </c>
      <c r="O674" s="59">
        <f>MAX(0,N674-G674-H674)</f>
        <v/>
      </c>
      <c r="P674" s="60">
        <f>IF(J674=0,"",IF(G674&lt;J674*34,DATE(2026,10,15)+G674/J674,IF(G674&lt;N674,DATE(2026,11,18)+(G674-J674*34)/(J674*L674),"after Nov 30")))</f>
        <v/>
      </c>
      <c r="Q674" s="60">
        <f>IF(J674=0,"",IF(G674+H674&lt;J674*34,DATE(2026,10,15)+(G674+H674)/J674,IF(G674+H674&lt;N674,DATE(2026,11,18)+(G674+H674-J674*34)/(J674*L674),"after Nov 30")))</f>
        <v/>
      </c>
      <c r="R674" s="54">
        <f>IF(AND(G674&lt;=0,J674&gt;0),"Out of stock now",IF(G674&gt;=N674,"Covered to Nov 30",IF(G674+H674&gt;=N674,"Needs inbound in time","Short even with inbound")))</f>
        <v/>
      </c>
      <c r="S674" s="57" t="n">
        <v>0</v>
      </c>
      <c r="T674" s="59">
        <f>IF(S674="","",S674*34+S674*L674*12)</f>
        <v/>
      </c>
    </row>
    <row r="675">
      <c r="A675" s="54" t="inlineStr">
        <is>
          <t>US DC S6</t>
        </is>
      </c>
      <c r="B675" s="54" t="inlineStr">
        <is>
          <t>US</t>
        </is>
      </c>
      <c r="C675" s="54" t="inlineStr">
        <is>
          <t>B0C7K92CTB</t>
        </is>
      </c>
      <c r="D675" s="54" t="inlineStr">
        <is>
          <t>SATIN-STRIPE-QUEEN-GOLD--6-PCS</t>
        </is>
      </c>
      <c r="E675" s="54" t="inlineStr">
        <is>
          <t>Queen</t>
        </is>
      </c>
      <c r="F675" s="54" t="inlineStr">
        <is>
          <t>Striped Gold</t>
        </is>
      </c>
      <c r="G675" s="55" t="n">
        <v>65</v>
      </c>
      <c r="H675" s="55" t="n">
        <v>0</v>
      </c>
      <c r="I675" s="56" t="n"/>
      <c r="J675" s="57" t="n">
        <v>0.12</v>
      </c>
      <c r="K675" s="56" t="inlineStr">
        <is>
          <t>account data velocity</t>
        </is>
      </c>
      <c r="L675" s="58" t="n">
        <v>3.076</v>
      </c>
      <c r="M675" s="56" t="inlineStr">
        <is>
          <t>own BFCM 2025 lift (account data)</t>
        </is>
      </c>
      <c r="N675" s="59">
        <f>J675*34+J675*L675*12</f>
        <v/>
      </c>
      <c r="O675" s="59">
        <f>MAX(0,N675-G675-H675)</f>
        <v/>
      </c>
      <c r="P675" s="60">
        <f>IF(J675=0,"",IF(G675&lt;J675*34,DATE(2026,10,15)+G675/J675,IF(G675&lt;N675,DATE(2026,11,18)+(G675-J675*34)/(J675*L675),"after Nov 30")))</f>
        <v/>
      </c>
      <c r="Q675" s="60">
        <f>IF(J675=0,"",IF(G675+H675&lt;J675*34,DATE(2026,10,15)+(G675+H675)/J675,IF(G675+H675&lt;N675,DATE(2026,11,18)+(G675+H675-J675*34)/(J675*L675),"after Nov 30")))</f>
        <v/>
      </c>
      <c r="R675" s="54">
        <f>IF(AND(G675&lt;=0,J675&gt;0),"Out of stock now",IF(G675&gt;=N675,"Covered to Nov 30",IF(G675+H675&gt;=N675,"Needs inbound in time","Short even with inbound")))</f>
        <v/>
      </c>
      <c r="S675" s="57" t="n">
        <v>0.179</v>
      </c>
      <c r="T675" s="59">
        <f>IF(S675="","",S675*34+S675*L675*12)</f>
        <v/>
      </c>
    </row>
    <row r="676">
      <c r="A676" s="54" t="inlineStr">
        <is>
          <t>US DC S6</t>
        </is>
      </c>
      <c r="B676" s="54" t="inlineStr">
        <is>
          <t>US</t>
        </is>
      </c>
      <c r="C676" s="54" t="inlineStr">
        <is>
          <t>B0D9QQWYP4</t>
        </is>
      </c>
      <c r="D676" s="54" t="inlineStr">
        <is>
          <t>SATIN-6PC-FULL-BABY BLUE</t>
        </is>
      </c>
      <c r="E676" s="54" t="inlineStr">
        <is>
          <t>Full</t>
        </is>
      </c>
      <c r="F676" s="54" t="inlineStr">
        <is>
          <t>Baby Blue</t>
        </is>
      </c>
      <c r="G676" s="55" t="n">
        <v>5</v>
      </c>
      <c r="H676" s="55" t="n">
        <v>0</v>
      </c>
      <c r="I676" s="56" t="n"/>
      <c r="J676" s="57" t="n">
        <v>0.12</v>
      </c>
      <c r="K676" s="56" t="inlineStr">
        <is>
          <t>account data velocity</t>
        </is>
      </c>
      <c r="L676" s="58" t="n">
        <v>3.076</v>
      </c>
      <c r="M676" s="56" t="inlineStr">
        <is>
          <t>own BFCM 2025 lift (account data)</t>
        </is>
      </c>
      <c r="N676" s="59">
        <f>J676*34+J676*L676*12</f>
        <v/>
      </c>
      <c r="O676" s="59">
        <f>MAX(0,N676-G676-H676)</f>
        <v/>
      </c>
      <c r="P676" s="60">
        <f>IF(J676=0,"",IF(G676&lt;J676*34,DATE(2026,10,15)+G676/J676,IF(G676&lt;N676,DATE(2026,11,18)+(G676-J676*34)/(J676*L676),"after Nov 30")))</f>
        <v/>
      </c>
      <c r="Q676" s="60">
        <f>IF(J676=0,"",IF(G676+H676&lt;J676*34,DATE(2026,10,15)+(G676+H676)/J676,IF(G676+H676&lt;N676,DATE(2026,11,18)+(G676+H676-J676*34)/(J676*L676),"after Nov 30")))</f>
        <v/>
      </c>
      <c r="R676" s="54">
        <f>IF(AND(G676&lt;=0,J676&gt;0),"Out of stock now",IF(G676&gt;=N676,"Covered to Nov 30",IF(G676+H676&gt;=N676,"Needs inbound in time","Short even with inbound")))</f>
        <v/>
      </c>
      <c r="S676" s="57" t="n">
        <v>0.107</v>
      </c>
      <c r="T676" s="59">
        <f>IF(S676="","",S676*34+S676*L676*12)</f>
        <v/>
      </c>
    </row>
    <row r="677">
      <c r="A677" s="54" t="inlineStr">
        <is>
          <t>US DC S6</t>
        </is>
      </c>
      <c r="B677" s="54" t="inlineStr">
        <is>
          <t>US</t>
        </is>
      </c>
      <c r="C677" s="54" t="inlineStr">
        <is>
          <t>B0C7KBHV72</t>
        </is>
      </c>
      <c r="D677" s="54" t="inlineStr">
        <is>
          <t>SATIN-STRIPE-QUEEN-RED--6-PCS</t>
        </is>
      </c>
      <c r="E677" s="54" t="inlineStr">
        <is>
          <t>Queen</t>
        </is>
      </c>
      <c r="F677" s="54" t="inlineStr">
        <is>
          <t>Striped Red</t>
        </is>
      </c>
      <c r="G677" s="55" t="n">
        <v>46</v>
      </c>
      <c r="H677" s="55" t="n">
        <v>0</v>
      </c>
      <c r="I677" s="56" t="n"/>
      <c r="J677" s="57" t="n">
        <v>0.12</v>
      </c>
      <c r="K677" s="56" t="inlineStr">
        <is>
          <t>account data velocity</t>
        </is>
      </c>
      <c r="L677" s="58" t="n">
        <v>3.076</v>
      </c>
      <c r="M677" s="56" t="inlineStr">
        <is>
          <t>own BFCM 2025 lift (account data)</t>
        </is>
      </c>
      <c r="N677" s="59">
        <f>J677*34+J677*L677*12</f>
        <v/>
      </c>
      <c r="O677" s="59">
        <f>MAX(0,N677-G677-H677)</f>
        <v/>
      </c>
      <c r="P677" s="60">
        <f>IF(J677=0,"",IF(G677&lt;J677*34,DATE(2026,10,15)+G677/J677,IF(G677&lt;N677,DATE(2026,11,18)+(G677-J677*34)/(J677*L677),"after Nov 30")))</f>
        <v/>
      </c>
      <c r="Q677" s="60">
        <f>IF(J677=0,"",IF(G677+H677&lt;J677*34,DATE(2026,10,15)+(G677+H677)/J677,IF(G677+H677&lt;N677,DATE(2026,11,18)+(G677+H677-J677*34)/(J677*L677),"after Nov 30")))</f>
        <v/>
      </c>
      <c r="R677" s="54">
        <f>IF(AND(G677&lt;=0,J677&gt;0),"Out of stock now",IF(G677&gt;=N677,"Covered to Nov 30",IF(G677+H677&gt;=N677,"Needs inbound in time","Short even with inbound")))</f>
        <v/>
      </c>
      <c r="S677" s="57" t="n">
        <v>0.107</v>
      </c>
      <c r="T677" s="59">
        <f>IF(S677="","",S677*34+S677*L677*12)</f>
        <v/>
      </c>
    </row>
    <row r="678">
      <c r="A678" s="54" t="inlineStr">
        <is>
          <t>US DC S6</t>
        </is>
      </c>
      <c r="B678" s="54" t="inlineStr">
        <is>
          <t>US</t>
        </is>
      </c>
      <c r="C678" s="54" t="inlineStr">
        <is>
          <t>B0C7F65432</t>
        </is>
      </c>
      <c r="D678" s="54" t="inlineStr">
        <is>
          <t>SATIN-FULL-PURPLE-6PCS</t>
        </is>
      </c>
      <c r="E678" s="54" t="inlineStr">
        <is>
          <t>Full</t>
        </is>
      </c>
      <c r="F678" s="54" t="inlineStr">
        <is>
          <t>Purple</t>
        </is>
      </c>
      <c r="G678" s="55" t="n">
        <v>14</v>
      </c>
      <c r="H678" s="55" t="n">
        <v>0</v>
      </c>
      <c r="I678" s="56" t="n"/>
      <c r="J678" s="57" t="n">
        <v>0.1</v>
      </c>
      <c r="K678" s="56" t="inlineStr">
        <is>
          <t>account data velocity</t>
        </is>
      </c>
      <c r="L678" s="58" t="n">
        <v>3.076</v>
      </c>
      <c r="M678" s="56" t="inlineStr">
        <is>
          <t>own BFCM 2025 lift (account data)</t>
        </is>
      </c>
      <c r="N678" s="59">
        <f>J678*34+J678*L678*12</f>
        <v/>
      </c>
      <c r="O678" s="59">
        <f>MAX(0,N678-G678-H678)</f>
        <v/>
      </c>
      <c r="P678" s="60">
        <f>IF(J678=0,"",IF(G678&lt;J678*34,DATE(2026,10,15)+G678/J678,IF(G678&lt;N678,DATE(2026,11,18)+(G678-J678*34)/(J678*L678),"after Nov 30")))</f>
        <v/>
      </c>
      <c r="Q678" s="60">
        <f>IF(J678=0,"",IF(G678+H678&lt;J678*34,DATE(2026,10,15)+(G678+H678)/J678,IF(G678+H678&lt;N678,DATE(2026,11,18)+(G678+H678-J678*34)/(J678*L678),"after Nov 30")))</f>
        <v/>
      </c>
      <c r="R678" s="54">
        <f>IF(AND(G678&lt;=0,J678&gt;0),"Out of stock now",IF(G678&gt;=N678,"Covered to Nov 30",IF(G678+H678&gt;=N678,"Needs inbound in time","Short even with inbound")))</f>
        <v/>
      </c>
      <c r="S678" s="57" t="n">
        <v>0.107</v>
      </c>
      <c r="T678" s="59">
        <f>IF(S678="","",S678*34+S678*L678*12)</f>
        <v/>
      </c>
    </row>
    <row r="679">
      <c r="A679" s="54" t="inlineStr">
        <is>
          <t>US DC S6</t>
        </is>
      </c>
      <c r="B679" s="54" t="inlineStr">
        <is>
          <t>US</t>
        </is>
      </c>
      <c r="C679" s="54" t="inlineStr">
        <is>
          <t>B0C7FJFVZY</t>
        </is>
      </c>
      <c r="D679" s="54" t="inlineStr">
        <is>
          <t>SATIN-FULL-GREY-6PCS</t>
        </is>
      </c>
      <c r="E679" s="54" t="inlineStr">
        <is>
          <t>Full</t>
        </is>
      </c>
      <c r="F679" s="54" t="inlineStr">
        <is>
          <t>Grey</t>
        </is>
      </c>
      <c r="G679" s="55" t="n">
        <v>26</v>
      </c>
      <c r="H679" s="55" t="n">
        <v>24</v>
      </c>
      <c r="I679" s="56" t="inlineStr">
        <is>
          <t>FBA19N7XSBR9 in transit: 24</t>
        </is>
      </c>
      <c r="J679" s="57" t="n">
        <v>0.1</v>
      </c>
      <c r="K679" s="56" t="inlineStr">
        <is>
          <t>account data velocity</t>
        </is>
      </c>
      <c r="L679" s="58" t="n">
        <v>3.076</v>
      </c>
      <c r="M679" s="56" t="inlineStr">
        <is>
          <t>own BFCM 2025 lift (account data)</t>
        </is>
      </c>
      <c r="N679" s="59">
        <f>J679*34+J679*L679*12</f>
        <v/>
      </c>
      <c r="O679" s="59">
        <f>MAX(0,N679-G679-H679)</f>
        <v/>
      </c>
      <c r="P679" s="60">
        <f>IF(J679=0,"",IF(G679&lt;J679*34,DATE(2026,10,15)+G679/J679,IF(G679&lt;N679,DATE(2026,11,18)+(G679-J679*34)/(J679*L679),"after Nov 30")))</f>
        <v/>
      </c>
      <c r="Q679" s="60">
        <f>IF(J679=0,"",IF(G679+H679&lt;J679*34,DATE(2026,10,15)+(G679+H679)/J679,IF(G679+H679&lt;N679,DATE(2026,11,18)+(G679+H679-J679*34)/(J679*L679),"after Nov 30")))</f>
        <v/>
      </c>
      <c r="R679" s="54">
        <f>IF(AND(G679&lt;=0,J679&gt;0),"Out of stock now",IF(G679&gt;=N679,"Covered to Nov 30",IF(G679+H679&gt;=N679,"Needs inbound in time","Short even with inbound")))</f>
        <v/>
      </c>
      <c r="S679" s="57" t="n">
        <v>0.036</v>
      </c>
      <c r="T679" s="59">
        <f>IF(S679="","",S679*34+S679*L679*12)</f>
        <v/>
      </c>
    </row>
    <row r="680">
      <c r="A680" s="54" t="inlineStr">
        <is>
          <t>US DC S6</t>
        </is>
      </c>
      <c r="B680" s="54" t="inlineStr">
        <is>
          <t>US</t>
        </is>
      </c>
      <c r="C680" s="54" t="inlineStr">
        <is>
          <t>B0C7K2B1Y3</t>
        </is>
      </c>
      <c r="D680" s="54" t="inlineStr">
        <is>
          <t>SATIN-STRIPE-FULL-WHITE--6-PCS</t>
        </is>
      </c>
      <c r="E680" s="54" t="inlineStr">
        <is>
          <t>Full</t>
        </is>
      </c>
      <c r="F680" s="54" t="inlineStr">
        <is>
          <t>Striped White</t>
        </is>
      </c>
      <c r="G680" s="55" t="n">
        <v>11</v>
      </c>
      <c r="H680" s="55" t="n">
        <v>0</v>
      </c>
      <c r="I680" s="56" t="n"/>
      <c r="J680" s="57" t="n">
        <v>0.1</v>
      </c>
      <c r="K680" s="56" t="inlineStr">
        <is>
          <t>account data velocity</t>
        </is>
      </c>
      <c r="L680" s="58" t="n">
        <v>3.076</v>
      </c>
      <c r="M680" s="56" t="inlineStr">
        <is>
          <t>own BFCM 2025 lift (account data)</t>
        </is>
      </c>
      <c r="N680" s="59">
        <f>J680*34+J680*L680*12</f>
        <v/>
      </c>
      <c r="O680" s="59">
        <f>MAX(0,N680-G680-H680)</f>
        <v/>
      </c>
      <c r="P680" s="60">
        <f>IF(J680=0,"",IF(G680&lt;J680*34,DATE(2026,10,15)+G680/J680,IF(G680&lt;N680,DATE(2026,11,18)+(G680-J680*34)/(J680*L680),"after Nov 30")))</f>
        <v/>
      </c>
      <c r="Q680" s="60">
        <f>IF(J680=0,"",IF(G680+H680&lt;J680*34,DATE(2026,10,15)+(G680+H680)/J680,IF(G680+H680&lt;N680,DATE(2026,11,18)+(G680+H680-J680*34)/(J680*L680),"after Nov 30")))</f>
        <v/>
      </c>
      <c r="R680" s="54">
        <f>IF(AND(G680&lt;=0,J680&gt;0),"Out of stock now",IF(G680&gt;=N680,"Covered to Nov 30",IF(G680+H680&gt;=N680,"Needs inbound in time","Short even with inbound")))</f>
        <v/>
      </c>
      <c r="S680" s="57" t="n">
        <v>0</v>
      </c>
      <c r="T680" s="59">
        <f>IF(S680="","",S680*34+S680*L680*12)</f>
        <v/>
      </c>
    </row>
    <row r="681">
      <c r="A681" s="54" t="inlineStr">
        <is>
          <t>US DC S6</t>
        </is>
      </c>
      <c r="B681" s="54" t="inlineStr">
        <is>
          <t>US</t>
        </is>
      </c>
      <c r="C681" s="54" t="inlineStr">
        <is>
          <t>B0C7FXRDSZ</t>
        </is>
      </c>
      <c r="D681" s="54" t="inlineStr">
        <is>
          <t>SATIN-TWIN-PURPLE-6PCS</t>
        </is>
      </c>
      <c r="E681" s="54" t="inlineStr">
        <is>
          <t>Twin</t>
        </is>
      </c>
      <c r="F681" s="54" t="inlineStr">
        <is>
          <t>Purple</t>
        </is>
      </c>
      <c r="G681" s="55" t="n">
        <v>62</v>
      </c>
      <c r="H681" s="55" t="n">
        <v>0</v>
      </c>
      <c r="I681" s="56" t="n"/>
      <c r="J681" s="57" t="n">
        <v>0.1</v>
      </c>
      <c r="K681" s="56" t="inlineStr">
        <is>
          <t>account data velocity</t>
        </is>
      </c>
      <c r="L681" s="58" t="n">
        <v>3.076</v>
      </c>
      <c r="M681" s="56" t="inlineStr">
        <is>
          <t>own BFCM 2025 lift (account data)</t>
        </is>
      </c>
      <c r="N681" s="59">
        <f>J681*34+J681*L681*12</f>
        <v/>
      </c>
      <c r="O681" s="59">
        <f>MAX(0,N681-G681-H681)</f>
        <v/>
      </c>
      <c r="P681" s="60">
        <f>IF(J681=0,"",IF(G681&lt;J681*34,DATE(2026,10,15)+G681/J681,IF(G681&lt;N681,DATE(2026,11,18)+(G681-J681*34)/(J681*L681),"after Nov 30")))</f>
        <v/>
      </c>
      <c r="Q681" s="60">
        <f>IF(J681=0,"",IF(G681+H681&lt;J681*34,DATE(2026,10,15)+(G681+H681)/J681,IF(G681+H681&lt;N681,DATE(2026,11,18)+(G681+H681-J681*34)/(J681*L681),"after Nov 30")))</f>
        <v/>
      </c>
      <c r="R681" s="54">
        <f>IF(AND(G681&lt;=0,J681&gt;0),"Out of stock now",IF(G681&gt;=N681,"Covered to Nov 30",IF(G681+H681&gt;=N681,"Needs inbound in time","Short even with inbound")))</f>
        <v/>
      </c>
      <c r="S681" s="57" t="n">
        <v>0</v>
      </c>
      <c r="T681" s="59">
        <f>IF(S681="","",S681*34+S681*L681*12)</f>
        <v/>
      </c>
    </row>
    <row r="682">
      <c r="A682" s="54" t="inlineStr">
        <is>
          <t>US DC S6</t>
        </is>
      </c>
      <c r="B682" s="54" t="inlineStr">
        <is>
          <t>US</t>
        </is>
      </c>
      <c r="C682" s="54" t="inlineStr">
        <is>
          <t>B0C7K6WTJ1</t>
        </is>
      </c>
      <c r="D682" s="54" t="inlineStr">
        <is>
          <t>SATIN-STRIPE-TWIN-BLACK--6-PCS</t>
        </is>
      </c>
      <c r="E682" s="54" t="inlineStr">
        <is>
          <t>Twin</t>
        </is>
      </c>
      <c r="F682" s="54" t="inlineStr">
        <is>
          <t>Striped Black</t>
        </is>
      </c>
      <c r="G682" s="55" t="n">
        <v>9</v>
      </c>
      <c r="H682" s="55" t="n">
        <v>0</v>
      </c>
      <c r="I682" s="56" t="inlineStr">
        <is>
          <t>FBA19SV5KWMR ready to ship: 6</t>
        </is>
      </c>
      <c r="J682" s="57" t="n">
        <v>0.1</v>
      </c>
      <c r="K682" s="56" t="inlineStr">
        <is>
          <t>account data velocity</t>
        </is>
      </c>
      <c r="L682" s="58" t="n">
        <v>3.076</v>
      </c>
      <c r="M682" s="56" t="inlineStr">
        <is>
          <t>own BFCM 2025 lift (account data)</t>
        </is>
      </c>
      <c r="N682" s="59">
        <f>J682*34+J682*L682*12</f>
        <v/>
      </c>
      <c r="O682" s="59">
        <f>MAX(0,N682-G682-H682)</f>
        <v/>
      </c>
      <c r="P682" s="60">
        <f>IF(J682=0,"",IF(G682&lt;J682*34,DATE(2026,10,15)+G682/J682,IF(G682&lt;N682,DATE(2026,11,18)+(G682-J682*34)/(J682*L682),"after Nov 30")))</f>
        <v/>
      </c>
      <c r="Q682" s="60">
        <f>IF(J682=0,"",IF(G682+H682&lt;J682*34,DATE(2026,10,15)+(G682+H682)/J682,IF(G682+H682&lt;N682,DATE(2026,11,18)+(G682+H682-J682*34)/(J682*L682),"after Nov 30")))</f>
        <v/>
      </c>
      <c r="R682" s="54">
        <f>IF(AND(G682&lt;=0,J682&gt;0),"Out of stock now",IF(G682&gt;=N682,"Covered to Nov 30",IF(G682+H682&gt;=N682,"Needs inbound in time","Short even with inbound")))</f>
        <v/>
      </c>
      <c r="S682" s="57" t="n">
        <v>0</v>
      </c>
      <c r="T682" s="59">
        <f>IF(S682="","",S682*34+S682*L682*12)</f>
        <v/>
      </c>
    </row>
    <row r="683">
      <c r="A683" s="54" t="inlineStr">
        <is>
          <t>US DC S6</t>
        </is>
      </c>
      <c r="B683" s="54" t="inlineStr">
        <is>
          <t>US</t>
        </is>
      </c>
      <c r="C683" s="54" t="inlineStr">
        <is>
          <t>B0C7FBCF2X</t>
        </is>
      </c>
      <c r="D683" s="54" t="inlineStr">
        <is>
          <t>SATIN-WHITE-TWIN-6PCS</t>
        </is>
      </c>
      <c r="E683" s="54" t="inlineStr">
        <is>
          <t>Twin</t>
        </is>
      </c>
      <c r="F683" s="54" t="inlineStr">
        <is>
          <t>White</t>
        </is>
      </c>
      <c r="G683" s="55" t="n">
        <v>2</v>
      </c>
      <c r="H683" s="55" t="n">
        <v>0</v>
      </c>
      <c r="I683" s="56" t="n"/>
      <c r="J683" s="57" t="n">
        <v>0.1</v>
      </c>
      <c r="K683" s="56" t="inlineStr">
        <is>
          <t>account data velocity</t>
        </is>
      </c>
      <c r="L683" s="58" t="n">
        <v>3.076</v>
      </c>
      <c r="M683" s="56" t="inlineStr">
        <is>
          <t>own BFCM 2025 lift (account data)</t>
        </is>
      </c>
      <c r="N683" s="59">
        <f>J683*34+J683*L683*12</f>
        <v/>
      </c>
      <c r="O683" s="59">
        <f>MAX(0,N683-G683-H683)</f>
        <v/>
      </c>
      <c r="P683" s="60">
        <f>IF(J683=0,"",IF(G683&lt;J683*34,DATE(2026,10,15)+G683/J683,IF(G683&lt;N683,DATE(2026,11,18)+(G683-J683*34)/(J683*L683),"after Nov 30")))</f>
        <v/>
      </c>
      <c r="Q683" s="60">
        <f>IF(J683=0,"",IF(G683+H683&lt;J683*34,DATE(2026,10,15)+(G683+H683)/J683,IF(G683+H683&lt;N683,DATE(2026,11,18)+(G683+H683-J683*34)/(J683*L683),"after Nov 30")))</f>
        <v/>
      </c>
      <c r="R683" s="54">
        <f>IF(AND(G683&lt;=0,J683&gt;0),"Out of stock now",IF(G683&gt;=N683,"Covered to Nov 30",IF(G683+H683&gt;=N683,"Needs inbound in time","Short even with inbound")))</f>
        <v/>
      </c>
      <c r="S683" s="57" t="n">
        <v>0</v>
      </c>
      <c r="T683" s="59">
        <f>IF(S683="","",S683*34+S683*L683*12)</f>
        <v/>
      </c>
    </row>
    <row r="684">
      <c r="A684" s="54" t="inlineStr">
        <is>
          <t>US DC S6</t>
        </is>
      </c>
      <c r="B684" s="54" t="inlineStr">
        <is>
          <t>US</t>
        </is>
      </c>
      <c r="C684" s="54" t="inlineStr">
        <is>
          <t>B0D9QTCGWW</t>
        </is>
      </c>
      <c r="D684" s="54" t="inlineStr">
        <is>
          <t>SATIN-6PC-KING-SAGE GREEN</t>
        </is>
      </c>
      <c r="E684" s="54" t="inlineStr">
        <is>
          <t>King</t>
        </is>
      </c>
      <c r="F684" s="54" t="inlineStr">
        <is>
          <t>Sage Green</t>
        </is>
      </c>
      <c r="G684" s="55" t="n">
        <v>58</v>
      </c>
      <c r="H684" s="55" t="n">
        <v>0</v>
      </c>
      <c r="I684" s="56" t="n"/>
      <c r="J684" s="57" t="n">
        <v>0.09</v>
      </c>
      <c r="K684" s="56" t="inlineStr">
        <is>
          <t>account data velocity</t>
        </is>
      </c>
      <c r="L684" s="58" t="n">
        <v>3.076</v>
      </c>
      <c r="M684" s="56" t="inlineStr">
        <is>
          <t>own BFCM 2025 lift (account data)</t>
        </is>
      </c>
      <c r="N684" s="59">
        <f>J684*34+J684*L684*12</f>
        <v/>
      </c>
      <c r="O684" s="59">
        <f>MAX(0,N684-G684-H684)</f>
        <v/>
      </c>
      <c r="P684" s="60">
        <f>IF(J684=0,"",IF(G684&lt;J684*34,DATE(2026,10,15)+G684/J684,IF(G684&lt;N684,DATE(2026,11,18)+(G684-J684*34)/(J684*L684),"after Nov 30")))</f>
        <v/>
      </c>
      <c r="Q684" s="60">
        <f>IF(J684=0,"",IF(G684+H684&lt;J684*34,DATE(2026,10,15)+(G684+H684)/J684,IF(G684+H684&lt;N684,DATE(2026,11,18)+(G684+H684-J684*34)/(J684*L684),"after Nov 30")))</f>
        <v/>
      </c>
      <c r="R684" s="54">
        <f>IF(AND(G684&lt;=0,J684&gt;0),"Out of stock now",IF(G684&gt;=N684,"Covered to Nov 30",IF(G684+H684&gt;=N684,"Needs inbound in time","Short even with inbound")))</f>
        <v/>
      </c>
      <c r="S684" s="57" t="n">
        <v>0.143</v>
      </c>
      <c r="T684" s="59">
        <f>IF(S684="","",S684*34+S684*L684*12)</f>
        <v/>
      </c>
    </row>
    <row r="685">
      <c r="A685" s="54" t="inlineStr">
        <is>
          <t>US DC S6</t>
        </is>
      </c>
      <c r="B685" s="54" t="inlineStr">
        <is>
          <t>US</t>
        </is>
      </c>
      <c r="C685" s="54" t="inlineStr">
        <is>
          <t>B0D9QRCV3S</t>
        </is>
      </c>
      <c r="D685" s="54" t="inlineStr">
        <is>
          <t>SATIN-6PC-FULL-NAVY BLUE</t>
        </is>
      </c>
      <c r="E685" s="54" t="inlineStr">
        <is>
          <t>Full</t>
        </is>
      </c>
      <c r="F685" s="54" t="inlineStr">
        <is>
          <t>Navy Blue</t>
        </is>
      </c>
      <c r="G685" s="55" t="n">
        <v>32</v>
      </c>
      <c r="H685" s="55" t="n">
        <v>18</v>
      </c>
      <c r="I685" s="56" t="inlineStr">
        <is>
          <t>FBA19N7XSBR9 in transit: 18</t>
        </is>
      </c>
      <c r="J685" s="57" t="n">
        <v>0.08</v>
      </c>
      <c r="K685" s="56" t="inlineStr">
        <is>
          <t>account data velocity</t>
        </is>
      </c>
      <c r="L685" s="58" t="n">
        <v>3.076</v>
      </c>
      <c r="M685" s="56" t="inlineStr">
        <is>
          <t>own BFCM 2025 lift (account data)</t>
        </is>
      </c>
      <c r="N685" s="59">
        <f>J685*34+J685*L685*12</f>
        <v/>
      </c>
      <c r="O685" s="59">
        <f>MAX(0,N685-G685-H685)</f>
        <v/>
      </c>
      <c r="P685" s="60">
        <f>IF(J685=0,"",IF(G685&lt;J685*34,DATE(2026,10,15)+G685/J685,IF(G685&lt;N685,DATE(2026,11,18)+(G685-J685*34)/(J685*L685),"after Nov 30")))</f>
        <v/>
      </c>
      <c r="Q685" s="60">
        <f>IF(J685=0,"",IF(G685+H685&lt;J685*34,DATE(2026,10,15)+(G685+H685)/J685,IF(G685+H685&lt;N685,DATE(2026,11,18)+(G685+H685-J685*34)/(J685*L685),"after Nov 30")))</f>
        <v/>
      </c>
      <c r="R685" s="54">
        <f>IF(AND(G685&lt;=0,J685&gt;0),"Out of stock now",IF(G685&gt;=N685,"Covered to Nov 30",IF(G685+H685&gt;=N685,"Needs inbound in time","Short even with inbound")))</f>
        <v/>
      </c>
      <c r="S685" s="57" t="n">
        <v>0.107</v>
      </c>
      <c r="T685" s="59">
        <f>IF(S685="","",S685*34+S685*L685*12)</f>
        <v/>
      </c>
    </row>
    <row r="686">
      <c r="A686" s="54" t="inlineStr">
        <is>
          <t>US DC S6</t>
        </is>
      </c>
      <c r="B686" s="54" t="inlineStr">
        <is>
          <t>US</t>
        </is>
      </c>
      <c r="C686" s="54" t="inlineStr">
        <is>
          <t>B0D9QR4PS8</t>
        </is>
      </c>
      <c r="D686" s="54" t="inlineStr">
        <is>
          <t>SATIN-6PC-FULL-DARK GREEN</t>
        </is>
      </c>
      <c r="E686" s="54" t="inlineStr">
        <is>
          <t>Full</t>
        </is>
      </c>
      <c r="F686" s="54" t="inlineStr">
        <is>
          <t>Dark Green</t>
        </is>
      </c>
      <c r="G686" s="55" t="n">
        <v>0</v>
      </c>
      <c r="H686" s="55" t="n">
        <v>0</v>
      </c>
      <c r="I686" s="56" t="n"/>
      <c r="J686" s="57" t="n">
        <v>0.08</v>
      </c>
      <c r="K686" s="56" t="inlineStr">
        <is>
          <t>account data velocity</t>
        </is>
      </c>
      <c r="L686" s="58" t="n">
        <v>3.076</v>
      </c>
      <c r="M686" s="56" t="inlineStr">
        <is>
          <t>own BFCM 2025 lift (account data)</t>
        </is>
      </c>
      <c r="N686" s="59">
        <f>J686*34+J686*L686*12</f>
        <v/>
      </c>
      <c r="O686" s="59">
        <f>MAX(0,N686-G686-H686)</f>
        <v/>
      </c>
      <c r="P686" s="60">
        <f>IF(J686=0,"",IF(G686&lt;J686*34,DATE(2026,10,15)+G686/J686,IF(G686&lt;N686,DATE(2026,11,18)+(G686-J686*34)/(J686*L686),"after Nov 30")))</f>
        <v/>
      </c>
      <c r="Q686" s="60">
        <f>IF(J686=0,"",IF(G686+H686&lt;J686*34,DATE(2026,10,15)+(G686+H686)/J686,IF(G686+H686&lt;N686,DATE(2026,11,18)+(G686+H686-J686*34)/(J686*L686),"after Nov 30")))</f>
        <v/>
      </c>
      <c r="R686" s="54">
        <f>IF(AND(G686&lt;=0,J686&gt;0),"Out of stock now",IF(G686&gt;=N686,"Covered to Nov 30",IF(G686+H686&gt;=N686,"Needs inbound in time","Short even with inbound")))</f>
        <v/>
      </c>
      <c r="S686" s="57" t="n">
        <v>0</v>
      </c>
      <c r="T686" s="59">
        <f>IF(S686="","",S686*34+S686*L686*12)</f>
        <v/>
      </c>
    </row>
    <row r="687">
      <c r="A687" s="54" t="inlineStr">
        <is>
          <t>US DC S6</t>
        </is>
      </c>
      <c r="B687" s="54" t="inlineStr">
        <is>
          <t>US</t>
        </is>
      </c>
      <c r="C687" s="54" t="inlineStr">
        <is>
          <t>B0C7FKJWJV</t>
        </is>
      </c>
      <c r="D687" s="54" t="inlineStr">
        <is>
          <t>SATIN-IVORY-FULL-6PCS</t>
        </is>
      </c>
      <c r="E687" s="54" t="inlineStr">
        <is>
          <t>Full</t>
        </is>
      </c>
      <c r="F687" s="54" t="inlineStr">
        <is>
          <t>Ivory</t>
        </is>
      </c>
      <c r="G687" s="55" t="n">
        <v>12</v>
      </c>
      <c r="H687" s="55" t="n">
        <v>0</v>
      </c>
      <c r="I687" s="56" t="n"/>
      <c r="J687" s="57" t="n">
        <v>0.08</v>
      </c>
      <c r="K687" s="56" t="inlineStr">
        <is>
          <t>account data velocity</t>
        </is>
      </c>
      <c r="L687" s="58" t="n">
        <v>3.076</v>
      </c>
      <c r="M687" s="56" t="inlineStr">
        <is>
          <t>own BFCM 2025 lift (account data)</t>
        </is>
      </c>
      <c r="N687" s="59">
        <f>J687*34+J687*L687*12</f>
        <v/>
      </c>
      <c r="O687" s="59">
        <f>MAX(0,N687-G687-H687)</f>
        <v/>
      </c>
      <c r="P687" s="60">
        <f>IF(J687=0,"",IF(G687&lt;J687*34,DATE(2026,10,15)+G687/J687,IF(G687&lt;N687,DATE(2026,11,18)+(G687-J687*34)/(J687*L687),"after Nov 30")))</f>
        <v/>
      </c>
      <c r="Q687" s="60">
        <f>IF(J687=0,"",IF(G687+H687&lt;J687*34,DATE(2026,10,15)+(G687+H687)/J687,IF(G687+H687&lt;N687,DATE(2026,11,18)+(G687+H687-J687*34)/(J687*L687),"after Nov 30")))</f>
        <v/>
      </c>
      <c r="R687" s="54">
        <f>IF(AND(G687&lt;=0,J687&gt;0),"Out of stock now",IF(G687&gt;=N687,"Covered to Nov 30",IF(G687+H687&gt;=N687,"Needs inbound in time","Short even with inbound")))</f>
        <v/>
      </c>
      <c r="S687" s="57" t="n">
        <v>0</v>
      </c>
      <c r="T687" s="59">
        <f>IF(S687="","",S687*34+S687*L687*12)</f>
        <v/>
      </c>
    </row>
    <row r="688">
      <c r="A688" s="54" t="inlineStr">
        <is>
          <t>US DC S6</t>
        </is>
      </c>
      <c r="B688" s="54" t="inlineStr">
        <is>
          <t>US</t>
        </is>
      </c>
      <c r="C688" s="54" t="inlineStr">
        <is>
          <t>B0C7FF3CWB</t>
        </is>
      </c>
      <c r="D688" s="54" t="inlineStr">
        <is>
          <t>SATIN-SEA-TEAL-TWIN-6PCS</t>
        </is>
      </c>
      <c r="E688" s="54" t="inlineStr">
        <is>
          <t>Twin</t>
        </is>
      </c>
      <c r="F688" s="54" t="inlineStr">
        <is>
          <t>Sea Teal</t>
        </is>
      </c>
      <c r="G688" s="55" t="n">
        <v>31</v>
      </c>
      <c r="H688" s="55" t="n">
        <v>0</v>
      </c>
      <c r="I688" s="56" t="n"/>
      <c r="J688" s="57" t="n">
        <v>0.08</v>
      </c>
      <c r="K688" s="56" t="inlineStr">
        <is>
          <t>account data velocity</t>
        </is>
      </c>
      <c r="L688" s="58" t="n">
        <v>3.076</v>
      </c>
      <c r="M688" s="56" t="inlineStr">
        <is>
          <t>own BFCM 2025 lift (account data)</t>
        </is>
      </c>
      <c r="N688" s="59">
        <f>J688*34+J688*L688*12</f>
        <v/>
      </c>
      <c r="O688" s="59">
        <f>MAX(0,N688-G688-H688)</f>
        <v/>
      </c>
      <c r="P688" s="60">
        <f>IF(J688=0,"",IF(G688&lt;J688*34,DATE(2026,10,15)+G688/J688,IF(G688&lt;N688,DATE(2026,11,18)+(G688-J688*34)/(J688*L688),"after Nov 30")))</f>
        <v/>
      </c>
      <c r="Q688" s="60">
        <f>IF(J688=0,"",IF(G688+H688&lt;J688*34,DATE(2026,10,15)+(G688+H688)/J688,IF(G688+H688&lt;N688,DATE(2026,11,18)+(G688+H688-J688*34)/(J688*L688),"after Nov 30")))</f>
        <v/>
      </c>
      <c r="R688" s="54">
        <f>IF(AND(G688&lt;=0,J688&gt;0),"Out of stock now",IF(G688&gt;=N688,"Covered to Nov 30",IF(G688+H688&gt;=N688,"Needs inbound in time","Short even with inbound")))</f>
        <v/>
      </c>
      <c r="S688" s="57" t="n">
        <v>0</v>
      </c>
      <c r="T688" s="59">
        <f>IF(S688="","",S688*34+S688*L688*12)</f>
        <v/>
      </c>
    </row>
    <row r="689">
      <c r="A689" s="54" t="inlineStr">
        <is>
          <t>US DC S6</t>
        </is>
      </c>
      <c r="B689" s="54" t="inlineStr">
        <is>
          <t>US</t>
        </is>
      </c>
      <c r="C689" s="54" t="inlineStr">
        <is>
          <t>B0C7KD9LMR</t>
        </is>
      </c>
      <c r="D689" s="54" t="inlineStr">
        <is>
          <t>SATIN-STRIPE-QUEEN-PINK--6-PCS</t>
        </is>
      </c>
      <c r="E689" s="54" t="inlineStr">
        <is>
          <t>Queen</t>
        </is>
      </c>
      <c r="F689" s="54" t="inlineStr">
        <is>
          <t>Striped Pink</t>
        </is>
      </c>
      <c r="G689" s="55" t="n">
        <v>19</v>
      </c>
      <c r="H689" s="55" t="n">
        <v>0</v>
      </c>
      <c r="I689" s="56" t="n"/>
      <c r="J689" s="57" t="n">
        <v>0.07000000000000001</v>
      </c>
      <c r="K689" s="56" t="inlineStr">
        <is>
          <t>account data velocity</t>
        </is>
      </c>
      <c r="L689" s="58" t="n">
        <v>3.076</v>
      </c>
      <c r="M689" s="56" t="inlineStr">
        <is>
          <t>own BFCM 2025 lift (account data)</t>
        </is>
      </c>
      <c r="N689" s="59">
        <f>J689*34+J689*L689*12</f>
        <v/>
      </c>
      <c r="O689" s="59">
        <f>MAX(0,N689-G689-H689)</f>
        <v/>
      </c>
      <c r="P689" s="60">
        <f>IF(J689=0,"",IF(G689&lt;J689*34,DATE(2026,10,15)+G689/J689,IF(G689&lt;N689,DATE(2026,11,18)+(G689-J689*34)/(J689*L689),"after Nov 30")))</f>
        <v/>
      </c>
      <c r="Q689" s="60">
        <f>IF(J689=0,"",IF(G689+H689&lt;J689*34,DATE(2026,10,15)+(G689+H689)/J689,IF(G689+H689&lt;N689,DATE(2026,11,18)+(G689+H689-J689*34)/(J689*L689),"after Nov 30")))</f>
        <v/>
      </c>
      <c r="R689" s="54">
        <f>IF(AND(G689&lt;=0,J689&gt;0),"Out of stock now",IF(G689&gt;=N689,"Covered to Nov 30",IF(G689+H689&gt;=N689,"Needs inbound in time","Short even with inbound")))</f>
        <v/>
      </c>
      <c r="S689" s="57" t="n">
        <v>0</v>
      </c>
      <c r="T689" s="59">
        <f>IF(S689="","",S689*34+S689*L689*12)</f>
        <v/>
      </c>
    </row>
    <row r="690">
      <c r="A690" s="54" t="inlineStr">
        <is>
          <t>US DC S6</t>
        </is>
      </c>
      <c r="B690" s="54" t="inlineStr">
        <is>
          <t>US</t>
        </is>
      </c>
      <c r="C690" s="54" t="inlineStr">
        <is>
          <t>B0D9QTXKQ8</t>
        </is>
      </c>
      <c r="D690" s="54" t="inlineStr">
        <is>
          <t>SATIN-4PC-TWIN-LAVENDER</t>
        </is>
      </c>
      <c r="E690" s="54" t="inlineStr">
        <is>
          <t>Twin</t>
        </is>
      </c>
      <c r="F690" s="54" t="inlineStr">
        <is>
          <t>Lavender</t>
        </is>
      </c>
      <c r="G690" s="55" t="n">
        <v>39</v>
      </c>
      <c r="H690" s="55" t="n">
        <v>0</v>
      </c>
      <c r="I690" s="56" t="n"/>
      <c r="J690" s="57" t="n">
        <v>0.06</v>
      </c>
      <c r="K690" s="56" t="inlineStr">
        <is>
          <t>account data velocity</t>
        </is>
      </c>
      <c r="L690" s="58" t="n">
        <v>3.076</v>
      </c>
      <c r="M690" s="56" t="inlineStr">
        <is>
          <t>own BFCM 2025 lift (account data)</t>
        </is>
      </c>
      <c r="N690" s="59">
        <f>J690*34+J690*L690*12</f>
        <v/>
      </c>
      <c r="O690" s="59">
        <f>MAX(0,N690-G690-H690)</f>
        <v/>
      </c>
      <c r="P690" s="60">
        <f>IF(J690=0,"",IF(G690&lt;J690*34,DATE(2026,10,15)+G690/J690,IF(G690&lt;N690,DATE(2026,11,18)+(G690-J690*34)/(J690*L690),"after Nov 30")))</f>
        <v/>
      </c>
      <c r="Q690" s="60">
        <f>IF(J690=0,"",IF(G690+H690&lt;J690*34,DATE(2026,10,15)+(G690+H690)/J690,IF(G690+H690&lt;N690,DATE(2026,11,18)+(G690+H690-J690*34)/(J690*L690),"after Nov 30")))</f>
        <v/>
      </c>
      <c r="R690" s="54">
        <f>IF(AND(G690&lt;=0,J690&gt;0),"Out of stock now",IF(G690&gt;=N690,"Covered to Nov 30",IF(G690+H690&gt;=N690,"Needs inbound in time","Short even with inbound")))</f>
        <v/>
      </c>
      <c r="S690" s="57" t="n">
        <v>0.107</v>
      </c>
      <c r="T690" s="59">
        <f>IF(S690="","",S690*34+S690*L690*12)</f>
        <v/>
      </c>
    </row>
    <row r="691">
      <c r="A691" s="54" t="inlineStr">
        <is>
          <t>US DC S6</t>
        </is>
      </c>
      <c r="B691" s="54" t="inlineStr">
        <is>
          <t>US</t>
        </is>
      </c>
      <c r="C691" s="54" t="inlineStr">
        <is>
          <t>B0C7FDN7ZM</t>
        </is>
      </c>
      <c r="D691" s="54" t="inlineStr">
        <is>
          <t>SATIN-ROSEWOOD-TWIN-6PCS</t>
        </is>
      </c>
      <c r="E691" s="54" t="inlineStr">
        <is>
          <t>Twin</t>
        </is>
      </c>
      <c r="F691" s="54" t="inlineStr">
        <is>
          <t>Rosewood</t>
        </is>
      </c>
      <c r="G691" s="55" t="n">
        <v>38</v>
      </c>
      <c r="H691" s="55" t="n">
        <v>6</v>
      </c>
      <c r="I691" s="56" t="inlineStr">
        <is>
          <t>FBA19P55072C in transit: 6</t>
        </is>
      </c>
      <c r="J691" s="57" t="n">
        <v>0.06</v>
      </c>
      <c r="K691" s="56" t="inlineStr">
        <is>
          <t>account data velocity</t>
        </is>
      </c>
      <c r="L691" s="58" t="n">
        <v>3.076</v>
      </c>
      <c r="M691" s="56" t="inlineStr">
        <is>
          <t>own BFCM 2025 lift (account data)</t>
        </is>
      </c>
      <c r="N691" s="59">
        <f>J691*34+J691*L691*12</f>
        <v/>
      </c>
      <c r="O691" s="59">
        <f>MAX(0,N691-G691-H691)</f>
        <v/>
      </c>
      <c r="P691" s="60">
        <f>IF(J691=0,"",IF(G691&lt;J691*34,DATE(2026,10,15)+G691/J691,IF(G691&lt;N691,DATE(2026,11,18)+(G691-J691*34)/(J691*L691),"after Nov 30")))</f>
        <v/>
      </c>
      <c r="Q691" s="60">
        <f>IF(J691=0,"",IF(G691+H691&lt;J691*34,DATE(2026,10,15)+(G691+H691)/J691,IF(G691+H691&lt;N691,DATE(2026,11,18)+(G691+H691-J691*34)/(J691*L691),"after Nov 30")))</f>
        <v/>
      </c>
      <c r="R691" s="54">
        <f>IF(AND(G691&lt;=0,J691&gt;0),"Out of stock now",IF(G691&gt;=N691,"Covered to Nov 30",IF(G691+H691&gt;=N691,"Needs inbound in time","Short even with inbound")))</f>
        <v/>
      </c>
      <c r="S691" s="57" t="n">
        <v>0.107</v>
      </c>
      <c r="T691" s="59">
        <f>IF(S691="","",S691*34+S691*L691*12)</f>
        <v/>
      </c>
    </row>
    <row r="692">
      <c r="A692" s="54" t="inlineStr">
        <is>
          <t>US DC S6</t>
        </is>
      </c>
      <c r="B692" s="54" t="inlineStr">
        <is>
          <t>US</t>
        </is>
      </c>
      <c r="C692" s="54" t="inlineStr">
        <is>
          <t>B0C7FLGJS8</t>
        </is>
      </c>
      <c r="D692" s="54" t="inlineStr">
        <is>
          <t>SATIN-STONEGREY-KING-6PCS</t>
        </is>
      </c>
      <c r="E692" s="54" t="inlineStr">
        <is>
          <t>King</t>
        </is>
      </c>
      <c r="F692" s="54" t="inlineStr">
        <is>
          <t>Stone Grey</t>
        </is>
      </c>
      <c r="G692" s="55" t="n">
        <v>53</v>
      </c>
      <c r="H692" s="55" t="n">
        <v>0</v>
      </c>
      <c r="I692" s="56" t="n"/>
      <c r="J692" s="57" t="n">
        <v>0.06</v>
      </c>
      <c r="K692" s="56" t="inlineStr">
        <is>
          <t>account data velocity</t>
        </is>
      </c>
      <c r="L692" s="58" t="n">
        <v>3.076</v>
      </c>
      <c r="M692" s="56" t="inlineStr">
        <is>
          <t>own BFCM 2025 lift (account data)</t>
        </is>
      </c>
      <c r="N692" s="59">
        <f>J692*34+J692*L692*12</f>
        <v/>
      </c>
      <c r="O692" s="59">
        <f>MAX(0,N692-G692-H692)</f>
        <v/>
      </c>
      <c r="P692" s="60">
        <f>IF(J692=0,"",IF(G692&lt;J692*34,DATE(2026,10,15)+G692/J692,IF(G692&lt;N692,DATE(2026,11,18)+(G692-J692*34)/(J692*L692),"after Nov 30")))</f>
        <v/>
      </c>
      <c r="Q692" s="60">
        <f>IF(J692=0,"",IF(G692+H692&lt;J692*34,DATE(2026,10,15)+(G692+H692)/J692,IF(G692+H692&lt;N692,DATE(2026,11,18)+(G692+H692-J692*34)/(J692*L692),"after Nov 30")))</f>
        <v/>
      </c>
      <c r="R692" s="54">
        <f>IF(AND(G692&lt;=0,J692&gt;0),"Out of stock now",IF(G692&gt;=N692,"Covered to Nov 30",IF(G692+H692&gt;=N692,"Needs inbound in time","Short even with inbound")))</f>
        <v/>
      </c>
      <c r="S692" s="57" t="n">
        <v>0.036</v>
      </c>
      <c r="T692" s="59">
        <f>IF(S692="","",S692*34+S692*L692*12)</f>
        <v/>
      </c>
    </row>
    <row r="693">
      <c r="A693" s="54" t="inlineStr">
        <is>
          <t>US DC S6</t>
        </is>
      </c>
      <c r="B693" s="54" t="inlineStr">
        <is>
          <t>US</t>
        </is>
      </c>
      <c r="C693" s="54" t="inlineStr">
        <is>
          <t>B0D9QQ99HB</t>
        </is>
      </c>
      <c r="D693" s="54" t="inlineStr">
        <is>
          <t>SATIN-4PC-TWIN-BLUSH PINK</t>
        </is>
      </c>
      <c r="E693" s="54" t="inlineStr">
        <is>
          <t>Twin</t>
        </is>
      </c>
      <c r="F693" s="54" t="inlineStr">
        <is>
          <t>Blush Pink</t>
        </is>
      </c>
      <c r="G693" s="55" t="n">
        <v>66</v>
      </c>
      <c r="H693" s="55" t="n">
        <v>0</v>
      </c>
      <c r="I693" s="56" t="n"/>
      <c r="J693" s="57" t="n">
        <v>0.06</v>
      </c>
      <c r="K693" s="56" t="inlineStr">
        <is>
          <t>account data velocity</t>
        </is>
      </c>
      <c r="L693" s="58" t="n">
        <v>3.076</v>
      </c>
      <c r="M693" s="56" t="inlineStr">
        <is>
          <t>own BFCM 2025 lift (account data)</t>
        </is>
      </c>
      <c r="N693" s="59">
        <f>J693*34+J693*L693*12</f>
        <v/>
      </c>
      <c r="O693" s="59">
        <f>MAX(0,N693-G693-H693)</f>
        <v/>
      </c>
      <c r="P693" s="60">
        <f>IF(J693=0,"",IF(G693&lt;J693*34,DATE(2026,10,15)+G693/J693,IF(G693&lt;N693,DATE(2026,11,18)+(G693-J693*34)/(J693*L693),"after Nov 30")))</f>
        <v/>
      </c>
      <c r="Q693" s="60">
        <f>IF(J693=0,"",IF(G693+H693&lt;J693*34,DATE(2026,10,15)+(G693+H693)/J693,IF(G693+H693&lt;N693,DATE(2026,11,18)+(G693+H693-J693*34)/(J693*L693),"after Nov 30")))</f>
        <v/>
      </c>
      <c r="R693" s="54">
        <f>IF(AND(G693&lt;=0,J693&gt;0),"Out of stock now",IF(G693&gt;=N693,"Covered to Nov 30",IF(G693+H693&gt;=N693,"Needs inbound in time","Short even with inbound")))</f>
        <v/>
      </c>
      <c r="S693" s="57" t="n">
        <v>0</v>
      </c>
      <c r="T693" s="59">
        <f>IF(S693="","",S693*34+S693*L693*12)</f>
        <v/>
      </c>
    </row>
    <row r="694">
      <c r="A694" s="54" t="inlineStr">
        <is>
          <t>US DC S6</t>
        </is>
      </c>
      <c r="B694" s="54" t="inlineStr">
        <is>
          <t>US</t>
        </is>
      </c>
      <c r="C694" s="54" t="inlineStr">
        <is>
          <t>B0C7FKPZNT</t>
        </is>
      </c>
      <c r="D694" s="54" t="inlineStr">
        <is>
          <t>SATIN-TWIN-PINK-6PCS</t>
        </is>
      </c>
      <c r="E694" s="54" t="inlineStr">
        <is>
          <t>Twin</t>
        </is>
      </c>
      <c r="F694" s="54" t="inlineStr">
        <is>
          <t>Pink</t>
        </is>
      </c>
      <c r="G694" s="55" t="n">
        <v>7</v>
      </c>
      <c r="H694" s="55" t="n">
        <v>0</v>
      </c>
      <c r="I694" s="56" t="inlineStr">
        <is>
          <t>FBA19JN2Y9DR receiving: 12</t>
        </is>
      </c>
      <c r="J694" s="57" t="n">
        <v>0.06</v>
      </c>
      <c r="K694" s="56" t="inlineStr">
        <is>
          <t>account data velocity</t>
        </is>
      </c>
      <c r="L694" s="58" t="n">
        <v>3.076</v>
      </c>
      <c r="M694" s="56" t="inlineStr">
        <is>
          <t>own BFCM 2025 lift (account data)</t>
        </is>
      </c>
      <c r="N694" s="59">
        <f>J694*34+J694*L694*12</f>
        <v/>
      </c>
      <c r="O694" s="59">
        <f>MAX(0,N694-G694-H694)</f>
        <v/>
      </c>
      <c r="P694" s="60">
        <f>IF(J694=0,"",IF(G694&lt;J694*34,DATE(2026,10,15)+G694/J694,IF(G694&lt;N694,DATE(2026,11,18)+(G694-J694*34)/(J694*L694),"after Nov 30")))</f>
        <v/>
      </c>
      <c r="Q694" s="60">
        <f>IF(J694=0,"",IF(G694+H694&lt;J694*34,DATE(2026,10,15)+(G694+H694)/J694,IF(G694+H694&lt;N694,DATE(2026,11,18)+(G694+H694-J694*34)/(J694*L694),"after Nov 30")))</f>
        <v/>
      </c>
      <c r="R694" s="54">
        <f>IF(AND(G694&lt;=0,J694&gt;0),"Out of stock now",IF(G694&gt;=N694,"Covered to Nov 30",IF(G694+H694&gt;=N694,"Needs inbound in time","Short even with inbound")))</f>
        <v/>
      </c>
      <c r="S694" s="57" t="n">
        <v>0</v>
      </c>
      <c r="T694" s="59">
        <f>IF(S694="","",S694*34+S694*L694*12)</f>
        <v/>
      </c>
    </row>
    <row r="695">
      <c r="A695" s="54" t="inlineStr">
        <is>
          <t>US DC S6</t>
        </is>
      </c>
      <c r="B695" s="54" t="inlineStr">
        <is>
          <t>US</t>
        </is>
      </c>
      <c r="C695" s="54" t="inlineStr">
        <is>
          <t>B0C7FSXPC5</t>
        </is>
      </c>
      <c r="D695" s="54" t="inlineStr">
        <is>
          <t>SATIN-CHAMPAGNE-FULL-6PCS</t>
        </is>
      </c>
      <c r="E695" s="54" t="inlineStr">
        <is>
          <t>Full</t>
        </is>
      </c>
      <c r="F695" s="54" t="inlineStr">
        <is>
          <t>Champagne</t>
        </is>
      </c>
      <c r="G695" s="55" t="n">
        <v>12</v>
      </c>
      <c r="H695" s="55" t="n">
        <v>0</v>
      </c>
      <c r="I695" s="56" t="n"/>
      <c r="J695" s="57" t="n">
        <v>0.04</v>
      </c>
      <c r="K695" s="56" t="inlineStr">
        <is>
          <t>account data velocity</t>
        </is>
      </c>
      <c r="L695" s="58" t="n">
        <v>3.076</v>
      </c>
      <c r="M695" s="56" t="inlineStr">
        <is>
          <t>own BFCM 2025 lift (account data)</t>
        </is>
      </c>
      <c r="N695" s="59">
        <f>J695*34+J695*L695*12</f>
        <v/>
      </c>
      <c r="O695" s="59">
        <f>MAX(0,N695-G695-H695)</f>
        <v/>
      </c>
      <c r="P695" s="60">
        <f>IF(J695=0,"",IF(G695&lt;J695*34,DATE(2026,10,15)+G695/J695,IF(G695&lt;N695,DATE(2026,11,18)+(G695-J695*34)/(J695*L695),"after Nov 30")))</f>
        <v/>
      </c>
      <c r="Q695" s="60">
        <f>IF(J695=0,"",IF(G695+H695&lt;J695*34,DATE(2026,10,15)+(G695+H695)/J695,IF(G695+H695&lt;N695,DATE(2026,11,18)+(G695+H695-J695*34)/(J695*L695),"after Nov 30")))</f>
        <v/>
      </c>
      <c r="R695" s="54">
        <f>IF(AND(G695&lt;=0,J695&gt;0),"Out of stock now",IF(G695&gt;=N695,"Covered to Nov 30",IF(G695+H695&gt;=N695,"Needs inbound in time","Short even with inbound")))</f>
        <v/>
      </c>
      <c r="S695" s="57" t="n">
        <v>0.07099999999999999</v>
      </c>
      <c r="T695" s="59">
        <f>IF(S695="","",S695*34+S695*L695*12)</f>
        <v/>
      </c>
    </row>
    <row r="696">
      <c r="A696" s="54" t="inlineStr">
        <is>
          <t>US DC S6</t>
        </is>
      </c>
      <c r="B696" s="54" t="inlineStr">
        <is>
          <t>US</t>
        </is>
      </c>
      <c r="C696" s="54" t="inlineStr">
        <is>
          <t>B0C7FK58RV</t>
        </is>
      </c>
      <c r="D696" s="54" t="inlineStr">
        <is>
          <t>SATIN-TAUPE-QUEEN-6PCS</t>
        </is>
      </c>
      <c r="E696" s="54" t="inlineStr">
        <is>
          <t>Queen</t>
        </is>
      </c>
      <c r="F696" s="54" t="inlineStr">
        <is>
          <t>Taupe</t>
        </is>
      </c>
      <c r="G696" s="55" t="n">
        <v>15</v>
      </c>
      <c r="H696" s="55" t="n">
        <v>0</v>
      </c>
      <c r="I696" s="56" t="inlineStr">
        <is>
          <t>FBA19SV5KWMR ready to ship: 18; FBA19N82086K ready to ship: 6</t>
        </is>
      </c>
      <c r="J696" s="57" t="n">
        <v>0.04</v>
      </c>
      <c r="K696" s="56" t="inlineStr">
        <is>
          <t>account data velocity</t>
        </is>
      </c>
      <c r="L696" s="58" t="n">
        <v>3.076</v>
      </c>
      <c r="M696" s="56" t="inlineStr">
        <is>
          <t>own BFCM 2025 lift (account data)</t>
        </is>
      </c>
      <c r="N696" s="59">
        <f>J696*34+J696*L696*12</f>
        <v/>
      </c>
      <c r="O696" s="59">
        <f>MAX(0,N696-G696-H696)</f>
        <v/>
      </c>
      <c r="P696" s="60">
        <f>IF(J696=0,"",IF(G696&lt;J696*34,DATE(2026,10,15)+G696/J696,IF(G696&lt;N696,DATE(2026,11,18)+(G696-J696*34)/(J696*L696),"after Nov 30")))</f>
        <v/>
      </c>
      <c r="Q696" s="60">
        <f>IF(J696=0,"",IF(G696+H696&lt;J696*34,DATE(2026,10,15)+(G696+H696)/J696,IF(G696+H696&lt;N696,DATE(2026,11,18)+(G696+H696-J696*34)/(J696*L696),"after Nov 30")))</f>
        <v/>
      </c>
      <c r="R696" s="54">
        <f>IF(AND(G696&lt;=0,J696&gt;0),"Out of stock now",IF(G696&gt;=N696,"Covered to Nov 30",IF(G696+H696&gt;=N696,"Needs inbound in time","Short even with inbound")))</f>
        <v/>
      </c>
      <c r="S696" s="57" t="n">
        <v>0.07099999999999999</v>
      </c>
      <c r="T696" s="59">
        <f>IF(S696="","",S696*34+S696*L696*12)</f>
        <v/>
      </c>
    </row>
    <row r="697">
      <c r="A697" s="54" t="inlineStr">
        <is>
          <t>US DC S6</t>
        </is>
      </c>
      <c r="B697" s="54" t="inlineStr">
        <is>
          <t>US</t>
        </is>
      </c>
      <c r="C697" s="54" t="inlineStr">
        <is>
          <t>B0D9QTQGSJ</t>
        </is>
      </c>
      <c r="D697" s="54" t="inlineStr">
        <is>
          <t>SATIN-4PC-TWIN-BABY BLUE</t>
        </is>
      </c>
      <c r="E697" s="54" t="inlineStr">
        <is>
          <t>Twin</t>
        </is>
      </c>
      <c r="F697" s="54" t="inlineStr">
        <is>
          <t>Baby Blue</t>
        </is>
      </c>
      <c r="G697" s="55" t="n">
        <v>31</v>
      </c>
      <c r="H697" s="55" t="n">
        <v>0</v>
      </c>
      <c r="I697" s="56" t="n"/>
      <c r="J697" s="57" t="n">
        <v>0.04</v>
      </c>
      <c r="K697" s="56" t="inlineStr">
        <is>
          <t>account data velocity</t>
        </is>
      </c>
      <c r="L697" s="58" t="n">
        <v>3.076</v>
      </c>
      <c r="M697" s="56" t="inlineStr">
        <is>
          <t>own BFCM 2025 lift (account data)</t>
        </is>
      </c>
      <c r="N697" s="59">
        <f>J697*34+J697*L697*12</f>
        <v/>
      </c>
      <c r="O697" s="59">
        <f>MAX(0,N697-G697-H697)</f>
        <v/>
      </c>
      <c r="P697" s="60">
        <f>IF(J697=0,"",IF(G697&lt;J697*34,DATE(2026,10,15)+G697/J697,IF(G697&lt;N697,DATE(2026,11,18)+(G697-J697*34)/(J697*L697),"after Nov 30")))</f>
        <v/>
      </c>
      <c r="Q697" s="60">
        <f>IF(J697=0,"",IF(G697+H697&lt;J697*34,DATE(2026,10,15)+(G697+H697)/J697,IF(G697+H697&lt;N697,DATE(2026,11,18)+(G697+H697-J697*34)/(J697*L697),"after Nov 30")))</f>
        <v/>
      </c>
      <c r="R697" s="54">
        <f>IF(AND(G697&lt;=0,J697&gt;0),"Out of stock now",IF(G697&gt;=N697,"Covered to Nov 30",IF(G697+H697&gt;=N697,"Needs inbound in time","Short even with inbound")))</f>
        <v/>
      </c>
      <c r="S697" s="57" t="n">
        <v>0.036</v>
      </c>
      <c r="T697" s="59">
        <f>IF(S697="","",S697*34+S697*L697*12)</f>
        <v/>
      </c>
    </row>
    <row r="698">
      <c r="A698" s="54" t="inlineStr">
        <is>
          <t>US DC S6</t>
        </is>
      </c>
      <c r="B698" s="54" t="inlineStr">
        <is>
          <t>US</t>
        </is>
      </c>
      <c r="C698" s="54" t="inlineStr">
        <is>
          <t>B0C7FNXRJF</t>
        </is>
      </c>
      <c r="D698" s="54" t="inlineStr">
        <is>
          <t>SATIN-TAUPE-KING-6PCS</t>
        </is>
      </c>
      <c r="E698" s="54" t="inlineStr">
        <is>
          <t>King</t>
        </is>
      </c>
      <c r="F698" s="54" t="inlineStr">
        <is>
          <t>Taupe</t>
        </is>
      </c>
      <c r="G698" s="55" t="n">
        <v>0</v>
      </c>
      <c r="H698" s="55" t="n">
        <v>0</v>
      </c>
      <c r="I698" s="56" t="n"/>
      <c r="J698" s="57" t="n">
        <v>0.03</v>
      </c>
      <c r="K698" s="56" t="inlineStr">
        <is>
          <t>account data velocity</t>
        </is>
      </c>
      <c r="L698" s="58" t="n">
        <v>3.076</v>
      </c>
      <c r="M698" s="56" t="inlineStr">
        <is>
          <t>own BFCM 2025 lift (account data)</t>
        </is>
      </c>
      <c r="N698" s="59">
        <f>J698*34+J698*L698*12</f>
        <v/>
      </c>
      <c r="O698" s="59">
        <f>MAX(0,N698-G698-H698)</f>
        <v/>
      </c>
      <c r="P698" s="60">
        <f>IF(J698=0,"",IF(G698&lt;J698*34,DATE(2026,10,15)+G698/J698,IF(G698&lt;N698,DATE(2026,11,18)+(G698-J698*34)/(J698*L698),"after Nov 30")))</f>
        <v/>
      </c>
      <c r="Q698" s="60">
        <f>IF(J698=0,"",IF(G698+H698&lt;J698*34,DATE(2026,10,15)+(G698+H698)/J698,IF(G698+H698&lt;N698,DATE(2026,11,18)+(G698+H698-J698*34)/(J698*L698),"after Nov 30")))</f>
        <v/>
      </c>
      <c r="R698" s="54">
        <f>IF(AND(G698&lt;=0,J698&gt;0),"Out of stock now",IF(G698&gt;=N698,"Covered to Nov 30",IF(G698+H698&gt;=N698,"Needs inbound in time","Short even with inbound")))</f>
        <v/>
      </c>
      <c r="S698" s="57" t="n">
        <v>0.036</v>
      </c>
      <c r="T698" s="59">
        <f>IF(S698="","",S698*34+S698*L698*12)</f>
        <v/>
      </c>
    </row>
    <row r="699">
      <c r="A699" s="54" t="inlineStr">
        <is>
          <t>US DC S6</t>
        </is>
      </c>
      <c r="B699" s="54" t="inlineStr">
        <is>
          <t>US</t>
        </is>
      </c>
      <c r="C699" s="54" t="inlineStr">
        <is>
          <t>B0C7FTBBQB</t>
        </is>
      </c>
      <c r="D699" s="54" t="inlineStr">
        <is>
          <t>SATIN-GOLD-FULL-6PCS</t>
        </is>
      </c>
      <c r="E699" s="54" t="inlineStr">
        <is>
          <t>Full</t>
        </is>
      </c>
      <c r="F699" s="54" t="inlineStr">
        <is>
          <t>Gold</t>
        </is>
      </c>
      <c r="G699" s="55" t="n">
        <v>14</v>
      </c>
      <c r="H699" s="55" t="n">
        <v>0</v>
      </c>
      <c r="I699" s="56" t="n"/>
      <c r="J699" s="57" t="n">
        <v>0.02</v>
      </c>
      <c r="K699" s="56" t="inlineStr">
        <is>
          <t>account data velocity</t>
        </is>
      </c>
      <c r="L699" s="58" t="n">
        <v>3.076</v>
      </c>
      <c r="M699" s="56" t="inlineStr">
        <is>
          <t>own BFCM 2025 lift (account data)</t>
        </is>
      </c>
      <c r="N699" s="59">
        <f>J699*34+J699*L699*12</f>
        <v/>
      </c>
      <c r="O699" s="59">
        <f>MAX(0,N699-G699-H699)</f>
        <v/>
      </c>
      <c r="P699" s="60">
        <f>IF(J699=0,"",IF(G699&lt;J699*34,DATE(2026,10,15)+G699/J699,IF(G699&lt;N699,DATE(2026,11,18)+(G699-J699*34)/(J699*L699),"after Nov 30")))</f>
        <v/>
      </c>
      <c r="Q699" s="60">
        <f>IF(J699=0,"",IF(G699+H699&lt;J699*34,DATE(2026,10,15)+(G699+H699)/J699,IF(G699+H699&lt;N699,DATE(2026,11,18)+(G699+H699-J699*34)/(J699*L699),"after Nov 30")))</f>
        <v/>
      </c>
      <c r="R699" s="54">
        <f>IF(AND(G699&lt;=0,J699&gt;0),"Out of stock now",IF(G699&gt;=N699,"Covered to Nov 30",IF(G699+H699&gt;=N699,"Needs inbound in time","Short even with inbound")))</f>
        <v/>
      </c>
      <c r="S699" s="57" t="n">
        <v>0.036</v>
      </c>
      <c r="T699" s="59">
        <f>IF(S699="","",S699*34+S699*L699*12)</f>
        <v/>
      </c>
    </row>
    <row r="700">
      <c r="A700" s="54" t="inlineStr">
        <is>
          <t>US DC S6</t>
        </is>
      </c>
      <c r="B700" s="54" t="inlineStr">
        <is>
          <t>US</t>
        </is>
      </c>
      <c r="C700" s="54" t="inlineStr">
        <is>
          <t>B0C7KB53RJ</t>
        </is>
      </c>
      <c r="D700" s="54" t="inlineStr">
        <is>
          <t>SATIN-STRIPE-FULL-BLACK--6-PCS</t>
        </is>
      </c>
      <c r="E700" s="54" t="inlineStr">
        <is>
          <t>Full</t>
        </is>
      </c>
      <c r="F700" s="54" t="inlineStr">
        <is>
          <t>Striped Black</t>
        </is>
      </c>
      <c r="G700" s="55" t="n">
        <v>10</v>
      </c>
      <c r="H700" s="55" t="n">
        <v>0</v>
      </c>
      <c r="I700" s="56" t="n"/>
      <c r="J700" s="57" t="n">
        <v>0.02</v>
      </c>
      <c r="K700" s="56" t="inlineStr">
        <is>
          <t>account data velocity</t>
        </is>
      </c>
      <c r="L700" s="58" t="n">
        <v>3.076</v>
      </c>
      <c r="M700" s="56" t="inlineStr">
        <is>
          <t>own BFCM 2025 lift (account data)</t>
        </is>
      </c>
      <c r="N700" s="59">
        <f>J700*34+J700*L700*12</f>
        <v/>
      </c>
      <c r="O700" s="59">
        <f>MAX(0,N700-G700-H700)</f>
        <v/>
      </c>
      <c r="P700" s="60">
        <f>IF(J700=0,"",IF(G700&lt;J700*34,DATE(2026,10,15)+G700/J700,IF(G700&lt;N700,DATE(2026,11,18)+(G700-J700*34)/(J700*L700),"after Nov 30")))</f>
        <v/>
      </c>
      <c r="Q700" s="60">
        <f>IF(J700=0,"",IF(G700+H700&lt;J700*34,DATE(2026,10,15)+(G700+H700)/J700,IF(G700+H700&lt;N700,DATE(2026,11,18)+(G700+H700-J700*34)/(J700*L700),"after Nov 30")))</f>
        <v/>
      </c>
      <c r="R700" s="54">
        <f>IF(AND(G700&lt;=0,J700&gt;0),"Out of stock now",IF(G700&gt;=N700,"Covered to Nov 30",IF(G700+H700&gt;=N700,"Needs inbound in time","Short even with inbound")))</f>
        <v/>
      </c>
      <c r="S700" s="57" t="n">
        <v>0.036</v>
      </c>
      <c r="T700" s="59">
        <f>IF(S700="","",S700*34+S700*L700*12)</f>
        <v/>
      </c>
    </row>
    <row r="701">
      <c r="A701" s="54" t="inlineStr">
        <is>
          <t>US DC S6</t>
        </is>
      </c>
      <c r="B701" s="54" t="inlineStr">
        <is>
          <t>US</t>
        </is>
      </c>
      <c r="C701" s="54" t="inlineStr">
        <is>
          <t>B0C7K6CKLC</t>
        </is>
      </c>
      <c r="D701" s="54" t="inlineStr">
        <is>
          <t>SATIN-STRIPE-FULL-BLUE--6-PCS</t>
        </is>
      </c>
      <c r="E701" s="54" t="inlineStr">
        <is>
          <t>Full</t>
        </is>
      </c>
      <c r="F701" s="54" t="inlineStr">
        <is>
          <t>Striped Blue</t>
        </is>
      </c>
      <c r="G701" s="55" t="n">
        <v>5</v>
      </c>
      <c r="H701" s="55" t="n">
        <v>30</v>
      </c>
      <c r="I701" s="56" t="inlineStr">
        <is>
          <t>FBA19RS1HC4F shipped: 6; FBA19RRY6QFT shipped: 6; FBA19RS0N5K2 shipped: 6; FBA19RRYCGHJ shipped: 6; FBA19RRY5FBL shipped: 6</t>
        </is>
      </c>
      <c r="J701" s="57" t="n">
        <v>0.02</v>
      </c>
      <c r="K701" s="56" t="inlineStr">
        <is>
          <t>account data velocity</t>
        </is>
      </c>
      <c r="L701" s="58" t="n">
        <v>3.076</v>
      </c>
      <c r="M701" s="56" t="inlineStr">
        <is>
          <t>own BFCM 2025 lift (account data)</t>
        </is>
      </c>
      <c r="N701" s="59">
        <f>J701*34+J701*L701*12</f>
        <v/>
      </c>
      <c r="O701" s="59">
        <f>MAX(0,N701-G701-H701)</f>
        <v/>
      </c>
      <c r="P701" s="60">
        <f>IF(J701=0,"",IF(G701&lt;J701*34,DATE(2026,10,15)+G701/J701,IF(G701&lt;N701,DATE(2026,11,18)+(G701-J701*34)/(J701*L701),"after Nov 30")))</f>
        <v/>
      </c>
      <c r="Q701" s="60">
        <f>IF(J701=0,"",IF(G701+H701&lt;J701*34,DATE(2026,10,15)+(G701+H701)/J701,IF(G701+H701&lt;N701,DATE(2026,11,18)+(G701+H701-J701*34)/(J701*L701),"after Nov 30")))</f>
        <v/>
      </c>
      <c r="R701" s="54">
        <f>IF(AND(G701&lt;=0,J701&gt;0),"Out of stock now",IF(G701&gt;=N701,"Covered to Nov 30",IF(G701+H701&gt;=N701,"Needs inbound in time","Short even with inbound")))</f>
        <v/>
      </c>
      <c r="S701" s="57" t="n">
        <v>0.036</v>
      </c>
      <c r="T701" s="59">
        <f>IF(S701="","",S701*34+S701*L701*12)</f>
        <v/>
      </c>
    </row>
    <row r="702">
      <c r="A702" s="54" t="inlineStr">
        <is>
          <t>US DC S6</t>
        </is>
      </c>
      <c r="B702" s="54" t="inlineStr">
        <is>
          <t>US</t>
        </is>
      </c>
      <c r="C702" s="54" t="inlineStr">
        <is>
          <t>B0C7K3WWDT</t>
        </is>
      </c>
      <c r="D702" s="54" t="inlineStr">
        <is>
          <t>SATIN-STRIPE-FULL-PURPLE--6-PCS</t>
        </is>
      </c>
      <c r="E702" s="54" t="inlineStr">
        <is>
          <t>Full</t>
        </is>
      </c>
      <c r="F702" s="54" t="inlineStr">
        <is>
          <t>Striped Purple</t>
        </is>
      </c>
      <c r="G702" s="55" t="n">
        <v>23</v>
      </c>
      <c r="H702" s="55" t="n">
        <v>0</v>
      </c>
      <c r="I702" s="56" t="n"/>
      <c r="J702" s="57" t="n">
        <v>0.02</v>
      </c>
      <c r="K702" s="56" t="inlineStr">
        <is>
          <t>account data velocity</t>
        </is>
      </c>
      <c r="L702" s="58" t="n">
        <v>3.076</v>
      </c>
      <c r="M702" s="56" t="inlineStr">
        <is>
          <t>own BFCM 2025 lift (account data)</t>
        </is>
      </c>
      <c r="N702" s="59">
        <f>J702*34+J702*L702*12</f>
        <v/>
      </c>
      <c r="O702" s="59">
        <f>MAX(0,N702-G702-H702)</f>
        <v/>
      </c>
      <c r="P702" s="60">
        <f>IF(J702=0,"",IF(G702&lt;J702*34,DATE(2026,10,15)+G702/J702,IF(G702&lt;N702,DATE(2026,11,18)+(G702-J702*34)/(J702*L702),"after Nov 30")))</f>
        <v/>
      </c>
      <c r="Q702" s="60">
        <f>IF(J702=0,"",IF(G702+H702&lt;J702*34,DATE(2026,10,15)+(G702+H702)/J702,IF(G702+H702&lt;N702,DATE(2026,11,18)+(G702+H702-J702*34)/(J702*L702),"after Nov 30")))</f>
        <v/>
      </c>
      <c r="R702" s="54">
        <f>IF(AND(G702&lt;=0,J702&gt;0),"Out of stock now",IF(G702&gt;=N702,"Covered to Nov 30",IF(G702+H702&gt;=N702,"Needs inbound in time","Short even with inbound")))</f>
        <v/>
      </c>
      <c r="S702" s="57" t="n">
        <v>0.036</v>
      </c>
      <c r="T702" s="59">
        <f>IF(S702="","",S702*34+S702*L702*12)</f>
        <v/>
      </c>
    </row>
    <row r="703">
      <c r="A703" s="54" t="inlineStr">
        <is>
          <t>US DC S6</t>
        </is>
      </c>
      <c r="B703" s="54" t="inlineStr">
        <is>
          <t>US</t>
        </is>
      </c>
      <c r="C703" s="54" t="inlineStr">
        <is>
          <t>B0C7FXTXLD</t>
        </is>
      </c>
      <c r="D703" s="54" t="inlineStr">
        <is>
          <t>SATIN-GOLD-TWIN-6PCS</t>
        </is>
      </c>
      <c r="E703" s="54" t="inlineStr">
        <is>
          <t>Twin</t>
        </is>
      </c>
      <c r="F703" s="54" t="inlineStr">
        <is>
          <t>Gold</t>
        </is>
      </c>
      <c r="G703" s="55" t="n">
        <v>48</v>
      </c>
      <c r="H703" s="55" t="n">
        <v>0</v>
      </c>
      <c r="I703" s="56" t="n"/>
      <c r="J703" s="57" t="n">
        <v>0.02</v>
      </c>
      <c r="K703" s="56" t="inlineStr">
        <is>
          <t>account data velocity</t>
        </is>
      </c>
      <c r="L703" s="58" t="n">
        <v>3.076</v>
      </c>
      <c r="M703" s="56" t="inlineStr">
        <is>
          <t>own BFCM 2025 lift (account data)</t>
        </is>
      </c>
      <c r="N703" s="59">
        <f>J703*34+J703*L703*12</f>
        <v/>
      </c>
      <c r="O703" s="59">
        <f>MAX(0,N703-G703-H703)</f>
        <v/>
      </c>
      <c r="P703" s="60">
        <f>IF(J703=0,"",IF(G703&lt;J703*34,DATE(2026,10,15)+G703/J703,IF(G703&lt;N703,DATE(2026,11,18)+(G703-J703*34)/(J703*L703),"after Nov 30")))</f>
        <v/>
      </c>
      <c r="Q703" s="60">
        <f>IF(J703=0,"",IF(G703+H703&lt;J703*34,DATE(2026,10,15)+(G703+H703)/J703,IF(G703+H703&lt;N703,DATE(2026,11,18)+(G703+H703-J703*34)/(J703*L703),"after Nov 30")))</f>
        <v/>
      </c>
      <c r="R703" s="54">
        <f>IF(AND(G703&lt;=0,J703&gt;0),"Out of stock now",IF(G703&gt;=N703,"Covered to Nov 30",IF(G703+H703&gt;=N703,"Needs inbound in time","Short even with inbound")))</f>
        <v/>
      </c>
      <c r="S703" s="57" t="n">
        <v>0.036</v>
      </c>
      <c r="T703" s="59">
        <f>IF(S703="","",S703*34+S703*L703*12)</f>
        <v/>
      </c>
    </row>
    <row r="704">
      <c r="A704" s="54" t="inlineStr">
        <is>
          <t>US DC S6</t>
        </is>
      </c>
      <c r="B704" s="54" t="inlineStr">
        <is>
          <t>US</t>
        </is>
      </c>
      <c r="C704" s="54" t="inlineStr">
        <is>
          <t>B0D9QRNBSH</t>
        </is>
      </c>
      <c r="D704" s="54" t="inlineStr">
        <is>
          <t>SATIN-6PC-FULL-BURNT ORANGE</t>
        </is>
      </c>
      <c r="E704" s="54" t="inlineStr">
        <is>
          <t>Full</t>
        </is>
      </c>
      <c r="F704" s="54" t="inlineStr">
        <is>
          <t>Burnt Orange</t>
        </is>
      </c>
      <c r="G704" s="55" t="n">
        <v>20</v>
      </c>
      <c r="H704" s="55" t="n">
        <v>3</v>
      </c>
      <c r="I704" s="56" t="inlineStr">
        <is>
          <t>FBA19M151HCM receiving: 3</t>
        </is>
      </c>
      <c r="J704" s="57" t="n">
        <v>0.02</v>
      </c>
      <c r="K704" s="56" t="inlineStr">
        <is>
          <t>account data velocity</t>
        </is>
      </c>
      <c r="L704" s="58" t="n">
        <v>3.076</v>
      </c>
      <c r="M704" s="56" t="inlineStr">
        <is>
          <t>own BFCM 2025 lift (account data)</t>
        </is>
      </c>
      <c r="N704" s="59">
        <f>J704*34+J704*L704*12</f>
        <v/>
      </c>
      <c r="O704" s="59">
        <f>MAX(0,N704-G704-H704)</f>
        <v/>
      </c>
      <c r="P704" s="60">
        <f>IF(J704=0,"",IF(G704&lt;J704*34,DATE(2026,10,15)+G704/J704,IF(G704&lt;N704,DATE(2026,11,18)+(G704-J704*34)/(J704*L704),"after Nov 30")))</f>
        <v/>
      </c>
      <c r="Q704" s="60">
        <f>IF(J704=0,"",IF(G704+H704&lt;J704*34,DATE(2026,10,15)+(G704+H704)/J704,IF(G704+H704&lt;N704,DATE(2026,11,18)+(G704+H704-J704*34)/(J704*L704),"after Nov 30")))</f>
        <v/>
      </c>
      <c r="R704" s="54">
        <f>IF(AND(G704&lt;=0,J704&gt;0),"Out of stock now",IF(G704&gt;=N704,"Covered to Nov 30",IF(G704+H704&gt;=N704,"Needs inbound in time","Short even with inbound")))</f>
        <v/>
      </c>
      <c r="S704" s="57" t="n">
        <v>0</v>
      </c>
      <c r="T704" s="59">
        <f>IF(S704="","",S704*34+S704*L704*12)</f>
        <v/>
      </c>
    </row>
    <row r="705">
      <c r="A705" s="54" t="inlineStr">
        <is>
          <t>US DC S6</t>
        </is>
      </c>
      <c r="B705" s="54" t="inlineStr">
        <is>
          <t>US</t>
        </is>
      </c>
      <c r="C705" s="54" t="inlineStr">
        <is>
          <t>B0C7JVQWDH</t>
        </is>
      </c>
      <c r="D705" s="54" t="inlineStr">
        <is>
          <t>SATIN-STRIPE-TWIN-BLUE--6-PCS</t>
        </is>
      </c>
      <c r="E705" s="54" t="inlineStr">
        <is>
          <t>Twin</t>
        </is>
      </c>
      <c r="F705" s="54" t="inlineStr">
        <is>
          <t>Striped Blue</t>
        </is>
      </c>
      <c r="G705" s="55" t="n">
        <v>13</v>
      </c>
      <c r="H705" s="55" t="n">
        <v>0</v>
      </c>
      <c r="I705" s="56" t="n"/>
      <c r="J705" s="57" t="n">
        <v>0.02</v>
      </c>
      <c r="K705" s="56" t="inlineStr">
        <is>
          <t>account data velocity</t>
        </is>
      </c>
      <c r="L705" s="58" t="n">
        <v>3.076</v>
      </c>
      <c r="M705" s="56" t="inlineStr">
        <is>
          <t>own BFCM 2025 lift (account data)</t>
        </is>
      </c>
      <c r="N705" s="59">
        <f>J705*34+J705*L705*12</f>
        <v/>
      </c>
      <c r="O705" s="59">
        <f>MAX(0,N705-G705-H705)</f>
        <v/>
      </c>
      <c r="P705" s="60">
        <f>IF(J705=0,"",IF(G705&lt;J705*34,DATE(2026,10,15)+G705/J705,IF(G705&lt;N705,DATE(2026,11,18)+(G705-J705*34)/(J705*L705),"after Nov 30")))</f>
        <v/>
      </c>
      <c r="Q705" s="60">
        <f>IF(J705=0,"",IF(G705+H705&lt;J705*34,DATE(2026,10,15)+(G705+H705)/J705,IF(G705+H705&lt;N705,DATE(2026,11,18)+(G705+H705-J705*34)/(J705*L705),"after Nov 30")))</f>
        <v/>
      </c>
      <c r="R705" s="54">
        <f>IF(AND(G705&lt;=0,J705&gt;0),"Out of stock now",IF(G705&gt;=N705,"Covered to Nov 30",IF(G705+H705&gt;=N705,"Needs inbound in time","Short even with inbound")))</f>
        <v/>
      </c>
      <c r="S705" s="57" t="n">
        <v>0</v>
      </c>
      <c r="T705" s="59">
        <f>IF(S705="","",S705*34+S705*L705*12)</f>
        <v/>
      </c>
    </row>
    <row r="706">
      <c r="A706" s="54" t="inlineStr">
        <is>
          <t>US DC S6</t>
        </is>
      </c>
      <c r="B706" s="54" t="inlineStr">
        <is>
          <t>US</t>
        </is>
      </c>
      <c r="C706" s="54" t="inlineStr">
        <is>
          <t>B0C7K62XCT</t>
        </is>
      </c>
      <c r="D706" s="54" t="inlineStr">
        <is>
          <t>SATIN-STRIPE-TWIN-GRAY--6-PCS</t>
        </is>
      </c>
      <c r="E706" s="54" t="inlineStr">
        <is>
          <t>Twin</t>
        </is>
      </c>
      <c r="F706" s="54" t="inlineStr">
        <is>
          <t>Striped Grey</t>
        </is>
      </c>
      <c r="G706" s="55" t="n">
        <v>20</v>
      </c>
      <c r="H706" s="55" t="n">
        <v>0</v>
      </c>
      <c r="I706" s="56" t="n"/>
      <c r="J706" s="57" t="n">
        <v>0.02</v>
      </c>
      <c r="K706" s="56" t="inlineStr">
        <is>
          <t>account data velocity</t>
        </is>
      </c>
      <c r="L706" s="58" t="n">
        <v>3.076</v>
      </c>
      <c r="M706" s="56" t="inlineStr">
        <is>
          <t>own BFCM 2025 lift (account data)</t>
        </is>
      </c>
      <c r="N706" s="59">
        <f>J706*34+J706*L706*12</f>
        <v/>
      </c>
      <c r="O706" s="59">
        <f>MAX(0,N706-G706-H706)</f>
        <v/>
      </c>
      <c r="P706" s="60">
        <f>IF(J706=0,"",IF(G706&lt;J706*34,DATE(2026,10,15)+G706/J706,IF(G706&lt;N706,DATE(2026,11,18)+(G706-J706*34)/(J706*L706),"after Nov 30")))</f>
        <v/>
      </c>
      <c r="Q706" s="60">
        <f>IF(J706=0,"",IF(G706+H706&lt;J706*34,DATE(2026,10,15)+(G706+H706)/J706,IF(G706+H706&lt;N706,DATE(2026,11,18)+(G706+H706-J706*34)/(J706*L706),"after Nov 30")))</f>
        <v/>
      </c>
      <c r="R706" s="54">
        <f>IF(AND(G706&lt;=0,J706&gt;0),"Out of stock now",IF(G706&gt;=N706,"Covered to Nov 30",IF(G706+H706&gt;=N706,"Needs inbound in time","Short even with inbound")))</f>
        <v/>
      </c>
      <c r="S706" s="57" t="n">
        <v>0</v>
      </c>
      <c r="T706" s="59">
        <f>IF(S706="","",S706*34+S706*L706*12)</f>
        <v/>
      </c>
    </row>
    <row r="707">
      <c r="A707" s="54" t="inlineStr">
        <is>
          <t>US DC S6</t>
        </is>
      </c>
      <c r="B707" s="54" t="inlineStr">
        <is>
          <t>US</t>
        </is>
      </c>
      <c r="C707" s="54" t="inlineStr">
        <is>
          <t>B0D9R9B1VT</t>
        </is>
      </c>
      <c r="D707" s="54" t="inlineStr">
        <is>
          <t>SATIN-6PC-FULL-WHITE</t>
        </is>
      </c>
      <c r="E707" s="54" t="inlineStr">
        <is>
          <t>Full</t>
        </is>
      </c>
      <c r="F707" s="54" t="inlineStr">
        <is>
          <t>White</t>
        </is>
      </c>
      <c r="G707" s="55" t="n">
        <v>70</v>
      </c>
      <c r="H707" s="55" t="n">
        <v>18</v>
      </c>
      <c r="I707" s="56" t="inlineStr">
        <is>
          <t>FBA19N82086K ready to ship: 6; FBA19N7WSG18 in transit: 6; FBA19N7RP6W7 in transit: 6; FBA19N7RQF4Q ready to ship: 6</t>
        </is>
      </c>
      <c r="J707" s="57" t="n">
        <v>0.01</v>
      </c>
      <c r="K707" s="56" t="inlineStr">
        <is>
          <t>account data velocity</t>
        </is>
      </c>
      <c r="L707" s="58" t="n">
        <v>3.076</v>
      </c>
      <c r="M707" s="56" t="inlineStr">
        <is>
          <t>own BFCM 2025 lift (account data)</t>
        </is>
      </c>
      <c r="N707" s="59">
        <f>J707*34+J707*L707*12</f>
        <v/>
      </c>
      <c r="O707" s="59">
        <f>MAX(0,N707-G707-H707)</f>
        <v/>
      </c>
      <c r="P707" s="60">
        <f>IF(J707=0,"",IF(G707&lt;J707*34,DATE(2026,10,15)+G707/J707,IF(G707&lt;N707,DATE(2026,11,18)+(G707-J707*34)/(J707*L707),"after Nov 30")))</f>
        <v/>
      </c>
      <c r="Q707" s="60">
        <f>IF(J707=0,"",IF(G707+H707&lt;J707*34,DATE(2026,10,15)+(G707+H707)/J707,IF(G707+H707&lt;N707,DATE(2026,11,18)+(G707+H707-J707*34)/(J707*L707),"after Nov 30")))</f>
        <v/>
      </c>
      <c r="R707" s="54">
        <f>IF(AND(G707&lt;=0,J707&gt;0),"Out of stock now",IF(G707&gt;=N707,"Covered to Nov 30",IF(G707+H707&gt;=N707,"Needs inbound in time","Short even with inbound")))</f>
        <v/>
      </c>
      <c r="S707" s="57" t="n">
        <v>0</v>
      </c>
      <c r="T707" s="59">
        <f>IF(S707="","",S707*34+S707*L707*12)</f>
        <v/>
      </c>
    </row>
    <row r="708">
      <c r="A708" s="54" t="inlineStr">
        <is>
          <t>US DC S6</t>
        </is>
      </c>
      <c r="B708" s="54" t="inlineStr">
        <is>
          <t>US</t>
        </is>
      </c>
      <c r="C708" s="54" t="inlineStr">
        <is>
          <t>B0C7K7NCKW</t>
        </is>
      </c>
      <c r="D708" s="54" t="inlineStr">
        <is>
          <t>SATIN-STRIPE-FULL-GRAY--6-PCS</t>
        </is>
      </c>
      <c r="E708" s="54" t="inlineStr">
        <is>
          <t>Full</t>
        </is>
      </c>
      <c r="F708" s="54" t="inlineStr">
        <is>
          <t>Striped Grey</t>
        </is>
      </c>
      <c r="G708" s="55" t="n">
        <v>5</v>
      </c>
      <c r="H708" s="55" t="n">
        <v>0</v>
      </c>
      <c r="I708" s="56" t="inlineStr">
        <is>
          <t>FBA19SV5KWMR ready to ship: 18</t>
        </is>
      </c>
      <c r="J708" s="57" t="n">
        <v>0</v>
      </c>
      <c r="K708" s="56" t="inlineStr">
        <is>
          <t>account data velocity</t>
        </is>
      </c>
      <c r="L708" s="58" t="n">
        <v>3.076</v>
      </c>
      <c r="M708" s="56" t="inlineStr">
        <is>
          <t>own BFCM 2025 lift (account data)</t>
        </is>
      </c>
      <c r="N708" s="59">
        <f>J708*34+J708*L708*12</f>
        <v/>
      </c>
      <c r="O708" s="59">
        <f>MAX(0,N708-G708-H708)</f>
        <v/>
      </c>
      <c r="P708" s="60">
        <f>IF(J708=0,"",IF(G708&lt;J708*34,DATE(2026,10,15)+G708/J708,IF(G708&lt;N708,DATE(2026,11,18)+(G708-J708*34)/(J708*L708),"after Nov 30")))</f>
        <v/>
      </c>
      <c r="Q708" s="60">
        <f>IF(J708=0,"",IF(G708+H708&lt;J708*34,DATE(2026,10,15)+(G708+H708)/J708,IF(G708+H708&lt;N708,DATE(2026,11,18)+(G708+H708-J708*34)/(J708*L708),"after Nov 30")))</f>
        <v/>
      </c>
      <c r="R708" s="54">
        <f>IF(AND(G708&lt;=0,J708&gt;0),"Out of stock now",IF(G708&gt;=N708,"Covered to Nov 30",IF(G708+H708&gt;=N708,"Needs inbound in time","Short even with inbound")))</f>
        <v/>
      </c>
      <c r="S708" s="57" t="n">
        <v>0</v>
      </c>
      <c r="T708" s="59">
        <f>IF(S708="","",S708*34+S708*L708*12)</f>
        <v/>
      </c>
    </row>
    <row r="709">
      <c r="A709" s="54" t="inlineStr">
        <is>
          <t>US DC S6</t>
        </is>
      </c>
      <c r="B709" s="54" t="inlineStr">
        <is>
          <t>US</t>
        </is>
      </c>
      <c r="C709" s="54" t="inlineStr">
        <is>
          <t>B0C7FHXP11</t>
        </is>
      </c>
      <c r="D709" s="54" t="inlineStr">
        <is>
          <t>SATIN-TAUPE-FULL-6PCS</t>
        </is>
      </c>
      <c r="E709" s="54" t="inlineStr">
        <is>
          <t>Full</t>
        </is>
      </c>
      <c r="F709" s="54" t="inlineStr">
        <is>
          <t>Taupe</t>
        </is>
      </c>
      <c r="G709" s="55" t="n">
        <v>13</v>
      </c>
      <c r="H709" s="55" t="n">
        <v>0</v>
      </c>
      <c r="I709" s="56" t="n"/>
      <c r="J709" s="57" t="n">
        <v>0</v>
      </c>
      <c r="K709" s="56" t="inlineStr">
        <is>
          <t>account data velocity</t>
        </is>
      </c>
      <c r="L709" s="58" t="n">
        <v>3.076</v>
      </c>
      <c r="M709" s="56" t="inlineStr">
        <is>
          <t>own BFCM 2025 lift (account data)</t>
        </is>
      </c>
      <c r="N709" s="59">
        <f>J709*34+J709*L709*12</f>
        <v/>
      </c>
      <c r="O709" s="59">
        <f>MAX(0,N709-G709-H709)</f>
        <v/>
      </c>
      <c r="P709" s="60">
        <f>IF(J709=0,"",IF(G709&lt;J709*34,DATE(2026,10,15)+G709/J709,IF(G709&lt;N709,DATE(2026,11,18)+(G709-J709*34)/(J709*L709),"after Nov 30")))</f>
        <v/>
      </c>
      <c r="Q709" s="60">
        <f>IF(J709=0,"",IF(G709+H709&lt;J709*34,DATE(2026,10,15)+(G709+H709)/J709,IF(G709+H709&lt;N709,DATE(2026,11,18)+(G709+H709-J709*34)/(J709*L709),"after Nov 30")))</f>
        <v/>
      </c>
      <c r="R709" s="54">
        <f>IF(AND(G709&lt;=0,J709&gt;0),"Out of stock now",IF(G709&gt;=N709,"Covered to Nov 30",IF(G709+H709&gt;=N709,"Needs inbound in time","Short even with inbound")))</f>
        <v/>
      </c>
      <c r="S709" s="57" t="n">
        <v>0</v>
      </c>
      <c r="T709" s="59">
        <f>IF(S709="","",S709*34+S709*L709*12)</f>
        <v/>
      </c>
    </row>
    <row r="710">
      <c r="A710" s="54" t="inlineStr">
        <is>
          <t>US DC S6</t>
        </is>
      </c>
      <c r="B710" s="54" t="inlineStr">
        <is>
          <t>US</t>
        </is>
      </c>
      <c r="C710" s="54" t="inlineStr">
        <is>
          <t>B0C7K2LV1N</t>
        </is>
      </c>
      <c r="D710" s="54" t="inlineStr">
        <is>
          <t>SATIN-STRIPE-KING-PINK--6-PCS</t>
        </is>
      </c>
      <c r="E710" s="54" t="inlineStr">
        <is>
          <t>King</t>
        </is>
      </c>
      <c r="F710" s="54" t="inlineStr">
        <is>
          <t>Striped Pink</t>
        </is>
      </c>
      <c r="G710" s="55" t="n">
        <v>1</v>
      </c>
      <c r="H710" s="55" t="n">
        <v>0</v>
      </c>
      <c r="I710" s="56" t="n"/>
      <c r="J710" s="57" t="n">
        <v>0</v>
      </c>
      <c r="K710" s="56" t="inlineStr">
        <is>
          <t>account data velocity</t>
        </is>
      </c>
      <c r="L710" s="58" t="n">
        <v>3.076</v>
      </c>
      <c r="M710" s="56" t="inlineStr">
        <is>
          <t>own BFCM 2025 lift (account data)</t>
        </is>
      </c>
      <c r="N710" s="59">
        <f>J710*34+J710*L710*12</f>
        <v/>
      </c>
      <c r="O710" s="59">
        <f>MAX(0,N710-G710-H710)</f>
        <v/>
      </c>
      <c r="P710" s="60">
        <f>IF(J710=0,"",IF(G710&lt;J710*34,DATE(2026,10,15)+G710/J710,IF(G710&lt;N710,DATE(2026,11,18)+(G710-J710*34)/(J710*L710),"after Nov 30")))</f>
        <v/>
      </c>
      <c r="Q710" s="60">
        <f>IF(J710=0,"",IF(G710+H710&lt;J710*34,DATE(2026,10,15)+(G710+H710)/J710,IF(G710+H710&lt;N710,DATE(2026,11,18)+(G710+H710-J710*34)/(J710*L710),"after Nov 30")))</f>
        <v/>
      </c>
      <c r="R710" s="54">
        <f>IF(AND(G710&lt;=0,J710&gt;0),"Out of stock now",IF(G710&gt;=N710,"Covered to Nov 30",IF(G710+H710&gt;=N710,"Needs inbound in time","Short even with inbound")))</f>
        <v/>
      </c>
      <c r="S710" s="57" t="n"/>
      <c r="T710" s="59">
        <f>IF(S710="","",S710*34+S710*L710*12)</f>
        <v/>
      </c>
    </row>
    <row r="711">
      <c r="A711" s="54" t="inlineStr">
        <is>
          <t>US DC S6</t>
        </is>
      </c>
      <c r="B711" s="54" t="inlineStr">
        <is>
          <t>US</t>
        </is>
      </c>
      <c r="C711" s="54" t="inlineStr">
        <is>
          <t>B0D9QSQ8W7</t>
        </is>
      </c>
      <c r="D711" s="54" t="inlineStr">
        <is>
          <t>SATIN-4PC-TWIN-BURNT ORANGE</t>
        </is>
      </c>
      <c r="E711" s="54" t="inlineStr">
        <is>
          <t>Twin</t>
        </is>
      </c>
      <c r="F711" s="54" t="inlineStr">
        <is>
          <t>Burnt Orange</t>
        </is>
      </c>
      <c r="G711" s="55" t="n">
        <v>31</v>
      </c>
      <c r="H711" s="55" t="n">
        <v>0</v>
      </c>
      <c r="I711" s="56" t="n"/>
      <c r="J711" s="57" t="n">
        <v>0</v>
      </c>
      <c r="K711" s="56" t="inlineStr">
        <is>
          <t>account data velocity</t>
        </is>
      </c>
      <c r="L711" s="58" t="n">
        <v>3.076</v>
      </c>
      <c r="M711" s="56" t="inlineStr">
        <is>
          <t>own BFCM 2025 lift (account data)</t>
        </is>
      </c>
      <c r="N711" s="59">
        <f>J711*34+J711*L711*12</f>
        <v/>
      </c>
      <c r="O711" s="59">
        <f>MAX(0,N711-G711-H711)</f>
        <v/>
      </c>
      <c r="P711" s="60">
        <f>IF(J711=0,"",IF(G711&lt;J711*34,DATE(2026,10,15)+G711/J711,IF(G711&lt;N711,DATE(2026,11,18)+(G711-J711*34)/(J711*L711),"after Nov 30")))</f>
        <v/>
      </c>
      <c r="Q711" s="60">
        <f>IF(J711=0,"",IF(G711+H711&lt;J711*34,DATE(2026,10,15)+(G711+H711)/J711,IF(G711+H711&lt;N711,DATE(2026,11,18)+(G711+H711-J711*34)/(J711*L711),"after Nov 30")))</f>
        <v/>
      </c>
      <c r="R711" s="54">
        <f>IF(AND(G711&lt;=0,J711&gt;0),"Out of stock now",IF(G711&gt;=N711,"Covered to Nov 30",IF(G711+H711&gt;=N711,"Needs inbound in time","Short even with inbound")))</f>
        <v/>
      </c>
      <c r="S711" s="57" t="n">
        <v>0</v>
      </c>
      <c r="T711" s="59">
        <f>IF(S711="","",S711*34+S711*L711*12)</f>
        <v/>
      </c>
    </row>
    <row r="712">
      <c r="A712" s="54" t="inlineStr">
        <is>
          <t>US DC S6</t>
        </is>
      </c>
      <c r="B712" s="54" t="inlineStr">
        <is>
          <t>US</t>
        </is>
      </c>
      <c r="C712" s="54" t="inlineStr">
        <is>
          <t>B0C7FLZ6S8</t>
        </is>
      </c>
      <c r="D712" s="54" t="inlineStr">
        <is>
          <t>SATIN-CHAMPAGNE-TWIN-6PCS</t>
        </is>
      </c>
      <c r="E712" s="54" t="inlineStr">
        <is>
          <t>Twin</t>
        </is>
      </c>
      <c r="F712" s="54" t="inlineStr">
        <is>
          <t>Champagne</t>
        </is>
      </c>
      <c r="G712" s="55" t="n">
        <v>2</v>
      </c>
      <c r="H712" s="55" t="n">
        <v>0</v>
      </c>
      <c r="I712" s="56" t="n"/>
      <c r="J712" s="57" t="n">
        <v>0</v>
      </c>
      <c r="K712" s="56" t="inlineStr">
        <is>
          <t>account data velocity</t>
        </is>
      </c>
      <c r="L712" s="58" t="n">
        <v>3.076</v>
      </c>
      <c r="M712" s="56" t="inlineStr">
        <is>
          <t>own BFCM 2025 lift (account data)</t>
        </is>
      </c>
      <c r="N712" s="59">
        <f>J712*34+J712*L712*12</f>
        <v/>
      </c>
      <c r="O712" s="59">
        <f>MAX(0,N712-G712-H712)</f>
        <v/>
      </c>
      <c r="P712" s="60">
        <f>IF(J712=0,"",IF(G712&lt;J712*34,DATE(2026,10,15)+G712/J712,IF(G712&lt;N712,DATE(2026,11,18)+(G712-J712*34)/(J712*L712),"after Nov 30")))</f>
        <v/>
      </c>
      <c r="Q712" s="60">
        <f>IF(J712=0,"",IF(G712+H712&lt;J712*34,DATE(2026,10,15)+(G712+H712)/J712,IF(G712+H712&lt;N712,DATE(2026,11,18)+(G712+H712-J712*34)/(J712*L712),"after Nov 30")))</f>
        <v/>
      </c>
      <c r="R712" s="54">
        <f>IF(AND(G712&lt;=0,J712&gt;0),"Out of stock now",IF(G712&gt;=N712,"Covered to Nov 30",IF(G712+H712&gt;=N712,"Needs inbound in time","Short even with inbound")))</f>
        <v/>
      </c>
      <c r="S712" s="57" t="n">
        <v>0</v>
      </c>
      <c r="T712" s="59">
        <f>IF(S712="","",S712*34+S712*L712*12)</f>
        <v/>
      </c>
    </row>
    <row r="713">
      <c r="A713" s="54" t="inlineStr">
        <is>
          <t>US DC S6</t>
        </is>
      </c>
      <c r="B713" s="54" t="inlineStr">
        <is>
          <t>US</t>
        </is>
      </c>
      <c r="C713" s="54" t="inlineStr">
        <is>
          <t>B0D9QRPTXQ</t>
        </is>
      </c>
      <c r="D713" s="54" t="inlineStr">
        <is>
          <t>SATIN-4PC-TWIN-DARK GREEN</t>
        </is>
      </c>
      <c r="E713" s="54" t="inlineStr">
        <is>
          <t>Twin</t>
        </is>
      </c>
      <c r="F713" s="54" t="inlineStr">
        <is>
          <t>Dark Green</t>
        </is>
      </c>
      <c r="G713" s="55" t="n">
        <v>20</v>
      </c>
      <c r="H713" s="55" t="n">
        <v>0</v>
      </c>
      <c r="I713" s="56" t="n"/>
      <c r="J713" s="57" t="n">
        <v>0</v>
      </c>
      <c r="K713" s="56" t="inlineStr">
        <is>
          <t>account data velocity</t>
        </is>
      </c>
      <c r="L713" s="58" t="n">
        <v>3.076</v>
      </c>
      <c r="M713" s="56" t="inlineStr">
        <is>
          <t>own BFCM 2025 lift (account data)</t>
        </is>
      </c>
      <c r="N713" s="59">
        <f>J713*34+J713*L713*12</f>
        <v/>
      </c>
      <c r="O713" s="59">
        <f>MAX(0,N713-G713-H713)</f>
        <v/>
      </c>
      <c r="P713" s="60">
        <f>IF(J713=0,"",IF(G713&lt;J713*34,DATE(2026,10,15)+G713/J713,IF(G713&lt;N713,DATE(2026,11,18)+(G713-J713*34)/(J713*L713),"after Nov 30")))</f>
        <v/>
      </c>
      <c r="Q713" s="60">
        <f>IF(J713=0,"",IF(G713+H713&lt;J713*34,DATE(2026,10,15)+(G713+H713)/J713,IF(G713+H713&lt;N713,DATE(2026,11,18)+(G713+H713-J713*34)/(J713*L713),"after Nov 30")))</f>
        <v/>
      </c>
      <c r="R713" s="54">
        <f>IF(AND(G713&lt;=0,J713&gt;0),"Out of stock now",IF(G713&gt;=N713,"Covered to Nov 30",IF(G713+H713&gt;=N713,"Needs inbound in time","Short even with inbound")))</f>
        <v/>
      </c>
      <c r="S713" s="57" t="n">
        <v>0</v>
      </c>
      <c r="T713" s="59">
        <f>IF(S713="","",S713*34+S713*L713*12)</f>
        <v/>
      </c>
    </row>
    <row r="714">
      <c r="A714" s="54" t="inlineStr">
        <is>
          <t>US DC S6</t>
        </is>
      </c>
      <c r="B714" s="54" t="inlineStr">
        <is>
          <t>US</t>
        </is>
      </c>
      <c r="C714" s="54" t="inlineStr">
        <is>
          <t>B0C7KB2CR6</t>
        </is>
      </c>
      <c r="D714" s="54" t="inlineStr">
        <is>
          <t>SATIN-STRIPE-TWIN-PINK--6-PCS</t>
        </is>
      </c>
      <c r="E714" s="54" t="inlineStr">
        <is>
          <t>Twin</t>
        </is>
      </c>
      <c r="F714" s="54" t="inlineStr">
        <is>
          <t>Striped Pink</t>
        </is>
      </c>
      <c r="G714" s="55" t="n">
        <v>30</v>
      </c>
      <c r="H714" s="55" t="n">
        <v>0</v>
      </c>
      <c r="I714" s="56" t="n"/>
      <c r="J714" s="57" t="n">
        <v>0</v>
      </c>
      <c r="K714" s="56" t="inlineStr">
        <is>
          <t>account data velocity</t>
        </is>
      </c>
      <c r="L714" s="58" t="n">
        <v>3.076</v>
      </c>
      <c r="M714" s="56" t="inlineStr">
        <is>
          <t>own BFCM 2025 lift (account data)</t>
        </is>
      </c>
      <c r="N714" s="59">
        <f>J714*34+J714*L714*12</f>
        <v/>
      </c>
      <c r="O714" s="59">
        <f>MAX(0,N714-G714-H714)</f>
        <v/>
      </c>
      <c r="P714" s="60">
        <f>IF(J714=0,"",IF(G714&lt;J714*34,DATE(2026,10,15)+G714/J714,IF(G714&lt;N714,DATE(2026,11,18)+(G714-J714*34)/(J714*L714),"after Nov 30")))</f>
        <v/>
      </c>
      <c r="Q714" s="60">
        <f>IF(J714=0,"",IF(G714+H714&lt;J714*34,DATE(2026,10,15)+(G714+H714)/J714,IF(G714+H714&lt;N714,DATE(2026,11,18)+(G714+H714-J714*34)/(J714*L714),"after Nov 30")))</f>
        <v/>
      </c>
      <c r="R714" s="54">
        <f>IF(AND(G714&lt;=0,J714&gt;0),"Out of stock now",IF(G714&gt;=N714,"Covered to Nov 30",IF(G714+H714&gt;=N714,"Needs inbound in time","Short even with inbound")))</f>
        <v/>
      </c>
      <c r="S714" s="57" t="n">
        <v>0</v>
      </c>
      <c r="T714" s="59">
        <f>IF(S714="","",S714*34+S714*L714*12)</f>
        <v/>
      </c>
    </row>
    <row r="715">
      <c r="A715" s="54" t="inlineStr">
        <is>
          <t>US DC S6</t>
        </is>
      </c>
      <c r="B715" s="54" t="inlineStr">
        <is>
          <t>US</t>
        </is>
      </c>
      <c r="C715" s="54" t="inlineStr">
        <is>
          <t>B0C7JQ5MZY</t>
        </is>
      </c>
      <c r="D715" s="54" t="inlineStr">
        <is>
          <t>SATIN-STRIPE-TWIN-RED--6-PCS</t>
        </is>
      </c>
      <c r="E715" s="54" t="inlineStr">
        <is>
          <t>Twin</t>
        </is>
      </c>
      <c r="F715" s="54" t="inlineStr">
        <is>
          <t>Striped Red</t>
        </is>
      </c>
      <c r="G715" s="55" t="n">
        <v>16</v>
      </c>
      <c r="H715" s="55" t="n">
        <v>0</v>
      </c>
      <c r="I715" s="56" t="n"/>
      <c r="J715" s="57" t="n">
        <v>0</v>
      </c>
      <c r="K715" s="56" t="inlineStr">
        <is>
          <t>account data velocity</t>
        </is>
      </c>
      <c r="L715" s="58" t="n">
        <v>3.076</v>
      </c>
      <c r="M715" s="56" t="inlineStr">
        <is>
          <t>own BFCM 2025 lift (account data)</t>
        </is>
      </c>
      <c r="N715" s="59">
        <f>J715*34+J715*L715*12</f>
        <v/>
      </c>
      <c r="O715" s="59">
        <f>MAX(0,N715-G715-H715)</f>
        <v/>
      </c>
      <c r="P715" s="60">
        <f>IF(J715=0,"",IF(G715&lt;J715*34,DATE(2026,10,15)+G715/J715,IF(G715&lt;N715,DATE(2026,11,18)+(G715-J715*34)/(J715*L715),"after Nov 30")))</f>
        <v/>
      </c>
      <c r="Q715" s="60">
        <f>IF(J715=0,"",IF(G715+H715&lt;J715*34,DATE(2026,10,15)+(G715+H715)/J715,IF(G715+H715&lt;N715,DATE(2026,11,18)+(G715+H715-J715*34)/(J715*L715),"after Nov 30")))</f>
        <v/>
      </c>
      <c r="R715" s="54">
        <f>IF(AND(G715&lt;=0,J715&gt;0),"Out of stock now",IF(G715&gt;=N715,"Covered to Nov 30",IF(G715+H715&gt;=N715,"Needs inbound in time","Short even with inbound")))</f>
        <v/>
      </c>
      <c r="S715" s="57" t="n">
        <v>0</v>
      </c>
      <c r="T715" s="59">
        <f>IF(S715="","",S715*34+S715*L715*12)</f>
        <v/>
      </c>
    </row>
    <row r="716">
      <c r="A716" s="54" t="inlineStr">
        <is>
          <t>US DC S6</t>
        </is>
      </c>
      <c r="B716" s="54" t="inlineStr">
        <is>
          <t>US</t>
        </is>
      </c>
      <c r="C716" s="54" t="inlineStr">
        <is>
          <t>B0C7KGK2WK</t>
        </is>
      </c>
      <c r="D716" s="54" t="inlineStr">
        <is>
          <t>SATIN-STRIPE-TWIN-WHITE--6-PCS</t>
        </is>
      </c>
      <c r="E716" s="54" t="inlineStr">
        <is>
          <t>Twin</t>
        </is>
      </c>
      <c r="F716" s="54" t="inlineStr">
        <is>
          <t>Striped White</t>
        </is>
      </c>
      <c r="G716" s="55" t="n">
        <v>6</v>
      </c>
      <c r="H716" s="55" t="n">
        <v>0</v>
      </c>
      <c r="I716" s="56" t="n"/>
      <c r="J716" s="57" t="n">
        <v>0</v>
      </c>
      <c r="K716" s="56" t="inlineStr">
        <is>
          <t>account data velocity</t>
        </is>
      </c>
      <c r="L716" s="58" t="n">
        <v>3.076</v>
      </c>
      <c r="M716" s="56" t="inlineStr">
        <is>
          <t>own BFCM 2025 lift (account data)</t>
        </is>
      </c>
      <c r="N716" s="59">
        <f>J716*34+J716*L716*12</f>
        <v/>
      </c>
      <c r="O716" s="59">
        <f>MAX(0,N716-G716-H716)</f>
        <v/>
      </c>
      <c r="P716" s="60">
        <f>IF(J716=0,"",IF(G716&lt;J716*34,DATE(2026,10,15)+G716/J716,IF(G716&lt;N716,DATE(2026,11,18)+(G716-J716*34)/(J716*L716),"after Nov 30")))</f>
        <v/>
      </c>
      <c r="Q716" s="60">
        <f>IF(J716=0,"",IF(G716+H716&lt;J716*34,DATE(2026,10,15)+(G716+H716)/J716,IF(G716+H716&lt;N716,DATE(2026,11,18)+(G716+H716-J716*34)/(J716*L716),"after Nov 30")))</f>
        <v/>
      </c>
      <c r="R716" s="54">
        <f>IF(AND(G716&lt;=0,J716&gt;0),"Out of stock now",IF(G716&gt;=N716,"Covered to Nov 30",IF(G716+H716&gt;=N716,"Needs inbound in time","Short even with inbound")))</f>
        <v/>
      </c>
      <c r="S716" s="57" t="n">
        <v>0</v>
      </c>
      <c r="T716" s="59">
        <f>IF(S716="","",S716*34+S716*L716*12)</f>
        <v/>
      </c>
    </row>
    <row r="717">
      <c r="A717" s="54" t="inlineStr">
        <is>
          <t>US DC S6</t>
        </is>
      </c>
      <c r="B717" s="54" t="inlineStr">
        <is>
          <t>US</t>
        </is>
      </c>
      <c r="C717" s="54" t="inlineStr">
        <is>
          <t>B0C7FD12CQ</t>
        </is>
      </c>
      <c r="D717" s="54" t="inlineStr">
        <is>
          <t>SATIN-TAUPE-TWIN-6PCS</t>
        </is>
      </c>
      <c r="E717" s="54" t="inlineStr">
        <is>
          <t>Twin</t>
        </is>
      </c>
      <c r="F717" s="54" t="inlineStr">
        <is>
          <t>Taupe</t>
        </is>
      </c>
      <c r="G717" s="55" t="n">
        <v>1</v>
      </c>
      <c r="H717" s="55" t="n">
        <v>0</v>
      </c>
      <c r="I717" s="56" t="n"/>
      <c r="J717" s="57" t="n">
        <v>0</v>
      </c>
      <c r="K717" s="56" t="inlineStr">
        <is>
          <t>account data velocity</t>
        </is>
      </c>
      <c r="L717" s="58" t="n">
        <v>3.076</v>
      </c>
      <c r="M717" s="56" t="inlineStr">
        <is>
          <t>own BFCM 2025 lift (account data)</t>
        </is>
      </c>
      <c r="N717" s="59">
        <f>J717*34+J717*L717*12</f>
        <v/>
      </c>
      <c r="O717" s="59">
        <f>MAX(0,N717-G717-H717)</f>
        <v/>
      </c>
      <c r="P717" s="60">
        <f>IF(J717=0,"",IF(G717&lt;J717*34,DATE(2026,10,15)+G717/J717,IF(G717&lt;N717,DATE(2026,11,18)+(G717-J717*34)/(J717*L717),"after Nov 30")))</f>
        <v/>
      </c>
      <c r="Q717" s="60">
        <f>IF(J717=0,"",IF(G717+H717&lt;J717*34,DATE(2026,10,15)+(G717+H717)/J717,IF(G717+H717&lt;N717,DATE(2026,11,18)+(G717+H717-J717*34)/(J717*L717),"after Nov 30")))</f>
        <v/>
      </c>
      <c r="R717" s="54">
        <f>IF(AND(G717&lt;=0,J717&gt;0),"Out of stock now",IF(G717&gt;=N717,"Covered to Nov 30",IF(G717+H717&gt;=N717,"Needs inbound in time","Short even with inbound")))</f>
        <v/>
      </c>
      <c r="S717" s="57" t="n">
        <v>0</v>
      </c>
      <c r="T717" s="59">
        <f>IF(S717="","",S717*34+S717*L717*12)</f>
        <v/>
      </c>
    </row>
    <row r="718">
      <c r="A718" s="54" t="inlineStr">
        <is>
          <t>CA DC S6</t>
        </is>
      </c>
      <c r="B718" s="54" t="inlineStr">
        <is>
          <t>CA</t>
        </is>
      </c>
      <c r="C718" s="54" t="inlineStr">
        <is>
          <t>B0C7FLGJS8</t>
        </is>
      </c>
      <c r="D718" s="54" t="inlineStr">
        <is>
          <t>SATIN-STONEGREY-KING-6PCS</t>
        </is>
      </c>
      <c r="E718" s="54" t="inlineStr">
        <is>
          <t>King</t>
        </is>
      </c>
      <c r="F718" s="54" t="inlineStr">
        <is>
          <t>Stone Grey</t>
        </is>
      </c>
      <c r="G718" s="55" t="n">
        <v>0</v>
      </c>
      <c r="H718" s="55" t="n">
        <v>0</v>
      </c>
      <c r="I718" s="56" t="n"/>
      <c r="J718" s="57" t="n">
        <v>2.4</v>
      </c>
      <c r="K718" s="56" t="inlineStr">
        <is>
          <t>account data velocity</t>
        </is>
      </c>
      <c r="L718" s="58" t="n">
        <v>2.9761</v>
      </c>
      <c r="M718" s="56" t="inlineStr">
        <is>
          <t>own BFCM 2025 lift (account data)</t>
        </is>
      </c>
      <c r="N718" s="59">
        <f>J718*34+J718*L718*12</f>
        <v/>
      </c>
      <c r="O718" s="59">
        <f>MAX(0,N718-G718-H718)</f>
        <v/>
      </c>
      <c r="P718" s="60">
        <f>IF(J718=0,"",IF(G718&lt;J718*34,DATE(2026,10,15)+G718/J718,IF(G718&lt;N718,DATE(2026,11,18)+(G718-J718*34)/(J718*L718),"after Nov 30")))</f>
        <v/>
      </c>
      <c r="Q718" s="60">
        <f>IF(J718=0,"",IF(G718+H718&lt;J718*34,DATE(2026,10,15)+(G718+H718)/J718,IF(G718+H718&lt;N718,DATE(2026,11,18)+(G718+H718-J718*34)/(J718*L718),"after Nov 30")))</f>
        <v/>
      </c>
      <c r="R718" s="54">
        <f>IF(AND(G718&lt;=0,J718&gt;0),"Out of stock now",IF(G718&gt;=N718,"Covered to Nov 30",IF(G718+H718&gt;=N718,"Needs inbound in time","Short even with inbound")))</f>
        <v/>
      </c>
      <c r="S718" s="57" t="n">
        <v>0.107</v>
      </c>
      <c r="T718" s="59">
        <f>IF(S718="","",S718*34+S718*L718*12)</f>
        <v/>
      </c>
    </row>
    <row r="719">
      <c r="A719" s="54" t="inlineStr">
        <is>
          <t>CA DC S6</t>
        </is>
      </c>
      <c r="B719" s="54" t="inlineStr">
        <is>
          <t>CA</t>
        </is>
      </c>
      <c r="C719" s="54" t="inlineStr">
        <is>
          <t>B0C7FX1GFS</t>
        </is>
      </c>
      <c r="D719" s="54" t="inlineStr">
        <is>
          <t>SATIN-QUEEN-BLACK-6-PCS</t>
        </is>
      </c>
      <c r="E719" s="54" t="inlineStr">
        <is>
          <t>Queen</t>
        </is>
      </c>
      <c r="F719" s="54" t="inlineStr">
        <is>
          <t>Black</t>
        </is>
      </c>
      <c r="G719" s="55" t="n">
        <v>224</v>
      </c>
      <c r="H719" s="55" t="n">
        <v>6</v>
      </c>
      <c r="I719" s="56" t="inlineStr">
        <is>
          <t>FBA19JVC0PQT receiving: 6</t>
        </is>
      </c>
      <c r="J719" s="57" t="n">
        <v>1.44</v>
      </c>
      <c r="K719" s="56" t="inlineStr">
        <is>
          <t>account data velocity</t>
        </is>
      </c>
      <c r="L719" s="58" t="n">
        <v>2.9761</v>
      </c>
      <c r="M719" s="56" t="inlineStr">
        <is>
          <t>own BFCM 2025 lift (account data)</t>
        </is>
      </c>
      <c r="N719" s="59">
        <f>J719*34+J719*L719*12</f>
        <v/>
      </c>
      <c r="O719" s="59">
        <f>MAX(0,N719-G719-H719)</f>
        <v/>
      </c>
      <c r="P719" s="60">
        <f>IF(J719=0,"",IF(G719&lt;J719*34,DATE(2026,10,15)+G719/J719,IF(G719&lt;N719,DATE(2026,11,18)+(G719-J719*34)/(J719*L719),"after Nov 30")))</f>
        <v/>
      </c>
      <c r="Q719" s="60">
        <f>IF(J719=0,"",IF(G719+H719&lt;J719*34,DATE(2026,10,15)+(G719+H719)/J719,IF(G719+H719&lt;N719,DATE(2026,11,18)+(G719+H719-J719*34)/(J719*L719),"after Nov 30")))</f>
        <v/>
      </c>
      <c r="R719" s="54">
        <f>IF(AND(G719&lt;=0,J719&gt;0),"Out of stock now",IF(G719&gt;=N719,"Covered to Nov 30",IF(G719+H719&gt;=N719,"Needs inbound in time","Short even with inbound")))</f>
        <v/>
      </c>
      <c r="S719" s="57" t="n">
        <v>0.964</v>
      </c>
      <c r="T719" s="59">
        <f>IF(S719="","",S719*34+S719*L719*12)</f>
        <v/>
      </c>
    </row>
    <row r="720">
      <c r="A720" s="54" t="inlineStr">
        <is>
          <t>CA DC S6</t>
        </is>
      </c>
      <c r="B720" s="54" t="inlineStr">
        <is>
          <t>CA</t>
        </is>
      </c>
      <c r="C720" s="54" t="inlineStr">
        <is>
          <t>B0D9QSG8V3</t>
        </is>
      </c>
      <c r="D720" s="54" t="inlineStr">
        <is>
          <t>SATIN-6PC-KING-DARK GREEN</t>
        </is>
      </c>
      <c r="E720" s="54" t="inlineStr">
        <is>
          <t>King</t>
        </is>
      </c>
      <c r="F720" s="54" t="inlineStr">
        <is>
          <t>Dark Green</t>
        </is>
      </c>
      <c r="G720" s="55" t="n">
        <v>0</v>
      </c>
      <c r="H720" s="55" t="n">
        <v>0</v>
      </c>
      <c r="I720" s="56" t="n"/>
      <c r="J720" s="57" t="n">
        <v>0.92</v>
      </c>
      <c r="K720" s="56" t="inlineStr">
        <is>
          <t>account data velocity</t>
        </is>
      </c>
      <c r="L720" s="58" t="n">
        <v>2.9761</v>
      </c>
      <c r="M720" s="56" t="inlineStr">
        <is>
          <t>own BFCM 2025 lift (account data)</t>
        </is>
      </c>
      <c r="N720" s="59">
        <f>J720*34+J720*L720*12</f>
        <v/>
      </c>
      <c r="O720" s="59">
        <f>MAX(0,N720-G720-H720)</f>
        <v/>
      </c>
      <c r="P720" s="60">
        <f>IF(J720=0,"",IF(G720&lt;J720*34,DATE(2026,10,15)+G720/J720,IF(G720&lt;N720,DATE(2026,11,18)+(G720-J720*34)/(J720*L720),"after Nov 30")))</f>
        <v/>
      </c>
      <c r="Q720" s="60">
        <f>IF(J720=0,"",IF(G720+H720&lt;J720*34,DATE(2026,10,15)+(G720+H720)/J720,IF(G720+H720&lt;N720,DATE(2026,11,18)+(G720+H720-J720*34)/(J720*L720),"after Nov 30")))</f>
        <v/>
      </c>
      <c r="R720" s="54">
        <f>IF(AND(G720&lt;=0,J720&gt;0),"Out of stock now",IF(G720&gt;=N720,"Covered to Nov 30",IF(G720+H720&gt;=N720,"Needs inbound in time","Short even with inbound")))</f>
        <v/>
      </c>
      <c r="S720" s="57" t="n">
        <v>0.07099999999999999</v>
      </c>
      <c r="T720" s="59">
        <f>IF(S720="","",S720*34+S720*L720*12)</f>
        <v/>
      </c>
    </row>
    <row r="721">
      <c r="A721" s="54" t="inlineStr">
        <is>
          <t>CA DC S6</t>
        </is>
      </c>
      <c r="B721" s="54" t="inlineStr">
        <is>
          <t>CA</t>
        </is>
      </c>
      <c r="C721" s="54" t="inlineStr">
        <is>
          <t>B0C7KD5MPK</t>
        </is>
      </c>
      <c r="D721" s="54" t="inlineStr">
        <is>
          <t>SATIN-STRIPE-KING-WHITE--6-PCS</t>
        </is>
      </c>
      <c r="E721" s="54" t="inlineStr">
        <is>
          <t>King</t>
        </is>
      </c>
      <c r="F721" s="54" t="inlineStr">
        <is>
          <t>Striped White</t>
        </is>
      </c>
      <c r="G721" s="55" t="n">
        <v>5</v>
      </c>
      <c r="H721" s="55" t="n">
        <v>0</v>
      </c>
      <c r="I721" s="56" t="n"/>
      <c r="J721" s="57" t="n">
        <v>0.88</v>
      </c>
      <c r="K721" s="56" t="inlineStr">
        <is>
          <t>account data velocity</t>
        </is>
      </c>
      <c r="L721" s="58" t="n">
        <v>2.9761</v>
      </c>
      <c r="M721" s="56" t="inlineStr">
        <is>
          <t>own BFCM 2025 lift (account data)</t>
        </is>
      </c>
      <c r="N721" s="59">
        <f>J721*34+J721*L721*12</f>
        <v/>
      </c>
      <c r="O721" s="59">
        <f>MAX(0,N721-G721-H721)</f>
        <v/>
      </c>
      <c r="P721" s="60">
        <f>IF(J721=0,"",IF(G721&lt;J721*34,DATE(2026,10,15)+G721/J721,IF(G721&lt;N721,DATE(2026,11,18)+(G721-J721*34)/(J721*L721),"after Nov 30")))</f>
        <v/>
      </c>
      <c r="Q721" s="60">
        <f>IF(J721=0,"",IF(G721+H721&lt;J721*34,DATE(2026,10,15)+(G721+H721)/J721,IF(G721+H721&lt;N721,DATE(2026,11,18)+(G721+H721-J721*34)/(J721*L721),"after Nov 30")))</f>
        <v/>
      </c>
      <c r="R721" s="54">
        <f>IF(AND(G721&lt;=0,J721&gt;0),"Out of stock now",IF(G721&gt;=N721,"Covered to Nov 30",IF(G721+H721&gt;=N721,"Needs inbound in time","Short even with inbound")))</f>
        <v/>
      </c>
      <c r="S721" s="57" t="n">
        <v>0.036</v>
      </c>
      <c r="T721" s="59">
        <f>IF(S721="","",S721*34+S721*L721*12)</f>
        <v/>
      </c>
    </row>
    <row r="722">
      <c r="A722" s="54" t="inlineStr">
        <is>
          <t>CA DC S6</t>
        </is>
      </c>
      <c r="B722" s="54" t="inlineStr">
        <is>
          <t>CA</t>
        </is>
      </c>
      <c r="C722" s="54" t="inlineStr">
        <is>
          <t>B0C7KFWRM8</t>
        </is>
      </c>
      <c r="D722" s="54" t="inlineStr">
        <is>
          <t>SATIN-STRIPE-QUEEN-PURPLE--6-PCS</t>
        </is>
      </c>
      <c r="E722" s="54" t="inlineStr">
        <is>
          <t>Queen</t>
        </is>
      </c>
      <c r="F722" s="54" t="inlineStr">
        <is>
          <t>Striped Purple</t>
        </is>
      </c>
      <c r="G722" s="55" t="n">
        <v>0</v>
      </c>
      <c r="H722" s="55" t="n">
        <v>0</v>
      </c>
      <c r="I722" s="56" t="n"/>
      <c r="J722" s="57" t="n">
        <v>0.84</v>
      </c>
      <c r="K722" s="56" t="inlineStr">
        <is>
          <t>account data velocity</t>
        </is>
      </c>
      <c r="L722" s="58" t="n">
        <v>2.9761</v>
      </c>
      <c r="M722" s="56" t="inlineStr">
        <is>
          <t>own BFCM 2025 lift (account data)</t>
        </is>
      </c>
      <c r="N722" s="59">
        <f>J722*34+J722*L722*12</f>
        <v/>
      </c>
      <c r="O722" s="59">
        <f>MAX(0,N722-G722-H722)</f>
        <v/>
      </c>
      <c r="P722" s="60">
        <f>IF(J722=0,"",IF(G722&lt;J722*34,DATE(2026,10,15)+G722/J722,IF(G722&lt;N722,DATE(2026,11,18)+(G722-J722*34)/(J722*L722),"after Nov 30")))</f>
        <v/>
      </c>
      <c r="Q722" s="60">
        <f>IF(J722=0,"",IF(G722+H722&lt;J722*34,DATE(2026,10,15)+(G722+H722)/J722,IF(G722+H722&lt;N722,DATE(2026,11,18)+(G722+H722-J722*34)/(J722*L722),"after Nov 30")))</f>
        <v/>
      </c>
      <c r="R722" s="54">
        <f>IF(AND(G722&lt;=0,J722&gt;0),"Out of stock now",IF(G722&gt;=N722,"Covered to Nov 30",IF(G722+H722&gt;=N722,"Needs inbound in time","Short even with inbound")))</f>
        <v/>
      </c>
      <c r="S722" s="57" t="n">
        <v>0.07099999999999999</v>
      </c>
      <c r="T722" s="59">
        <f>IF(S722="","",S722*34+S722*L722*12)</f>
        <v/>
      </c>
    </row>
    <row r="723">
      <c r="A723" s="54" t="inlineStr">
        <is>
          <t>CA DC S6</t>
        </is>
      </c>
      <c r="B723" s="54" t="inlineStr">
        <is>
          <t>CA</t>
        </is>
      </c>
      <c r="C723" s="54" t="inlineStr">
        <is>
          <t>B0C7FMCXBV</t>
        </is>
      </c>
      <c r="D723" s="54" t="inlineStr">
        <is>
          <t>SATIN-ROSEWOOD-QUEEN-6PCS</t>
        </is>
      </c>
      <c r="E723" s="54" t="inlineStr">
        <is>
          <t>Queen</t>
        </is>
      </c>
      <c r="F723" s="54" t="inlineStr">
        <is>
          <t>Rosewood</t>
        </is>
      </c>
      <c r="G723" s="55" t="n">
        <v>15</v>
      </c>
      <c r="H723" s="55" t="n">
        <v>330</v>
      </c>
      <c r="I723" s="56" t="inlineStr">
        <is>
          <t>FBA19KGF9QJN shipped: 330</t>
        </is>
      </c>
      <c r="J723" s="57" t="n">
        <v>0.78</v>
      </c>
      <c r="K723" s="56" t="inlineStr">
        <is>
          <t>account data velocity</t>
        </is>
      </c>
      <c r="L723" s="58" t="n">
        <v>2.9761</v>
      </c>
      <c r="M723" s="56" t="inlineStr">
        <is>
          <t>own BFCM 2025 lift (account data)</t>
        </is>
      </c>
      <c r="N723" s="59">
        <f>J723*34+J723*L723*12</f>
        <v/>
      </c>
      <c r="O723" s="59">
        <f>MAX(0,N723-G723-H723)</f>
        <v/>
      </c>
      <c r="P723" s="60">
        <f>IF(J723=0,"",IF(G723&lt;J723*34,DATE(2026,10,15)+G723/J723,IF(G723&lt;N723,DATE(2026,11,18)+(G723-J723*34)/(J723*L723),"after Nov 30")))</f>
        <v/>
      </c>
      <c r="Q723" s="60">
        <f>IF(J723=0,"",IF(G723+H723&lt;J723*34,DATE(2026,10,15)+(G723+H723)/J723,IF(G723+H723&lt;N723,DATE(2026,11,18)+(G723+H723-J723*34)/(J723*L723),"after Nov 30")))</f>
        <v/>
      </c>
      <c r="R723" s="54">
        <f>IF(AND(G723&lt;=0,J723&gt;0),"Out of stock now",IF(G723&gt;=N723,"Covered to Nov 30",IF(G723+H723&gt;=N723,"Needs inbound in time","Short even with inbound")))</f>
        <v/>
      </c>
      <c r="S723" s="57" t="n">
        <v>0.464</v>
      </c>
      <c r="T723" s="59">
        <f>IF(S723="","",S723*34+S723*L723*12)</f>
        <v/>
      </c>
    </row>
    <row r="724">
      <c r="A724" s="54" t="inlineStr">
        <is>
          <t>CA DC S6</t>
        </is>
      </c>
      <c r="B724" s="54" t="inlineStr">
        <is>
          <t>CA</t>
        </is>
      </c>
      <c r="C724" s="54" t="inlineStr">
        <is>
          <t>B0C7FMM2QN</t>
        </is>
      </c>
      <c r="D724" s="54" t="inlineStr">
        <is>
          <t>SATIN-FULL-BLACK-6PCS</t>
        </is>
      </c>
      <c r="E724" s="54" t="inlineStr">
        <is>
          <t>Full</t>
        </is>
      </c>
      <c r="F724" s="54" t="inlineStr">
        <is>
          <t>Black</t>
        </is>
      </c>
      <c r="G724" s="55" t="n">
        <v>43</v>
      </c>
      <c r="H724" s="55" t="n">
        <v>0</v>
      </c>
      <c r="I724" s="56" t="n"/>
      <c r="J724" s="57" t="n">
        <v>0.73</v>
      </c>
      <c r="K724" s="56" t="inlineStr">
        <is>
          <t>account data velocity</t>
        </is>
      </c>
      <c r="L724" s="58" t="n">
        <v>2.9761</v>
      </c>
      <c r="M724" s="56" t="inlineStr">
        <is>
          <t>own BFCM 2025 lift (account data)</t>
        </is>
      </c>
      <c r="N724" s="59">
        <f>J724*34+J724*L724*12</f>
        <v/>
      </c>
      <c r="O724" s="59">
        <f>MAX(0,N724-G724-H724)</f>
        <v/>
      </c>
      <c r="P724" s="60">
        <f>IF(J724=0,"",IF(G724&lt;J724*34,DATE(2026,10,15)+G724/J724,IF(G724&lt;N724,DATE(2026,11,18)+(G724-J724*34)/(J724*L724),"after Nov 30")))</f>
        <v/>
      </c>
      <c r="Q724" s="60">
        <f>IF(J724=0,"",IF(G724+H724&lt;J724*34,DATE(2026,10,15)+(G724+H724)/J724,IF(G724+H724&lt;N724,DATE(2026,11,18)+(G724+H724-J724*34)/(J724*L724),"after Nov 30")))</f>
        <v/>
      </c>
      <c r="R724" s="54">
        <f>IF(AND(G724&lt;=0,J724&gt;0),"Out of stock now",IF(G724&gt;=N724,"Covered to Nov 30",IF(G724+H724&gt;=N724,"Needs inbound in time","Short even with inbound")))</f>
        <v/>
      </c>
      <c r="S724" s="57" t="n">
        <v>0.429</v>
      </c>
      <c r="T724" s="59">
        <f>IF(S724="","",S724*34+S724*L724*12)</f>
        <v/>
      </c>
    </row>
    <row r="725">
      <c r="A725" s="54" t="inlineStr">
        <is>
          <t>CA DC S6</t>
        </is>
      </c>
      <c r="B725" s="54" t="inlineStr">
        <is>
          <t>CA</t>
        </is>
      </c>
      <c r="C725" s="54" t="inlineStr">
        <is>
          <t>B0C7K74SLC</t>
        </is>
      </c>
      <c r="D725" s="54" t="inlineStr">
        <is>
          <t>SATIN-STRIPE-KING-GRAY--6-PCS</t>
        </is>
      </c>
      <c r="E725" s="54" t="inlineStr">
        <is>
          <t>King</t>
        </is>
      </c>
      <c r="F725" s="54" t="inlineStr">
        <is>
          <t>Striped Grey</t>
        </is>
      </c>
      <c r="G725" s="55" t="n">
        <v>55</v>
      </c>
      <c r="H725" s="55" t="n">
        <v>0</v>
      </c>
      <c r="I725" s="56" t="n"/>
      <c r="J725" s="57" t="n">
        <v>0.68</v>
      </c>
      <c r="K725" s="56" t="inlineStr">
        <is>
          <t>account data velocity</t>
        </is>
      </c>
      <c r="L725" s="58" t="n">
        <v>2.9761</v>
      </c>
      <c r="M725" s="56" t="inlineStr">
        <is>
          <t>own BFCM 2025 lift (account data)</t>
        </is>
      </c>
      <c r="N725" s="59">
        <f>J725*34+J725*L725*12</f>
        <v/>
      </c>
      <c r="O725" s="59">
        <f>MAX(0,N725-G725-H725)</f>
        <v/>
      </c>
      <c r="P725" s="60">
        <f>IF(J725=0,"",IF(G725&lt;J725*34,DATE(2026,10,15)+G725/J725,IF(G725&lt;N725,DATE(2026,11,18)+(G725-J725*34)/(J725*L725),"after Nov 30")))</f>
        <v/>
      </c>
      <c r="Q725" s="60">
        <f>IF(J725=0,"",IF(G725+H725&lt;J725*34,DATE(2026,10,15)+(G725+H725)/J725,IF(G725+H725&lt;N725,DATE(2026,11,18)+(G725+H725-J725*34)/(J725*L725),"after Nov 30")))</f>
        <v/>
      </c>
      <c r="R725" s="54">
        <f>IF(AND(G725&lt;=0,J725&gt;0),"Out of stock now",IF(G725&gt;=N725,"Covered to Nov 30",IF(G725+H725&gt;=N725,"Needs inbound in time","Short even with inbound")))</f>
        <v/>
      </c>
      <c r="S725" s="57" t="n">
        <v>0.607</v>
      </c>
      <c r="T725" s="59">
        <f>IF(S725="","",S725*34+S725*L725*12)</f>
        <v/>
      </c>
    </row>
    <row r="726">
      <c r="A726" s="54" t="inlineStr">
        <is>
          <t>CA DC S6</t>
        </is>
      </c>
      <c r="B726" s="54" t="inlineStr">
        <is>
          <t>CA</t>
        </is>
      </c>
      <c r="C726" s="54" t="inlineStr">
        <is>
          <t>B0C7FKF7J1</t>
        </is>
      </c>
      <c r="D726" s="54" t="inlineStr">
        <is>
          <t>SATIN-RED-KING-6PCS</t>
        </is>
      </c>
      <c r="E726" s="54" t="inlineStr">
        <is>
          <t>King</t>
        </is>
      </c>
      <c r="F726" s="54" t="inlineStr">
        <is>
          <t>Red</t>
        </is>
      </c>
      <c r="G726" s="55" t="n">
        <v>0</v>
      </c>
      <c r="H726" s="55" t="n">
        <v>0</v>
      </c>
      <c r="I726" s="56" t="n"/>
      <c r="J726" s="57" t="n">
        <v>0.62</v>
      </c>
      <c r="K726" s="56" t="inlineStr">
        <is>
          <t>account data velocity</t>
        </is>
      </c>
      <c r="L726" s="58" t="n">
        <v>2.9761</v>
      </c>
      <c r="M726" s="56" t="inlineStr">
        <is>
          <t>own BFCM 2025 lift (account data)</t>
        </is>
      </c>
      <c r="N726" s="59">
        <f>J726*34+J726*L726*12</f>
        <v/>
      </c>
      <c r="O726" s="59">
        <f>MAX(0,N726-G726-H726)</f>
        <v/>
      </c>
      <c r="P726" s="60">
        <f>IF(J726=0,"",IF(G726&lt;J726*34,DATE(2026,10,15)+G726/J726,IF(G726&lt;N726,DATE(2026,11,18)+(G726-J726*34)/(J726*L726),"after Nov 30")))</f>
        <v/>
      </c>
      <c r="Q726" s="60">
        <f>IF(J726=0,"",IF(G726+H726&lt;J726*34,DATE(2026,10,15)+(G726+H726)/J726,IF(G726+H726&lt;N726,DATE(2026,11,18)+(G726+H726-J726*34)/(J726*L726),"after Nov 30")))</f>
        <v/>
      </c>
      <c r="R726" s="54">
        <f>IF(AND(G726&lt;=0,J726&gt;0),"Out of stock now",IF(G726&gt;=N726,"Covered to Nov 30",IF(G726+H726&gt;=N726,"Needs inbound in time","Short even with inbound")))</f>
        <v/>
      </c>
      <c r="S726" s="57" t="n">
        <v>0.179</v>
      </c>
      <c r="T726" s="59">
        <f>IF(S726="","",S726*34+S726*L726*12)</f>
        <v/>
      </c>
    </row>
    <row r="727">
      <c r="A727" s="54" t="inlineStr">
        <is>
          <t>CA DC S6</t>
        </is>
      </c>
      <c r="B727" s="54" t="inlineStr">
        <is>
          <t>CA</t>
        </is>
      </c>
      <c r="C727" s="54" t="inlineStr">
        <is>
          <t>B0C7FXXS6R</t>
        </is>
      </c>
      <c r="D727" s="54" t="inlineStr">
        <is>
          <t>SATIN-KING-BLACK-6-PCS</t>
        </is>
      </c>
      <c r="E727" s="54" t="inlineStr">
        <is>
          <t>King</t>
        </is>
      </c>
      <c r="F727" s="54" t="inlineStr">
        <is>
          <t>Black</t>
        </is>
      </c>
      <c r="G727" s="55" t="n">
        <v>18</v>
      </c>
      <c r="H727" s="55" t="n">
        <v>0</v>
      </c>
      <c r="I727" s="56" t="n"/>
      <c r="J727" s="57" t="n">
        <v>0.6</v>
      </c>
      <c r="K727" s="56" t="inlineStr">
        <is>
          <t>account data velocity</t>
        </is>
      </c>
      <c r="L727" s="58" t="n">
        <v>2.9761</v>
      </c>
      <c r="M727" s="56" t="inlineStr">
        <is>
          <t>own BFCM 2025 lift (account data)</t>
        </is>
      </c>
      <c r="N727" s="59">
        <f>J727*34+J727*L727*12</f>
        <v/>
      </c>
      <c r="O727" s="59">
        <f>MAX(0,N727-G727-H727)</f>
        <v/>
      </c>
      <c r="P727" s="60">
        <f>IF(J727=0,"",IF(G727&lt;J727*34,DATE(2026,10,15)+G727/J727,IF(G727&lt;N727,DATE(2026,11,18)+(G727-J727*34)/(J727*L727),"after Nov 30")))</f>
        <v/>
      </c>
      <c r="Q727" s="60">
        <f>IF(J727=0,"",IF(G727+H727&lt;J727*34,DATE(2026,10,15)+(G727+H727)/J727,IF(G727+H727&lt;N727,DATE(2026,11,18)+(G727+H727-J727*34)/(J727*L727),"after Nov 30")))</f>
        <v/>
      </c>
      <c r="R727" s="54">
        <f>IF(AND(G727&lt;=0,J727&gt;0),"Out of stock now",IF(G727&gt;=N727,"Covered to Nov 30",IF(G727+H727&gt;=N727,"Needs inbound in time","Short even with inbound")))</f>
        <v/>
      </c>
      <c r="S727" s="57" t="n">
        <v>0.464</v>
      </c>
      <c r="T727" s="59">
        <f>IF(S727="","",S727*34+S727*L727*12)</f>
        <v/>
      </c>
    </row>
    <row r="728">
      <c r="A728" s="54" t="inlineStr">
        <is>
          <t>CA DC S6</t>
        </is>
      </c>
      <c r="B728" s="54" t="inlineStr">
        <is>
          <t>CA</t>
        </is>
      </c>
      <c r="C728" s="54" t="inlineStr">
        <is>
          <t>B0C7FTB8MQ</t>
        </is>
      </c>
      <c r="D728" s="54" t="inlineStr">
        <is>
          <t>SATIN-STONEGREY-QUEEN-6PCS</t>
        </is>
      </c>
      <c r="E728" s="54" t="inlineStr">
        <is>
          <t>Queen</t>
        </is>
      </c>
      <c r="F728" s="54" t="inlineStr">
        <is>
          <t>Stone Grey</t>
        </is>
      </c>
      <c r="G728" s="55" t="n">
        <v>31</v>
      </c>
      <c r="H728" s="55" t="n">
        <v>700</v>
      </c>
      <c r="I728" s="56" t="inlineStr">
        <is>
          <t>FBA19KGF9QJN shipped: 700</t>
        </is>
      </c>
      <c r="J728" s="57" t="n">
        <v>0.57</v>
      </c>
      <c r="K728" s="56" t="inlineStr">
        <is>
          <t>account data velocity</t>
        </is>
      </c>
      <c r="L728" s="58" t="n">
        <v>2.9761</v>
      </c>
      <c r="M728" s="56" t="inlineStr">
        <is>
          <t>own BFCM 2025 lift (account data)</t>
        </is>
      </c>
      <c r="N728" s="59">
        <f>J728*34+J728*L728*12</f>
        <v/>
      </c>
      <c r="O728" s="59">
        <f>MAX(0,N728-G728-H728)</f>
        <v/>
      </c>
      <c r="P728" s="60">
        <f>IF(J728=0,"",IF(G728&lt;J728*34,DATE(2026,10,15)+G728/J728,IF(G728&lt;N728,DATE(2026,11,18)+(G728-J728*34)/(J728*L728),"after Nov 30")))</f>
        <v/>
      </c>
      <c r="Q728" s="60">
        <f>IF(J728=0,"",IF(G728+H728&lt;J728*34,DATE(2026,10,15)+(G728+H728)/J728,IF(G728+H728&lt;N728,DATE(2026,11,18)+(G728+H728-J728*34)/(J728*L728),"after Nov 30")))</f>
        <v/>
      </c>
      <c r="R728" s="54">
        <f>IF(AND(G728&lt;=0,J728&gt;0),"Out of stock now",IF(G728&gt;=N728,"Covered to Nov 30",IF(G728+H728&gt;=N728,"Needs inbound in time","Short even with inbound")))</f>
        <v/>
      </c>
      <c r="S728" s="57" t="n">
        <v>0.393</v>
      </c>
      <c r="T728" s="59">
        <f>IF(S728="","",S728*34+S728*L728*12)</f>
        <v/>
      </c>
    </row>
    <row r="729">
      <c r="A729" s="54" t="inlineStr">
        <is>
          <t>CA DC S6</t>
        </is>
      </c>
      <c r="B729" s="54" t="inlineStr">
        <is>
          <t>CA</t>
        </is>
      </c>
      <c r="C729" s="54" t="inlineStr">
        <is>
          <t>B0C9LSVFPR</t>
        </is>
      </c>
      <c r="D729" s="54" t="inlineStr">
        <is>
          <t>PURPLE-SATIN-SET-6PCS</t>
        </is>
      </c>
      <c r="E729" s="54" t="inlineStr">
        <is>
          <t>Queen</t>
        </is>
      </c>
      <c r="F729" s="54" t="inlineStr">
        <is>
          <t>Purple</t>
        </is>
      </c>
      <c r="G729" s="55" t="n">
        <v>22</v>
      </c>
      <c r="H729" s="55" t="n">
        <v>0</v>
      </c>
      <c r="I729" s="56" t="n"/>
      <c r="J729" s="57" t="n">
        <v>0.54</v>
      </c>
      <c r="K729" s="56" t="inlineStr">
        <is>
          <t>account data velocity</t>
        </is>
      </c>
      <c r="L729" s="58" t="n">
        <v>2.9761</v>
      </c>
      <c r="M729" s="56" t="inlineStr">
        <is>
          <t>own BFCM 2025 lift (account data)</t>
        </is>
      </c>
      <c r="N729" s="59">
        <f>J729*34+J729*L729*12</f>
        <v/>
      </c>
      <c r="O729" s="59">
        <f>MAX(0,N729-G729-H729)</f>
        <v/>
      </c>
      <c r="P729" s="60">
        <f>IF(J729=0,"",IF(G729&lt;J729*34,DATE(2026,10,15)+G729/J729,IF(G729&lt;N729,DATE(2026,11,18)+(G729-J729*34)/(J729*L729),"after Nov 30")))</f>
        <v/>
      </c>
      <c r="Q729" s="60">
        <f>IF(J729=0,"",IF(G729+H729&lt;J729*34,DATE(2026,10,15)+(G729+H729)/J729,IF(G729+H729&lt;N729,DATE(2026,11,18)+(G729+H729-J729*34)/(J729*L729),"after Nov 30")))</f>
        <v/>
      </c>
      <c r="R729" s="54">
        <f>IF(AND(G729&lt;=0,J729&gt;0),"Out of stock now",IF(G729&gt;=N729,"Covered to Nov 30",IF(G729+H729&gt;=N729,"Needs inbound in time","Short even with inbound")))</f>
        <v/>
      </c>
      <c r="S729" s="57" t="n">
        <v>0.286</v>
      </c>
      <c r="T729" s="59">
        <f>IF(S729="","",S729*34+S729*L729*12)</f>
        <v/>
      </c>
    </row>
    <row r="730">
      <c r="A730" s="54" t="inlineStr">
        <is>
          <t>CA DC S6</t>
        </is>
      </c>
      <c r="B730" s="54" t="inlineStr">
        <is>
          <t>CA</t>
        </is>
      </c>
      <c r="C730" s="54" t="inlineStr">
        <is>
          <t>B0C7F622QD</t>
        </is>
      </c>
      <c r="D730" s="54" t="inlineStr">
        <is>
          <t>SATIN-TWIN-BLACK-6PCS</t>
        </is>
      </c>
      <c r="E730" s="54" t="inlineStr">
        <is>
          <t>Twin</t>
        </is>
      </c>
      <c r="F730" s="54" t="inlineStr">
        <is>
          <t>Black</t>
        </is>
      </c>
      <c r="G730" s="55" t="n">
        <v>5</v>
      </c>
      <c r="H730" s="55" t="n">
        <v>0</v>
      </c>
      <c r="I730" s="56" t="n"/>
      <c r="J730" s="57" t="n">
        <v>0.5</v>
      </c>
      <c r="K730" s="56" t="inlineStr">
        <is>
          <t>account data velocity</t>
        </is>
      </c>
      <c r="L730" s="58" t="n">
        <v>2.9761</v>
      </c>
      <c r="M730" s="56" t="inlineStr">
        <is>
          <t>own BFCM 2025 lift (account data)</t>
        </is>
      </c>
      <c r="N730" s="59">
        <f>J730*34+J730*L730*12</f>
        <v/>
      </c>
      <c r="O730" s="59">
        <f>MAX(0,N730-G730-H730)</f>
        <v/>
      </c>
      <c r="P730" s="60">
        <f>IF(J730=0,"",IF(G730&lt;J730*34,DATE(2026,10,15)+G730/J730,IF(G730&lt;N730,DATE(2026,11,18)+(G730-J730*34)/(J730*L730),"after Nov 30")))</f>
        <v/>
      </c>
      <c r="Q730" s="60">
        <f>IF(J730=0,"",IF(G730+H730&lt;J730*34,DATE(2026,10,15)+(G730+H730)/J730,IF(G730+H730&lt;N730,DATE(2026,11,18)+(G730+H730-J730*34)/(J730*L730),"after Nov 30")))</f>
        <v/>
      </c>
      <c r="R730" s="54">
        <f>IF(AND(G730&lt;=0,J730&gt;0),"Out of stock now",IF(G730&gt;=N730,"Covered to Nov 30",IF(G730+H730&gt;=N730,"Needs inbound in time","Short even with inbound")))</f>
        <v/>
      </c>
      <c r="S730" s="57" t="n">
        <v>0.464</v>
      </c>
      <c r="T730" s="59">
        <f>IF(S730="","",S730*34+S730*L730*12)</f>
        <v/>
      </c>
    </row>
    <row r="731">
      <c r="A731" s="54" t="inlineStr">
        <is>
          <t>CA DC S6</t>
        </is>
      </c>
      <c r="B731" s="54" t="inlineStr">
        <is>
          <t>CA</t>
        </is>
      </c>
      <c r="C731" s="54" t="inlineStr">
        <is>
          <t>B0C7FR94LJ</t>
        </is>
      </c>
      <c r="D731" s="54" t="inlineStr">
        <is>
          <t>SATIN-WHITE-QUEEN-6PCS</t>
        </is>
      </c>
      <c r="E731" s="54" t="inlineStr">
        <is>
          <t>Queen</t>
        </is>
      </c>
      <c r="F731" s="54" t="inlineStr">
        <is>
          <t>White</t>
        </is>
      </c>
      <c r="G731" s="55" t="n">
        <v>64</v>
      </c>
      <c r="H731" s="55" t="n">
        <v>0</v>
      </c>
      <c r="I731" s="56" t="n"/>
      <c r="J731" s="57" t="n">
        <v>0.47</v>
      </c>
      <c r="K731" s="56" t="inlineStr">
        <is>
          <t>account data velocity</t>
        </is>
      </c>
      <c r="L731" s="58" t="n">
        <v>2.9761</v>
      </c>
      <c r="M731" s="56" t="inlineStr">
        <is>
          <t>own BFCM 2025 lift (account data)</t>
        </is>
      </c>
      <c r="N731" s="59">
        <f>J731*34+J731*L731*12</f>
        <v/>
      </c>
      <c r="O731" s="59">
        <f>MAX(0,N731-G731-H731)</f>
        <v/>
      </c>
      <c r="P731" s="60">
        <f>IF(J731=0,"",IF(G731&lt;J731*34,DATE(2026,10,15)+G731/J731,IF(G731&lt;N731,DATE(2026,11,18)+(G731-J731*34)/(J731*L731),"after Nov 30")))</f>
        <v/>
      </c>
      <c r="Q731" s="60">
        <f>IF(J731=0,"",IF(G731+H731&lt;J731*34,DATE(2026,10,15)+(G731+H731)/J731,IF(G731+H731&lt;N731,DATE(2026,11,18)+(G731+H731-J731*34)/(J731*L731),"after Nov 30")))</f>
        <v/>
      </c>
      <c r="R731" s="54">
        <f>IF(AND(G731&lt;=0,J731&gt;0),"Out of stock now",IF(G731&gt;=N731,"Covered to Nov 30",IF(G731+H731&gt;=N731,"Needs inbound in time","Short even with inbound")))</f>
        <v/>
      </c>
      <c r="S731" s="57" t="n">
        <v>0.214</v>
      </c>
      <c r="T731" s="59">
        <f>IF(S731="","",S731*34+S731*L731*12)</f>
        <v/>
      </c>
    </row>
    <row r="732">
      <c r="A732" s="54" t="inlineStr">
        <is>
          <t>CA DC S6</t>
        </is>
      </c>
      <c r="B732" s="54" t="inlineStr">
        <is>
          <t>CA</t>
        </is>
      </c>
      <c r="C732" s="54" t="inlineStr">
        <is>
          <t>B0C7FP1L1V</t>
        </is>
      </c>
      <c r="D732" s="54" t="inlineStr">
        <is>
          <t>SATIN-ROSEWOOD-KING-6PCS</t>
        </is>
      </c>
      <c r="E732" s="54" t="inlineStr">
        <is>
          <t>King</t>
        </is>
      </c>
      <c r="F732" s="54" t="inlineStr">
        <is>
          <t>Rosewood</t>
        </is>
      </c>
      <c r="G732" s="55" t="n">
        <v>0</v>
      </c>
      <c r="H732" s="55" t="n">
        <v>0</v>
      </c>
      <c r="I732" s="56" t="n"/>
      <c r="J732" s="57" t="n">
        <v>0.4</v>
      </c>
      <c r="K732" s="56" t="inlineStr">
        <is>
          <t>account data velocity</t>
        </is>
      </c>
      <c r="L732" s="58" t="n">
        <v>2.9761</v>
      </c>
      <c r="M732" s="56" t="inlineStr">
        <is>
          <t>own BFCM 2025 lift (account data)</t>
        </is>
      </c>
      <c r="N732" s="59">
        <f>J732*34+J732*L732*12</f>
        <v/>
      </c>
      <c r="O732" s="59">
        <f>MAX(0,N732-G732-H732)</f>
        <v/>
      </c>
      <c r="P732" s="60">
        <f>IF(J732=0,"",IF(G732&lt;J732*34,DATE(2026,10,15)+G732/J732,IF(G732&lt;N732,DATE(2026,11,18)+(G732-J732*34)/(J732*L732),"after Nov 30")))</f>
        <v/>
      </c>
      <c r="Q732" s="60">
        <f>IF(J732=0,"",IF(G732+H732&lt;J732*34,DATE(2026,10,15)+(G732+H732)/J732,IF(G732+H732&lt;N732,DATE(2026,11,18)+(G732+H732-J732*34)/(J732*L732),"after Nov 30")))</f>
        <v/>
      </c>
      <c r="R732" s="54">
        <f>IF(AND(G732&lt;=0,J732&gt;0),"Out of stock now",IF(G732&gt;=N732,"Covered to Nov 30",IF(G732+H732&gt;=N732,"Needs inbound in time","Short even with inbound")))</f>
        <v/>
      </c>
      <c r="S732" s="57" t="n">
        <v>0.07099999999999999</v>
      </c>
      <c r="T732" s="59">
        <f>IF(S732="","",S732*34+S732*L732*12)</f>
        <v/>
      </c>
    </row>
    <row r="733">
      <c r="A733" s="54" t="inlineStr">
        <is>
          <t>CA DC S6</t>
        </is>
      </c>
      <c r="B733" s="54" t="inlineStr">
        <is>
          <t>CA</t>
        </is>
      </c>
      <c r="C733" s="54" t="inlineStr">
        <is>
          <t>B0C7FJLP2F</t>
        </is>
      </c>
      <c r="D733" s="54" t="inlineStr">
        <is>
          <t>SATIN-RED-QUEEN-6PCS</t>
        </is>
      </c>
      <c r="E733" s="54" t="inlineStr">
        <is>
          <t>Queen</t>
        </is>
      </c>
      <c r="F733" s="54" t="inlineStr">
        <is>
          <t>Red</t>
        </is>
      </c>
      <c r="G733" s="55" t="n">
        <v>16</v>
      </c>
      <c r="H733" s="55" t="n">
        <v>0</v>
      </c>
      <c r="I733" s="56" t="n"/>
      <c r="J733" s="57" t="n">
        <v>0.39</v>
      </c>
      <c r="K733" s="56" t="inlineStr">
        <is>
          <t>account data velocity</t>
        </is>
      </c>
      <c r="L733" s="58" t="n">
        <v>2.9761</v>
      </c>
      <c r="M733" s="56" t="inlineStr">
        <is>
          <t>own BFCM 2025 lift (account data)</t>
        </is>
      </c>
      <c r="N733" s="59">
        <f>J733*34+J733*L733*12</f>
        <v/>
      </c>
      <c r="O733" s="59">
        <f>MAX(0,N733-G733-H733)</f>
        <v/>
      </c>
      <c r="P733" s="60">
        <f>IF(J733=0,"",IF(G733&lt;J733*34,DATE(2026,10,15)+G733/J733,IF(G733&lt;N733,DATE(2026,11,18)+(G733-J733*34)/(J733*L733),"after Nov 30")))</f>
        <v/>
      </c>
      <c r="Q733" s="60">
        <f>IF(J733=0,"",IF(G733+H733&lt;J733*34,DATE(2026,10,15)+(G733+H733)/J733,IF(G733+H733&lt;N733,DATE(2026,11,18)+(G733+H733-J733*34)/(J733*L733),"after Nov 30")))</f>
        <v/>
      </c>
      <c r="R733" s="54">
        <f>IF(AND(G733&lt;=0,J733&gt;0),"Out of stock now",IF(G733&gt;=N733,"Covered to Nov 30",IF(G733+H733&gt;=N733,"Needs inbound in time","Short even with inbound")))</f>
        <v/>
      </c>
      <c r="S733" s="57" t="n">
        <v>0.25</v>
      </c>
      <c r="T733" s="59">
        <f>IF(S733="","",S733*34+S733*L733*12)</f>
        <v/>
      </c>
    </row>
    <row r="734">
      <c r="A734" s="54" t="inlineStr">
        <is>
          <t>CA DC S6</t>
        </is>
      </c>
      <c r="B734" s="54" t="inlineStr">
        <is>
          <t>CA</t>
        </is>
      </c>
      <c r="C734" s="54" t="inlineStr">
        <is>
          <t>B0D9QQHLK8</t>
        </is>
      </c>
      <c r="D734" s="54" t="inlineStr">
        <is>
          <t>SATIN-6PC-QUEEN-NAVY BLUE</t>
        </is>
      </c>
      <c r="E734" s="54" t="inlineStr">
        <is>
          <t>Queen</t>
        </is>
      </c>
      <c r="F734" s="54" t="inlineStr">
        <is>
          <t>Navy Blue</t>
        </is>
      </c>
      <c r="G734" s="55" t="n">
        <v>27</v>
      </c>
      <c r="H734" s="55" t="n">
        <v>0</v>
      </c>
      <c r="I734" s="56" t="n"/>
      <c r="J734" s="57" t="n">
        <v>0.37</v>
      </c>
      <c r="K734" s="56" t="inlineStr">
        <is>
          <t>account data velocity</t>
        </is>
      </c>
      <c r="L734" s="58" t="n">
        <v>2.9761</v>
      </c>
      <c r="M734" s="56" t="inlineStr">
        <is>
          <t>own BFCM 2025 lift (account data)</t>
        </is>
      </c>
      <c r="N734" s="59">
        <f>J734*34+J734*L734*12</f>
        <v/>
      </c>
      <c r="O734" s="59">
        <f>MAX(0,N734-G734-H734)</f>
        <v/>
      </c>
      <c r="P734" s="60">
        <f>IF(J734=0,"",IF(G734&lt;J734*34,DATE(2026,10,15)+G734/J734,IF(G734&lt;N734,DATE(2026,11,18)+(G734-J734*34)/(J734*L734),"after Nov 30")))</f>
        <v/>
      </c>
      <c r="Q734" s="60">
        <f>IF(J734=0,"",IF(G734+H734&lt;J734*34,DATE(2026,10,15)+(G734+H734)/J734,IF(G734+H734&lt;N734,DATE(2026,11,18)+(G734+H734-J734*34)/(J734*L734),"after Nov 30")))</f>
        <v/>
      </c>
      <c r="R734" s="54">
        <f>IF(AND(G734&lt;=0,J734&gt;0),"Out of stock now",IF(G734&gt;=N734,"Covered to Nov 30",IF(G734+H734&gt;=N734,"Needs inbound in time","Short even with inbound")))</f>
        <v/>
      </c>
      <c r="S734" s="57" t="n">
        <v>0.25</v>
      </c>
      <c r="T734" s="59">
        <f>IF(S734="","",S734*34+S734*L734*12)</f>
        <v/>
      </c>
    </row>
    <row r="735">
      <c r="A735" s="54" t="inlineStr">
        <is>
          <t>CA DC S6</t>
        </is>
      </c>
      <c r="B735" s="54" t="inlineStr">
        <is>
          <t>CA</t>
        </is>
      </c>
      <c r="C735" s="54" t="inlineStr">
        <is>
          <t>B0C7FQQH6V</t>
        </is>
      </c>
      <c r="D735" s="54" t="inlineStr">
        <is>
          <t>SATIN-KING-PURPLE-6PCS</t>
        </is>
      </c>
      <c r="E735" s="54" t="inlineStr">
        <is>
          <t>King</t>
        </is>
      </c>
      <c r="F735" s="54" t="inlineStr">
        <is>
          <t>Purple</t>
        </is>
      </c>
      <c r="G735" s="55" t="n">
        <v>0</v>
      </c>
      <c r="H735" s="55" t="n">
        <v>0</v>
      </c>
      <c r="I735" s="56" t="n"/>
      <c r="J735" s="57" t="n">
        <v>0.35</v>
      </c>
      <c r="K735" s="56" t="inlineStr">
        <is>
          <t>account data velocity</t>
        </is>
      </c>
      <c r="L735" s="58" t="n">
        <v>2.9761</v>
      </c>
      <c r="M735" s="56" t="inlineStr">
        <is>
          <t>own BFCM 2025 lift (account data)</t>
        </is>
      </c>
      <c r="N735" s="59">
        <f>J735*34+J735*L735*12</f>
        <v/>
      </c>
      <c r="O735" s="59">
        <f>MAX(0,N735-G735-H735)</f>
        <v/>
      </c>
      <c r="P735" s="60">
        <f>IF(J735=0,"",IF(G735&lt;J735*34,DATE(2026,10,15)+G735/J735,IF(G735&lt;N735,DATE(2026,11,18)+(G735-J735*34)/(J735*L735),"after Nov 30")))</f>
        <v/>
      </c>
      <c r="Q735" s="60">
        <f>IF(J735=0,"",IF(G735+H735&lt;J735*34,DATE(2026,10,15)+(G735+H735)/J735,IF(G735+H735&lt;N735,DATE(2026,11,18)+(G735+H735-J735*34)/(J735*L735),"after Nov 30")))</f>
        <v/>
      </c>
      <c r="R735" s="54">
        <f>IF(AND(G735&lt;=0,J735&gt;0),"Out of stock now",IF(G735&gt;=N735,"Covered to Nov 30",IF(G735+H735&gt;=N735,"Needs inbound in time","Short even with inbound")))</f>
        <v/>
      </c>
      <c r="S735" s="57" t="n">
        <v>0.321</v>
      </c>
      <c r="T735" s="59">
        <f>IF(S735="","",S735*34+S735*L735*12)</f>
        <v/>
      </c>
    </row>
    <row r="736">
      <c r="A736" s="54" t="inlineStr">
        <is>
          <t>CA DC S6</t>
        </is>
      </c>
      <c r="B736" s="54" t="inlineStr">
        <is>
          <t>CA</t>
        </is>
      </c>
      <c r="C736" s="54" t="inlineStr">
        <is>
          <t>B0C7FD1CLN</t>
        </is>
      </c>
      <c r="D736" s="54" t="inlineStr">
        <is>
          <t>SATIN-SEA-TEAL-QUEEN-6PCS</t>
        </is>
      </c>
      <c r="E736" s="54" t="inlineStr">
        <is>
          <t>Queen</t>
        </is>
      </c>
      <c r="F736" s="54" t="inlineStr">
        <is>
          <t>Sea Teal</t>
        </is>
      </c>
      <c r="G736" s="55" t="n">
        <v>0</v>
      </c>
      <c r="H736" s="55" t="n">
        <v>0</v>
      </c>
      <c r="I736" s="56" t="inlineStr">
        <is>
          <t>FBA19KGF9QJN shipped: 410</t>
        </is>
      </c>
      <c r="J736" s="57" t="n">
        <v>0.34</v>
      </c>
      <c r="K736" s="56" t="inlineStr">
        <is>
          <t>account data velocity</t>
        </is>
      </c>
      <c r="L736" s="58" t="n">
        <v>2.9761</v>
      </c>
      <c r="M736" s="56" t="inlineStr">
        <is>
          <t>own BFCM 2025 lift (account data)</t>
        </is>
      </c>
      <c r="N736" s="59">
        <f>J736*34+J736*L736*12</f>
        <v/>
      </c>
      <c r="O736" s="59">
        <f>MAX(0,N736-G736-H736)</f>
        <v/>
      </c>
      <c r="P736" s="60">
        <f>IF(J736=0,"",IF(G736&lt;J736*34,DATE(2026,10,15)+G736/J736,IF(G736&lt;N736,DATE(2026,11,18)+(G736-J736*34)/(J736*L736),"after Nov 30")))</f>
        <v/>
      </c>
      <c r="Q736" s="60">
        <f>IF(J736=0,"",IF(G736+H736&lt;J736*34,DATE(2026,10,15)+(G736+H736)/J736,IF(G736+H736&lt;N736,DATE(2026,11,18)+(G736+H736-J736*34)/(J736*L736),"after Nov 30")))</f>
        <v/>
      </c>
      <c r="R736" s="54">
        <f>IF(AND(G736&lt;=0,J736&gt;0),"Out of stock now",IF(G736&gt;=N736,"Covered to Nov 30",IF(G736+H736&gt;=N736,"Needs inbound in time","Short even with inbound")))</f>
        <v/>
      </c>
      <c r="S736" s="57" t="n">
        <v>0.036</v>
      </c>
      <c r="T736" s="59">
        <f>IF(S736="","",S736*34+S736*L736*12)</f>
        <v/>
      </c>
    </row>
    <row r="737">
      <c r="A737" s="54" t="inlineStr">
        <is>
          <t>CA DC S6</t>
        </is>
      </c>
      <c r="B737" s="54" t="inlineStr">
        <is>
          <t>CA</t>
        </is>
      </c>
      <c r="C737" s="54" t="inlineStr">
        <is>
          <t>B0C7K438ML</t>
        </is>
      </c>
      <c r="D737" s="54" t="inlineStr">
        <is>
          <t>SATIN-STRIPE-QUEEN-GRAY--6-PCS</t>
        </is>
      </c>
      <c r="E737" s="54" t="inlineStr">
        <is>
          <t>Queen</t>
        </is>
      </c>
      <c r="F737" s="54" t="inlineStr">
        <is>
          <t>Striped Grey</t>
        </is>
      </c>
      <c r="G737" s="55" t="n">
        <v>7</v>
      </c>
      <c r="H737" s="55" t="n">
        <v>0</v>
      </c>
      <c r="I737" s="56" t="n"/>
      <c r="J737" s="57" t="n">
        <v>0.32</v>
      </c>
      <c r="K737" s="56" t="inlineStr">
        <is>
          <t>account data velocity</t>
        </is>
      </c>
      <c r="L737" s="58" t="n">
        <v>2.9761</v>
      </c>
      <c r="M737" s="56" t="inlineStr">
        <is>
          <t>own BFCM 2025 lift (account data)</t>
        </is>
      </c>
      <c r="N737" s="59">
        <f>J737*34+J737*L737*12</f>
        <v/>
      </c>
      <c r="O737" s="59">
        <f>MAX(0,N737-G737-H737)</f>
        <v/>
      </c>
      <c r="P737" s="60">
        <f>IF(J737=0,"",IF(G737&lt;J737*34,DATE(2026,10,15)+G737/J737,IF(G737&lt;N737,DATE(2026,11,18)+(G737-J737*34)/(J737*L737),"after Nov 30")))</f>
        <v/>
      </c>
      <c r="Q737" s="60">
        <f>IF(J737=0,"",IF(G737+H737&lt;J737*34,DATE(2026,10,15)+(G737+H737)/J737,IF(G737+H737&lt;N737,DATE(2026,11,18)+(G737+H737-J737*34)/(J737*L737),"after Nov 30")))</f>
        <v/>
      </c>
      <c r="R737" s="54">
        <f>IF(AND(G737&lt;=0,J737&gt;0),"Out of stock now",IF(G737&gt;=N737,"Covered to Nov 30",IF(G737+H737&gt;=N737,"Needs inbound in time","Short even with inbound")))</f>
        <v/>
      </c>
      <c r="S737" s="57" t="n">
        <v>0.107</v>
      </c>
      <c r="T737" s="59">
        <f>IF(S737="","",S737*34+S737*L737*12)</f>
        <v/>
      </c>
    </row>
    <row r="738">
      <c r="A738" s="54" t="inlineStr">
        <is>
          <t>CA DC S6</t>
        </is>
      </c>
      <c r="B738" s="54" t="inlineStr">
        <is>
          <t>CA</t>
        </is>
      </c>
      <c r="C738" s="54" t="inlineStr">
        <is>
          <t>B0C7KBFK2P</t>
        </is>
      </c>
      <c r="D738" s="54" t="inlineStr">
        <is>
          <t>SATIN-STRIPE-KING-GOLD--6-PCS</t>
        </is>
      </c>
      <c r="E738" s="54" t="inlineStr">
        <is>
          <t>King</t>
        </is>
      </c>
      <c r="F738" s="54" t="inlineStr">
        <is>
          <t>Striped Gold</t>
        </is>
      </c>
      <c r="G738" s="55" t="n">
        <v>0</v>
      </c>
      <c r="H738" s="55" t="n">
        <v>0</v>
      </c>
      <c r="I738" s="56" t="n"/>
      <c r="J738" s="57" t="n">
        <v>0.3</v>
      </c>
      <c r="K738" s="56" t="inlineStr">
        <is>
          <t>account data velocity</t>
        </is>
      </c>
      <c r="L738" s="58" t="n">
        <v>2.9761</v>
      </c>
      <c r="M738" s="56" t="inlineStr">
        <is>
          <t>own BFCM 2025 lift (account data)</t>
        </is>
      </c>
      <c r="N738" s="59">
        <f>J738*34+J738*L738*12</f>
        <v/>
      </c>
      <c r="O738" s="59">
        <f>MAX(0,N738-G738-H738)</f>
        <v/>
      </c>
      <c r="P738" s="60">
        <f>IF(J738=0,"",IF(G738&lt;J738*34,DATE(2026,10,15)+G738/J738,IF(G738&lt;N738,DATE(2026,11,18)+(G738-J738*34)/(J738*L738),"after Nov 30")))</f>
        <v/>
      </c>
      <c r="Q738" s="60">
        <f>IF(J738=0,"",IF(G738+H738&lt;J738*34,DATE(2026,10,15)+(G738+H738)/J738,IF(G738+H738&lt;N738,DATE(2026,11,18)+(G738+H738-J738*34)/(J738*L738),"after Nov 30")))</f>
        <v/>
      </c>
      <c r="R738" s="54">
        <f>IF(AND(G738&lt;=0,J738&gt;0),"Out of stock now",IF(G738&gt;=N738,"Covered to Nov 30",IF(G738+H738&gt;=N738,"Needs inbound in time","Short even with inbound")))</f>
        <v/>
      </c>
      <c r="S738" s="57" t="n"/>
      <c r="T738" s="59">
        <f>IF(S738="","",S738*34+S738*L738*12)</f>
        <v/>
      </c>
    </row>
    <row r="739">
      <c r="A739" s="54" t="inlineStr">
        <is>
          <t>CA DC S6</t>
        </is>
      </c>
      <c r="B739" s="54" t="inlineStr">
        <is>
          <t>CA</t>
        </is>
      </c>
      <c r="C739" s="54" t="inlineStr">
        <is>
          <t>B0C7F5VMC8</t>
        </is>
      </c>
      <c r="D739" s="54" t="inlineStr">
        <is>
          <t>SATIN-WHITE-KING-6PCS</t>
        </is>
      </c>
      <c r="E739" s="54" t="inlineStr">
        <is>
          <t>King</t>
        </is>
      </c>
      <c r="F739" s="54" t="inlineStr">
        <is>
          <t>White</t>
        </is>
      </c>
      <c r="G739" s="55" t="n">
        <v>3</v>
      </c>
      <c r="H739" s="55" t="n">
        <v>0</v>
      </c>
      <c r="I739" s="56" t="n"/>
      <c r="J739" s="57" t="n">
        <v>0.27</v>
      </c>
      <c r="K739" s="56" t="inlineStr">
        <is>
          <t>account data velocity</t>
        </is>
      </c>
      <c r="L739" s="58" t="n">
        <v>2.9761</v>
      </c>
      <c r="M739" s="56" t="inlineStr">
        <is>
          <t>own BFCM 2025 lift (account data)</t>
        </is>
      </c>
      <c r="N739" s="59">
        <f>J739*34+J739*L739*12</f>
        <v/>
      </c>
      <c r="O739" s="59">
        <f>MAX(0,N739-G739-H739)</f>
        <v/>
      </c>
      <c r="P739" s="60">
        <f>IF(J739=0,"",IF(G739&lt;J739*34,DATE(2026,10,15)+G739/J739,IF(G739&lt;N739,DATE(2026,11,18)+(G739-J739*34)/(J739*L739),"after Nov 30")))</f>
        <v/>
      </c>
      <c r="Q739" s="60">
        <f>IF(J739=0,"",IF(G739+H739&lt;J739*34,DATE(2026,10,15)+(G739+H739)/J739,IF(G739+H739&lt;N739,DATE(2026,11,18)+(G739+H739-J739*34)/(J739*L739),"after Nov 30")))</f>
        <v/>
      </c>
      <c r="R739" s="54">
        <f>IF(AND(G739&lt;=0,J739&gt;0),"Out of stock now",IF(G739&gt;=N739,"Covered to Nov 30",IF(G739+H739&gt;=N739,"Needs inbound in time","Short even with inbound")))</f>
        <v/>
      </c>
      <c r="S739" s="57" t="n">
        <v>0.321</v>
      </c>
      <c r="T739" s="59">
        <f>IF(S739="","",S739*34+S739*L739*12)</f>
        <v/>
      </c>
    </row>
    <row r="740">
      <c r="A740" s="54" t="inlineStr">
        <is>
          <t>CA DC S6</t>
        </is>
      </c>
      <c r="B740" s="54" t="inlineStr">
        <is>
          <t>CA</t>
        </is>
      </c>
      <c r="C740" s="54" t="inlineStr">
        <is>
          <t>B0C7FSZHXL</t>
        </is>
      </c>
      <c r="D740" s="54" t="inlineStr">
        <is>
          <t>SATIN-SEA-TEAL-KING-6PCS</t>
        </is>
      </c>
      <c r="E740" s="54" t="inlineStr">
        <is>
          <t>King</t>
        </is>
      </c>
      <c r="F740" s="54" t="inlineStr">
        <is>
          <t>Sea Teal</t>
        </is>
      </c>
      <c r="G740" s="55" t="n">
        <v>18</v>
      </c>
      <c r="H740" s="55" t="n">
        <v>78</v>
      </c>
      <c r="I740" s="56" t="inlineStr">
        <is>
          <t>FBA19MV0YVFX shipped: 18</t>
        </is>
      </c>
      <c r="J740" s="57" t="n">
        <v>0.27</v>
      </c>
      <c r="K740" s="56" t="inlineStr">
        <is>
          <t>account data velocity</t>
        </is>
      </c>
      <c r="L740" s="58" t="n">
        <v>2.9761</v>
      </c>
      <c r="M740" s="56" t="inlineStr">
        <is>
          <t>own BFCM 2025 lift (account data)</t>
        </is>
      </c>
      <c r="N740" s="59">
        <f>J740*34+J740*L740*12</f>
        <v/>
      </c>
      <c r="O740" s="59">
        <f>MAX(0,N740-G740-H740)</f>
        <v/>
      </c>
      <c r="P740" s="60">
        <f>IF(J740=0,"",IF(G740&lt;J740*34,DATE(2026,10,15)+G740/J740,IF(G740&lt;N740,DATE(2026,11,18)+(G740-J740*34)/(J740*L740),"after Nov 30")))</f>
        <v/>
      </c>
      <c r="Q740" s="60">
        <f>IF(J740=0,"",IF(G740+H740&lt;J740*34,DATE(2026,10,15)+(G740+H740)/J740,IF(G740+H740&lt;N740,DATE(2026,11,18)+(G740+H740-J740*34)/(J740*L740),"after Nov 30")))</f>
        <v/>
      </c>
      <c r="R740" s="54">
        <f>IF(AND(G740&lt;=0,J740&gt;0),"Out of stock now",IF(G740&gt;=N740,"Covered to Nov 30",IF(G740+H740&gt;=N740,"Needs inbound in time","Short even with inbound")))</f>
        <v/>
      </c>
      <c r="S740" s="57" t="n">
        <v>0.143</v>
      </c>
      <c r="T740" s="59">
        <f>IF(S740="","",S740*34+S740*L740*12)</f>
        <v/>
      </c>
    </row>
    <row r="741">
      <c r="A741" s="54" t="inlineStr">
        <is>
          <t>CA DC S6</t>
        </is>
      </c>
      <c r="B741" s="54" t="inlineStr">
        <is>
          <t>CA</t>
        </is>
      </c>
      <c r="C741" s="54" t="inlineStr">
        <is>
          <t>B0D9QR66X1</t>
        </is>
      </c>
      <c r="D741" s="54" t="inlineStr">
        <is>
          <t>SATIN-6PC-QUEEN-BLUSH PINK</t>
        </is>
      </c>
      <c r="E741" s="54" t="inlineStr">
        <is>
          <t>Queen</t>
        </is>
      </c>
      <c r="F741" s="54" t="inlineStr">
        <is>
          <t>Blush Pink</t>
        </is>
      </c>
      <c r="G741" s="55" t="n">
        <v>21</v>
      </c>
      <c r="H741" s="55" t="n">
        <v>0</v>
      </c>
      <c r="I741" s="56" t="n"/>
      <c r="J741" s="57" t="n">
        <v>0.25</v>
      </c>
      <c r="K741" s="56" t="inlineStr">
        <is>
          <t>account data velocity</t>
        </is>
      </c>
      <c r="L741" s="58" t="n">
        <v>2.9761</v>
      </c>
      <c r="M741" s="56" t="inlineStr">
        <is>
          <t>own BFCM 2025 lift (account data)</t>
        </is>
      </c>
      <c r="N741" s="59">
        <f>J741*34+J741*L741*12</f>
        <v/>
      </c>
      <c r="O741" s="59">
        <f>MAX(0,N741-G741-H741)</f>
        <v/>
      </c>
      <c r="P741" s="60">
        <f>IF(J741=0,"",IF(G741&lt;J741*34,DATE(2026,10,15)+G741/J741,IF(G741&lt;N741,DATE(2026,11,18)+(G741-J741*34)/(J741*L741),"after Nov 30")))</f>
        <v/>
      </c>
      <c r="Q741" s="60">
        <f>IF(J741=0,"",IF(G741+H741&lt;J741*34,DATE(2026,10,15)+(G741+H741)/J741,IF(G741+H741&lt;N741,DATE(2026,11,18)+(G741+H741-J741*34)/(J741*L741),"after Nov 30")))</f>
        <v/>
      </c>
      <c r="R741" s="54">
        <f>IF(AND(G741&lt;=0,J741&gt;0),"Out of stock now",IF(G741&gt;=N741,"Covered to Nov 30",IF(G741+H741&gt;=N741,"Needs inbound in time","Short even with inbound")))</f>
        <v/>
      </c>
      <c r="S741" s="57" t="n">
        <v>0.107</v>
      </c>
      <c r="T741" s="59">
        <f>IF(S741="","",S741*34+S741*L741*12)</f>
        <v/>
      </c>
    </row>
    <row r="742">
      <c r="A742" s="54" t="inlineStr">
        <is>
          <t>CA DC S6</t>
        </is>
      </c>
      <c r="B742" s="54" t="inlineStr">
        <is>
          <t>CA</t>
        </is>
      </c>
      <c r="C742" s="54" t="inlineStr">
        <is>
          <t>B0C7FPM5CR</t>
        </is>
      </c>
      <c r="D742" s="54" t="inlineStr">
        <is>
          <t>SATIN-GOLD-QUEEN-6PCS</t>
        </is>
      </c>
      <c r="E742" s="54" t="inlineStr">
        <is>
          <t>Queen</t>
        </is>
      </c>
      <c r="F742" s="54" t="inlineStr">
        <is>
          <t>Gold</t>
        </is>
      </c>
      <c r="G742" s="55" t="n">
        <v>20</v>
      </c>
      <c r="H742" s="55" t="n">
        <v>0</v>
      </c>
      <c r="I742" s="56" t="n"/>
      <c r="J742" s="57" t="n">
        <v>0.25</v>
      </c>
      <c r="K742" s="56" t="inlineStr">
        <is>
          <t>account data velocity</t>
        </is>
      </c>
      <c r="L742" s="58" t="n">
        <v>2.9761</v>
      </c>
      <c r="M742" s="56" t="inlineStr">
        <is>
          <t>own BFCM 2025 lift (account data)</t>
        </is>
      </c>
      <c r="N742" s="59">
        <f>J742*34+J742*L742*12</f>
        <v/>
      </c>
      <c r="O742" s="59">
        <f>MAX(0,N742-G742-H742)</f>
        <v/>
      </c>
      <c r="P742" s="60">
        <f>IF(J742=0,"",IF(G742&lt;J742*34,DATE(2026,10,15)+G742/J742,IF(G742&lt;N742,DATE(2026,11,18)+(G742-J742*34)/(J742*L742),"after Nov 30")))</f>
        <v/>
      </c>
      <c r="Q742" s="60">
        <f>IF(J742=0,"",IF(G742+H742&lt;J742*34,DATE(2026,10,15)+(G742+H742)/J742,IF(G742+H742&lt;N742,DATE(2026,11,18)+(G742+H742-J742*34)/(J742*L742),"after Nov 30")))</f>
        <v/>
      </c>
      <c r="R742" s="54">
        <f>IF(AND(G742&lt;=0,J742&gt;0),"Out of stock now",IF(G742&gt;=N742,"Covered to Nov 30",IF(G742+H742&gt;=N742,"Needs inbound in time","Short even with inbound")))</f>
        <v/>
      </c>
      <c r="S742" s="57" t="n">
        <v>0</v>
      </c>
      <c r="T742" s="59">
        <f>IF(S742="","",S742*34+S742*L742*12)</f>
        <v/>
      </c>
    </row>
    <row r="743">
      <c r="A743" s="54" t="inlineStr">
        <is>
          <t>CA DC S6</t>
        </is>
      </c>
      <c r="B743" s="54" t="inlineStr">
        <is>
          <t>CA</t>
        </is>
      </c>
      <c r="C743" s="54" t="inlineStr">
        <is>
          <t>B0C7F5ZR17</t>
        </is>
      </c>
      <c r="D743" s="54" t="inlineStr">
        <is>
          <t>SATIN-QUEEN-GREY-6PCS</t>
        </is>
      </c>
      <c r="E743" s="54" t="inlineStr">
        <is>
          <t>Queen</t>
        </is>
      </c>
      <c r="F743" s="54" t="inlineStr">
        <is>
          <t>Grey</t>
        </is>
      </c>
      <c r="G743" s="55" t="n">
        <v>0</v>
      </c>
      <c r="H743" s="55" t="n">
        <v>0</v>
      </c>
      <c r="I743" s="56" t="n"/>
      <c r="J743" s="57" t="n">
        <v>0.24</v>
      </c>
      <c r="K743" s="56" t="inlineStr">
        <is>
          <t>account data velocity</t>
        </is>
      </c>
      <c r="L743" s="58" t="n">
        <v>2.9761</v>
      </c>
      <c r="M743" s="56" t="inlineStr">
        <is>
          <t>own BFCM 2025 lift (account data)</t>
        </is>
      </c>
      <c r="N743" s="59">
        <f>J743*34+J743*L743*12</f>
        <v/>
      </c>
      <c r="O743" s="59">
        <f>MAX(0,N743-G743-H743)</f>
        <v/>
      </c>
      <c r="P743" s="60">
        <f>IF(J743=0,"",IF(G743&lt;J743*34,DATE(2026,10,15)+G743/J743,IF(G743&lt;N743,DATE(2026,11,18)+(G743-J743*34)/(J743*L743),"after Nov 30")))</f>
        <v/>
      </c>
      <c r="Q743" s="60">
        <f>IF(J743=0,"",IF(G743+H743&lt;J743*34,DATE(2026,10,15)+(G743+H743)/J743,IF(G743+H743&lt;N743,DATE(2026,11,18)+(G743+H743-J743*34)/(J743*L743),"after Nov 30")))</f>
        <v/>
      </c>
      <c r="R743" s="54">
        <f>IF(AND(G743&lt;=0,J743&gt;0),"Out of stock now",IF(G743&gt;=N743,"Covered to Nov 30",IF(G743+H743&gt;=N743,"Needs inbound in time","Short even with inbound")))</f>
        <v/>
      </c>
      <c r="S743" s="57" t="n">
        <v>0.143</v>
      </c>
      <c r="T743" s="59">
        <f>IF(S743="","",S743*34+S743*L743*12)</f>
        <v/>
      </c>
    </row>
    <row r="744">
      <c r="A744" s="54" t="inlineStr">
        <is>
          <t>CA DC S6</t>
        </is>
      </c>
      <c r="B744" s="54" t="inlineStr">
        <is>
          <t>CA</t>
        </is>
      </c>
      <c r="C744" s="54" t="inlineStr">
        <is>
          <t>B0C7FBBPL1</t>
        </is>
      </c>
      <c r="D744" s="54" t="inlineStr">
        <is>
          <t>SATIN-KING-BLUE-6PCS</t>
        </is>
      </c>
      <c r="E744" s="54" t="inlineStr">
        <is>
          <t>King</t>
        </is>
      </c>
      <c r="F744" s="54" t="inlineStr">
        <is>
          <t>Blue</t>
        </is>
      </c>
      <c r="G744" s="55" t="n">
        <v>14</v>
      </c>
      <c r="H744" s="55" t="n">
        <v>0</v>
      </c>
      <c r="I744" s="56" t="n"/>
      <c r="J744" s="57" t="n">
        <v>0.23</v>
      </c>
      <c r="K744" s="56" t="inlineStr">
        <is>
          <t>account data velocity</t>
        </is>
      </c>
      <c r="L744" s="58" t="n">
        <v>2.9761</v>
      </c>
      <c r="M744" s="56" t="inlineStr">
        <is>
          <t>own BFCM 2025 lift (account data)</t>
        </is>
      </c>
      <c r="N744" s="59">
        <f>J744*34+J744*L744*12</f>
        <v/>
      </c>
      <c r="O744" s="59">
        <f>MAX(0,N744-G744-H744)</f>
        <v/>
      </c>
      <c r="P744" s="60">
        <f>IF(J744=0,"",IF(G744&lt;J744*34,DATE(2026,10,15)+G744/J744,IF(G744&lt;N744,DATE(2026,11,18)+(G744-J744*34)/(J744*L744),"after Nov 30")))</f>
        <v/>
      </c>
      <c r="Q744" s="60">
        <f>IF(J744=0,"",IF(G744+H744&lt;J744*34,DATE(2026,10,15)+(G744+H744)/J744,IF(G744+H744&lt;N744,DATE(2026,11,18)+(G744+H744-J744*34)/(J744*L744),"after Nov 30")))</f>
        <v/>
      </c>
      <c r="R744" s="54">
        <f>IF(AND(G744&lt;=0,J744&gt;0),"Out of stock now",IF(G744&gt;=N744,"Covered to Nov 30",IF(G744+H744&gt;=N744,"Needs inbound in time","Short even with inbound")))</f>
        <v/>
      </c>
      <c r="S744" s="57" t="n">
        <v>0.107</v>
      </c>
      <c r="T744" s="59">
        <f>IF(S744="","",S744*34+S744*L744*12)</f>
        <v/>
      </c>
    </row>
    <row r="745">
      <c r="A745" s="54" t="inlineStr">
        <is>
          <t>CA DC S6</t>
        </is>
      </c>
      <c r="B745" s="54" t="inlineStr">
        <is>
          <t>CA</t>
        </is>
      </c>
      <c r="C745" s="54" t="inlineStr">
        <is>
          <t>B0C7FMYDFC</t>
        </is>
      </c>
      <c r="D745" s="54" t="inlineStr">
        <is>
          <t>SATIN-GOLD-KING-6PCS</t>
        </is>
      </c>
      <c r="E745" s="54" t="inlineStr">
        <is>
          <t>King</t>
        </is>
      </c>
      <c r="F745" s="54" t="inlineStr">
        <is>
          <t>Gold</t>
        </is>
      </c>
      <c r="G745" s="55" t="n">
        <v>24</v>
      </c>
      <c r="H745" s="55" t="n">
        <v>0</v>
      </c>
      <c r="I745" s="56" t="n"/>
      <c r="J745" s="57" t="n">
        <v>0.22</v>
      </c>
      <c r="K745" s="56" t="inlineStr">
        <is>
          <t>account data velocity</t>
        </is>
      </c>
      <c r="L745" s="58" t="n">
        <v>2.9761</v>
      </c>
      <c r="M745" s="56" t="inlineStr">
        <is>
          <t>own BFCM 2025 lift (account data)</t>
        </is>
      </c>
      <c r="N745" s="59">
        <f>J745*34+J745*L745*12</f>
        <v/>
      </c>
      <c r="O745" s="59">
        <f>MAX(0,N745-G745-H745)</f>
        <v/>
      </c>
      <c r="P745" s="60">
        <f>IF(J745=0,"",IF(G745&lt;J745*34,DATE(2026,10,15)+G745/J745,IF(G745&lt;N745,DATE(2026,11,18)+(G745-J745*34)/(J745*L745),"after Nov 30")))</f>
        <v/>
      </c>
      <c r="Q745" s="60">
        <f>IF(J745=0,"",IF(G745+H745&lt;J745*34,DATE(2026,10,15)+(G745+H745)/J745,IF(G745+H745&lt;N745,DATE(2026,11,18)+(G745+H745-J745*34)/(J745*L745),"after Nov 30")))</f>
        <v/>
      </c>
      <c r="R745" s="54">
        <f>IF(AND(G745&lt;=0,J745&gt;0),"Out of stock now",IF(G745&gt;=N745,"Covered to Nov 30",IF(G745+H745&gt;=N745,"Needs inbound in time","Short even with inbound")))</f>
        <v/>
      </c>
      <c r="S745" s="57" t="n">
        <v>0.179</v>
      </c>
      <c r="T745" s="59">
        <f>IF(S745="","",S745*34+S745*L745*12)</f>
        <v/>
      </c>
    </row>
    <row r="746">
      <c r="A746" s="54" t="inlineStr">
        <is>
          <t>CA DC S6</t>
        </is>
      </c>
      <c r="B746" s="54" t="inlineStr">
        <is>
          <t>CA</t>
        </is>
      </c>
      <c r="C746" s="54" t="inlineStr">
        <is>
          <t>B0C7KB53RJ</t>
        </is>
      </c>
      <c r="D746" s="54" t="inlineStr">
        <is>
          <t>SATIN-STRIPE-FULL-BLACK--6-PCS</t>
        </is>
      </c>
      <c r="E746" s="54" t="inlineStr">
        <is>
          <t>Full</t>
        </is>
      </c>
      <c r="F746" s="54" t="inlineStr">
        <is>
          <t>Striped Black</t>
        </is>
      </c>
      <c r="G746" s="55" t="n">
        <v>21</v>
      </c>
      <c r="H746" s="55" t="n">
        <v>0</v>
      </c>
      <c r="I746" s="56" t="n"/>
      <c r="J746" s="57" t="n">
        <v>0.22</v>
      </c>
      <c r="K746" s="56" t="inlineStr">
        <is>
          <t>account data velocity</t>
        </is>
      </c>
      <c r="L746" s="58" t="n">
        <v>2.9761</v>
      </c>
      <c r="M746" s="56" t="inlineStr">
        <is>
          <t>own BFCM 2025 lift (account data)</t>
        </is>
      </c>
      <c r="N746" s="59">
        <f>J746*34+J746*L746*12</f>
        <v/>
      </c>
      <c r="O746" s="59">
        <f>MAX(0,N746-G746-H746)</f>
        <v/>
      </c>
      <c r="P746" s="60">
        <f>IF(J746=0,"",IF(G746&lt;J746*34,DATE(2026,10,15)+G746/J746,IF(G746&lt;N746,DATE(2026,11,18)+(G746-J746*34)/(J746*L746),"after Nov 30")))</f>
        <v/>
      </c>
      <c r="Q746" s="60">
        <f>IF(J746=0,"",IF(G746+H746&lt;J746*34,DATE(2026,10,15)+(G746+H746)/J746,IF(G746+H746&lt;N746,DATE(2026,11,18)+(G746+H746-J746*34)/(J746*L746),"after Nov 30")))</f>
        <v/>
      </c>
      <c r="R746" s="54">
        <f>IF(AND(G746&lt;=0,J746&gt;0),"Out of stock now",IF(G746&gt;=N746,"Covered to Nov 30",IF(G746+H746&gt;=N746,"Needs inbound in time","Short even with inbound")))</f>
        <v/>
      </c>
      <c r="S746" s="57" t="n">
        <v>0.036</v>
      </c>
      <c r="T746" s="59">
        <f>IF(S746="","",S746*34+S746*L746*12)</f>
        <v/>
      </c>
    </row>
    <row r="747">
      <c r="A747" s="54" t="inlineStr">
        <is>
          <t>CA DC S6</t>
        </is>
      </c>
      <c r="B747" s="54" t="inlineStr">
        <is>
          <t>CA</t>
        </is>
      </c>
      <c r="C747" s="54" t="inlineStr">
        <is>
          <t>B0D9QRNBSH</t>
        </is>
      </c>
      <c r="D747" s="54" t="inlineStr">
        <is>
          <t>SATIN-6PC-FULL-BURNT ORANGE</t>
        </is>
      </c>
      <c r="E747" s="54" t="inlineStr">
        <is>
          <t>Full</t>
        </is>
      </c>
      <c r="F747" s="54" t="inlineStr">
        <is>
          <t>Burnt Orange</t>
        </is>
      </c>
      <c r="G747" s="55" t="n">
        <v>1</v>
      </c>
      <c r="H747" s="55" t="n">
        <v>0</v>
      </c>
      <c r="I747" s="56" t="n"/>
      <c r="J747" s="57" t="n">
        <v>0.22</v>
      </c>
      <c r="K747" s="56" t="inlineStr">
        <is>
          <t>account data velocity</t>
        </is>
      </c>
      <c r="L747" s="58" t="n">
        <v>2.9761</v>
      </c>
      <c r="M747" s="56" t="inlineStr">
        <is>
          <t>own BFCM 2025 lift (account data)</t>
        </is>
      </c>
      <c r="N747" s="59">
        <f>J747*34+J747*L747*12</f>
        <v/>
      </c>
      <c r="O747" s="59">
        <f>MAX(0,N747-G747-H747)</f>
        <v/>
      </c>
      <c r="P747" s="60">
        <f>IF(J747=0,"",IF(G747&lt;J747*34,DATE(2026,10,15)+G747/J747,IF(G747&lt;N747,DATE(2026,11,18)+(G747-J747*34)/(J747*L747),"after Nov 30")))</f>
        <v/>
      </c>
      <c r="Q747" s="60">
        <f>IF(J747=0,"",IF(G747+H747&lt;J747*34,DATE(2026,10,15)+(G747+H747)/J747,IF(G747+H747&lt;N747,DATE(2026,11,18)+(G747+H747-J747*34)/(J747*L747),"after Nov 30")))</f>
        <v/>
      </c>
      <c r="R747" s="54">
        <f>IF(AND(G747&lt;=0,J747&gt;0),"Out of stock now",IF(G747&gt;=N747,"Covered to Nov 30",IF(G747+H747&gt;=N747,"Needs inbound in time","Short even with inbound")))</f>
        <v/>
      </c>
      <c r="S747" s="57" t="n">
        <v>0</v>
      </c>
      <c r="T747" s="59">
        <f>IF(S747="","",S747*34+S747*L747*12)</f>
        <v/>
      </c>
    </row>
    <row r="748">
      <c r="A748" s="54" t="inlineStr">
        <is>
          <t>CA DC S6</t>
        </is>
      </c>
      <c r="B748" s="54" t="inlineStr">
        <is>
          <t>CA</t>
        </is>
      </c>
      <c r="C748" s="54" t="inlineStr">
        <is>
          <t>B0C7K7NCKW</t>
        </is>
      </c>
      <c r="D748" s="54" t="inlineStr">
        <is>
          <t>SATIN-STRIPE-FULL-GRAY--6-PCS</t>
        </is>
      </c>
      <c r="E748" s="54" t="inlineStr">
        <is>
          <t>Full</t>
        </is>
      </c>
      <c r="F748" s="54" t="inlineStr">
        <is>
          <t>Striped Grey</t>
        </is>
      </c>
      <c r="G748" s="55" t="n">
        <v>5</v>
      </c>
      <c r="H748" s="55" t="n">
        <v>18</v>
      </c>
      <c r="I748" s="56" t="n"/>
      <c r="J748" s="57" t="n">
        <v>0.22</v>
      </c>
      <c r="K748" s="56" t="inlineStr">
        <is>
          <t>account data velocity</t>
        </is>
      </c>
      <c r="L748" s="58" t="n">
        <v>2.9761</v>
      </c>
      <c r="M748" s="56" t="inlineStr">
        <is>
          <t>own BFCM 2025 lift (account data)</t>
        </is>
      </c>
      <c r="N748" s="59">
        <f>J748*34+J748*L748*12</f>
        <v/>
      </c>
      <c r="O748" s="59">
        <f>MAX(0,N748-G748-H748)</f>
        <v/>
      </c>
      <c r="P748" s="60">
        <f>IF(J748=0,"",IF(G748&lt;J748*34,DATE(2026,10,15)+G748/J748,IF(G748&lt;N748,DATE(2026,11,18)+(G748-J748*34)/(J748*L748),"after Nov 30")))</f>
        <v/>
      </c>
      <c r="Q748" s="60">
        <f>IF(J748=0,"",IF(G748+H748&lt;J748*34,DATE(2026,10,15)+(G748+H748)/J748,IF(G748+H748&lt;N748,DATE(2026,11,18)+(G748+H748-J748*34)/(J748*L748),"after Nov 30")))</f>
        <v/>
      </c>
      <c r="R748" s="54">
        <f>IF(AND(G748&lt;=0,J748&gt;0),"Out of stock now",IF(G748&gt;=N748,"Covered to Nov 30",IF(G748+H748&gt;=N748,"Needs inbound in time","Short even with inbound")))</f>
        <v/>
      </c>
      <c r="S748" s="57" t="n">
        <v>0</v>
      </c>
      <c r="T748" s="59">
        <f>IF(S748="","",S748*34+S748*L748*12)</f>
        <v/>
      </c>
    </row>
    <row r="749">
      <c r="A749" s="54" t="inlineStr">
        <is>
          <t>CA DC S6</t>
        </is>
      </c>
      <c r="B749" s="54" t="inlineStr">
        <is>
          <t>CA</t>
        </is>
      </c>
      <c r="C749" s="54" t="inlineStr">
        <is>
          <t>B0C7FK58RV</t>
        </is>
      </c>
      <c r="D749" s="54" t="inlineStr">
        <is>
          <t>SATIN-TAUPE-QUEEN-6PCS</t>
        </is>
      </c>
      <c r="E749" s="54" t="inlineStr">
        <is>
          <t>Queen</t>
        </is>
      </c>
      <c r="F749" s="54" t="inlineStr">
        <is>
          <t>Taupe</t>
        </is>
      </c>
      <c r="G749" s="55" t="n">
        <v>5</v>
      </c>
      <c r="H749" s="55" t="n">
        <v>24</v>
      </c>
      <c r="I749" s="56" t="n"/>
      <c r="J749" s="57" t="n">
        <v>0.22</v>
      </c>
      <c r="K749" s="56" t="inlineStr">
        <is>
          <t>account data velocity</t>
        </is>
      </c>
      <c r="L749" s="58" t="n">
        <v>2.9761</v>
      </c>
      <c r="M749" s="56" t="inlineStr">
        <is>
          <t>own BFCM 2025 lift (account data)</t>
        </is>
      </c>
      <c r="N749" s="59">
        <f>J749*34+J749*L749*12</f>
        <v/>
      </c>
      <c r="O749" s="59">
        <f>MAX(0,N749-G749-H749)</f>
        <v/>
      </c>
      <c r="P749" s="60">
        <f>IF(J749=0,"",IF(G749&lt;J749*34,DATE(2026,10,15)+G749/J749,IF(G749&lt;N749,DATE(2026,11,18)+(G749-J749*34)/(J749*L749),"after Nov 30")))</f>
        <v/>
      </c>
      <c r="Q749" s="60">
        <f>IF(J749=0,"",IF(G749+H749&lt;J749*34,DATE(2026,10,15)+(G749+H749)/J749,IF(G749+H749&lt;N749,DATE(2026,11,18)+(G749+H749-J749*34)/(J749*L749),"after Nov 30")))</f>
        <v/>
      </c>
      <c r="R749" s="54">
        <f>IF(AND(G749&lt;=0,J749&gt;0),"Out of stock now",IF(G749&gt;=N749,"Covered to Nov 30",IF(G749+H749&gt;=N749,"Needs inbound in time","Short even with inbound")))</f>
        <v/>
      </c>
      <c r="S749" s="57" t="n">
        <v>0</v>
      </c>
      <c r="T749" s="59">
        <f>IF(S749="","",S749*34+S749*L749*12)</f>
        <v/>
      </c>
    </row>
    <row r="750">
      <c r="A750" s="54" t="inlineStr">
        <is>
          <t>CA DC S6</t>
        </is>
      </c>
      <c r="B750" s="54" t="inlineStr">
        <is>
          <t>CA</t>
        </is>
      </c>
      <c r="C750" s="54" t="inlineStr">
        <is>
          <t>B0C7FNQH3B</t>
        </is>
      </c>
      <c r="D750" s="54" t="inlineStr">
        <is>
          <t>SATIN-KING-GREY-6PCS</t>
        </is>
      </c>
      <c r="E750" s="54" t="inlineStr">
        <is>
          <t>King</t>
        </is>
      </c>
      <c r="F750" s="54" t="inlineStr">
        <is>
          <t>Grey</t>
        </is>
      </c>
      <c r="G750" s="55" t="n">
        <v>2</v>
      </c>
      <c r="H750" s="55" t="n">
        <v>0</v>
      </c>
      <c r="I750" s="56" t="n"/>
      <c r="J750" s="57" t="n">
        <v>0.19</v>
      </c>
      <c r="K750" s="56" t="inlineStr">
        <is>
          <t>account data velocity</t>
        </is>
      </c>
      <c r="L750" s="58" t="n">
        <v>2.9761</v>
      </c>
      <c r="M750" s="56" t="inlineStr">
        <is>
          <t>own BFCM 2025 lift (account data)</t>
        </is>
      </c>
      <c r="N750" s="59">
        <f>J750*34+J750*L750*12</f>
        <v/>
      </c>
      <c r="O750" s="59">
        <f>MAX(0,N750-G750-H750)</f>
        <v/>
      </c>
      <c r="P750" s="60">
        <f>IF(J750=0,"",IF(G750&lt;J750*34,DATE(2026,10,15)+G750/J750,IF(G750&lt;N750,DATE(2026,11,18)+(G750-J750*34)/(J750*L750),"after Nov 30")))</f>
        <v/>
      </c>
      <c r="Q750" s="60">
        <f>IF(J750=0,"",IF(G750+H750&lt;J750*34,DATE(2026,10,15)+(G750+H750)/J750,IF(G750+H750&lt;N750,DATE(2026,11,18)+(G750+H750-J750*34)/(J750*L750),"after Nov 30")))</f>
        <v/>
      </c>
      <c r="R750" s="54">
        <f>IF(AND(G750&lt;=0,J750&gt;0),"Out of stock now",IF(G750&gt;=N750,"Covered to Nov 30",IF(G750+H750&gt;=N750,"Needs inbound in time","Short even with inbound")))</f>
        <v/>
      </c>
      <c r="S750" s="57" t="n">
        <v>0.107</v>
      </c>
      <c r="T750" s="59">
        <f>IF(S750="","",S750*34+S750*L750*12)</f>
        <v/>
      </c>
    </row>
    <row r="751">
      <c r="A751" s="54" t="inlineStr">
        <is>
          <t>CA DC S6</t>
        </is>
      </c>
      <c r="B751" s="54" t="inlineStr">
        <is>
          <t>CA</t>
        </is>
      </c>
      <c r="C751" s="54" t="inlineStr">
        <is>
          <t>B0C7FJ461D</t>
        </is>
      </c>
      <c r="D751" s="54" t="inlineStr">
        <is>
          <t>SATIN-QUEEN-BLUE-6PCS</t>
        </is>
      </c>
      <c r="E751" s="54" t="inlineStr">
        <is>
          <t>Queen</t>
        </is>
      </c>
      <c r="F751" s="54" t="inlineStr">
        <is>
          <t>Blue</t>
        </is>
      </c>
      <c r="G751" s="55" t="n">
        <v>14</v>
      </c>
      <c r="H751" s="55" t="n">
        <v>6</v>
      </c>
      <c r="I751" s="56" t="inlineStr">
        <is>
          <t>FBA19MV0YVFX shipped: 6</t>
        </is>
      </c>
      <c r="J751" s="57" t="n">
        <v>0.18</v>
      </c>
      <c r="K751" s="56" t="inlineStr">
        <is>
          <t>account data velocity</t>
        </is>
      </c>
      <c r="L751" s="58" t="n">
        <v>2.9761</v>
      </c>
      <c r="M751" s="56" t="inlineStr">
        <is>
          <t>own BFCM 2025 lift (account data)</t>
        </is>
      </c>
      <c r="N751" s="59">
        <f>J751*34+J751*L751*12</f>
        <v/>
      </c>
      <c r="O751" s="59">
        <f>MAX(0,N751-G751-H751)</f>
        <v/>
      </c>
      <c r="P751" s="60">
        <f>IF(J751=0,"",IF(G751&lt;J751*34,DATE(2026,10,15)+G751/J751,IF(G751&lt;N751,DATE(2026,11,18)+(G751-J751*34)/(J751*L751),"after Nov 30")))</f>
        <v/>
      </c>
      <c r="Q751" s="60">
        <f>IF(J751=0,"",IF(G751+H751&lt;J751*34,DATE(2026,10,15)+(G751+H751)/J751,IF(G751+H751&lt;N751,DATE(2026,11,18)+(G751+H751-J751*34)/(J751*L751),"after Nov 30")))</f>
        <v/>
      </c>
      <c r="R751" s="54">
        <f>IF(AND(G751&lt;=0,J751&gt;0),"Out of stock now",IF(G751&gt;=N751,"Covered to Nov 30",IF(G751+H751&gt;=N751,"Needs inbound in time","Short even with inbound")))</f>
        <v/>
      </c>
      <c r="S751" s="57" t="n">
        <v>0.143</v>
      </c>
      <c r="T751" s="59">
        <f>IF(S751="","",S751*34+S751*L751*12)</f>
        <v/>
      </c>
    </row>
    <row r="752">
      <c r="A752" s="54" t="inlineStr">
        <is>
          <t>CA DC S6</t>
        </is>
      </c>
      <c r="B752" s="54" t="inlineStr">
        <is>
          <t>CA</t>
        </is>
      </c>
      <c r="C752" s="54" t="inlineStr">
        <is>
          <t>B0D9QR6YSH</t>
        </is>
      </c>
      <c r="D752" s="54" t="inlineStr">
        <is>
          <t>SATIN-6PC-FULL-LAVENDER</t>
        </is>
      </c>
      <c r="E752" s="54" t="inlineStr">
        <is>
          <t>Full</t>
        </is>
      </c>
      <c r="F752" s="54" t="inlineStr">
        <is>
          <t>Lavender</t>
        </is>
      </c>
      <c r="G752" s="55" t="n">
        <v>15</v>
      </c>
      <c r="H752" s="55" t="n">
        <v>0</v>
      </c>
      <c r="I752" s="56" t="n"/>
      <c r="J752" s="57" t="n">
        <v>0.17</v>
      </c>
      <c r="K752" s="56" t="inlineStr">
        <is>
          <t>account data velocity</t>
        </is>
      </c>
      <c r="L752" s="58" t="n">
        <v>2.9761</v>
      </c>
      <c r="M752" s="56" t="inlineStr">
        <is>
          <t>own BFCM 2025 lift (account data)</t>
        </is>
      </c>
      <c r="N752" s="59">
        <f>J752*34+J752*L752*12</f>
        <v/>
      </c>
      <c r="O752" s="59">
        <f>MAX(0,N752-G752-H752)</f>
        <v/>
      </c>
      <c r="P752" s="60">
        <f>IF(J752=0,"",IF(G752&lt;J752*34,DATE(2026,10,15)+G752/J752,IF(G752&lt;N752,DATE(2026,11,18)+(G752-J752*34)/(J752*L752),"after Nov 30")))</f>
        <v/>
      </c>
      <c r="Q752" s="60">
        <f>IF(J752=0,"",IF(G752+H752&lt;J752*34,DATE(2026,10,15)+(G752+H752)/J752,IF(G752+H752&lt;N752,DATE(2026,11,18)+(G752+H752-J752*34)/(J752*L752),"after Nov 30")))</f>
        <v/>
      </c>
      <c r="R752" s="54">
        <f>IF(AND(G752&lt;=0,J752&gt;0),"Out of stock now",IF(G752&gt;=N752,"Covered to Nov 30",IF(G752+H752&gt;=N752,"Needs inbound in time","Short even with inbound")))</f>
        <v/>
      </c>
      <c r="S752" s="57" t="n">
        <v>0.179</v>
      </c>
      <c r="T752" s="59">
        <f>IF(S752="","",S752*34+S752*L752*12)</f>
        <v/>
      </c>
    </row>
    <row r="753">
      <c r="A753" s="54" t="inlineStr">
        <is>
          <t>CA DC S6</t>
        </is>
      </c>
      <c r="B753" s="54" t="inlineStr">
        <is>
          <t>CA</t>
        </is>
      </c>
      <c r="C753" s="54" t="inlineStr">
        <is>
          <t>B0C7FDN7ZM</t>
        </is>
      </c>
      <c r="D753" s="54" t="inlineStr">
        <is>
          <t>SATIN-ROSEWOOD-TWIN-6PCS</t>
        </is>
      </c>
      <c r="E753" s="54" t="inlineStr">
        <is>
          <t>Twin</t>
        </is>
      </c>
      <c r="F753" s="54" t="inlineStr">
        <is>
          <t>Rosewood</t>
        </is>
      </c>
      <c r="G753" s="55" t="n">
        <v>3</v>
      </c>
      <c r="H753" s="55" t="n">
        <v>0</v>
      </c>
      <c r="I753" s="56" t="n"/>
      <c r="J753" s="57" t="n">
        <v>0.17</v>
      </c>
      <c r="K753" s="56" t="inlineStr">
        <is>
          <t>account data velocity</t>
        </is>
      </c>
      <c r="L753" s="58" t="n">
        <v>2.9761</v>
      </c>
      <c r="M753" s="56" t="inlineStr">
        <is>
          <t>own BFCM 2025 lift (account data)</t>
        </is>
      </c>
      <c r="N753" s="59">
        <f>J753*34+J753*L753*12</f>
        <v/>
      </c>
      <c r="O753" s="59">
        <f>MAX(0,N753-G753-H753)</f>
        <v/>
      </c>
      <c r="P753" s="60">
        <f>IF(J753=0,"",IF(G753&lt;J753*34,DATE(2026,10,15)+G753/J753,IF(G753&lt;N753,DATE(2026,11,18)+(G753-J753*34)/(J753*L753),"after Nov 30")))</f>
        <v/>
      </c>
      <c r="Q753" s="60">
        <f>IF(J753=0,"",IF(G753+H753&lt;J753*34,DATE(2026,10,15)+(G753+H753)/J753,IF(G753+H753&lt;N753,DATE(2026,11,18)+(G753+H753-J753*34)/(J753*L753),"after Nov 30")))</f>
        <v/>
      </c>
      <c r="R753" s="54">
        <f>IF(AND(G753&lt;=0,J753&gt;0),"Out of stock now",IF(G753&gt;=N753,"Covered to Nov 30",IF(G753+H753&gt;=N753,"Needs inbound in time","Short even with inbound")))</f>
        <v/>
      </c>
      <c r="S753" s="57" t="n">
        <v>0.179</v>
      </c>
      <c r="T753" s="59">
        <f>IF(S753="","",S753*34+S753*L753*12)</f>
        <v/>
      </c>
    </row>
    <row r="754">
      <c r="A754" s="54" t="inlineStr">
        <is>
          <t>CA DC S6</t>
        </is>
      </c>
      <c r="B754" s="54" t="inlineStr">
        <is>
          <t>CA</t>
        </is>
      </c>
      <c r="C754" s="54" t="inlineStr">
        <is>
          <t>B0C7FFRNMH</t>
        </is>
      </c>
      <c r="D754" s="54" t="inlineStr">
        <is>
          <t>SATIN-CHAMPAGNE-QUEEN-6PCS</t>
        </is>
      </c>
      <c r="E754" s="54" t="inlineStr">
        <is>
          <t>Queen</t>
        </is>
      </c>
      <c r="F754" s="54" t="inlineStr">
        <is>
          <t>Champagne</t>
        </is>
      </c>
      <c r="G754" s="55" t="n">
        <v>0</v>
      </c>
      <c r="H754" s="55" t="n">
        <v>0</v>
      </c>
      <c r="I754" s="56" t="n"/>
      <c r="J754" s="57" t="n">
        <v>0.16</v>
      </c>
      <c r="K754" s="56" t="inlineStr">
        <is>
          <t>account data velocity</t>
        </is>
      </c>
      <c r="L754" s="58" t="n">
        <v>2.9761</v>
      </c>
      <c r="M754" s="56" t="inlineStr">
        <is>
          <t>own BFCM 2025 lift (account data)</t>
        </is>
      </c>
      <c r="N754" s="59">
        <f>J754*34+J754*L754*12</f>
        <v/>
      </c>
      <c r="O754" s="59">
        <f>MAX(0,N754-G754-H754)</f>
        <v/>
      </c>
      <c r="P754" s="60">
        <f>IF(J754=0,"",IF(G754&lt;J754*34,DATE(2026,10,15)+G754/J754,IF(G754&lt;N754,DATE(2026,11,18)+(G754-J754*34)/(J754*L754),"after Nov 30")))</f>
        <v/>
      </c>
      <c r="Q754" s="60">
        <f>IF(J754=0,"",IF(G754+H754&lt;J754*34,DATE(2026,10,15)+(G754+H754)/J754,IF(G754+H754&lt;N754,DATE(2026,11,18)+(G754+H754-J754*34)/(J754*L754),"after Nov 30")))</f>
        <v/>
      </c>
      <c r="R754" s="54">
        <f>IF(AND(G754&lt;=0,J754&gt;0),"Out of stock now",IF(G754&gt;=N754,"Covered to Nov 30",IF(G754+H754&gt;=N754,"Needs inbound in time","Short even with inbound")))</f>
        <v/>
      </c>
      <c r="S754" s="57" t="n">
        <v>0.036</v>
      </c>
      <c r="T754" s="59">
        <f>IF(S754="","",S754*34+S754*L754*12)</f>
        <v/>
      </c>
    </row>
    <row r="755">
      <c r="A755" s="54" t="inlineStr">
        <is>
          <t>CA DC S6</t>
        </is>
      </c>
      <c r="B755" s="54" t="inlineStr">
        <is>
          <t>CA</t>
        </is>
      </c>
      <c r="C755" s="54" t="inlineStr">
        <is>
          <t>B0C7FQTJYM</t>
        </is>
      </c>
      <c r="D755" s="54" t="inlineStr">
        <is>
          <t>SATIN-FULL-PINK-6PCS</t>
        </is>
      </c>
      <c r="E755" s="54" t="inlineStr">
        <is>
          <t>Full</t>
        </is>
      </c>
      <c r="F755" s="54" t="inlineStr">
        <is>
          <t>Pink</t>
        </is>
      </c>
      <c r="G755" s="55" t="n">
        <v>26</v>
      </c>
      <c r="H755" s="55" t="n">
        <v>54</v>
      </c>
      <c r="I755" s="56" t="n"/>
      <c r="J755" s="57" t="n">
        <v>0.16</v>
      </c>
      <c r="K755" s="56" t="inlineStr">
        <is>
          <t>account data velocity</t>
        </is>
      </c>
      <c r="L755" s="58" t="n">
        <v>2.9761</v>
      </c>
      <c r="M755" s="56" t="inlineStr">
        <is>
          <t>own BFCM 2025 lift (account data)</t>
        </is>
      </c>
      <c r="N755" s="59">
        <f>J755*34+J755*L755*12</f>
        <v/>
      </c>
      <c r="O755" s="59">
        <f>MAX(0,N755-G755-H755)</f>
        <v/>
      </c>
      <c r="P755" s="60">
        <f>IF(J755=0,"",IF(G755&lt;J755*34,DATE(2026,10,15)+G755/J755,IF(G755&lt;N755,DATE(2026,11,18)+(G755-J755*34)/(J755*L755),"after Nov 30")))</f>
        <v/>
      </c>
      <c r="Q755" s="60">
        <f>IF(J755=0,"",IF(G755+H755&lt;J755*34,DATE(2026,10,15)+(G755+H755)/J755,IF(G755+H755&lt;N755,DATE(2026,11,18)+(G755+H755-J755*34)/(J755*L755),"after Nov 30")))</f>
        <v/>
      </c>
      <c r="R755" s="54">
        <f>IF(AND(G755&lt;=0,J755&gt;0),"Out of stock now",IF(G755&gt;=N755,"Covered to Nov 30",IF(G755+H755&gt;=N755,"Needs inbound in time","Short even with inbound")))</f>
        <v/>
      </c>
      <c r="S755" s="57" t="n">
        <v>0</v>
      </c>
      <c r="T755" s="59">
        <f>IF(S755="","",S755*34+S755*L755*12)</f>
        <v/>
      </c>
    </row>
    <row r="756">
      <c r="A756" s="54" t="inlineStr">
        <is>
          <t>CA DC S6</t>
        </is>
      </c>
      <c r="B756" s="54" t="inlineStr">
        <is>
          <t>CA</t>
        </is>
      </c>
      <c r="C756" s="54" t="inlineStr">
        <is>
          <t>B0C7JYWFP8</t>
        </is>
      </c>
      <c r="D756" s="54" t="inlineStr">
        <is>
          <t>SATIN-STRIPE-KING-RED--6-PCS</t>
        </is>
      </c>
      <c r="E756" s="54" t="inlineStr">
        <is>
          <t>King</t>
        </is>
      </c>
      <c r="F756" s="54" t="inlineStr">
        <is>
          <t>Striped Red</t>
        </is>
      </c>
      <c r="G756" s="55" t="n">
        <v>19</v>
      </c>
      <c r="H756" s="55" t="n">
        <v>0</v>
      </c>
      <c r="I756" s="56" t="n"/>
      <c r="J756" s="57" t="n">
        <v>0.15</v>
      </c>
      <c r="K756" s="56" t="inlineStr">
        <is>
          <t>account data velocity</t>
        </is>
      </c>
      <c r="L756" s="58" t="n">
        <v>2.9761</v>
      </c>
      <c r="M756" s="56" t="inlineStr">
        <is>
          <t>own BFCM 2025 lift (account data)</t>
        </is>
      </c>
      <c r="N756" s="59">
        <f>J756*34+J756*L756*12</f>
        <v/>
      </c>
      <c r="O756" s="59">
        <f>MAX(0,N756-G756-H756)</f>
        <v/>
      </c>
      <c r="P756" s="60">
        <f>IF(J756=0,"",IF(G756&lt;J756*34,DATE(2026,10,15)+G756/J756,IF(G756&lt;N756,DATE(2026,11,18)+(G756-J756*34)/(J756*L756),"after Nov 30")))</f>
        <v/>
      </c>
      <c r="Q756" s="60">
        <f>IF(J756=0,"",IF(G756+H756&lt;J756*34,DATE(2026,10,15)+(G756+H756)/J756,IF(G756+H756&lt;N756,DATE(2026,11,18)+(G756+H756-J756*34)/(J756*L756),"after Nov 30")))</f>
        <v/>
      </c>
      <c r="R756" s="54">
        <f>IF(AND(G756&lt;=0,J756&gt;0),"Out of stock now",IF(G756&gt;=N756,"Covered to Nov 30",IF(G756+H756&gt;=N756,"Needs inbound in time","Short even with inbound")))</f>
        <v/>
      </c>
      <c r="S756" s="57" t="n">
        <v>0.179</v>
      </c>
      <c r="T756" s="59">
        <f>IF(S756="","",S756*34+S756*L756*12)</f>
        <v/>
      </c>
    </row>
    <row r="757">
      <c r="A757" s="54" t="inlineStr">
        <is>
          <t>CA DC S6</t>
        </is>
      </c>
      <c r="B757" s="54" t="inlineStr">
        <is>
          <t>CA</t>
        </is>
      </c>
      <c r="C757" s="54" t="inlineStr">
        <is>
          <t>B0C7KGGWS8</t>
        </is>
      </c>
      <c r="D757" s="54" t="inlineStr">
        <is>
          <t>SATIN-STRIPE-KING-PURPLE--6-PCS</t>
        </is>
      </c>
      <c r="E757" s="54" t="inlineStr">
        <is>
          <t>King</t>
        </is>
      </c>
      <c r="F757" s="54" t="inlineStr">
        <is>
          <t>Striped Purple</t>
        </is>
      </c>
      <c r="G757" s="55" t="n">
        <v>0</v>
      </c>
      <c r="H757" s="55" t="n">
        <v>0</v>
      </c>
      <c r="I757" s="56" t="n"/>
      <c r="J757" s="57" t="n">
        <v>0.15</v>
      </c>
      <c r="K757" s="56" t="inlineStr">
        <is>
          <t>account data velocity</t>
        </is>
      </c>
      <c r="L757" s="58" t="n">
        <v>2.9761</v>
      </c>
      <c r="M757" s="56" t="inlineStr">
        <is>
          <t>own BFCM 2025 lift (account data)</t>
        </is>
      </c>
      <c r="N757" s="59">
        <f>J757*34+J757*L757*12</f>
        <v/>
      </c>
      <c r="O757" s="59">
        <f>MAX(0,N757-G757-H757)</f>
        <v/>
      </c>
      <c r="P757" s="60">
        <f>IF(J757=0,"",IF(G757&lt;J757*34,DATE(2026,10,15)+G757/J757,IF(G757&lt;N757,DATE(2026,11,18)+(G757-J757*34)/(J757*L757),"after Nov 30")))</f>
        <v/>
      </c>
      <c r="Q757" s="60">
        <f>IF(J757=0,"",IF(G757+H757&lt;J757*34,DATE(2026,10,15)+(G757+H757)/J757,IF(G757+H757&lt;N757,DATE(2026,11,18)+(G757+H757-J757*34)/(J757*L757),"after Nov 30")))</f>
        <v/>
      </c>
      <c r="R757" s="54">
        <f>IF(AND(G757&lt;=0,J757&gt;0),"Out of stock now",IF(G757&gt;=N757,"Covered to Nov 30",IF(G757+H757&gt;=N757,"Needs inbound in time","Short even with inbound")))</f>
        <v/>
      </c>
      <c r="S757" s="57" t="n">
        <v>0.036</v>
      </c>
      <c r="T757" s="59">
        <f>IF(S757="","",S757*34+S757*L757*12)</f>
        <v/>
      </c>
    </row>
    <row r="758">
      <c r="A758" s="54" t="inlineStr">
        <is>
          <t>CA DC S6</t>
        </is>
      </c>
      <c r="B758" s="54" t="inlineStr">
        <is>
          <t>CA</t>
        </is>
      </c>
      <c r="C758" s="54" t="inlineStr">
        <is>
          <t>B0C7KB5TWS</t>
        </is>
      </c>
      <c r="D758" s="54" t="inlineStr">
        <is>
          <t>SATIN-STRIPE-KING-BLACK--6-PCS</t>
        </is>
      </c>
      <c r="E758" s="54" t="inlineStr">
        <is>
          <t>King</t>
        </is>
      </c>
      <c r="F758" s="54" t="inlineStr">
        <is>
          <t>Striped Black</t>
        </is>
      </c>
      <c r="G758" s="55" t="n">
        <v>0</v>
      </c>
      <c r="H758" s="55" t="n">
        <v>0</v>
      </c>
      <c r="I758" s="56" t="n"/>
      <c r="J758" s="57" t="n">
        <v>0.143</v>
      </c>
      <c r="K758" s="56" t="inlineStr">
        <is>
          <t>units last 28 days / 28 (no account data velocity: out of stock)</t>
        </is>
      </c>
      <c r="L758" s="58" t="n">
        <v>2.9761</v>
      </c>
      <c r="M758" s="56" t="inlineStr">
        <is>
          <t>own BFCM 2025 lift (account data)</t>
        </is>
      </c>
      <c r="N758" s="59">
        <f>J758*34+J758*L758*12</f>
        <v/>
      </c>
      <c r="O758" s="59">
        <f>MAX(0,N758-G758-H758)</f>
        <v/>
      </c>
      <c r="P758" s="60">
        <f>IF(J758=0,"",IF(G758&lt;J758*34,DATE(2026,10,15)+G758/J758,IF(G758&lt;N758,DATE(2026,11,18)+(G758-J758*34)/(J758*L758),"after Nov 30")))</f>
        <v/>
      </c>
      <c r="Q758" s="60">
        <f>IF(J758=0,"",IF(G758+H758&lt;J758*34,DATE(2026,10,15)+(G758+H758)/J758,IF(G758+H758&lt;N758,DATE(2026,11,18)+(G758+H758-J758*34)/(J758*L758),"after Nov 30")))</f>
        <v/>
      </c>
      <c r="R758" s="54">
        <f>IF(AND(G758&lt;=0,J758&gt;0),"Out of stock now",IF(G758&gt;=N758,"Covered to Nov 30",IF(G758+H758&gt;=N758,"Needs inbound in time","Short even with inbound")))</f>
        <v/>
      </c>
      <c r="S758" s="57" t="n">
        <v>0.143</v>
      </c>
      <c r="T758" s="59">
        <f>IF(S758="","",S758*34+S758*L758*12)</f>
        <v/>
      </c>
    </row>
    <row r="759">
      <c r="A759" s="54" t="inlineStr">
        <is>
          <t>CA DC S6</t>
        </is>
      </c>
      <c r="B759" s="54" t="inlineStr">
        <is>
          <t>CA</t>
        </is>
      </c>
      <c r="C759" s="54" t="inlineStr">
        <is>
          <t>B0D9QSYPF2</t>
        </is>
      </c>
      <c r="D759" s="54" t="inlineStr">
        <is>
          <t>SATIN-6PC-QUEEN-LAVENDER</t>
        </is>
      </c>
      <c r="E759" s="54" t="inlineStr">
        <is>
          <t>Queen</t>
        </is>
      </c>
      <c r="F759" s="54" t="inlineStr">
        <is>
          <t>Lavender</t>
        </is>
      </c>
      <c r="G759" s="55" t="n">
        <v>6</v>
      </c>
      <c r="H759" s="55" t="n">
        <v>0</v>
      </c>
      <c r="I759" s="56" t="n"/>
      <c r="J759" s="57" t="n">
        <v>0.14</v>
      </c>
      <c r="K759" s="56" t="inlineStr">
        <is>
          <t>account data velocity</t>
        </is>
      </c>
      <c r="L759" s="58" t="n">
        <v>2.9761</v>
      </c>
      <c r="M759" s="56" t="inlineStr">
        <is>
          <t>own BFCM 2025 lift (account data)</t>
        </is>
      </c>
      <c r="N759" s="59">
        <f>J759*34+J759*L759*12</f>
        <v/>
      </c>
      <c r="O759" s="59">
        <f>MAX(0,N759-G759-H759)</f>
        <v/>
      </c>
      <c r="P759" s="60">
        <f>IF(J759=0,"",IF(G759&lt;J759*34,DATE(2026,10,15)+G759/J759,IF(G759&lt;N759,DATE(2026,11,18)+(G759-J759*34)/(J759*L759),"after Nov 30")))</f>
        <v/>
      </c>
      <c r="Q759" s="60">
        <f>IF(J759=0,"",IF(G759+H759&lt;J759*34,DATE(2026,10,15)+(G759+H759)/J759,IF(G759+H759&lt;N759,DATE(2026,11,18)+(G759+H759-J759*34)/(J759*L759),"after Nov 30")))</f>
        <v/>
      </c>
      <c r="R759" s="54">
        <f>IF(AND(G759&lt;=0,J759&gt;0),"Out of stock now",IF(G759&gt;=N759,"Covered to Nov 30",IF(G759+H759&gt;=N759,"Needs inbound in time","Short even with inbound")))</f>
        <v/>
      </c>
      <c r="S759" s="57" t="n">
        <v>0.179</v>
      </c>
      <c r="T759" s="59">
        <f>IF(S759="","",S759*34+S759*L759*12)</f>
        <v/>
      </c>
    </row>
    <row r="760">
      <c r="A760" s="54" t="inlineStr">
        <is>
          <t>CA DC S6</t>
        </is>
      </c>
      <c r="B760" s="54" t="inlineStr">
        <is>
          <t>CA</t>
        </is>
      </c>
      <c r="C760" s="54" t="inlineStr">
        <is>
          <t>B0C7FNVCWM</t>
        </is>
      </c>
      <c r="D760" s="54" t="inlineStr">
        <is>
          <t>SATIN-TWIN-GREY-6PCS</t>
        </is>
      </c>
      <c r="E760" s="54" t="inlineStr">
        <is>
          <t>Twin</t>
        </is>
      </c>
      <c r="F760" s="54" t="inlineStr">
        <is>
          <t>Grey</t>
        </is>
      </c>
      <c r="G760" s="55" t="n">
        <v>5</v>
      </c>
      <c r="H760" s="55" t="n">
        <v>24</v>
      </c>
      <c r="I760" s="56" t="n"/>
      <c r="J760" s="57" t="n">
        <v>0.14</v>
      </c>
      <c r="K760" s="56" t="inlineStr">
        <is>
          <t>account data velocity</t>
        </is>
      </c>
      <c r="L760" s="58" t="n">
        <v>2.9761</v>
      </c>
      <c r="M760" s="56" t="inlineStr">
        <is>
          <t>own BFCM 2025 lift (account data)</t>
        </is>
      </c>
      <c r="N760" s="59">
        <f>J760*34+J760*L760*12</f>
        <v/>
      </c>
      <c r="O760" s="59">
        <f>MAX(0,N760-G760-H760)</f>
        <v/>
      </c>
      <c r="P760" s="60">
        <f>IF(J760=0,"",IF(G760&lt;J760*34,DATE(2026,10,15)+G760/J760,IF(G760&lt;N760,DATE(2026,11,18)+(G760-J760*34)/(J760*L760),"after Nov 30")))</f>
        <v/>
      </c>
      <c r="Q760" s="60">
        <f>IF(J760=0,"",IF(G760+H760&lt;J760*34,DATE(2026,10,15)+(G760+H760)/J760,IF(G760+H760&lt;N760,DATE(2026,11,18)+(G760+H760-J760*34)/(J760*L760),"after Nov 30")))</f>
        <v/>
      </c>
      <c r="R760" s="54">
        <f>IF(AND(G760&lt;=0,J760&gt;0),"Out of stock now",IF(G760&gt;=N760,"Covered to Nov 30",IF(G760+H760&gt;=N760,"Needs inbound in time","Short even with inbound")))</f>
        <v/>
      </c>
      <c r="S760" s="57" t="n">
        <v>0.07099999999999999</v>
      </c>
      <c r="T760" s="59">
        <f>IF(S760="","",S760*34+S760*L760*12)</f>
        <v/>
      </c>
    </row>
    <row r="761">
      <c r="A761" s="54" t="inlineStr">
        <is>
          <t>CA DC S6</t>
        </is>
      </c>
      <c r="B761" s="54" t="inlineStr">
        <is>
          <t>CA</t>
        </is>
      </c>
      <c r="C761" s="54" t="inlineStr">
        <is>
          <t>B0C7FMQP5L</t>
        </is>
      </c>
      <c r="D761" s="54" t="inlineStr">
        <is>
          <t>SATIN-IVORY-QUEEN-6PCS</t>
        </is>
      </c>
      <c r="E761" s="54" t="inlineStr">
        <is>
          <t>Queen</t>
        </is>
      </c>
      <c r="F761" s="54" t="inlineStr">
        <is>
          <t>Ivory</t>
        </is>
      </c>
      <c r="G761" s="55" t="n">
        <v>8</v>
      </c>
      <c r="H761" s="55" t="n">
        <v>0</v>
      </c>
      <c r="I761" s="56" t="n"/>
      <c r="J761" s="57" t="n">
        <v>0.13</v>
      </c>
      <c r="K761" s="56" t="inlineStr">
        <is>
          <t>account data velocity</t>
        </is>
      </c>
      <c r="L761" s="58" t="n">
        <v>2.9761</v>
      </c>
      <c r="M761" s="56" t="inlineStr">
        <is>
          <t>own BFCM 2025 lift (account data)</t>
        </is>
      </c>
      <c r="N761" s="59">
        <f>J761*34+J761*L761*12</f>
        <v/>
      </c>
      <c r="O761" s="59">
        <f>MAX(0,N761-G761-H761)</f>
        <v/>
      </c>
      <c r="P761" s="60">
        <f>IF(J761=0,"",IF(G761&lt;J761*34,DATE(2026,10,15)+G761/J761,IF(G761&lt;N761,DATE(2026,11,18)+(G761-J761*34)/(J761*L761),"after Nov 30")))</f>
        <v/>
      </c>
      <c r="Q761" s="60">
        <f>IF(J761=0,"",IF(G761+H761&lt;J761*34,DATE(2026,10,15)+(G761+H761)/J761,IF(G761+H761&lt;N761,DATE(2026,11,18)+(G761+H761-J761*34)/(J761*L761),"after Nov 30")))</f>
        <v/>
      </c>
      <c r="R761" s="54">
        <f>IF(AND(G761&lt;=0,J761&gt;0),"Out of stock now",IF(G761&gt;=N761,"Covered to Nov 30",IF(G761+H761&gt;=N761,"Needs inbound in time","Short even with inbound")))</f>
        <v/>
      </c>
      <c r="S761" s="57" t="n">
        <v>0.214</v>
      </c>
      <c r="T761" s="59">
        <f>IF(S761="","",S761*34+S761*L761*12)</f>
        <v/>
      </c>
    </row>
    <row r="762">
      <c r="A762" s="54" t="inlineStr">
        <is>
          <t>CA DC S6</t>
        </is>
      </c>
      <c r="B762" s="54" t="inlineStr">
        <is>
          <t>CA</t>
        </is>
      </c>
      <c r="C762" s="54" t="inlineStr">
        <is>
          <t>B0C7KD9LMR</t>
        </is>
      </c>
      <c r="D762" s="54" t="inlineStr">
        <is>
          <t>SATIN-STRIPE-QUEEN-PINK--6-PCS</t>
        </is>
      </c>
      <c r="E762" s="54" t="inlineStr">
        <is>
          <t>Queen</t>
        </is>
      </c>
      <c r="F762" s="54" t="inlineStr">
        <is>
          <t>Striped Pink</t>
        </is>
      </c>
      <c r="G762" s="55" t="n">
        <v>11</v>
      </c>
      <c r="H762" s="55" t="n">
        <v>60</v>
      </c>
      <c r="I762" s="56" t="inlineStr">
        <is>
          <t>FBA19KGF9QJN shipped: 60</t>
        </is>
      </c>
      <c r="J762" s="57" t="n">
        <v>0.13</v>
      </c>
      <c r="K762" s="56" t="inlineStr">
        <is>
          <t>account data velocity</t>
        </is>
      </c>
      <c r="L762" s="58" t="n">
        <v>2.9761</v>
      </c>
      <c r="M762" s="56" t="inlineStr">
        <is>
          <t>own BFCM 2025 lift (account data)</t>
        </is>
      </c>
      <c r="N762" s="59">
        <f>J762*34+J762*L762*12</f>
        <v/>
      </c>
      <c r="O762" s="59">
        <f>MAX(0,N762-G762-H762)</f>
        <v/>
      </c>
      <c r="P762" s="60">
        <f>IF(J762=0,"",IF(G762&lt;J762*34,DATE(2026,10,15)+G762/J762,IF(G762&lt;N762,DATE(2026,11,18)+(G762-J762*34)/(J762*L762),"after Nov 30")))</f>
        <v/>
      </c>
      <c r="Q762" s="60">
        <f>IF(J762=0,"",IF(G762+H762&lt;J762*34,DATE(2026,10,15)+(G762+H762)/J762,IF(G762+H762&lt;N762,DATE(2026,11,18)+(G762+H762-J762*34)/(J762*L762),"after Nov 30")))</f>
        <v/>
      </c>
      <c r="R762" s="54">
        <f>IF(AND(G762&lt;=0,J762&gt;0),"Out of stock now",IF(G762&gt;=N762,"Covered to Nov 30",IF(G762+H762&gt;=N762,"Needs inbound in time","Short even with inbound")))</f>
        <v/>
      </c>
      <c r="S762" s="57" t="n">
        <v>0.214</v>
      </c>
      <c r="T762" s="59">
        <f>IF(S762="","",S762*34+S762*L762*12)</f>
        <v/>
      </c>
    </row>
    <row r="763">
      <c r="A763" s="54" t="inlineStr">
        <is>
          <t>CA DC S6</t>
        </is>
      </c>
      <c r="B763" s="54" t="inlineStr">
        <is>
          <t>CA</t>
        </is>
      </c>
      <c r="C763" s="54" t="inlineStr">
        <is>
          <t>B0C7KBHV72</t>
        </is>
      </c>
      <c r="D763" s="54" t="inlineStr">
        <is>
          <t>SATIN-STRIPE-QUEEN-RED--6-PCS</t>
        </is>
      </c>
      <c r="E763" s="54" t="inlineStr">
        <is>
          <t>Queen</t>
        </is>
      </c>
      <c r="F763" s="54" t="inlineStr">
        <is>
          <t>Red</t>
        </is>
      </c>
      <c r="G763" s="55" t="n">
        <v>3</v>
      </c>
      <c r="H763" s="55" t="n">
        <v>0</v>
      </c>
      <c r="I763" s="56" t="n"/>
      <c r="J763" s="57" t="n">
        <v>0.11</v>
      </c>
      <c r="K763" s="56" t="inlineStr">
        <is>
          <t>account data velocity</t>
        </is>
      </c>
      <c r="L763" s="58" t="n">
        <v>2.9761</v>
      </c>
      <c r="M763" s="56" t="inlineStr">
        <is>
          <t>own BFCM 2025 lift (account data)</t>
        </is>
      </c>
      <c r="N763" s="59">
        <f>J763*34+J763*L763*12</f>
        <v/>
      </c>
      <c r="O763" s="59">
        <f>MAX(0,N763-G763-H763)</f>
        <v/>
      </c>
      <c r="P763" s="60">
        <f>IF(J763=0,"",IF(G763&lt;J763*34,DATE(2026,10,15)+G763/J763,IF(G763&lt;N763,DATE(2026,11,18)+(G763-J763*34)/(J763*L763),"after Nov 30")))</f>
        <v/>
      </c>
      <c r="Q763" s="60">
        <f>IF(J763=0,"",IF(G763+H763&lt;J763*34,DATE(2026,10,15)+(G763+H763)/J763,IF(G763+H763&lt;N763,DATE(2026,11,18)+(G763+H763-J763*34)/(J763*L763),"after Nov 30")))</f>
        <v/>
      </c>
      <c r="R763" s="54">
        <f>IF(AND(G763&lt;=0,J763&gt;0),"Out of stock now",IF(G763&gt;=N763,"Covered to Nov 30",IF(G763+H763&gt;=N763,"Needs inbound in time","Short even with inbound")))</f>
        <v/>
      </c>
      <c r="S763" s="57" t="n">
        <v>0.143</v>
      </c>
      <c r="T763" s="59">
        <f>IF(S763="","",S763*34+S763*L763*12)</f>
        <v/>
      </c>
    </row>
    <row r="764">
      <c r="A764" s="54" t="inlineStr">
        <is>
          <t>CA DC S6</t>
        </is>
      </c>
      <c r="B764" s="54" t="inlineStr">
        <is>
          <t>CA</t>
        </is>
      </c>
      <c r="C764" s="54" t="inlineStr">
        <is>
          <t>B0C7FWSYPL</t>
        </is>
      </c>
      <c r="D764" s="54" t="inlineStr">
        <is>
          <t>SATIN-RED-FULL-6-PCS</t>
        </is>
      </c>
      <c r="E764" s="54" t="inlineStr">
        <is>
          <t>Full</t>
        </is>
      </c>
      <c r="F764" s="54" t="inlineStr">
        <is>
          <t>Red</t>
        </is>
      </c>
      <c r="G764" s="55" t="n">
        <v>7</v>
      </c>
      <c r="H764" s="55" t="n">
        <v>0</v>
      </c>
      <c r="I764" s="56" t="n"/>
      <c r="J764" s="57" t="n">
        <v>0.11</v>
      </c>
      <c r="K764" s="56" t="inlineStr">
        <is>
          <t>account data velocity</t>
        </is>
      </c>
      <c r="L764" s="58" t="n">
        <v>2.9761</v>
      </c>
      <c r="M764" s="56" t="inlineStr">
        <is>
          <t>own BFCM 2025 lift (account data)</t>
        </is>
      </c>
      <c r="N764" s="59">
        <f>J764*34+J764*L764*12</f>
        <v/>
      </c>
      <c r="O764" s="59">
        <f>MAX(0,N764-G764-H764)</f>
        <v/>
      </c>
      <c r="P764" s="60">
        <f>IF(J764=0,"",IF(G764&lt;J764*34,DATE(2026,10,15)+G764/J764,IF(G764&lt;N764,DATE(2026,11,18)+(G764-J764*34)/(J764*L764),"after Nov 30")))</f>
        <v/>
      </c>
      <c r="Q764" s="60">
        <f>IF(J764=0,"",IF(G764+H764&lt;J764*34,DATE(2026,10,15)+(G764+H764)/J764,IF(G764+H764&lt;N764,DATE(2026,11,18)+(G764+H764-J764*34)/(J764*L764),"after Nov 30")))</f>
        <v/>
      </c>
      <c r="R764" s="54">
        <f>IF(AND(G764&lt;=0,J764&gt;0),"Out of stock now",IF(G764&gt;=N764,"Covered to Nov 30",IF(G764+H764&gt;=N764,"Needs inbound in time","Short even with inbound")))</f>
        <v/>
      </c>
      <c r="S764" s="57" t="n">
        <v>0.107</v>
      </c>
      <c r="T764" s="59">
        <f>IF(S764="","",S764*34+S764*L764*12)</f>
        <v/>
      </c>
    </row>
    <row r="765">
      <c r="A765" s="54" t="inlineStr">
        <is>
          <t>CA DC S6</t>
        </is>
      </c>
      <c r="B765" s="54" t="inlineStr">
        <is>
          <t>CA</t>
        </is>
      </c>
      <c r="C765" s="54" t="inlineStr">
        <is>
          <t>B0C7FXRDSZ</t>
        </is>
      </c>
      <c r="D765" s="54" t="inlineStr">
        <is>
          <t>SATIN-TWIN-PURPLE-6PCS</t>
        </is>
      </c>
      <c r="E765" s="54" t="inlineStr">
        <is>
          <t>Twin</t>
        </is>
      </c>
      <c r="F765" s="54" t="inlineStr">
        <is>
          <t>Purple</t>
        </is>
      </c>
      <c r="G765" s="55" t="n">
        <v>0</v>
      </c>
      <c r="H765" s="55" t="n">
        <v>0</v>
      </c>
      <c r="I765" s="56" t="n"/>
      <c r="J765" s="57" t="n">
        <v>0.107</v>
      </c>
      <c r="K765" s="56" t="inlineStr">
        <is>
          <t>units last 28 days / 28 (no account data velocity: out of stock)</t>
        </is>
      </c>
      <c r="L765" s="58" t="n">
        <v>2.9761</v>
      </c>
      <c r="M765" s="56" t="inlineStr">
        <is>
          <t>own BFCM 2025 lift (account data)</t>
        </is>
      </c>
      <c r="N765" s="59">
        <f>J765*34+J765*L765*12</f>
        <v/>
      </c>
      <c r="O765" s="59">
        <f>MAX(0,N765-G765-H765)</f>
        <v/>
      </c>
      <c r="P765" s="60">
        <f>IF(J765=0,"",IF(G765&lt;J765*34,DATE(2026,10,15)+G765/J765,IF(G765&lt;N765,DATE(2026,11,18)+(G765-J765*34)/(J765*L765),"after Nov 30")))</f>
        <v/>
      </c>
      <c r="Q765" s="60">
        <f>IF(J765=0,"",IF(G765+H765&lt;J765*34,DATE(2026,10,15)+(G765+H765)/J765,IF(G765+H765&lt;N765,DATE(2026,11,18)+(G765+H765-J765*34)/(J765*L765),"after Nov 30")))</f>
        <v/>
      </c>
      <c r="R765" s="54">
        <f>IF(AND(G765&lt;=0,J765&gt;0),"Out of stock now",IF(G765&gt;=N765,"Covered to Nov 30",IF(G765+H765&gt;=N765,"Needs inbound in time","Short even with inbound")))</f>
        <v/>
      </c>
      <c r="S765" s="57" t="n">
        <v>0.107</v>
      </c>
      <c r="T765" s="59">
        <f>IF(S765="","",S765*34+S765*L765*12)</f>
        <v/>
      </c>
    </row>
    <row r="766">
      <c r="A766" s="54" t="inlineStr">
        <is>
          <t>CA DC S6</t>
        </is>
      </c>
      <c r="B766" s="54" t="inlineStr">
        <is>
          <t>CA</t>
        </is>
      </c>
      <c r="C766" s="54" t="inlineStr">
        <is>
          <t>B0C7FK2H2W</t>
        </is>
      </c>
      <c r="D766" s="54" t="inlineStr">
        <is>
          <t>SATIN-RED-TWIN-6PCS</t>
        </is>
      </c>
      <c r="E766" s="54" t="inlineStr">
        <is>
          <t>Twin</t>
        </is>
      </c>
      <c r="F766" s="54" t="inlineStr">
        <is>
          <t>Red</t>
        </is>
      </c>
      <c r="G766" s="55" t="n">
        <v>0</v>
      </c>
      <c r="H766" s="55" t="n">
        <v>0</v>
      </c>
      <c r="I766" s="56" t="n"/>
      <c r="J766" s="57" t="n">
        <v>0.107</v>
      </c>
      <c r="K766" s="56" t="inlineStr">
        <is>
          <t>units last 28 days / 28 (no account data velocity: out of stock)</t>
        </is>
      </c>
      <c r="L766" s="58" t="n">
        <v>2.9761</v>
      </c>
      <c r="M766" s="56" t="inlineStr">
        <is>
          <t>own BFCM 2025 lift (account data)</t>
        </is>
      </c>
      <c r="N766" s="59">
        <f>J766*34+J766*L766*12</f>
        <v/>
      </c>
      <c r="O766" s="59">
        <f>MAX(0,N766-G766-H766)</f>
        <v/>
      </c>
      <c r="P766" s="60">
        <f>IF(J766=0,"",IF(G766&lt;J766*34,DATE(2026,10,15)+G766/J766,IF(G766&lt;N766,DATE(2026,11,18)+(G766-J766*34)/(J766*L766),"after Nov 30")))</f>
        <v/>
      </c>
      <c r="Q766" s="60">
        <f>IF(J766=0,"",IF(G766+H766&lt;J766*34,DATE(2026,10,15)+(G766+H766)/J766,IF(G766+H766&lt;N766,DATE(2026,11,18)+(G766+H766-J766*34)/(J766*L766),"after Nov 30")))</f>
        <v/>
      </c>
      <c r="R766" s="54">
        <f>IF(AND(G766&lt;=0,J766&gt;0),"Out of stock now",IF(G766&gt;=N766,"Covered to Nov 30",IF(G766+H766&gt;=N766,"Needs inbound in time","Short even with inbound")))</f>
        <v/>
      </c>
      <c r="S766" s="57" t="n">
        <v>0.107</v>
      </c>
      <c r="T766" s="59">
        <f>IF(S766="","",S766*34+S766*L766*12)</f>
        <v/>
      </c>
    </row>
    <row r="767">
      <c r="A767" s="54" t="inlineStr">
        <is>
          <t>CA DC S6</t>
        </is>
      </c>
      <c r="B767" s="54" t="inlineStr">
        <is>
          <t>CA</t>
        </is>
      </c>
      <c r="C767" s="54" t="inlineStr">
        <is>
          <t>B0C7FW4Q1C</t>
        </is>
      </c>
      <c r="D767" s="54" t="inlineStr">
        <is>
          <t>SATIN-SEA-TEAL-FULL-6PCS</t>
        </is>
      </c>
      <c r="E767" s="54" t="inlineStr">
        <is>
          <t>Full</t>
        </is>
      </c>
      <c r="F767" s="54" t="inlineStr">
        <is>
          <t>Sea Teal</t>
        </is>
      </c>
      <c r="G767" s="55" t="n">
        <v>31</v>
      </c>
      <c r="H767" s="55" t="n">
        <v>0</v>
      </c>
      <c r="I767" s="56" t="n"/>
      <c r="J767" s="57" t="n">
        <v>0.09</v>
      </c>
      <c r="K767" s="56" t="inlineStr">
        <is>
          <t>account data velocity</t>
        </is>
      </c>
      <c r="L767" s="58" t="n">
        <v>2.9761</v>
      </c>
      <c r="M767" s="56" t="inlineStr">
        <is>
          <t>own BFCM 2025 lift (account data)</t>
        </is>
      </c>
      <c r="N767" s="59">
        <f>J767*34+J767*L767*12</f>
        <v/>
      </c>
      <c r="O767" s="59">
        <f>MAX(0,N767-G767-H767)</f>
        <v/>
      </c>
      <c r="P767" s="60">
        <f>IF(J767=0,"",IF(G767&lt;J767*34,DATE(2026,10,15)+G767/J767,IF(G767&lt;N767,DATE(2026,11,18)+(G767-J767*34)/(J767*L767),"after Nov 30")))</f>
        <v/>
      </c>
      <c r="Q767" s="60">
        <f>IF(J767=0,"",IF(G767+H767&lt;J767*34,DATE(2026,10,15)+(G767+H767)/J767,IF(G767+H767&lt;N767,DATE(2026,11,18)+(G767+H767-J767*34)/(J767*L767),"after Nov 30")))</f>
        <v/>
      </c>
      <c r="R767" s="54">
        <f>IF(AND(G767&lt;=0,J767&gt;0),"Out of stock now",IF(G767&gt;=N767,"Covered to Nov 30",IF(G767+H767&gt;=N767,"Needs inbound in time","Short even with inbound")))</f>
        <v/>
      </c>
      <c r="S767" s="57" t="n">
        <v>0.214</v>
      </c>
      <c r="T767" s="59">
        <f>IF(S767="","",S767*34+S767*L767*12)</f>
        <v/>
      </c>
    </row>
    <row r="768">
      <c r="A768" s="54" t="inlineStr">
        <is>
          <t>CA DC S6</t>
        </is>
      </c>
      <c r="B768" s="54" t="inlineStr">
        <is>
          <t>CA</t>
        </is>
      </c>
      <c r="C768" s="54" t="inlineStr">
        <is>
          <t>B0D9QSZH1N</t>
        </is>
      </c>
      <c r="D768" s="54" t="inlineStr">
        <is>
          <t>SATIN-6PC-QUEEN-BABY BLUE</t>
        </is>
      </c>
      <c r="E768" s="54" t="inlineStr">
        <is>
          <t>Queen</t>
        </is>
      </c>
      <c r="F768" s="54" t="inlineStr">
        <is>
          <t>Baby Blue</t>
        </is>
      </c>
      <c r="G768" s="55" t="n">
        <v>0</v>
      </c>
      <c r="H768" s="55" t="n">
        <v>0</v>
      </c>
      <c r="I768" s="56" t="n"/>
      <c r="J768" s="57" t="n">
        <v>0.09</v>
      </c>
      <c r="K768" s="56" t="inlineStr">
        <is>
          <t>account data velocity</t>
        </is>
      </c>
      <c r="L768" s="58" t="n">
        <v>2.9761</v>
      </c>
      <c r="M768" s="56" t="inlineStr">
        <is>
          <t>own BFCM 2025 lift (account data)</t>
        </is>
      </c>
      <c r="N768" s="59">
        <f>J768*34+J768*L768*12</f>
        <v/>
      </c>
      <c r="O768" s="59">
        <f>MAX(0,N768-G768-H768)</f>
        <v/>
      </c>
      <c r="P768" s="60">
        <f>IF(J768=0,"",IF(G768&lt;J768*34,DATE(2026,10,15)+G768/J768,IF(G768&lt;N768,DATE(2026,11,18)+(G768-J768*34)/(J768*L768),"after Nov 30")))</f>
        <v/>
      </c>
      <c r="Q768" s="60">
        <f>IF(J768=0,"",IF(G768+H768&lt;J768*34,DATE(2026,10,15)+(G768+H768)/J768,IF(G768+H768&lt;N768,DATE(2026,11,18)+(G768+H768-J768*34)/(J768*L768),"after Nov 30")))</f>
        <v/>
      </c>
      <c r="R768" s="54">
        <f>IF(AND(G768&lt;=0,J768&gt;0),"Out of stock now",IF(G768&gt;=N768,"Covered to Nov 30",IF(G768+H768&gt;=N768,"Needs inbound in time","Short even with inbound")))</f>
        <v/>
      </c>
      <c r="S768" s="57" t="n">
        <v>0.143</v>
      </c>
      <c r="T768" s="59">
        <f>IF(S768="","",S768*34+S768*L768*12)</f>
        <v/>
      </c>
    </row>
    <row r="769">
      <c r="A769" s="54" t="inlineStr">
        <is>
          <t>CA DC S6</t>
        </is>
      </c>
      <c r="B769" s="54" t="inlineStr">
        <is>
          <t>CA</t>
        </is>
      </c>
      <c r="C769" s="54" t="inlineStr">
        <is>
          <t>B0C7FJFVZY</t>
        </is>
      </c>
      <c r="D769" s="54" t="inlineStr">
        <is>
          <t>SATIN-FULL-GREY-6PCS</t>
        </is>
      </c>
      <c r="E769" s="54" t="inlineStr">
        <is>
          <t>Full</t>
        </is>
      </c>
      <c r="F769" s="54" t="inlineStr">
        <is>
          <t>Grey</t>
        </is>
      </c>
      <c r="G769" s="55" t="n">
        <v>3</v>
      </c>
      <c r="H769" s="55" t="n">
        <v>0</v>
      </c>
      <c r="I769" s="56" t="n"/>
      <c r="J769" s="57" t="n">
        <v>0.09</v>
      </c>
      <c r="K769" s="56" t="inlineStr">
        <is>
          <t>account data velocity</t>
        </is>
      </c>
      <c r="L769" s="58" t="n">
        <v>2.9761</v>
      </c>
      <c r="M769" s="56" t="inlineStr">
        <is>
          <t>own BFCM 2025 lift (account data)</t>
        </is>
      </c>
      <c r="N769" s="59">
        <f>J769*34+J769*L769*12</f>
        <v/>
      </c>
      <c r="O769" s="59">
        <f>MAX(0,N769-G769-H769)</f>
        <v/>
      </c>
      <c r="P769" s="60">
        <f>IF(J769=0,"",IF(G769&lt;J769*34,DATE(2026,10,15)+G769/J769,IF(G769&lt;N769,DATE(2026,11,18)+(G769-J769*34)/(J769*L769),"after Nov 30")))</f>
        <v/>
      </c>
      <c r="Q769" s="60">
        <f>IF(J769=0,"",IF(G769+H769&lt;J769*34,DATE(2026,10,15)+(G769+H769)/J769,IF(G769+H769&lt;N769,DATE(2026,11,18)+(G769+H769-J769*34)/(J769*L769),"after Nov 30")))</f>
        <v/>
      </c>
      <c r="R769" s="54">
        <f>IF(AND(G769&lt;=0,J769&gt;0),"Out of stock now",IF(G769&gt;=N769,"Covered to Nov 30",IF(G769+H769&gt;=N769,"Needs inbound in time","Short even with inbound")))</f>
        <v/>
      </c>
      <c r="S769" s="57" t="n">
        <v>0.07099999999999999</v>
      </c>
      <c r="T769" s="59">
        <f>IF(S769="","",S769*34+S769*L769*12)</f>
        <v/>
      </c>
    </row>
    <row r="770">
      <c r="A770" s="54" t="inlineStr">
        <is>
          <t>CA DC S6</t>
        </is>
      </c>
      <c r="B770" s="54" t="inlineStr">
        <is>
          <t>CA</t>
        </is>
      </c>
      <c r="C770" s="54" t="inlineStr">
        <is>
          <t>B0C7FKPZNT</t>
        </is>
      </c>
      <c r="D770" s="54" t="inlineStr">
        <is>
          <t>SATIN-TWIN-PINK-6PCS</t>
        </is>
      </c>
      <c r="E770" s="54" t="inlineStr">
        <is>
          <t>Twin</t>
        </is>
      </c>
      <c r="F770" s="54" t="inlineStr">
        <is>
          <t>Pink</t>
        </is>
      </c>
      <c r="G770" s="55" t="n">
        <v>0</v>
      </c>
      <c r="H770" s="55" t="n">
        <v>0</v>
      </c>
      <c r="I770" s="56" t="n"/>
      <c r="J770" s="57" t="n">
        <v>0.09</v>
      </c>
      <c r="K770" s="56" t="inlineStr">
        <is>
          <t>account data velocity</t>
        </is>
      </c>
      <c r="L770" s="58" t="n">
        <v>2.9761</v>
      </c>
      <c r="M770" s="56" t="inlineStr">
        <is>
          <t>own BFCM 2025 lift (account data)</t>
        </is>
      </c>
      <c r="N770" s="59">
        <f>J770*34+J770*L770*12</f>
        <v/>
      </c>
      <c r="O770" s="59">
        <f>MAX(0,N770-G770-H770)</f>
        <v/>
      </c>
      <c r="P770" s="60">
        <f>IF(J770=0,"",IF(G770&lt;J770*34,DATE(2026,10,15)+G770/J770,IF(G770&lt;N770,DATE(2026,11,18)+(G770-J770*34)/(J770*L770),"after Nov 30")))</f>
        <v/>
      </c>
      <c r="Q770" s="60">
        <f>IF(J770=0,"",IF(G770+H770&lt;J770*34,DATE(2026,10,15)+(G770+H770)/J770,IF(G770+H770&lt;N770,DATE(2026,11,18)+(G770+H770-J770*34)/(J770*L770),"after Nov 30")))</f>
        <v/>
      </c>
      <c r="R770" s="54">
        <f>IF(AND(G770&lt;=0,J770&gt;0),"Out of stock now",IF(G770&gt;=N770,"Covered to Nov 30",IF(G770+H770&gt;=N770,"Needs inbound in time","Short even with inbound")))</f>
        <v/>
      </c>
      <c r="S770" s="57" t="n">
        <v>0</v>
      </c>
      <c r="T770" s="59">
        <f>IF(S770="","",S770*34+S770*L770*12)</f>
        <v/>
      </c>
    </row>
    <row r="771">
      <c r="A771" s="54" t="inlineStr">
        <is>
          <t>CA DC S6</t>
        </is>
      </c>
      <c r="B771" s="54" t="inlineStr">
        <is>
          <t>CA</t>
        </is>
      </c>
      <c r="C771" s="54" t="inlineStr">
        <is>
          <t>B0D9QRCV3S</t>
        </is>
      </c>
      <c r="D771" s="54" t="inlineStr">
        <is>
          <t>SATIN-6PC-FULL-NAVY BLUE</t>
        </is>
      </c>
      <c r="E771" s="54" t="inlineStr">
        <is>
          <t>Full</t>
        </is>
      </c>
      <c r="F771" s="54" t="inlineStr">
        <is>
          <t>Navy Blue</t>
        </is>
      </c>
      <c r="G771" s="55" t="n">
        <v>8</v>
      </c>
      <c r="H771" s="55" t="n">
        <v>0</v>
      </c>
      <c r="I771" s="56" t="n"/>
      <c r="J771" s="57" t="n">
        <v>0.08</v>
      </c>
      <c r="K771" s="56" t="inlineStr">
        <is>
          <t>account data velocity</t>
        </is>
      </c>
      <c r="L771" s="58" t="n">
        <v>2.9761</v>
      </c>
      <c r="M771" s="56" t="inlineStr">
        <is>
          <t>own BFCM 2025 lift (account data)</t>
        </is>
      </c>
      <c r="N771" s="59">
        <f>J771*34+J771*L771*12</f>
        <v/>
      </c>
      <c r="O771" s="59">
        <f>MAX(0,N771-G771-H771)</f>
        <v/>
      </c>
      <c r="P771" s="60">
        <f>IF(J771=0,"",IF(G771&lt;J771*34,DATE(2026,10,15)+G771/J771,IF(G771&lt;N771,DATE(2026,11,18)+(G771-J771*34)/(J771*L771),"after Nov 30")))</f>
        <v/>
      </c>
      <c r="Q771" s="60">
        <f>IF(J771=0,"",IF(G771+H771&lt;J771*34,DATE(2026,10,15)+(G771+H771)/J771,IF(G771+H771&lt;N771,DATE(2026,11,18)+(G771+H771-J771*34)/(J771*L771),"after Nov 30")))</f>
        <v/>
      </c>
      <c r="R771" s="54">
        <f>IF(AND(G771&lt;=0,J771&gt;0),"Out of stock now",IF(G771&gt;=N771,"Covered to Nov 30",IF(G771+H771&gt;=N771,"Needs inbound in time","Short even with inbound")))</f>
        <v/>
      </c>
      <c r="S771" s="57" t="n">
        <v>0.179</v>
      </c>
      <c r="T771" s="59">
        <f>IF(S771="","",S771*34+S771*L771*12)</f>
        <v/>
      </c>
    </row>
    <row r="772">
      <c r="A772" s="54" t="inlineStr">
        <is>
          <t>CA DC S6</t>
        </is>
      </c>
      <c r="B772" s="54" t="inlineStr">
        <is>
          <t>CA</t>
        </is>
      </c>
      <c r="C772" s="54" t="inlineStr">
        <is>
          <t>B0D9R9B1VT</t>
        </is>
      </c>
      <c r="D772" s="54" t="inlineStr">
        <is>
          <t>SATIN-6PC-FULL-WHITE</t>
        </is>
      </c>
      <c r="E772" s="54" t="inlineStr">
        <is>
          <t>Full</t>
        </is>
      </c>
      <c r="F772" s="54" t="inlineStr">
        <is>
          <t>White</t>
        </is>
      </c>
      <c r="G772" s="55" t="n">
        <v>21</v>
      </c>
      <c r="H772" s="55" t="n">
        <v>6</v>
      </c>
      <c r="I772" s="56" t="n"/>
      <c r="J772" s="57" t="n">
        <v>0.08</v>
      </c>
      <c r="K772" s="56" t="inlineStr">
        <is>
          <t>account data velocity</t>
        </is>
      </c>
      <c r="L772" s="58" t="n">
        <v>2.9761</v>
      </c>
      <c r="M772" s="56" t="inlineStr">
        <is>
          <t>own BFCM 2025 lift (account data)</t>
        </is>
      </c>
      <c r="N772" s="59">
        <f>J772*34+J772*L772*12</f>
        <v/>
      </c>
      <c r="O772" s="59">
        <f>MAX(0,N772-G772-H772)</f>
        <v/>
      </c>
      <c r="P772" s="60">
        <f>IF(J772=0,"",IF(G772&lt;J772*34,DATE(2026,10,15)+G772/J772,IF(G772&lt;N772,DATE(2026,11,18)+(G772-J772*34)/(J772*L772),"after Nov 30")))</f>
        <v/>
      </c>
      <c r="Q772" s="60">
        <f>IF(J772=0,"",IF(G772+H772&lt;J772*34,DATE(2026,10,15)+(G772+H772)/J772,IF(G772+H772&lt;N772,DATE(2026,11,18)+(G772+H772-J772*34)/(J772*L772),"after Nov 30")))</f>
        <v/>
      </c>
      <c r="R772" s="54">
        <f>IF(AND(G772&lt;=0,J772&gt;0),"Out of stock now",IF(G772&gt;=N772,"Covered to Nov 30",IF(G772+H772&gt;=N772,"Needs inbound in time","Short even with inbound")))</f>
        <v/>
      </c>
      <c r="S772" s="57" t="n">
        <v>0.143</v>
      </c>
      <c r="T772" s="59">
        <f>IF(S772="","",S772*34+S772*L772*12)</f>
        <v/>
      </c>
    </row>
    <row r="773">
      <c r="A773" s="54" t="inlineStr">
        <is>
          <t>CA DC S6</t>
        </is>
      </c>
      <c r="B773" s="54" t="inlineStr">
        <is>
          <t>CA</t>
        </is>
      </c>
      <c r="C773" s="54" t="inlineStr">
        <is>
          <t>B0C7FM7GXS</t>
        </is>
      </c>
      <c r="D773" s="54" t="inlineStr">
        <is>
          <t>SATIN-ROSEWOOD-FULL-6PCS</t>
        </is>
      </c>
      <c r="E773" s="54" t="inlineStr">
        <is>
          <t>Full</t>
        </is>
      </c>
      <c r="F773" s="54" t="inlineStr">
        <is>
          <t>Rosewood</t>
        </is>
      </c>
      <c r="G773" s="55" t="n">
        <v>0</v>
      </c>
      <c r="H773" s="55" t="n">
        <v>0</v>
      </c>
      <c r="I773" s="56" t="n"/>
      <c r="J773" s="57" t="n">
        <v>0.07099999999999999</v>
      </c>
      <c r="K773" s="56" t="inlineStr">
        <is>
          <t>units last 28 days / 28 (no account data velocity: out of stock)</t>
        </is>
      </c>
      <c r="L773" s="58" t="n">
        <v>2.9761</v>
      </c>
      <c r="M773" s="56" t="inlineStr">
        <is>
          <t>own BFCM 2025 lift (account data)</t>
        </is>
      </c>
      <c r="N773" s="59">
        <f>J773*34+J773*L773*12</f>
        <v/>
      </c>
      <c r="O773" s="59">
        <f>MAX(0,N773-G773-H773)</f>
        <v/>
      </c>
      <c r="P773" s="60">
        <f>IF(J773=0,"",IF(G773&lt;J773*34,DATE(2026,10,15)+G773/J773,IF(G773&lt;N773,DATE(2026,11,18)+(G773-J773*34)/(J773*L773),"after Nov 30")))</f>
        <v/>
      </c>
      <c r="Q773" s="60">
        <f>IF(J773=0,"",IF(G773+H773&lt;J773*34,DATE(2026,10,15)+(G773+H773)/J773,IF(G773+H773&lt;N773,DATE(2026,11,18)+(G773+H773-J773*34)/(J773*L773),"after Nov 30")))</f>
        <v/>
      </c>
      <c r="R773" s="54">
        <f>IF(AND(G773&lt;=0,J773&gt;0),"Out of stock now",IF(G773&gt;=N773,"Covered to Nov 30",IF(G773+H773&gt;=N773,"Needs inbound in time","Short even with inbound")))</f>
        <v/>
      </c>
      <c r="S773" s="57" t="n">
        <v>0.07099999999999999</v>
      </c>
      <c r="T773" s="59">
        <f>IF(S773="","",S773*34+S773*L773*12)</f>
        <v/>
      </c>
    </row>
    <row r="774">
      <c r="A774" s="54" t="inlineStr">
        <is>
          <t>CA DC S6</t>
        </is>
      </c>
      <c r="B774" s="54" t="inlineStr">
        <is>
          <t>CA</t>
        </is>
      </c>
      <c r="C774" s="54" t="inlineStr">
        <is>
          <t>B0D9QSZR2C</t>
        </is>
      </c>
      <c r="D774" s="54" t="inlineStr">
        <is>
          <t>SATIN-6PC-KING-BABY BLUE</t>
        </is>
      </c>
      <c r="E774" s="54" t="inlineStr">
        <is>
          <t>King</t>
        </is>
      </c>
      <c r="F774" s="54" t="inlineStr">
        <is>
          <t>Baby Blue</t>
        </is>
      </c>
      <c r="G774" s="55" t="n">
        <v>0</v>
      </c>
      <c r="H774" s="55" t="n">
        <v>0</v>
      </c>
      <c r="I774" s="56" t="n"/>
      <c r="J774" s="57" t="n">
        <v>0.07099999999999999</v>
      </c>
      <c r="K774" s="56" t="inlineStr">
        <is>
          <t>units last 28 days / 28 (no account data velocity: out of stock)</t>
        </is>
      </c>
      <c r="L774" s="58" t="n">
        <v>2.9761</v>
      </c>
      <c r="M774" s="56" t="inlineStr">
        <is>
          <t>own BFCM 2025 lift (account data)</t>
        </is>
      </c>
      <c r="N774" s="59">
        <f>J774*34+J774*L774*12</f>
        <v/>
      </c>
      <c r="O774" s="59">
        <f>MAX(0,N774-G774-H774)</f>
        <v/>
      </c>
      <c r="P774" s="60">
        <f>IF(J774=0,"",IF(G774&lt;J774*34,DATE(2026,10,15)+G774/J774,IF(G774&lt;N774,DATE(2026,11,18)+(G774-J774*34)/(J774*L774),"after Nov 30")))</f>
        <v/>
      </c>
      <c r="Q774" s="60">
        <f>IF(J774=0,"",IF(G774+H774&lt;J774*34,DATE(2026,10,15)+(G774+H774)/J774,IF(G774+H774&lt;N774,DATE(2026,11,18)+(G774+H774-J774*34)/(J774*L774),"after Nov 30")))</f>
        <v/>
      </c>
      <c r="R774" s="54">
        <f>IF(AND(G774&lt;=0,J774&gt;0),"Out of stock now",IF(G774&gt;=N774,"Covered to Nov 30",IF(G774+H774&gt;=N774,"Needs inbound in time","Short even with inbound")))</f>
        <v/>
      </c>
      <c r="S774" s="57" t="n">
        <v>0.07099999999999999</v>
      </c>
      <c r="T774" s="59">
        <f>IF(S774="","",S774*34+S774*L774*12)</f>
        <v/>
      </c>
    </row>
    <row r="775">
      <c r="A775" s="54" t="inlineStr">
        <is>
          <t>CA DC S6</t>
        </is>
      </c>
      <c r="B775" s="54" t="inlineStr">
        <is>
          <t>CA</t>
        </is>
      </c>
      <c r="C775" s="54" t="inlineStr">
        <is>
          <t>B0C7FSZ6RY</t>
        </is>
      </c>
      <c r="D775" s="54" t="inlineStr">
        <is>
          <t>SATIN-QUEEN-PINK-6PCS</t>
        </is>
      </c>
      <c r="E775" s="54" t="inlineStr">
        <is>
          <t>Queen</t>
        </is>
      </c>
      <c r="F775" s="54" t="inlineStr">
        <is>
          <t>Pink</t>
        </is>
      </c>
      <c r="G775" s="55" t="n">
        <v>0</v>
      </c>
      <c r="H775" s="55" t="n">
        <v>0</v>
      </c>
      <c r="I775" s="56" t="n"/>
      <c r="J775" s="57" t="n">
        <v>0.07099999999999999</v>
      </c>
      <c r="K775" s="56" t="inlineStr">
        <is>
          <t>units last 28 days / 28 (no account data velocity: out of stock)</t>
        </is>
      </c>
      <c r="L775" s="58" t="n">
        <v>2.9761</v>
      </c>
      <c r="M775" s="56" t="inlineStr">
        <is>
          <t>own BFCM 2025 lift (account data)</t>
        </is>
      </c>
      <c r="N775" s="59">
        <f>J775*34+J775*L775*12</f>
        <v/>
      </c>
      <c r="O775" s="59">
        <f>MAX(0,N775-G775-H775)</f>
        <v/>
      </c>
      <c r="P775" s="60">
        <f>IF(J775=0,"",IF(G775&lt;J775*34,DATE(2026,10,15)+G775/J775,IF(G775&lt;N775,DATE(2026,11,18)+(G775-J775*34)/(J775*L775),"after Nov 30")))</f>
        <v/>
      </c>
      <c r="Q775" s="60">
        <f>IF(J775=0,"",IF(G775+H775&lt;J775*34,DATE(2026,10,15)+(G775+H775)/J775,IF(G775+H775&lt;N775,DATE(2026,11,18)+(G775+H775-J775*34)/(J775*L775),"after Nov 30")))</f>
        <v/>
      </c>
      <c r="R775" s="54">
        <f>IF(AND(G775&lt;=0,J775&gt;0),"Out of stock now",IF(G775&gt;=N775,"Covered to Nov 30",IF(G775+H775&gt;=N775,"Needs inbound in time","Short even with inbound")))</f>
        <v/>
      </c>
      <c r="S775" s="57" t="n">
        <v>0.07099999999999999</v>
      </c>
      <c r="T775" s="59">
        <f>IF(S775="","",S775*34+S775*L775*12)</f>
        <v/>
      </c>
    </row>
    <row r="776">
      <c r="A776" s="54" t="inlineStr">
        <is>
          <t>CA DC S6</t>
        </is>
      </c>
      <c r="B776" s="54" t="inlineStr">
        <is>
          <t>CA</t>
        </is>
      </c>
      <c r="C776" s="54" t="inlineStr">
        <is>
          <t>B0C7K6WTJ1</t>
        </is>
      </c>
      <c r="D776" s="54" t="inlineStr">
        <is>
          <t>SATIN-STRIPE-TWIN-BLACK--6-PCS</t>
        </is>
      </c>
      <c r="E776" s="54" t="inlineStr">
        <is>
          <t>Twin</t>
        </is>
      </c>
      <c r="F776" s="54" t="inlineStr">
        <is>
          <t>Striped Black</t>
        </is>
      </c>
      <c r="G776" s="55" t="n">
        <v>16</v>
      </c>
      <c r="H776" s="55" t="n">
        <v>6</v>
      </c>
      <c r="I776" s="56" t="n"/>
      <c r="J776" s="57" t="n">
        <v>0.07000000000000001</v>
      </c>
      <c r="K776" s="56" t="inlineStr">
        <is>
          <t>account data velocity</t>
        </is>
      </c>
      <c r="L776" s="58" t="n">
        <v>2.9761</v>
      </c>
      <c r="M776" s="56" t="inlineStr">
        <is>
          <t>own BFCM 2025 lift (account data)</t>
        </is>
      </c>
      <c r="N776" s="59">
        <f>J776*34+J776*L776*12</f>
        <v/>
      </c>
      <c r="O776" s="59">
        <f>MAX(0,N776-G776-H776)</f>
        <v/>
      </c>
      <c r="P776" s="60">
        <f>IF(J776=0,"",IF(G776&lt;J776*34,DATE(2026,10,15)+G776/J776,IF(G776&lt;N776,DATE(2026,11,18)+(G776-J776*34)/(J776*L776),"after Nov 30")))</f>
        <v/>
      </c>
      <c r="Q776" s="60">
        <f>IF(J776=0,"",IF(G776+H776&lt;J776*34,DATE(2026,10,15)+(G776+H776)/J776,IF(G776+H776&lt;N776,DATE(2026,11,18)+(G776+H776-J776*34)/(J776*L776),"after Nov 30")))</f>
        <v/>
      </c>
      <c r="R776" s="54">
        <f>IF(AND(G776&lt;=0,J776&gt;0),"Out of stock now",IF(G776&gt;=N776,"Covered to Nov 30",IF(G776+H776&gt;=N776,"Needs inbound in time","Short even with inbound")))</f>
        <v/>
      </c>
      <c r="S776" s="57" t="n">
        <v>0.107</v>
      </c>
      <c r="T776" s="59">
        <f>IF(S776="","",S776*34+S776*L776*12)</f>
        <v/>
      </c>
    </row>
    <row r="777">
      <c r="A777" s="54" t="inlineStr">
        <is>
          <t>CA DC S6</t>
        </is>
      </c>
      <c r="B777" s="54" t="inlineStr">
        <is>
          <t>CA</t>
        </is>
      </c>
      <c r="C777" s="54" t="inlineStr">
        <is>
          <t>B0D9QTXKQD</t>
        </is>
      </c>
      <c r="D777" s="54" t="inlineStr">
        <is>
          <t>SATIN-6PC-KING-BURNT ORANGE</t>
        </is>
      </c>
      <c r="E777" s="54" t="inlineStr">
        <is>
          <t>King</t>
        </is>
      </c>
      <c r="F777" s="54" t="inlineStr">
        <is>
          <t>Burnt Orange</t>
        </is>
      </c>
      <c r="G777" s="55" t="n">
        <v>7</v>
      </c>
      <c r="H777" s="55" t="n">
        <v>0</v>
      </c>
      <c r="I777" s="56" t="n"/>
      <c r="J777" s="57" t="n">
        <v>0.07000000000000001</v>
      </c>
      <c r="K777" s="56" t="inlineStr">
        <is>
          <t>account data velocity</t>
        </is>
      </c>
      <c r="L777" s="58" t="n">
        <v>2.9761</v>
      </c>
      <c r="M777" s="56" t="inlineStr">
        <is>
          <t>own BFCM 2025 lift (account data)</t>
        </is>
      </c>
      <c r="N777" s="59">
        <f>J777*34+J777*L777*12</f>
        <v/>
      </c>
      <c r="O777" s="59">
        <f>MAX(0,N777-G777-H777)</f>
        <v/>
      </c>
      <c r="P777" s="60">
        <f>IF(J777=0,"",IF(G777&lt;J777*34,DATE(2026,10,15)+G777/J777,IF(G777&lt;N777,DATE(2026,11,18)+(G777-J777*34)/(J777*L777),"after Nov 30")))</f>
        <v/>
      </c>
      <c r="Q777" s="60">
        <f>IF(J777=0,"",IF(G777+H777&lt;J777*34,DATE(2026,10,15)+(G777+H777)/J777,IF(G777+H777&lt;N777,DATE(2026,11,18)+(G777+H777-J777*34)/(J777*L777),"after Nov 30")))</f>
        <v/>
      </c>
      <c r="R777" s="54">
        <f>IF(AND(G777&lt;=0,J777&gt;0),"Out of stock now",IF(G777&gt;=N777,"Covered to Nov 30",IF(G777+H777&gt;=N777,"Needs inbound in time","Short even with inbound")))</f>
        <v/>
      </c>
      <c r="S777" s="57" t="n">
        <v>0.07099999999999999</v>
      </c>
      <c r="T777" s="59">
        <f>IF(S777="","",S777*34+S777*L777*12)</f>
        <v/>
      </c>
    </row>
    <row r="778">
      <c r="A778" s="54" t="inlineStr">
        <is>
          <t>CA DC S6</t>
        </is>
      </c>
      <c r="B778" s="54" t="inlineStr">
        <is>
          <t>CA</t>
        </is>
      </c>
      <c r="C778" s="54" t="inlineStr">
        <is>
          <t>B0C7FMDPBF</t>
        </is>
      </c>
      <c r="D778" s="54" t="inlineStr">
        <is>
          <t>SATIN-KING-PINK-6PCS</t>
        </is>
      </c>
      <c r="E778" s="54" t="inlineStr">
        <is>
          <t>King</t>
        </is>
      </c>
      <c r="F778" s="54" t="inlineStr">
        <is>
          <t>Pink</t>
        </is>
      </c>
      <c r="G778" s="55" t="n">
        <v>15</v>
      </c>
      <c r="H778" s="55" t="n">
        <v>0</v>
      </c>
      <c r="I778" s="56" t="n"/>
      <c r="J778" s="57" t="n">
        <v>0.07000000000000001</v>
      </c>
      <c r="K778" s="56" t="inlineStr">
        <is>
          <t>account data velocity</t>
        </is>
      </c>
      <c r="L778" s="58" t="n">
        <v>2.9761</v>
      </c>
      <c r="M778" s="56" t="inlineStr">
        <is>
          <t>own BFCM 2025 lift (account data)</t>
        </is>
      </c>
      <c r="N778" s="59">
        <f>J778*34+J778*L778*12</f>
        <v/>
      </c>
      <c r="O778" s="59">
        <f>MAX(0,N778-G778-H778)</f>
        <v/>
      </c>
      <c r="P778" s="60">
        <f>IF(J778=0,"",IF(G778&lt;J778*34,DATE(2026,10,15)+G778/J778,IF(G778&lt;N778,DATE(2026,11,18)+(G778-J778*34)/(J778*L778),"after Nov 30")))</f>
        <v/>
      </c>
      <c r="Q778" s="60">
        <f>IF(J778=0,"",IF(G778+H778&lt;J778*34,DATE(2026,10,15)+(G778+H778)/J778,IF(G778+H778&lt;N778,DATE(2026,11,18)+(G778+H778-J778*34)/(J778*L778),"after Nov 30")))</f>
        <v/>
      </c>
      <c r="R778" s="54">
        <f>IF(AND(G778&lt;=0,J778&gt;0),"Out of stock now",IF(G778&gt;=N778,"Covered to Nov 30",IF(G778+H778&gt;=N778,"Needs inbound in time","Short even with inbound")))</f>
        <v/>
      </c>
      <c r="S778" s="57" t="n">
        <v>0.07099999999999999</v>
      </c>
      <c r="T778" s="59">
        <f>IF(S778="","",S778*34+S778*L778*12)</f>
        <v/>
      </c>
    </row>
    <row r="779">
      <c r="A779" s="54" t="inlineStr">
        <is>
          <t>CA DC S6</t>
        </is>
      </c>
      <c r="B779" s="54" t="inlineStr">
        <is>
          <t>CA</t>
        </is>
      </c>
      <c r="C779" s="54" t="inlineStr">
        <is>
          <t>B0C7FBCF2X</t>
        </is>
      </c>
      <c r="D779" s="54" t="inlineStr">
        <is>
          <t>SATIN-WHITE-TWIN-6PCS</t>
        </is>
      </c>
      <c r="E779" s="54" t="inlineStr">
        <is>
          <t>Twin</t>
        </is>
      </c>
      <c r="F779" s="54" t="inlineStr">
        <is>
          <t>White</t>
        </is>
      </c>
      <c r="G779" s="55" t="n">
        <v>2</v>
      </c>
      <c r="H779" s="55" t="n">
        <v>0</v>
      </c>
      <c r="I779" s="56" t="n"/>
      <c r="J779" s="57" t="n">
        <v>0.07000000000000001</v>
      </c>
      <c r="K779" s="56" t="inlineStr">
        <is>
          <t>account data velocity</t>
        </is>
      </c>
      <c r="L779" s="58" t="n">
        <v>2.9761</v>
      </c>
      <c r="M779" s="56" t="inlineStr">
        <is>
          <t>own BFCM 2025 lift (account data)</t>
        </is>
      </c>
      <c r="N779" s="59">
        <f>J779*34+J779*L779*12</f>
        <v/>
      </c>
      <c r="O779" s="59">
        <f>MAX(0,N779-G779-H779)</f>
        <v/>
      </c>
      <c r="P779" s="60">
        <f>IF(J779=0,"",IF(G779&lt;J779*34,DATE(2026,10,15)+G779/J779,IF(G779&lt;N779,DATE(2026,11,18)+(G779-J779*34)/(J779*L779),"after Nov 30")))</f>
        <v/>
      </c>
      <c r="Q779" s="60">
        <f>IF(J779=0,"",IF(G779+H779&lt;J779*34,DATE(2026,10,15)+(G779+H779)/J779,IF(G779+H779&lt;N779,DATE(2026,11,18)+(G779+H779-J779*34)/(J779*L779),"after Nov 30")))</f>
        <v/>
      </c>
      <c r="R779" s="54">
        <f>IF(AND(G779&lt;=0,J779&gt;0),"Out of stock now",IF(G779&gt;=N779,"Covered to Nov 30",IF(G779+H779&gt;=N779,"Needs inbound in time","Short even with inbound")))</f>
        <v/>
      </c>
      <c r="S779" s="57" t="n">
        <v>0.036</v>
      </c>
      <c r="T779" s="59">
        <f>IF(S779="","",S779*34+S779*L779*12)</f>
        <v/>
      </c>
    </row>
    <row r="780">
      <c r="A780" s="54" t="inlineStr">
        <is>
          <t>CA DC S6</t>
        </is>
      </c>
      <c r="B780" s="54" t="inlineStr">
        <is>
          <t>CA</t>
        </is>
      </c>
      <c r="C780" s="54" t="inlineStr">
        <is>
          <t>B0D9QTXKQ8</t>
        </is>
      </c>
      <c r="D780" s="54" t="inlineStr">
        <is>
          <t>SATIN-4PC-TWIN-LAVENDER</t>
        </is>
      </c>
      <c r="E780" s="54" t="inlineStr">
        <is>
          <t>Twin</t>
        </is>
      </c>
      <c r="F780" s="54" t="inlineStr">
        <is>
          <t>Lavender</t>
        </is>
      </c>
      <c r="G780" s="55" t="n">
        <v>21</v>
      </c>
      <c r="H780" s="55" t="n">
        <v>0</v>
      </c>
      <c r="I780" s="56" t="n"/>
      <c r="J780" s="57" t="n">
        <v>0.07000000000000001</v>
      </c>
      <c r="K780" s="56" t="inlineStr">
        <is>
          <t>account data velocity</t>
        </is>
      </c>
      <c r="L780" s="58" t="n">
        <v>2.9761</v>
      </c>
      <c r="M780" s="56" t="inlineStr">
        <is>
          <t>own BFCM 2025 lift (account data)</t>
        </is>
      </c>
      <c r="N780" s="59">
        <f>J780*34+J780*L780*12</f>
        <v/>
      </c>
      <c r="O780" s="59">
        <f>MAX(0,N780-G780-H780)</f>
        <v/>
      </c>
      <c r="P780" s="60">
        <f>IF(J780=0,"",IF(G780&lt;J780*34,DATE(2026,10,15)+G780/J780,IF(G780&lt;N780,DATE(2026,11,18)+(G780-J780*34)/(J780*L780),"after Nov 30")))</f>
        <v/>
      </c>
      <c r="Q780" s="60">
        <f>IF(J780=0,"",IF(G780+H780&lt;J780*34,DATE(2026,10,15)+(G780+H780)/J780,IF(G780+H780&lt;N780,DATE(2026,11,18)+(G780+H780-J780*34)/(J780*L780),"after Nov 30")))</f>
        <v/>
      </c>
      <c r="R780" s="54">
        <f>IF(AND(G780&lt;=0,J780&gt;0),"Out of stock now",IF(G780&gt;=N780,"Covered to Nov 30",IF(G780+H780&gt;=N780,"Needs inbound in time","Short even with inbound")))</f>
        <v/>
      </c>
      <c r="S780" s="57" t="n"/>
      <c r="T780" s="59">
        <f>IF(S780="","",S780*34+S780*L780*12)</f>
        <v/>
      </c>
    </row>
    <row r="781">
      <c r="A781" s="54" t="inlineStr">
        <is>
          <t>CA DC S6</t>
        </is>
      </c>
      <c r="B781" s="54" t="inlineStr">
        <is>
          <t>CA</t>
        </is>
      </c>
      <c r="C781" s="54" t="inlineStr">
        <is>
          <t>B0D9QQWYP4</t>
        </is>
      </c>
      <c r="D781" s="54" t="inlineStr">
        <is>
          <t>SATIN-6PC-FULL-BABY BLUE</t>
        </is>
      </c>
      <c r="E781" s="54" t="inlineStr">
        <is>
          <t>Full</t>
        </is>
      </c>
      <c r="F781" s="54" t="inlineStr">
        <is>
          <t>Baby Blue</t>
        </is>
      </c>
      <c r="G781" s="55" t="n">
        <v>20</v>
      </c>
      <c r="H781" s="55" t="n">
        <v>0</v>
      </c>
      <c r="I781" s="56" t="n"/>
      <c r="J781" s="57" t="n">
        <v>0.06</v>
      </c>
      <c r="K781" s="56" t="inlineStr">
        <is>
          <t>account data velocity</t>
        </is>
      </c>
      <c r="L781" s="58" t="n">
        <v>2.9761</v>
      </c>
      <c r="M781" s="56" t="inlineStr">
        <is>
          <t>own BFCM 2025 lift (account data)</t>
        </is>
      </c>
      <c r="N781" s="59">
        <f>J781*34+J781*L781*12</f>
        <v/>
      </c>
      <c r="O781" s="59">
        <f>MAX(0,N781-G781-H781)</f>
        <v/>
      </c>
      <c r="P781" s="60">
        <f>IF(J781=0,"",IF(G781&lt;J781*34,DATE(2026,10,15)+G781/J781,IF(G781&lt;N781,DATE(2026,11,18)+(G781-J781*34)/(J781*L781),"after Nov 30")))</f>
        <v/>
      </c>
      <c r="Q781" s="60">
        <f>IF(J781=0,"",IF(G781+H781&lt;J781*34,DATE(2026,10,15)+(G781+H781)/J781,IF(G781+H781&lt;N781,DATE(2026,11,18)+(G781+H781-J781*34)/(J781*L781),"after Nov 30")))</f>
        <v/>
      </c>
      <c r="R781" s="54">
        <f>IF(AND(G781&lt;=0,J781&gt;0),"Out of stock now",IF(G781&gt;=N781,"Covered to Nov 30",IF(G781+H781&gt;=N781,"Needs inbound in time","Short even with inbound")))</f>
        <v/>
      </c>
      <c r="S781" s="57" t="n">
        <v>0.25</v>
      </c>
      <c r="T781" s="59">
        <f>IF(S781="","",S781*34+S781*L781*12)</f>
        <v/>
      </c>
    </row>
    <row r="782">
      <c r="A782" s="54" t="inlineStr">
        <is>
          <t>CA DC S6</t>
        </is>
      </c>
      <c r="B782" s="54" t="inlineStr">
        <is>
          <t>CA</t>
        </is>
      </c>
      <c r="C782" s="54" t="inlineStr">
        <is>
          <t>B0D9QSG9LD</t>
        </is>
      </c>
      <c r="D782" s="54" t="inlineStr">
        <is>
          <t>SATIN-6PC-KING-BLUSH PINK</t>
        </is>
      </c>
      <c r="E782" s="54" t="inlineStr">
        <is>
          <t>King</t>
        </is>
      </c>
      <c r="F782" s="54" t="inlineStr">
        <is>
          <t>Blush Pink</t>
        </is>
      </c>
      <c r="G782" s="55" t="n">
        <v>16</v>
      </c>
      <c r="H782" s="55" t="n">
        <v>6</v>
      </c>
      <c r="I782" s="56" t="n"/>
      <c r="J782" s="57" t="n">
        <v>0.06</v>
      </c>
      <c r="K782" s="56" t="inlineStr">
        <is>
          <t>account data velocity</t>
        </is>
      </c>
      <c r="L782" s="58" t="n">
        <v>2.9761</v>
      </c>
      <c r="M782" s="56" t="inlineStr">
        <is>
          <t>own BFCM 2025 lift (account data)</t>
        </is>
      </c>
      <c r="N782" s="59">
        <f>J782*34+J782*L782*12</f>
        <v/>
      </c>
      <c r="O782" s="59">
        <f>MAX(0,N782-G782-H782)</f>
        <v/>
      </c>
      <c r="P782" s="60">
        <f>IF(J782=0,"",IF(G782&lt;J782*34,DATE(2026,10,15)+G782/J782,IF(G782&lt;N782,DATE(2026,11,18)+(G782-J782*34)/(J782*L782),"after Nov 30")))</f>
        <v/>
      </c>
      <c r="Q782" s="60">
        <f>IF(J782=0,"",IF(G782+H782&lt;J782*34,DATE(2026,10,15)+(G782+H782)/J782,IF(G782+H782&lt;N782,DATE(2026,11,18)+(G782+H782-J782*34)/(J782*L782),"after Nov 30")))</f>
        <v/>
      </c>
      <c r="R782" s="54">
        <f>IF(AND(G782&lt;=0,J782&gt;0),"Out of stock now",IF(G782&gt;=N782,"Covered to Nov 30",IF(G782+H782&gt;=N782,"Needs inbound in time","Short even with inbound")))</f>
        <v/>
      </c>
      <c r="S782" s="57" t="n">
        <v>0.107</v>
      </c>
      <c r="T782" s="59">
        <f>IF(S782="","",S782*34+S782*L782*12)</f>
        <v/>
      </c>
    </row>
    <row r="783">
      <c r="A783" s="54" t="inlineStr">
        <is>
          <t>CA DC S6</t>
        </is>
      </c>
      <c r="B783" s="54" t="inlineStr">
        <is>
          <t>CA</t>
        </is>
      </c>
      <c r="C783" s="54" t="inlineStr">
        <is>
          <t>B0C7FSXPC5</t>
        </is>
      </c>
      <c r="D783" s="54" t="inlineStr">
        <is>
          <t>SATIN-CHAMPAGNE-FULL-6PCS</t>
        </is>
      </c>
      <c r="E783" s="54" t="inlineStr">
        <is>
          <t>Full</t>
        </is>
      </c>
      <c r="F783" s="54" t="inlineStr">
        <is>
          <t>Champagne</t>
        </is>
      </c>
      <c r="G783" s="55" t="n">
        <v>1</v>
      </c>
      <c r="H783" s="55" t="n">
        <v>0</v>
      </c>
      <c r="I783" s="56" t="n"/>
      <c r="J783" s="57" t="n">
        <v>0.04</v>
      </c>
      <c r="K783" s="56" t="inlineStr">
        <is>
          <t>account data velocity</t>
        </is>
      </c>
      <c r="L783" s="58" t="n">
        <v>2.9761</v>
      </c>
      <c r="M783" s="56" t="inlineStr">
        <is>
          <t>own BFCM 2025 lift (account data)</t>
        </is>
      </c>
      <c r="N783" s="59">
        <f>J783*34+J783*L783*12</f>
        <v/>
      </c>
      <c r="O783" s="59">
        <f>MAX(0,N783-G783-H783)</f>
        <v/>
      </c>
      <c r="P783" s="60">
        <f>IF(J783=0,"",IF(G783&lt;J783*34,DATE(2026,10,15)+G783/J783,IF(G783&lt;N783,DATE(2026,11,18)+(G783-J783*34)/(J783*L783),"after Nov 30")))</f>
        <v/>
      </c>
      <c r="Q783" s="60">
        <f>IF(J783=0,"",IF(G783+H783&lt;J783*34,DATE(2026,10,15)+(G783+H783)/J783,IF(G783+H783&lt;N783,DATE(2026,11,18)+(G783+H783-J783*34)/(J783*L783),"after Nov 30")))</f>
        <v/>
      </c>
      <c r="R783" s="54">
        <f>IF(AND(G783&lt;=0,J783&gt;0),"Out of stock now",IF(G783&gt;=N783,"Covered to Nov 30",IF(G783+H783&gt;=N783,"Needs inbound in time","Short even with inbound")))</f>
        <v/>
      </c>
      <c r="S783" s="57" t="n">
        <v>0.07099999999999999</v>
      </c>
      <c r="T783" s="59">
        <f>IF(S783="","",S783*34+S783*L783*12)</f>
        <v/>
      </c>
    </row>
    <row r="784">
      <c r="A784" s="54" t="inlineStr">
        <is>
          <t>CA DC S6</t>
        </is>
      </c>
      <c r="B784" s="54" t="inlineStr">
        <is>
          <t>CA</t>
        </is>
      </c>
      <c r="C784" s="54" t="inlineStr">
        <is>
          <t>B0D9QVPJ4C</t>
        </is>
      </c>
      <c r="D784" s="54" t="inlineStr">
        <is>
          <t>SATIN-6PC-FULL-SAGE GREEN</t>
        </is>
      </c>
      <c r="E784" s="54" t="inlineStr">
        <is>
          <t>Full</t>
        </is>
      </c>
      <c r="F784" s="54" t="inlineStr">
        <is>
          <t>Sage Green</t>
        </is>
      </c>
      <c r="G784" s="55" t="n">
        <v>0</v>
      </c>
      <c r="H784" s="55" t="n">
        <v>0</v>
      </c>
      <c r="I784" s="56" t="n"/>
      <c r="J784" s="57" t="n">
        <v>0.04</v>
      </c>
      <c r="K784" s="56" t="inlineStr">
        <is>
          <t>account data velocity</t>
        </is>
      </c>
      <c r="L784" s="58" t="n">
        <v>2.9761</v>
      </c>
      <c r="M784" s="56" t="inlineStr">
        <is>
          <t>own BFCM 2025 lift (account data)</t>
        </is>
      </c>
      <c r="N784" s="59">
        <f>J784*34+J784*L784*12</f>
        <v/>
      </c>
      <c r="O784" s="59">
        <f>MAX(0,N784-G784-H784)</f>
        <v/>
      </c>
      <c r="P784" s="60">
        <f>IF(J784=0,"",IF(G784&lt;J784*34,DATE(2026,10,15)+G784/J784,IF(G784&lt;N784,DATE(2026,11,18)+(G784-J784*34)/(J784*L784),"after Nov 30")))</f>
        <v/>
      </c>
      <c r="Q784" s="60">
        <f>IF(J784=0,"",IF(G784+H784&lt;J784*34,DATE(2026,10,15)+(G784+H784)/J784,IF(G784+H784&lt;N784,DATE(2026,11,18)+(G784+H784-J784*34)/(J784*L784),"after Nov 30")))</f>
        <v/>
      </c>
      <c r="R784" s="54">
        <f>IF(AND(G784&lt;=0,J784&gt;0),"Out of stock now",IF(G784&gt;=N784,"Covered to Nov 30",IF(G784+H784&gt;=N784,"Needs inbound in time","Short even with inbound")))</f>
        <v/>
      </c>
      <c r="S784" s="57" t="n">
        <v>0.07099999999999999</v>
      </c>
      <c r="T784" s="59">
        <f>IF(S784="","",S784*34+S784*L784*12)</f>
        <v/>
      </c>
    </row>
    <row r="785">
      <c r="A785" s="54" t="inlineStr">
        <is>
          <t>CA DC S6</t>
        </is>
      </c>
      <c r="B785" s="54" t="inlineStr">
        <is>
          <t>CA</t>
        </is>
      </c>
      <c r="C785" s="54" t="inlineStr">
        <is>
          <t>B0C7G4HJL5</t>
        </is>
      </c>
      <c r="D785" s="54" t="inlineStr">
        <is>
          <t>SATIN-STONEGREY-FULL-6PCS</t>
        </is>
      </c>
      <c r="E785" s="54" t="inlineStr">
        <is>
          <t>Full</t>
        </is>
      </c>
      <c r="F785" s="54" t="inlineStr">
        <is>
          <t>Stone Grey</t>
        </is>
      </c>
      <c r="G785" s="55" t="n">
        <v>16</v>
      </c>
      <c r="H785" s="55" t="n">
        <v>0</v>
      </c>
      <c r="I785" s="56" t="n"/>
      <c r="J785" s="57" t="n">
        <v>0.04</v>
      </c>
      <c r="K785" s="56" t="inlineStr">
        <is>
          <t>account data velocity</t>
        </is>
      </c>
      <c r="L785" s="58" t="n">
        <v>2.9761</v>
      </c>
      <c r="M785" s="56" t="inlineStr">
        <is>
          <t>own BFCM 2025 lift (account data)</t>
        </is>
      </c>
      <c r="N785" s="59">
        <f>J785*34+J785*L785*12</f>
        <v/>
      </c>
      <c r="O785" s="59">
        <f>MAX(0,N785-G785-H785)</f>
        <v/>
      </c>
      <c r="P785" s="60">
        <f>IF(J785=0,"",IF(G785&lt;J785*34,DATE(2026,10,15)+G785/J785,IF(G785&lt;N785,DATE(2026,11,18)+(G785-J785*34)/(J785*L785),"after Nov 30")))</f>
        <v/>
      </c>
      <c r="Q785" s="60">
        <f>IF(J785=0,"",IF(G785+H785&lt;J785*34,DATE(2026,10,15)+(G785+H785)/J785,IF(G785+H785&lt;N785,DATE(2026,11,18)+(G785+H785-J785*34)/(J785*L785),"after Nov 30")))</f>
        <v/>
      </c>
      <c r="R785" s="54">
        <f>IF(AND(G785&lt;=0,J785&gt;0),"Out of stock now",IF(G785&gt;=N785,"Covered to Nov 30",IF(G785+H785&gt;=N785,"Needs inbound in time","Short even with inbound")))</f>
        <v/>
      </c>
      <c r="S785" s="57" t="n">
        <v>0.07099999999999999</v>
      </c>
      <c r="T785" s="59">
        <f>IF(S785="","",S785*34+S785*L785*12)</f>
        <v/>
      </c>
    </row>
    <row r="786">
      <c r="A786" s="54" t="inlineStr">
        <is>
          <t>CA DC S6</t>
        </is>
      </c>
      <c r="B786" s="54" t="inlineStr">
        <is>
          <t>CA</t>
        </is>
      </c>
      <c r="C786" s="54" t="inlineStr">
        <is>
          <t>B0C7FKJWJV</t>
        </is>
      </c>
      <c r="D786" s="54" t="inlineStr">
        <is>
          <t>SATIN-IVORY-FULL-6PCS</t>
        </is>
      </c>
      <c r="E786" s="54" t="inlineStr">
        <is>
          <t>Full</t>
        </is>
      </c>
      <c r="F786" s="54" t="inlineStr">
        <is>
          <t>Ivory</t>
        </is>
      </c>
      <c r="G786" s="55" t="n">
        <v>0</v>
      </c>
      <c r="H786" s="55" t="n">
        <v>0</v>
      </c>
      <c r="I786" s="56" t="n"/>
      <c r="J786" s="57" t="n">
        <v>0.036</v>
      </c>
      <c r="K786" s="56" t="inlineStr">
        <is>
          <t>units last 28 days / 28 (no account data velocity: out of stock)</t>
        </is>
      </c>
      <c r="L786" s="58" t="n">
        <v>2.9761</v>
      </c>
      <c r="M786" s="56" t="inlineStr">
        <is>
          <t>own BFCM 2025 lift (account data)</t>
        </is>
      </c>
      <c r="N786" s="59">
        <f>J786*34+J786*L786*12</f>
        <v/>
      </c>
      <c r="O786" s="59">
        <f>MAX(0,N786-G786-H786)</f>
        <v/>
      </c>
      <c r="P786" s="60">
        <f>IF(J786=0,"",IF(G786&lt;J786*34,DATE(2026,10,15)+G786/J786,IF(G786&lt;N786,DATE(2026,11,18)+(G786-J786*34)/(J786*L786),"after Nov 30")))</f>
        <v/>
      </c>
      <c r="Q786" s="60">
        <f>IF(J786=0,"",IF(G786+H786&lt;J786*34,DATE(2026,10,15)+(G786+H786)/J786,IF(G786+H786&lt;N786,DATE(2026,11,18)+(G786+H786-J786*34)/(J786*L786),"after Nov 30")))</f>
        <v/>
      </c>
      <c r="R786" s="54">
        <f>IF(AND(G786&lt;=0,J786&gt;0),"Out of stock now",IF(G786&gt;=N786,"Covered to Nov 30",IF(G786+H786&gt;=N786,"Needs inbound in time","Short even with inbound")))</f>
        <v/>
      </c>
      <c r="S786" s="57" t="n">
        <v>0.036</v>
      </c>
      <c r="T786" s="59">
        <f>IF(S786="","",S786*34+S786*L786*12)</f>
        <v/>
      </c>
    </row>
    <row r="787">
      <c r="A787" s="54" t="inlineStr">
        <is>
          <t>CA DC S6</t>
        </is>
      </c>
      <c r="B787" s="54" t="inlineStr">
        <is>
          <t>CA</t>
        </is>
      </c>
      <c r="C787" s="54" t="inlineStr">
        <is>
          <t>B0C7F65432</t>
        </is>
      </c>
      <c r="D787" s="54" t="inlineStr">
        <is>
          <t>SATIN-FULL-PURPLE-6PCS</t>
        </is>
      </c>
      <c r="E787" s="54" t="inlineStr">
        <is>
          <t>Full</t>
        </is>
      </c>
      <c r="F787" s="54" t="inlineStr">
        <is>
          <t>Purple</t>
        </is>
      </c>
      <c r="G787" s="55" t="n">
        <v>0</v>
      </c>
      <c r="H787" s="55" t="n">
        <v>0</v>
      </c>
      <c r="I787" s="56" t="n"/>
      <c r="J787" s="57" t="n">
        <v>0.036</v>
      </c>
      <c r="K787" s="56" t="inlineStr">
        <is>
          <t>units last 28 days / 28 (no account data velocity: out of stock)</t>
        </is>
      </c>
      <c r="L787" s="58" t="n">
        <v>2.9761</v>
      </c>
      <c r="M787" s="56" t="inlineStr">
        <is>
          <t>own BFCM 2025 lift (account data)</t>
        </is>
      </c>
      <c r="N787" s="59">
        <f>J787*34+J787*L787*12</f>
        <v/>
      </c>
      <c r="O787" s="59">
        <f>MAX(0,N787-G787-H787)</f>
        <v/>
      </c>
      <c r="P787" s="60">
        <f>IF(J787=0,"",IF(G787&lt;J787*34,DATE(2026,10,15)+G787/J787,IF(G787&lt;N787,DATE(2026,11,18)+(G787-J787*34)/(J787*L787),"after Nov 30")))</f>
        <v/>
      </c>
      <c r="Q787" s="60">
        <f>IF(J787=0,"",IF(G787+H787&lt;J787*34,DATE(2026,10,15)+(G787+H787)/J787,IF(G787+H787&lt;N787,DATE(2026,11,18)+(G787+H787-J787*34)/(J787*L787),"after Nov 30")))</f>
        <v/>
      </c>
      <c r="R787" s="54">
        <f>IF(AND(G787&lt;=0,J787&gt;0),"Out of stock now",IF(G787&gt;=N787,"Covered to Nov 30",IF(G787+H787&gt;=N787,"Needs inbound in time","Short even with inbound")))</f>
        <v/>
      </c>
      <c r="S787" s="57" t="n">
        <v>0.036</v>
      </c>
      <c r="T787" s="59">
        <f>IF(S787="","",S787*34+S787*L787*12)</f>
        <v/>
      </c>
    </row>
    <row r="788">
      <c r="A788" s="54" t="inlineStr">
        <is>
          <t>CA DC S6</t>
        </is>
      </c>
      <c r="B788" s="54" t="inlineStr">
        <is>
          <t>CA</t>
        </is>
      </c>
      <c r="C788" s="54" t="inlineStr">
        <is>
          <t>B0C7FFMKP8</t>
        </is>
      </c>
      <c r="D788" s="54" t="inlineStr">
        <is>
          <t>SATIN-IVORY-KING-6PCS</t>
        </is>
      </c>
      <c r="E788" s="54" t="inlineStr">
        <is>
          <t>King</t>
        </is>
      </c>
      <c r="F788" s="54" t="inlineStr">
        <is>
          <t>Ivory</t>
        </is>
      </c>
      <c r="G788" s="55" t="n">
        <v>0</v>
      </c>
      <c r="H788" s="55" t="n">
        <v>0</v>
      </c>
      <c r="I788" s="56" t="n"/>
      <c r="J788" s="57" t="n">
        <v>0.036</v>
      </c>
      <c r="K788" s="56" t="inlineStr">
        <is>
          <t>units last 28 days / 28 (no account data velocity: out of stock)</t>
        </is>
      </c>
      <c r="L788" s="58" t="n">
        <v>2.9761</v>
      </c>
      <c r="M788" s="56" t="inlineStr">
        <is>
          <t>own BFCM 2025 lift (account data)</t>
        </is>
      </c>
      <c r="N788" s="59">
        <f>J788*34+J788*L788*12</f>
        <v/>
      </c>
      <c r="O788" s="59">
        <f>MAX(0,N788-G788-H788)</f>
        <v/>
      </c>
      <c r="P788" s="60">
        <f>IF(J788=0,"",IF(G788&lt;J788*34,DATE(2026,10,15)+G788/J788,IF(G788&lt;N788,DATE(2026,11,18)+(G788-J788*34)/(J788*L788),"after Nov 30")))</f>
        <v/>
      </c>
      <c r="Q788" s="60">
        <f>IF(J788=0,"",IF(G788+H788&lt;J788*34,DATE(2026,10,15)+(G788+H788)/J788,IF(G788+H788&lt;N788,DATE(2026,11,18)+(G788+H788-J788*34)/(J788*L788),"after Nov 30")))</f>
        <v/>
      </c>
      <c r="R788" s="54">
        <f>IF(AND(G788&lt;=0,J788&gt;0),"Out of stock now",IF(G788&gt;=N788,"Covered to Nov 30",IF(G788+H788&gt;=N788,"Needs inbound in time","Short even with inbound")))</f>
        <v/>
      </c>
      <c r="S788" s="57" t="n">
        <v>0.036</v>
      </c>
      <c r="T788" s="59">
        <f>IF(S788="","",S788*34+S788*L788*12)</f>
        <v/>
      </c>
    </row>
    <row r="789">
      <c r="A789" s="54" t="inlineStr">
        <is>
          <t>CA DC S6</t>
        </is>
      </c>
      <c r="B789" s="54" t="inlineStr">
        <is>
          <t>CA</t>
        </is>
      </c>
      <c r="C789" s="54" t="inlineStr">
        <is>
          <t>B0D9QSYR9G</t>
        </is>
      </c>
      <c r="D789" s="54" t="inlineStr">
        <is>
          <t>SATIN-6PC-QUEEN-DARK GREEN</t>
        </is>
      </c>
      <c r="E789" s="54" t="inlineStr">
        <is>
          <t>Queen</t>
        </is>
      </c>
      <c r="F789" s="54" t="inlineStr">
        <is>
          <t>Dark Green</t>
        </is>
      </c>
      <c r="G789" s="55" t="n">
        <v>0</v>
      </c>
      <c r="H789" s="55" t="n">
        <v>0</v>
      </c>
      <c r="I789" s="56" t="n"/>
      <c r="J789" s="57" t="n">
        <v>0.036</v>
      </c>
      <c r="K789" s="56" t="inlineStr">
        <is>
          <t>units last 28 days / 28 (no account data velocity: out of stock)</t>
        </is>
      </c>
      <c r="L789" s="58" t="n">
        <v>2.9761</v>
      </c>
      <c r="M789" s="56" t="inlineStr">
        <is>
          <t>own BFCM 2025 lift (account data)</t>
        </is>
      </c>
      <c r="N789" s="59">
        <f>J789*34+J789*L789*12</f>
        <v/>
      </c>
      <c r="O789" s="59">
        <f>MAX(0,N789-G789-H789)</f>
        <v/>
      </c>
      <c r="P789" s="60">
        <f>IF(J789=0,"",IF(G789&lt;J789*34,DATE(2026,10,15)+G789/J789,IF(G789&lt;N789,DATE(2026,11,18)+(G789-J789*34)/(J789*L789),"after Nov 30")))</f>
        <v/>
      </c>
      <c r="Q789" s="60">
        <f>IF(J789=0,"",IF(G789+H789&lt;J789*34,DATE(2026,10,15)+(G789+H789)/J789,IF(G789+H789&lt;N789,DATE(2026,11,18)+(G789+H789-J789*34)/(J789*L789),"after Nov 30")))</f>
        <v/>
      </c>
      <c r="R789" s="54">
        <f>IF(AND(G789&lt;=0,J789&gt;0),"Out of stock now",IF(G789&gt;=N789,"Covered to Nov 30",IF(G789+H789&gt;=N789,"Needs inbound in time","Short even with inbound")))</f>
        <v/>
      </c>
      <c r="S789" s="57" t="n">
        <v>0.036</v>
      </c>
      <c r="T789" s="59">
        <f>IF(S789="","",S789*34+S789*L789*12)</f>
        <v/>
      </c>
    </row>
    <row r="790">
      <c r="A790" s="54" t="inlineStr">
        <is>
          <t>CA DC S6</t>
        </is>
      </c>
      <c r="B790" s="54" t="inlineStr">
        <is>
          <t>CA</t>
        </is>
      </c>
      <c r="C790" s="54" t="inlineStr">
        <is>
          <t>B0C7K5GC4L</t>
        </is>
      </c>
      <c r="D790" s="54" t="inlineStr">
        <is>
          <t>SATIN-STRIPE-QUEEN-BLACK--6-PCS</t>
        </is>
      </c>
      <c r="E790" s="54" t="inlineStr">
        <is>
          <t>Queen</t>
        </is>
      </c>
      <c r="F790" s="54" t="inlineStr">
        <is>
          <t>Striped Black</t>
        </is>
      </c>
      <c r="G790" s="55" t="n">
        <v>0</v>
      </c>
      <c r="H790" s="55" t="n">
        <v>0</v>
      </c>
      <c r="I790" s="56" t="n"/>
      <c r="J790" s="57" t="n">
        <v>0.036</v>
      </c>
      <c r="K790" s="56" t="inlineStr">
        <is>
          <t>units last 28 days / 28 (no account data velocity: out of stock)</t>
        </is>
      </c>
      <c r="L790" s="58" t="n">
        <v>2.9761</v>
      </c>
      <c r="M790" s="56" t="inlineStr">
        <is>
          <t>own BFCM 2025 lift (account data)</t>
        </is>
      </c>
      <c r="N790" s="59">
        <f>J790*34+J790*L790*12</f>
        <v/>
      </c>
      <c r="O790" s="59">
        <f>MAX(0,N790-G790-H790)</f>
        <v/>
      </c>
      <c r="P790" s="60">
        <f>IF(J790=0,"",IF(G790&lt;J790*34,DATE(2026,10,15)+G790/J790,IF(G790&lt;N790,DATE(2026,11,18)+(G790-J790*34)/(J790*L790),"after Nov 30")))</f>
        <v/>
      </c>
      <c r="Q790" s="60">
        <f>IF(J790=0,"",IF(G790+H790&lt;J790*34,DATE(2026,10,15)+(G790+H790)/J790,IF(G790+H790&lt;N790,DATE(2026,11,18)+(G790+H790-J790*34)/(J790*L790),"after Nov 30")))</f>
        <v/>
      </c>
      <c r="R790" s="54">
        <f>IF(AND(G790&lt;=0,J790&gt;0),"Out of stock now",IF(G790&gt;=N790,"Covered to Nov 30",IF(G790+H790&gt;=N790,"Needs inbound in time","Short even with inbound")))</f>
        <v/>
      </c>
      <c r="S790" s="57" t="n">
        <v>0.036</v>
      </c>
      <c r="T790" s="59">
        <f>IF(S790="","",S790*34+S790*L790*12)</f>
        <v/>
      </c>
    </row>
    <row r="791">
      <c r="A791" s="54" t="inlineStr">
        <is>
          <t>CA DC S6</t>
        </is>
      </c>
      <c r="B791" s="54" t="inlineStr">
        <is>
          <t>CA</t>
        </is>
      </c>
      <c r="C791" s="54" t="inlineStr">
        <is>
          <t>B0D9QTCGWW</t>
        </is>
      </c>
      <c r="D791" s="54" t="inlineStr">
        <is>
          <t>SATIN-6PC-KING-SAGE GREEN</t>
        </is>
      </c>
      <c r="E791" s="54" t="inlineStr">
        <is>
          <t>King</t>
        </is>
      </c>
      <c r="F791" s="54" t="inlineStr">
        <is>
          <t>Sage Green</t>
        </is>
      </c>
      <c r="G791" s="55" t="n">
        <v>15</v>
      </c>
      <c r="H791" s="55" t="n">
        <v>6</v>
      </c>
      <c r="I791" s="56" t="inlineStr">
        <is>
          <t>FBA19MV0YVFX shipped: 6</t>
        </is>
      </c>
      <c r="J791" s="57" t="n">
        <v>0.03</v>
      </c>
      <c r="K791" s="56" t="inlineStr">
        <is>
          <t>account data velocity</t>
        </is>
      </c>
      <c r="L791" s="58" t="n">
        <v>2.9761</v>
      </c>
      <c r="M791" s="56" t="inlineStr">
        <is>
          <t>own BFCM 2025 lift (account data)</t>
        </is>
      </c>
      <c r="N791" s="59">
        <f>J791*34+J791*L791*12</f>
        <v/>
      </c>
      <c r="O791" s="59">
        <f>MAX(0,N791-G791-H791)</f>
        <v/>
      </c>
      <c r="P791" s="60">
        <f>IF(J791=0,"",IF(G791&lt;J791*34,DATE(2026,10,15)+G791/J791,IF(G791&lt;N791,DATE(2026,11,18)+(G791-J791*34)/(J791*L791),"after Nov 30")))</f>
        <v/>
      </c>
      <c r="Q791" s="60">
        <f>IF(J791=0,"",IF(G791+H791&lt;J791*34,DATE(2026,10,15)+(G791+H791)/J791,IF(G791+H791&lt;N791,DATE(2026,11,18)+(G791+H791-J791*34)/(J791*L791),"after Nov 30")))</f>
        <v/>
      </c>
      <c r="R791" s="54">
        <f>IF(AND(G791&lt;=0,J791&gt;0),"Out of stock now",IF(G791&gt;=N791,"Covered to Nov 30",IF(G791+H791&gt;=N791,"Needs inbound in time","Short even with inbound")))</f>
        <v/>
      </c>
      <c r="S791" s="57" t="n">
        <v>0.107</v>
      </c>
      <c r="T791" s="59">
        <f>IF(S791="","",S791*34+S791*L791*12)</f>
        <v/>
      </c>
    </row>
    <row r="792">
      <c r="A792" s="54" t="inlineStr">
        <is>
          <t>CA DC S6</t>
        </is>
      </c>
      <c r="B792" s="54" t="inlineStr">
        <is>
          <t>CA</t>
        </is>
      </c>
      <c r="C792" s="54" t="inlineStr">
        <is>
          <t>B0D9QWZJ4P</t>
        </is>
      </c>
      <c r="D792" s="54" t="inlineStr">
        <is>
          <t>SATIN-6PC-QUEEN-SAGE GREEN</t>
        </is>
      </c>
      <c r="E792" s="54" t="inlineStr">
        <is>
          <t>Queen</t>
        </is>
      </c>
      <c r="F792" s="54" t="inlineStr">
        <is>
          <t>Sage Green</t>
        </is>
      </c>
      <c r="G792" s="55" t="n">
        <v>9</v>
      </c>
      <c r="H792" s="55" t="n">
        <v>0</v>
      </c>
      <c r="I792" s="56" t="n"/>
      <c r="J792" s="57" t="n">
        <v>0.03</v>
      </c>
      <c r="K792" s="56" t="inlineStr">
        <is>
          <t>account data velocity</t>
        </is>
      </c>
      <c r="L792" s="58" t="n">
        <v>2.9761</v>
      </c>
      <c r="M792" s="56" t="inlineStr">
        <is>
          <t>own BFCM 2025 lift (account data)</t>
        </is>
      </c>
      <c r="N792" s="59">
        <f>J792*34+J792*L792*12</f>
        <v/>
      </c>
      <c r="O792" s="59">
        <f>MAX(0,N792-G792-H792)</f>
        <v/>
      </c>
      <c r="P792" s="60">
        <f>IF(J792=0,"",IF(G792&lt;J792*34,DATE(2026,10,15)+G792/J792,IF(G792&lt;N792,DATE(2026,11,18)+(G792-J792*34)/(J792*L792),"after Nov 30")))</f>
        <v/>
      </c>
      <c r="Q792" s="60">
        <f>IF(J792=0,"",IF(G792+H792&lt;J792*34,DATE(2026,10,15)+(G792+H792)/J792,IF(G792+H792&lt;N792,DATE(2026,11,18)+(G792+H792-J792*34)/(J792*L792),"after Nov 30")))</f>
        <v/>
      </c>
      <c r="R792" s="54">
        <f>IF(AND(G792&lt;=0,J792&gt;0),"Out of stock now",IF(G792&gt;=N792,"Covered to Nov 30",IF(G792+H792&gt;=N792,"Needs inbound in time","Short even with inbound")))</f>
        <v/>
      </c>
      <c r="S792" s="57" t="n">
        <v>0.107</v>
      </c>
      <c r="T792" s="59">
        <f>IF(S792="","",S792*34+S792*L792*12)</f>
        <v/>
      </c>
    </row>
    <row r="793">
      <c r="A793" s="54" t="inlineStr">
        <is>
          <t>CA DC S6</t>
        </is>
      </c>
      <c r="B793" s="54" t="inlineStr">
        <is>
          <t>CA</t>
        </is>
      </c>
      <c r="C793" s="54" t="inlineStr">
        <is>
          <t>B0C7K3WWDT</t>
        </is>
      </c>
      <c r="D793" s="54" t="inlineStr">
        <is>
          <t>SATIN-STRIPE-FULL-PURPLE--6-PCS</t>
        </is>
      </c>
      <c r="E793" s="54" t="inlineStr">
        <is>
          <t>Full</t>
        </is>
      </c>
      <c r="F793" s="54" t="inlineStr">
        <is>
          <t>Striped Purple</t>
        </is>
      </c>
      <c r="G793" s="55" t="n">
        <v>0</v>
      </c>
      <c r="H793" s="55" t="n">
        <v>0</v>
      </c>
      <c r="I793" s="56" t="n"/>
      <c r="J793" s="57" t="n">
        <v>0.03</v>
      </c>
      <c r="K793" s="56" t="inlineStr">
        <is>
          <t>account data velocity</t>
        </is>
      </c>
      <c r="L793" s="58" t="n">
        <v>2.9761</v>
      </c>
      <c r="M793" s="56" t="inlineStr">
        <is>
          <t>own BFCM 2025 lift (account data)</t>
        </is>
      </c>
      <c r="N793" s="59">
        <f>J793*34+J793*L793*12</f>
        <v/>
      </c>
      <c r="O793" s="59">
        <f>MAX(0,N793-G793-H793)</f>
        <v/>
      </c>
      <c r="P793" s="60">
        <f>IF(J793=0,"",IF(G793&lt;J793*34,DATE(2026,10,15)+G793/J793,IF(G793&lt;N793,DATE(2026,11,18)+(G793-J793*34)/(J793*L793),"after Nov 30")))</f>
        <v/>
      </c>
      <c r="Q793" s="60">
        <f>IF(J793=0,"",IF(G793+H793&lt;J793*34,DATE(2026,10,15)+(G793+H793)/J793,IF(G793+H793&lt;N793,DATE(2026,11,18)+(G793+H793-J793*34)/(J793*L793),"after Nov 30")))</f>
        <v/>
      </c>
      <c r="R793" s="54">
        <f>IF(AND(G793&lt;=0,J793&gt;0),"Out of stock now",IF(G793&gt;=N793,"Covered to Nov 30",IF(G793+H793&gt;=N793,"Needs inbound in time","Short even with inbound")))</f>
        <v/>
      </c>
      <c r="S793" s="57" t="n">
        <v>0.036</v>
      </c>
      <c r="T793" s="59">
        <f>IF(S793="","",S793*34+S793*L793*12)</f>
        <v/>
      </c>
    </row>
    <row r="794">
      <c r="A794" s="54" t="inlineStr">
        <is>
          <t>CA DC S6</t>
        </is>
      </c>
      <c r="B794" s="54" t="inlineStr">
        <is>
          <t>CA</t>
        </is>
      </c>
      <c r="C794" s="54" t="inlineStr">
        <is>
          <t>B0C7KJMDNG</t>
        </is>
      </c>
      <c r="D794" s="54" t="inlineStr">
        <is>
          <t>SATIN-STRIPE-QUEEN-BLUE--6-PCS</t>
        </is>
      </c>
      <c r="E794" s="54" t="inlineStr">
        <is>
          <t>Queen</t>
        </is>
      </c>
      <c r="F794" s="54" t="inlineStr">
        <is>
          <t>Striped Blue</t>
        </is>
      </c>
      <c r="G794" s="55" t="n">
        <v>11</v>
      </c>
      <c r="H794" s="55" t="n">
        <v>6</v>
      </c>
      <c r="I794" s="56" t="n"/>
      <c r="J794" s="57" t="n">
        <v>0.03</v>
      </c>
      <c r="K794" s="56" t="inlineStr">
        <is>
          <t>account data velocity</t>
        </is>
      </c>
      <c r="L794" s="58" t="n">
        <v>2.9761</v>
      </c>
      <c r="M794" s="56" t="inlineStr">
        <is>
          <t>own BFCM 2025 lift (account data)</t>
        </is>
      </c>
      <c r="N794" s="59">
        <f>J794*34+J794*L794*12</f>
        <v/>
      </c>
      <c r="O794" s="59">
        <f>MAX(0,N794-G794-H794)</f>
        <v/>
      </c>
      <c r="P794" s="60">
        <f>IF(J794=0,"",IF(G794&lt;J794*34,DATE(2026,10,15)+G794/J794,IF(G794&lt;N794,DATE(2026,11,18)+(G794-J794*34)/(J794*L794),"after Nov 30")))</f>
        <v/>
      </c>
      <c r="Q794" s="60">
        <f>IF(J794=0,"",IF(G794+H794&lt;J794*34,DATE(2026,10,15)+(G794+H794)/J794,IF(G794+H794&lt;N794,DATE(2026,11,18)+(G794+H794-J794*34)/(J794*L794),"after Nov 30")))</f>
        <v/>
      </c>
      <c r="R794" s="54">
        <f>IF(AND(G794&lt;=0,J794&gt;0),"Out of stock now",IF(G794&gt;=N794,"Covered to Nov 30",IF(G794+H794&gt;=N794,"Needs inbound in time","Short even with inbound")))</f>
        <v/>
      </c>
      <c r="S794" s="57" t="n">
        <v>0.036</v>
      </c>
      <c r="T794" s="59">
        <f>IF(S794="","",S794*34+S794*L794*12)</f>
        <v/>
      </c>
    </row>
    <row r="795">
      <c r="A795" s="54" t="inlineStr">
        <is>
          <t>CA DC S6</t>
        </is>
      </c>
      <c r="B795" s="54" t="inlineStr">
        <is>
          <t>CA</t>
        </is>
      </c>
      <c r="C795" s="54" t="inlineStr">
        <is>
          <t>B0D9QQ99HB</t>
        </is>
      </c>
      <c r="D795" s="54" t="inlineStr">
        <is>
          <t>SATIN-4PC-TWIN-BLUSH PINK</t>
        </is>
      </c>
      <c r="E795" s="54" t="inlineStr">
        <is>
          <t>Twin</t>
        </is>
      </c>
      <c r="F795" s="54" t="inlineStr">
        <is>
          <t>Blush Pink</t>
        </is>
      </c>
      <c r="G795" s="55" t="n">
        <v>1</v>
      </c>
      <c r="H795" s="55" t="n">
        <v>0</v>
      </c>
      <c r="I795" s="56" t="n"/>
      <c r="J795" s="57" t="n">
        <v>0.03</v>
      </c>
      <c r="K795" s="56" t="inlineStr">
        <is>
          <t>account data velocity</t>
        </is>
      </c>
      <c r="L795" s="58" t="n">
        <v>2.9761</v>
      </c>
      <c r="M795" s="56" t="inlineStr">
        <is>
          <t>own BFCM 2025 lift (account data)</t>
        </is>
      </c>
      <c r="N795" s="59">
        <f>J795*34+J795*L795*12</f>
        <v/>
      </c>
      <c r="O795" s="59">
        <f>MAX(0,N795-G795-H795)</f>
        <v/>
      </c>
      <c r="P795" s="60">
        <f>IF(J795=0,"",IF(G795&lt;J795*34,DATE(2026,10,15)+G795/J795,IF(G795&lt;N795,DATE(2026,11,18)+(G795-J795*34)/(J795*L795),"after Nov 30")))</f>
        <v/>
      </c>
      <c r="Q795" s="60">
        <f>IF(J795=0,"",IF(G795+H795&lt;J795*34,DATE(2026,10,15)+(G795+H795)/J795,IF(G795+H795&lt;N795,DATE(2026,11,18)+(G795+H795-J795*34)/(J795*L795),"after Nov 30")))</f>
        <v/>
      </c>
      <c r="R795" s="54">
        <f>IF(AND(G795&lt;=0,J795&gt;0),"Out of stock now",IF(G795&gt;=N795,"Covered to Nov 30",IF(G795+H795&gt;=N795,"Needs inbound in time","Short even with inbound")))</f>
        <v/>
      </c>
      <c r="S795" s="57" t="n"/>
      <c r="T795" s="59">
        <f>IF(S795="","",S795*34+S795*L795*12)</f>
        <v/>
      </c>
    </row>
    <row r="796">
      <c r="A796" s="54" t="inlineStr">
        <is>
          <t>CA DC S6</t>
        </is>
      </c>
      <c r="B796" s="54" t="inlineStr">
        <is>
          <t>CA</t>
        </is>
      </c>
      <c r="C796" s="54" t="inlineStr">
        <is>
          <t>B0D9QT3LWG</t>
        </is>
      </c>
      <c r="D796" s="54" t="inlineStr">
        <is>
          <t>SATIN-6PC-FULL-BLUSH PINK</t>
        </is>
      </c>
      <c r="E796" s="54" t="inlineStr">
        <is>
          <t>Full</t>
        </is>
      </c>
      <c r="F796" s="54" t="inlineStr">
        <is>
          <t>Blush Pink</t>
        </is>
      </c>
      <c r="G796" s="55" t="n">
        <v>12</v>
      </c>
      <c r="H796" s="55" t="n">
        <v>6</v>
      </c>
      <c r="I796" s="56" t="n"/>
      <c r="J796" s="57" t="n">
        <v>0.02</v>
      </c>
      <c r="K796" s="56" t="inlineStr">
        <is>
          <t>account data velocity</t>
        </is>
      </c>
      <c r="L796" s="58" t="n">
        <v>2.9761</v>
      </c>
      <c r="M796" s="56" t="inlineStr">
        <is>
          <t>own BFCM 2025 lift (account data)</t>
        </is>
      </c>
      <c r="N796" s="59">
        <f>J796*34+J796*L796*12</f>
        <v/>
      </c>
      <c r="O796" s="59">
        <f>MAX(0,N796-G796-H796)</f>
        <v/>
      </c>
      <c r="P796" s="60">
        <f>IF(J796=0,"",IF(G796&lt;J796*34,DATE(2026,10,15)+G796/J796,IF(G796&lt;N796,DATE(2026,11,18)+(G796-J796*34)/(J796*L796),"after Nov 30")))</f>
        <v/>
      </c>
      <c r="Q796" s="60">
        <f>IF(J796=0,"",IF(G796+H796&lt;J796*34,DATE(2026,10,15)+(G796+H796)/J796,IF(G796+H796&lt;N796,DATE(2026,11,18)+(G796+H796-J796*34)/(J796*L796),"after Nov 30")))</f>
        <v/>
      </c>
      <c r="R796" s="54">
        <f>IF(AND(G796&lt;=0,J796&gt;0),"Out of stock now",IF(G796&gt;=N796,"Covered to Nov 30",IF(G796+H796&gt;=N796,"Needs inbound in time","Short even with inbound")))</f>
        <v/>
      </c>
      <c r="S796" s="57" t="n">
        <v>0.07099999999999999</v>
      </c>
      <c r="T796" s="59">
        <f>IF(S796="","",S796*34+S796*L796*12)</f>
        <v/>
      </c>
    </row>
    <row r="797">
      <c r="A797" s="54" t="inlineStr">
        <is>
          <t>CA DC S6</t>
        </is>
      </c>
      <c r="B797" s="54" t="inlineStr">
        <is>
          <t>CA</t>
        </is>
      </c>
      <c r="C797" s="54" t="inlineStr">
        <is>
          <t>B0D9QRRTN7</t>
        </is>
      </c>
      <c r="D797" s="54" t="inlineStr">
        <is>
          <t>SATIN-6PC-KING-LAVENDER</t>
        </is>
      </c>
      <c r="E797" s="54" t="inlineStr">
        <is>
          <t>King</t>
        </is>
      </c>
      <c r="F797" s="54" t="inlineStr">
        <is>
          <t>Lavender</t>
        </is>
      </c>
      <c r="G797" s="55" t="n">
        <v>28</v>
      </c>
      <c r="H797" s="55" t="n">
        <v>0</v>
      </c>
      <c r="I797" s="56" t="n"/>
      <c r="J797" s="57" t="n">
        <v>0.02</v>
      </c>
      <c r="K797" s="56" t="inlineStr">
        <is>
          <t>account data velocity</t>
        </is>
      </c>
      <c r="L797" s="58" t="n">
        <v>2.9761</v>
      </c>
      <c r="M797" s="56" t="inlineStr">
        <is>
          <t>own BFCM 2025 lift (account data)</t>
        </is>
      </c>
      <c r="N797" s="59">
        <f>J797*34+J797*L797*12</f>
        <v/>
      </c>
      <c r="O797" s="59">
        <f>MAX(0,N797-G797-H797)</f>
        <v/>
      </c>
      <c r="P797" s="60">
        <f>IF(J797=0,"",IF(G797&lt;J797*34,DATE(2026,10,15)+G797/J797,IF(G797&lt;N797,DATE(2026,11,18)+(G797-J797*34)/(J797*L797),"after Nov 30")))</f>
        <v/>
      </c>
      <c r="Q797" s="60">
        <f>IF(J797=0,"",IF(G797+H797&lt;J797*34,DATE(2026,10,15)+(G797+H797)/J797,IF(G797+H797&lt;N797,DATE(2026,11,18)+(G797+H797-J797*34)/(J797*L797),"after Nov 30")))</f>
        <v/>
      </c>
      <c r="R797" s="54">
        <f>IF(AND(G797&lt;=0,J797&gt;0),"Out of stock now",IF(G797&gt;=N797,"Covered to Nov 30",IF(G797+H797&gt;=N797,"Needs inbound in time","Short even with inbound")))</f>
        <v/>
      </c>
      <c r="S797" s="57" t="n">
        <v>0.07099999999999999</v>
      </c>
      <c r="T797" s="59">
        <f>IF(S797="","",S797*34+S797*L797*12)</f>
        <v/>
      </c>
    </row>
    <row r="798">
      <c r="A798" s="54" t="inlineStr">
        <is>
          <t>CA DC S6</t>
        </is>
      </c>
      <c r="B798" s="54" t="inlineStr">
        <is>
          <t>CA</t>
        </is>
      </c>
      <c r="C798" s="54" t="inlineStr">
        <is>
          <t>B0C7FNXRJF</t>
        </is>
      </c>
      <c r="D798" s="54" t="inlineStr">
        <is>
          <t>SATIN-TAUPE-KING-6PCS</t>
        </is>
      </c>
      <c r="E798" s="54" t="inlineStr">
        <is>
          <t>King</t>
        </is>
      </c>
      <c r="F798" s="54" t="inlineStr">
        <is>
          <t>Taupe</t>
        </is>
      </c>
      <c r="G798" s="55" t="n">
        <v>0</v>
      </c>
      <c r="H798" s="55" t="n">
        <v>0</v>
      </c>
      <c r="I798" s="56" t="n"/>
      <c r="J798" s="57" t="n">
        <v>0.02</v>
      </c>
      <c r="K798" s="56" t="inlineStr">
        <is>
          <t>account data velocity</t>
        </is>
      </c>
      <c r="L798" s="58" t="n">
        <v>2.9761</v>
      </c>
      <c r="M798" s="56" t="inlineStr">
        <is>
          <t>own BFCM 2025 lift (account data)</t>
        </is>
      </c>
      <c r="N798" s="59">
        <f>J798*34+J798*L798*12</f>
        <v/>
      </c>
      <c r="O798" s="59">
        <f>MAX(0,N798-G798-H798)</f>
        <v/>
      </c>
      <c r="P798" s="60">
        <f>IF(J798=0,"",IF(G798&lt;J798*34,DATE(2026,10,15)+G798/J798,IF(G798&lt;N798,DATE(2026,11,18)+(G798-J798*34)/(J798*L798),"after Nov 30")))</f>
        <v/>
      </c>
      <c r="Q798" s="60">
        <f>IF(J798=0,"",IF(G798+H798&lt;J798*34,DATE(2026,10,15)+(G798+H798)/J798,IF(G798+H798&lt;N798,DATE(2026,11,18)+(G798+H798-J798*34)/(J798*L798),"after Nov 30")))</f>
        <v/>
      </c>
      <c r="R798" s="54">
        <f>IF(AND(G798&lt;=0,J798&gt;0),"Out of stock now",IF(G798&gt;=N798,"Covered to Nov 30",IF(G798+H798&gt;=N798,"Needs inbound in time","Short even with inbound")))</f>
        <v/>
      </c>
      <c r="S798" s="57" t="n">
        <v>0.07099999999999999</v>
      </c>
      <c r="T798" s="59">
        <f>IF(S798="","",S798*34+S798*L798*12)</f>
        <v/>
      </c>
    </row>
    <row r="799">
      <c r="A799" s="54" t="inlineStr">
        <is>
          <t>CA DC S6</t>
        </is>
      </c>
      <c r="B799" s="54" t="inlineStr">
        <is>
          <t>CA</t>
        </is>
      </c>
      <c r="C799" s="54" t="inlineStr">
        <is>
          <t>B0C7FXTXLD</t>
        </is>
      </c>
      <c r="D799" s="54" t="inlineStr">
        <is>
          <t>SATIN-GOLD-TWIN-6PCS</t>
        </is>
      </c>
      <c r="E799" s="54" t="inlineStr">
        <is>
          <t>Twin</t>
        </is>
      </c>
      <c r="F799" s="54" t="inlineStr">
        <is>
          <t>Gold</t>
        </is>
      </c>
      <c r="G799" s="55" t="n">
        <v>1</v>
      </c>
      <c r="H799" s="55" t="n">
        <v>0</v>
      </c>
      <c r="I799" s="56" t="n"/>
      <c r="J799" s="57" t="n">
        <v>0.02</v>
      </c>
      <c r="K799" s="56" t="inlineStr">
        <is>
          <t>account data velocity</t>
        </is>
      </c>
      <c r="L799" s="58" t="n">
        <v>2.9761</v>
      </c>
      <c r="M799" s="56" t="inlineStr">
        <is>
          <t>own BFCM 2025 lift (account data)</t>
        </is>
      </c>
      <c r="N799" s="59">
        <f>J799*34+J799*L799*12</f>
        <v/>
      </c>
      <c r="O799" s="59">
        <f>MAX(0,N799-G799-H799)</f>
        <v/>
      </c>
      <c r="P799" s="60">
        <f>IF(J799=0,"",IF(G799&lt;J799*34,DATE(2026,10,15)+G799/J799,IF(G799&lt;N799,DATE(2026,11,18)+(G799-J799*34)/(J799*L799),"after Nov 30")))</f>
        <v/>
      </c>
      <c r="Q799" s="60">
        <f>IF(J799=0,"",IF(G799+H799&lt;J799*34,DATE(2026,10,15)+(G799+H799)/J799,IF(G799+H799&lt;N799,DATE(2026,11,18)+(G799+H799-J799*34)/(J799*L799),"after Nov 30")))</f>
        <v/>
      </c>
      <c r="R799" s="54">
        <f>IF(AND(G799&lt;=0,J799&gt;0),"Out of stock now",IF(G799&gt;=N799,"Covered to Nov 30",IF(G799+H799&gt;=N799,"Needs inbound in time","Short even with inbound")))</f>
        <v/>
      </c>
      <c r="S799" s="57" t="n">
        <v>0.036</v>
      </c>
      <c r="T799" s="59">
        <f>IF(S799="","",S799*34+S799*L799*12)</f>
        <v/>
      </c>
    </row>
    <row r="800">
      <c r="A800" s="54" t="inlineStr">
        <is>
          <t>CA DC S6</t>
        </is>
      </c>
      <c r="B800" s="54" t="inlineStr">
        <is>
          <t>CA</t>
        </is>
      </c>
      <c r="C800" s="54" t="inlineStr">
        <is>
          <t>B0C7FTBBQB</t>
        </is>
      </c>
      <c r="D800" s="54" t="inlineStr">
        <is>
          <t>SATIN-GOLD-FULL-6PCS</t>
        </is>
      </c>
      <c r="E800" s="54" t="inlineStr">
        <is>
          <t>Full</t>
        </is>
      </c>
      <c r="F800" s="54" t="inlineStr">
        <is>
          <t>Gold</t>
        </is>
      </c>
      <c r="G800" s="55" t="n">
        <v>3</v>
      </c>
      <c r="H800" s="55" t="n">
        <v>0</v>
      </c>
      <c r="I800" s="56" t="n"/>
      <c r="J800" s="57" t="n">
        <v>0.02</v>
      </c>
      <c r="K800" s="56" t="inlineStr">
        <is>
          <t>account data velocity</t>
        </is>
      </c>
      <c r="L800" s="58" t="n">
        <v>2.9761</v>
      </c>
      <c r="M800" s="56" t="inlineStr">
        <is>
          <t>own BFCM 2025 lift (account data)</t>
        </is>
      </c>
      <c r="N800" s="59">
        <f>J800*34+J800*L800*12</f>
        <v/>
      </c>
      <c r="O800" s="59">
        <f>MAX(0,N800-G800-H800)</f>
        <v/>
      </c>
      <c r="P800" s="60">
        <f>IF(J800=0,"",IF(G800&lt;J800*34,DATE(2026,10,15)+G800/J800,IF(G800&lt;N800,DATE(2026,11,18)+(G800-J800*34)/(J800*L800),"after Nov 30")))</f>
        <v/>
      </c>
      <c r="Q800" s="60">
        <f>IF(J800=0,"",IF(G800+H800&lt;J800*34,DATE(2026,10,15)+(G800+H800)/J800,IF(G800+H800&lt;N800,DATE(2026,11,18)+(G800+H800-J800*34)/(J800*L800),"after Nov 30")))</f>
        <v/>
      </c>
      <c r="R800" s="54">
        <f>IF(AND(G800&lt;=0,J800&gt;0),"Out of stock now",IF(G800&gt;=N800,"Covered to Nov 30",IF(G800+H800&gt;=N800,"Needs inbound in time","Short even with inbound")))</f>
        <v/>
      </c>
      <c r="S800" s="57" t="n">
        <v>0</v>
      </c>
      <c r="T800" s="59">
        <f>IF(S800="","",S800*34+S800*L800*12)</f>
        <v/>
      </c>
    </row>
    <row r="801">
      <c r="A801" s="54" t="inlineStr">
        <is>
          <t>CA DC S6</t>
        </is>
      </c>
      <c r="B801" s="54" t="inlineStr">
        <is>
          <t>CA</t>
        </is>
      </c>
      <c r="C801" s="54" t="inlineStr">
        <is>
          <t>B0D9QR4PS8</t>
        </is>
      </c>
      <c r="D801" s="54" t="inlineStr">
        <is>
          <t>SATIN-6PC-FULL-DARK GREEN</t>
        </is>
      </c>
      <c r="E801" s="54" t="inlineStr">
        <is>
          <t>Full</t>
        </is>
      </c>
      <c r="F801" s="54" t="inlineStr">
        <is>
          <t>Dark Green</t>
        </is>
      </c>
      <c r="G801" s="55" t="n">
        <v>8</v>
      </c>
      <c r="H801" s="55" t="n">
        <v>0</v>
      </c>
      <c r="I801" s="56" t="n"/>
      <c r="J801" s="57" t="n">
        <v>0.01</v>
      </c>
      <c r="K801" s="56" t="inlineStr">
        <is>
          <t>account data velocity</t>
        </is>
      </c>
      <c r="L801" s="58" t="n">
        <v>2.9761</v>
      </c>
      <c r="M801" s="56" t="inlineStr">
        <is>
          <t>own BFCM 2025 lift (account data)</t>
        </is>
      </c>
      <c r="N801" s="59">
        <f>J801*34+J801*L801*12</f>
        <v/>
      </c>
      <c r="O801" s="59">
        <f>MAX(0,N801-G801-H801)</f>
        <v/>
      </c>
      <c r="P801" s="60">
        <f>IF(J801=0,"",IF(G801&lt;J801*34,DATE(2026,10,15)+G801/J801,IF(G801&lt;N801,DATE(2026,11,18)+(G801-J801*34)/(J801*L801),"after Nov 30")))</f>
        <v/>
      </c>
      <c r="Q801" s="60">
        <f>IF(J801=0,"",IF(G801+H801&lt;J801*34,DATE(2026,10,15)+(G801+H801)/J801,IF(G801+H801&lt;N801,DATE(2026,11,18)+(G801+H801-J801*34)/(J801*L801),"after Nov 30")))</f>
        <v/>
      </c>
      <c r="R801" s="54">
        <f>IF(AND(G801&lt;=0,J801&gt;0),"Out of stock now",IF(G801&gt;=N801,"Covered to Nov 30",IF(G801+H801&gt;=N801,"Needs inbound in time","Short even with inbound")))</f>
        <v/>
      </c>
      <c r="S801" s="57" t="n">
        <v>0.036</v>
      </c>
      <c r="T801" s="59">
        <f>IF(S801="","",S801*34+S801*L801*12)</f>
        <v/>
      </c>
    </row>
    <row r="802">
      <c r="A802" s="54" t="inlineStr">
        <is>
          <t>CA DC S6</t>
        </is>
      </c>
      <c r="B802" s="54" t="inlineStr">
        <is>
          <t>CA</t>
        </is>
      </c>
      <c r="C802" s="54" t="inlineStr">
        <is>
          <t>B0C7JVQWDH</t>
        </is>
      </c>
      <c r="D802" s="54" t="inlineStr">
        <is>
          <t>SATIN-STRIPE-TWIN-BLUE--6-PCS</t>
        </is>
      </c>
      <c r="E802" s="54" t="inlineStr">
        <is>
          <t>Twin</t>
        </is>
      </c>
      <c r="F802" s="54" t="inlineStr">
        <is>
          <t>Striped Blue</t>
        </is>
      </c>
      <c r="G802" s="55" t="n">
        <v>1</v>
      </c>
      <c r="H802" s="55" t="n">
        <v>0</v>
      </c>
      <c r="I802" s="56" t="n"/>
      <c r="J802" s="57" t="n">
        <v>0.01</v>
      </c>
      <c r="K802" s="56" t="inlineStr">
        <is>
          <t>account data velocity</t>
        </is>
      </c>
      <c r="L802" s="58" t="n">
        <v>2.9761</v>
      </c>
      <c r="M802" s="56" t="inlineStr">
        <is>
          <t>own BFCM 2025 lift (account data)</t>
        </is>
      </c>
      <c r="N802" s="59">
        <f>J802*34+J802*L802*12</f>
        <v/>
      </c>
      <c r="O802" s="59">
        <f>MAX(0,N802-G802-H802)</f>
        <v/>
      </c>
      <c r="P802" s="60">
        <f>IF(J802=0,"",IF(G802&lt;J802*34,DATE(2026,10,15)+G802/J802,IF(G802&lt;N802,DATE(2026,11,18)+(G802-J802*34)/(J802*L802),"after Nov 30")))</f>
        <v/>
      </c>
      <c r="Q802" s="60">
        <f>IF(J802=0,"",IF(G802+H802&lt;J802*34,DATE(2026,10,15)+(G802+H802)/J802,IF(G802+H802&lt;N802,DATE(2026,11,18)+(G802+H802-J802*34)/(J802*L802),"after Nov 30")))</f>
        <v/>
      </c>
      <c r="R802" s="54">
        <f>IF(AND(G802&lt;=0,J802&gt;0),"Out of stock now",IF(G802&gt;=N802,"Covered to Nov 30",IF(G802+H802&gt;=N802,"Needs inbound in time","Short even with inbound")))</f>
        <v/>
      </c>
      <c r="S802" s="57" t="n">
        <v>0.036</v>
      </c>
      <c r="T802" s="59">
        <f>IF(S802="","",S802*34+S802*L802*12)</f>
        <v/>
      </c>
    </row>
    <row r="803">
      <c r="A803" s="54" t="inlineStr">
        <is>
          <t>CA DC S6</t>
        </is>
      </c>
      <c r="B803" s="54" t="inlineStr">
        <is>
          <t>CA</t>
        </is>
      </c>
      <c r="C803" s="54" t="inlineStr">
        <is>
          <t>B0C7K6YWWL</t>
        </is>
      </c>
      <c r="D803" s="54" t="inlineStr">
        <is>
          <t>SATIN-STRIPE-TWIN-PURPLE--6-PCS</t>
        </is>
      </c>
      <c r="E803" s="54" t="inlineStr">
        <is>
          <t>Twin</t>
        </is>
      </c>
      <c r="F803" s="54" t="inlineStr">
        <is>
          <t>Striped Purple</t>
        </is>
      </c>
      <c r="G803" s="55" t="n">
        <v>3</v>
      </c>
      <c r="H803" s="55" t="n">
        <v>6</v>
      </c>
      <c r="I803" s="56" t="n"/>
      <c r="J803" s="57" t="n">
        <v>0.01</v>
      </c>
      <c r="K803" s="56" t="inlineStr">
        <is>
          <t>account data velocity</t>
        </is>
      </c>
      <c r="L803" s="58" t="n">
        <v>2.9761</v>
      </c>
      <c r="M803" s="56" t="inlineStr">
        <is>
          <t>own BFCM 2025 lift (account data)</t>
        </is>
      </c>
      <c r="N803" s="59">
        <f>J803*34+J803*L803*12</f>
        <v/>
      </c>
      <c r="O803" s="59">
        <f>MAX(0,N803-G803-H803)</f>
        <v/>
      </c>
      <c r="P803" s="60">
        <f>IF(J803=0,"",IF(G803&lt;J803*34,DATE(2026,10,15)+G803/J803,IF(G803&lt;N803,DATE(2026,11,18)+(G803-J803*34)/(J803*L803),"after Nov 30")))</f>
        <v/>
      </c>
      <c r="Q803" s="60">
        <f>IF(J803=0,"",IF(G803+H803&lt;J803*34,DATE(2026,10,15)+(G803+H803)/J803,IF(G803+H803&lt;N803,DATE(2026,11,18)+(G803+H803-J803*34)/(J803*L803),"after Nov 30")))</f>
        <v/>
      </c>
      <c r="R803" s="54">
        <f>IF(AND(G803&lt;=0,J803&gt;0),"Out of stock now",IF(G803&gt;=N803,"Covered to Nov 30",IF(G803+H803&gt;=N803,"Needs inbound in time","Short even with inbound")))</f>
        <v/>
      </c>
      <c r="S803" s="57" t="n">
        <v>0.036</v>
      </c>
      <c r="T803" s="59">
        <f>IF(S803="","",S803*34+S803*L803*12)</f>
        <v/>
      </c>
    </row>
    <row r="804">
      <c r="A804" s="54" t="inlineStr">
        <is>
          <t>CA DC S6</t>
        </is>
      </c>
      <c r="B804" s="54" t="inlineStr">
        <is>
          <t>CA</t>
        </is>
      </c>
      <c r="C804" s="54" t="inlineStr">
        <is>
          <t>B0C7KGK2WK</t>
        </is>
      </c>
      <c r="D804" s="54" t="inlineStr">
        <is>
          <t>SATIN-STRIPE-TWIN-WHITE--6-PCS</t>
        </is>
      </c>
      <c r="E804" s="54" t="inlineStr">
        <is>
          <t>Twin</t>
        </is>
      </c>
      <c r="F804" s="54" t="inlineStr">
        <is>
          <t>Striped White</t>
        </is>
      </c>
      <c r="G804" s="55" t="n">
        <v>2</v>
      </c>
      <c r="H804" s="55" t="n">
        <v>0</v>
      </c>
      <c r="I804" s="56" t="n"/>
      <c r="J804" s="57" t="n">
        <v>0.01</v>
      </c>
      <c r="K804" s="56" t="inlineStr">
        <is>
          <t>account data velocity</t>
        </is>
      </c>
      <c r="L804" s="58" t="n">
        <v>2.9761</v>
      </c>
      <c r="M804" s="56" t="inlineStr">
        <is>
          <t>own BFCM 2025 lift (account data)</t>
        </is>
      </c>
      <c r="N804" s="59">
        <f>J804*34+J804*L804*12</f>
        <v/>
      </c>
      <c r="O804" s="59">
        <f>MAX(0,N804-G804-H804)</f>
        <v/>
      </c>
      <c r="P804" s="60">
        <f>IF(J804=0,"",IF(G804&lt;J804*34,DATE(2026,10,15)+G804/J804,IF(G804&lt;N804,DATE(2026,11,18)+(G804-J804*34)/(J804*L804),"after Nov 30")))</f>
        <v/>
      </c>
      <c r="Q804" s="60">
        <f>IF(J804=0,"",IF(G804+H804&lt;J804*34,DATE(2026,10,15)+(G804+H804)/J804,IF(G804+H804&lt;N804,DATE(2026,11,18)+(G804+H804-J804*34)/(J804*L804),"after Nov 30")))</f>
        <v/>
      </c>
      <c r="R804" s="54">
        <f>IF(AND(G804&lt;=0,J804&gt;0),"Out of stock now",IF(G804&gt;=N804,"Covered to Nov 30",IF(G804+H804&gt;=N804,"Needs inbound in time","Short even with inbound")))</f>
        <v/>
      </c>
      <c r="S804" s="57" t="n">
        <v>0.036</v>
      </c>
      <c r="T804" s="59">
        <f>IF(S804="","",S804*34+S804*L804*12)</f>
        <v/>
      </c>
    </row>
    <row r="805">
      <c r="A805" s="54" t="inlineStr">
        <is>
          <t>CA DC S6</t>
        </is>
      </c>
      <c r="B805" s="54" t="inlineStr">
        <is>
          <t>CA</t>
        </is>
      </c>
      <c r="C805" s="54" t="inlineStr">
        <is>
          <t>B0D9QRPTXQ</t>
        </is>
      </c>
      <c r="D805" s="54" t="inlineStr">
        <is>
          <t>SATIN-4PC-TWIN-DARK GREEN</t>
        </is>
      </c>
      <c r="E805" s="54" t="inlineStr">
        <is>
          <t>Twin</t>
        </is>
      </c>
      <c r="F805" s="54" t="inlineStr">
        <is>
          <t>Dark Green</t>
        </is>
      </c>
      <c r="G805" s="55" t="n">
        <v>1</v>
      </c>
      <c r="H805" s="55" t="n">
        <v>0</v>
      </c>
      <c r="I805" s="56" t="n"/>
      <c r="J805" s="57" t="n">
        <v>0.01</v>
      </c>
      <c r="K805" s="56" t="inlineStr">
        <is>
          <t>account data velocity</t>
        </is>
      </c>
      <c r="L805" s="58" t="n">
        <v>2.9761</v>
      </c>
      <c r="M805" s="56" t="inlineStr">
        <is>
          <t>own BFCM 2025 lift (account data)</t>
        </is>
      </c>
      <c r="N805" s="59">
        <f>J805*34+J805*L805*12</f>
        <v/>
      </c>
      <c r="O805" s="59">
        <f>MAX(0,N805-G805-H805)</f>
        <v/>
      </c>
      <c r="P805" s="60">
        <f>IF(J805=0,"",IF(G805&lt;J805*34,DATE(2026,10,15)+G805/J805,IF(G805&lt;N805,DATE(2026,11,18)+(G805-J805*34)/(J805*L805),"after Nov 30")))</f>
        <v/>
      </c>
      <c r="Q805" s="60">
        <f>IF(J805=0,"",IF(G805+H805&lt;J805*34,DATE(2026,10,15)+(G805+H805)/J805,IF(G805+H805&lt;N805,DATE(2026,11,18)+(G805+H805-J805*34)/(J805*L805),"after Nov 30")))</f>
        <v/>
      </c>
      <c r="R805" s="54">
        <f>IF(AND(G805&lt;=0,J805&gt;0),"Out of stock now",IF(G805&gt;=N805,"Covered to Nov 30",IF(G805+H805&gt;=N805,"Needs inbound in time","Short even with inbound")))</f>
        <v/>
      </c>
      <c r="S805" s="57" t="n"/>
      <c r="T805" s="59">
        <f>IF(S805="","",S805*34+S805*L805*12)</f>
        <v/>
      </c>
    </row>
    <row r="806">
      <c r="A806" s="54" t="inlineStr">
        <is>
          <t>CA DC S6</t>
        </is>
      </c>
      <c r="B806" s="54" t="inlineStr">
        <is>
          <t>CA</t>
        </is>
      </c>
      <c r="C806" s="54" t="inlineStr">
        <is>
          <t>B0C7FXQZVG</t>
        </is>
      </c>
      <c r="D806" s="54" t="inlineStr">
        <is>
          <t>SATIN-FULL-BLUE-6PCS</t>
        </is>
      </c>
      <c r="E806" s="54" t="inlineStr">
        <is>
          <t>Full</t>
        </is>
      </c>
      <c r="F806" s="54" t="inlineStr">
        <is>
          <t>Blue</t>
        </is>
      </c>
      <c r="G806" s="55" t="n">
        <v>3</v>
      </c>
      <c r="H806" s="55" t="n">
        <v>0</v>
      </c>
      <c r="I806" s="56" t="n"/>
      <c r="J806" s="57" t="n">
        <v>0</v>
      </c>
      <c r="K806" s="56" t="inlineStr">
        <is>
          <t>account data velocity</t>
        </is>
      </c>
      <c r="L806" s="58" t="n">
        <v>2.9761</v>
      </c>
      <c r="M806" s="56" t="inlineStr">
        <is>
          <t>own BFCM 2025 lift (account data)</t>
        </is>
      </c>
      <c r="N806" s="59">
        <f>J806*34+J806*L806*12</f>
        <v/>
      </c>
      <c r="O806" s="59">
        <f>MAX(0,N806-G806-H806)</f>
        <v/>
      </c>
      <c r="P806" s="60">
        <f>IF(J806=0,"",IF(G806&lt;J806*34,DATE(2026,10,15)+G806/J806,IF(G806&lt;N806,DATE(2026,11,18)+(G806-J806*34)/(J806*L806),"after Nov 30")))</f>
        <v/>
      </c>
      <c r="Q806" s="60">
        <f>IF(J806=0,"",IF(G806+H806&lt;J806*34,DATE(2026,10,15)+(G806+H806)/J806,IF(G806+H806&lt;N806,DATE(2026,11,18)+(G806+H806-J806*34)/(J806*L806),"after Nov 30")))</f>
        <v/>
      </c>
      <c r="R806" s="54">
        <f>IF(AND(G806&lt;=0,J806&gt;0),"Out of stock now",IF(G806&gt;=N806,"Covered to Nov 30",IF(G806+H806&gt;=N806,"Needs inbound in time","Short even with inbound")))</f>
        <v/>
      </c>
      <c r="S806" s="57" t="n">
        <v>0</v>
      </c>
      <c r="T806" s="59">
        <f>IF(S806="","",S806*34+S806*L806*12)</f>
        <v/>
      </c>
    </row>
    <row r="807">
      <c r="A807" s="54" t="inlineStr">
        <is>
          <t>CA DC S6</t>
        </is>
      </c>
      <c r="B807" s="54" t="inlineStr">
        <is>
          <t>CA</t>
        </is>
      </c>
      <c r="C807" s="54" t="inlineStr">
        <is>
          <t>B0C7JYS2K4</t>
        </is>
      </c>
      <c r="D807" s="54" t="inlineStr">
        <is>
          <t>SATIN-STRIPE-FULL-RED--6-PCS</t>
        </is>
      </c>
      <c r="E807" s="54" t="inlineStr">
        <is>
          <t>Full</t>
        </is>
      </c>
      <c r="F807" s="54" t="inlineStr">
        <is>
          <t>Striped Red</t>
        </is>
      </c>
      <c r="G807" s="55" t="n">
        <v>6</v>
      </c>
      <c r="H807" s="55" t="n">
        <v>0</v>
      </c>
      <c r="I807" s="56" t="n"/>
      <c r="J807" s="57" t="n">
        <v>0</v>
      </c>
      <c r="K807" s="56" t="inlineStr">
        <is>
          <t>account data velocity</t>
        </is>
      </c>
      <c r="L807" s="58" t="n">
        <v>2.9761</v>
      </c>
      <c r="M807" s="56" t="inlineStr">
        <is>
          <t>own BFCM 2025 lift (account data)</t>
        </is>
      </c>
      <c r="N807" s="59">
        <f>J807*34+J807*L807*12</f>
        <v/>
      </c>
      <c r="O807" s="59">
        <f>MAX(0,N807-G807-H807)</f>
        <v/>
      </c>
      <c r="P807" s="60">
        <f>IF(J807=0,"",IF(G807&lt;J807*34,DATE(2026,10,15)+G807/J807,IF(G807&lt;N807,DATE(2026,11,18)+(G807-J807*34)/(J807*L807),"after Nov 30")))</f>
        <v/>
      </c>
      <c r="Q807" s="60">
        <f>IF(J807=0,"",IF(G807+H807&lt;J807*34,DATE(2026,10,15)+(G807+H807)/J807,IF(G807+H807&lt;N807,DATE(2026,11,18)+(G807+H807-J807*34)/(J807*L807),"after Nov 30")))</f>
        <v/>
      </c>
      <c r="R807" s="54">
        <f>IF(AND(G807&lt;=0,J807&gt;0),"Out of stock now",IF(G807&gt;=N807,"Covered to Nov 30",IF(G807+H807&gt;=N807,"Needs inbound in time","Short even with inbound")))</f>
        <v/>
      </c>
      <c r="S807" s="57" t="n">
        <v>0</v>
      </c>
      <c r="T807" s="59">
        <f>IF(S807="","",S807*34+S807*L807*12)</f>
        <v/>
      </c>
    </row>
    <row r="808">
      <c r="A808" s="54" t="inlineStr">
        <is>
          <t>CA DC S6</t>
        </is>
      </c>
      <c r="B808" s="54" t="inlineStr">
        <is>
          <t>CA</t>
        </is>
      </c>
      <c r="C808" s="54" t="inlineStr">
        <is>
          <t>B0C7K2B1Y3</t>
        </is>
      </c>
      <c r="D808" s="54" t="inlineStr">
        <is>
          <t>SATIN-STRIPE-FULL-WHITE--6-PCS</t>
        </is>
      </c>
      <c r="E808" s="54" t="inlineStr">
        <is>
          <t>Full</t>
        </is>
      </c>
      <c r="F808" s="54" t="inlineStr">
        <is>
          <t>Striped White</t>
        </is>
      </c>
      <c r="G808" s="55" t="n">
        <v>5</v>
      </c>
      <c r="H808" s="55" t="n">
        <v>0</v>
      </c>
      <c r="I808" s="56" t="n"/>
      <c r="J808" s="57" t="n">
        <v>0</v>
      </c>
      <c r="K808" s="56" t="inlineStr">
        <is>
          <t>account data velocity</t>
        </is>
      </c>
      <c r="L808" s="58" t="n">
        <v>2.9761</v>
      </c>
      <c r="M808" s="56" t="inlineStr">
        <is>
          <t>own BFCM 2025 lift (account data)</t>
        </is>
      </c>
      <c r="N808" s="59">
        <f>J808*34+J808*L808*12</f>
        <v/>
      </c>
      <c r="O808" s="59">
        <f>MAX(0,N808-G808-H808)</f>
        <v/>
      </c>
      <c r="P808" s="60">
        <f>IF(J808=0,"",IF(G808&lt;J808*34,DATE(2026,10,15)+G808/J808,IF(G808&lt;N808,DATE(2026,11,18)+(G808-J808*34)/(J808*L808),"after Nov 30")))</f>
        <v/>
      </c>
      <c r="Q808" s="60">
        <f>IF(J808=0,"",IF(G808+H808&lt;J808*34,DATE(2026,10,15)+(G808+H808)/J808,IF(G808+H808&lt;N808,DATE(2026,11,18)+(G808+H808-J808*34)/(J808*L808),"after Nov 30")))</f>
        <v/>
      </c>
      <c r="R808" s="54">
        <f>IF(AND(G808&lt;=0,J808&gt;0),"Out of stock now",IF(G808&gt;=N808,"Covered to Nov 30",IF(G808+H808&gt;=N808,"Needs inbound in time","Short even with inbound")))</f>
        <v/>
      </c>
      <c r="S808" s="57" t="n">
        <v>0</v>
      </c>
      <c r="T808" s="59">
        <f>IF(S808="","",S808*34+S808*L808*12)</f>
        <v/>
      </c>
    </row>
    <row r="809">
      <c r="A809" s="54" t="inlineStr">
        <is>
          <t>CA DC S6</t>
        </is>
      </c>
      <c r="B809" s="54" t="inlineStr">
        <is>
          <t>CA</t>
        </is>
      </c>
      <c r="C809" s="54" t="inlineStr">
        <is>
          <t>B0D9QSQ8W7</t>
        </is>
      </c>
      <c r="D809" s="54" t="inlineStr">
        <is>
          <t>SATIN-4PC-TWIN-BURNT ORANGE</t>
        </is>
      </c>
      <c r="E809" s="54" t="inlineStr">
        <is>
          <t>Twin</t>
        </is>
      </c>
      <c r="F809" s="54" t="inlineStr">
        <is>
          <t>Burnt Orange</t>
        </is>
      </c>
      <c r="G809" s="55" t="n">
        <v>2</v>
      </c>
      <c r="H809" s="55" t="n">
        <v>0</v>
      </c>
      <c r="I809" s="56" t="n"/>
      <c r="J809" s="57" t="n">
        <v>0</v>
      </c>
      <c r="K809" s="56" t="inlineStr">
        <is>
          <t>account data velocity</t>
        </is>
      </c>
      <c r="L809" s="58" t="n">
        <v>2.9761</v>
      </c>
      <c r="M809" s="56" t="inlineStr">
        <is>
          <t>own BFCM 2025 lift (account data)</t>
        </is>
      </c>
      <c r="N809" s="59">
        <f>J809*34+J809*L809*12</f>
        <v/>
      </c>
      <c r="O809" s="59">
        <f>MAX(0,N809-G809-H809)</f>
        <v/>
      </c>
      <c r="P809" s="60">
        <f>IF(J809=0,"",IF(G809&lt;J809*34,DATE(2026,10,15)+G809/J809,IF(G809&lt;N809,DATE(2026,11,18)+(G809-J809*34)/(J809*L809),"after Nov 30")))</f>
        <v/>
      </c>
      <c r="Q809" s="60">
        <f>IF(J809=0,"",IF(G809+H809&lt;J809*34,DATE(2026,10,15)+(G809+H809)/J809,IF(G809+H809&lt;N809,DATE(2026,11,18)+(G809+H809-J809*34)/(J809*L809),"after Nov 30")))</f>
        <v/>
      </c>
      <c r="R809" s="54">
        <f>IF(AND(G809&lt;=0,J809&gt;0),"Out of stock now",IF(G809&gt;=N809,"Covered to Nov 30",IF(G809+H809&gt;=N809,"Needs inbound in time","Short even with inbound")))</f>
        <v/>
      </c>
      <c r="S809" s="57" t="n"/>
      <c r="T809" s="59">
        <f>IF(S809="","",S809*34+S809*L809*12)</f>
        <v/>
      </c>
    </row>
    <row r="810">
      <c r="A810" s="54" t="inlineStr">
        <is>
          <t>CA DC S6</t>
        </is>
      </c>
      <c r="B810" s="54" t="inlineStr">
        <is>
          <t>CA</t>
        </is>
      </c>
      <c r="C810" s="54" t="inlineStr">
        <is>
          <t>B0C7FLZ6S8</t>
        </is>
      </c>
      <c r="D810" s="54" t="inlineStr">
        <is>
          <t>SATIN-CHAMPAGNE-TWIN-6PCS</t>
        </is>
      </c>
      <c r="E810" s="54" t="inlineStr">
        <is>
          <t>Twin</t>
        </is>
      </c>
      <c r="F810" s="54" t="inlineStr">
        <is>
          <t>Champagne</t>
        </is>
      </c>
      <c r="G810" s="55" t="n">
        <v>1</v>
      </c>
      <c r="H810" s="55" t="n">
        <v>0</v>
      </c>
      <c r="I810" s="56" t="n"/>
      <c r="J810" s="57" t="n">
        <v>0</v>
      </c>
      <c r="K810" s="56" t="inlineStr">
        <is>
          <t>account data velocity</t>
        </is>
      </c>
      <c r="L810" s="58" t="n">
        <v>2.9761</v>
      </c>
      <c r="M810" s="56" t="inlineStr">
        <is>
          <t>own BFCM 2025 lift (account data)</t>
        </is>
      </c>
      <c r="N810" s="59">
        <f>J810*34+J810*L810*12</f>
        <v/>
      </c>
      <c r="O810" s="59">
        <f>MAX(0,N810-G810-H810)</f>
        <v/>
      </c>
      <c r="P810" s="60">
        <f>IF(J810=0,"",IF(G810&lt;J810*34,DATE(2026,10,15)+G810/J810,IF(G810&lt;N810,DATE(2026,11,18)+(G810-J810*34)/(J810*L810),"after Nov 30")))</f>
        <v/>
      </c>
      <c r="Q810" s="60">
        <f>IF(J810=0,"",IF(G810+H810&lt;J810*34,DATE(2026,10,15)+(G810+H810)/J810,IF(G810+H810&lt;N810,DATE(2026,11,18)+(G810+H810-J810*34)/(J810*L810),"after Nov 30")))</f>
        <v/>
      </c>
      <c r="R810" s="54">
        <f>IF(AND(G810&lt;=0,J810&gt;0),"Out of stock now",IF(G810&gt;=N810,"Covered to Nov 30",IF(G810+H810&gt;=N810,"Needs inbound in time","Short even with inbound")))</f>
        <v/>
      </c>
      <c r="S810" s="57" t="n">
        <v>0</v>
      </c>
      <c r="T810" s="59">
        <f>IF(S810="","",S810*34+S810*L810*12)</f>
        <v/>
      </c>
    </row>
    <row r="811">
      <c r="A811" s="54" t="inlineStr">
        <is>
          <t>CA DC S6</t>
        </is>
      </c>
      <c r="B811" s="54" t="inlineStr">
        <is>
          <t>CA</t>
        </is>
      </c>
      <c r="C811" s="54" t="inlineStr">
        <is>
          <t>B0C7FM1K6P</t>
        </is>
      </c>
      <c r="D811" s="54" t="inlineStr">
        <is>
          <t>SATIN-IVORY-TWIN-6PCS</t>
        </is>
      </c>
      <c r="E811" s="54" t="inlineStr">
        <is>
          <t>Twin</t>
        </is>
      </c>
      <c r="F811" s="54" t="inlineStr">
        <is>
          <t>Ivory</t>
        </is>
      </c>
      <c r="G811" s="55" t="n">
        <v>4</v>
      </c>
      <c r="H811" s="55" t="n">
        <v>0</v>
      </c>
      <c r="I811" s="56" t="n"/>
      <c r="J811" s="57" t="n">
        <v>0</v>
      </c>
      <c r="K811" s="56" t="inlineStr">
        <is>
          <t>account data velocity</t>
        </is>
      </c>
      <c r="L811" s="58" t="n">
        <v>2.9761</v>
      </c>
      <c r="M811" s="56" t="inlineStr">
        <is>
          <t>own BFCM 2025 lift (account data)</t>
        </is>
      </c>
      <c r="N811" s="59">
        <f>J811*34+J811*L811*12</f>
        <v/>
      </c>
      <c r="O811" s="59">
        <f>MAX(0,N811-G811-H811)</f>
        <v/>
      </c>
      <c r="P811" s="60">
        <f>IF(J811=0,"",IF(G811&lt;J811*34,DATE(2026,10,15)+G811/J811,IF(G811&lt;N811,DATE(2026,11,18)+(G811-J811*34)/(J811*L811),"after Nov 30")))</f>
        <v/>
      </c>
      <c r="Q811" s="60">
        <f>IF(J811=0,"",IF(G811+H811&lt;J811*34,DATE(2026,10,15)+(G811+H811)/J811,IF(G811+H811&lt;N811,DATE(2026,11,18)+(G811+H811-J811*34)/(J811*L811),"after Nov 30")))</f>
        <v/>
      </c>
      <c r="R811" s="54">
        <f>IF(AND(G811&lt;=0,J811&gt;0),"Out of stock now",IF(G811&gt;=N811,"Covered to Nov 30",IF(G811+H811&gt;=N811,"Needs inbound in time","Short even with inbound")))</f>
        <v/>
      </c>
      <c r="S811" s="57" t="n">
        <v>0</v>
      </c>
      <c r="T811" s="59">
        <f>IF(S811="","",S811*34+S811*L811*12)</f>
        <v/>
      </c>
    </row>
    <row r="812">
      <c r="A812" s="54" t="inlineStr">
        <is>
          <t>CA DC S6</t>
        </is>
      </c>
      <c r="B812" s="54" t="inlineStr">
        <is>
          <t>CA</t>
        </is>
      </c>
      <c r="C812" s="54" t="inlineStr">
        <is>
          <t>B0C7F9HG21</t>
        </is>
      </c>
      <c r="D812" s="54" t="inlineStr">
        <is>
          <t>SATIN-STONEGREY-TWIN-6PCS</t>
        </is>
      </c>
      <c r="E812" s="54" t="inlineStr">
        <is>
          <t>Twin</t>
        </is>
      </c>
      <c r="F812" s="54" t="inlineStr">
        <is>
          <t>Stone Grey</t>
        </is>
      </c>
      <c r="G812" s="55" t="n">
        <v>12</v>
      </c>
      <c r="H812" s="55" t="n">
        <v>6</v>
      </c>
      <c r="I812" s="56" t="n"/>
      <c r="J812" s="57" t="n">
        <v>0</v>
      </c>
      <c r="K812" s="56" t="inlineStr">
        <is>
          <t>account data velocity</t>
        </is>
      </c>
      <c r="L812" s="58" t="n">
        <v>2.9761</v>
      </c>
      <c r="M812" s="56" t="inlineStr">
        <is>
          <t>own BFCM 2025 lift (account data)</t>
        </is>
      </c>
      <c r="N812" s="59">
        <f>J812*34+J812*L812*12</f>
        <v/>
      </c>
      <c r="O812" s="59">
        <f>MAX(0,N812-G812-H812)</f>
        <v/>
      </c>
      <c r="P812" s="60">
        <f>IF(J812=0,"",IF(G812&lt;J812*34,DATE(2026,10,15)+G812/J812,IF(G812&lt;N812,DATE(2026,11,18)+(G812-J812*34)/(J812*L812),"after Nov 30")))</f>
        <v/>
      </c>
      <c r="Q812" s="60">
        <f>IF(J812=0,"",IF(G812+H812&lt;J812*34,DATE(2026,10,15)+(G812+H812)/J812,IF(G812+H812&lt;N812,DATE(2026,11,18)+(G812+H812-J812*34)/(J812*L812),"after Nov 30")))</f>
        <v/>
      </c>
      <c r="R812" s="54">
        <f>IF(AND(G812&lt;=0,J812&gt;0),"Out of stock now",IF(G812&gt;=N812,"Covered to Nov 30",IF(G812+H812&gt;=N812,"Needs inbound in time","Short even with inbound")))</f>
        <v/>
      </c>
      <c r="S812" s="57" t="n">
        <v>0</v>
      </c>
      <c r="T812" s="59">
        <f>IF(S812="","",S812*34+S812*L812*12)</f>
        <v/>
      </c>
    </row>
    <row r="813">
      <c r="A813" s="54" t="inlineStr">
        <is>
          <t>CA DC S6</t>
        </is>
      </c>
      <c r="B813" s="54" t="inlineStr">
        <is>
          <t>CA</t>
        </is>
      </c>
      <c r="C813" s="54" t="inlineStr">
        <is>
          <t>B0C7K62XCT</t>
        </is>
      </c>
      <c r="D813" s="54" t="inlineStr">
        <is>
          <t>SATIN-STRIPE-TWIN-GRAY--6-PCS</t>
        </is>
      </c>
      <c r="E813" s="54" t="inlineStr">
        <is>
          <t>Twin</t>
        </is>
      </c>
      <c r="F813" s="54" t="inlineStr">
        <is>
          <t>Striped Grey</t>
        </is>
      </c>
      <c r="G813" s="55" t="n">
        <v>4</v>
      </c>
      <c r="H813" s="55" t="n">
        <v>0</v>
      </c>
      <c r="I813" s="56" t="n"/>
      <c r="J813" s="57" t="n">
        <v>0</v>
      </c>
      <c r="K813" s="56" t="inlineStr">
        <is>
          <t>account data velocity</t>
        </is>
      </c>
      <c r="L813" s="58" t="n">
        <v>2.9761</v>
      </c>
      <c r="M813" s="56" t="inlineStr">
        <is>
          <t>own BFCM 2025 lift (account data)</t>
        </is>
      </c>
      <c r="N813" s="59">
        <f>J813*34+J813*L813*12</f>
        <v/>
      </c>
      <c r="O813" s="59">
        <f>MAX(0,N813-G813-H813)</f>
        <v/>
      </c>
      <c r="P813" s="60">
        <f>IF(J813=0,"",IF(G813&lt;J813*34,DATE(2026,10,15)+G813/J813,IF(G813&lt;N813,DATE(2026,11,18)+(G813-J813*34)/(J813*L813),"after Nov 30")))</f>
        <v/>
      </c>
      <c r="Q813" s="60">
        <f>IF(J813=0,"",IF(G813+H813&lt;J813*34,DATE(2026,10,15)+(G813+H813)/J813,IF(G813+H813&lt;N813,DATE(2026,11,18)+(G813+H813-J813*34)/(J813*L813),"after Nov 30")))</f>
        <v/>
      </c>
      <c r="R813" s="54">
        <f>IF(AND(G813&lt;=0,J813&gt;0),"Out of stock now",IF(G813&gt;=N813,"Covered to Nov 30",IF(G813+H813&gt;=N813,"Needs inbound in time","Short even with inbound")))</f>
        <v/>
      </c>
      <c r="S813" s="57" t="n">
        <v>0</v>
      </c>
      <c r="T813" s="59">
        <f>IF(S813="","",S813*34+S813*L813*12)</f>
        <v/>
      </c>
    </row>
    <row r="814">
      <c r="A814" s="54" t="inlineStr">
        <is>
          <t>CA DC S6</t>
        </is>
      </c>
      <c r="B814" s="54" t="inlineStr">
        <is>
          <t>CA</t>
        </is>
      </c>
      <c r="C814" s="54" t="inlineStr">
        <is>
          <t>B0C7JQ5MZY</t>
        </is>
      </c>
      <c r="D814" s="54" t="inlineStr">
        <is>
          <t>SATIN-STRIPE-TWIN-RED--6-PCS</t>
        </is>
      </c>
      <c r="E814" s="54" t="inlineStr">
        <is>
          <t>Twin</t>
        </is>
      </c>
      <c r="F814" s="54" t="inlineStr">
        <is>
          <t>Striped Red</t>
        </is>
      </c>
      <c r="G814" s="55" t="n">
        <v>2</v>
      </c>
      <c r="H814" s="55" t="n">
        <v>0</v>
      </c>
      <c r="I814" s="56" t="n"/>
      <c r="J814" s="57" t="n">
        <v>0</v>
      </c>
      <c r="K814" s="56" t="inlineStr">
        <is>
          <t>account data velocity</t>
        </is>
      </c>
      <c r="L814" s="58" t="n">
        <v>2.9761</v>
      </c>
      <c r="M814" s="56" t="inlineStr">
        <is>
          <t>own BFCM 2025 lift (account data)</t>
        </is>
      </c>
      <c r="N814" s="59">
        <f>J814*34+J814*L814*12</f>
        <v/>
      </c>
      <c r="O814" s="59">
        <f>MAX(0,N814-G814-H814)</f>
        <v/>
      </c>
      <c r="P814" s="60">
        <f>IF(J814=0,"",IF(G814&lt;J814*34,DATE(2026,10,15)+G814/J814,IF(G814&lt;N814,DATE(2026,11,18)+(G814-J814*34)/(J814*L814),"after Nov 30")))</f>
        <v/>
      </c>
      <c r="Q814" s="60">
        <f>IF(J814=0,"",IF(G814+H814&lt;J814*34,DATE(2026,10,15)+(G814+H814)/J814,IF(G814+H814&lt;N814,DATE(2026,11,18)+(G814+H814-J814*34)/(J814*L814),"after Nov 30")))</f>
        <v/>
      </c>
      <c r="R814" s="54">
        <f>IF(AND(G814&lt;=0,J814&gt;0),"Out of stock now",IF(G814&gt;=N814,"Covered to Nov 30",IF(G814+H814&gt;=N814,"Needs inbound in time","Short even with inbound")))</f>
        <v/>
      </c>
      <c r="S814" s="57" t="n">
        <v>0</v>
      </c>
      <c r="T814" s="59">
        <f>IF(S814="","",S814*34+S814*L814*12)</f>
        <v/>
      </c>
    </row>
    <row r="815">
      <c r="A815" s="54" t="inlineStr">
        <is>
          <t>US SSS4</t>
        </is>
      </c>
      <c r="B815" s="54" t="inlineStr">
        <is>
          <t>US</t>
        </is>
      </c>
      <c r="C815" s="54" t="inlineStr">
        <is>
          <t>B0DDRHPKDV</t>
        </is>
      </c>
      <c r="D815" s="54" t="inlineStr">
        <is>
          <t>SS-SATIN-GOLD-QUEEN-4PCS</t>
        </is>
      </c>
      <c r="E815" s="54" t="inlineStr">
        <is>
          <t>Queen</t>
        </is>
      </c>
      <c r="F815" s="54" t="inlineStr">
        <is>
          <t>Gold</t>
        </is>
      </c>
      <c r="G815" s="55" t="n">
        <v>237</v>
      </c>
      <c r="H815" s="55" t="n">
        <v>0</v>
      </c>
      <c r="I815" s="56" t="n"/>
      <c r="J815" s="57" t="n">
        <v>2.26</v>
      </c>
      <c r="K815" s="56" t="inlineStr">
        <is>
          <t>account data velocity</t>
        </is>
      </c>
      <c r="L815" s="58" t="n">
        <v>2.5897</v>
      </c>
      <c r="M815" s="56" t="inlineStr">
        <is>
          <t>own BFCM 2025 lift (account data)</t>
        </is>
      </c>
      <c r="N815" s="59">
        <f>J815*34+J815*L815*12</f>
        <v/>
      </c>
      <c r="O815" s="59">
        <f>MAX(0,N815-G815-H815)</f>
        <v/>
      </c>
      <c r="P815" s="60">
        <f>IF(J815=0,"",IF(G815&lt;J815*34,DATE(2026,10,15)+G815/J815,IF(G815&lt;N815,DATE(2026,11,18)+(G815-J815*34)/(J815*L815),"after Nov 30")))</f>
        <v/>
      </c>
      <c r="Q815" s="60">
        <f>IF(J815=0,"",IF(G815+H815&lt;J815*34,DATE(2026,10,15)+(G815+H815)/J815,IF(G815+H815&lt;N815,DATE(2026,11,18)+(G815+H815-J815*34)/(J815*L815),"after Nov 30")))</f>
        <v/>
      </c>
      <c r="R815" s="54">
        <f>IF(AND(G815&lt;=0,J815&gt;0),"Out of stock now",IF(G815&gt;=N815,"Covered to Nov 30",IF(G815+H815&gt;=N815,"Needs inbound in time","Short even with inbound")))</f>
        <v/>
      </c>
      <c r="S815" s="57" t="n">
        <v>1.607</v>
      </c>
      <c r="T815" s="59">
        <f>IF(S815="","",S815*34+S815*L815*12)</f>
        <v/>
      </c>
    </row>
    <row r="816">
      <c r="A816" s="54" t="inlineStr">
        <is>
          <t>US SSS4</t>
        </is>
      </c>
      <c r="B816" s="54" t="inlineStr">
        <is>
          <t>US</t>
        </is>
      </c>
      <c r="C816" s="54" t="inlineStr">
        <is>
          <t>B0DDQZ6VT4</t>
        </is>
      </c>
      <c r="D816" s="54" t="inlineStr">
        <is>
          <t>SS-SATIN-WHITE-KING-4PCS</t>
        </is>
      </c>
      <c r="E816" s="54" t="inlineStr">
        <is>
          <t>King</t>
        </is>
      </c>
      <c r="F816" s="54" t="inlineStr">
        <is>
          <t>White</t>
        </is>
      </c>
      <c r="G816" s="55" t="n">
        <v>389</v>
      </c>
      <c r="H816" s="55" t="n">
        <v>6</v>
      </c>
      <c r="I816" s="56" t="inlineStr">
        <is>
          <t>FBA19KFX24C6 delivered: 6</t>
        </is>
      </c>
      <c r="J816" s="57" t="n">
        <v>2.22</v>
      </c>
      <c r="K816" s="56" t="inlineStr">
        <is>
          <t>account data velocity</t>
        </is>
      </c>
      <c r="L816" s="58" t="n">
        <v>2.5897</v>
      </c>
      <c r="M816" s="56" t="inlineStr">
        <is>
          <t>own BFCM 2025 lift (account data)</t>
        </is>
      </c>
      <c r="N816" s="59">
        <f>J816*34+J816*L816*12</f>
        <v/>
      </c>
      <c r="O816" s="59">
        <f>MAX(0,N816-G816-H816)</f>
        <v/>
      </c>
      <c r="P816" s="60">
        <f>IF(J816=0,"",IF(G816&lt;J816*34,DATE(2026,10,15)+G816/J816,IF(G816&lt;N816,DATE(2026,11,18)+(G816-J816*34)/(J816*L816),"after Nov 30")))</f>
        <v/>
      </c>
      <c r="Q816" s="60">
        <f>IF(J816=0,"",IF(G816+H816&lt;J816*34,DATE(2026,10,15)+(G816+H816)/J816,IF(G816+H816&lt;N816,DATE(2026,11,18)+(G816+H816-J816*34)/(J816*L816),"after Nov 30")))</f>
        <v/>
      </c>
      <c r="R816" s="54">
        <f>IF(AND(G816&lt;=0,J816&gt;0),"Out of stock now",IF(G816&gt;=N816,"Covered to Nov 30",IF(G816+H816&gt;=N816,"Needs inbound in time","Short even with inbound")))</f>
        <v/>
      </c>
      <c r="S816" s="57" t="n">
        <v>1.214</v>
      </c>
      <c r="T816" s="59">
        <f>IF(S816="","",S816*34+S816*L816*12)</f>
        <v/>
      </c>
    </row>
    <row r="817">
      <c r="A817" s="54" t="inlineStr">
        <is>
          <t>US SSS4</t>
        </is>
      </c>
      <c r="B817" s="54" t="inlineStr">
        <is>
          <t>US</t>
        </is>
      </c>
      <c r="C817" s="54" t="inlineStr">
        <is>
          <t>B0DDR5K4JT</t>
        </is>
      </c>
      <c r="D817" s="54" t="inlineStr">
        <is>
          <t>SS-SATIN-NAVY-BLUE-KING-4PCS</t>
        </is>
      </c>
      <c r="E817" s="54" t="inlineStr">
        <is>
          <t>King</t>
        </is>
      </c>
      <c r="F817" s="54" t="inlineStr">
        <is>
          <t>Navy Blue</t>
        </is>
      </c>
      <c r="G817" s="55" t="n">
        <v>73</v>
      </c>
      <c r="H817" s="55" t="n">
        <v>18</v>
      </c>
      <c r="I817" s="56" t="inlineStr">
        <is>
          <t>FBA19N7XSBR9 in transit: 18</t>
        </is>
      </c>
      <c r="J817" s="57" t="n">
        <v>1.63</v>
      </c>
      <c r="K817" s="56" t="inlineStr">
        <is>
          <t>account data velocity</t>
        </is>
      </c>
      <c r="L817" s="58" t="n">
        <v>2.5897</v>
      </c>
      <c r="M817" s="56" t="inlineStr">
        <is>
          <t>own BFCM 2025 lift (account data)</t>
        </is>
      </c>
      <c r="N817" s="59">
        <f>J817*34+J817*L817*12</f>
        <v/>
      </c>
      <c r="O817" s="59">
        <f>MAX(0,N817-G817-H817)</f>
        <v/>
      </c>
      <c r="P817" s="60">
        <f>IF(J817=0,"",IF(G817&lt;J817*34,DATE(2026,10,15)+G817/J817,IF(G817&lt;N817,DATE(2026,11,18)+(G817-J817*34)/(J817*L817),"after Nov 30")))</f>
        <v/>
      </c>
      <c r="Q817" s="60">
        <f>IF(J817=0,"",IF(G817+H817&lt;J817*34,DATE(2026,10,15)+(G817+H817)/J817,IF(G817+H817&lt;N817,DATE(2026,11,18)+(G817+H817-J817*34)/(J817*L817),"after Nov 30")))</f>
        <v/>
      </c>
      <c r="R817" s="54">
        <f>IF(AND(G817&lt;=0,J817&gt;0),"Out of stock now",IF(G817&gt;=N817,"Covered to Nov 30",IF(G817+H817&gt;=N817,"Needs inbound in time","Short even with inbound")))</f>
        <v/>
      </c>
      <c r="S817" s="57" t="n">
        <v>0.607</v>
      </c>
      <c r="T817" s="59">
        <f>IF(S817="","",S817*34+S817*L817*12)</f>
        <v/>
      </c>
    </row>
    <row r="818">
      <c r="A818" s="54" t="inlineStr">
        <is>
          <t>US SSS4</t>
        </is>
      </c>
      <c r="B818" s="54" t="inlineStr">
        <is>
          <t>US</t>
        </is>
      </c>
      <c r="C818" s="54" t="inlineStr">
        <is>
          <t>B0DDR4FVH1</t>
        </is>
      </c>
      <c r="D818" s="54" t="inlineStr">
        <is>
          <t>SS-SATIN-PURPLE-QUEEN-4PCS</t>
        </is>
      </c>
      <c r="E818" s="54" t="inlineStr">
        <is>
          <t>Queen</t>
        </is>
      </c>
      <c r="F818" s="54" t="inlineStr">
        <is>
          <t>Purple</t>
        </is>
      </c>
      <c r="G818" s="55" t="n">
        <v>49</v>
      </c>
      <c r="H818" s="55" t="n">
        <v>0</v>
      </c>
      <c r="I818" s="56" t="n"/>
      <c r="J818" s="57" t="n">
        <v>1.58</v>
      </c>
      <c r="K818" s="56" t="inlineStr">
        <is>
          <t>account data velocity</t>
        </is>
      </c>
      <c r="L818" s="58" t="n">
        <v>2.5897</v>
      </c>
      <c r="M818" s="56" t="inlineStr">
        <is>
          <t>own BFCM 2025 lift (account data)</t>
        </is>
      </c>
      <c r="N818" s="59">
        <f>J818*34+J818*L818*12</f>
        <v/>
      </c>
      <c r="O818" s="59">
        <f>MAX(0,N818-G818-H818)</f>
        <v/>
      </c>
      <c r="P818" s="60">
        <f>IF(J818=0,"",IF(G818&lt;J818*34,DATE(2026,10,15)+G818/J818,IF(G818&lt;N818,DATE(2026,11,18)+(G818-J818*34)/(J818*L818),"after Nov 30")))</f>
        <v/>
      </c>
      <c r="Q818" s="60">
        <f>IF(J818=0,"",IF(G818+H818&lt;J818*34,DATE(2026,10,15)+(G818+H818)/J818,IF(G818+H818&lt;N818,DATE(2026,11,18)+(G818+H818-J818*34)/(J818*L818),"after Nov 30")))</f>
        <v/>
      </c>
      <c r="R818" s="54">
        <f>IF(AND(G818&lt;=0,J818&gt;0),"Out of stock now",IF(G818&gt;=N818,"Covered to Nov 30",IF(G818+H818&gt;=N818,"Needs inbound in time","Short even with inbound")))</f>
        <v/>
      </c>
      <c r="S818" s="57" t="n">
        <v>0.5</v>
      </c>
      <c r="T818" s="59">
        <f>IF(S818="","",S818*34+S818*L818*12)</f>
        <v/>
      </c>
    </row>
    <row r="819">
      <c r="A819" s="54" t="inlineStr">
        <is>
          <t>US SSS4</t>
        </is>
      </c>
      <c r="B819" s="54" t="inlineStr">
        <is>
          <t>US</t>
        </is>
      </c>
      <c r="C819" s="54" t="inlineStr">
        <is>
          <t>B0DDR1ZPRZ</t>
        </is>
      </c>
      <c r="D819" s="54" t="inlineStr">
        <is>
          <t>SS-SATIN-STONE-GREY-KING-4PCS</t>
        </is>
      </c>
      <c r="E819" s="54" t="inlineStr">
        <is>
          <t>King</t>
        </is>
      </c>
      <c r="F819" s="54" t="inlineStr">
        <is>
          <t>Stone Grey</t>
        </is>
      </c>
      <c r="G819" s="55" t="n">
        <v>65</v>
      </c>
      <c r="H819" s="55" t="n">
        <v>0</v>
      </c>
      <c r="I819" s="56" t="n"/>
      <c r="J819" s="57" t="n">
        <v>1.54</v>
      </c>
      <c r="K819" s="56" t="inlineStr">
        <is>
          <t>account data velocity</t>
        </is>
      </c>
      <c r="L819" s="58" t="n">
        <v>2.5897</v>
      </c>
      <c r="M819" s="56" t="inlineStr">
        <is>
          <t>own BFCM 2025 lift (account data)</t>
        </is>
      </c>
      <c r="N819" s="59">
        <f>J819*34+J819*L819*12</f>
        <v/>
      </c>
      <c r="O819" s="59">
        <f>MAX(0,N819-G819-H819)</f>
        <v/>
      </c>
      <c r="P819" s="60">
        <f>IF(J819=0,"",IF(G819&lt;J819*34,DATE(2026,10,15)+G819/J819,IF(G819&lt;N819,DATE(2026,11,18)+(G819-J819*34)/(J819*L819),"after Nov 30")))</f>
        <v/>
      </c>
      <c r="Q819" s="60">
        <f>IF(J819=0,"",IF(G819+H819&lt;J819*34,DATE(2026,10,15)+(G819+H819)/J819,IF(G819+H819&lt;N819,DATE(2026,11,18)+(G819+H819-J819*34)/(J819*L819),"after Nov 30")))</f>
        <v/>
      </c>
      <c r="R819" s="54">
        <f>IF(AND(G819&lt;=0,J819&gt;0),"Out of stock now",IF(G819&gt;=N819,"Covered to Nov 30",IF(G819+H819&gt;=N819,"Needs inbound in time","Short even with inbound")))</f>
        <v/>
      </c>
      <c r="S819" s="57" t="n">
        <v>0.821</v>
      </c>
      <c r="T819" s="59">
        <f>IF(S819="","",S819*34+S819*L819*12)</f>
        <v/>
      </c>
    </row>
    <row r="820">
      <c r="A820" s="54" t="inlineStr">
        <is>
          <t>US SSS4</t>
        </is>
      </c>
      <c r="B820" s="54" t="inlineStr">
        <is>
          <t>US</t>
        </is>
      </c>
      <c r="C820" s="54" t="inlineStr">
        <is>
          <t>B0DDRH9RD7</t>
        </is>
      </c>
      <c r="D820" s="54" t="inlineStr">
        <is>
          <t>SS-SATIN-NAVY-BLUE-QUEEN-4PCS</t>
        </is>
      </c>
      <c r="E820" s="54" t="inlineStr">
        <is>
          <t>Queen</t>
        </is>
      </c>
      <c r="F820" s="54" t="inlineStr">
        <is>
          <t>Navy Blue</t>
        </is>
      </c>
      <c r="G820" s="55" t="n">
        <v>237</v>
      </c>
      <c r="H820" s="55" t="n">
        <v>18</v>
      </c>
      <c r="I820" s="56" t="inlineStr">
        <is>
          <t>FBA19P55072C in transit: 6; FBA19N7XSBR9 in transit: 12</t>
        </is>
      </c>
      <c r="J820" s="57" t="n">
        <v>1.53</v>
      </c>
      <c r="K820" s="56" t="inlineStr">
        <is>
          <t>account data velocity</t>
        </is>
      </c>
      <c r="L820" s="58" t="n">
        <v>2.5897</v>
      </c>
      <c r="M820" s="56" t="inlineStr">
        <is>
          <t>own BFCM 2025 lift (account data)</t>
        </is>
      </c>
      <c r="N820" s="59">
        <f>J820*34+J820*L820*12</f>
        <v/>
      </c>
      <c r="O820" s="59">
        <f>MAX(0,N820-G820-H820)</f>
        <v/>
      </c>
      <c r="P820" s="60">
        <f>IF(J820=0,"",IF(G820&lt;J820*34,DATE(2026,10,15)+G820/J820,IF(G820&lt;N820,DATE(2026,11,18)+(G820-J820*34)/(J820*L820),"after Nov 30")))</f>
        <v/>
      </c>
      <c r="Q820" s="60">
        <f>IF(J820=0,"",IF(G820+H820&lt;J820*34,DATE(2026,10,15)+(G820+H820)/J820,IF(G820+H820&lt;N820,DATE(2026,11,18)+(G820+H820-J820*34)/(J820*L820),"after Nov 30")))</f>
        <v/>
      </c>
      <c r="R820" s="54">
        <f>IF(AND(G820&lt;=0,J820&gt;0),"Out of stock now",IF(G820&gt;=N820,"Covered to Nov 30",IF(G820+H820&gt;=N820,"Needs inbound in time","Short even with inbound")))</f>
        <v/>
      </c>
      <c r="S820" s="57" t="n">
        <v>1.25</v>
      </c>
      <c r="T820" s="59">
        <f>IF(S820="","",S820*34+S820*L820*12)</f>
        <v/>
      </c>
    </row>
    <row r="821">
      <c r="A821" s="54" t="inlineStr">
        <is>
          <t>US SSS4</t>
        </is>
      </c>
      <c r="B821" s="54" t="inlineStr">
        <is>
          <t>US</t>
        </is>
      </c>
      <c r="C821" s="54" t="inlineStr">
        <is>
          <t>B0DDR1H4YM</t>
        </is>
      </c>
      <c r="D821" s="54" t="inlineStr">
        <is>
          <t>SS-SATIN-BLUSH-PINK-QUEEN-4PCS</t>
        </is>
      </c>
      <c r="E821" s="54" t="inlineStr">
        <is>
          <t>Queen</t>
        </is>
      </c>
      <c r="F821" s="54" t="inlineStr">
        <is>
          <t>Blush Pink</t>
        </is>
      </c>
      <c r="G821" s="55" t="n">
        <v>165</v>
      </c>
      <c r="H821" s="55" t="n">
        <v>0</v>
      </c>
      <c r="I821" s="56" t="n"/>
      <c r="J821" s="57" t="n">
        <v>1.45</v>
      </c>
      <c r="K821" s="56" t="inlineStr">
        <is>
          <t>account data velocity</t>
        </is>
      </c>
      <c r="L821" s="58" t="n">
        <v>2.5897</v>
      </c>
      <c r="M821" s="56" t="inlineStr">
        <is>
          <t>own BFCM 2025 lift (account data)</t>
        </is>
      </c>
      <c r="N821" s="59">
        <f>J821*34+J821*L821*12</f>
        <v/>
      </c>
      <c r="O821" s="59">
        <f>MAX(0,N821-G821-H821)</f>
        <v/>
      </c>
      <c r="P821" s="60">
        <f>IF(J821=0,"",IF(G821&lt;J821*34,DATE(2026,10,15)+G821/J821,IF(G821&lt;N821,DATE(2026,11,18)+(G821-J821*34)/(J821*L821),"after Nov 30")))</f>
        <v/>
      </c>
      <c r="Q821" s="60">
        <f>IF(J821=0,"",IF(G821+H821&lt;J821*34,DATE(2026,10,15)+(G821+H821)/J821,IF(G821+H821&lt;N821,DATE(2026,11,18)+(G821+H821-J821*34)/(J821*L821),"after Nov 30")))</f>
        <v/>
      </c>
      <c r="R821" s="54">
        <f>IF(AND(G821&lt;=0,J821&gt;0),"Out of stock now",IF(G821&gt;=N821,"Covered to Nov 30",IF(G821+H821&gt;=N821,"Needs inbound in time","Short even with inbound")))</f>
        <v/>
      </c>
      <c r="S821" s="57" t="n">
        <v>0.679</v>
      </c>
      <c r="T821" s="59">
        <f>IF(S821="","",S821*34+S821*L821*12)</f>
        <v/>
      </c>
    </row>
    <row r="822">
      <c r="A822" s="54" t="inlineStr">
        <is>
          <t>US SSS4</t>
        </is>
      </c>
      <c r="B822" s="54" t="inlineStr">
        <is>
          <t>US</t>
        </is>
      </c>
      <c r="C822" s="54" t="inlineStr">
        <is>
          <t>B0DDR5QBGQ</t>
        </is>
      </c>
      <c r="D822" s="54" t="inlineStr">
        <is>
          <t>SS-SATIN-IVORY-KING-4PCS</t>
        </is>
      </c>
      <c r="E822" s="54" t="inlineStr">
        <is>
          <t>King</t>
        </is>
      </c>
      <c r="F822" s="54" t="inlineStr">
        <is>
          <t>Ivory</t>
        </is>
      </c>
      <c r="G822" s="55" t="n">
        <v>589</v>
      </c>
      <c r="H822" s="55" t="n">
        <v>0</v>
      </c>
      <c r="I822" s="56" t="n"/>
      <c r="J822" s="57" t="n">
        <v>1.45</v>
      </c>
      <c r="K822" s="56" t="inlineStr">
        <is>
          <t>account data velocity</t>
        </is>
      </c>
      <c r="L822" s="58" t="n">
        <v>2.5897</v>
      </c>
      <c r="M822" s="56" t="inlineStr">
        <is>
          <t>own BFCM 2025 lift (account data)</t>
        </is>
      </c>
      <c r="N822" s="59">
        <f>J822*34+J822*L822*12</f>
        <v/>
      </c>
      <c r="O822" s="59">
        <f>MAX(0,N822-G822-H822)</f>
        <v/>
      </c>
      <c r="P822" s="60">
        <f>IF(J822=0,"",IF(G822&lt;J822*34,DATE(2026,10,15)+G822/J822,IF(G822&lt;N822,DATE(2026,11,18)+(G822-J822*34)/(J822*L822),"after Nov 30")))</f>
        <v/>
      </c>
      <c r="Q822" s="60">
        <f>IF(J822=0,"",IF(G822+H822&lt;J822*34,DATE(2026,10,15)+(G822+H822)/J822,IF(G822+H822&lt;N822,DATE(2026,11,18)+(G822+H822-J822*34)/(J822*L822),"after Nov 30")))</f>
        <v/>
      </c>
      <c r="R822" s="54">
        <f>IF(AND(G822&lt;=0,J822&gt;0),"Out of stock now",IF(G822&gt;=N822,"Covered to Nov 30",IF(G822+H822&gt;=N822,"Needs inbound in time","Short even with inbound")))</f>
        <v/>
      </c>
      <c r="S822" s="57" t="n">
        <v>0.643</v>
      </c>
      <c r="T822" s="59">
        <f>IF(S822="","",S822*34+S822*L822*12)</f>
        <v/>
      </c>
    </row>
    <row r="823">
      <c r="A823" s="54" t="inlineStr">
        <is>
          <t>US SSS4</t>
        </is>
      </c>
      <c r="B823" s="54" t="inlineStr">
        <is>
          <t>US</t>
        </is>
      </c>
      <c r="C823" s="54" t="inlineStr">
        <is>
          <t>B0DDRB21Z6</t>
        </is>
      </c>
      <c r="D823" s="54" t="inlineStr">
        <is>
          <t>SS-SATIN-PURPLE-FULL-4PCS</t>
        </is>
      </c>
      <c r="E823" s="54" t="inlineStr">
        <is>
          <t>Full</t>
        </is>
      </c>
      <c r="F823" s="54" t="inlineStr">
        <is>
          <t>Purple</t>
        </is>
      </c>
      <c r="G823" s="55" t="n">
        <v>39</v>
      </c>
      <c r="H823" s="55" t="n">
        <v>0</v>
      </c>
      <c r="I823" s="56" t="n"/>
      <c r="J823" s="57" t="n">
        <v>1.12</v>
      </c>
      <c r="K823" s="56" t="inlineStr">
        <is>
          <t>account data velocity</t>
        </is>
      </c>
      <c r="L823" s="58" t="n">
        <v>2.5897</v>
      </c>
      <c r="M823" s="56" t="inlineStr">
        <is>
          <t>own BFCM 2025 lift (account data)</t>
        </is>
      </c>
      <c r="N823" s="59">
        <f>J823*34+J823*L823*12</f>
        <v/>
      </c>
      <c r="O823" s="59">
        <f>MAX(0,N823-G823-H823)</f>
        <v/>
      </c>
      <c r="P823" s="60">
        <f>IF(J823=0,"",IF(G823&lt;J823*34,DATE(2026,10,15)+G823/J823,IF(G823&lt;N823,DATE(2026,11,18)+(G823-J823*34)/(J823*L823),"after Nov 30")))</f>
        <v/>
      </c>
      <c r="Q823" s="60">
        <f>IF(J823=0,"",IF(G823+H823&lt;J823*34,DATE(2026,10,15)+(G823+H823)/J823,IF(G823+H823&lt;N823,DATE(2026,11,18)+(G823+H823-J823*34)/(J823*L823),"after Nov 30")))</f>
        <v/>
      </c>
      <c r="R823" s="54">
        <f>IF(AND(G823&lt;=0,J823&gt;0),"Out of stock now",IF(G823&gt;=N823,"Covered to Nov 30",IF(G823+H823&gt;=N823,"Needs inbound in time","Short even with inbound")))</f>
        <v/>
      </c>
      <c r="S823" s="57" t="n">
        <v>0.393</v>
      </c>
      <c r="T823" s="59">
        <f>IF(S823="","",S823*34+S823*L823*12)</f>
        <v/>
      </c>
    </row>
    <row r="824">
      <c r="A824" s="54" t="inlineStr">
        <is>
          <t>US SSS4</t>
        </is>
      </c>
      <c r="B824" s="54" t="inlineStr">
        <is>
          <t>US</t>
        </is>
      </c>
      <c r="C824" s="54" t="inlineStr">
        <is>
          <t>B0DDR6MK7V</t>
        </is>
      </c>
      <c r="D824" s="54" t="inlineStr">
        <is>
          <t>SS-SATIN-BABY-BLUE-KING-4PCS</t>
        </is>
      </c>
      <c r="E824" s="54" t="inlineStr">
        <is>
          <t>King</t>
        </is>
      </c>
      <c r="F824" s="54" t="inlineStr">
        <is>
          <t>Baby Blue</t>
        </is>
      </c>
      <c r="G824" s="55" t="n">
        <v>320</v>
      </c>
      <c r="H824" s="55" t="n">
        <v>0</v>
      </c>
      <c r="I824" s="56" t="n"/>
      <c r="J824" s="57" t="n">
        <v>1.09</v>
      </c>
      <c r="K824" s="56" t="inlineStr">
        <is>
          <t>account data velocity</t>
        </is>
      </c>
      <c r="L824" s="58" t="n">
        <v>2.5897</v>
      </c>
      <c r="M824" s="56" t="inlineStr">
        <is>
          <t>own BFCM 2025 lift (account data)</t>
        </is>
      </c>
      <c r="N824" s="59">
        <f>J824*34+J824*L824*12</f>
        <v/>
      </c>
      <c r="O824" s="59">
        <f>MAX(0,N824-G824-H824)</f>
        <v/>
      </c>
      <c r="P824" s="60">
        <f>IF(J824=0,"",IF(G824&lt;J824*34,DATE(2026,10,15)+G824/J824,IF(G824&lt;N824,DATE(2026,11,18)+(G824-J824*34)/(J824*L824),"after Nov 30")))</f>
        <v/>
      </c>
      <c r="Q824" s="60">
        <f>IF(J824=0,"",IF(G824+H824&lt;J824*34,DATE(2026,10,15)+(G824+H824)/J824,IF(G824+H824&lt;N824,DATE(2026,11,18)+(G824+H824-J824*34)/(J824*L824),"after Nov 30")))</f>
        <v/>
      </c>
      <c r="R824" s="54">
        <f>IF(AND(G824&lt;=0,J824&gt;0),"Out of stock now",IF(G824&gt;=N824,"Covered to Nov 30",IF(G824+H824&gt;=N824,"Needs inbound in time","Short even with inbound")))</f>
        <v/>
      </c>
      <c r="S824" s="57" t="n">
        <v>0.5</v>
      </c>
      <c r="T824" s="59">
        <f>IF(S824="","",S824*34+S824*L824*12)</f>
        <v/>
      </c>
    </row>
    <row r="825">
      <c r="A825" s="54" t="inlineStr">
        <is>
          <t>US SSS4</t>
        </is>
      </c>
      <c r="B825" s="54" t="inlineStr">
        <is>
          <t>US</t>
        </is>
      </c>
      <c r="C825" s="54" t="inlineStr">
        <is>
          <t>B0DDQXM4RF</t>
        </is>
      </c>
      <c r="D825" s="54" t="inlineStr">
        <is>
          <t>SS-SATIN-GREY-KING-4PCS</t>
        </is>
      </c>
      <c r="E825" s="54" t="inlineStr">
        <is>
          <t>King</t>
        </is>
      </c>
      <c r="F825" s="54" t="inlineStr">
        <is>
          <t>Grey</t>
        </is>
      </c>
      <c r="G825" s="55" t="n">
        <v>231</v>
      </c>
      <c r="H825" s="55" t="n">
        <v>0</v>
      </c>
      <c r="I825" s="56" t="n"/>
      <c r="J825" s="57" t="n">
        <v>1.05</v>
      </c>
      <c r="K825" s="56" t="inlineStr">
        <is>
          <t>account data velocity</t>
        </is>
      </c>
      <c r="L825" s="58" t="n">
        <v>2.5897</v>
      </c>
      <c r="M825" s="56" t="inlineStr">
        <is>
          <t>own BFCM 2025 lift (account data)</t>
        </is>
      </c>
      <c r="N825" s="59">
        <f>J825*34+J825*L825*12</f>
        <v/>
      </c>
      <c r="O825" s="59">
        <f>MAX(0,N825-G825-H825)</f>
        <v/>
      </c>
      <c r="P825" s="60">
        <f>IF(J825=0,"",IF(G825&lt;J825*34,DATE(2026,10,15)+G825/J825,IF(G825&lt;N825,DATE(2026,11,18)+(G825-J825*34)/(J825*L825),"after Nov 30")))</f>
        <v/>
      </c>
      <c r="Q825" s="60">
        <f>IF(J825=0,"",IF(G825+H825&lt;J825*34,DATE(2026,10,15)+(G825+H825)/J825,IF(G825+H825&lt;N825,DATE(2026,11,18)+(G825+H825-J825*34)/(J825*L825),"after Nov 30")))</f>
        <v/>
      </c>
      <c r="R825" s="54">
        <f>IF(AND(G825&lt;=0,J825&gt;0),"Out of stock now",IF(G825&gt;=N825,"Covered to Nov 30",IF(G825+H825&gt;=N825,"Needs inbound in time","Short even with inbound")))</f>
        <v/>
      </c>
      <c r="S825" s="57" t="n">
        <v>1.036</v>
      </c>
      <c r="T825" s="59">
        <f>IF(S825="","",S825*34+S825*L825*12)</f>
        <v/>
      </c>
    </row>
    <row r="826">
      <c r="A826" s="54" t="inlineStr">
        <is>
          <t>US SSS4</t>
        </is>
      </c>
      <c r="B826" s="54" t="inlineStr">
        <is>
          <t>US</t>
        </is>
      </c>
      <c r="C826" s="54" t="inlineStr">
        <is>
          <t>B0DDR6TLF6</t>
        </is>
      </c>
      <c r="D826" s="54" t="inlineStr">
        <is>
          <t>SS-SATIN-BLUSH-PINK-FULL-4PCS</t>
        </is>
      </c>
      <c r="E826" s="54" t="inlineStr">
        <is>
          <t>Full</t>
        </is>
      </c>
      <c r="F826" s="54" t="inlineStr">
        <is>
          <t>Blush Pink</t>
        </is>
      </c>
      <c r="G826" s="55" t="n">
        <v>3</v>
      </c>
      <c r="H826" s="55" t="n">
        <v>0</v>
      </c>
      <c r="I826" s="56" t="n"/>
      <c r="J826" s="57" t="n">
        <v>1.05</v>
      </c>
      <c r="K826" s="56" t="inlineStr">
        <is>
          <t>account data velocity</t>
        </is>
      </c>
      <c r="L826" s="58" t="n">
        <v>2.5897</v>
      </c>
      <c r="M826" s="56" t="inlineStr">
        <is>
          <t>own BFCM 2025 lift (account data)</t>
        </is>
      </c>
      <c r="N826" s="59">
        <f>J826*34+J826*L826*12</f>
        <v/>
      </c>
      <c r="O826" s="59">
        <f>MAX(0,N826-G826-H826)</f>
        <v/>
      </c>
      <c r="P826" s="60">
        <f>IF(J826=0,"",IF(G826&lt;J826*34,DATE(2026,10,15)+G826/J826,IF(G826&lt;N826,DATE(2026,11,18)+(G826-J826*34)/(J826*L826),"after Nov 30")))</f>
        <v/>
      </c>
      <c r="Q826" s="60">
        <f>IF(J826=0,"",IF(G826+H826&lt;J826*34,DATE(2026,10,15)+(G826+H826)/J826,IF(G826+H826&lt;N826,DATE(2026,11,18)+(G826+H826-J826*34)/(J826*L826),"after Nov 30")))</f>
        <v/>
      </c>
      <c r="R826" s="54">
        <f>IF(AND(G826&lt;=0,J826&gt;0),"Out of stock now",IF(G826&gt;=N826,"Covered to Nov 30",IF(G826+H826&gt;=N826,"Needs inbound in time","Short even with inbound")))</f>
        <v/>
      </c>
      <c r="S826" s="57" t="n">
        <v>0.321</v>
      </c>
      <c r="T826" s="59">
        <f>IF(S826="","",S826*34+S826*L826*12)</f>
        <v/>
      </c>
    </row>
    <row r="827">
      <c r="A827" s="54" t="inlineStr">
        <is>
          <t>US SSS4</t>
        </is>
      </c>
      <c r="B827" s="54" t="inlineStr">
        <is>
          <t>US</t>
        </is>
      </c>
      <c r="C827" s="54" t="inlineStr">
        <is>
          <t>B0DDR5JMCH</t>
        </is>
      </c>
      <c r="D827" s="54" t="inlineStr">
        <is>
          <t>SS-SATIN-GOLD-KING-4PCS</t>
        </is>
      </c>
      <c r="E827" s="54" t="inlineStr">
        <is>
          <t>King</t>
        </is>
      </c>
      <c r="F827" s="54" t="inlineStr">
        <is>
          <t>Gold</t>
        </is>
      </c>
      <c r="G827" s="55" t="n">
        <v>69</v>
      </c>
      <c r="H827" s="55" t="n">
        <v>0</v>
      </c>
      <c r="I827" s="56" t="n"/>
      <c r="J827" s="57" t="n">
        <v>0.99</v>
      </c>
      <c r="K827" s="56" t="inlineStr">
        <is>
          <t>account data velocity</t>
        </is>
      </c>
      <c r="L827" s="58" t="n">
        <v>2.5897</v>
      </c>
      <c r="M827" s="56" t="inlineStr">
        <is>
          <t>own BFCM 2025 lift (account data)</t>
        </is>
      </c>
      <c r="N827" s="59">
        <f>J827*34+J827*L827*12</f>
        <v/>
      </c>
      <c r="O827" s="59">
        <f>MAX(0,N827-G827-H827)</f>
        <v/>
      </c>
      <c r="P827" s="60">
        <f>IF(J827=0,"",IF(G827&lt;J827*34,DATE(2026,10,15)+G827/J827,IF(G827&lt;N827,DATE(2026,11,18)+(G827-J827*34)/(J827*L827),"after Nov 30")))</f>
        <v/>
      </c>
      <c r="Q827" s="60">
        <f>IF(J827=0,"",IF(G827+H827&lt;J827*34,DATE(2026,10,15)+(G827+H827)/J827,IF(G827+H827&lt;N827,DATE(2026,11,18)+(G827+H827-J827*34)/(J827*L827),"after Nov 30")))</f>
        <v/>
      </c>
      <c r="R827" s="54">
        <f>IF(AND(G827&lt;=0,J827&gt;0),"Out of stock now",IF(G827&gt;=N827,"Covered to Nov 30",IF(G827+H827&gt;=N827,"Needs inbound in time","Short even with inbound")))</f>
        <v/>
      </c>
      <c r="S827" s="57" t="n">
        <v>1.179</v>
      </c>
      <c r="T827" s="59">
        <f>IF(S827="","",S827*34+S827*L827*12)</f>
        <v/>
      </c>
    </row>
    <row r="828">
      <c r="A828" s="54" t="inlineStr">
        <is>
          <t>US SSS4</t>
        </is>
      </c>
      <c r="B828" s="54" t="inlineStr">
        <is>
          <t>US</t>
        </is>
      </c>
      <c r="C828" s="54" t="inlineStr">
        <is>
          <t>B0DDR6921L</t>
        </is>
      </c>
      <c r="D828" s="54" t="inlineStr">
        <is>
          <t>SS-SATIN-DARK-GREEN-KING-4PCS</t>
        </is>
      </c>
      <c r="E828" s="54" t="inlineStr">
        <is>
          <t>King</t>
        </is>
      </c>
      <c r="F828" s="54" t="inlineStr">
        <is>
          <t>Dark Green</t>
        </is>
      </c>
      <c r="G828" s="55" t="n">
        <v>262</v>
      </c>
      <c r="H828" s="55" t="n">
        <v>0</v>
      </c>
      <c r="I828" s="56" t="n"/>
      <c r="J828" s="57" t="n">
        <v>0.99</v>
      </c>
      <c r="K828" s="56" t="inlineStr">
        <is>
          <t>account data velocity</t>
        </is>
      </c>
      <c r="L828" s="58" t="n">
        <v>2.5897</v>
      </c>
      <c r="M828" s="56" t="inlineStr">
        <is>
          <t>own BFCM 2025 lift (account data)</t>
        </is>
      </c>
      <c r="N828" s="59">
        <f>J828*34+J828*L828*12</f>
        <v/>
      </c>
      <c r="O828" s="59">
        <f>MAX(0,N828-G828-H828)</f>
        <v/>
      </c>
      <c r="P828" s="60">
        <f>IF(J828=0,"",IF(G828&lt;J828*34,DATE(2026,10,15)+G828/J828,IF(G828&lt;N828,DATE(2026,11,18)+(G828-J828*34)/(J828*L828),"after Nov 30")))</f>
        <v/>
      </c>
      <c r="Q828" s="60">
        <f>IF(J828=0,"",IF(G828+H828&lt;J828*34,DATE(2026,10,15)+(G828+H828)/J828,IF(G828+H828&lt;N828,DATE(2026,11,18)+(G828+H828-J828*34)/(J828*L828),"after Nov 30")))</f>
        <v/>
      </c>
      <c r="R828" s="54">
        <f>IF(AND(G828&lt;=0,J828&gt;0),"Out of stock now",IF(G828&gt;=N828,"Covered to Nov 30",IF(G828+H828&gt;=N828,"Needs inbound in time","Short even with inbound")))</f>
        <v/>
      </c>
      <c r="S828" s="57" t="n">
        <v>0.821</v>
      </c>
      <c r="T828" s="59">
        <f>IF(S828="","",S828*34+S828*L828*12)</f>
        <v/>
      </c>
    </row>
    <row r="829">
      <c r="A829" s="54" t="inlineStr">
        <is>
          <t>US SSS4</t>
        </is>
      </c>
      <c r="B829" s="54" t="inlineStr">
        <is>
          <t>US</t>
        </is>
      </c>
      <c r="C829" s="54" t="inlineStr">
        <is>
          <t>B0DDR4T2Y6</t>
        </is>
      </c>
      <c r="D829" s="54" t="inlineStr">
        <is>
          <t>SS-SATIN-BLUSH-PINK-KING-4PCS</t>
        </is>
      </c>
      <c r="E829" s="54" t="inlineStr">
        <is>
          <t>King</t>
        </is>
      </c>
      <c r="F829" s="54" t="inlineStr">
        <is>
          <t>Blush Pink</t>
        </is>
      </c>
      <c r="G829" s="55" t="n">
        <v>272</v>
      </c>
      <c r="H829" s="55" t="n">
        <v>0</v>
      </c>
      <c r="I829" s="56" t="n"/>
      <c r="J829" s="57" t="n">
        <v>0.91</v>
      </c>
      <c r="K829" s="56" t="inlineStr">
        <is>
          <t>account data velocity</t>
        </is>
      </c>
      <c r="L829" s="58" t="n">
        <v>2.5897</v>
      </c>
      <c r="M829" s="56" t="inlineStr">
        <is>
          <t>own BFCM 2025 lift (account data)</t>
        </is>
      </c>
      <c r="N829" s="59">
        <f>J829*34+J829*L829*12</f>
        <v/>
      </c>
      <c r="O829" s="59">
        <f>MAX(0,N829-G829-H829)</f>
        <v/>
      </c>
      <c r="P829" s="60">
        <f>IF(J829=0,"",IF(G829&lt;J829*34,DATE(2026,10,15)+G829/J829,IF(G829&lt;N829,DATE(2026,11,18)+(G829-J829*34)/(J829*L829),"after Nov 30")))</f>
        <v/>
      </c>
      <c r="Q829" s="60">
        <f>IF(J829=0,"",IF(G829+H829&lt;J829*34,DATE(2026,10,15)+(G829+H829)/J829,IF(G829+H829&lt;N829,DATE(2026,11,18)+(G829+H829-J829*34)/(J829*L829),"after Nov 30")))</f>
        <v/>
      </c>
      <c r="R829" s="54">
        <f>IF(AND(G829&lt;=0,J829&gt;0),"Out of stock now",IF(G829&gt;=N829,"Covered to Nov 30",IF(G829+H829&gt;=N829,"Needs inbound in time","Short even with inbound")))</f>
        <v/>
      </c>
      <c r="S829" s="57" t="n">
        <v>0.464</v>
      </c>
      <c r="T829" s="59">
        <f>IF(S829="","",S829*34+S829*L829*12)</f>
        <v/>
      </c>
    </row>
    <row r="830">
      <c r="A830" s="54" t="inlineStr">
        <is>
          <t>US SSS4</t>
        </is>
      </c>
      <c r="B830" s="54" t="inlineStr">
        <is>
          <t>US</t>
        </is>
      </c>
      <c r="C830" s="54" t="inlineStr">
        <is>
          <t>B0DDR5K4KK</t>
        </is>
      </c>
      <c r="D830" s="54" t="inlineStr">
        <is>
          <t>SS-SATIN-SAGE-GREEN-QUEEN-4PCS</t>
        </is>
      </c>
      <c r="E830" s="54" t="inlineStr">
        <is>
          <t>Queen</t>
        </is>
      </c>
      <c r="F830" s="54" t="inlineStr">
        <is>
          <t>Sage Green</t>
        </is>
      </c>
      <c r="G830" s="55" t="n">
        <v>81</v>
      </c>
      <c r="H830" s="55" t="n">
        <v>18</v>
      </c>
      <c r="I830" s="56" t="inlineStr">
        <is>
          <t>FBA19KFX24C6 delivered: 18</t>
        </is>
      </c>
      <c r="J830" s="57" t="n">
        <v>0.9</v>
      </c>
      <c r="K830" s="56" t="inlineStr">
        <is>
          <t>account data velocity</t>
        </is>
      </c>
      <c r="L830" s="58" t="n">
        <v>2.5897</v>
      </c>
      <c r="M830" s="56" t="inlineStr">
        <is>
          <t>own BFCM 2025 lift (account data)</t>
        </is>
      </c>
      <c r="N830" s="59">
        <f>J830*34+J830*L830*12</f>
        <v/>
      </c>
      <c r="O830" s="59">
        <f>MAX(0,N830-G830-H830)</f>
        <v/>
      </c>
      <c r="P830" s="60">
        <f>IF(J830=0,"",IF(G830&lt;J830*34,DATE(2026,10,15)+G830/J830,IF(G830&lt;N830,DATE(2026,11,18)+(G830-J830*34)/(J830*L830),"after Nov 30")))</f>
        <v/>
      </c>
      <c r="Q830" s="60">
        <f>IF(J830=0,"",IF(G830+H830&lt;J830*34,DATE(2026,10,15)+(G830+H830)/J830,IF(G830+H830&lt;N830,DATE(2026,11,18)+(G830+H830-J830*34)/(J830*L830),"after Nov 30")))</f>
        <v/>
      </c>
      <c r="R830" s="54">
        <f>IF(AND(G830&lt;=0,J830&gt;0),"Out of stock now",IF(G830&gt;=N830,"Covered to Nov 30",IF(G830+H830&gt;=N830,"Needs inbound in time","Short even with inbound")))</f>
        <v/>
      </c>
      <c r="S830" s="57" t="n">
        <v>0.464</v>
      </c>
      <c r="T830" s="59">
        <f>IF(S830="","",S830*34+S830*L830*12)</f>
        <v/>
      </c>
    </row>
    <row r="831">
      <c r="A831" s="54" t="inlineStr">
        <is>
          <t>US SSS4</t>
        </is>
      </c>
      <c r="B831" s="54" t="inlineStr">
        <is>
          <t>US</t>
        </is>
      </c>
      <c r="C831" s="54" t="inlineStr">
        <is>
          <t>B0DDRL4WTJ</t>
        </is>
      </c>
      <c r="D831" s="54" t="inlineStr">
        <is>
          <t>SS-SATIN-BURNT-ORANGE-KING-4PCS</t>
        </is>
      </c>
      <c r="E831" s="54" t="inlineStr">
        <is>
          <t>King</t>
        </is>
      </c>
      <c r="F831" s="54" t="inlineStr">
        <is>
          <t>Burnt Orange</t>
        </is>
      </c>
      <c r="G831" s="55" t="n">
        <v>122</v>
      </c>
      <c r="H831" s="55" t="n">
        <v>6</v>
      </c>
      <c r="I831" s="56" t="inlineStr">
        <is>
          <t>FBA19KFX24C6 delivered: 6</t>
        </is>
      </c>
      <c r="J831" s="57" t="n">
        <v>0.8100000000000001</v>
      </c>
      <c r="K831" s="56" t="inlineStr">
        <is>
          <t>account data velocity</t>
        </is>
      </c>
      <c r="L831" s="58" t="n">
        <v>2.5897</v>
      </c>
      <c r="M831" s="56" t="inlineStr">
        <is>
          <t>own BFCM 2025 lift (account data)</t>
        </is>
      </c>
      <c r="N831" s="59">
        <f>J831*34+J831*L831*12</f>
        <v/>
      </c>
      <c r="O831" s="59">
        <f>MAX(0,N831-G831-H831)</f>
        <v/>
      </c>
      <c r="P831" s="60">
        <f>IF(J831=0,"",IF(G831&lt;J831*34,DATE(2026,10,15)+G831/J831,IF(G831&lt;N831,DATE(2026,11,18)+(G831-J831*34)/(J831*L831),"after Nov 30")))</f>
        <v/>
      </c>
      <c r="Q831" s="60">
        <f>IF(J831=0,"",IF(G831+H831&lt;J831*34,DATE(2026,10,15)+(G831+H831)/J831,IF(G831+H831&lt;N831,DATE(2026,11,18)+(G831+H831-J831*34)/(J831*L831),"after Nov 30")))</f>
        <v/>
      </c>
      <c r="R831" s="54">
        <f>IF(AND(G831&lt;=0,J831&gt;0),"Out of stock now",IF(G831&gt;=N831,"Covered to Nov 30",IF(G831+H831&gt;=N831,"Needs inbound in time","Short even with inbound")))</f>
        <v/>
      </c>
      <c r="S831" s="57" t="n">
        <v>0.286</v>
      </c>
      <c r="T831" s="59">
        <f>IF(S831="","",S831*34+S831*L831*12)</f>
        <v/>
      </c>
    </row>
    <row r="832">
      <c r="A832" s="54" t="inlineStr">
        <is>
          <t>US SSS4</t>
        </is>
      </c>
      <c r="B832" s="54" t="inlineStr">
        <is>
          <t>US</t>
        </is>
      </c>
      <c r="C832" s="54" t="inlineStr">
        <is>
          <t>B0DDQXKZK7</t>
        </is>
      </c>
      <c r="D832" s="54" t="inlineStr">
        <is>
          <t>SS-SATIN-STRIPED-GOLD-KING-4PCS</t>
        </is>
      </c>
      <c r="E832" s="54" t="inlineStr">
        <is>
          <t>King</t>
        </is>
      </c>
      <c r="F832" s="54" t="inlineStr">
        <is>
          <t>Striped Gold</t>
        </is>
      </c>
      <c r="G832" s="55" t="n">
        <v>75</v>
      </c>
      <c r="H832" s="55" t="n">
        <v>0</v>
      </c>
      <c r="I832" s="56" t="n"/>
      <c r="J832" s="57" t="n">
        <v>0.8</v>
      </c>
      <c r="K832" s="56" t="inlineStr">
        <is>
          <t>account data velocity</t>
        </is>
      </c>
      <c r="L832" s="58" t="n">
        <v>2.5897</v>
      </c>
      <c r="M832" s="56" t="inlineStr">
        <is>
          <t>own BFCM 2025 lift (account data)</t>
        </is>
      </c>
      <c r="N832" s="59">
        <f>J832*34+J832*L832*12</f>
        <v/>
      </c>
      <c r="O832" s="59">
        <f>MAX(0,N832-G832-H832)</f>
        <v/>
      </c>
      <c r="P832" s="60">
        <f>IF(J832=0,"",IF(G832&lt;J832*34,DATE(2026,10,15)+G832/J832,IF(G832&lt;N832,DATE(2026,11,18)+(G832-J832*34)/(J832*L832),"after Nov 30")))</f>
        <v/>
      </c>
      <c r="Q832" s="60">
        <f>IF(J832=0,"",IF(G832+H832&lt;J832*34,DATE(2026,10,15)+(G832+H832)/J832,IF(G832+H832&lt;N832,DATE(2026,11,18)+(G832+H832-J832*34)/(J832*L832),"after Nov 30")))</f>
        <v/>
      </c>
      <c r="R832" s="54">
        <f>IF(AND(G832&lt;=0,J832&gt;0),"Out of stock now",IF(G832&gt;=N832,"Covered to Nov 30",IF(G832+H832&gt;=N832,"Needs inbound in time","Short even with inbound")))</f>
        <v/>
      </c>
      <c r="S832" s="57" t="n">
        <v>0.214</v>
      </c>
      <c r="T832" s="59">
        <f>IF(S832="","",S832*34+S832*L832*12)</f>
        <v/>
      </c>
    </row>
    <row r="833">
      <c r="A833" s="54" t="inlineStr">
        <is>
          <t>US SSS4</t>
        </is>
      </c>
      <c r="B833" s="54" t="inlineStr">
        <is>
          <t>US</t>
        </is>
      </c>
      <c r="C833" s="54" t="inlineStr">
        <is>
          <t>B0DDRHN5JH</t>
        </is>
      </c>
      <c r="D833" s="54" t="inlineStr">
        <is>
          <t>SS-SATIN-IVORY-QUEEN-4PCS</t>
        </is>
      </c>
      <c r="E833" s="54" t="inlineStr">
        <is>
          <t>Queen</t>
        </is>
      </c>
      <c r="F833" s="54" t="inlineStr">
        <is>
          <t>Ivory</t>
        </is>
      </c>
      <c r="G833" s="55" t="n">
        <v>6</v>
      </c>
      <c r="H833" s="55" t="n">
        <v>0</v>
      </c>
      <c r="I833" s="56" t="n"/>
      <c r="J833" s="57" t="n">
        <v>0.79</v>
      </c>
      <c r="K833" s="56" t="inlineStr">
        <is>
          <t>account data velocity</t>
        </is>
      </c>
      <c r="L833" s="58" t="n">
        <v>2.5897</v>
      </c>
      <c r="M833" s="56" t="inlineStr">
        <is>
          <t>own BFCM 2025 lift (account data)</t>
        </is>
      </c>
      <c r="N833" s="59">
        <f>J833*34+J833*L833*12</f>
        <v/>
      </c>
      <c r="O833" s="59">
        <f>MAX(0,N833-G833-H833)</f>
        <v/>
      </c>
      <c r="P833" s="60">
        <f>IF(J833=0,"",IF(G833&lt;J833*34,DATE(2026,10,15)+G833/J833,IF(G833&lt;N833,DATE(2026,11,18)+(G833-J833*34)/(J833*L833),"after Nov 30")))</f>
        <v/>
      </c>
      <c r="Q833" s="60">
        <f>IF(J833=0,"",IF(G833+H833&lt;J833*34,DATE(2026,10,15)+(G833+H833)/J833,IF(G833+H833&lt;N833,DATE(2026,11,18)+(G833+H833-J833*34)/(J833*L833),"after Nov 30")))</f>
        <v/>
      </c>
      <c r="R833" s="54">
        <f>IF(AND(G833&lt;=0,J833&gt;0),"Out of stock now",IF(G833&gt;=N833,"Covered to Nov 30",IF(G833+H833&gt;=N833,"Needs inbound in time","Short even with inbound")))</f>
        <v/>
      </c>
      <c r="S833" s="57" t="n">
        <v>0.357</v>
      </c>
      <c r="T833" s="59">
        <f>IF(S833="","",S833*34+S833*L833*12)</f>
        <v/>
      </c>
    </row>
    <row r="834">
      <c r="A834" s="54" t="inlineStr">
        <is>
          <t>US SSS4</t>
        </is>
      </c>
      <c r="B834" s="54" t="inlineStr">
        <is>
          <t>US</t>
        </is>
      </c>
      <c r="C834" s="54" t="inlineStr">
        <is>
          <t>B0DDRNZ8YM</t>
        </is>
      </c>
      <c r="D834" s="54" t="inlineStr">
        <is>
          <t>SS-SATIN-IVORY-FULL-4PCS</t>
        </is>
      </c>
      <c r="E834" s="54" t="inlineStr">
        <is>
          <t>Full</t>
        </is>
      </c>
      <c r="F834" s="54" t="inlineStr">
        <is>
          <t>Ivory</t>
        </is>
      </c>
      <c r="G834" s="55" t="n">
        <v>39</v>
      </c>
      <c r="H834" s="55" t="n">
        <v>0</v>
      </c>
      <c r="I834" s="56" t="n"/>
      <c r="J834" s="57" t="n">
        <v>0.78</v>
      </c>
      <c r="K834" s="56" t="inlineStr">
        <is>
          <t>account data velocity</t>
        </is>
      </c>
      <c r="L834" s="58" t="n">
        <v>2.5897</v>
      </c>
      <c r="M834" s="56" t="inlineStr">
        <is>
          <t>own BFCM 2025 lift (account data)</t>
        </is>
      </c>
      <c r="N834" s="59">
        <f>J834*34+J834*L834*12</f>
        <v/>
      </c>
      <c r="O834" s="59">
        <f>MAX(0,N834-G834-H834)</f>
        <v/>
      </c>
      <c r="P834" s="60">
        <f>IF(J834=0,"",IF(G834&lt;J834*34,DATE(2026,10,15)+G834/J834,IF(G834&lt;N834,DATE(2026,11,18)+(G834-J834*34)/(J834*L834),"after Nov 30")))</f>
        <v/>
      </c>
      <c r="Q834" s="60">
        <f>IF(J834=0,"",IF(G834+H834&lt;J834*34,DATE(2026,10,15)+(G834+H834)/J834,IF(G834+H834&lt;N834,DATE(2026,11,18)+(G834+H834-J834*34)/(J834*L834),"after Nov 30")))</f>
        <v/>
      </c>
      <c r="R834" s="54">
        <f>IF(AND(G834&lt;=0,J834&gt;0),"Out of stock now",IF(G834&gt;=N834,"Covered to Nov 30",IF(G834+H834&gt;=N834,"Needs inbound in time","Short even with inbound")))</f>
        <v/>
      </c>
      <c r="S834" s="57" t="n">
        <v>0.214</v>
      </c>
      <c r="T834" s="59">
        <f>IF(S834="","",S834*34+S834*L834*12)</f>
        <v/>
      </c>
    </row>
    <row r="835">
      <c r="A835" s="54" t="inlineStr">
        <is>
          <t>US SSS4</t>
        </is>
      </c>
      <c r="B835" s="54" t="inlineStr">
        <is>
          <t>US</t>
        </is>
      </c>
      <c r="C835" s="54" t="inlineStr">
        <is>
          <t>B0DDR852CS</t>
        </is>
      </c>
      <c r="D835" s="54" t="inlineStr">
        <is>
          <t>SS-SATIN-STRIPED-RED-QUEEN-4PCS</t>
        </is>
      </c>
      <c r="E835" s="54" t="inlineStr">
        <is>
          <t>Queen</t>
        </is>
      </c>
      <c r="F835" s="54" t="inlineStr">
        <is>
          <t>Striped Red</t>
        </is>
      </c>
      <c r="G835" s="55" t="n">
        <v>37</v>
      </c>
      <c r="H835" s="55" t="n">
        <v>0</v>
      </c>
      <c r="I835" s="56" t="n"/>
      <c r="J835" s="57" t="n">
        <v>0.76</v>
      </c>
      <c r="K835" s="56" t="inlineStr">
        <is>
          <t>account data velocity</t>
        </is>
      </c>
      <c r="L835" s="58" t="n">
        <v>2.5897</v>
      </c>
      <c r="M835" s="56" t="inlineStr">
        <is>
          <t>own BFCM 2025 lift (account data)</t>
        </is>
      </c>
      <c r="N835" s="59">
        <f>J835*34+J835*L835*12</f>
        <v/>
      </c>
      <c r="O835" s="59">
        <f>MAX(0,N835-G835-H835)</f>
        <v/>
      </c>
      <c r="P835" s="60">
        <f>IF(J835=0,"",IF(G835&lt;J835*34,DATE(2026,10,15)+G835/J835,IF(G835&lt;N835,DATE(2026,11,18)+(G835-J835*34)/(J835*L835),"after Nov 30")))</f>
        <v/>
      </c>
      <c r="Q835" s="60">
        <f>IF(J835=0,"",IF(G835+H835&lt;J835*34,DATE(2026,10,15)+(G835+H835)/J835,IF(G835+H835&lt;N835,DATE(2026,11,18)+(G835+H835-J835*34)/(J835*L835),"after Nov 30")))</f>
        <v/>
      </c>
      <c r="R835" s="54">
        <f>IF(AND(G835&lt;=0,J835&gt;0),"Out of stock now",IF(G835&gt;=N835,"Covered to Nov 30",IF(G835+H835&gt;=N835,"Needs inbound in time","Short even with inbound")))</f>
        <v/>
      </c>
      <c r="S835" s="57" t="n">
        <v>0.357</v>
      </c>
      <c r="T835" s="59">
        <f>IF(S835="","",S835*34+S835*L835*12)</f>
        <v/>
      </c>
    </row>
    <row r="836">
      <c r="A836" s="54" t="inlineStr">
        <is>
          <t>US SSS4</t>
        </is>
      </c>
      <c r="B836" s="54" t="inlineStr">
        <is>
          <t>US</t>
        </is>
      </c>
      <c r="C836" s="54" t="inlineStr">
        <is>
          <t>B0DDRM5YW5</t>
        </is>
      </c>
      <c r="D836" s="54" t="inlineStr">
        <is>
          <t>SS-SATIN-ROSEWOOD-KING-4PCS</t>
        </is>
      </c>
      <c r="E836" s="54" t="inlineStr">
        <is>
          <t>King</t>
        </is>
      </c>
      <c r="F836" s="54" t="inlineStr">
        <is>
          <t>Rosewood</t>
        </is>
      </c>
      <c r="G836" s="55" t="n">
        <v>16</v>
      </c>
      <c r="H836" s="55" t="n">
        <v>0</v>
      </c>
      <c r="I836" s="56" t="n"/>
      <c r="J836" s="57" t="n">
        <v>0.74</v>
      </c>
      <c r="K836" s="56" t="inlineStr">
        <is>
          <t>account data velocity</t>
        </is>
      </c>
      <c r="L836" s="58" t="n">
        <v>2.5897</v>
      </c>
      <c r="M836" s="56" t="inlineStr">
        <is>
          <t>own BFCM 2025 lift (account data)</t>
        </is>
      </c>
      <c r="N836" s="59">
        <f>J836*34+J836*L836*12</f>
        <v/>
      </c>
      <c r="O836" s="59">
        <f>MAX(0,N836-G836-H836)</f>
        <v/>
      </c>
      <c r="P836" s="60">
        <f>IF(J836=0,"",IF(G836&lt;J836*34,DATE(2026,10,15)+G836/J836,IF(G836&lt;N836,DATE(2026,11,18)+(G836-J836*34)/(J836*L836),"after Nov 30")))</f>
        <v/>
      </c>
      <c r="Q836" s="60">
        <f>IF(J836=0,"",IF(G836+H836&lt;J836*34,DATE(2026,10,15)+(G836+H836)/J836,IF(G836+H836&lt;N836,DATE(2026,11,18)+(G836+H836-J836*34)/(J836*L836),"after Nov 30")))</f>
        <v/>
      </c>
      <c r="R836" s="54">
        <f>IF(AND(G836&lt;=0,J836&gt;0),"Out of stock now",IF(G836&gt;=N836,"Covered to Nov 30",IF(G836+H836&gt;=N836,"Needs inbound in time","Short even with inbound")))</f>
        <v/>
      </c>
      <c r="S836" s="57" t="n">
        <v>0.821</v>
      </c>
      <c r="T836" s="59">
        <f>IF(S836="","",S836*34+S836*L836*12)</f>
        <v/>
      </c>
    </row>
    <row r="837">
      <c r="A837" s="54" t="inlineStr">
        <is>
          <t>US SSS4</t>
        </is>
      </c>
      <c r="B837" s="54" t="inlineStr">
        <is>
          <t>US</t>
        </is>
      </c>
      <c r="C837" s="54" t="inlineStr">
        <is>
          <t>B0DDRL7H2W</t>
        </is>
      </c>
      <c r="D837" s="54" t="inlineStr">
        <is>
          <t>SS-SATIN-SEA-TEAL-KING-4PCS</t>
        </is>
      </c>
      <c r="E837" s="54" t="inlineStr">
        <is>
          <t>King</t>
        </is>
      </c>
      <c r="F837" s="54" t="inlineStr">
        <is>
          <t>Sea Teal</t>
        </is>
      </c>
      <c r="G837" s="55" t="n">
        <v>193</v>
      </c>
      <c r="H837" s="55" t="n">
        <v>84</v>
      </c>
      <c r="I837" s="56" t="inlineStr">
        <is>
          <t>FBA19RS1HC4F shipped: 6; FBA19RRY6QFT shipped: 6; FBA19RS0N5K2 shipped: 6; FBA19RRYCGHJ shipped: 6; FBA19RRY5FBL shipped: 6; FBA19N7XSBR9 in transit: 18; FBA19KFX24C6 delivered: 36</t>
        </is>
      </c>
      <c r="J837" s="57" t="n">
        <v>0.73</v>
      </c>
      <c r="K837" s="56" t="inlineStr">
        <is>
          <t>account data velocity</t>
        </is>
      </c>
      <c r="L837" s="58" t="n">
        <v>2.5897</v>
      </c>
      <c r="M837" s="56" t="inlineStr">
        <is>
          <t>own BFCM 2025 lift (account data)</t>
        </is>
      </c>
      <c r="N837" s="59">
        <f>J837*34+J837*L837*12</f>
        <v/>
      </c>
      <c r="O837" s="59">
        <f>MAX(0,N837-G837-H837)</f>
        <v/>
      </c>
      <c r="P837" s="60">
        <f>IF(J837=0,"",IF(G837&lt;J837*34,DATE(2026,10,15)+G837/J837,IF(G837&lt;N837,DATE(2026,11,18)+(G837-J837*34)/(J837*L837),"after Nov 30")))</f>
        <v/>
      </c>
      <c r="Q837" s="60">
        <f>IF(J837=0,"",IF(G837+H837&lt;J837*34,DATE(2026,10,15)+(G837+H837)/J837,IF(G837+H837&lt;N837,DATE(2026,11,18)+(G837+H837-J837*34)/(J837*L837),"after Nov 30")))</f>
        <v/>
      </c>
      <c r="R837" s="54">
        <f>IF(AND(G837&lt;=0,J837&gt;0),"Out of stock now",IF(G837&gt;=N837,"Covered to Nov 30",IF(G837+H837&gt;=N837,"Needs inbound in time","Short even with inbound")))</f>
        <v/>
      </c>
      <c r="S837" s="57" t="n">
        <v>0.607</v>
      </c>
      <c r="T837" s="59">
        <f>IF(S837="","",S837*34+S837*L837*12)</f>
        <v/>
      </c>
    </row>
    <row r="838">
      <c r="A838" s="54" t="inlineStr">
        <is>
          <t>US SSS4</t>
        </is>
      </c>
      <c r="B838" s="54" t="inlineStr">
        <is>
          <t>US</t>
        </is>
      </c>
      <c r="C838" s="54" t="inlineStr">
        <is>
          <t>B0DDRP3R3F</t>
        </is>
      </c>
      <c r="D838" s="54" t="inlineStr">
        <is>
          <t>SS-SATIN-RED-KING-4PCS</t>
        </is>
      </c>
      <c r="E838" s="54" t="inlineStr">
        <is>
          <t>King</t>
        </is>
      </c>
      <c r="F838" s="54" t="inlineStr">
        <is>
          <t>Red</t>
        </is>
      </c>
      <c r="G838" s="55" t="n">
        <v>174</v>
      </c>
      <c r="H838" s="55" t="n">
        <v>0</v>
      </c>
      <c r="I838" s="56" t="n"/>
      <c r="J838" s="57" t="n">
        <v>0.72</v>
      </c>
      <c r="K838" s="56" t="inlineStr">
        <is>
          <t>account data velocity</t>
        </is>
      </c>
      <c r="L838" s="58" t="n">
        <v>2.5897</v>
      </c>
      <c r="M838" s="56" t="inlineStr">
        <is>
          <t>own BFCM 2025 lift (account data)</t>
        </is>
      </c>
      <c r="N838" s="59">
        <f>J838*34+J838*L838*12</f>
        <v/>
      </c>
      <c r="O838" s="59">
        <f>MAX(0,N838-G838-H838)</f>
        <v/>
      </c>
      <c r="P838" s="60">
        <f>IF(J838=0,"",IF(G838&lt;J838*34,DATE(2026,10,15)+G838/J838,IF(G838&lt;N838,DATE(2026,11,18)+(G838-J838*34)/(J838*L838),"after Nov 30")))</f>
        <v/>
      </c>
      <c r="Q838" s="60">
        <f>IF(J838=0,"",IF(G838+H838&lt;J838*34,DATE(2026,10,15)+(G838+H838)/J838,IF(G838+H838&lt;N838,DATE(2026,11,18)+(G838+H838-J838*34)/(J838*L838),"after Nov 30")))</f>
        <v/>
      </c>
      <c r="R838" s="54">
        <f>IF(AND(G838&lt;=0,J838&gt;0),"Out of stock now",IF(G838&gt;=N838,"Covered to Nov 30",IF(G838+H838&gt;=N838,"Needs inbound in time","Short even with inbound")))</f>
        <v/>
      </c>
      <c r="S838" s="57" t="n">
        <v>0.393</v>
      </c>
      <c r="T838" s="59">
        <f>IF(S838="","",S838*34+S838*L838*12)</f>
        <v/>
      </c>
    </row>
    <row r="839">
      <c r="A839" s="54" t="inlineStr">
        <is>
          <t>US SSS4</t>
        </is>
      </c>
      <c r="B839" s="54" t="inlineStr">
        <is>
          <t>US</t>
        </is>
      </c>
      <c r="C839" s="54" t="inlineStr">
        <is>
          <t>B0DDRFR2FS</t>
        </is>
      </c>
      <c r="D839" s="54" t="inlineStr">
        <is>
          <t>SS-SATIN-LAVENDER-FULL-4PCS</t>
        </is>
      </c>
      <c r="E839" s="54" t="inlineStr">
        <is>
          <t>Full</t>
        </is>
      </c>
      <c r="F839" s="54" t="inlineStr">
        <is>
          <t>Lavender</t>
        </is>
      </c>
      <c r="G839" s="55" t="n">
        <v>107</v>
      </c>
      <c r="H839" s="55" t="n">
        <v>0</v>
      </c>
      <c r="I839" s="56" t="n"/>
      <c r="J839" s="57" t="n">
        <v>0.71</v>
      </c>
      <c r="K839" s="56" t="inlineStr">
        <is>
          <t>account data velocity</t>
        </is>
      </c>
      <c r="L839" s="58" t="n">
        <v>2.5897</v>
      </c>
      <c r="M839" s="56" t="inlineStr">
        <is>
          <t>own BFCM 2025 lift (account data)</t>
        </is>
      </c>
      <c r="N839" s="59">
        <f>J839*34+J839*L839*12</f>
        <v/>
      </c>
      <c r="O839" s="59">
        <f>MAX(0,N839-G839-H839)</f>
        <v/>
      </c>
      <c r="P839" s="60">
        <f>IF(J839=0,"",IF(G839&lt;J839*34,DATE(2026,10,15)+G839/J839,IF(G839&lt;N839,DATE(2026,11,18)+(G839-J839*34)/(J839*L839),"after Nov 30")))</f>
        <v/>
      </c>
      <c r="Q839" s="60">
        <f>IF(J839=0,"",IF(G839+H839&lt;J839*34,DATE(2026,10,15)+(G839+H839)/J839,IF(G839+H839&lt;N839,DATE(2026,11,18)+(G839+H839-J839*34)/(J839*L839),"after Nov 30")))</f>
        <v/>
      </c>
      <c r="R839" s="54">
        <f>IF(AND(G839&lt;=0,J839&gt;0),"Out of stock now",IF(G839&gt;=N839,"Covered to Nov 30",IF(G839+H839&gt;=N839,"Needs inbound in time","Short even with inbound")))</f>
        <v/>
      </c>
      <c r="S839" s="57" t="n">
        <v>0.25</v>
      </c>
      <c r="T839" s="59">
        <f>IF(S839="","",S839*34+S839*L839*12)</f>
        <v/>
      </c>
    </row>
    <row r="840">
      <c r="A840" s="54" t="inlineStr">
        <is>
          <t>US SSS4</t>
        </is>
      </c>
      <c r="B840" s="54" t="inlineStr">
        <is>
          <t>US</t>
        </is>
      </c>
      <c r="C840" s="54" t="inlineStr">
        <is>
          <t>B0DDR15FTY</t>
        </is>
      </c>
      <c r="D840" s="54" t="inlineStr">
        <is>
          <t>SS-SATIN-GOLD-TWIN-3PCS</t>
        </is>
      </c>
      <c r="E840" s="54" t="inlineStr">
        <is>
          <t>Twin</t>
        </is>
      </c>
      <c r="F840" s="54" t="inlineStr">
        <is>
          <t>Gold</t>
        </is>
      </c>
      <c r="G840" s="55" t="n">
        <v>9</v>
      </c>
      <c r="H840" s="55" t="n">
        <v>0</v>
      </c>
      <c r="I840" s="56" t="n"/>
      <c r="J840" s="57" t="n">
        <v>0.7</v>
      </c>
      <c r="K840" s="56" t="inlineStr">
        <is>
          <t>account data velocity</t>
        </is>
      </c>
      <c r="L840" s="58" t="n">
        <v>2.5897</v>
      </c>
      <c r="M840" s="56" t="inlineStr">
        <is>
          <t>own BFCM 2025 lift (account data)</t>
        </is>
      </c>
      <c r="N840" s="59">
        <f>J840*34+J840*L840*12</f>
        <v/>
      </c>
      <c r="O840" s="59">
        <f>MAX(0,N840-G840-H840)</f>
        <v/>
      </c>
      <c r="P840" s="60">
        <f>IF(J840=0,"",IF(G840&lt;J840*34,DATE(2026,10,15)+G840/J840,IF(G840&lt;N840,DATE(2026,11,18)+(G840-J840*34)/(J840*L840),"after Nov 30")))</f>
        <v/>
      </c>
      <c r="Q840" s="60">
        <f>IF(J840=0,"",IF(G840+H840&lt;J840*34,DATE(2026,10,15)+(G840+H840)/J840,IF(G840+H840&lt;N840,DATE(2026,11,18)+(G840+H840-J840*34)/(J840*L840),"after Nov 30")))</f>
        <v/>
      </c>
      <c r="R840" s="54">
        <f>IF(AND(G840&lt;=0,J840&gt;0),"Out of stock now",IF(G840&gt;=N840,"Covered to Nov 30",IF(G840+H840&gt;=N840,"Needs inbound in time","Short even with inbound")))</f>
        <v/>
      </c>
      <c r="S840" s="57" t="n">
        <v>0.07099999999999999</v>
      </c>
      <c r="T840" s="59">
        <f>IF(S840="","",S840*34+S840*L840*12)</f>
        <v/>
      </c>
    </row>
    <row r="841">
      <c r="A841" s="54" t="inlineStr">
        <is>
          <t>US SSS4</t>
        </is>
      </c>
      <c r="B841" s="54" t="inlineStr">
        <is>
          <t>US</t>
        </is>
      </c>
      <c r="C841" s="54" t="inlineStr">
        <is>
          <t>B0DDRBTG9J</t>
        </is>
      </c>
      <c r="D841" s="54" t="inlineStr">
        <is>
          <t>SS-SATIN-PINK-QUEEN-4PCS</t>
        </is>
      </c>
      <c r="E841" s="54" t="inlineStr">
        <is>
          <t>Queen</t>
        </is>
      </c>
      <c r="F841" s="54" t="inlineStr">
        <is>
          <t>Pink</t>
        </is>
      </c>
      <c r="G841" s="55" t="n">
        <v>145</v>
      </c>
      <c r="H841" s="55" t="n">
        <v>0</v>
      </c>
      <c r="I841" s="56" t="n"/>
      <c r="J841" s="57" t="n">
        <v>0.68</v>
      </c>
      <c r="K841" s="56" t="inlineStr">
        <is>
          <t>account data velocity</t>
        </is>
      </c>
      <c r="L841" s="58" t="n">
        <v>2.5897</v>
      </c>
      <c r="M841" s="56" t="inlineStr">
        <is>
          <t>own BFCM 2025 lift (account data)</t>
        </is>
      </c>
      <c r="N841" s="59">
        <f>J841*34+J841*L841*12</f>
        <v/>
      </c>
      <c r="O841" s="59">
        <f>MAX(0,N841-G841-H841)</f>
        <v/>
      </c>
      <c r="P841" s="60">
        <f>IF(J841=0,"",IF(G841&lt;J841*34,DATE(2026,10,15)+G841/J841,IF(G841&lt;N841,DATE(2026,11,18)+(G841-J841*34)/(J841*L841),"after Nov 30")))</f>
        <v/>
      </c>
      <c r="Q841" s="60">
        <f>IF(J841=0,"",IF(G841+H841&lt;J841*34,DATE(2026,10,15)+(G841+H841)/J841,IF(G841+H841&lt;N841,DATE(2026,11,18)+(G841+H841-J841*34)/(J841*L841),"after Nov 30")))</f>
        <v/>
      </c>
      <c r="R841" s="54">
        <f>IF(AND(G841&lt;=0,J841&gt;0),"Out of stock now",IF(G841&gt;=N841,"Covered to Nov 30",IF(G841+H841&gt;=N841,"Needs inbound in time","Short even with inbound")))</f>
        <v/>
      </c>
      <c r="S841" s="57" t="n">
        <v>0.5</v>
      </c>
      <c r="T841" s="59">
        <f>IF(S841="","",S841*34+S841*L841*12)</f>
        <v/>
      </c>
    </row>
    <row r="842">
      <c r="A842" s="54" t="inlineStr">
        <is>
          <t>US SSS4</t>
        </is>
      </c>
      <c r="B842" s="54" t="inlineStr">
        <is>
          <t>US</t>
        </is>
      </c>
      <c r="C842" s="54" t="inlineStr">
        <is>
          <t>B0DDRFLD2F</t>
        </is>
      </c>
      <c r="D842" s="54" t="inlineStr">
        <is>
          <t>SS-SATIN-LAVENDER-KING-4PCS</t>
        </is>
      </c>
      <c r="E842" s="54" t="inlineStr">
        <is>
          <t>King</t>
        </is>
      </c>
      <c r="F842" s="54" t="inlineStr">
        <is>
          <t>Lavender</t>
        </is>
      </c>
      <c r="G842" s="55" t="n">
        <v>151</v>
      </c>
      <c r="H842" s="55" t="n">
        <v>0</v>
      </c>
      <c r="I842" s="56" t="n"/>
      <c r="J842" s="57" t="n">
        <v>0.64</v>
      </c>
      <c r="K842" s="56" t="inlineStr">
        <is>
          <t>account data velocity</t>
        </is>
      </c>
      <c r="L842" s="58" t="n">
        <v>2.5897</v>
      </c>
      <c r="M842" s="56" t="inlineStr">
        <is>
          <t>own BFCM 2025 lift (account data)</t>
        </is>
      </c>
      <c r="N842" s="59">
        <f>J842*34+J842*L842*12</f>
        <v/>
      </c>
      <c r="O842" s="59">
        <f>MAX(0,N842-G842-H842)</f>
        <v/>
      </c>
      <c r="P842" s="60">
        <f>IF(J842=0,"",IF(G842&lt;J842*34,DATE(2026,10,15)+G842/J842,IF(G842&lt;N842,DATE(2026,11,18)+(G842-J842*34)/(J842*L842),"after Nov 30")))</f>
        <v/>
      </c>
      <c r="Q842" s="60">
        <f>IF(J842=0,"",IF(G842+H842&lt;J842*34,DATE(2026,10,15)+(G842+H842)/J842,IF(G842+H842&lt;N842,DATE(2026,11,18)+(G842+H842-J842*34)/(J842*L842),"after Nov 30")))</f>
        <v/>
      </c>
      <c r="R842" s="54">
        <f>IF(AND(G842&lt;=0,J842&gt;0),"Out of stock now",IF(G842&gt;=N842,"Covered to Nov 30",IF(G842+H842&gt;=N842,"Needs inbound in time","Short even with inbound")))</f>
        <v/>
      </c>
      <c r="S842" s="57" t="n">
        <v>0.321</v>
      </c>
      <c r="T842" s="59">
        <f>IF(S842="","",S842*34+S842*L842*12)</f>
        <v/>
      </c>
    </row>
    <row r="843">
      <c r="A843" s="54" t="inlineStr">
        <is>
          <t>US SSS4</t>
        </is>
      </c>
      <c r="B843" s="54" t="inlineStr">
        <is>
          <t>US</t>
        </is>
      </c>
      <c r="C843" s="54" t="inlineStr">
        <is>
          <t>B0DDQX793B</t>
        </is>
      </c>
      <c r="D843" s="54" t="inlineStr">
        <is>
          <t>SS-SATIN-GREY-FULL-4PCS</t>
        </is>
      </c>
      <c r="E843" s="54" t="inlineStr">
        <is>
          <t>Full</t>
        </is>
      </c>
      <c r="F843" s="54" t="inlineStr">
        <is>
          <t>Grey</t>
        </is>
      </c>
      <c r="G843" s="55" t="n">
        <v>90</v>
      </c>
      <c r="H843" s="55" t="n">
        <v>0</v>
      </c>
      <c r="I843" s="56" t="n"/>
      <c r="J843" s="57" t="n">
        <v>0.63</v>
      </c>
      <c r="K843" s="56" t="inlineStr">
        <is>
          <t>account data velocity</t>
        </is>
      </c>
      <c r="L843" s="58" t="n">
        <v>2.5897</v>
      </c>
      <c r="M843" s="56" t="inlineStr">
        <is>
          <t>own BFCM 2025 lift (account data)</t>
        </is>
      </c>
      <c r="N843" s="59">
        <f>J843*34+J843*L843*12</f>
        <v/>
      </c>
      <c r="O843" s="59">
        <f>MAX(0,N843-G843-H843)</f>
        <v/>
      </c>
      <c r="P843" s="60">
        <f>IF(J843=0,"",IF(G843&lt;J843*34,DATE(2026,10,15)+G843/J843,IF(G843&lt;N843,DATE(2026,11,18)+(G843-J843*34)/(J843*L843),"after Nov 30")))</f>
        <v/>
      </c>
      <c r="Q843" s="60">
        <f>IF(J843=0,"",IF(G843+H843&lt;J843*34,DATE(2026,10,15)+(G843+H843)/J843,IF(G843+H843&lt;N843,DATE(2026,11,18)+(G843+H843-J843*34)/(J843*L843),"after Nov 30")))</f>
        <v/>
      </c>
      <c r="R843" s="54">
        <f>IF(AND(G843&lt;=0,J843&gt;0),"Out of stock now",IF(G843&gt;=N843,"Covered to Nov 30",IF(G843+H843&gt;=N843,"Needs inbound in time","Short even with inbound")))</f>
        <v/>
      </c>
      <c r="S843" s="57" t="n">
        <v>0.5</v>
      </c>
      <c r="T843" s="59">
        <f>IF(S843="","",S843*34+S843*L843*12)</f>
        <v/>
      </c>
    </row>
    <row r="844">
      <c r="A844" s="54" t="inlineStr">
        <is>
          <t>US SSS4</t>
        </is>
      </c>
      <c r="B844" s="54" t="inlineStr">
        <is>
          <t>US</t>
        </is>
      </c>
      <c r="C844" s="54" t="inlineStr">
        <is>
          <t>B0DDRCQZ7G</t>
        </is>
      </c>
      <c r="D844" s="54" t="inlineStr">
        <is>
          <t>SS-SATIN-PURPLE-KING-4PCS</t>
        </is>
      </c>
      <c r="E844" s="54" t="inlineStr">
        <is>
          <t>King</t>
        </is>
      </c>
      <c r="F844" s="54" t="inlineStr">
        <is>
          <t>Purple</t>
        </is>
      </c>
      <c r="G844" s="55" t="n">
        <v>81</v>
      </c>
      <c r="H844" s="55" t="n">
        <v>18</v>
      </c>
      <c r="I844" s="56" t="inlineStr">
        <is>
          <t>FBA19N7XSBR9 in transit: 18</t>
        </is>
      </c>
      <c r="J844" s="57" t="n">
        <v>0.5600000000000001</v>
      </c>
      <c r="K844" s="56" t="inlineStr">
        <is>
          <t>account data velocity</t>
        </is>
      </c>
      <c r="L844" s="58" t="n">
        <v>2.5897</v>
      </c>
      <c r="M844" s="56" t="inlineStr">
        <is>
          <t>own BFCM 2025 lift (account data)</t>
        </is>
      </c>
      <c r="N844" s="59">
        <f>J844*34+J844*L844*12</f>
        <v/>
      </c>
      <c r="O844" s="59">
        <f>MAX(0,N844-G844-H844)</f>
        <v/>
      </c>
      <c r="P844" s="60">
        <f>IF(J844=0,"",IF(G844&lt;J844*34,DATE(2026,10,15)+G844/J844,IF(G844&lt;N844,DATE(2026,11,18)+(G844-J844*34)/(J844*L844),"after Nov 30")))</f>
        <v/>
      </c>
      <c r="Q844" s="60">
        <f>IF(J844=0,"",IF(G844+H844&lt;J844*34,DATE(2026,10,15)+(G844+H844)/J844,IF(G844+H844&lt;N844,DATE(2026,11,18)+(G844+H844-J844*34)/(J844*L844),"after Nov 30")))</f>
        <v/>
      </c>
      <c r="R844" s="54">
        <f>IF(AND(G844&lt;=0,J844&gt;0),"Out of stock now",IF(G844&gt;=N844,"Covered to Nov 30",IF(G844+H844&gt;=N844,"Needs inbound in time","Short even with inbound")))</f>
        <v/>
      </c>
      <c r="S844" s="57" t="n">
        <v>0.393</v>
      </c>
      <c r="T844" s="59">
        <f>IF(S844="","",S844*34+S844*L844*12)</f>
        <v/>
      </c>
    </row>
    <row r="845">
      <c r="A845" s="54" t="inlineStr">
        <is>
          <t>US SSS4</t>
        </is>
      </c>
      <c r="B845" s="54" t="inlineStr">
        <is>
          <t>US</t>
        </is>
      </c>
      <c r="C845" s="54" t="inlineStr">
        <is>
          <t>B0DDR3WWT1</t>
        </is>
      </c>
      <c r="D845" s="54" t="inlineStr">
        <is>
          <t>SS-SATIN-STRIPED-PINK-QUEEN-4PCS</t>
        </is>
      </c>
      <c r="E845" s="54" t="inlineStr">
        <is>
          <t>Queen</t>
        </is>
      </c>
      <c r="F845" s="54" t="inlineStr">
        <is>
          <t>Striped Pink</t>
        </is>
      </c>
      <c r="G845" s="55" t="n">
        <v>0</v>
      </c>
      <c r="H845" s="55" t="n">
        <v>0</v>
      </c>
      <c r="I845" s="56" t="n"/>
      <c r="J845" s="57" t="n">
        <v>0.55</v>
      </c>
      <c r="K845" s="56" t="inlineStr">
        <is>
          <t>account data velocity</t>
        </is>
      </c>
      <c r="L845" s="58" t="n">
        <v>2.5897</v>
      </c>
      <c r="M845" s="56" t="inlineStr">
        <is>
          <t>own BFCM 2025 lift (account data)</t>
        </is>
      </c>
      <c r="N845" s="59">
        <f>J845*34+J845*L845*12</f>
        <v/>
      </c>
      <c r="O845" s="59">
        <f>MAX(0,N845-G845-H845)</f>
        <v/>
      </c>
      <c r="P845" s="60">
        <f>IF(J845=0,"",IF(G845&lt;J845*34,DATE(2026,10,15)+G845/J845,IF(G845&lt;N845,DATE(2026,11,18)+(G845-J845*34)/(J845*L845),"after Nov 30")))</f>
        <v/>
      </c>
      <c r="Q845" s="60">
        <f>IF(J845=0,"",IF(G845+H845&lt;J845*34,DATE(2026,10,15)+(G845+H845)/J845,IF(G845+H845&lt;N845,DATE(2026,11,18)+(G845+H845-J845*34)/(J845*L845),"after Nov 30")))</f>
        <v/>
      </c>
      <c r="R845" s="54">
        <f>IF(AND(G845&lt;=0,J845&gt;0),"Out of stock now",IF(G845&gt;=N845,"Covered to Nov 30",IF(G845+H845&gt;=N845,"Needs inbound in time","Short even with inbound")))</f>
        <v/>
      </c>
      <c r="S845" s="57" t="n">
        <v>0.286</v>
      </c>
      <c r="T845" s="59">
        <f>IF(S845="","",S845*34+S845*L845*12)</f>
        <v/>
      </c>
    </row>
    <row r="846">
      <c r="A846" s="54" t="inlineStr">
        <is>
          <t>US SSS4</t>
        </is>
      </c>
      <c r="B846" s="54" t="inlineStr">
        <is>
          <t>US</t>
        </is>
      </c>
      <c r="C846" s="54" t="inlineStr">
        <is>
          <t>B0DDR6LYLX</t>
        </is>
      </c>
      <c r="D846" s="54" t="inlineStr">
        <is>
          <t>SS-SATIN-GOLD-FULL-4PCS</t>
        </is>
      </c>
      <c r="E846" s="54" t="inlineStr">
        <is>
          <t>Full</t>
        </is>
      </c>
      <c r="F846" s="54" t="inlineStr">
        <is>
          <t>Gold</t>
        </is>
      </c>
      <c r="G846" s="55" t="n">
        <v>32</v>
      </c>
      <c r="H846" s="55" t="n">
        <v>0</v>
      </c>
      <c r="I846" s="56" t="n"/>
      <c r="J846" s="57" t="n">
        <v>0.54</v>
      </c>
      <c r="K846" s="56" t="inlineStr">
        <is>
          <t>account data velocity</t>
        </is>
      </c>
      <c r="L846" s="58" t="n">
        <v>2.5897</v>
      </c>
      <c r="M846" s="56" t="inlineStr">
        <is>
          <t>own BFCM 2025 lift (account data)</t>
        </is>
      </c>
      <c r="N846" s="59">
        <f>J846*34+J846*L846*12</f>
        <v/>
      </c>
      <c r="O846" s="59">
        <f>MAX(0,N846-G846-H846)</f>
        <v/>
      </c>
      <c r="P846" s="60">
        <f>IF(J846=0,"",IF(G846&lt;J846*34,DATE(2026,10,15)+G846/J846,IF(G846&lt;N846,DATE(2026,11,18)+(G846-J846*34)/(J846*L846),"after Nov 30")))</f>
        <v/>
      </c>
      <c r="Q846" s="60">
        <f>IF(J846=0,"",IF(G846+H846&lt;J846*34,DATE(2026,10,15)+(G846+H846)/J846,IF(G846+H846&lt;N846,DATE(2026,11,18)+(G846+H846-J846*34)/(J846*L846),"after Nov 30")))</f>
        <v/>
      </c>
      <c r="R846" s="54">
        <f>IF(AND(G846&lt;=0,J846&gt;0),"Out of stock now",IF(G846&gt;=N846,"Covered to Nov 30",IF(G846+H846&gt;=N846,"Needs inbound in time","Short even with inbound")))</f>
        <v/>
      </c>
      <c r="S846" s="57" t="n">
        <v>0.214</v>
      </c>
      <c r="T846" s="59">
        <f>IF(S846="","",S846*34+S846*L846*12)</f>
        <v/>
      </c>
    </row>
    <row r="847">
      <c r="A847" s="54" t="inlineStr">
        <is>
          <t>US SSS4</t>
        </is>
      </c>
      <c r="B847" s="54" t="inlineStr">
        <is>
          <t>US</t>
        </is>
      </c>
      <c r="C847" s="54" t="inlineStr">
        <is>
          <t>B0DDRHLV1C</t>
        </is>
      </c>
      <c r="D847" s="54" t="inlineStr">
        <is>
          <t>SS-SATIN-LAVENDER-QUEEN-4PCS</t>
        </is>
      </c>
      <c r="E847" s="54" t="inlineStr">
        <is>
          <t>Queen</t>
        </is>
      </c>
      <c r="F847" s="54" t="inlineStr">
        <is>
          <t>Lavender</t>
        </is>
      </c>
      <c r="G847" s="55" t="n">
        <v>145</v>
      </c>
      <c r="H847" s="55" t="n">
        <v>0</v>
      </c>
      <c r="I847" s="56" t="n"/>
      <c r="J847" s="57" t="n">
        <v>0.52</v>
      </c>
      <c r="K847" s="56" t="inlineStr">
        <is>
          <t>account data velocity</t>
        </is>
      </c>
      <c r="L847" s="58" t="n">
        <v>2.5897</v>
      </c>
      <c r="M847" s="56" t="inlineStr">
        <is>
          <t>own BFCM 2025 lift (account data)</t>
        </is>
      </c>
      <c r="N847" s="59">
        <f>J847*34+J847*L847*12</f>
        <v/>
      </c>
      <c r="O847" s="59">
        <f>MAX(0,N847-G847-H847)</f>
        <v/>
      </c>
      <c r="P847" s="60">
        <f>IF(J847=0,"",IF(G847&lt;J847*34,DATE(2026,10,15)+G847/J847,IF(G847&lt;N847,DATE(2026,11,18)+(G847-J847*34)/(J847*L847),"after Nov 30")))</f>
        <v/>
      </c>
      <c r="Q847" s="60">
        <f>IF(J847=0,"",IF(G847+H847&lt;J847*34,DATE(2026,10,15)+(G847+H847)/J847,IF(G847+H847&lt;N847,DATE(2026,11,18)+(G847+H847-J847*34)/(J847*L847),"after Nov 30")))</f>
        <v/>
      </c>
      <c r="R847" s="54">
        <f>IF(AND(G847&lt;=0,J847&gt;0),"Out of stock now",IF(G847&gt;=N847,"Covered to Nov 30",IF(G847+H847&gt;=N847,"Needs inbound in time","Short even with inbound")))</f>
        <v/>
      </c>
      <c r="S847" s="57" t="n">
        <v>0.464</v>
      </c>
      <c r="T847" s="59">
        <f>IF(S847="","",S847*34+S847*L847*12)</f>
        <v/>
      </c>
    </row>
    <row r="848">
      <c r="A848" s="54" t="inlineStr">
        <is>
          <t>US SSS4</t>
        </is>
      </c>
      <c r="B848" s="54" t="inlineStr">
        <is>
          <t>US</t>
        </is>
      </c>
      <c r="C848" s="54" t="inlineStr">
        <is>
          <t>B0DDRCZN9J</t>
        </is>
      </c>
      <c r="D848" s="54" t="inlineStr">
        <is>
          <t>SS-SATIN-RED-FULL-4PCS</t>
        </is>
      </c>
      <c r="E848" s="54" t="inlineStr">
        <is>
          <t>Full</t>
        </is>
      </c>
      <c r="F848" s="54" t="inlineStr">
        <is>
          <t>Red</t>
        </is>
      </c>
      <c r="G848" s="55" t="n">
        <v>73</v>
      </c>
      <c r="H848" s="55" t="n">
        <v>30</v>
      </c>
      <c r="I848" s="56" t="inlineStr">
        <is>
          <t>FBA19STZ9LHZ ready to ship: 6; FBA19STRJMC3 ready to ship: 6; FBA19SV47PX1 ready to ship: 6; FBA19SV1CLVT ready to ship: 6; FBA19STYQSF4 ready to ship: 6</t>
        </is>
      </c>
      <c r="J848" s="57" t="n">
        <v>0.52</v>
      </c>
      <c r="K848" s="56" t="inlineStr">
        <is>
          <t>account data velocity</t>
        </is>
      </c>
      <c r="L848" s="58" t="n">
        <v>2.5897</v>
      </c>
      <c r="M848" s="56" t="inlineStr">
        <is>
          <t>own BFCM 2025 lift (account data)</t>
        </is>
      </c>
      <c r="N848" s="59">
        <f>J848*34+J848*L848*12</f>
        <v/>
      </c>
      <c r="O848" s="59">
        <f>MAX(0,N848-G848-H848)</f>
        <v/>
      </c>
      <c r="P848" s="60">
        <f>IF(J848=0,"",IF(G848&lt;J848*34,DATE(2026,10,15)+G848/J848,IF(G848&lt;N848,DATE(2026,11,18)+(G848-J848*34)/(J848*L848),"after Nov 30")))</f>
        <v/>
      </c>
      <c r="Q848" s="60">
        <f>IF(J848=0,"",IF(G848+H848&lt;J848*34,DATE(2026,10,15)+(G848+H848)/J848,IF(G848+H848&lt;N848,DATE(2026,11,18)+(G848+H848-J848*34)/(J848*L848),"after Nov 30")))</f>
        <v/>
      </c>
      <c r="R848" s="54">
        <f>IF(AND(G848&lt;=0,J848&gt;0),"Out of stock now",IF(G848&gt;=N848,"Covered to Nov 30",IF(G848+H848&gt;=N848,"Needs inbound in time","Short even with inbound")))</f>
        <v/>
      </c>
      <c r="S848" s="57" t="n">
        <v>0.143</v>
      </c>
      <c r="T848" s="59">
        <f>IF(S848="","",S848*34+S848*L848*12)</f>
        <v/>
      </c>
    </row>
    <row r="849">
      <c r="A849" s="54" t="inlineStr">
        <is>
          <t>US SSS4</t>
        </is>
      </c>
      <c r="B849" s="54" t="inlineStr">
        <is>
          <t>US</t>
        </is>
      </c>
      <c r="C849" s="54" t="inlineStr">
        <is>
          <t>B0DDRC2CDX</t>
        </is>
      </c>
      <c r="D849" s="54" t="inlineStr">
        <is>
          <t>SS-SATIN-PINK-TWIN-3PCS</t>
        </is>
      </c>
      <c r="E849" s="54" t="inlineStr">
        <is>
          <t>Twin</t>
        </is>
      </c>
      <c r="F849" s="54" t="inlineStr">
        <is>
          <t>Pink</t>
        </is>
      </c>
      <c r="G849" s="55" t="n">
        <v>31</v>
      </c>
      <c r="H849" s="55" t="n">
        <v>0</v>
      </c>
      <c r="I849" s="56" t="n"/>
      <c r="J849" s="57" t="n">
        <v>0.51</v>
      </c>
      <c r="K849" s="56" t="inlineStr">
        <is>
          <t>account data velocity</t>
        </is>
      </c>
      <c r="L849" s="58" t="n">
        <v>2.5897</v>
      </c>
      <c r="M849" s="56" t="inlineStr">
        <is>
          <t>own BFCM 2025 lift (account data)</t>
        </is>
      </c>
      <c r="N849" s="59">
        <f>J849*34+J849*L849*12</f>
        <v/>
      </c>
      <c r="O849" s="59">
        <f>MAX(0,N849-G849-H849)</f>
        <v/>
      </c>
      <c r="P849" s="60">
        <f>IF(J849=0,"",IF(G849&lt;J849*34,DATE(2026,10,15)+G849/J849,IF(G849&lt;N849,DATE(2026,11,18)+(G849-J849*34)/(J849*L849),"after Nov 30")))</f>
        <v/>
      </c>
      <c r="Q849" s="60">
        <f>IF(J849=0,"",IF(G849+H849&lt;J849*34,DATE(2026,10,15)+(G849+H849)/J849,IF(G849+H849&lt;N849,DATE(2026,11,18)+(G849+H849-J849*34)/(J849*L849),"after Nov 30")))</f>
        <v/>
      </c>
      <c r="R849" s="54">
        <f>IF(AND(G849&lt;=0,J849&gt;0),"Out of stock now",IF(G849&gt;=N849,"Covered to Nov 30",IF(G849+H849&gt;=N849,"Needs inbound in time","Short even with inbound")))</f>
        <v/>
      </c>
      <c r="S849" s="57" t="n">
        <v>0.179</v>
      </c>
      <c r="T849" s="59">
        <f>IF(S849="","",S849*34+S849*L849*12)</f>
        <v/>
      </c>
    </row>
    <row r="850">
      <c r="A850" s="54" t="inlineStr">
        <is>
          <t>US SSS4</t>
        </is>
      </c>
      <c r="B850" s="54" t="inlineStr">
        <is>
          <t>US</t>
        </is>
      </c>
      <c r="C850" s="54" t="inlineStr">
        <is>
          <t>B0DDQTZ8NT</t>
        </is>
      </c>
      <c r="D850" s="54" t="inlineStr">
        <is>
          <t>SS-SATIN-WHITE-TWIN-3PCS</t>
        </is>
      </c>
      <c r="E850" s="54" t="inlineStr">
        <is>
          <t>Twin</t>
        </is>
      </c>
      <c r="F850" s="54" t="inlineStr">
        <is>
          <t>White</t>
        </is>
      </c>
      <c r="G850" s="55" t="n">
        <v>65</v>
      </c>
      <c r="H850" s="55" t="n">
        <v>6</v>
      </c>
      <c r="I850" s="56" t="inlineStr">
        <is>
          <t>FBA19KFX24C6 delivered: 6</t>
        </is>
      </c>
      <c r="J850" s="57" t="n">
        <v>0.5</v>
      </c>
      <c r="K850" s="56" t="inlineStr">
        <is>
          <t>account data velocity</t>
        </is>
      </c>
      <c r="L850" s="58" t="n">
        <v>2.5897</v>
      </c>
      <c r="M850" s="56" t="inlineStr">
        <is>
          <t>own BFCM 2025 lift (account data)</t>
        </is>
      </c>
      <c r="N850" s="59">
        <f>J850*34+J850*L850*12</f>
        <v/>
      </c>
      <c r="O850" s="59">
        <f>MAX(0,N850-G850-H850)</f>
        <v/>
      </c>
      <c r="P850" s="60">
        <f>IF(J850=0,"",IF(G850&lt;J850*34,DATE(2026,10,15)+G850/J850,IF(G850&lt;N850,DATE(2026,11,18)+(G850-J850*34)/(J850*L850),"after Nov 30")))</f>
        <v/>
      </c>
      <c r="Q850" s="60">
        <f>IF(J850=0,"",IF(G850+H850&lt;J850*34,DATE(2026,10,15)+(G850+H850)/J850,IF(G850+H850&lt;N850,DATE(2026,11,18)+(G850+H850-J850*34)/(J850*L850),"after Nov 30")))</f>
        <v/>
      </c>
      <c r="R850" s="54">
        <f>IF(AND(G850&lt;=0,J850&gt;0),"Out of stock now",IF(G850&gt;=N850,"Covered to Nov 30",IF(G850+H850&gt;=N850,"Needs inbound in time","Short even with inbound")))</f>
        <v/>
      </c>
      <c r="S850" s="57" t="n">
        <v>0.107</v>
      </c>
      <c r="T850" s="59">
        <f>IF(S850="","",S850*34+S850*L850*12)</f>
        <v/>
      </c>
    </row>
    <row r="851">
      <c r="A851" s="54" t="inlineStr">
        <is>
          <t>US SSS4</t>
        </is>
      </c>
      <c r="B851" s="54" t="inlineStr">
        <is>
          <t>US</t>
        </is>
      </c>
      <c r="C851" s="54" t="inlineStr">
        <is>
          <t>B0DDRDR4F8</t>
        </is>
      </c>
      <c r="D851" s="54" t="inlineStr">
        <is>
          <t>SS-SATIN-SEA-TEAL-FULL-4PCS</t>
        </is>
      </c>
      <c r="E851" s="54" t="inlineStr">
        <is>
          <t>Full</t>
        </is>
      </c>
      <c r="F851" s="54" t="inlineStr">
        <is>
          <t>Sea Teal</t>
        </is>
      </c>
      <c r="G851" s="55" t="n">
        <v>48</v>
      </c>
      <c r="H851" s="55" t="n">
        <v>0</v>
      </c>
      <c r="I851" s="56" t="n"/>
      <c r="J851" s="57" t="n">
        <v>0.5</v>
      </c>
      <c r="K851" s="56" t="inlineStr">
        <is>
          <t>account data velocity</t>
        </is>
      </c>
      <c r="L851" s="58" t="n">
        <v>2.5897</v>
      </c>
      <c r="M851" s="56" t="inlineStr">
        <is>
          <t>own BFCM 2025 lift (account data)</t>
        </is>
      </c>
      <c r="N851" s="59">
        <f>J851*34+J851*L851*12</f>
        <v/>
      </c>
      <c r="O851" s="59">
        <f>MAX(0,N851-G851-H851)</f>
        <v/>
      </c>
      <c r="P851" s="60">
        <f>IF(J851=0,"",IF(G851&lt;J851*34,DATE(2026,10,15)+G851/J851,IF(G851&lt;N851,DATE(2026,11,18)+(G851-J851*34)/(J851*L851),"after Nov 30")))</f>
        <v/>
      </c>
      <c r="Q851" s="60">
        <f>IF(J851=0,"",IF(G851+H851&lt;J851*34,DATE(2026,10,15)+(G851+H851)/J851,IF(G851+H851&lt;N851,DATE(2026,11,18)+(G851+H851-J851*34)/(J851*L851),"after Nov 30")))</f>
        <v/>
      </c>
      <c r="R851" s="54">
        <f>IF(AND(G851&lt;=0,J851&gt;0),"Out of stock now",IF(G851&gt;=N851,"Covered to Nov 30",IF(G851+H851&gt;=N851,"Needs inbound in time","Short even with inbound")))</f>
        <v/>
      </c>
      <c r="S851" s="57" t="n">
        <v>0.07099999999999999</v>
      </c>
      <c r="T851" s="59">
        <f>IF(S851="","",S851*34+S851*L851*12)</f>
        <v/>
      </c>
    </row>
    <row r="852">
      <c r="A852" s="54" t="inlineStr">
        <is>
          <t>US SSS4</t>
        </is>
      </c>
      <c r="B852" s="54" t="inlineStr">
        <is>
          <t>US</t>
        </is>
      </c>
      <c r="C852" s="54" t="inlineStr">
        <is>
          <t>B0DDR1YLCM</t>
        </is>
      </c>
      <c r="D852" s="54" t="inlineStr">
        <is>
          <t>SS-SATIN-CHAMPAGNE-QUEEN-4PCS</t>
        </is>
      </c>
      <c r="E852" s="54" t="inlineStr">
        <is>
          <t>Queen</t>
        </is>
      </c>
      <c r="F852" s="54" t="inlineStr">
        <is>
          <t>Champagne</t>
        </is>
      </c>
      <c r="G852" s="55" t="n">
        <v>14</v>
      </c>
      <c r="H852" s="55" t="n">
        <v>0</v>
      </c>
      <c r="I852" s="56" t="n"/>
      <c r="J852" s="57" t="n">
        <v>0.5</v>
      </c>
      <c r="K852" s="56" t="inlineStr">
        <is>
          <t>account data velocity</t>
        </is>
      </c>
      <c r="L852" s="58" t="n">
        <v>2.5897</v>
      </c>
      <c r="M852" s="56" t="inlineStr">
        <is>
          <t>own BFCM 2025 lift (account data)</t>
        </is>
      </c>
      <c r="N852" s="59">
        <f>J852*34+J852*L852*12</f>
        <v/>
      </c>
      <c r="O852" s="59">
        <f>MAX(0,N852-G852-H852)</f>
        <v/>
      </c>
      <c r="P852" s="60">
        <f>IF(J852=0,"",IF(G852&lt;J852*34,DATE(2026,10,15)+G852/J852,IF(G852&lt;N852,DATE(2026,11,18)+(G852-J852*34)/(J852*L852),"after Nov 30")))</f>
        <v/>
      </c>
      <c r="Q852" s="60">
        <f>IF(J852=0,"",IF(G852+H852&lt;J852*34,DATE(2026,10,15)+(G852+H852)/J852,IF(G852+H852&lt;N852,DATE(2026,11,18)+(G852+H852-J852*34)/(J852*L852),"after Nov 30")))</f>
        <v/>
      </c>
      <c r="R852" s="54">
        <f>IF(AND(G852&lt;=0,J852&gt;0),"Out of stock now",IF(G852&gt;=N852,"Covered to Nov 30",IF(G852+H852&gt;=N852,"Needs inbound in time","Short even with inbound")))</f>
        <v/>
      </c>
      <c r="S852" s="57" t="n">
        <v>0.07099999999999999</v>
      </c>
      <c r="T852" s="59">
        <f>IF(S852="","",S852*34+S852*L852*12)</f>
        <v/>
      </c>
    </row>
    <row r="853">
      <c r="A853" s="54" t="inlineStr">
        <is>
          <t>US SSS4</t>
        </is>
      </c>
      <c r="B853" s="54" t="inlineStr">
        <is>
          <t>US</t>
        </is>
      </c>
      <c r="C853" s="54" t="inlineStr">
        <is>
          <t>B0DDR3M171</t>
        </is>
      </c>
      <c r="D853" s="54" t="inlineStr">
        <is>
          <t>SS-SATIN-STRIPED-BLUE-QUEEN-4PCS</t>
        </is>
      </c>
      <c r="E853" s="54" t="inlineStr">
        <is>
          <t>Queen</t>
        </is>
      </c>
      <c r="F853" s="54" t="inlineStr">
        <is>
          <t>Striped Blue</t>
        </is>
      </c>
      <c r="G853" s="55" t="n">
        <v>8</v>
      </c>
      <c r="H853" s="55" t="n">
        <v>0</v>
      </c>
      <c r="I853" s="56" t="n"/>
      <c r="J853" s="57" t="n">
        <v>0.47</v>
      </c>
      <c r="K853" s="56" t="inlineStr">
        <is>
          <t>account data velocity</t>
        </is>
      </c>
      <c r="L853" s="58" t="n">
        <v>2.5897</v>
      </c>
      <c r="M853" s="56" t="inlineStr">
        <is>
          <t>own BFCM 2025 lift (account data)</t>
        </is>
      </c>
      <c r="N853" s="59">
        <f>J853*34+J853*L853*12</f>
        <v/>
      </c>
      <c r="O853" s="59">
        <f>MAX(0,N853-G853-H853)</f>
        <v/>
      </c>
      <c r="P853" s="60">
        <f>IF(J853=0,"",IF(G853&lt;J853*34,DATE(2026,10,15)+G853/J853,IF(G853&lt;N853,DATE(2026,11,18)+(G853-J853*34)/(J853*L853),"after Nov 30")))</f>
        <v/>
      </c>
      <c r="Q853" s="60">
        <f>IF(J853=0,"",IF(G853+H853&lt;J853*34,DATE(2026,10,15)+(G853+H853)/J853,IF(G853+H853&lt;N853,DATE(2026,11,18)+(G853+H853-J853*34)/(J853*L853),"after Nov 30")))</f>
        <v/>
      </c>
      <c r="R853" s="54">
        <f>IF(AND(G853&lt;=0,J853&gt;0),"Out of stock now",IF(G853&gt;=N853,"Covered to Nov 30",IF(G853+H853&gt;=N853,"Needs inbound in time","Short even with inbound")))</f>
        <v/>
      </c>
      <c r="S853" s="57" t="n">
        <v>0.143</v>
      </c>
      <c r="T853" s="59">
        <f>IF(S853="","",S853*34+S853*L853*12)</f>
        <v/>
      </c>
    </row>
    <row r="854">
      <c r="A854" s="54" t="inlineStr">
        <is>
          <t>US SSS4</t>
        </is>
      </c>
      <c r="B854" s="54" t="inlineStr">
        <is>
          <t>US</t>
        </is>
      </c>
      <c r="C854" s="54" t="inlineStr">
        <is>
          <t>B0DDR6TLDV</t>
        </is>
      </c>
      <c r="D854" s="54" t="inlineStr">
        <is>
          <t>SS-SATIN-ROSEWOOD-TWIN-3PCS</t>
        </is>
      </c>
      <c r="E854" s="54" t="inlineStr">
        <is>
          <t>Twin</t>
        </is>
      </c>
      <c r="F854" s="54" t="inlineStr">
        <is>
          <t>Rosewood</t>
        </is>
      </c>
      <c r="G854" s="55" t="n">
        <v>59</v>
      </c>
      <c r="H854" s="55" t="n">
        <v>18</v>
      </c>
      <c r="I854" s="56" t="inlineStr">
        <is>
          <t>FBA19N7XSBR9 in transit: 18</t>
        </is>
      </c>
      <c r="J854" s="57" t="n">
        <v>0.44</v>
      </c>
      <c r="K854" s="56" t="inlineStr">
        <is>
          <t>account data velocity</t>
        </is>
      </c>
      <c r="L854" s="58" t="n">
        <v>2.5897</v>
      </c>
      <c r="M854" s="56" t="inlineStr">
        <is>
          <t>own BFCM 2025 lift (account data)</t>
        </is>
      </c>
      <c r="N854" s="59">
        <f>J854*34+J854*L854*12</f>
        <v/>
      </c>
      <c r="O854" s="59">
        <f>MAX(0,N854-G854-H854)</f>
        <v/>
      </c>
      <c r="P854" s="60">
        <f>IF(J854=0,"",IF(G854&lt;J854*34,DATE(2026,10,15)+G854/J854,IF(G854&lt;N854,DATE(2026,11,18)+(G854-J854*34)/(J854*L854),"after Nov 30")))</f>
        <v/>
      </c>
      <c r="Q854" s="60">
        <f>IF(J854=0,"",IF(G854+H854&lt;J854*34,DATE(2026,10,15)+(G854+H854)/J854,IF(G854+H854&lt;N854,DATE(2026,11,18)+(G854+H854-J854*34)/(J854*L854),"after Nov 30")))</f>
        <v/>
      </c>
      <c r="R854" s="54">
        <f>IF(AND(G854&lt;=0,J854&gt;0),"Out of stock now",IF(G854&gt;=N854,"Covered to Nov 30",IF(G854+H854&gt;=N854,"Needs inbound in time","Short even with inbound")))</f>
        <v/>
      </c>
      <c r="S854" s="57" t="n">
        <v>0.429</v>
      </c>
      <c r="T854" s="59">
        <f>IF(S854="","",S854*34+S854*L854*12)</f>
        <v/>
      </c>
    </row>
    <row r="855">
      <c r="A855" s="54" t="inlineStr">
        <is>
          <t>US SSS4</t>
        </is>
      </c>
      <c r="B855" s="54" t="inlineStr">
        <is>
          <t>US</t>
        </is>
      </c>
      <c r="C855" s="54" t="inlineStr">
        <is>
          <t>B0DDRF1Z4N</t>
        </is>
      </c>
      <c r="D855" s="54" t="inlineStr">
        <is>
          <t>SS-SATIN-TAUPE-KING-4PCS</t>
        </is>
      </c>
      <c r="E855" s="54" t="inlineStr">
        <is>
          <t>King</t>
        </is>
      </c>
      <c r="F855" s="54" t="inlineStr">
        <is>
          <t>Taupe</t>
        </is>
      </c>
      <c r="G855" s="55" t="n">
        <v>165</v>
      </c>
      <c r="H855" s="55" t="n">
        <v>6</v>
      </c>
      <c r="I855" s="56" t="inlineStr">
        <is>
          <t>FBA19KFX24C6 delivered: 6</t>
        </is>
      </c>
      <c r="J855" s="57" t="n">
        <v>0.42</v>
      </c>
      <c r="K855" s="56" t="inlineStr">
        <is>
          <t>account data velocity</t>
        </is>
      </c>
      <c r="L855" s="58" t="n">
        <v>2.5897</v>
      </c>
      <c r="M855" s="56" t="inlineStr">
        <is>
          <t>own BFCM 2025 lift (account data)</t>
        </is>
      </c>
      <c r="N855" s="59">
        <f>J855*34+J855*L855*12</f>
        <v/>
      </c>
      <c r="O855" s="59">
        <f>MAX(0,N855-G855-H855)</f>
        <v/>
      </c>
      <c r="P855" s="60">
        <f>IF(J855=0,"",IF(G855&lt;J855*34,DATE(2026,10,15)+G855/J855,IF(G855&lt;N855,DATE(2026,11,18)+(G855-J855*34)/(J855*L855),"after Nov 30")))</f>
        <v/>
      </c>
      <c r="Q855" s="60">
        <f>IF(J855=0,"",IF(G855+H855&lt;J855*34,DATE(2026,10,15)+(G855+H855)/J855,IF(G855+H855&lt;N855,DATE(2026,11,18)+(G855+H855-J855*34)/(J855*L855),"after Nov 30")))</f>
        <v/>
      </c>
      <c r="R855" s="54">
        <f>IF(AND(G855&lt;=0,J855&gt;0),"Out of stock now",IF(G855&gt;=N855,"Covered to Nov 30",IF(G855+H855&gt;=N855,"Needs inbound in time","Short even with inbound")))</f>
        <v/>
      </c>
      <c r="S855" s="57" t="n">
        <v>0.393</v>
      </c>
      <c r="T855" s="59">
        <f>IF(S855="","",S855*34+S855*L855*12)</f>
        <v/>
      </c>
    </row>
    <row r="856">
      <c r="A856" s="54" t="inlineStr">
        <is>
          <t>US SSS4</t>
        </is>
      </c>
      <c r="B856" s="54" t="inlineStr">
        <is>
          <t>US</t>
        </is>
      </c>
      <c r="C856" s="54" t="inlineStr">
        <is>
          <t>B0DDRBX7CN</t>
        </is>
      </c>
      <c r="D856" s="54" t="inlineStr">
        <is>
          <t>SS-SATIN-BLUE-KING-4PCS</t>
        </is>
      </c>
      <c r="E856" s="54" t="inlineStr">
        <is>
          <t>King</t>
        </is>
      </c>
      <c r="F856" s="54" t="inlineStr">
        <is>
          <t>Blue</t>
        </is>
      </c>
      <c r="G856" s="55" t="n">
        <v>159</v>
      </c>
      <c r="H856" s="55" t="n">
        <v>12</v>
      </c>
      <c r="I856" s="56" t="inlineStr">
        <is>
          <t>FBA19KFX24C6 delivered: 12</t>
        </is>
      </c>
      <c r="J856" s="57" t="n">
        <v>0.4</v>
      </c>
      <c r="K856" s="56" t="inlineStr">
        <is>
          <t>account data velocity</t>
        </is>
      </c>
      <c r="L856" s="58" t="n">
        <v>2.5897</v>
      </c>
      <c r="M856" s="56" t="inlineStr">
        <is>
          <t>own BFCM 2025 lift (account data)</t>
        </is>
      </c>
      <c r="N856" s="59">
        <f>J856*34+J856*L856*12</f>
        <v/>
      </c>
      <c r="O856" s="59">
        <f>MAX(0,N856-G856-H856)</f>
        <v/>
      </c>
      <c r="P856" s="60">
        <f>IF(J856=0,"",IF(G856&lt;J856*34,DATE(2026,10,15)+G856/J856,IF(G856&lt;N856,DATE(2026,11,18)+(G856-J856*34)/(J856*L856),"after Nov 30")))</f>
        <v/>
      </c>
      <c r="Q856" s="60">
        <f>IF(J856=0,"",IF(G856+H856&lt;J856*34,DATE(2026,10,15)+(G856+H856)/J856,IF(G856+H856&lt;N856,DATE(2026,11,18)+(G856+H856-J856*34)/(J856*L856),"after Nov 30")))</f>
        <v/>
      </c>
      <c r="R856" s="54">
        <f>IF(AND(G856&lt;=0,J856&gt;0),"Out of stock now",IF(G856&gt;=N856,"Covered to Nov 30",IF(G856+H856&gt;=N856,"Needs inbound in time","Short even with inbound")))</f>
        <v/>
      </c>
      <c r="S856" s="57" t="n">
        <v>0.357</v>
      </c>
      <c r="T856" s="59">
        <f>IF(S856="","",S856*34+S856*L856*12)</f>
        <v/>
      </c>
    </row>
    <row r="857">
      <c r="A857" s="54" t="inlineStr">
        <is>
          <t>US SSS4</t>
        </is>
      </c>
      <c r="B857" s="54" t="inlineStr">
        <is>
          <t>US</t>
        </is>
      </c>
      <c r="C857" s="54" t="inlineStr">
        <is>
          <t>B0DDR3RYKF</t>
        </is>
      </c>
      <c r="D857" s="54" t="inlineStr">
        <is>
          <t>SS-SATIN-STRIPED-BLACK-TWIN-3PCS</t>
        </is>
      </c>
      <c r="E857" s="54" t="inlineStr">
        <is>
          <t>Twin</t>
        </is>
      </c>
      <c r="F857" s="54" t="inlineStr">
        <is>
          <t>Striped Black</t>
        </is>
      </c>
      <c r="G857" s="55" t="n">
        <v>0</v>
      </c>
      <c r="H857" s="55" t="n">
        <v>0</v>
      </c>
      <c r="I857" s="56" t="n"/>
      <c r="J857" s="57" t="n">
        <v>0.4</v>
      </c>
      <c r="K857" s="56" t="inlineStr">
        <is>
          <t>account data velocity</t>
        </is>
      </c>
      <c r="L857" s="58" t="n">
        <v>2.5897</v>
      </c>
      <c r="M857" s="56" t="inlineStr">
        <is>
          <t>own BFCM 2025 lift (account data)</t>
        </is>
      </c>
      <c r="N857" s="59">
        <f>J857*34+J857*L857*12</f>
        <v/>
      </c>
      <c r="O857" s="59">
        <f>MAX(0,N857-G857-H857)</f>
        <v/>
      </c>
      <c r="P857" s="60">
        <f>IF(J857=0,"",IF(G857&lt;J857*34,DATE(2026,10,15)+G857/J857,IF(G857&lt;N857,DATE(2026,11,18)+(G857-J857*34)/(J857*L857),"after Nov 30")))</f>
        <v/>
      </c>
      <c r="Q857" s="60">
        <f>IF(J857=0,"",IF(G857+H857&lt;J857*34,DATE(2026,10,15)+(G857+H857)/J857,IF(G857+H857&lt;N857,DATE(2026,11,18)+(G857+H857-J857*34)/(J857*L857),"after Nov 30")))</f>
        <v/>
      </c>
      <c r="R857" s="54">
        <f>IF(AND(G857&lt;=0,J857&gt;0),"Out of stock now",IF(G857&gt;=N857,"Covered to Nov 30",IF(G857+H857&gt;=N857,"Needs inbound in time","Short even with inbound")))</f>
        <v/>
      </c>
      <c r="S857" s="57" t="n"/>
      <c r="T857" s="59">
        <f>IF(S857="","",S857*34+S857*L857*12)</f>
        <v/>
      </c>
    </row>
    <row r="858">
      <c r="A858" s="54" t="inlineStr">
        <is>
          <t>US SSS4</t>
        </is>
      </c>
      <c r="B858" s="54" t="inlineStr">
        <is>
          <t>US</t>
        </is>
      </c>
      <c r="C858" s="54" t="inlineStr">
        <is>
          <t>B0DDQZG4MQ</t>
        </is>
      </c>
      <c r="D858" s="54" t="inlineStr">
        <is>
          <t>SS-SATIN-PINK-FULL-4PCS</t>
        </is>
      </c>
      <c r="E858" s="54" t="inlineStr">
        <is>
          <t>Full</t>
        </is>
      </c>
      <c r="F858" s="54" t="inlineStr">
        <is>
          <t>Pink</t>
        </is>
      </c>
      <c r="G858" s="55" t="n">
        <v>76</v>
      </c>
      <c r="H858" s="55" t="n">
        <v>0</v>
      </c>
      <c r="I858" s="56" t="n"/>
      <c r="J858" s="57" t="n">
        <v>0.38</v>
      </c>
      <c r="K858" s="56" t="inlineStr">
        <is>
          <t>account data velocity</t>
        </is>
      </c>
      <c r="L858" s="58" t="n">
        <v>2.5897</v>
      </c>
      <c r="M858" s="56" t="inlineStr">
        <is>
          <t>own BFCM 2025 lift (account data)</t>
        </is>
      </c>
      <c r="N858" s="59">
        <f>J858*34+J858*L858*12</f>
        <v/>
      </c>
      <c r="O858" s="59">
        <f>MAX(0,N858-G858-H858)</f>
        <v/>
      </c>
      <c r="P858" s="60">
        <f>IF(J858=0,"",IF(G858&lt;J858*34,DATE(2026,10,15)+G858/J858,IF(G858&lt;N858,DATE(2026,11,18)+(G858-J858*34)/(J858*L858),"after Nov 30")))</f>
        <v/>
      </c>
      <c r="Q858" s="60">
        <f>IF(J858=0,"",IF(G858+H858&lt;J858*34,DATE(2026,10,15)+(G858+H858)/J858,IF(G858+H858&lt;N858,DATE(2026,11,18)+(G858+H858-J858*34)/(J858*L858),"after Nov 30")))</f>
        <v/>
      </c>
      <c r="R858" s="54">
        <f>IF(AND(G858&lt;=0,J858&gt;0),"Out of stock now",IF(G858&gt;=N858,"Covered to Nov 30",IF(G858+H858&gt;=N858,"Needs inbound in time","Short even with inbound")))</f>
        <v/>
      </c>
      <c r="S858" s="57" t="n">
        <v>0.286</v>
      </c>
      <c r="T858" s="59">
        <f>IF(S858="","",S858*34+S858*L858*12)</f>
        <v/>
      </c>
    </row>
    <row r="859">
      <c r="A859" s="54" t="inlineStr">
        <is>
          <t>US SSS4</t>
        </is>
      </c>
      <c r="B859" s="54" t="inlineStr">
        <is>
          <t>US</t>
        </is>
      </c>
      <c r="C859" s="54" t="inlineStr">
        <is>
          <t>B0DDR4V4XB</t>
        </is>
      </c>
      <c r="D859" s="54" t="inlineStr">
        <is>
          <t>SS-SATIN-TAUPE-QUEEN-4PCS</t>
        </is>
      </c>
      <c r="E859" s="54" t="inlineStr">
        <is>
          <t>Queen</t>
        </is>
      </c>
      <c r="F859" s="54" t="inlineStr">
        <is>
          <t>Taupe</t>
        </is>
      </c>
      <c r="G859" s="55" t="n">
        <v>132</v>
      </c>
      <c r="H859" s="55" t="n">
        <v>0</v>
      </c>
      <c r="I859" s="56" t="n"/>
      <c r="J859" s="57" t="n">
        <v>0.38</v>
      </c>
      <c r="K859" s="56" t="inlineStr">
        <is>
          <t>account data velocity</t>
        </is>
      </c>
      <c r="L859" s="58" t="n">
        <v>2.5897</v>
      </c>
      <c r="M859" s="56" t="inlineStr">
        <is>
          <t>own BFCM 2025 lift (account data)</t>
        </is>
      </c>
      <c r="N859" s="59">
        <f>J859*34+J859*L859*12</f>
        <v/>
      </c>
      <c r="O859" s="59">
        <f>MAX(0,N859-G859-H859)</f>
        <v/>
      </c>
      <c r="P859" s="60">
        <f>IF(J859=0,"",IF(G859&lt;J859*34,DATE(2026,10,15)+G859/J859,IF(G859&lt;N859,DATE(2026,11,18)+(G859-J859*34)/(J859*L859),"after Nov 30")))</f>
        <v/>
      </c>
      <c r="Q859" s="60">
        <f>IF(J859=0,"",IF(G859+H859&lt;J859*34,DATE(2026,10,15)+(G859+H859)/J859,IF(G859+H859&lt;N859,DATE(2026,11,18)+(G859+H859-J859*34)/(J859*L859),"after Nov 30")))</f>
        <v/>
      </c>
      <c r="R859" s="54">
        <f>IF(AND(G859&lt;=0,J859&gt;0),"Out of stock now",IF(G859&gt;=N859,"Covered to Nov 30",IF(G859+H859&gt;=N859,"Needs inbound in time","Short even with inbound")))</f>
        <v/>
      </c>
      <c r="S859" s="57" t="n">
        <v>0.25</v>
      </c>
      <c r="T859" s="59">
        <f>IF(S859="","",S859*34+S859*L859*12)</f>
        <v/>
      </c>
    </row>
    <row r="860">
      <c r="A860" s="54" t="inlineStr">
        <is>
          <t>US SSS4</t>
        </is>
      </c>
      <c r="B860" s="54" t="inlineStr">
        <is>
          <t>US</t>
        </is>
      </c>
      <c r="C860" s="54" t="inlineStr">
        <is>
          <t>B0DDRHYXFM</t>
        </is>
      </c>
      <c r="D860" s="54" t="inlineStr">
        <is>
          <t>SS-SATIN-STRIPED-GREY-KING-4PCS</t>
        </is>
      </c>
      <c r="E860" s="54" t="inlineStr">
        <is>
          <t>King</t>
        </is>
      </c>
      <c r="F860" s="54" t="inlineStr">
        <is>
          <t>Striped Grey</t>
        </is>
      </c>
      <c r="G860" s="55" t="n">
        <v>117</v>
      </c>
      <c r="H860" s="55" t="n">
        <v>0</v>
      </c>
      <c r="I860" s="56" t="n"/>
      <c r="J860" s="57" t="n">
        <v>0.36</v>
      </c>
      <c r="K860" s="56" t="inlineStr">
        <is>
          <t>account data velocity</t>
        </is>
      </c>
      <c r="L860" s="58" t="n">
        <v>2.5897</v>
      </c>
      <c r="M860" s="56" t="inlineStr">
        <is>
          <t>own BFCM 2025 lift (account data)</t>
        </is>
      </c>
      <c r="N860" s="59">
        <f>J860*34+J860*L860*12</f>
        <v/>
      </c>
      <c r="O860" s="59">
        <f>MAX(0,N860-G860-H860)</f>
        <v/>
      </c>
      <c r="P860" s="60">
        <f>IF(J860=0,"",IF(G860&lt;J860*34,DATE(2026,10,15)+G860/J860,IF(G860&lt;N860,DATE(2026,11,18)+(G860-J860*34)/(J860*L860),"after Nov 30")))</f>
        <v/>
      </c>
      <c r="Q860" s="60">
        <f>IF(J860=0,"",IF(G860+H860&lt;J860*34,DATE(2026,10,15)+(G860+H860)/J860,IF(G860+H860&lt;N860,DATE(2026,11,18)+(G860+H860-J860*34)/(J860*L860),"after Nov 30")))</f>
        <v/>
      </c>
      <c r="R860" s="54">
        <f>IF(AND(G860&lt;=0,J860&gt;0),"Out of stock now",IF(G860&gt;=N860,"Covered to Nov 30",IF(G860+H860&gt;=N860,"Needs inbound in time","Short even with inbound")))</f>
        <v/>
      </c>
      <c r="S860" s="57" t="n">
        <v>0.25</v>
      </c>
      <c r="T860" s="59">
        <f>IF(S860="","",S860*34+S860*L860*12)</f>
        <v/>
      </c>
    </row>
    <row r="861">
      <c r="A861" s="54" t="inlineStr">
        <is>
          <t>US SSS4</t>
        </is>
      </c>
      <c r="B861" s="54" t="inlineStr">
        <is>
          <t>US</t>
        </is>
      </c>
      <c r="C861" s="54" t="inlineStr">
        <is>
          <t>B0DDRF2M6S</t>
        </is>
      </c>
      <c r="D861" s="54" t="inlineStr">
        <is>
          <t>SS-SATIN-SAGE-GREEN-FULL-4PCS</t>
        </is>
      </c>
      <c r="E861" s="54" t="inlineStr">
        <is>
          <t>Full</t>
        </is>
      </c>
      <c r="F861" s="54" t="inlineStr">
        <is>
          <t>Sage Green</t>
        </is>
      </c>
      <c r="G861" s="55" t="n">
        <v>11</v>
      </c>
      <c r="H861" s="55" t="n">
        <v>48</v>
      </c>
      <c r="I861" s="56" t="inlineStr">
        <is>
          <t>FBA19RS1HC4F shipped: 12; FBA19RRY6QFT shipped: 6; FBA19RS0N5K2 shipped: 6; FBA19RRYCGHJ shipped: 12; FBA19RRY5FBL shipped: 12</t>
        </is>
      </c>
      <c r="J861" s="57" t="n">
        <v>0.33</v>
      </c>
      <c r="K861" s="56" t="inlineStr">
        <is>
          <t>account data velocity</t>
        </is>
      </c>
      <c r="L861" s="58" t="n">
        <v>2.5897</v>
      </c>
      <c r="M861" s="56" t="inlineStr">
        <is>
          <t>own BFCM 2025 lift (account data)</t>
        </is>
      </c>
      <c r="N861" s="59">
        <f>J861*34+J861*L861*12</f>
        <v/>
      </c>
      <c r="O861" s="59">
        <f>MAX(0,N861-G861-H861)</f>
        <v/>
      </c>
      <c r="P861" s="60">
        <f>IF(J861=0,"",IF(G861&lt;J861*34,DATE(2026,10,15)+G861/J861,IF(G861&lt;N861,DATE(2026,11,18)+(G861-J861*34)/(J861*L861),"after Nov 30")))</f>
        <v/>
      </c>
      <c r="Q861" s="60">
        <f>IF(J861=0,"",IF(G861+H861&lt;J861*34,DATE(2026,10,15)+(G861+H861)/J861,IF(G861+H861&lt;N861,DATE(2026,11,18)+(G861+H861-J861*34)/(J861*L861),"after Nov 30")))</f>
        <v/>
      </c>
      <c r="R861" s="54">
        <f>IF(AND(G861&lt;=0,J861&gt;0),"Out of stock now",IF(G861&gt;=N861,"Covered to Nov 30",IF(G861+H861&gt;=N861,"Needs inbound in time","Short even with inbound")))</f>
        <v/>
      </c>
      <c r="S861" s="57" t="n">
        <v>0.143</v>
      </c>
      <c r="T861" s="59">
        <f>IF(S861="","",S861*34+S861*L861*12)</f>
        <v/>
      </c>
    </row>
    <row r="862">
      <c r="A862" s="54" t="inlineStr">
        <is>
          <t>US SSS4</t>
        </is>
      </c>
      <c r="B862" s="54" t="inlineStr">
        <is>
          <t>US</t>
        </is>
      </c>
      <c r="C862" s="54" t="inlineStr">
        <is>
          <t>B0DDRF88H4</t>
        </is>
      </c>
      <c r="D862" s="54" t="inlineStr">
        <is>
          <t>SS-SATIN-NAVY-BLUE-FULL-4PCS</t>
        </is>
      </c>
      <c r="E862" s="54" t="inlineStr">
        <is>
          <t>Full</t>
        </is>
      </c>
      <c r="F862" s="54" t="inlineStr">
        <is>
          <t>Navy Blue</t>
        </is>
      </c>
      <c r="G862" s="55" t="n">
        <v>42</v>
      </c>
      <c r="H862" s="55" t="n">
        <v>6</v>
      </c>
      <c r="I862" s="56" t="inlineStr">
        <is>
          <t>FBA19N7XSBR9 in transit: 6</t>
        </is>
      </c>
      <c r="J862" s="57" t="n">
        <v>0.29</v>
      </c>
      <c r="K862" s="56" t="inlineStr">
        <is>
          <t>account data velocity</t>
        </is>
      </c>
      <c r="L862" s="58" t="n">
        <v>2.5897</v>
      </c>
      <c r="M862" s="56" t="inlineStr">
        <is>
          <t>own BFCM 2025 lift (account data)</t>
        </is>
      </c>
      <c r="N862" s="59">
        <f>J862*34+J862*L862*12</f>
        <v/>
      </c>
      <c r="O862" s="59">
        <f>MAX(0,N862-G862-H862)</f>
        <v/>
      </c>
      <c r="P862" s="60">
        <f>IF(J862=0,"",IF(G862&lt;J862*34,DATE(2026,10,15)+G862/J862,IF(G862&lt;N862,DATE(2026,11,18)+(G862-J862*34)/(J862*L862),"after Nov 30")))</f>
        <v/>
      </c>
      <c r="Q862" s="60">
        <f>IF(J862=0,"",IF(G862+H862&lt;J862*34,DATE(2026,10,15)+(G862+H862)/J862,IF(G862+H862&lt;N862,DATE(2026,11,18)+(G862+H862-J862*34)/(J862*L862),"after Nov 30")))</f>
        <v/>
      </c>
      <c r="R862" s="54">
        <f>IF(AND(G862&lt;=0,J862&gt;0),"Out of stock now",IF(G862&gt;=N862,"Covered to Nov 30",IF(G862+H862&gt;=N862,"Needs inbound in time","Short even with inbound")))</f>
        <v/>
      </c>
      <c r="S862" s="57" t="n">
        <v>0.321</v>
      </c>
      <c r="T862" s="59">
        <f>IF(S862="","",S862*34+S862*L862*12)</f>
        <v/>
      </c>
    </row>
    <row r="863">
      <c r="A863" s="54" t="inlineStr">
        <is>
          <t>US SSS4</t>
        </is>
      </c>
      <c r="B863" s="54" t="inlineStr">
        <is>
          <t>US</t>
        </is>
      </c>
      <c r="C863" s="54" t="inlineStr">
        <is>
          <t>B0DDRKMZ6G</t>
        </is>
      </c>
      <c r="D863" s="54" t="inlineStr">
        <is>
          <t>SS-SATIN-STRIPED-PINK-FULL-4PCS</t>
        </is>
      </c>
      <c r="E863" s="54" t="inlineStr">
        <is>
          <t>Full</t>
        </is>
      </c>
      <c r="F863" s="54" t="inlineStr">
        <is>
          <t>Striped Pink</t>
        </is>
      </c>
      <c r="G863" s="55" t="n">
        <v>9</v>
      </c>
      <c r="H863" s="55" t="n">
        <v>0</v>
      </c>
      <c r="I863" s="56" t="n"/>
      <c r="J863" s="57" t="n">
        <v>0.29</v>
      </c>
      <c r="K863" s="56" t="inlineStr">
        <is>
          <t>account data velocity</t>
        </is>
      </c>
      <c r="L863" s="58" t="n">
        <v>2.5897</v>
      </c>
      <c r="M863" s="56" t="inlineStr">
        <is>
          <t>own BFCM 2025 lift (account data)</t>
        </is>
      </c>
      <c r="N863" s="59">
        <f>J863*34+J863*L863*12</f>
        <v/>
      </c>
      <c r="O863" s="59">
        <f>MAX(0,N863-G863-H863)</f>
        <v/>
      </c>
      <c r="P863" s="60">
        <f>IF(J863=0,"",IF(G863&lt;J863*34,DATE(2026,10,15)+G863/J863,IF(G863&lt;N863,DATE(2026,11,18)+(G863-J863*34)/(J863*L863),"after Nov 30")))</f>
        <v/>
      </c>
      <c r="Q863" s="60">
        <f>IF(J863=0,"",IF(G863+H863&lt;J863*34,DATE(2026,10,15)+(G863+H863)/J863,IF(G863+H863&lt;N863,DATE(2026,11,18)+(G863+H863-J863*34)/(J863*L863),"after Nov 30")))</f>
        <v/>
      </c>
      <c r="R863" s="54">
        <f>IF(AND(G863&lt;=0,J863&gt;0),"Out of stock now",IF(G863&gt;=N863,"Covered to Nov 30",IF(G863+H863&gt;=N863,"Needs inbound in time","Short even with inbound")))</f>
        <v/>
      </c>
      <c r="S863" s="57" t="n">
        <v>0.107</v>
      </c>
      <c r="T863" s="59">
        <f>IF(S863="","",S863*34+S863*L863*12)</f>
        <v/>
      </c>
    </row>
    <row r="864">
      <c r="A864" s="54" t="inlineStr">
        <is>
          <t>US SSS4</t>
        </is>
      </c>
      <c r="B864" s="54" t="inlineStr">
        <is>
          <t>US</t>
        </is>
      </c>
      <c r="C864" s="54" t="inlineStr">
        <is>
          <t>B0DDR5CHW7</t>
        </is>
      </c>
      <c r="D864" s="54" t="inlineStr">
        <is>
          <t>SS-SATIN-CHAMPAGNE-FULL-4PCS</t>
        </is>
      </c>
      <c r="E864" s="54" t="inlineStr">
        <is>
          <t>Full</t>
        </is>
      </c>
      <c r="F864" s="54" t="inlineStr">
        <is>
          <t>Champagne</t>
        </is>
      </c>
      <c r="G864" s="55" t="n">
        <v>18</v>
      </c>
      <c r="H864" s="55" t="n">
        <v>0</v>
      </c>
      <c r="I864" s="56" t="n"/>
      <c r="J864" s="57" t="n">
        <v>0.26</v>
      </c>
      <c r="K864" s="56" t="inlineStr">
        <is>
          <t>account data velocity</t>
        </is>
      </c>
      <c r="L864" s="58" t="n">
        <v>2.5897</v>
      </c>
      <c r="M864" s="56" t="inlineStr">
        <is>
          <t>own BFCM 2025 lift (account data)</t>
        </is>
      </c>
      <c r="N864" s="59">
        <f>J864*34+J864*L864*12</f>
        <v/>
      </c>
      <c r="O864" s="59">
        <f>MAX(0,N864-G864-H864)</f>
        <v/>
      </c>
      <c r="P864" s="60">
        <f>IF(J864=0,"",IF(G864&lt;J864*34,DATE(2026,10,15)+G864/J864,IF(G864&lt;N864,DATE(2026,11,18)+(G864-J864*34)/(J864*L864),"after Nov 30")))</f>
        <v/>
      </c>
      <c r="Q864" s="60">
        <f>IF(J864=0,"",IF(G864+H864&lt;J864*34,DATE(2026,10,15)+(G864+H864)/J864,IF(G864+H864&lt;N864,DATE(2026,11,18)+(G864+H864-J864*34)/(J864*L864),"after Nov 30")))</f>
        <v/>
      </c>
      <c r="R864" s="54">
        <f>IF(AND(G864&lt;=0,J864&gt;0),"Out of stock now",IF(G864&gt;=N864,"Covered to Nov 30",IF(G864+H864&gt;=N864,"Needs inbound in time","Short even with inbound")))</f>
        <v/>
      </c>
      <c r="S864" s="57" t="n">
        <v>0.107</v>
      </c>
      <c r="T864" s="59">
        <f>IF(S864="","",S864*34+S864*L864*12)</f>
        <v/>
      </c>
    </row>
    <row r="865">
      <c r="A865" s="54" t="inlineStr">
        <is>
          <t>US SSS4</t>
        </is>
      </c>
      <c r="B865" s="54" t="inlineStr">
        <is>
          <t>US</t>
        </is>
      </c>
      <c r="C865" s="54" t="inlineStr">
        <is>
          <t>B0DDQVBL24</t>
        </is>
      </c>
      <c r="D865" s="54" t="inlineStr">
        <is>
          <t>SS-SATIN-STONE-GREY-TWIN-3PCS</t>
        </is>
      </c>
      <c r="E865" s="54" t="inlineStr">
        <is>
          <t>Twin</t>
        </is>
      </c>
      <c r="F865" s="54" t="inlineStr">
        <is>
          <t>Stone Grey</t>
        </is>
      </c>
      <c r="G865" s="55" t="n">
        <v>15</v>
      </c>
      <c r="H865" s="55" t="n">
        <v>0</v>
      </c>
      <c r="I865" s="56" t="n"/>
      <c r="J865" s="57" t="n">
        <v>0.25</v>
      </c>
      <c r="K865" s="56" t="inlineStr">
        <is>
          <t>account data velocity</t>
        </is>
      </c>
      <c r="L865" s="58" t="n">
        <v>2.5897</v>
      </c>
      <c r="M865" s="56" t="inlineStr">
        <is>
          <t>own BFCM 2025 lift (account data)</t>
        </is>
      </c>
      <c r="N865" s="59">
        <f>J865*34+J865*L865*12</f>
        <v/>
      </c>
      <c r="O865" s="59">
        <f>MAX(0,N865-G865-H865)</f>
        <v/>
      </c>
      <c r="P865" s="60">
        <f>IF(J865=0,"",IF(G865&lt;J865*34,DATE(2026,10,15)+G865/J865,IF(G865&lt;N865,DATE(2026,11,18)+(G865-J865*34)/(J865*L865),"after Nov 30")))</f>
        <v/>
      </c>
      <c r="Q865" s="60">
        <f>IF(J865=0,"",IF(G865+H865&lt;J865*34,DATE(2026,10,15)+(G865+H865)/J865,IF(G865+H865&lt;N865,DATE(2026,11,18)+(G865+H865-J865*34)/(J865*L865),"after Nov 30")))</f>
        <v/>
      </c>
      <c r="R865" s="54">
        <f>IF(AND(G865&lt;=0,J865&gt;0),"Out of stock now",IF(G865&gt;=N865,"Covered to Nov 30",IF(G865+H865&gt;=N865,"Needs inbound in time","Short even with inbound")))</f>
        <v/>
      </c>
      <c r="S865" s="57" t="n">
        <v>0.036</v>
      </c>
      <c r="T865" s="59">
        <f>IF(S865="","",S865*34+S865*L865*12)</f>
        <v/>
      </c>
    </row>
    <row r="866">
      <c r="A866" s="54" t="inlineStr">
        <is>
          <t>US SSS4</t>
        </is>
      </c>
      <c r="B866" s="54" t="inlineStr">
        <is>
          <t>US</t>
        </is>
      </c>
      <c r="C866" s="54" t="inlineStr">
        <is>
          <t>B0DDQX418B</t>
        </is>
      </c>
      <c r="D866" s="54" t="inlineStr">
        <is>
          <t>SS-SATIN-STRIPED-PINK-TWIN-3PCS</t>
        </is>
      </c>
      <c r="E866" s="54" t="inlineStr">
        <is>
          <t>Twin</t>
        </is>
      </c>
      <c r="F866" s="54" t="inlineStr">
        <is>
          <t>Striped Pink</t>
        </is>
      </c>
      <c r="G866" s="55" t="n">
        <v>30</v>
      </c>
      <c r="H866" s="55" t="n">
        <v>0</v>
      </c>
      <c r="I866" s="56" t="n"/>
      <c r="J866" s="57" t="n">
        <v>0.24</v>
      </c>
      <c r="K866" s="56" t="inlineStr">
        <is>
          <t>account data velocity</t>
        </is>
      </c>
      <c r="L866" s="58" t="n">
        <v>2.5897</v>
      </c>
      <c r="M866" s="56" t="inlineStr">
        <is>
          <t>own BFCM 2025 lift (account data)</t>
        </is>
      </c>
      <c r="N866" s="59">
        <f>J866*34+J866*L866*12</f>
        <v/>
      </c>
      <c r="O866" s="59">
        <f>MAX(0,N866-G866-H866)</f>
        <v/>
      </c>
      <c r="P866" s="60">
        <f>IF(J866=0,"",IF(G866&lt;J866*34,DATE(2026,10,15)+G866/J866,IF(G866&lt;N866,DATE(2026,11,18)+(G866-J866*34)/(J866*L866),"after Nov 30")))</f>
        <v/>
      </c>
      <c r="Q866" s="60">
        <f>IF(J866=0,"",IF(G866+H866&lt;J866*34,DATE(2026,10,15)+(G866+H866)/J866,IF(G866+H866&lt;N866,DATE(2026,11,18)+(G866+H866-J866*34)/(J866*L866),"after Nov 30")))</f>
        <v/>
      </c>
      <c r="R866" s="54">
        <f>IF(AND(G866&lt;=0,J866&gt;0),"Out of stock now",IF(G866&gt;=N866,"Covered to Nov 30",IF(G866+H866&gt;=N866,"Needs inbound in time","Short even with inbound")))</f>
        <v/>
      </c>
      <c r="S866" s="57" t="n">
        <v>0.07099999999999999</v>
      </c>
      <c r="T866" s="59">
        <f>IF(S866="","",S866*34+S866*L866*12)</f>
        <v/>
      </c>
    </row>
    <row r="867">
      <c r="A867" s="54" t="inlineStr">
        <is>
          <t>US SSS4</t>
        </is>
      </c>
      <c r="B867" s="54" t="inlineStr">
        <is>
          <t>US</t>
        </is>
      </c>
      <c r="C867" s="54" t="inlineStr">
        <is>
          <t>B0DDR6G4WJ</t>
        </is>
      </c>
      <c r="D867" s="54" t="inlineStr">
        <is>
          <t>SS-SATIN-TAUPE-FULL-4PCS</t>
        </is>
      </c>
      <c r="E867" s="54" t="inlineStr">
        <is>
          <t>Full</t>
        </is>
      </c>
      <c r="F867" s="54" t="inlineStr">
        <is>
          <t>Taupe</t>
        </is>
      </c>
      <c r="G867" s="55" t="n">
        <v>21</v>
      </c>
      <c r="H867" s="55" t="n">
        <v>0</v>
      </c>
      <c r="I867" s="56" t="n"/>
      <c r="J867" s="57" t="n">
        <v>0.24</v>
      </c>
      <c r="K867" s="56" t="inlineStr">
        <is>
          <t>account data velocity</t>
        </is>
      </c>
      <c r="L867" s="58" t="n">
        <v>2.5897</v>
      </c>
      <c r="M867" s="56" t="inlineStr">
        <is>
          <t>own BFCM 2025 lift (account data)</t>
        </is>
      </c>
      <c r="N867" s="59">
        <f>J867*34+J867*L867*12</f>
        <v/>
      </c>
      <c r="O867" s="59">
        <f>MAX(0,N867-G867-H867)</f>
        <v/>
      </c>
      <c r="P867" s="60">
        <f>IF(J867=0,"",IF(G867&lt;J867*34,DATE(2026,10,15)+G867/J867,IF(G867&lt;N867,DATE(2026,11,18)+(G867-J867*34)/(J867*L867),"after Nov 30")))</f>
        <v/>
      </c>
      <c r="Q867" s="60">
        <f>IF(J867=0,"",IF(G867+H867&lt;J867*34,DATE(2026,10,15)+(G867+H867)/J867,IF(G867+H867&lt;N867,DATE(2026,11,18)+(G867+H867-J867*34)/(J867*L867),"after Nov 30")))</f>
        <v/>
      </c>
      <c r="R867" s="54">
        <f>IF(AND(G867&lt;=0,J867&gt;0),"Out of stock now",IF(G867&gt;=N867,"Covered to Nov 30",IF(G867+H867&gt;=N867,"Needs inbound in time","Short even with inbound")))</f>
        <v/>
      </c>
      <c r="S867" s="57" t="n">
        <v>0</v>
      </c>
      <c r="T867" s="59">
        <f>IF(S867="","",S867*34+S867*L867*12)</f>
        <v/>
      </c>
    </row>
    <row r="868">
      <c r="A868" s="54" t="inlineStr">
        <is>
          <t>US SSS4</t>
        </is>
      </c>
      <c r="B868" s="54" t="inlineStr">
        <is>
          <t>US</t>
        </is>
      </c>
      <c r="C868" s="54" t="inlineStr">
        <is>
          <t>B0DDQQB8VY</t>
        </is>
      </c>
      <c r="D868" s="54" t="inlineStr">
        <is>
          <t>SS-SATIN-PINK-KING-4PCS</t>
        </is>
      </c>
      <c r="E868" s="54" t="inlineStr">
        <is>
          <t>King</t>
        </is>
      </c>
      <c r="F868" s="54" t="inlineStr">
        <is>
          <t>Pink</t>
        </is>
      </c>
      <c r="G868" s="55" t="n">
        <v>30</v>
      </c>
      <c r="H868" s="55" t="n">
        <v>0</v>
      </c>
      <c r="I868" s="56" t="n"/>
      <c r="J868" s="57" t="n">
        <v>0.23</v>
      </c>
      <c r="K868" s="56" t="inlineStr">
        <is>
          <t>account data velocity</t>
        </is>
      </c>
      <c r="L868" s="58" t="n">
        <v>2.5897</v>
      </c>
      <c r="M868" s="56" t="inlineStr">
        <is>
          <t>own BFCM 2025 lift (account data)</t>
        </is>
      </c>
      <c r="N868" s="59">
        <f>J868*34+J868*L868*12</f>
        <v/>
      </c>
      <c r="O868" s="59">
        <f>MAX(0,N868-G868-H868)</f>
        <v/>
      </c>
      <c r="P868" s="60">
        <f>IF(J868=0,"",IF(G868&lt;J868*34,DATE(2026,10,15)+G868/J868,IF(G868&lt;N868,DATE(2026,11,18)+(G868-J868*34)/(J868*L868),"after Nov 30")))</f>
        <v/>
      </c>
      <c r="Q868" s="60">
        <f>IF(J868=0,"",IF(G868+H868&lt;J868*34,DATE(2026,10,15)+(G868+H868)/J868,IF(G868+H868&lt;N868,DATE(2026,11,18)+(G868+H868-J868*34)/(J868*L868),"after Nov 30")))</f>
        <v/>
      </c>
      <c r="R868" s="54">
        <f>IF(AND(G868&lt;=0,J868&gt;0),"Out of stock now",IF(G868&gt;=N868,"Covered to Nov 30",IF(G868+H868&gt;=N868,"Needs inbound in time","Short even with inbound")))</f>
        <v/>
      </c>
      <c r="S868" s="57" t="n">
        <v>0.321</v>
      </c>
      <c r="T868" s="59">
        <f>IF(S868="","",S868*34+S868*L868*12)</f>
        <v/>
      </c>
    </row>
    <row r="869">
      <c r="A869" s="54" t="inlineStr">
        <is>
          <t>US SSS4</t>
        </is>
      </c>
      <c r="B869" s="54" t="inlineStr">
        <is>
          <t>US</t>
        </is>
      </c>
      <c r="C869" s="54" t="inlineStr">
        <is>
          <t>B0DDRD3S48</t>
        </is>
      </c>
      <c r="D869" s="54" t="inlineStr">
        <is>
          <t>SS-SATIN-DARK-GREEN-FULL-4PCS</t>
        </is>
      </c>
      <c r="E869" s="54" t="inlineStr">
        <is>
          <t>Full</t>
        </is>
      </c>
      <c r="F869" s="54" t="inlineStr">
        <is>
          <t>Dark Green</t>
        </is>
      </c>
      <c r="G869" s="55" t="n">
        <v>49</v>
      </c>
      <c r="H869" s="55" t="n">
        <v>0</v>
      </c>
      <c r="I869" s="56" t="n"/>
      <c r="J869" s="57" t="n">
        <v>0.23</v>
      </c>
      <c r="K869" s="56" t="inlineStr">
        <is>
          <t>account data velocity</t>
        </is>
      </c>
      <c r="L869" s="58" t="n">
        <v>2.5897</v>
      </c>
      <c r="M869" s="56" t="inlineStr">
        <is>
          <t>own BFCM 2025 lift (account data)</t>
        </is>
      </c>
      <c r="N869" s="59">
        <f>J869*34+J869*L869*12</f>
        <v/>
      </c>
      <c r="O869" s="59">
        <f>MAX(0,N869-G869-H869)</f>
        <v/>
      </c>
      <c r="P869" s="60">
        <f>IF(J869=0,"",IF(G869&lt;J869*34,DATE(2026,10,15)+G869/J869,IF(G869&lt;N869,DATE(2026,11,18)+(G869-J869*34)/(J869*L869),"after Nov 30")))</f>
        <v/>
      </c>
      <c r="Q869" s="60">
        <f>IF(J869=0,"",IF(G869+H869&lt;J869*34,DATE(2026,10,15)+(G869+H869)/J869,IF(G869+H869&lt;N869,DATE(2026,11,18)+(G869+H869-J869*34)/(J869*L869),"after Nov 30")))</f>
        <v/>
      </c>
      <c r="R869" s="54">
        <f>IF(AND(G869&lt;=0,J869&gt;0),"Out of stock now",IF(G869&gt;=N869,"Covered to Nov 30",IF(G869+H869&gt;=N869,"Needs inbound in time","Short even with inbound")))</f>
        <v/>
      </c>
      <c r="S869" s="57" t="n">
        <v>0.25</v>
      </c>
      <c r="T869" s="59">
        <f>IF(S869="","",S869*34+S869*L869*12)</f>
        <v/>
      </c>
    </row>
    <row r="870">
      <c r="A870" s="54" t="inlineStr">
        <is>
          <t>US SSS4</t>
        </is>
      </c>
      <c r="B870" s="54" t="inlineStr">
        <is>
          <t>US</t>
        </is>
      </c>
      <c r="C870" s="54" t="inlineStr">
        <is>
          <t>B0DDRKF8FG</t>
        </is>
      </c>
      <c r="D870" s="54" t="inlineStr">
        <is>
          <t>SS-SATIN-STRIPED-GREY-FULL-4PCS</t>
        </is>
      </c>
      <c r="E870" s="54" t="inlineStr">
        <is>
          <t>Full</t>
        </is>
      </c>
      <c r="F870" s="54" t="inlineStr">
        <is>
          <t>Striped Grey</t>
        </is>
      </c>
      <c r="G870" s="55" t="n">
        <v>0</v>
      </c>
      <c r="H870" s="55" t="n">
        <v>0</v>
      </c>
      <c r="I870" s="56" t="n"/>
      <c r="J870" s="57" t="n">
        <v>0.23</v>
      </c>
      <c r="K870" s="56" t="inlineStr">
        <is>
          <t>account data velocity</t>
        </is>
      </c>
      <c r="L870" s="58" t="n">
        <v>2.5897</v>
      </c>
      <c r="M870" s="56" t="inlineStr">
        <is>
          <t>own BFCM 2025 lift (account data)</t>
        </is>
      </c>
      <c r="N870" s="59">
        <f>J870*34+J870*L870*12</f>
        <v/>
      </c>
      <c r="O870" s="59">
        <f>MAX(0,N870-G870-H870)</f>
        <v/>
      </c>
      <c r="P870" s="60">
        <f>IF(J870=0,"",IF(G870&lt;J870*34,DATE(2026,10,15)+G870/J870,IF(G870&lt;N870,DATE(2026,11,18)+(G870-J870*34)/(J870*L870),"after Nov 30")))</f>
        <v/>
      </c>
      <c r="Q870" s="60">
        <f>IF(J870=0,"",IF(G870+H870&lt;J870*34,DATE(2026,10,15)+(G870+H870)/J870,IF(G870+H870&lt;N870,DATE(2026,11,18)+(G870+H870-J870*34)/(J870*L870),"after Nov 30")))</f>
        <v/>
      </c>
      <c r="R870" s="54">
        <f>IF(AND(G870&lt;=0,J870&gt;0),"Out of stock now",IF(G870&gt;=N870,"Covered to Nov 30",IF(G870+H870&gt;=N870,"Needs inbound in time","Short even with inbound")))</f>
        <v/>
      </c>
      <c r="S870" s="57" t="n">
        <v>0.07099999999999999</v>
      </c>
      <c r="T870" s="59">
        <f>IF(S870="","",S870*34+S870*L870*12)</f>
        <v/>
      </c>
    </row>
    <row r="871">
      <c r="A871" s="54" t="inlineStr">
        <is>
          <t>US SSS4</t>
        </is>
      </c>
      <c r="B871" s="54" t="inlineStr">
        <is>
          <t>US</t>
        </is>
      </c>
      <c r="C871" s="54" t="inlineStr">
        <is>
          <t>B0DDRDMJCT</t>
        </is>
      </c>
      <c r="D871" s="54" t="inlineStr">
        <is>
          <t>SS-SATIN-STRIPED-RED-KING-4PCS</t>
        </is>
      </c>
      <c r="E871" s="54" t="inlineStr">
        <is>
          <t>King</t>
        </is>
      </c>
      <c r="F871" s="54" t="inlineStr">
        <is>
          <t>Striped Red</t>
        </is>
      </c>
      <c r="G871" s="55" t="n">
        <v>22</v>
      </c>
      <c r="H871" s="55" t="n">
        <v>0</v>
      </c>
      <c r="I871" s="56" t="n"/>
      <c r="J871" s="57" t="n">
        <v>0.23</v>
      </c>
      <c r="K871" s="56" t="inlineStr">
        <is>
          <t>account data velocity</t>
        </is>
      </c>
      <c r="L871" s="58" t="n">
        <v>2.5897</v>
      </c>
      <c r="M871" s="56" t="inlineStr">
        <is>
          <t>own BFCM 2025 lift (account data)</t>
        </is>
      </c>
      <c r="N871" s="59">
        <f>J871*34+J871*L871*12</f>
        <v/>
      </c>
      <c r="O871" s="59">
        <f>MAX(0,N871-G871-H871)</f>
        <v/>
      </c>
      <c r="P871" s="60">
        <f>IF(J871=0,"",IF(G871&lt;J871*34,DATE(2026,10,15)+G871/J871,IF(G871&lt;N871,DATE(2026,11,18)+(G871-J871*34)/(J871*L871),"after Nov 30")))</f>
        <v/>
      </c>
      <c r="Q871" s="60">
        <f>IF(J871=0,"",IF(G871+H871&lt;J871*34,DATE(2026,10,15)+(G871+H871)/J871,IF(G871+H871&lt;N871,DATE(2026,11,18)+(G871+H871-J871*34)/(J871*L871),"after Nov 30")))</f>
        <v/>
      </c>
      <c r="R871" s="54">
        <f>IF(AND(G871&lt;=0,J871&gt;0),"Out of stock now",IF(G871&gt;=N871,"Covered to Nov 30",IF(G871+H871&gt;=N871,"Needs inbound in time","Short even with inbound")))</f>
        <v/>
      </c>
      <c r="S871" s="57" t="n">
        <v>0.07099999999999999</v>
      </c>
      <c r="T871" s="59">
        <f>IF(S871="","",S871*34+S871*L871*12)</f>
        <v/>
      </c>
    </row>
    <row r="872">
      <c r="A872" s="54" t="inlineStr">
        <is>
          <t>US SSS4</t>
        </is>
      </c>
      <c r="B872" s="54" t="inlineStr">
        <is>
          <t>US</t>
        </is>
      </c>
      <c r="C872" s="54" t="inlineStr">
        <is>
          <t>B0DDRDYFFX</t>
        </is>
      </c>
      <c r="D872" s="54" t="inlineStr">
        <is>
          <t>SS-SATIN-GREY-TWIN-3PCS</t>
        </is>
      </c>
      <c r="E872" s="54" t="inlineStr">
        <is>
          <t>Twin</t>
        </is>
      </c>
      <c r="F872" s="54" t="inlineStr">
        <is>
          <t>Grey</t>
        </is>
      </c>
      <c r="G872" s="55" t="n">
        <v>28</v>
      </c>
      <c r="H872" s="55" t="n">
        <v>0</v>
      </c>
      <c r="I872" s="56" t="n"/>
      <c r="J872" s="57" t="n">
        <v>0.23</v>
      </c>
      <c r="K872" s="56" t="inlineStr">
        <is>
          <t>account data velocity</t>
        </is>
      </c>
      <c r="L872" s="58" t="n">
        <v>2.5897</v>
      </c>
      <c r="M872" s="56" t="inlineStr">
        <is>
          <t>own BFCM 2025 lift (account data)</t>
        </is>
      </c>
      <c r="N872" s="59">
        <f>J872*34+J872*L872*12</f>
        <v/>
      </c>
      <c r="O872" s="59">
        <f>MAX(0,N872-G872-H872)</f>
        <v/>
      </c>
      <c r="P872" s="60">
        <f>IF(J872=0,"",IF(G872&lt;J872*34,DATE(2026,10,15)+G872/J872,IF(G872&lt;N872,DATE(2026,11,18)+(G872-J872*34)/(J872*L872),"after Nov 30")))</f>
        <v/>
      </c>
      <c r="Q872" s="60">
        <f>IF(J872=0,"",IF(G872+H872&lt;J872*34,DATE(2026,10,15)+(G872+H872)/J872,IF(G872+H872&lt;N872,DATE(2026,11,18)+(G872+H872-J872*34)/(J872*L872),"after Nov 30")))</f>
        <v/>
      </c>
      <c r="R872" s="54">
        <f>IF(AND(G872&lt;=0,J872&gt;0),"Out of stock now",IF(G872&gt;=N872,"Covered to Nov 30",IF(G872+H872&gt;=N872,"Needs inbound in time","Short even with inbound")))</f>
        <v/>
      </c>
      <c r="S872" s="57" t="n">
        <v>0.07099999999999999</v>
      </c>
      <c r="T872" s="59">
        <f>IF(S872="","",S872*34+S872*L872*12)</f>
        <v/>
      </c>
    </row>
    <row r="873">
      <c r="A873" s="54" t="inlineStr">
        <is>
          <t>US SSS4</t>
        </is>
      </c>
      <c r="B873" s="54" t="inlineStr">
        <is>
          <t>US</t>
        </is>
      </c>
      <c r="C873" s="54" t="inlineStr">
        <is>
          <t>B0DDRB7NTZ</t>
        </is>
      </c>
      <c r="D873" s="54" t="inlineStr">
        <is>
          <t>SS-SATIN-CHAMPAGNE-KING-4PCS</t>
        </is>
      </c>
      <c r="E873" s="54" t="inlineStr">
        <is>
          <t>King</t>
        </is>
      </c>
      <c r="F873" s="54" t="inlineStr">
        <is>
          <t>Champagne</t>
        </is>
      </c>
      <c r="G873" s="55" t="n">
        <v>98</v>
      </c>
      <c r="H873" s="55" t="n">
        <v>0</v>
      </c>
      <c r="I873" s="56" t="n"/>
      <c r="J873" s="57" t="n">
        <v>0.17</v>
      </c>
      <c r="K873" s="56" t="inlineStr">
        <is>
          <t>account data velocity</t>
        </is>
      </c>
      <c r="L873" s="58" t="n">
        <v>2.5897</v>
      </c>
      <c r="M873" s="56" t="inlineStr">
        <is>
          <t>own BFCM 2025 lift (account data)</t>
        </is>
      </c>
      <c r="N873" s="59">
        <f>J873*34+J873*L873*12</f>
        <v/>
      </c>
      <c r="O873" s="59">
        <f>MAX(0,N873-G873-H873)</f>
        <v/>
      </c>
      <c r="P873" s="60">
        <f>IF(J873=0,"",IF(G873&lt;J873*34,DATE(2026,10,15)+G873/J873,IF(G873&lt;N873,DATE(2026,11,18)+(G873-J873*34)/(J873*L873),"after Nov 30")))</f>
        <v/>
      </c>
      <c r="Q873" s="60">
        <f>IF(J873=0,"",IF(G873+H873&lt;J873*34,DATE(2026,10,15)+(G873+H873)/J873,IF(G873+H873&lt;N873,DATE(2026,11,18)+(G873+H873-J873*34)/(J873*L873),"after Nov 30")))</f>
        <v/>
      </c>
      <c r="R873" s="54">
        <f>IF(AND(G873&lt;=0,J873&gt;0),"Out of stock now",IF(G873&gt;=N873,"Covered to Nov 30",IF(G873+H873&gt;=N873,"Needs inbound in time","Short even with inbound")))</f>
        <v/>
      </c>
      <c r="S873" s="57" t="n">
        <v>0.25</v>
      </c>
      <c r="T873" s="59">
        <f>IF(S873="","",S873*34+S873*L873*12)</f>
        <v/>
      </c>
    </row>
    <row r="874">
      <c r="A874" s="54" t="inlineStr">
        <is>
          <t>US SSS4</t>
        </is>
      </c>
      <c r="B874" s="54" t="inlineStr">
        <is>
          <t>US</t>
        </is>
      </c>
      <c r="C874" s="54" t="inlineStr">
        <is>
          <t>B0DDR3SX2D</t>
        </is>
      </c>
      <c r="D874" s="54" t="inlineStr">
        <is>
          <t>SS-SATIN-LAVENDER-TWIN-3PCS</t>
        </is>
      </c>
      <c r="E874" s="54" t="inlineStr">
        <is>
          <t>Twin</t>
        </is>
      </c>
      <c r="F874" s="54" t="inlineStr">
        <is>
          <t>Lavender</t>
        </is>
      </c>
      <c r="G874" s="55" t="n">
        <v>74</v>
      </c>
      <c r="H874" s="55" t="n">
        <v>0</v>
      </c>
      <c r="I874" s="56" t="n"/>
      <c r="J874" s="57" t="n">
        <v>0.16</v>
      </c>
      <c r="K874" s="56" t="inlineStr">
        <is>
          <t>account data velocity</t>
        </is>
      </c>
      <c r="L874" s="58" t="n">
        <v>2.5897</v>
      </c>
      <c r="M874" s="56" t="inlineStr">
        <is>
          <t>own BFCM 2025 lift (account data)</t>
        </is>
      </c>
      <c r="N874" s="59">
        <f>J874*34+J874*L874*12</f>
        <v/>
      </c>
      <c r="O874" s="59">
        <f>MAX(0,N874-G874-H874)</f>
        <v/>
      </c>
      <c r="P874" s="60">
        <f>IF(J874=0,"",IF(G874&lt;J874*34,DATE(2026,10,15)+G874/J874,IF(G874&lt;N874,DATE(2026,11,18)+(G874-J874*34)/(J874*L874),"after Nov 30")))</f>
        <v/>
      </c>
      <c r="Q874" s="60">
        <f>IF(J874=0,"",IF(G874+H874&lt;J874*34,DATE(2026,10,15)+(G874+H874)/J874,IF(G874+H874&lt;N874,DATE(2026,11,18)+(G874+H874-J874*34)/(J874*L874),"after Nov 30")))</f>
        <v/>
      </c>
      <c r="R874" s="54">
        <f>IF(AND(G874&lt;=0,J874&gt;0),"Out of stock now",IF(G874&gt;=N874,"Covered to Nov 30",IF(G874+H874&gt;=N874,"Needs inbound in time","Short even with inbound")))</f>
        <v/>
      </c>
      <c r="S874" s="57" t="n">
        <v>0.107</v>
      </c>
      <c r="T874" s="59">
        <f>IF(S874="","",S874*34+S874*L874*12)</f>
        <v/>
      </c>
    </row>
    <row r="875">
      <c r="A875" s="54" t="inlineStr">
        <is>
          <t>US SSS4</t>
        </is>
      </c>
      <c r="B875" s="54" t="inlineStr">
        <is>
          <t>US</t>
        </is>
      </c>
      <c r="C875" s="54" t="inlineStr">
        <is>
          <t>B0DDRDWVK1</t>
        </is>
      </c>
      <c r="D875" s="54" t="inlineStr">
        <is>
          <t>SS-SATIN-DARK-GREEN-TWIN-3PCS</t>
        </is>
      </c>
      <c r="E875" s="54" t="inlineStr">
        <is>
          <t>Twin</t>
        </is>
      </c>
      <c r="F875" s="54" t="inlineStr">
        <is>
          <t>Dark Green</t>
        </is>
      </c>
      <c r="G875" s="55" t="n">
        <v>16</v>
      </c>
      <c r="H875" s="55" t="n">
        <v>0</v>
      </c>
      <c r="I875" s="56" t="n"/>
      <c r="J875" s="57" t="n">
        <v>0.12</v>
      </c>
      <c r="K875" s="56" t="inlineStr">
        <is>
          <t>account data velocity</t>
        </is>
      </c>
      <c r="L875" s="58" t="n">
        <v>2.5897</v>
      </c>
      <c r="M875" s="56" t="inlineStr">
        <is>
          <t>own BFCM 2025 lift (account data)</t>
        </is>
      </c>
      <c r="N875" s="59">
        <f>J875*34+J875*L875*12</f>
        <v/>
      </c>
      <c r="O875" s="59">
        <f>MAX(0,N875-G875-H875)</f>
        <v/>
      </c>
      <c r="P875" s="60">
        <f>IF(J875=0,"",IF(G875&lt;J875*34,DATE(2026,10,15)+G875/J875,IF(G875&lt;N875,DATE(2026,11,18)+(G875-J875*34)/(J875*L875),"after Nov 30")))</f>
        <v/>
      </c>
      <c r="Q875" s="60">
        <f>IF(J875=0,"",IF(G875+H875&lt;J875*34,DATE(2026,10,15)+(G875+H875)/J875,IF(G875+H875&lt;N875,DATE(2026,11,18)+(G875+H875-J875*34)/(J875*L875),"after Nov 30")))</f>
        <v/>
      </c>
      <c r="R875" s="54">
        <f>IF(AND(G875&lt;=0,J875&gt;0),"Out of stock now",IF(G875&gt;=N875,"Covered to Nov 30",IF(G875+H875&gt;=N875,"Needs inbound in time","Short even with inbound")))</f>
        <v/>
      </c>
      <c r="S875" s="57" t="n">
        <v>0.179</v>
      </c>
      <c r="T875" s="59">
        <f>IF(S875="","",S875*34+S875*L875*12)</f>
        <v/>
      </c>
    </row>
    <row r="876">
      <c r="A876" s="54" t="inlineStr">
        <is>
          <t>US SSS4</t>
        </is>
      </c>
      <c r="B876" s="54" t="inlineStr">
        <is>
          <t>US</t>
        </is>
      </c>
      <c r="C876" s="54" t="inlineStr">
        <is>
          <t>B0DDR6C74S</t>
        </is>
      </c>
      <c r="D876" s="54" t="inlineStr">
        <is>
          <t>SS-SATIN-BLACK-QUEEN-4PCS</t>
        </is>
      </c>
      <c r="E876" s="54" t="inlineStr">
        <is>
          <t>Queen</t>
        </is>
      </c>
      <c r="F876" s="54" t="inlineStr">
        <is>
          <t>Black</t>
        </is>
      </c>
      <c r="G876" s="55" t="n">
        <v>0</v>
      </c>
      <c r="H876" s="55" t="n">
        <v>0</v>
      </c>
      <c r="I876" s="56" t="n"/>
      <c r="J876" s="57" t="n">
        <v>0.1</v>
      </c>
      <c r="K876" s="56" t="inlineStr">
        <is>
          <t>account data velocity</t>
        </is>
      </c>
      <c r="L876" s="58" t="n">
        <v>2.5897</v>
      </c>
      <c r="M876" s="56" t="inlineStr">
        <is>
          <t>own BFCM 2025 lift (account data)</t>
        </is>
      </c>
      <c r="N876" s="59">
        <f>J876*34+J876*L876*12</f>
        <v/>
      </c>
      <c r="O876" s="59">
        <f>MAX(0,N876-G876-H876)</f>
        <v/>
      </c>
      <c r="P876" s="60">
        <f>IF(J876=0,"",IF(G876&lt;J876*34,DATE(2026,10,15)+G876/J876,IF(G876&lt;N876,DATE(2026,11,18)+(G876-J876*34)/(J876*L876),"after Nov 30")))</f>
        <v/>
      </c>
      <c r="Q876" s="60">
        <f>IF(J876=0,"",IF(G876+H876&lt;J876*34,DATE(2026,10,15)+(G876+H876)/J876,IF(G876+H876&lt;N876,DATE(2026,11,18)+(G876+H876-J876*34)/(J876*L876),"after Nov 30")))</f>
        <v/>
      </c>
      <c r="R876" s="54">
        <f>IF(AND(G876&lt;=0,J876&gt;0),"Out of stock now",IF(G876&gt;=N876,"Covered to Nov 30",IF(G876+H876&gt;=N876,"Needs inbound in time","Short even with inbound")))</f>
        <v/>
      </c>
      <c r="S876" s="57" t="n"/>
      <c r="T876" s="59">
        <f>IF(S876="","",S876*34+S876*L876*12)</f>
        <v/>
      </c>
    </row>
    <row r="877">
      <c r="A877" s="54" t="inlineStr">
        <is>
          <t>US SSS4</t>
        </is>
      </c>
      <c r="B877" s="54" t="inlineStr">
        <is>
          <t>US</t>
        </is>
      </c>
      <c r="C877" s="54" t="inlineStr">
        <is>
          <t>B0DDR9ZDTW</t>
        </is>
      </c>
      <c r="D877" s="54" t="inlineStr">
        <is>
          <t>SS-SATIN-BABY-BLUE-TWIN-3PCS</t>
        </is>
      </c>
      <c r="E877" s="54" t="inlineStr">
        <is>
          <t>Twin</t>
        </is>
      </c>
      <c r="F877" s="54" t="inlineStr">
        <is>
          <t>Baby Blue</t>
        </is>
      </c>
      <c r="G877" s="55" t="n">
        <v>0</v>
      </c>
      <c r="H877" s="55" t="n">
        <v>0</v>
      </c>
      <c r="I877" s="56" t="n"/>
      <c r="J877" s="57" t="n">
        <v>0.1</v>
      </c>
      <c r="K877" s="56" t="inlineStr">
        <is>
          <t>account data velocity</t>
        </is>
      </c>
      <c r="L877" s="58" t="n">
        <v>2.5897</v>
      </c>
      <c r="M877" s="56" t="inlineStr">
        <is>
          <t>own BFCM 2025 lift (account data)</t>
        </is>
      </c>
      <c r="N877" s="59">
        <f>J877*34+J877*L877*12</f>
        <v/>
      </c>
      <c r="O877" s="59">
        <f>MAX(0,N877-G877-H877)</f>
        <v/>
      </c>
      <c r="P877" s="60">
        <f>IF(J877=0,"",IF(G877&lt;J877*34,DATE(2026,10,15)+G877/J877,IF(G877&lt;N877,DATE(2026,11,18)+(G877-J877*34)/(J877*L877),"after Nov 30")))</f>
        <v/>
      </c>
      <c r="Q877" s="60">
        <f>IF(J877=0,"",IF(G877+H877&lt;J877*34,DATE(2026,10,15)+(G877+H877)/J877,IF(G877+H877&lt;N877,DATE(2026,11,18)+(G877+H877-J877*34)/(J877*L877),"after Nov 30")))</f>
        <v/>
      </c>
      <c r="R877" s="54">
        <f>IF(AND(G877&lt;=0,J877&gt;0),"Out of stock now",IF(G877&gt;=N877,"Covered to Nov 30",IF(G877+H877&gt;=N877,"Needs inbound in time","Short even with inbound")))</f>
        <v/>
      </c>
      <c r="S877" s="57" t="n"/>
      <c r="T877" s="59">
        <f>IF(S877="","",S877*34+S877*L877*12)</f>
        <v/>
      </c>
    </row>
    <row r="878">
      <c r="A878" s="54" t="inlineStr">
        <is>
          <t>US SSS4</t>
        </is>
      </c>
      <c r="B878" s="54" t="inlineStr">
        <is>
          <t>US</t>
        </is>
      </c>
      <c r="C878" s="54" t="inlineStr">
        <is>
          <t>B0DDR4HJCS</t>
        </is>
      </c>
      <c r="D878" s="54" t="inlineStr">
        <is>
          <t>SS-SATIN-BABY-BLUE-FULL-4PCS</t>
        </is>
      </c>
      <c r="E878" s="54" t="inlineStr">
        <is>
          <t>Full</t>
        </is>
      </c>
      <c r="F878" s="54" t="inlineStr">
        <is>
          <t>Baby Blue</t>
        </is>
      </c>
      <c r="G878" s="55" t="n">
        <v>53</v>
      </c>
      <c r="H878" s="55" t="n">
        <v>0</v>
      </c>
      <c r="I878" s="56" t="n"/>
      <c r="J878" s="57" t="n">
        <v>0.09</v>
      </c>
      <c r="K878" s="56" t="inlineStr">
        <is>
          <t>account data velocity</t>
        </is>
      </c>
      <c r="L878" s="58" t="n">
        <v>2.5897</v>
      </c>
      <c r="M878" s="56" t="inlineStr">
        <is>
          <t>own BFCM 2025 lift (account data)</t>
        </is>
      </c>
      <c r="N878" s="59">
        <f>J878*34+J878*L878*12</f>
        <v/>
      </c>
      <c r="O878" s="59">
        <f>MAX(0,N878-G878-H878)</f>
        <v/>
      </c>
      <c r="P878" s="60">
        <f>IF(J878=0,"",IF(G878&lt;J878*34,DATE(2026,10,15)+G878/J878,IF(G878&lt;N878,DATE(2026,11,18)+(G878-J878*34)/(J878*L878),"after Nov 30")))</f>
        <v/>
      </c>
      <c r="Q878" s="60">
        <f>IF(J878=0,"",IF(G878+H878&lt;J878*34,DATE(2026,10,15)+(G878+H878)/J878,IF(G878+H878&lt;N878,DATE(2026,11,18)+(G878+H878-J878*34)/(J878*L878),"after Nov 30")))</f>
        <v/>
      </c>
      <c r="R878" s="54">
        <f>IF(AND(G878&lt;=0,J878&gt;0),"Out of stock now",IF(G878&gt;=N878,"Covered to Nov 30",IF(G878+H878&gt;=N878,"Needs inbound in time","Short even with inbound")))</f>
        <v/>
      </c>
      <c r="S878" s="57" t="n">
        <v>0.214</v>
      </c>
      <c r="T878" s="59">
        <f>IF(S878="","",S878*34+S878*L878*12)</f>
        <v/>
      </c>
    </row>
    <row r="879">
      <c r="A879" s="54" t="inlineStr">
        <is>
          <t>US SSS4</t>
        </is>
      </c>
      <c r="B879" s="54" t="inlineStr">
        <is>
          <t>US</t>
        </is>
      </c>
      <c r="C879" s="54" t="inlineStr">
        <is>
          <t>B0DDRH7S7L</t>
        </is>
      </c>
      <c r="D879" s="54" t="inlineStr">
        <is>
          <t>SS-SATIN-WHITE-FULL-4PCS</t>
        </is>
      </c>
      <c r="E879" s="54" t="inlineStr">
        <is>
          <t>Full</t>
        </is>
      </c>
      <c r="F879" s="54" t="inlineStr">
        <is>
          <t>White</t>
        </is>
      </c>
      <c r="G879" s="55" t="n">
        <v>0</v>
      </c>
      <c r="H879" s="55" t="n">
        <v>0</v>
      </c>
      <c r="I879" s="56" t="n"/>
      <c r="J879" s="57" t="n">
        <v>0.09</v>
      </c>
      <c r="K879" s="56" t="inlineStr">
        <is>
          <t>account data velocity</t>
        </is>
      </c>
      <c r="L879" s="58" t="n">
        <v>2.5897</v>
      </c>
      <c r="M879" s="56" t="inlineStr">
        <is>
          <t>own BFCM 2025 lift (account data)</t>
        </is>
      </c>
      <c r="N879" s="59">
        <f>J879*34+J879*L879*12</f>
        <v/>
      </c>
      <c r="O879" s="59">
        <f>MAX(0,N879-G879-H879)</f>
        <v/>
      </c>
      <c r="P879" s="60">
        <f>IF(J879=0,"",IF(G879&lt;J879*34,DATE(2026,10,15)+G879/J879,IF(G879&lt;N879,DATE(2026,11,18)+(G879-J879*34)/(J879*L879),"after Nov 30")))</f>
        <v/>
      </c>
      <c r="Q879" s="60">
        <f>IF(J879=0,"",IF(G879+H879&lt;J879*34,DATE(2026,10,15)+(G879+H879)/J879,IF(G879+H879&lt;N879,DATE(2026,11,18)+(G879+H879-J879*34)/(J879*L879),"after Nov 30")))</f>
        <v/>
      </c>
      <c r="R879" s="54">
        <f>IF(AND(G879&lt;=0,J879&gt;0),"Out of stock now",IF(G879&gt;=N879,"Covered to Nov 30",IF(G879+H879&gt;=N879,"Needs inbound in time","Short even with inbound")))</f>
        <v/>
      </c>
      <c r="S879" s="57" t="n">
        <v>0</v>
      </c>
      <c r="T879" s="59">
        <f>IF(S879="","",S879*34+S879*L879*12)</f>
        <v/>
      </c>
    </row>
    <row r="880">
      <c r="A880" s="54" t="inlineStr">
        <is>
          <t>US SSS4</t>
        </is>
      </c>
      <c r="B880" s="54" t="inlineStr">
        <is>
          <t>US</t>
        </is>
      </c>
      <c r="C880" s="54" t="inlineStr">
        <is>
          <t>B0DDR2CP9X</t>
        </is>
      </c>
      <c r="D880" s="54" t="inlineStr">
        <is>
          <t>SS-SATIN-SEA-TEAL-TWIN-3PCS</t>
        </is>
      </c>
      <c r="E880" s="54" t="inlineStr">
        <is>
          <t>Twin</t>
        </is>
      </c>
      <c r="F880" s="54" t="inlineStr">
        <is>
          <t>Sea Teal</t>
        </is>
      </c>
      <c r="G880" s="55" t="n">
        <v>17</v>
      </c>
      <c r="H880" s="55" t="n">
        <v>0</v>
      </c>
      <c r="I880" s="56" t="n"/>
      <c r="J880" s="57" t="n">
        <v>0.07000000000000001</v>
      </c>
      <c r="K880" s="56" t="inlineStr">
        <is>
          <t>account data velocity</t>
        </is>
      </c>
      <c r="L880" s="58" t="n">
        <v>2.5897</v>
      </c>
      <c r="M880" s="56" t="inlineStr">
        <is>
          <t>own BFCM 2025 lift (account data)</t>
        </is>
      </c>
      <c r="N880" s="59">
        <f>J880*34+J880*L880*12</f>
        <v/>
      </c>
      <c r="O880" s="59">
        <f>MAX(0,N880-G880-H880)</f>
        <v/>
      </c>
      <c r="P880" s="60">
        <f>IF(J880=0,"",IF(G880&lt;J880*34,DATE(2026,10,15)+G880/J880,IF(G880&lt;N880,DATE(2026,11,18)+(G880-J880*34)/(J880*L880),"after Nov 30")))</f>
        <v/>
      </c>
      <c r="Q880" s="60">
        <f>IF(J880=0,"",IF(G880+H880&lt;J880*34,DATE(2026,10,15)+(G880+H880)/J880,IF(G880+H880&lt;N880,DATE(2026,11,18)+(G880+H880-J880*34)/(J880*L880),"after Nov 30")))</f>
        <v/>
      </c>
      <c r="R880" s="54">
        <f>IF(AND(G880&lt;=0,J880&gt;0),"Out of stock now",IF(G880&gt;=N880,"Covered to Nov 30",IF(G880+H880&gt;=N880,"Needs inbound in time","Short even with inbound")))</f>
        <v/>
      </c>
      <c r="S880" s="57" t="n">
        <v>0.107</v>
      </c>
      <c r="T880" s="59">
        <f>IF(S880="","",S880*34+S880*L880*12)</f>
        <v/>
      </c>
    </row>
    <row r="881">
      <c r="A881" s="54" t="inlineStr">
        <is>
          <t>US SSS4</t>
        </is>
      </c>
      <c r="B881" s="54" t="inlineStr">
        <is>
          <t>US</t>
        </is>
      </c>
      <c r="C881" s="54" t="inlineStr">
        <is>
          <t>B0DDR28N8X</t>
        </is>
      </c>
      <c r="D881" s="54" t="inlineStr">
        <is>
          <t>SS-SATIN-BLUE-FULL-4PCS</t>
        </is>
      </c>
      <c r="E881" s="54" t="inlineStr">
        <is>
          <t>Full</t>
        </is>
      </c>
      <c r="F881" s="54" t="inlineStr">
        <is>
          <t>Blue</t>
        </is>
      </c>
      <c r="G881" s="55" t="n">
        <v>21</v>
      </c>
      <c r="H881" s="55" t="n">
        <v>42</v>
      </c>
      <c r="I881" s="56" t="inlineStr">
        <is>
          <t>FBA19SV5KWMR ready to ship: 6; FBA19RS1HC4F shipped: 12; FBA19RRY6QFT shipped: 6; FBA19RS0N5K2 shipped: 6; FBA19RRYCGHJ shipped: 12; FBA19RRY5FBL shipped: 6</t>
        </is>
      </c>
      <c r="J881" s="57" t="n">
        <v>0.06</v>
      </c>
      <c r="K881" s="56" t="inlineStr">
        <is>
          <t>account data velocity</t>
        </is>
      </c>
      <c r="L881" s="58" t="n">
        <v>2.5897</v>
      </c>
      <c r="M881" s="56" t="inlineStr">
        <is>
          <t>own BFCM 2025 lift (account data)</t>
        </is>
      </c>
      <c r="N881" s="59">
        <f>J881*34+J881*L881*12</f>
        <v/>
      </c>
      <c r="O881" s="59">
        <f>MAX(0,N881-G881-H881)</f>
        <v/>
      </c>
      <c r="P881" s="60">
        <f>IF(J881=0,"",IF(G881&lt;J881*34,DATE(2026,10,15)+G881/J881,IF(G881&lt;N881,DATE(2026,11,18)+(G881-J881*34)/(J881*L881),"after Nov 30")))</f>
        <v/>
      </c>
      <c r="Q881" s="60">
        <f>IF(J881=0,"",IF(G881+H881&lt;J881*34,DATE(2026,10,15)+(G881+H881)/J881,IF(G881+H881&lt;N881,DATE(2026,11,18)+(G881+H881-J881*34)/(J881*L881),"after Nov 30")))</f>
        <v/>
      </c>
      <c r="R881" s="54">
        <f>IF(AND(G881&lt;=0,J881&gt;0),"Out of stock now",IF(G881&gt;=N881,"Covered to Nov 30",IF(G881+H881&gt;=N881,"Needs inbound in time","Short even with inbound")))</f>
        <v/>
      </c>
      <c r="S881" s="57" t="n">
        <v>0.07099999999999999</v>
      </c>
      <c r="T881" s="59">
        <f>IF(S881="","",S881*34+S881*L881*12)</f>
        <v/>
      </c>
    </row>
    <row r="882">
      <c r="A882" s="54" t="inlineStr">
        <is>
          <t>US SSS4</t>
        </is>
      </c>
      <c r="B882" s="54" t="inlineStr">
        <is>
          <t>US</t>
        </is>
      </c>
      <c r="C882" s="54" t="inlineStr">
        <is>
          <t>B0DDRNW3GF</t>
        </is>
      </c>
      <c r="D882" s="54" t="inlineStr">
        <is>
          <t>SS-SATIN-BLUE-QUEEN-4PCS</t>
        </is>
      </c>
      <c r="E882" s="54" t="inlineStr">
        <is>
          <t>Queen</t>
        </is>
      </c>
      <c r="F882" s="54" t="inlineStr">
        <is>
          <t>Blue</t>
        </is>
      </c>
      <c r="G882" s="55" t="n">
        <v>0</v>
      </c>
      <c r="H882" s="55" t="n">
        <v>0</v>
      </c>
      <c r="I882" s="56" t="n"/>
      <c r="J882" s="57" t="n">
        <v>0.05</v>
      </c>
      <c r="K882" s="56" t="inlineStr">
        <is>
          <t>account data velocity</t>
        </is>
      </c>
      <c r="L882" s="58" t="n">
        <v>2.5897</v>
      </c>
      <c r="M882" s="56" t="inlineStr">
        <is>
          <t>own BFCM 2025 lift (account data)</t>
        </is>
      </c>
      <c r="N882" s="59">
        <f>J882*34+J882*L882*12</f>
        <v/>
      </c>
      <c r="O882" s="59">
        <f>MAX(0,N882-G882-H882)</f>
        <v/>
      </c>
      <c r="P882" s="60">
        <f>IF(J882=0,"",IF(G882&lt;J882*34,DATE(2026,10,15)+G882/J882,IF(G882&lt;N882,DATE(2026,11,18)+(G882-J882*34)/(J882*L882),"after Nov 30")))</f>
        <v/>
      </c>
      <c r="Q882" s="60">
        <f>IF(J882=0,"",IF(G882+H882&lt;J882*34,DATE(2026,10,15)+(G882+H882)/J882,IF(G882+H882&lt;N882,DATE(2026,11,18)+(G882+H882-J882*34)/(J882*L882),"after Nov 30")))</f>
        <v/>
      </c>
      <c r="R882" s="54">
        <f>IF(AND(G882&lt;=0,J882&gt;0),"Out of stock now",IF(G882&gt;=N882,"Covered to Nov 30",IF(G882+H882&gt;=N882,"Needs inbound in time","Short even with inbound")))</f>
        <v/>
      </c>
      <c r="S882" s="57" t="n">
        <v>0.036</v>
      </c>
      <c r="T882" s="59">
        <f>IF(S882="","",S882*34+S882*L882*12)</f>
        <v/>
      </c>
    </row>
    <row r="883">
      <c r="A883" s="54" t="inlineStr">
        <is>
          <t>US SSS4</t>
        </is>
      </c>
      <c r="B883" s="54" t="inlineStr">
        <is>
          <t>US</t>
        </is>
      </c>
      <c r="C883" s="54" t="inlineStr">
        <is>
          <t>B0DDRKQYDW</t>
        </is>
      </c>
      <c r="D883" s="54" t="inlineStr">
        <is>
          <t>SS-SATIN-STRIPED-PINK-KING-4PCS</t>
        </is>
      </c>
      <c r="E883" s="54" t="inlineStr">
        <is>
          <t>King</t>
        </is>
      </c>
      <c r="F883" s="54" t="inlineStr">
        <is>
          <t>Striped Pink</t>
        </is>
      </c>
      <c r="G883" s="55" t="n">
        <v>0</v>
      </c>
      <c r="H883" s="55" t="n">
        <v>0</v>
      </c>
      <c r="I883" s="56" t="n"/>
      <c r="J883" s="57" t="n">
        <v>0.05</v>
      </c>
      <c r="K883" s="56" t="inlineStr">
        <is>
          <t>account data velocity</t>
        </is>
      </c>
      <c r="L883" s="58" t="n">
        <v>2.5897</v>
      </c>
      <c r="M883" s="56" t="inlineStr">
        <is>
          <t>own BFCM 2025 lift (account data)</t>
        </is>
      </c>
      <c r="N883" s="59">
        <f>J883*34+J883*L883*12</f>
        <v/>
      </c>
      <c r="O883" s="59">
        <f>MAX(0,N883-G883-H883)</f>
        <v/>
      </c>
      <c r="P883" s="60">
        <f>IF(J883=0,"",IF(G883&lt;J883*34,DATE(2026,10,15)+G883/J883,IF(G883&lt;N883,DATE(2026,11,18)+(G883-J883*34)/(J883*L883),"after Nov 30")))</f>
        <v/>
      </c>
      <c r="Q883" s="60">
        <f>IF(J883=0,"",IF(G883+H883&lt;J883*34,DATE(2026,10,15)+(G883+H883)/J883,IF(G883+H883&lt;N883,DATE(2026,11,18)+(G883+H883-J883*34)/(J883*L883),"after Nov 30")))</f>
        <v/>
      </c>
      <c r="R883" s="54">
        <f>IF(AND(G883&lt;=0,J883&gt;0),"Out of stock now",IF(G883&gt;=N883,"Covered to Nov 30",IF(G883+H883&gt;=N883,"Needs inbound in time","Short even with inbound")))</f>
        <v/>
      </c>
      <c r="S883" s="57" t="n"/>
      <c r="T883" s="59">
        <f>IF(S883="","",S883*34+S883*L883*12)</f>
        <v/>
      </c>
    </row>
    <row r="884">
      <c r="A884" s="54" t="inlineStr">
        <is>
          <t>US SSS4</t>
        </is>
      </c>
      <c r="B884" s="54" t="inlineStr">
        <is>
          <t>US</t>
        </is>
      </c>
      <c r="C884" s="54" t="inlineStr">
        <is>
          <t>B0DDR9XL5R</t>
        </is>
      </c>
      <c r="D884" s="54" t="inlineStr">
        <is>
          <t>SS-SATIN-STRIPED-RED-TWIN-3PCS</t>
        </is>
      </c>
      <c r="E884" s="54" t="inlineStr">
        <is>
          <t>Twin</t>
        </is>
      </c>
      <c r="F884" s="54" t="inlineStr">
        <is>
          <t>Striped Red</t>
        </is>
      </c>
      <c r="G884" s="55" t="n">
        <v>14</v>
      </c>
      <c r="H884" s="55" t="n">
        <v>0</v>
      </c>
      <c r="I884" s="56" t="n"/>
      <c r="J884" s="57" t="n">
        <v>0.05</v>
      </c>
      <c r="K884" s="56" t="inlineStr">
        <is>
          <t>account data velocity</t>
        </is>
      </c>
      <c r="L884" s="58" t="n">
        <v>2.5897</v>
      </c>
      <c r="M884" s="56" t="inlineStr">
        <is>
          <t>own BFCM 2025 lift (account data)</t>
        </is>
      </c>
      <c r="N884" s="59">
        <f>J884*34+J884*L884*12</f>
        <v/>
      </c>
      <c r="O884" s="59">
        <f>MAX(0,N884-G884-H884)</f>
        <v/>
      </c>
      <c r="P884" s="60">
        <f>IF(J884=0,"",IF(G884&lt;J884*34,DATE(2026,10,15)+G884/J884,IF(G884&lt;N884,DATE(2026,11,18)+(G884-J884*34)/(J884*L884),"after Nov 30")))</f>
        <v/>
      </c>
      <c r="Q884" s="60">
        <f>IF(J884=0,"",IF(G884+H884&lt;J884*34,DATE(2026,10,15)+(G884+H884)/J884,IF(G884+H884&lt;N884,DATE(2026,11,18)+(G884+H884-J884*34)/(J884*L884),"after Nov 30")))</f>
        <v/>
      </c>
      <c r="R884" s="54">
        <f>IF(AND(G884&lt;=0,J884&gt;0),"Out of stock now",IF(G884&gt;=N884,"Covered to Nov 30",IF(G884+H884&gt;=N884,"Needs inbound in time","Short even with inbound")))</f>
        <v/>
      </c>
      <c r="S884" s="57" t="n">
        <v>0</v>
      </c>
      <c r="T884" s="59">
        <f>IF(S884="","",S884*34+S884*L884*12)</f>
        <v/>
      </c>
    </row>
    <row r="885">
      <c r="A885" s="54" t="inlineStr">
        <is>
          <t>US SSS4</t>
        </is>
      </c>
      <c r="B885" s="54" t="inlineStr">
        <is>
          <t>US</t>
        </is>
      </c>
      <c r="C885" s="54" t="inlineStr">
        <is>
          <t>B0DDRFSGVJ</t>
        </is>
      </c>
      <c r="D885" s="54" t="inlineStr">
        <is>
          <t>SS-SATIN-PURPLE-TWIN-3PCS</t>
        </is>
      </c>
      <c r="E885" s="54" t="inlineStr">
        <is>
          <t>Twin</t>
        </is>
      </c>
      <c r="F885" s="54" t="inlineStr">
        <is>
          <t>Purple</t>
        </is>
      </c>
      <c r="G885" s="55" t="n">
        <v>21</v>
      </c>
      <c r="H885" s="55" t="n">
        <v>0</v>
      </c>
      <c r="I885" s="56" t="n"/>
      <c r="J885" s="57" t="n">
        <v>0.04</v>
      </c>
      <c r="K885" s="56" t="inlineStr">
        <is>
          <t>account data velocity</t>
        </is>
      </c>
      <c r="L885" s="58" t="n">
        <v>2.5897</v>
      </c>
      <c r="M885" s="56" t="inlineStr">
        <is>
          <t>own BFCM 2025 lift (account data)</t>
        </is>
      </c>
      <c r="N885" s="59">
        <f>J885*34+J885*L885*12</f>
        <v/>
      </c>
      <c r="O885" s="59">
        <f>MAX(0,N885-G885-H885)</f>
        <v/>
      </c>
      <c r="P885" s="60">
        <f>IF(J885=0,"",IF(G885&lt;J885*34,DATE(2026,10,15)+G885/J885,IF(G885&lt;N885,DATE(2026,11,18)+(G885-J885*34)/(J885*L885),"after Nov 30")))</f>
        <v/>
      </c>
      <c r="Q885" s="60">
        <f>IF(J885=0,"",IF(G885+H885&lt;J885*34,DATE(2026,10,15)+(G885+H885)/J885,IF(G885+H885&lt;N885,DATE(2026,11,18)+(G885+H885-J885*34)/(J885*L885),"after Nov 30")))</f>
        <v/>
      </c>
      <c r="R885" s="54">
        <f>IF(AND(G885&lt;=0,J885&gt;0),"Out of stock now",IF(G885&gt;=N885,"Covered to Nov 30",IF(G885+H885&gt;=N885,"Needs inbound in time","Short even with inbound")))</f>
        <v/>
      </c>
      <c r="S885" s="57" t="n">
        <v>0.214</v>
      </c>
      <c r="T885" s="59">
        <f>IF(S885="","",S885*34+S885*L885*12)</f>
        <v/>
      </c>
    </row>
    <row r="886">
      <c r="A886" s="54" t="inlineStr">
        <is>
          <t>US SSS4</t>
        </is>
      </c>
      <c r="B886" s="54" t="inlineStr">
        <is>
          <t>US</t>
        </is>
      </c>
      <c r="C886" s="54" t="inlineStr">
        <is>
          <t>B0DDR4D9HP</t>
        </is>
      </c>
      <c r="D886" s="54" t="inlineStr">
        <is>
          <t>SS-SATIN-STRIPED-WHITE-KING-4PCS</t>
        </is>
      </c>
      <c r="E886" s="54" t="inlineStr">
        <is>
          <t>King</t>
        </is>
      </c>
      <c r="F886" s="54" t="inlineStr">
        <is>
          <t>Striped White</t>
        </is>
      </c>
      <c r="G886" s="55" t="n">
        <v>0</v>
      </c>
      <c r="H886" s="55" t="n">
        <v>0</v>
      </c>
      <c r="I886" s="56" t="n"/>
      <c r="J886" s="57" t="n">
        <v>0.04</v>
      </c>
      <c r="K886" s="56" t="inlineStr">
        <is>
          <t>account data velocity</t>
        </is>
      </c>
      <c r="L886" s="58" t="n">
        <v>2.5897</v>
      </c>
      <c r="M886" s="56" t="inlineStr">
        <is>
          <t>own BFCM 2025 lift (account data)</t>
        </is>
      </c>
      <c r="N886" s="59">
        <f>J886*34+J886*L886*12</f>
        <v/>
      </c>
      <c r="O886" s="59">
        <f>MAX(0,N886-G886-H886)</f>
        <v/>
      </c>
      <c r="P886" s="60">
        <f>IF(J886=0,"",IF(G886&lt;J886*34,DATE(2026,10,15)+G886/J886,IF(G886&lt;N886,DATE(2026,11,18)+(G886-J886*34)/(J886*L886),"after Nov 30")))</f>
        <v/>
      </c>
      <c r="Q886" s="60">
        <f>IF(J886=0,"",IF(G886+H886&lt;J886*34,DATE(2026,10,15)+(G886+H886)/J886,IF(G886+H886&lt;N886,DATE(2026,11,18)+(G886+H886-J886*34)/(J886*L886),"after Nov 30")))</f>
        <v/>
      </c>
      <c r="R886" s="54">
        <f>IF(AND(G886&lt;=0,J886&gt;0),"Out of stock now",IF(G886&gt;=N886,"Covered to Nov 30",IF(G886+H886&gt;=N886,"Needs inbound in time","Short even with inbound")))</f>
        <v/>
      </c>
      <c r="S886" s="57" t="n">
        <v>0</v>
      </c>
      <c r="T886" s="59">
        <f>IF(S886="","",S886*34+S886*L886*12)</f>
        <v/>
      </c>
    </row>
    <row r="887">
      <c r="A887" s="54" t="inlineStr">
        <is>
          <t>US SSS4</t>
        </is>
      </c>
      <c r="B887" s="54" t="inlineStr">
        <is>
          <t>US</t>
        </is>
      </c>
      <c r="C887" s="54" t="inlineStr">
        <is>
          <t>B0DDRNYF9Q</t>
        </is>
      </c>
      <c r="D887" s="54" t="inlineStr">
        <is>
          <t>SS-SATIN-ROSEWOOD-FULL-4PCS</t>
        </is>
      </c>
      <c r="E887" s="54" t="inlineStr">
        <is>
          <t>Full</t>
        </is>
      </c>
      <c r="F887" s="54" t="inlineStr">
        <is>
          <t>Rosewood</t>
        </is>
      </c>
      <c r="G887" s="55" t="n">
        <v>0</v>
      </c>
      <c r="H887" s="55" t="n">
        <v>0</v>
      </c>
      <c r="I887" s="56" t="n"/>
      <c r="J887" s="57" t="n">
        <v>0.036</v>
      </c>
      <c r="K887" s="56" t="inlineStr">
        <is>
          <t>units last 28 days / 28 (no account data velocity: out of stock)</t>
        </is>
      </c>
      <c r="L887" s="58" t="n">
        <v>2.5897</v>
      </c>
      <c r="M887" s="56" t="inlineStr">
        <is>
          <t>own BFCM 2025 lift (account data)</t>
        </is>
      </c>
      <c r="N887" s="59">
        <f>J887*34+J887*L887*12</f>
        <v/>
      </c>
      <c r="O887" s="59">
        <f>MAX(0,N887-G887-H887)</f>
        <v/>
      </c>
      <c r="P887" s="60">
        <f>IF(J887=0,"",IF(G887&lt;J887*34,DATE(2026,10,15)+G887/J887,IF(G887&lt;N887,DATE(2026,11,18)+(G887-J887*34)/(J887*L887),"after Nov 30")))</f>
        <v/>
      </c>
      <c r="Q887" s="60">
        <f>IF(J887=0,"",IF(G887+H887&lt;J887*34,DATE(2026,10,15)+(G887+H887)/J887,IF(G887+H887&lt;N887,DATE(2026,11,18)+(G887+H887-J887*34)/(J887*L887),"after Nov 30")))</f>
        <v/>
      </c>
      <c r="R887" s="54">
        <f>IF(AND(G887&lt;=0,J887&gt;0),"Out of stock now",IF(G887&gt;=N887,"Covered to Nov 30",IF(G887+H887&gt;=N887,"Needs inbound in time","Short even with inbound")))</f>
        <v/>
      </c>
      <c r="S887" s="57" t="n">
        <v>0.036</v>
      </c>
      <c r="T887" s="59">
        <f>IF(S887="","",S887*34+S887*L887*12)</f>
        <v/>
      </c>
    </row>
    <row r="888">
      <c r="A888" s="54" t="inlineStr">
        <is>
          <t>US SSS4</t>
        </is>
      </c>
      <c r="B888" s="54" t="inlineStr">
        <is>
          <t>US</t>
        </is>
      </c>
      <c r="C888" s="54" t="inlineStr">
        <is>
          <t>B0DDRM24KV</t>
        </is>
      </c>
      <c r="D888" s="54" t="inlineStr">
        <is>
          <t>SS-SATIN-BLUSH-PINK-TWIN-3PCS</t>
        </is>
      </c>
      <c r="E888" s="54" t="inlineStr">
        <is>
          <t>Twin</t>
        </is>
      </c>
      <c r="F888" s="54" t="inlineStr">
        <is>
          <t>Blush Pink</t>
        </is>
      </c>
      <c r="G888" s="55" t="n">
        <v>9</v>
      </c>
      <c r="H888" s="55" t="n">
        <v>0</v>
      </c>
      <c r="I888" s="56" t="n"/>
      <c r="J888" s="57" t="n">
        <v>0.03</v>
      </c>
      <c r="K888" s="56" t="inlineStr">
        <is>
          <t>account data velocity</t>
        </is>
      </c>
      <c r="L888" s="58" t="n">
        <v>2.5897</v>
      </c>
      <c r="M888" s="56" t="inlineStr">
        <is>
          <t>own BFCM 2025 lift (account data)</t>
        </is>
      </c>
      <c r="N888" s="59">
        <f>J888*34+J888*L888*12</f>
        <v/>
      </c>
      <c r="O888" s="59">
        <f>MAX(0,N888-G888-H888)</f>
        <v/>
      </c>
      <c r="P888" s="60">
        <f>IF(J888=0,"",IF(G888&lt;J888*34,DATE(2026,10,15)+G888/J888,IF(G888&lt;N888,DATE(2026,11,18)+(G888-J888*34)/(J888*L888),"after Nov 30")))</f>
        <v/>
      </c>
      <c r="Q888" s="60">
        <f>IF(J888=0,"",IF(G888+H888&lt;J888*34,DATE(2026,10,15)+(G888+H888)/J888,IF(G888+H888&lt;N888,DATE(2026,11,18)+(G888+H888-J888*34)/(J888*L888),"after Nov 30")))</f>
        <v/>
      </c>
      <c r="R888" s="54">
        <f>IF(AND(G888&lt;=0,J888&gt;0),"Out of stock now",IF(G888&gt;=N888,"Covered to Nov 30",IF(G888+H888&gt;=N888,"Needs inbound in time","Short even with inbound")))</f>
        <v/>
      </c>
      <c r="S888" s="57" t="n">
        <v>0.143</v>
      </c>
      <c r="T888" s="59">
        <f>IF(S888="","",S888*34+S888*L888*12)</f>
        <v/>
      </c>
    </row>
    <row r="889">
      <c r="A889" s="54" t="inlineStr">
        <is>
          <t>US SSS4</t>
        </is>
      </c>
      <c r="B889" s="54" t="inlineStr">
        <is>
          <t>US</t>
        </is>
      </c>
      <c r="C889" s="54" t="inlineStr">
        <is>
          <t>B0DDR154D4</t>
        </is>
      </c>
      <c r="D889" s="54" t="inlineStr">
        <is>
          <t>SS-SATIN-SAGE-GREEN-TWIN-3PCS</t>
        </is>
      </c>
      <c r="E889" s="54" t="inlineStr">
        <is>
          <t>Twin</t>
        </is>
      </c>
      <c r="F889" s="54" t="inlineStr">
        <is>
          <t>Sage Green</t>
        </is>
      </c>
      <c r="G889" s="55" t="n">
        <v>25</v>
      </c>
      <c r="H889" s="55" t="n">
        <v>0</v>
      </c>
      <c r="I889" s="56" t="n"/>
      <c r="J889" s="57" t="n">
        <v>0.03</v>
      </c>
      <c r="K889" s="56" t="inlineStr">
        <is>
          <t>account data velocity</t>
        </is>
      </c>
      <c r="L889" s="58" t="n">
        <v>2.5897</v>
      </c>
      <c r="M889" s="56" t="inlineStr">
        <is>
          <t>own BFCM 2025 lift (account data)</t>
        </is>
      </c>
      <c r="N889" s="59">
        <f>J889*34+J889*L889*12</f>
        <v/>
      </c>
      <c r="O889" s="59">
        <f>MAX(0,N889-G889-H889)</f>
        <v/>
      </c>
      <c r="P889" s="60">
        <f>IF(J889=0,"",IF(G889&lt;J889*34,DATE(2026,10,15)+G889/J889,IF(G889&lt;N889,DATE(2026,11,18)+(G889-J889*34)/(J889*L889),"after Nov 30")))</f>
        <v/>
      </c>
      <c r="Q889" s="60">
        <f>IF(J889=0,"",IF(G889+H889&lt;J889*34,DATE(2026,10,15)+(G889+H889)/J889,IF(G889+H889&lt;N889,DATE(2026,11,18)+(G889+H889-J889*34)/(J889*L889),"after Nov 30")))</f>
        <v/>
      </c>
      <c r="R889" s="54">
        <f>IF(AND(G889&lt;=0,J889&gt;0),"Out of stock now",IF(G889&gt;=N889,"Covered to Nov 30",IF(G889+H889&gt;=N889,"Needs inbound in time","Short even with inbound")))</f>
        <v/>
      </c>
      <c r="S889" s="57" t="n">
        <v>0.107</v>
      </c>
      <c r="T889" s="59">
        <f>IF(S889="","",S889*34+S889*L889*12)</f>
        <v/>
      </c>
    </row>
    <row r="890">
      <c r="A890" s="54" t="inlineStr">
        <is>
          <t>US SSS4</t>
        </is>
      </c>
      <c r="B890" s="54" t="inlineStr">
        <is>
          <t>US</t>
        </is>
      </c>
      <c r="C890" s="54" t="inlineStr">
        <is>
          <t>B0DDR4QMK1</t>
        </is>
      </c>
      <c r="D890" s="54" t="inlineStr">
        <is>
          <t>SS-SATIN-IVORY-TWIN-3PCS</t>
        </is>
      </c>
      <c r="E890" s="54" t="inlineStr">
        <is>
          <t>Twin</t>
        </is>
      </c>
      <c r="F890" s="54" t="inlineStr">
        <is>
          <t>Ivory</t>
        </is>
      </c>
      <c r="G890" s="55" t="n">
        <v>13</v>
      </c>
      <c r="H890" s="55" t="n">
        <v>0</v>
      </c>
      <c r="I890" s="56" t="n"/>
      <c r="J890" s="57" t="n">
        <v>0.03</v>
      </c>
      <c r="K890" s="56" t="inlineStr">
        <is>
          <t>account data velocity</t>
        </is>
      </c>
      <c r="L890" s="58" t="n">
        <v>2.5897</v>
      </c>
      <c r="M890" s="56" t="inlineStr">
        <is>
          <t>own BFCM 2025 lift (account data)</t>
        </is>
      </c>
      <c r="N890" s="59">
        <f>J890*34+J890*L890*12</f>
        <v/>
      </c>
      <c r="O890" s="59">
        <f>MAX(0,N890-G890-H890)</f>
        <v/>
      </c>
      <c r="P890" s="60">
        <f>IF(J890=0,"",IF(G890&lt;J890*34,DATE(2026,10,15)+G890/J890,IF(G890&lt;N890,DATE(2026,11,18)+(G890-J890*34)/(J890*L890),"after Nov 30")))</f>
        <v/>
      </c>
      <c r="Q890" s="60">
        <f>IF(J890=0,"",IF(G890+H890&lt;J890*34,DATE(2026,10,15)+(G890+H890)/J890,IF(G890+H890&lt;N890,DATE(2026,11,18)+(G890+H890-J890*34)/(J890*L890),"after Nov 30")))</f>
        <v/>
      </c>
      <c r="R890" s="54">
        <f>IF(AND(G890&lt;=0,J890&gt;0),"Out of stock now",IF(G890&gt;=N890,"Covered to Nov 30",IF(G890+H890&gt;=N890,"Needs inbound in time","Short even with inbound")))</f>
        <v/>
      </c>
      <c r="S890" s="57" t="n">
        <v>0.07099999999999999</v>
      </c>
      <c r="T890" s="59">
        <f>IF(S890="","",S890*34+S890*L890*12)</f>
        <v/>
      </c>
    </row>
    <row r="891">
      <c r="A891" s="54" t="inlineStr">
        <is>
          <t>US SSS4</t>
        </is>
      </c>
      <c r="B891" s="54" t="inlineStr">
        <is>
          <t>US</t>
        </is>
      </c>
      <c r="C891" s="54" t="inlineStr">
        <is>
          <t>B0DDQQ83Y4</t>
        </is>
      </c>
      <c r="D891" s="54" t="inlineStr">
        <is>
          <t>SS-SATIN-BURNT-ORANGE-FULL-4PCS</t>
        </is>
      </c>
      <c r="E891" s="54" t="inlineStr">
        <is>
          <t>Full</t>
        </is>
      </c>
      <c r="F891" s="54" t="inlineStr">
        <is>
          <t>Burnt Orange</t>
        </is>
      </c>
      <c r="G891" s="55" t="n">
        <v>20</v>
      </c>
      <c r="H891" s="55" t="n">
        <v>0</v>
      </c>
      <c r="I891" s="56" t="n"/>
      <c r="J891" s="57" t="n">
        <v>0.02</v>
      </c>
      <c r="K891" s="56" t="inlineStr">
        <is>
          <t>account data velocity</t>
        </is>
      </c>
      <c r="L891" s="58" t="n">
        <v>2.5897</v>
      </c>
      <c r="M891" s="56" t="inlineStr">
        <is>
          <t>own BFCM 2025 lift (account data)</t>
        </is>
      </c>
      <c r="N891" s="59">
        <f>J891*34+J891*L891*12</f>
        <v/>
      </c>
      <c r="O891" s="59">
        <f>MAX(0,N891-G891-H891)</f>
        <v/>
      </c>
      <c r="P891" s="60">
        <f>IF(J891=0,"",IF(G891&lt;J891*34,DATE(2026,10,15)+G891/J891,IF(G891&lt;N891,DATE(2026,11,18)+(G891-J891*34)/(J891*L891),"after Nov 30")))</f>
        <v/>
      </c>
      <c r="Q891" s="60">
        <f>IF(J891=0,"",IF(G891+H891&lt;J891*34,DATE(2026,10,15)+(G891+H891)/J891,IF(G891+H891&lt;N891,DATE(2026,11,18)+(G891+H891-J891*34)/(J891*L891),"after Nov 30")))</f>
        <v/>
      </c>
      <c r="R891" s="54">
        <f>IF(AND(G891&lt;=0,J891&gt;0),"Out of stock now",IF(G891&gt;=N891,"Covered to Nov 30",IF(G891+H891&gt;=N891,"Needs inbound in time","Short even with inbound")))</f>
        <v/>
      </c>
      <c r="S891" s="57" t="n">
        <v>0.107</v>
      </c>
      <c r="T891" s="59">
        <f>IF(S891="","",S891*34+S891*L891*12)</f>
        <v/>
      </c>
    </row>
    <row r="892">
      <c r="A892" s="54" t="inlineStr">
        <is>
          <t>US SSS4</t>
        </is>
      </c>
      <c r="B892" s="54" t="inlineStr">
        <is>
          <t>US</t>
        </is>
      </c>
      <c r="C892" s="54" t="inlineStr">
        <is>
          <t>B0DDR7SDNH</t>
        </is>
      </c>
      <c r="D892" s="54" t="inlineStr">
        <is>
          <t>SS-SATIN-TAUPE-TWIN-3PCS</t>
        </is>
      </c>
      <c r="E892" s="54" t="inlineStr">
        <is>
          <t>Twin</t>
        </is>
      </c>
      <c r="F892" s="54" t="inlineStr">
        <is>
          <t>Taupe</t>
        </is>
      </c>
      <c r="G892" s="55" t="n">
        <v>12</v>
      </c>
      <c r="H892" s="55" t="n">
        <v>0</v>
      </c>
      <c r="I892" s="56" t="n"/>
      <c r="J892" s="57" t="n">
        <v>0.02</v>
      </c>
      <c r="K892" s="56" t="inlineStr">
        <is>
          <t>account data velocity</t>
        </is>
      </c>
      <c r="L892" s="58" t="n">
        <v>2.5897</v>
      </c>
      <c r="M892" s="56" t="inlineStr">
        <is>
          <t>own BFCM 2025 lift (account data)</t>
        </is>
      </c>
      <c r="N892" s="59">
        <f>J892*34+J892*L892*12</f>
        <v/>
      </c>
      <c r="O892" s="59">
        <f>MAX(0,N892-G892-H892)</f>
        <v/>
      </c>
      <c r="P892" s="60">
        <f>IF(J892=0,"",IF(G892&lt;J892*34,DATE(2026,10,15)+G892/J892,IF(G892&lt;N892,DATE(2026,11,18)+(G892-J892*34)/(J892*L892),"after Nov 30")))</f>
        <v/>
      </c>
      <c r="Q892" s="60">
        <f>IF(J892=0,"",IF(G892+H892&lt;J892*34,DATE(2026,10,15)+(G892+H892)/J892,IF(G892+H892&lt;N892,DATE(2026,11,18)+(G892+H892-J892*34)/(J892*L892),"after Nov 30")))</f>
        <v/>
      </c>
      <c r="R892" s="54">
        <f>IF(AND(G892&lt;=0,J892&gt;0),"Out of stock now",IF(G892&gt;=N892,"Covered to Nov 30",IF(G892+H892&gt;=N892,"Needs inbound in time","Short even with inbound")))</f>
        <v/>
      </c>
      <c r="S892" s="57" t="n">
        <v>0.107</v>
      </c>
      <c r="T892" s="59">
        <f>IF(S892="","",S892*34+S892*L892*12)</f>
        <v/>
      </c>
    </row>
    <row r="893">
      <c r="A893" s="54" t="inlineStr">
        <is>
          <t>US SSS4</t>
        </is>
      </c>
      <c r="B893" s="54" t="inlineStr">
        <is>
          <t>US</t>
        </is>
      </c>
      <c r="C893" s="54" t="inlineStr">
        <is>
          <t>B0DDR95C35</t>
        </is>
      </c>
      <c r="D893" s="54" t="inlineStr">
        <is>
          <t>SS-SATIN-NAVY-BLUE-TWIN-3PCS</t>
        </is>
      </c>
      <c r="E893" s="54" t="inlineStr">
        <is>
          <t>Twin</t>
        </is>
      </c>
      <c r="F893" s="54" t="inlineStr">
        <is>
          <t>Navy Blue</t>
        </is>
      </c>
      <c r="G893" s="55" t="n">
        <v>22</v>
      </c>
      <c r="H893" s="55" t="n">
        <v>0</v>
      </c>
      <c r="I893" s="56" t="n"/>
      <c r="J893" s="57" t="n">
        <v>0.02</v>
      </c>
      <c r="K893" s="56" t="inlineStr">
        <is>
          <t>account data velocity</t>
        </is>
      </c>
      <c r="L893" s="58" t="n">
        <v>2.5897</v>
      </c>
      <c r="M893" s="56" t="inlineStr">
        <is>
          <t>own BFCM 2025 lift (account data)</t>
        </is>
      </c>
      <c r="N893" s="59">
        <f>J893*34+J893*L893*12</f>
        <v/>
      </c>
      <c r="O893" s="59">
        <f>MAX(0,N893-G893-H893)</f>
        <v/>
      </c>
      <c r="P893" s="60">
        <f>IF(J893=0,"",IF(G893&lt;J893*34,DATE(2026,10,15)+G893/J893,IF(G893&lt;N893,DATE(2026,11,18)+(G893-J893*34)/(J893*L893),"after Nov 30")))</f>
        <v/>
      </c>
      <c r="Q893" s="60">
        <f>IF(J893=0,"",IF(G893+H893&lt;J893*34,DATE(2026,10,15)+(G893+H893)/J893,IF(G893+H893&lt;N893,DATE(2026,11,18)+(G893+H893-J893*34)/(J893*L893),"after Nov 30")))</f>
        <v/>
      </c>
      <c r="R893" s="54">
        <f>IF(AND(G893&lt;=0,J893&gt;0),"Out of stock now",IF(G893&gt;=N893,"Covered to Nov 30",IF(G893+H893&gt;=N893,"Needs inbound in time","Short even with inbound")))</f>
        <v/>
      </c>
      <c r="S893" s="57" t="n">
        <v>0.07099999999999999</v>
      </c>
      <c r="T893" s="59">
        <f>IF(S893="","",S893*34+S893*L893*12)</f>
        <v/>
      </c>
    </row>
    <row r="894">
      <c r="A894" s="54" t="inlineStr">
        <is>
          <t>US SSS4</t>
        </is>
      </c>
      <c r="B894" s="54" t="inlineStr">
        <is>
          <t>US</t>
        </is>
      </c>
      <c r="C894" s="54" t="inlineStr">
        <is>
          <t>B0DDQXMHHQ</t>
        </is>
      </c>
      <c r="D894" s="54" t="inlineStr">
        <is>
          <t>SS-SATIN-STRIPED-PURPLE-FULL-4PCS</t>
        </is>
      </c>
      <c r="E894" s="54" t="inlineStr">
        <is>
          <t>Full</t>
        </is>
      </c>
      <c r="F894" s="54" t="inlineStr">
        <is>
          <t>Striped Purple</t>
        </is>
      </c>
      <c r="G894" s="55" t="n">
        <v>14</v>
      </c>
      <c r="H894" s="55" t="n">
        <v>0</v>
      </c>
      <c r="I894" s="56" t="n"/>
      <c r="J894" s="57" t="n">
        <v>0.01</v>
      </c>
      <c r="K894" s="56" t="inlineStr">
        <is>
          <t>account data velocity</t>
        </is>
      </c>
      <c r="L894" s="58" t="n">
        <v>2.5897</v>
      </c>
      <c r="M894" s="56" t="inlineStr">
        <is>
          <t>own BFCM 2025 lift (account data)</t>
        </is>
      </c>
      <c r="N894" s="59">
        <f>J894*34+J894*L894*12</f>
        <v/>
      </c>
      <c r="O894" s="59">
        <f>MAX(0,N894-G894-H894)</f>
        <v/>
      </c>
      <c r="P894" s="60">
        <f>IF(J894=0,"",IF(G894&lt;J894*34,DATE(2026,10,15)+G894/J894,IF(G894&lt;N894,DATE(2026,11,18)+(G894-J894*34)/(J894*L894),"after Nov 30")))</f>
        <v/>
      </c>
      <c r="Q894" s="60">
        <f>IF(J894=0,"",IF(G894+H894&lt;J894*34,DATE(2026,10,15)+(G894+H894)/J894,IF(G894+H894&lt;N894,DATE(2026,11,18)+(G894+H894-J894*34)/(J894*L894),"after Nov 30")))</f>
        <v/>
      </c>
      <c r="R894" s="54">
        <f>IF(AND(G894&lt;=0,J894&gt;0),"Out of stock now",IF(G894&gt;=N894,"Covered to Nov 30",IF(G894+H894&gt;=N894,"Needs inbound in time","Short even with inbound")))</f>
        <v/>
      </c>
      <c r="S894" s="57" t="n">
        <v>0.07099999999999999</v>
      </c>
      <c r="T894" s="59">
        <f>IF(S894="","",S894*34+S894*L894*12)</f>
        <v/>
      </c>
    </row>
    <row r="895">
      <c r="A895" s="54" t="inlineStr">
        <is>
          <t>US SSS4</t>
        </is>
      </c>
      <c r="B895" s="54" t="inlineStr">
        <is>
          <t>US</t>
        </is>
      </c>
      <c r="C895" s="54" t="inlineStr">
        <is>
          <t>B0DDR9TM21</t>
        </is>
      </c>
      <c r="D895" s="54" t="inlineStr">
        <is>
          <t>SS-SATIN-STRIPED-RED-FULL-4PCS</t>
        </is>
      </c>
      <c r="E895" s="54" t="inlineStr">
        <is>
          <t>Full</t>
        </is>
      </c>
      <c r="F895" s="54" t="inlineStr">
        <is>
          <t>Striped Red</t>
        </is>
      </c>
      <c r="G895" s="55" t="n">
        <v>1</v>
      </c>
      <c r="H895" s="55" t="n">
        <v>0</v>
      </c>
      <c r="I895" s="56" t="n"/>
      <c r="J895" s="57" t="n">
        <v>0.01</v>
      </c>
      <c r="K895" s="56" t="inlineStr">
        <is>
          <t>account data velocity</t>
        </is>
      </c>
      <c r="L895" s="58" t="n">
        <v>2.5897</v>
      </c>
      <c r="M895" s="56" t="inlineStr">
        <is>
          <t>own BFCM 2025 lift (account data)</t>
        </is>
      </c>
      <c r="N895" s="59">
        <f>J895*34+J895*L895*12</f>
        <v/>
      </c>
      <c r="O895" s="59">
        <f>MAX(0,N895-G895-H895)</f>
        <v/>
      </c>
      <c r="P895" s="60">
        <f>IF(J895=0,"",IF(G895&lt;J895*34,DATE(2026,10,15)+G895/J895,IF(G895&lt;N895,DATE(2026,11,18)+(G895-J895*34)/(J895*L895),"after Nov 30")))</f>
        <v/>
      </c>
      <c r="Q895" s="60">
        <f>IF(J895=0,"",IF(G895+H895&lt;J895*34,DATE(2026,10,15)+(G895+H895)/J895,IF(G895+H895&lt;N895,DATE(2026,11,18)+(G895+H895-J895*34)/(J895*L895),"after Nov 30")))</f>
        <v/>
      </c>
      <c r="R895" s="54">
        <f>IF(AND(G895&lt;=0,J895&gt;0),"Out of stock now",IF(G895&gt;=N895,"Covered to Nov 30",IF(G895+H895&gt;=N895,"Needs inbound in time","Short even with inbound")))</f>
        <v/>
      </c>
      <c r="S895" s="57" t="n">
        <v>0.036</v>
      </c>
      <c r="T895" s="59">
        <f>IF(S895="","",S895*34+S895*L895*12)</f>
        <v/>
      </c>
    </row>
    <row r="896">
      <c r="A896" s="54" t="inlineStr">
        <is>
          <t>US SSS4</t>
        </is>
      </c>
      <c r="B896" s="54" t="inlineStr">
        <is>
          <t>US</t>
        </is>
      </c>
      <c r="C896" s="54" t="inlineStr">
        <is>
          <t>B0DDRKVH9Q</t>
        </is>
      </c>
      <c r="D896" s="54" t="inlineStr">
        <is>
          <t>SS-SATIN-BLACK-KING-4PCS</t>
        </is>
      </c>
      <c r="E896" s="54" t="inlineStr">
        <is>
          <t>King</t>
        </is>
      </c>
      <c r="F896" s="54" t="inlineStr">
        <is>
          <t>Black</t>
        </is>
      </c>
      <c r="G896" s="55" t="n">
        <v>0</v>
      </c>
      <c r="H896" s="55" t="n">
        <v>0</v>
      </c>
      <c r="I896" s="56" t="n"/>
      <c r="J896" s="57" t="n">
        <v>0.01</v>
      </c>
      <c r="K896" s="56" t="inlineStr">
        <is>
          <t>account data velocity</t>
        </is>
      </c>
      <c r="L896" s="58" t="n">
        <v>2.5897</v>
      </c>
      <c r="M896" s="56" t="inlineStr">
        <is>
          <t>own BFCM 2025 lift (account data)</t>
        </is>
      </c>
      <c r="N896" s="59">
        <f>J896*34+J896*L896*12</f>
        <v/>
      </c>
      <c r="O896" s="59">
        <f>MAX(0,N896-G896-H896)</f>
        <v/>
      </c>
      <c r="P896" s="60">
        <f>IF(J896=0,"",IF(G896&lt;J896*34,DATE(2026,10,15)+G896/J896,IF(G896&lt;N896,DATE(2026,11,18)+(G896-J896*34)/(J896*L896),"after Nov 30")))</f>
        <v/>
      </c>
      <c r="Q896" s="60">
        <f>IF(J896=0,"",IF(G896+H896&lt;J896*34,DATE(2026,10,15)+(G896+H896)/J896,IF(G896+H896&lt;N896,DATE(2026,11,18)+(G896+H896-J896*34)/(J896*L896),"after Nov 30")))</f>
        <v/>
      </c>
      <c r="R896" s="54">
        <f>IF(AND(G896&lt;=0,J896&gt;0),"Out of stock now",IF(G896&gt;=N896,"Covered to Nov 30",IF(G896+H896&gt;=N896,"Needs inbound in time","Short even with inbound")))</f>
        <v/>
      </c>
      <c r="S896" s="57" t="n">
        <v>0.036</v>
      </c>
      <c r="T896" s="59">
        <f>IF(S896="","",S896*34+S896*L896*12)</f>
        <v/>
      </c>
    </row>
    <row r="897">
      <c r="A897" s="54" t="inlineStr">
        <is>
          <t>US SSS4</t>
        </is>
      </c>
      <c r="B897" s="54" t="inlineStr">
        <is>
          <t>US</t>
        </is>
      </c>
      <c r="C897" s="54" t="inlineStr">
        <is>
          <t>B0DDR3QB2L</t>
        </is>
      </c>
      <c r="D897" s="54" t="inlineStr">
        <is>
          <t>SS-SATIN-BLUE-TWIN-3PCS</t>
        </is>
      </c>
      <c r="E897" s="54" t="inlineStr">
        <is>
          <t>Twin</t>
        </is>
      </c>
      <c r="F897" s="54" t="inlineStr">
        <is>
          <t>Blue</t>
        </is>
      </c>
      <c r="G897" s="55" t="n">
        <v>22</v>
      </c>
      <c r="H897" s="55" t="n">
        <v>0</v>
      </c>
      <c r="I897" s="56" t="n"/>
      <c r="J897" s="57" t="n">
        <v>0.01</v>
      </c>
      <c r="K897" s="56" t="inlineStr">
        <is>
          <t>account data velocity</t>
        </is>
      </c>
      <c r="L897" s="58" t="n">
        <v>2.5897</v>
      </c>
      <c r="M897" s="56" t="inlineStr">
        <is>
          <t>own BFCM 2025 lift (account data)</t>
        </is>
      </c>
      <c r="N897" s="59">
        <f>J897*34+J897*L897*12</f>
        <v/>
      </c>
      <c r="O897" s="59">
        <f>MAX(0,N897-G897-H897)</f>
        <v/>
      </c>
      <c r="P897" s="60">
        <f>IF(J897=0,"",IF(G897&lt;J897*34,DATE(2026,10,15)+G897/J897,IF(G897&lt;N897,DATE(2026,11,18)+(G897-J897*34)/(J897*L897),"after Nov 30")))</f>
        <v/>
      </c>
      <c r="Q897" s="60">
        <f>IF(J897=0,"",IF(G897+H897&lt;J897*34,DATE(2026,10,15)+(G897+H897)/J897,IF(G897+H897&lt;N897,DATE(2026,11,18)+(G897+H897-J897*34)/(J897*L897),"after Nov 30")))</f>
        <v/>
      </c>
      <c r="R897" s="54">
        <f>IF(AND(G897&lt;=0,J897&gt;0),"Out of stock now",IF(G897&gt;=N897,"Covered to Nov 30",IF(G897+H897&gt;=N897,"Needs inbound in time","Short even with inbound")))</f>
        <v/>
      </c>
      <c r="S897" s="57" t="n">
        <v>0.036</v>
      </c>
      <c r="T897" s="59">
        <f>IF(S897="","",S897*34+S897*L897*12)</f>
        <v/>
      </c>
    </row>
    <row r="898">
      <c r="A898" s="54" t="inlineStr">
        <is>
          <t>US SSS4</t>
        </is>
      </c>
      <c r="B898" s="54" t="inlineStr">
        <is>
          <t>US</t>
        </is>
      </c>
      <c r="C898" s="54" t="inlineStr">
        <is>
          <t>B0DDQTZWY6</t>
        </is>
      </c>
      <c r="D898" s="54" t="inlineStr">
        <is>
          <t>SS-SATIN-RED-TWIN-3PCS</t>
        </is>
      </c>
      <c r="E898" s="54" t="inlineStr">
        <is>
          <t>Twin</t>
        </is>
      </c>
      <c r="F898" s="54" t="inlineStr">
        <is>
          <t>Red</t>
        </is>
      </c>
      <c r="G898" s="55" t="n">
        <v>50</v>
      </c>
      <c r="H898" s="55" t="n">
        <v>0</v>
      </c>
      <c r="I898" s="56" t="n"/>
      <c r="J898" s="57" t="n">
        <v>0.01</v>
      </c>
      <c r="K898" s="56" t="inlineStr">
        <is>
          <t>account data velocity</t>
        </is>
      </c>
      <c r="L898" s="58" t="n">
        <v>2.5897</v>
      </c>
      <c r="M898" s="56" t="inlineStr">
        <is>
          <t>own BFCM 2025 lift (account data)</t>
        </is>
      </c>
      <c r="N898" s="59">
        <f>J898*34+J898*L898*12</f>
        <v/>
      </c>
      <c r="O898" s="59">
        <f>MAX(0,N898-G898-H898)</f>
        <v/>
      </c>
      <c r="P898" s="60">
        <f>IF(J898=0,"",IF(G898&lt;J898*34,DATE(2026,10,15)+G898/J898,IF(G898&lt;N898,DATE(2026,11,18)+(G898-J898*34)/(J898*L898),"after Nov 30")))</f>
        <v/>
      </c>
      <c r="Q898" s="60">
        <f>IF(J898=0,"",IF(G898+H898&lt;J898*34,DATE(2026,10,15)+(G898+H898)/J898,IF(G898+H898&lt;N898,DATE(2026,11,18)+(G898+H898-J898*34)/(J898*L898),"after Nov 30")))</f>
        <v/>
      </c>
      <c r="R898" s="54">
        <f>IF(AND(G898&lt;=0,J898&gt;0),"Out of stock now",IF(G898&gt;=N898,"Covered to Nov 30",IF(G898+H898&gt;=N898,"Needs inbound in time","Short even with inbound")))</f>
        <v/>
      </c>
      <c r="S898" s="57" t="n">
        <v>0</v>
      </c>
      <c r="T898" s="59">
        <f>IF(S898="","",S898*34+S898*L898*12)</f>
        <v/>
      </c>
    </row>
    <row r="899">
      <c r="A899" s="54" t="inlineStr">
        <is>
          <t>US SSS4</t>
        </is>
      </c>
      <c r="B899" s="54" t="inlineStr">
        <is>
          <t>US</t>
        </is>
      </c>
      <c r="C899" s="54" t="inlineStr">
        <is>
          <t>B0DDR7G7Z8</t>
        </is>
      </c>
      <c r="D899" s="54" t="inlineStr">
        <is>
          <t>SS-SATIN-STRIPED-GOLD-FULL-4PCS</t>
        </is>
      </c>
      <c r="E899" s="54" t="inlineStr">
        <is>
          <t>Full</t>
        </is>
      </c>
      <c r="F899" s="54" t="inlineStr">
        <is>
          <t>Striped Gold</t>
        </is>
      </c>
      <c r="G899" s="55" t="n">
        <v>10</v>
      </c>
      <c r="H899" s="55" t="n">
        <v>0</v>
      </c>
      <c r="I899" s="56" t="n"/>
      <c r="J899" s="57" t="n">
        <v>0</v>
      </c>
      <c r="K899" s="56" t="inlineStr">
        <is>
          <t>account data velocity</t>
        </is>
      </c>
      <c r="L899" s="58" t="n">
        <v>2.5897</v>
      </c>
      <c r="M899" s="56" t="inlineStr">
        <is>
          <t>own BFCM 2025 lift (account data)</t>
        </is>
      </c>
      <c r="N899" s="59">
        <f>J899*34+J899*L899*12</f>
        <v/>
      </c>
      <c r="O899" s="59">
        <f>MAX(0,N899-G899-H899)</f>
        <v/>
      </c>
      <c r="P899" s="60">
        <f>IF(J899=0,"",IF(G899&lt;J899*34,DATE(2026,10,15)+G899/J899,IF(G899&lt;N899,DATE(2026,11,18)+(G899-J899*34)/(J899*L899),"after Nov 30")))</f>
        <v/>
      </c>
      <c r="Q899" s="60">
        <f>IF(J899=0,"",IF(G899+H899&lt;J899*34,DATE(2026,10,15)+(G899+H899)/J899,IF(G899+H899&lt;N899,DATE(2026,11,18)+(G899+H899-J899*34)/(J899*L899),"after Nov 30")))</f>
        <v/>
      </c>
      <c r="R899" s="54">
        <f>IF(AND(G899&lt;=0,J899&gt;0),"Out of stock now",IF(G899&gt;=N899,"Covered to Nov 30",IF(G899+H899&gt;=N899,"Needs inbound in time","Short even with inbound")))</f>
        <v/>
      </c>
      <c r="S899" s="57" t="n">
        <v>0</v>
      </c>
      <c r="T899" s="59">
        <f>IF(S899="","",S899*34+S899*L899*12)</f>
        <v/>
      </c>
    </row>
    <row r="900">
      <c r="A900" s="54" t="inlineStr">
        <is>
          <t>US SSS4</t>
        </is>
      </c>
      <c r="B900" s="54" t="inlineStr">
        <is>
          <t>US</t>
        </is>
      </c>
      <c r="C900" s="54" t="inlineStr">
        <is>
          <t>B0DDRB21ZG</t>
        </is>
      </c>
      <c r="D900" s="54" t="inlineStr">
        <is>
          <t>SS-SATIN-STRIPED-GOLD-QUEEN-4PCS</t>
        </is>
      </c>
      <c r="E900" s="54" t="inlineStr">
        <is>
          <t>Queen</t>
        </is>
      </c>
      <c r="F900" s="54" t="inlineStr">
        <is>
          <t>Striped Gold</t>
        </is>
      </c>
      <c r="G900" s="55" t="n">
        <v>1</v>
      </c>
      <c r="H900" s="55" t="n">
        <v>0</v>
      </c>
      <c r="I900" s="56" t="n"/>
      <c r="J900" s="57" t="n">
        <v>0</v>
      </c>
      <c r="K900" s="56" t="inlineStr">
        <is>
          <t>account data velocity</t>
        </is>
      </c>
      <c r="L900" s="58" t="n">
        <v>2.5897</v>
      </c>
      <c r="M900" s="56" t="inlineStr">
        <is>
          <t>own BFCM 2025 lift (account data)</t>
        </is>
      </c>
      <c r="N900" s="59">
        <f>J900*34+J900*L900*12</f>
        <v/>
      </c>
      <c r="O900" s="59">
        <f>MAX(0,N900-G900-H900)</f>
        <v/>
      </c>
      <c r="P900" s="60">
        <f>IF(J900=0,"",IF(G900&lt;J900*34,DATE(2026,10,15)+G900/J900,IF(G900&lt;N900,DATE(2026,11,18)+(G900-J900*34)/(J900*L900),"after Nov 30")))</f>
        <v/>
      </c>
      <c r="Q900" s="60">
        <f>IF(J900=0,"",IF(G900+H900&lt;J900*34,DATE(2026,10,15)+(G900+H900)/J900,IF(G900+H900&lt;N900,DATE(2026,11,18)+(G900+H900-J900*34)/(J900*L900),"after Nov 30")))</f>
        <v/>
      </c>
      <c r="R900" s="54">
        <f>IF(AND(G900&lt;=0,J900&gt;0),"Out of stock now",IF(G900&gt;=N900,"Covered to Nov 30",IF(G900+H900&gt;=N900,"Needs inbound in time","Short even with inbound")))</f>
        <v/>
      </c>
      <c r="S900" s="57" t="n">
        <v>0</v>
      </c>
      <c r="T900" s="59">
        <f>IF(S900="","",S900*34+S900*L900*12)</f>
        <v/>
      </c>
    </row>
    <row r="901">
      <c r="A901" s="54" t="inlineStr">
        <is>
          <t>US SSS4</t>
        </is>
      </c>
      <c r="B901" s="54" t="inlineStr">
        <is>
          <t>US</t>
        </is>
      </c>
      <c r="C901" s="54" t="inlineStr">
        <is>
          <t>B0DDRF485L</t>
        </is>
      </c>
      <c r="D901" s="54" t="inlineStr">
        <is>
          <t>SS-SATIN-BURNT-ORANGE-TWIN-3PCS</t>
        </is>
      </c>
      <c r="E901" s="54" t="inlineStr">
        <is>
          <t>Twin</t>
        </is>
      </c>
      <c r="F901" s="54" t="inlineStr">
        <is>
          <t>Burnt Orange</t>
        </is>
      </c>
      <c r="G901" s="55" t="n">
        <v>23</v>
      </c>
      <c r="H901" s="55" t="n">
        <v>0</v>
      </c>
      <c r="I901" s="56" t="n"/>
      <c r="J901" s="57" t="n">
        <v>0</v>
      </c>
      <c r="K901" s="56" t="inlineStr">
        <is>
          <t>account data velocity</t>
        </is>
      </c>
      <c r="L901" s="58" t="n">
        <v>2.5897</v>
      </c>
      <c r="M901" s="56" t="inlineStr">
        <is>
          <t>own BFCM 2025 lift (account data)</t>
        </is>
      </c>
      <c r="N901" s="59">
        <f>J901*34+J901*L901*12</f>
        <v/>
      </c>
      <c r="O901" s="59">
        <f>MAX(0,N901-G901-H901)</f>
        <v/>
      </c>
      <c r="P901" s="60">
        <f>IF(J901=0,"",IF(G901&lt;J901*34,DATE(2026,10,15)+G901/J901,IF(G901&lt;N901,DATE(2026,11,18)+(G901-J901*34)/(J901*L901),"after Nov 30")))</f>
        <v/>
      </c>
      <c r="Q901" s="60">
        <f>IF(J901=0,"",IF(G901+H901&lt;J901*34,DATE(2026,10,15)+(G901+H901)/J901,IF(G901+H901&lt;N901,DATE(2026,11,18)+(G901+H901-J901*34)/(J901*L901),"after Nov 30")))</f>
        <v/>
      </c>
      <c r="R901" s="54">
        <f>IF(AND(G901&lt;=0,J901&gt;0),"Out of stock now",IF(G901&gt;=N901,"Covered to Nov 30",IF(G901+H901&gt;=N901,"Needs inbound in time","Short even with inbound")))</f>
        <v/>
      </c>
      <c r="S901" s="57" t="n">
        <v>0</v>
      </c>
      <c r="T901" s="59">
        <f>IF(S901="","",S901*34+S901*L901*12)</f>
        <v/>
      </c>
    </row>
    <row r="902">
      <c r="A902" s="54" t="inlineStr">
        <is>
          <t>US SSS4</t>
        </is>
      </c>
      <c r="B902" s="54" t="inlineStr">
        <is>
          <t>US</t>
        </is>
      </c>
      <c r="C902" s="54" t="inlineStr">
        <is>
          <t>B0DDR96RQ3</t>
        </is>
      </c>
      <c r="D902" s="54" t="inlineStr">
        <is>
          <t>SS-SATIN-CHAMPAGNE-TWIN-3PCS</t>
        </is>
      </c>
      <c r="E902" s="54" t="inlineStr">
        <is>
          <t>Twin</t>
        </is>
      </c>
      <c r="F902" s="54" t="inlineStr">
        <is>
          <t>Champagne</t>
        </is>
      </c>
      <c r="G902" s="55" t="n">
        <v>15</v>
      </c>
      <c r="H902" s="55" t="n">
        <v>0</v>
      </c>
      <c r="I902" s="56" t="n"/>
      <c r="J902" s="57" t="n">
        <v>0</v>
      </c>
      <c r="K902" s="56" t="inlineStr">
        <is>
          <t>account data velocity</t>
        </is>
      </c>
      <c r="L902" s="58" t="n">
        <v>2.5897</v>
      </c>
      <c r="M902" s="56" t="inlineStr">
        <is>
          <t>own BFCM 2025 lift (account data)</t>
        </is>
      </c>
      <c r="N902" s="59">
        <f>J902*34+J902*L902*12</f>
        <v/>
      </c>
      <c r="O902" s="59">
        <f>MAX(0,N902-G902-H902)</f>
        <v/>
      </c>
      <c r="P902" s="60">
        <f>IF(J902=0,"",IF(G902&lt;J902*34,DATE(2026,10,15)+G902/J902,IF(G902&lt;N902,DATE(2026,11,18)+(G902-J902*34)/(J902*L902),"after Nov 30")))</f>
        <v/>
      </c>
      <c r="Q902" s="60">
        <f>IF(J902=0,"",IF(G902+H902&lt;J902*34,DATE(2026,10,15)+(G902+H902)/J902,IF(G902+H902&lt;N902,DATE(2026,11,18)+(G902+H902-J902*34)/(J902*L902),"after Nov 30")))</f>
        <v/>
      </c>
      <c r="R902" s="54">
        <f>IF(AND(G902&lt;=0,J902&gt;0),"Out of stock now",IF(G902&gt;=N902,"Covered to Nov 30",IF(G902+H902&gt;=N902,"Needs inbound in time","Short even with inbound")))</f>
        <v/>
      </c>
      <c r="S902" s="57" t="n">
        <v>0</v>
      </c>
      <c r="T902" s="59">
        <f>IF(S902="","",S902*34+S902*L902*12)</f>
        <v/>
      </c>
    </row>
    <row r="903">
      <c r="A903" s="54" t="inlineStr">
        <is>
          <t>US SSS4</t>
        </is>
      </c>
      <c r="B903" s="54" t="inlineStr">
        <is>
          <t>US</t>
        </is>
      </c>
      <c r="C903" s="54" t="inlineStr">
        <is>
          <t>B0DDR9XL62</t>
        </is>
      </c>
      <c r="D903" s="54" t="inlineStr">
        <is>
          <t>SS-SATIN-STRIPED-BLUE-TWIN-3PCS</t>
        </is>
      </c>
      <c r="E903" s="54" t="inlineStr">
        <is>
          <t>Twin</t>
        </is>
      </c>
      <c r="F903" s="54" t="inlineStr">
        <is>
          <t>Striped Blue</t>
        </is>
      </c>
      <c r="G903" s="55" t="n">
        <v>5</v>
      </c>
      <c r="H903" s="55" t="n">
        <v>0</v>
      </c>
      <c r="I903" s="56" t="n"/>
      <c r="J903" s="57" t="n">
        <v>0</v>
      </c>
      <c r="K903" s="56" t="inlineStr">
        <is>
          <t>account data velocity</t>
        </is>
      </c>
      <c r="L903" s="58" t="n">
        <v>2.5897</v>
      </c>
      <c r="M903" s="56" t="inlineStr">
        <is>
          <t>own BFCM 2025 lift (account data)</t>
        </is>
      </c>
      <c r="N903" s="59">
        <f>J903*34+J903*L903*12</f>
        <v/>
      </c>
      <c r="O903" s="59">
        <f>MAX(0,N903-G903-H903)</f>
        <v/>
      </c>
      <c r="P903" s="60">
        <f>IF(J903=0,"",IF(G903&lt;J903*34,DATE(2026,10,15)+G903/J903,IF(G903&lt;N903,DATE(2026,11,18)+(G903-J903*34)/(J903*L903),"after Nov 30")))</f>
        <v/>
      </c>
      <c r="Q903" s="60">
        <f>IF(J903=0,"",IF(G903+H903&lt;J903*34,DATE(2026,10,15)+(G903+H903)/J903,IF(G903+H903&lt;N903,DATE(2026,11,18)+(G903+H903-J903*34)/(J903*L903),"after Nov 30")))</f>
        <v/>
      </c>
      <c r="R903" s="54">
        <f>IF(AND(G903&lt;=0,J903&gt;0),"Out of stock now",IF(G903&gt;=N903,"Covered to Nov 30",IF(G903+H903&gt;=N903,"Needs inbound in time","Short even with inbound")))</f>
        <v/>
      </c>
      <c r="S903" s="57" t="n">
        <v>0</v>
      </c>
      <c r="T903" s="59">
        <f>IF(S903="","",S903*34+S903*L903*12)</f>
        <v/>
      </c>
    </row>
    <row r="904">
      <c r="A904" s="54" t="inlineStr">
        <is>
          <t>US SSS4</t>
        </is>
      </c>
      <c r="B904" s="54" t="inlineStr">
        <is>
          <t>US</t>
        </is>
      </c>
      <c r="C904" s="54" t="inlineStr">
        <is>
          <t>B0DDRKHNWQ</t>
        </is>
      </c>
      <c r="D904" s="54" t="inlineStr">
        <is>
          <t>SS-SATIN-STRIPED-GREY-TWIN-3PCS</t>
        </is>
      </c>
      <c r="E904" s="54" t="inlineStr">
        <is>
          <t>Twin</t>
        </is>
      </c>
      <c r="F904" s="54" t="inlineStr">
        <is>
          <t>Striped Grey</t>
        </is>
      </c>
      <c r="G904" s="55" t="n">
        <v>4</v>
      </c>
      <c r="H904" s="55" t="n">
        <v>0</v>
      </c>
      <c r="I904" s="56" t="n"/>
      <c r="J904" s="57" t="n">
        <v>0</v>
      </c>
      <c r="K904" s="56" t="inlineStr">
        <is>
          <t>account data velocity</t>
        </is>
      </c>
      <c r="L904" s="58" t="n">
        <v>2.5897</v>
      </c>
      <c r="M904" s="56" t="inlineStr">
        <is>
          <t>own BFCM 2025 lift (account data)</t>
        </is>
      </c>
      <c r="N904" s="59">
        <f>J904*34+J904*L904*12</f>
        <v/>
      </c>
      <c r="O904" s="59">
        <f>MAX(0,N904-G904-H904)</f>
        <v/>
      </c>
      <c r="P904" s="60">
        <f>IF(J904=0,"",IF(G904&lt;J904*34,DATE(2026,10,15)+G904/J904,IF(G904&lt;N904,DATE(2026,11,18)+(G904-J904*34)/(J904*L904),"after Nov 30")))</f>
        <v/>
      </c>
      <c r="Q904" s="60">
        <f>IF(J904=0,"",IF(G904+H904&lt;J904*34,DATE(2026,10,15)+(G904+H904)/J904,IF(G904+H904&lt;N904,DATE(2026,11,18)+(G904+H904-J904*34)/(J904*L904),"after Nov 30")))</f>
        <v/>
      </c>
      <c r="R904" s="54">
        <f>IF(AND(G904&lt;=0,J904&gt;0),"Out of stock now",IF(G904&gt;=N904,"Covered to Nov 30",IF(G904+H904&gt;=N904,"Needs inbound in time","Short even with inbound")))</f>
        <v/>
      </c>
      <c r="S904" s="57" t="n">
        <v>0</v>
      </c>
      <c r="T904" s="59">
        <f>IF(S904="","",S904*34+S904*L904*12)</f>
        <v/>
      </c>
    </row>
    <row r="905">
      <c r="A905" s="54" t="inlineStr">
        <is>
          <t>US SSS4</t>
        </is>
      </c>
      <c r="B905" s="54" t="inlineStr">
        <is>
          <t>US</t>
        </is>
      </c>
      <c r="C905" s="54" t="inlineStr">
        <is>
          <t>B0DDR9L9TF</t>
        </is>
      </c>
      <c r="D905" s="54" t="inlineStr">
        <is>
          <t>SS-SATIN-STRIPED-PURPLE-TWIN-3PCS</t>
        </is>
      </c>
      <c r="E905" s="54" t="inlineStr">
        <is>
          <t>Twin</t>
        </is>
      </c>
      <c r="F905" s="54" t="inlineStr">
        <is>
          <t>Striped Purple</t>
        </is>
      </c>
      <c r="G905" s="55" t="n">
        <v>17</v>
      </c>
      <c r="H905" s="55" t="n">
        <v>0</v>
      </c>
      <c r="I905" s="56" t="inlineStr">
        <is>
          <t>FBA19SV5KWMR ready to ship: 6</t>
        </is>
      </c>
      <c r="J905" s="57" t="n">
        <v>0</v>
      </c>
      <c r="K905" s="56" t="inlineStr">
        <is>
          <t>account data velocity</t>
        </is>
      </c>
      <c r="L905" s="58" t="n">
        <v>2.5897</v>
      </c>
      <c r="M905" s="56" t="inlineStr">
        <is>
          <t>own BFCM 2025 lift (account data)</t>
        </is>
      </c>
      <c r="N905" s="59">
        <f>J905*34+J905*L905*12</f>
        <v/>
      </c>
      <c r="O905" s="59">
        <f>MAX(0,N905-G905-H905)</f>
        <v/>
      </c>
      <c r="P905" s="60">
        <f>IF(J905=0,"",IF(G905&lt;J905*34,DATE(2026,10,15)+G905/J905,IF(G905&lt;N905,DATE(2026,11,18)+(G905-J905*34)/(J905*L905),"after Nov 30")))</f>
        <v/>
      </c>
      <c r="Q905" s="60">
        <f>IF(J905=0,"",IF(G905+H905&lt;J905*34,DATE(2026,10,15)+(G905+H905)/J905,IF(G905+H905&lt;N905,DATE(2026,11,18)+(G905+H905-J905*34)/(J905*L905),"after Nov 30")))</f>
        <v/>
      </c>
      <c r="R905" s="54">
        <f>IF(AND(G905&lt;=0,J905&gt;0),"Out of stock now",IF(G905&gt;=N905,"Covered to Nov 30",IF(G905+H905&gt;=N905,"Needs inbound in time","Short even with inbound")))</f>
        <v/>
      </c>
      <c r="S905" s="57" t="n">
        <v>0</v>
      </c>
      <c r="T905" s="59">
        <f>IF(S905="","",S905*34+S905*L905*12)</f>
        <v/>
      </c>
    </row>
    <row r="906">
      <c r="A906" s="54" t="inlineStr">
        <is>
          <t>US SSS4</t>
        </is>
      </c>
      <c r="B906" s="54" t="inlineStr">
        <is>
          <t>US</t>
        </is>
      </c>
      <c r="C906" s="54" t="inlineStr">
        <is>
          <t>B0DDR95PQM</t>
        </is>
      </c>
      <c r="D906" s="54" t="inlineStr">
        <is>
          <t>SS-SATIN-STRIPED-WHITE-TWIN-3PCS</t>
        </is>
      </c>
      <c r="E906" s="54" t="inlineStr">
        <is>
          <t>Twin</t>
        </is>
      </c>
      <c r="F906" s="54" t="inlineStr">
        <is>
          <t>Striped White</t>
        </is>
      </c>
      <c r="G906" s="55" t="n">
        <v>1</v>
      </c>
      <c r="H906" s="55" t="n">
        <v>0</v>
      </c>
      <c r="I906" s="56" t="n"/>
      <c r="J906" s="57" t="n">
        <v>0</v>
      </c>
      <c r="K906" s="56" t="inlineStr">
        <is>
          <t>account data velocity</t>
        </is>
      </c>
      <c r="L906" s="58" t="n">
        <v>2.5897</v>
      </c>
      <c r="M906" s="56" t="inlineStr">
        <is>
          <t>own BFCM 2025 lift (account data)</t>
        </is>
      </c>
      <c r="N906" s="59">
        <f>J906*34+J906*L906*12</f>
        <v/>
      </c>
      <c r="O906" s="59">
        <f>MAX(0,N906-G906-H906)</f>
        <v/>
      </c>
      <c r="P906" s="60">
        <f>IF(J906=0,"",IF(G906&lt;J906*34,DATE(2026,10,15)+G906/J906,IF(G906&lt;N906,DATE(2026,11,18)+(G906-J906*34)/(J906*L906),"after Nov 30")))</f>
        <v/>
      </c>
      <c r="Q906" s="60">
        <f>IF(J906=0,"",IF(G906+H906&lt;J906*34,DATE(2026,10,15)+(G906+H906)/J906,IF(G906+H906&lt;N906,DATE(2026,11,18)+(G906+H906-J906*34)/(J906*L906),"after Nov 30")))</f>
        <v/>
      </c>
      <c r="R906" s="54">
        <f>IF(AND(G906&lt;=0,J906&gt;0),"Out of stock now",IF(G906&gt;=N906,"Covered to Nov 30",IF(G906+H906&gt;=N906,"Needs inbound in time","Short even with inbound")))</f>
        <v/>
      </c>
      <c r="S906" s="57" t="n">
        <v>0</v>
      </c>
      <c r="T906" s="59">
        <f>IF(S906="","",S906*34+S906*L906*12)</f>
        <v/>
      </c>
    </row>
    <row r="907">
      <c r="A907" s="54" t="inlineStr">
        <is>
          <t>CA SSS4</t>
        </is>
      </c>
      <c r="B907" s="54" t="inlineStr">
        <is>
          <t>CA</t>
        </is>
      </c>
      <c r="C907" s="54" t="inlineStr">
        <is>
          <t>B0DDR6MK7V</t>
        </is>
      </c>
      <c r="D907" s="54" t="inlineStr">
        <is>
          <t>SS-SATIN-BABY-BLUE-KING-4PCS</t>
        </is>
      </c>
      <c r="E907" s="54" t="inlineStr">
        <is>
          <t>King</t>
        </is>
      </c>
      <c r="F907" s="54" t="inlineStr">
        <is>
          <t>Baby Blue</t>
        </is>
      </c>
      <c r="G907" s="55" t="n">
        <v>0</v>
      </c>
      <c r="H907" s="55" t="n">
        <v>0</v>
      </c>
      <c r="I907" s="56" t="inlineStr">
        <is>
          <t>FBA19RSBKFGZ shipped: 36</t>
        </is>
      </c>
      <c r="J907" s="57" t="n">
        <v>0.32</v>
      </c>
      <c r="K907" s="56" t="inlineStr">
        <is>
          <t>account data velocity</t>
        </is>
      </c>
      <c r="L907" s="58" t="n">
        <v>1.515</v>
      </c>
      <c r="M907" s="56" t="inlineStr">
        <is>
          <t>own BFCM 2025 lift (account data)</t>
        </is>
      </c>
      <c r="N907" s="59">
        <f>J907*34+J907*L907*12</f>
        <v/>
      </c>
      <c r="O907" s="59">
        <f>MAX(0,N907-G907-H907)</f>
        <v/>
      </c>
      <c r="P907" s="60">
        <f>IF(J907=0,"",IF(G907&lt;J907*34,DATE(2026,10,15)+G907/J907,IF(G907&lt;N907,DATE(2026,11,18)+(G907-J907*34)/(J907*L907),"after Nov 30")))</f>
        <v/>
      </c>
      <c r="Q907" s="60">
        <f>IF(J907=0,"",IF(G907+H907&lt;J907*34,DATE(2026,10,15)+(G907+H907)/J907,IF(G907+H907&lt;N907,DATE(2026,11,18)+(G907+H907-J907*34)/(J907*L907),"after Nov 30")))</f>
        <v/>
      </c>
      <c r="R907" s="54">
        <f>IF(AND(G907&lt;=0,J907&gt;0),"Out of stock now",IF(G907&gt;=N907,"Covered to Nov 30",IF(G907+H907&gt;=N907,"Needs inbound in time","Short even with inbound")))</f>
        <v/>
      </c>
      <c r="S907" s="57" t="n">
        <v>0.07099999999999999</v>
      </c>
      <c r="T907" s="59">
        <f>IF(S907="","",S907*34+S907*L907*12)</f>
        <v/>
      </c>
    </row>
    <row r="908">
      <c r="A908" s="54" t="inlineStr">
        <is>
          <t>CA SSS4</t>
        </is>
      </c>
      <c r="B908" s="54" t="inlineStr">
        <is>
          <t>CA</t>
        </is>
      </c>
      <c r="C908" s="54" t="inlineStr">
        <is>
          <t>B0DDRKVH9Q</t>
        </is>
      </c>
      <c r="D908" s="54" t="inlineStr">
        <is>
          <t>SS-SATIN-BLACK-KING-4PCS</t>
        </is>
      </c>
      <c r="E908" s="54" t="inlineStr">
        <is>
          <t>King</t>
        </is>
      </c>
      <c r="F908" s="54" t="inlineStr">
        <is>
          <t>Black</t>
        </is>
      </c>
      <c r="G908" s="55" t="n">
        <v>17</v>
      </c>
      <c r="H908" s="55" t="n">
        <v>0</v>
      </c>
      <c r="I908" s="56" t="n"/>
      <c r="J908" s="57" t="n">
        <v>0.24</v>
      </c>
      <c r="K908" s="56" t="inlineStr">
        <is>
          <t>account data velocity</t>
        </is>
      </c>
      <c r="L908" s="58" t="n">
        <v>1.515</v>
      </c>
      <c r="M908" s="56" t="inlineStr">
        <is>
          <t>own BFCM 2025 lift (account data)</t>
        </is>
      </c>
      <c r="N908" s="59">
        <f>J908*34+J908*L908*12</f>
        <v/>
      </c>
      <c r="O908" s="59">
        <f>MAX(0,N908-G908-H908)</f>
        <v/>
      </c>
      <c r="P908" s="60">
        <f>IF(J908=0,"",IF(G908&lt;J908*34,DATE(2026,10,15)+G908/J908,IF(G908&lt;N908,DATE(2026,11,18)+(G908-J908*34)/(J908*L908),"after Nov 30")))</f>
        <v/>
      </c>
      <c r="Q908" s="60">
        <f>IF(J908=0,"",IF(G908+H908&lt;J908*34,DATE(2026,10,15)+(G908+H908)/J908,IF(G908+H908&lt;N908,DATE(2026,11,18)+(G908+H908-J908*34)/(J908*L908),"after Nov 30")))</f>
        <v/>
      </c>
      <c r="R908" s="54">
        <f>IF(AND(G908&lt;=0,J908&gt;0),"Out of stock now",IF(G908&gt;=N908,"Covered to Nov 30",IF(G908+H908&gt;=N908,"Needs inbound in time","Short even with inbound")))</f>
        <v/>
      </c>
      <c r="S908" s="57" t="n">
        <v>0.107</v>
      </c>
      <c r="T908" s="59">
        <f>IF(S908="","",S908*34+S908*L908*12)</f>
        <v/>
      </c>
    </row>
    <row r="909">
      <c r="A909" s="54" t="inlineStr">
        <is>
          <t>CA SSS4</t>
        </is>
      </c>
      <c r="B909" s="54" t="inlineStr">
        <is>
          <t>CA</t>
        </is>
      </c>
      <c r="C909" s="54" t="inlineStr">
        <is>
          <t>B0DDR5K4JT</t>
        </is>
      </c>
      <c r="D909" s="54" t="inlineStr">
        <is>
          <t>SS-SATIN-NAVY-BLUE-KING-4PCS</t>
        </is>
      </c>
      <c r="E909" s="54" t="inlineStr">
        <is>
          <t>King</t>
        </is>
      </c>
      <c r="F909" s="54" t="inlineStr">
        <is>
          <t>Navy Blue</t>
        </is>
      </c>
      <c r="G909" s="55" t="n">
        <v>4</v>
      </c>
      <c r="H909" s="55" t="n">
        <v>0</v>
      </c>
      <c r="I909" s="56" t="n"/>
      <c r="J909" s="57" t="n">
        <v>0.22</v>
      </c>
      <c r="K909" s="56" t="inlineStr">
        <is>
          <t>account data velocity</t>
        </is>
      </c>
      <c r="L909" s="58" t="n">
        <v>1.515</v>
      </c>
      <c r="M909" s="56" t="inlineStr">
        <is>
          <t>own BFCM 2025 lift (account data)</t>
        </is>
      </c>
      <c r="N909" s="59">
        <f>J909*34+J909*L909*12</f>
        <v/>
      </c>
      <c r="O909" s="59">
        <f>MAX(0,N909-G909-H909)</f>
        <v/>
      </c>
      <c r="P909" s="60">
        <f>IF(J909=0,"",IF(G909&lt;J909*34,DATE(2026,10,15)+G909/J909,IF(G909&lt;N909,DATE(2026,11,18)+(G909-J909*34)/(J909*L909),"after Nov 30")))</f>
        <v/>
      </c>
      <c r="Q909" s="60">
        <f>IF(J909=0,"",IF(G909+H909&lt;J909*34,DATE(2026,10,15)+(G909+H909)/J909,IF(G909+H909&lt;N909,DATE(2026,11,18)+(G909+H909-J909*34)/(J909*L909),"after Nov 30")))</f>
        <v/>
      </c>
      <c r="R909" s="54">
        <f>IF(AND(G909&lt;=0,J909&gt;0),"Out of stock now",IF(G909&gt;=N909,"Covered to Nov 30",IF(G909+H909&gt;=N909,"Needs inbound in time","Short even with inbound")))</f>
        <v/>
      </c>
      <c r="S909" s="57" t="n">
        <v>0.07099999999999999</v>
      </c>
      <c r="T909" s="59">
        <f>IF(S909="","",S909*34+S909*L909*12)</f>
        <v/>
      </c>
    </row>
    <row r="910">
      <c r="A910" s="54" t="inlineStr">
        <is>
          <t>CA SSS4</t>
        </is>
      </c>
      <c r="B910" s="54" t="inlineStr">
        <is>
          <t>CA</t>
        </is>
      </c>
      <c r="C910" s="54" t="inlineStr">
        <is>
          <t>B0DDR5QBGQ</t>
        </is>
      </c>
      <c r="D910" s="54" t="inlineStr">
        <is>
          <t>SS-SATIN-IVORY-KING-4PCS</t>
        </is>
      </c>
      <c r="E910" s="54" t="inlineStr">
        <is>
          <t>King</t>
        </is>
      </c>
      <c r="F910" s="54" t="inlineStr">
        <is>
          <t>Ivory</t>
        </is>
      </c>
      <c r="G910" s="55" t="n">
        <v>1</v>
      </c>
      <c r="H910" s="55" t="n">
        <v>0</v>
      </c>
      <c r="I910" s="56" t="n"/>
      <c r="J910" s="57" t="n">
        <v>0.22</v>
      </c>
      <c r="K910" s="56" t="inlineStr">
        <is>
          <t>account data velocity</t>
        </is>
      </c>
      <c r="L910" s="58" t="n">
        <v>1.515</v>
      </c>
      <c r="M910" s="56" t="inlineStr">
        <is>
          <t>own BFCM 2025 lift (account data)</t>
        </is>
      </c>
      <c r="N910" s="59">
        <f>J910*34+J910*L910*12</f>
        <v/>
      </c>
      <c r="O910" s="59">
        <f>MAX(0,N910-G910-H910)</f>
        <v/>
      </c>
      <c r="P910" s="60">
        <f>IF(J910=0,"",IF(G910&lt;J910*34,DATE(2026,10,15)+G910/J910,IF(G910&lt;N910,DATE(2026,11,18)+(G910-J910*34)/(J910*L910),"after Nov 30")))</f>
        <v/>
      </c>
      <c r="Q910" s="60">
        <f>IF(J910=0,"",IF(G910+H910&lt;J910*34,DATE(2026,10,15)+(G910+H910)/J910,IF(G910+H910&lt;N910,DATE(2026,11,18)+(G910+H910-J910*34)/(J910*L910),"after Nov 30")))</f>
        <v/>
      </c>
      <c r="R910" s="54">
        <f>IF(AND(G910&lt;=0,J910&gt;0),"Out of stock now",IF(G910&gt;=N910,"Covered to Nov 30",IF(G910+H910&gt;=N910,"Needs inbound in time","Short even with inbound")))</f>
        <v/>
      </c>
      <c r="S910" s="57" t="n">
        <v>0</v>
      </c>
      <c r="T910" s="59">
        <f>IF(S910="","",S910*34+S910*L910*12)</f>
        <v/>
      </c>
    </row>
    <row r="911">
      <c r="A911" s="54" t="inlineStr">
        <is>
          <t>CA SSS4</t>
        </is>
      </c>
      <c r="B911" s="54" t="inlineStr">
        <is>
          <t>CA</t>
        </is>
      </c>
      <c r="C911" s="54" t="inlineStr">
        <is>
          <t>B0DDRHYXFM</t>
        </is>
      </c>
      <c r="D911" s="54" t="inlineStr">
        <is>
          <t>SS-SATIN-STRIPED-GREY-KING-4PCS</t>
        </is>
      </c>
      <c r="E911" s="54" t="inlineStr">
        <is>
          <t>King</t>
        </is>
      </c>
      <c r="F911" s="54" t="inlineStr">
        <is>
          <t>Striped Grey</t>
        </is>
      </c>
      <c r="G911" s="55" t="n">
        <v>5</v>
      </c>
      <c r="H911" s="55" t="n">
        <v>0</v>
      </c>
      <c r="I911" s="56" t="n"/>
      <c r="J911" s="57" t="n">
        <v>0.22</v>
      </c>
      <c r="K911" s="56" t="inlineStr">
        <is>
          <t>account data velocity</t>
        </is>
      </c>
      <c r="L911" s="58" t="n">
        <v>1.515</v>
      </c>
      <c r="M911" s="56" t="inlineStr">
        <is>
          <t>own BFCM 2025 lift (account data)</t>
        </is>
      </c>
      <c r="N911" s="59">
        <f>J911*34+J911*L911*12</f>
        <v/>
      </c>
      <c r="O911" s="59">
        <f>MAX(0,N911-G911-H911)</f>
        <v/>
      </c>
      <c r="P911" s="60">
        <f>IF(J911=0,"",IF(G911&lt;J911*34,DATE(2026,10,15)+G911/J911,IF(G911&lt;N911,DATE(2026,11,18)+(G911-J911*34)/(J911*L911),"after Nov 30")))</f>
        <v/>
      </c>
      <c r="Q911" s="60">
        <f>IF(J911=0,"",IF(G911+H911&lt;J911*34,DATE(2026,10,15)+(G911+H911)/J911,IF(G911+H911&lt;N911,DATE(2026,11,18)+(G911+H911-J911*34)/(J911*L911),"after Nov 30")))</f>
        <v/>
      </c>
      <c r="R911" s="54">
        <f>IF(AND(G911&lt;=0,J911&gt;0),"Out of stock now",IF(G911&gt;=N911,"Covered to Nov 30",IF(G911+H911&gt;=N911,"Needs inbound in time","Short even with inbound")))</f>
        <v/>
      </c>
      <c r="S911" s="57" t="n">
        <v>0</v>
      </c>
      <c r="T911" s="59">
        <f>IF(S911="","",S911*34+S911*L911*12)</f>
        <v/>
      </c>
    </row>
    <row r="912">
      <c r="A912" s="54" t="inlineStr">
        <is>
          <t>CA SSS4</t>
        </is>
      </c>
      <c r="B912" s="54" t="inlineStr">
        <is>
          <t>CA</t>
        </is>
      </c>
      <c r="C912" s="54" t="inlineStr">
        <is>
          <t>B0DDR6921L</t>
        </is>
      </c>
      <c r="D912" s="54" t="inlineStr">
        <is>
          <t>SS-SATIN-DARK-GREEN-KING-4PCS</t>
        </is>
      </c>
      <c r="E912" s="54" t="inlineStr">
        <is>
          <t>King</t>
        </is>
      </c>
      <c r="F912" s="54" t="inlineStr">
        <is>
          <t>Dark Green</t>
        </is>
      </c>
      <c r="G912" s="55" t="n">
        <v>55</v>
      </c>
      <c r="H912" s="55" t="n">
        <v>12</v>
      </c>
      <c r="I912" s="56" t="inlineStr">
        <is>
          <t>FBA19RSBKFGZ shipped: 12</t>
        </is>
      </c>
      <c r="J912" s="57" t="n">
        <v>0.1</v>
      </c>
      <c r="K912" s="56" t="inlineStr">
        <is>
          <t>account data velocity</t>
        </is>
      </c>
      <c r="L912" s="58" t="n">
        <v>1.515</v>
      </c>
      <c r="M912" s="56" t="inlineStr">
        <is>
          <t>own BFCM 2025 lift (account data)</t>
        </is>
      </c>
      <c r="N912" s="59">
        <f>J912*34+J912*L912*12</f>
        <v/>
      </c>
      <c r="O912" s="59">
        <f>MAX(0,N912-G912-H912)</f>
        <v/>
      </c>
      <c r="P912" s="60">
        <f>IF(J912=0,"",IF(G912&lt;J912*34,DATE(2026,10,15)+G912/J912,IF(G912&lt;N912,DATE(2026,11,18)+(G912-J912*34)/(J912*L912),"after Nov 30")))</f>
        <v/>
      </c>
      <c r="Q912" s="60">
        <f>IF(J912=0,"",IF(G912+H912&lt;J912*34,DATE(2026,10,15)+(G912+H912)/J912,IF(G912+H912&lt;N912,DATE(2026,11,18)+(G912+H912-J912*34)/(J912*L912),"after Nov 30")))</f>
        <v/>
      </c>
      <c r="R912" s="54">
        <f>IF(AND(G912&lt;=0,J912&gt;0),"Out of stock now",IF(G912&gt;=N912,"Covered to Nov 30",IF(G912+H912&gt;=N912,"Needs inbound in time","Short even with inbound")))</f>
        <v/>
      </c>
      <c r="S912" s="57" t="n">
        <v>0.036</v>
      </c>
      <c r="T912" s="59">
        <f>IF(S912="","",S912*34+S912*L912*12)</f>
        <v/>
      </c>
    </row>
    <row r="913">
      <c r="A913" s="54" t="inlineStr">
        <is>
          <t>CA SSS4</t>
        </is>
      </c>
      <c r="B913" s="54" t="inlineStr">
        <is>
          <t>CA</t>
        </is>
      </c>
      <c r="C913" s="54" t="inlineStr">
        <is>
          <t>B0DDR4FVH1</t>
        </is>
      </c>
      <c r="D913" s="54" t="inlineStr">
        <is>
          <t>SS-SATIN-PURPLE-QUEEN-4PCS</t>
        </is>
      </c>
      <c r="E913" s="54" t="inlineStr">
        <is>
          <t>Queen</t>
        </is>
      </c>
      <c r="F913" s="54" t="inlineStr">
        <is>
          <t>Purple</t>
        </is>
      </c>
      <c r="G913" s="55" t="n">
        <v>0</v>
      </c>
      <c r="H913" s="55" t="n">
        <v>0</v>
      </c>
      <c r="I913" s="56" t="n"/>
      <c r="J913" s="57" t="n">
        <v>0.1</v>
      </c>
      <c r="K913" s="56" t="inlineStr">
        <is>
          <t>account data velocity</t>
        </is>
      </c>
      <c r="L913" s="58" t="n">
        <v>1.515</v>
      </c>
      <c r="M913" s="56" t="inlineStr">
        <is>
          <t>own BFCM 2025 lift (account data)</t>
        </is>
      </c>
      <c r="N913" s="59">
        <f>J913*34+J913*L913*12</f>
        <v/>
      </c>
      <c r="O913" s="59">
        <f>MAX(0,N913-G913-H913)</f>
        <v/>
      </c>
      <c r="P913" s="60">
        <f>IF(J913=0,"",IF(G913&lt;J913*34,DATE(2026,10,15)+G913/J913,IF(G913&lt;N913,DATE(2026,11,18)+(G913-J913*34)/(J913*L913),"after Nov 30")))</f>
        <v/>
      </c>
      <c r="Q913" s="60">
        <f>IF(J913=0,"",IF(G913+H913&lt;J913*34,DATE(2026,10,15)+(G913+H913)/J913,IF(G913+H913&lt;N913,DATE(2026,11,18)+(G913+H913-J913*34)/(J913*L913),"after Nov 30")))</f>
        <v/>
      </c>
      <c r="R913" s="54">
        <f>IF(AND(G913&lt;=0,J913&gt;0),"Out of stock now",IF(G913&gt;=N913,"Covered to Nov 30",IF(G913+H913&gt;=N913,"Needs inbound in time","Short even with inbound")))</f>
        <v/>
      </c>
      <c r="S913" s="57" t="n">
        <v>0.036</v>
      </c>
      <c r="T913" s="59">
        <f>IF(S913="","",S913*34+S913*L913*12)</f>
        <v/>
      </c>
    </row>
    <row r="914">
      <c r="A914" s="54" t="inlineStr">
        <is>
          <t>CA SSS4</t>
        </is>
      </c>
      <c r="B914" s="54" t="inlineStr">
        <is>
          <t>CA</t>
        </is>
      </c>
      <c r="C914" s="54" t="inlineStr">
        <is>
          <t>B0DDR1ZPRZ</t>
        </is>
      </c>
      <c r="D914" s="54" t="inlineStr">
        <is>
          <t>SS-SATIN-STONE-GREY-KING-4PCS</t>
        </is>
      </c>
      <c r="E914" s="54" t="inlineStr">
        <is>
          <t>King</t>
        </is>
      </c>
      <c r="F914" s="54" t="inlineStr">
        <is>
          <t>Stone Grey</t>
        </is>
      </c>
      <c r="G914" s="55" t="n">
        <v>7</v>
      </c>
      <c r="H914" s="55" t="n">
        <v>0</v>
      </c>
      <c r="I914" s="56" t="n"/>
      <c r="J914" s="57" t="n">
        <v>0.07000000000000001</v>
      </c>
      <c r="K914" s="56" t="inlineStr">
        <is>
          <t>account data velocity</t>
        </is>
      </c>
      <c r="L914" s="58" t="n">
        <v>1.515</v>
      </c>
      <c r="M914" s="56" t="inlineStr">
        <is>
          <t>own BFCM 2025 lift (account data)</t>
        </is>
      </c>
      <c r="N914" s="59">
        <f>J914*34+J914*L914*12</f>
        <v/>
      </c>
      <c r="O914" s="59">
        <f>MAX(0,N914-G914-H914)</f>
        <v/>
      </c>
      <c r="P914" s="60">
        <f>IF(J914=0,"",IF(G914&lt;J914*34,DATE(2026,10,15)+G914/J914,IF(G914&lt;N914,DATE(2026,11,18)+(G914-J914*34)/(J914*L914),"after Nov 30")))</f>
        <v/>
      </c>
      <c r="Q914" s="60">
        <f>IF(J914=0,"",IF(G914+H914&lt;J914*34,DATE(2026,10,15)+(G914+H914)/J914,IF(G914+H914&lt;N914,DATE(2026,11,18)+(G914+H914-J914*34)/(J914*L914),"after Nov 30")))</f>
        <v/>
      </c>
      <c r="R914" s="54">
        <f>IF(AND(G914&lt;=0,J914&gt;0),"Out of stock now",IF(G914&gt;=N914,"Covered to Nov 30",IF(G914+H914&gt;=N914,"Needs inbound in time","Short even with inbound")))</f>
        <v/>
      </c>
      <c r="S914" s="57" t="n">
        <v>0.07099999999999999</v>
      </c>
      <c r="T914" s="59">
        <f>IF(S914="","",S914*34+S914*L914*12)</f>
        <v/>
      </c>
    </row>
    <row r="915">
      <c r="A915" s="54" t="inlineStr">
        <is>
          <t>CA SSS4</t>
        </is>
      </c>
      <c r="B915" s="54" t="inlineStr">
        <is>
          <t>CA</t>
        </is>
      </c>
      <c r="C915" s="54" t="inlineStr">
        <is>
          <t>B0DDRH9RD7</t>
        </is>
      </c>
      <c r="D915" s="54" t="inlineStr">
        <is>
          <t>SS-SATIN-NAVY-BLUE-QUEEN-4PCS</t>
        </is>
      </c>
      <c r="E915" s="54" t="inlineStr">
        <is>
          <t>Queen</t>
        </is>
      </c>
      <c r="F915" s="54" t="inlineStr">
        <is>
          <t>Navy Blue</t>
        </is>
      </c>
      <c r="G915" s="55" t="n">
        <v>53</v>
      </c>
      <c r="H915" s="55" t="n">
        <v>0</v>
      </c>
      <c r="I915" s="56" t="n"/>
      <c r="J915" s="57" t="n">
        <v>0.05</v>
      </c>
      <c r="K915" s="56" t="inlineStr">
        <is>
          <t>account data velocity</t>
        </is>
      </c>
      <c r="L915" s="58" t="n">
        <v>1.515</v>
      </c>
      <c r="M915" s="56" t="inlineStr">
        <is>
          <t>own BFCM 2025 lift (account data)</t>
        </is>
      </c>
      <c r="N915" s="59">
        <f>J915*34+J915*L915*12</f>
        <v/>
      </c>
      <c r="O915" s="59">
        <f>MAX(0,N915-G915-H915)</f>
        <v/>
      </c>
      <c r="P915" s="60">
        <f>IF(J915=0,"",IF(G915&lt;J915*34,DATE(2026,10,15)+G915/J915,IF(G915&lt;N915,DATE(2026,11,18)+(G915-J915*34)/(J915*L915),"after Nov 30")))</f>
        <v/>
      </c>
      <c r="Q915" s="60">
        <f>IF(J915=0,"",IF(G915+H915&lt;J915*34,DATE(2026,10,15)+(G915+H915)/J915,IF(G915+H915&lt;N915,DATE(2026,11,18)+(G915+H915-J915*34)/(J915*L915),"after Nov 30")))</f>
        <v/>
      </c>
      <c r="R915" s="54">
        <f>IF(AND(G915&lt;=0,J915&gt;0),"Out of stock now",IF(G915&gt;=N915,"Covered to Nov 30",IF(G915+H915&gt;=N915,"Needs inbound in time","Short even with inbound")))</f>
        <v/>
      </c>
      <c r="S915" s="57" t="n">
        <v>0.036</v>
      </c>
      <c r="T915" s="59">
        <f>IF(S915="","",S915*34+S915*L915*12)</f>
        <v/>
      </c>
    </row>
    <row r="916">
      <c r="A916" s="54" t="inlineStr">
        <is>
          <t>CA SSS4</t>
        </is>
      </c>
      <c r="B916" s="54" t="inlineStr">
        <is>
          <t>CA</t>
        </is>
      </c>
      <c r="C916" s="54" t="inlineStr">
        <is>
          <t>B0DDR5JMCH</t>
        </is>
      </c>
      <c r="D916" s="54" t="inlineStr">
        <is>
          <t>SS-SATIN-GOLD-KING-4PCS</t>
        </is>
      </c>
      <c r="E916" s="54" t="inlineStr">
        <is>
          <t>King</t>
        </is>
      </c>
      <c r="F916" s="54" t="inlineStr">
        <is>
          <t>Gold</t>
        </is>
      </c>
      <c r="G916" s="55" t="n">
        <v>49</v>
      </c>
      <c r="H916" s="55" t="n">
        <v>0</v>
      </c>
      <c r="I916" s="56" t="n"/>
      <c r="J916" s="57" t="n">
        <v>0.05</v>
      </c>
      <c r="K916" s="56" t="inlineStr">
        <is>
          <t>account data velocity</t>
        </is>
      </c>
      <c r="L916" s="58" t="n">
        <v>1.515</v>
      </c>
      <c r="M916" s="56" t="inlineStr">
        <is>
          <t>own BFCM 2025 lift (account data)</t>
        </is>
      </c>
      <c r="N916" s="59">
        <f>J916*34+J916*L916*12</f>
        <v/>
      </c>
      <c r="O916" s="59">
        <f>MAX(0,N916-G916-H916)</f>
        <v/>
      </c>
      <c r="P916" s="60">
        <f>IF(J916=0,"",IF(G916&lt;J916*34,DATE(2026,10,15)+G916/J916,IF(G916&lt;N916,DATE(2026,11,18)+(G916-J916*34)/(J916*L916),"after Nov 30")))</f>
        <v/>
      </c>
      <c r="Q916" s="60">
        <f>IF(J916=0,"",IF(G916+H916&lt;J916*34,DATE(2026,10,15)+(G916+H916)/J916,IF(G916+H916&lt;N916,DATE(2026,11,18)+(G916+H916-J916*34)/(J916*L916),"after Nov 30")))</f>
        <v/>
      </c>
      <c r="R916" s="54">
        <f>IF(AND(G916&lt;=0,J916&gt;0),"Out of stock now",IF(G916&gt;=N916,"Covered to Nov 30",IF(G916+H916&gt;=N916,"Needs inbound in time","Short even with inbound")))</f>
        <v/>
      </c>
      <c r="S916" s="57" t="n">
        <v>0</v>
      </c>
      <c r="T916" s="59">
        <f>IF(S916="","",S916*34+S916*L916*12)</f>
        <v/>
      </c>
    </row>
    <row r="917">
      <c r="A917" s="54" t="inlineStr">
        <is>
          <t>CA SSS4</t>
        </is>
      </c>
      <c r="B917" s="54" t="inlineStr">
        <is>
          <t>CA</t>
        </is>
      </c>
      <c r="C917" s="54" t="inlineStr">
        <is>
          <t>B0DDQZ6VT4</t>
        </is>
      </c>
      <c r="D917" s="54" t="inlineStr">
        <is>
          <t>SS-SATIN-WHITE-KING-4PCS</t>
        </is>
      </c>
      <c r="E917" s="54" t="inlineStr">
        <is>
          <t>King</t>
        </is>
      </c>
      <c r="F917" s="54" t="inlineStr">
        <is>
          <t>White</t>
        </is>
      </c>
      <c r="G917" s="55" t="n">
        <v>8</v>
      </c>
      <c r="H917" s="55" t="n">
        <v>0</v>
      </c>
      <c r="I917" s="56" t="n"/>
      <c r="J917" s="57" t="n">
        <v>0.04</v>
      </c>
      <c r="K917" s="56" t="inlineStr">
        <is>
          <t>account data velocity</t>
        </is>
      </c>
      <c r="L917" s="58" t="n">
        <v>1.515</v>
      </c>
      <c r="M917" s="56" t="inlineStr">
        <is>
          <t>own BFCM 2025 lift (account data)</t>
        </is>
      </c>
      <c r="N917" s="59">
        <f>J917*34+J917*L917*12</f>
        <v/>
      </c>
      <c r="O917" s="59">
        <f>MAX(0,N917-G917-H917)</f>
        <v/>
      </c>
      <c r="P917" s="60">
        <f>IF(J917=0,"",IF(G917&lt;J917*34,DATE(2026,10,15)+G917/J917,IF(G917&lt;N917,DATE(2026,11,18)+(G917-J917*34)/(J917*L917),"after Nov 30")))</f>
        <v/>
      </c>
      <c r="Q917" s="60">
        <f>IF(J917=0,"",IF(G917+H917&lt;J917*34,DATE(2026,10,15)+(G917+H917)/J917,IF(G917+H917&lt;N917,DATE(2026,11,18)+(G917+H917-J917*34)/(J917*L917),"after Nov 30")))</f>
        <v/>
      </c>
      <c r="R917" s="54">
        <f>IF(AND(G917&lt;=0,J917&gt;0),"Out of stock now",IF(G917&gt;=N917,"Covered to Nov 30",IF(G917+H917&gt;=N917,"Needs inbound in time","Short even with inbound")))</f>
        <v/>
      </c>
      <c r="S917" s="57" t="n">
        <v>0.107</v>
      </c>
      <c r="T917" s="59">
        <f>IF(S917="","",S917*34+S917*L917*12)</f>
        <v/>
      </c>
    </row>
    <row r="918">
      <c r="A918" s="54" t="inlineStr">
        <is>
          <t>CA SSS4</t>
        </is>
      </c>
      <c r="B918" s="54" t="inlineStr">
        <is>
          <t>CA</t>
        </is>
      </c>
      <c r="C918" s="54" t="inlineStr">
        <is>
          <t>B0DDR3SX2D</t>
        </is>
      </c>
      <c r="D918" s="54" t="inlineStr">
        <is>
          <t>SS-SATIN-LAVENDER-TWIN-3PCS</t>
        </is>
      </c>
      <c r="E918" s="54" t="inlineStr">
        <is>
          <t>Twin</t>
        </is>
      </c>
      <c r="F918" s="54" t="inlineStr">
        <is>
          <t>Lavender</t>
        </is>
      </c>
      <c r="G918" s="55" t="n">
        <v>6</v>
      </c>
      <c r="H918" s="55" t="n">
        <v>0</v>
      </c>
      <c r="I918" s="56" t="n"/>
      <c r="J918" s="57" t="n">
        <v>0.02</v>
      </c>
      <c r="K918" s="56" t="inlineStr">
        <is>
          <t>account data velocity</t>
        </is>
      </c>
      <c r="L918" s="58" t="n">
        <v>1.515</v>
      </c>
      <c r="M918" s="56" t="inlineStr">
        <is>
          <t>own BFCM 2025 lift (account data)</t>
        </is>
      </c>
      <c r="N918" s="59">
        <f>J918*34+J918*L918*12</f>
        <v/>
      </c>
      <c r="O918" s="59">
        <f>MAX(0,N918-G918-H918)</f>
        <v/>
      </c>
      <c r="P918" s="60">
        <f>IF(J918=0,"",IF(G918&lt;J918*34,DATE(2026,10,15)+G918/J918,IF(G918&lt;N918,DATE(2026,11,18)+(G918-J918*34)/(J918*L918),"after Nov 30")))</f>
        <v/>
      </c>
      <c r="Q918" s="60">
        <f>IF(J918=0,"",IF(G918+H918&lt;J918*34,DATE(2026,10,15)+(G918+H918)/J918,IF(G918+H918&lt;N918,DATE(2026,11,18)+(G918+H918-J918*34)/(J918*L918),"after Nov 30")))</f>
        <v/>
      </c>
      <c r="R918" s="54">
        <f>IF(AND(G918&lt;=0,J918&gt;0),"Out of stock now",IF(G918&gt;=N918,"Covered to Nov 30",IF(G918+H918&gt;=N918,"Needs inbound in time","Short even with inbound")))</f>
        <v/>
      </c>
      <c r="S918" s="57" t="n">
        <v>0.036</v>
      </c>
      <c r="T918" s="59">
        <f>IF(S918="","",S918*34+S918*L918*12)</f>
        <v/>
      </c>
    </row>
    <row r="919">
      <c r="A919" s="54" t="inlineStr">
        <is>
          <t>CA SSS4</t>
        </is>
      </c>
      <c r="B919" s="54" t="inlineStr">
        <is>
          <t>CA</t>
        </is>
      </c>
      <c r="C919" s="54" t="inlineStr">
        <is>
          <t>B0DDRB7NTZ</t>
        </is>
      </c>
      <c r="D919" s="54" t="inlineStr">
        <is>
          <t>SS-SATIN-CHAMPAGNE-KING-4PCS</t>
        </is>
      </c>
      <c r="E919" s="54" t="inlineStr">
        <is>
          <t>King</t>
        </is>
      </c>
      <c r="F919" s="54" t="inlineStr">
        <is>
          <t>Champagne</t>
        </is>
      </c>
      <c r="G919" s="55" t="n">
        <v>118</v>
      </c>
      <c r="H919" s="55" t="n">
        <v>0</v>
      </c>
      <c r="I919" s="56" t="n"/>
      <c r="J919" s="57" t="n">
        <v>0.01</v>
      </c>
      <c r="K919" s="56" t="inlineStr">
        <is>
          <t>account data velocity</t>
        </is>
      </c>
      <c r="L919" s="58" t="n">
        <v>1.515</v>
      </c>
      <c r="M919" s="56" t="inlineStr">
        <is>
          <t>own BFCM 2025 lift (account data)</t>
        </is>
      </c>
      <c r="N919" s="59">
        <f>J919*34+J919*L919*12</f>
        <v/>
      </c>
      <c r="O919" s="59">
        <f>MAX(0,N919-G919-H919)</f>
        <v/>
      </c>
      <c r="P919" s="60">
        <f>IF(J919=0,"",IF(G919&lt;J919*34,DATE(2026,10,15)+G919/J919,IF(G919&lt;N919,DATE(2026,11,18)+(G919-J919*34)/(J919*L919),"after Nov 30")))</f>
        <v/>
      </c>
      <c r="Q919" s="60">
        <f>IF(J919=0,"",IF(G919+H919&lt;J919*34,DATE(2026,10,15)+(G919+H919)/J919,IF(G919+H919&lt;N919,DATE(2026,11,18)+(G919+H919-J919*34)/(J919*L919),"after Nov 30")))</f>
        <v/>
      </c>
      <c r="R919" s="54">
        <f>IF(AND(G919&lt;=0,J919&gt;0),"Out of stock now",IF(G919&gt;=N919,"Covered to Nov 30",IF(G919+H919&gt;=N919,"Needs inbound in time","Short even with inbound")))</f>
        <v/>
      </c>
      <c r="S919" s="57" t="n">
        <v>0.07099999999999999</v>
      </c>
      <c r="T919" s="59">
        <f>IF(S919="","",S919*34+S919*L919*12)</f>
        <v/>
      </c>
    </row>
    <row r="920">
      <c r="A920" s="54" t="inlineStr">
        <is>
          <t>CA SSS4</t>
        </is>
      </c>
      <c r="B920" s="54" t="inlineStr">
        <is>
          <t>CA</t>
        </is>
      </c>
      <c r="C920" s="54" t="inlineStr">
        <is>
          <t>B0DDQXM4RF</t>
        </is>
      </c>
      <c r="D920" s="54" t="inlineStr">
        <is>
          <t>SS-SATIN-GREY-KING-4PCS</t>
        </is>
      </c>
      <c r="E920" s="54" t="inlineStr">
        <is>
          <t>King</t>
        </is>
      </c>
      <c r="F920" s="54" t="inlineStr">
        <is>
          <t>Grey</t>
        </is>
      </c>
      <c r="G920" s="55" t="n">
        <v>98</v>
      </c>
      <c r="H920" s="55" t="n">
        <v>0</v>
      </c>
      <c r="I920" s="56" t="n"/>
      <c r="J920" s="57" t="n">
        <v>0.01</v>
      </c>
      <c r="K920" s="56" t="inlineStr">
        <is>
          <t>account data velocity</t>
        </is>
      </c>
      <c r="L920" s="58" t="n">
        <v>1.515</v>
      </c>
      <c r="M920" s="56" t="inlineStr">
        <is>
          <t>own BFCM 2025 lift (account data)</t>
        </is>
      </c>
      <c r="N920" s="59">
        <f>J920*34+J920*L920*12</f>
        <v/>
      </c>
      <c r="O920" s="59">
        <f>MAX(0,N920-G920-H920)</f>
        <v/>
      </c>
      <c r="P920" s="60">
        <f>IF(J920=0,"",IF(G920&lt;J920*34,DATE(2026,10,15)+G920/J920,IF(G920&lt;N920,DATE(2026,11,18)+(G920-J920*34)/(J920*L920),"after Nov 30")))</f>
        <v/>
      </c>
      <c r="Q920" s="60">
        <f>IF(J920=0,"",IF(G920+H920&lt;J920*34,DATE(2026,10,15)+(G920+H920)/J920,IF(G920+H920&lt;N920,DATE(2026,11,18)+(G920+H920-J920*34)/(J920*L920),"after Nov 30")))</f>
        <v/>
      </c>
      <c r="R920" s="54">
        <f>IF(AND(G920&lt;=0,J920&gt;0),"Out of stock now",IF(G920&gt;=N920,"Covered to Nov 30",IF(G920+H920&gt;=N920,"Needs inbound in time","Short even with inbound")))</f>
        <v/>
      </c>
      <c r="S920" s="57" t="n">
        <v>0.07099999999999999</v>
      </c>
      <c r="T920" s="59">
        <f>IF(S920="","",S920*34+S920*L920*12)</f>
        <v/>
      </c>
    </row>
    <row r="921">
      <c r="A921" s="54" t="inlineStr">
        <is>
          <t>CA SSS4</t>
        </is>
      </c>
      <c r="B921" s="54" t="inlineStr">
        <is>
          <t>CA</t>
        </is>
      </c>
      <c r="C921" s="54" t="inlineStr">
        <is>
          <t>B0DDRCQZ7G</t>
        </is>
      </c>
      <c r="D921" s="54" t="inlineStr">
        <is>
          <t>SS-SATIN-PURPLE-KING-4PCS</t>
        </is>
      </c>
      <c r="E921" s="54" t="inlineStr">
        <is>
          <t>King</t>
        </is>
      </c>
      <c r="F921" s="54" t="inlineStr">
        <is>
          <t>Purple</t>
        </is>
      </c>
      <c r="G921" s="55" t="n">
        <v>4</v>
      </c>
      <c r="H921" s="55" t="n">
        <v>0</v>
      </c>
      <c r="I921" s="56" t="n"/>
      <c r="J921" s="57" t="n">
        <v>0.01</v>
      </c>
      <c r="K921" s="56" t="inlineStr">
        <is>
          <t>account data velocity</t>
        </is>
      </c>
      <c r="L921" s="58" t="n">
        <v>1.515</v>
      </c>
      <c r="M921" s="56" t="inlineStr">
        <is>
          <t>own BFCM 2025 lift (account data)</t>
        </is>
      </c>
      <c r="N921" s="59">
        <f>J921*34+J921*L921*12</f>
        <v/>
      </c>
      <c r="O921" s="59">
        <f>MAX(0,N921-G921-H921)</f>
        <v/>
      </c>
      <c r="P921" s="60">
        <f>IF(J921=0,"",IF(G921&lt;J921*34,DATE(2026,10,15)+G921/J921,IF(G921&lt;N921,DATE(2026,11,18)+(G921-J921*34)/(J921*L921),"after Nov 30")))</f>
        <v/>
      </c>
      <c r="Q921" s="60">
        <f>IF(J921=0,"",IF(G921+H921&lt;J921*34,DATE(2026,10,15)+(G921+H921)/J921,IF(G921+H921&lt;N921,DATE(2026,11,18)+(G921+H921-J921*34)/(J921*L921),"after Nov 30")))</f>
        <v/>
      </c>
      <c r="R921" s="54">
        <f>IF(AND(G921&lt;=0,J921&gt;0),"Out of stock now",IF(G921&gt;=N921,"Covered to Nov 30",IF(G921+H921&gt;=N921,"Needs inbound in time","Short even with inbound")))</f>
        <v/>
      </c>
      <c r="S921" s="57" t="n">
        <v>0.07099999999999999</v>
      </c>
      <c r="T921" s="59">
        <f>IF(S921="","",S921*34+S921*L921*12)</f>
        <v/>
      </c>
    </row>
    <row r="922">
      <c r="A922" s="54" t="inlineStr">
        <is>
          <t>CA SSS4</t>
        </is>
      </c>
      <c r="B922" s="54" t="inlineStr">
        <is>
          <t>CA</t>
        </is>
      </c>
      <c r="C922" s="54" t="inlineStr">
        <is>
          <t>B0DDRL7H2W</t>
        </is>
      </c>
      <c r="D922" s="54" t="inlineStr">
        <is>
          <t>SS-SATIN-SEA-TEAL-KING-4PCS</t>
        </is>
      </c>
      <c r="E922" s="54" t="inlineStr">
        <is>
          <t>King</t>
        </is>
      </c>
      <c r="F922" s="54" t="inlineStr">
        <is>
          <t>Sea Teal</t>
        </is>
      </c>
      <c r="G922" s="55" t="n">
        <v>118</v>
      </c>
      <c r="H922" s="55" t="n">
        <v>0</v>
      </c>
      <c r="I922" s="56" t="n"/>
      <c r="J922" s="57" t="n">
        <v>0.01</v>
      </c>
      <c r="K922" s="56" t="inlineStr">
        <is>
          <t>account data velocity</t>
        </is>
      </c>
      <c r="L922" s="58" t="n">
        <v>1.515</v>
      </c>
      <c r="M922" s="56" t="inlineStr">
        <is>
          <t>own BFCM 2025 lift (account data)</t>
        </is>
      </c>
      <c r="N922" s="59">
        <f>J922*34+J922*L922*12</f>
        <v/>
      </c>
      <c r="O922" s="59">
        <f>MAX(0,N922-G922-H922)</f>
        <v/>
      </c>
      <c r="P922" s="60">
        <f>IF(J922=0,"",IF(G922&lt;J922*34,DATE(2026,10,15)+G922/J922,IF(G922&lt;N922,DATE(2026,11,18)+(G922-J922*34)/(J922*L922),"after Nov 30")))</f>
        <v/>
      </c>
      <c r="Q922" s="60">
        <f>IF(J922=0,"",IF(G922+H922&lt;J922*34,DATE(2026,10,15)+(G922+H922)/J922,IF(G922+H922&lt;N922,DATE(2026,11,18)+(G922+H922-J922*34)/(J922*L922),"after Nov 30")))</f>
        <v/>
      </c>
      <c r="R922" s="54">
        <f>IF(AND(G922&lt;=0,J922&gt;0),"Out of stock now",IF(G922&gt;=N922,"Covered to Nov 30",IF(G922+H922&gt;=N922,"Needs inbound in time","Short even with inbound")))</f>
        <v/>
      </c>
      <c r="S922" s="57" t="n">
        <v>0.07099999999999999</v>
      </c>
      <c r="T922" s="59">
        <f>IF(S922="","",S922*34+S922*L922*12)</f>
        <v/>
      </c>
    </row>
    <row r="923">
      <c r="A923" s="54" t="inlineStr">
        <is>
          <t>CA SSS4</t>
        </is>
      </c>
      <c r="B923" s="54" t="inlineStr">
        <is>
          <t>CA</t>
        </is>
      </c>
      <c r="C923" s="54" t="inlineStr">
        <is>
          <t>B0DDQX4176</t>
        </is>
      </c>
      <c r="D923" s="54" t="inlineStr">
        <is>
          <t>SS-SATIN-STONE-GREY-QUEEN-4PCS</t>
        </is>
      </c>
      <c r="E923" s="54" t="inlineStr">
        <is>
          <t>Queen</t>
        </is>
      </c>
      <c r="F923" s="54" t="inlineStr">
        <is>
          <t>Stone Grey</t>
        </is>
      </c>
      <c r="G923" s="55" t="n">
        <v>2</v>
      </c>
      <c r="H923" s="55" t="n">
        <v>0</v>
      </c>
      <c r="I923" s="56" t="n"/>
      <c r="J923" s="57" t="n">
        <v>0.01</v>
      </c>
      <c r="K923" s="56" t="inlineStr">
        <is>
          <t>account data velocity</t>
        </is>
      </c>
      <c r="L923" s="58" t="n">
        <v>1.515</v>
      </c>
      <c r="M923" s="56" t="inlineStr">
        <is>
          <t>own BFCM 2025 lift (account data)</t>
        </is>
      </c>
      <c r="N923" s="59">
        <f>J923*34+J923*L923*12</f>
        <v/>
      </c>
      <c r="O923" s="59">
        <f>MAX(0,N923-G923-H923)</f>
        <v/>
      </c>
      <c r="P923" s="60">
        <f>IF(J923=0,"",IF(G923&lt;J923*34,DATE(2026,10,15)+G923/J923,IF(G923&lt;N923,DATE(2026,11,18)+(G923-J923*34)/(J923*L923),"after Nov 30")))</f>
        <v/>
      </c>
      <c r="Q923" s="60">
        <f>IF(J923=0,"",IF(G923+H923&lt;J923*34,DATE(2026,10,15)+(G923+H923)/J923,IF(G923+H923&lt;N923,DATE(2026,11,18)+(G923+H923-J923*34)/(J923*L923),"after Nov 30")))</f>
        <v/>
      </c>
      <c r="R923" s="54">
        <f>IF(AND(G923&lt;=0,J923&gt;0),"Out of stock now",IF(G923&gt;=N923,"Covered to Nov 30",IF(G923+H923&gt;=N923,"Needs inbound in time","Short even with inbound")))</f>
        <v/>
      </c>
      <c r="S923" s="57" t="n">
        <v>0.07099999999999999</v>
      </c>
      <c r="T923" s="59">
        <f>IF(S923="","",S923*34+S923*L923*12)</f>
        <v/>
      </c>
    </row>
    <row r="924">
      <c r="A924" s="54" t="inlineStr">
        <is>
          <t>CA SSS4</t>
        </is>
      </c>
      <c r="B924" s="54" t="inlineStr">
        <is>
          <t>CA</t>
        </is>
      </c>
      <c r="C924" s="54" t="inlineStr">
        <is>
          <t>B0DDRBX7CN</t>
        </is>
      </c>
      <c r="D924" s="54" t="inlineStr">
        <is>
          <t>SS-SATIN-BLUE-KING-4PCS</t>
        </is>
      </c>
      <c r="E924" s="54" t="inlineStr">
        <is>
          <t>King</t>
        </is>
      </c>
      <c r="F924" s="54" t="inlineStr">
        <is>
          <t>Blue</t>
        </is>
      </c>
      <c r="G924" s="55" t="n">
        <v>149</v>
      </c>
      <c r="H924" s="55" t="n">
        <v>0</v>
      </c>
      <c r="I924" s="56" t="n"/>
      <c r="J924" s="57" t="n">
        <v>0.01</v>
      </c>
      <c r="K924" s="56" t="inlineStr">
        <is>
          <t>account data velocity</t>
        </is>
      </c>
      <c r="L924" s="58" t="n">
        <v>1.515</v>
      </c>
      <c r="M924" s="56" t="inlineStr">
        <is>
          <t>own BFCM 2025 lift (account data)</t>
        </is>
      </c>
      <c r="N924" s="59">
        <f>J924*34+J924*L924*12</f>
        <v/>
      </c>
      <c r="O924" s="59">
        <f>MAX(0,N924-G924-H924)</f>
        <v/>
      </c>
      <c r="P924" s="60">
        <f>IF(J924=0,"",IF(G924&lt;J924*34,DATE(2026,10,15)+G924/J924,IF(G924&lt;N924,DATE(2026,11,18)+(G924-J924*34)/(J924*L924),"after Nov 30")))</f>
        <v/>
      </c>
      <c r="Q924" s="60">
        <f>IF(J924=0,"",IF(G924+H924&lt;J924*34,DATE(2026,10,15)+(G924+H924)/J924,IF(G924+H924&lt;N924,DATE(2026,11,18)+(G924+H924-J924*34)/(J924*L924),"after Nov 30")))</f>
        <v/>
      </c>
      <c r="R924" s="54">
        <f>IF(AND(G924&lt;=0,J924&gt;0),"Out of stock now",IF(G924&gt;=N924,"Covered to Nov 30",IF(G924+H924&gt;=N924,"Needs inbound in time","Short even with inbound")))</f>
        <v/>
      </c>
      <c r="S924" s="57" t="n">
        <v>0.036</v>
      </c>
      <c r="T924" s="59">
        <f>IF(S924="","",S924*34+S924*L924*12)</f>
        <v/>
      </c>
    </row>
    <row r="925">
      <c r="A925" s="54" t="inlineStr">
        <is>
          <t>CA SSS4</t>
        </is>
      </c>
      <c r="B925" s="54" t="inlineStr">
        <is>
          <t>CA</t>
        </is>
      </c>
      <c r="C925" s="54" t="inlineStr">
        <is>
          <t>B0DDRBTG9J</t>
        </is>
      </c>
      <c r="D925" s="54" t="inlineStr">
        <is>
          <t>SS-SATIN-PINK-QUEEN-4PCS</t>
        </is>
      </c>
      <c r="E925" s="54" t="inlineStr">
        <is>
          <t>Queen</t>
        </is>
      </c>
      <c r="F925" s="54" t="inlineStr">
        <is>
          <t>Pink</t>
        </is>
      </c>
      <c r="G925" s="55" t="n">
        <v>2</v>
      </c>
      <c r="H925" s="55" t="n">
        <v>0</v>
      </c>
      <c r="I925" s="56" t="n"/>
      <c r="J925" s="57" t="n">
        <v>0.01</v>
      </c>
      <c r="K925" s="56" t="inlineStr">
        <is>
          <t>account data velocity</t>
        </is>
      </c>
      <c r="L925" s="58" t="n">
        <v>1.515</v>
      </c>
      <c r="M925" s="56" t="inlineStr">
        <is>
          <t>own BFCM 2025 lift (account data)</t>
        </is>
      </c>
      <c r="N925" s="59">
        <f>J925*34+J925*L925*12</f>
        <v/>
      </c>
      <c r="O925" s="59">
        <f>MAX(0,N925-G925-H925)</f>
        <v/>
      </c>
      <c r="P925" s="60">
        <f>IF(J925=0,"",IF(G925&lt;J925*34,DATE(2026,10,15)+G925/J925,IF(G925&lt;N925,DATE(2026,11,18)+(G925-J925*34)/(J925*L925),"after Nov 30")))</f>
        <v/>
      </c>
      <c r="Q925" s="60">
        <f>IF(J925=0,"",IF(G925+H925&lt;J925*34,DATE(2026,10,15)+(G925+H925)/J925,IF(G925+H925&lt;N925,DATE(2026,11,18)+(G925+H925-J925*34)/(J925*L925),"after Nov 30")))</f>
        <v/>
      </c>
      <c r="R925" s="54">
        <f>IF(AND(G925&lt;=0,J925&gt;0),"Out of stock now",IF(G925&gt;=N925,"Covered to Nov 30",IF(G925+H925&gt;=N925,"Needs inbound in time","Short even with inbound")))</f>
        <v/>
      </c>
      <c r="S925" s="57" t="n">
        <v>0.036</v>
      </c>
      <c r="T925" s="59">
        <f>IF(S925="","",S925*34+S925*L925*12)</f>
        <v/>
      </c>
    </row>
    <row r="926">
      <c r="A926" s="54" t="inlineStr">
        <is>
          <t>CA SSS4</t>
        </is>
      </c>
      <c r="B926" s="54" t="inlineStr">
        <is>
          <t>CA</t>
        </is>
      </c>
      <c r="C926" s="54" t="inlineStr">
        <is>
          <t>B0DDR95C35</t>
        </is>
      </c>
      <c r="D926" s="54" t="inlineStr">
        <is>
          <t>SS-SATIN-NAVY-BLUE-TWIN-3PCS</t>
        </is>
      </c>
      <c r="E926" s="54" t="inlineStr">
        <is>
          <t>Twin</t>
        </is>
      </c>
      <c r="F926" s="54" t="inlineStr">
        <is>
          <t>Navy Blue</t>
        </is>
      </c>
      <c r="G926" s="55" t="n">
        <v>12</v>
      </c>
      <c r="H926" s="55" t="n">
        <v>0</v>
      </c>
      <c r="I926" s="56" t="n"/>
      <c r="J926" s="57" t="n">
        <v>0.01</v>
      </c>
      <c r="K926" s="56" t="inlineStr">
        <is>
          <t>account data velocity</t>
        </is>
      </c>
      <c r="L926" s="58" t="n">
        <v>1.515</v>
      </c>
      <c r="M926" s="56" t="inlineStr">
        <is>
          <t>own BFCM 2025 lift (account data)</t>
        </is>
      </c>
      <c r="N926" s="59">
        <f>J926*34+J926*L926*12</f>
        <v/>
      </c>
      <c r="O926" s="59">
        <f>MAX(0,N926-G926-H926)</f>
        <v/>
      </c>
      <c r="P926" s="60">
        <f>IF(J926=0,"",IF(G926&lt;J926*34,DATE(2026,10,15)+G926/J926,IF(G926&lt;N926,DATE(2026,11,18)+(G926-J926*34)/(J926*L926),"after Nov 30")))</f>
        <v/>
      </c>
      <c r="Q926" s="60">
        <f>IF(J926=0,"",IF(G926+H926&lt;J926*34,DATE(2026,10,15)+(G926+H926)/J926,IF(G926+H926&lt;N926,DATE(2026,11,18)+(G926+H926-J926*34)/(J926*L926),"after Nov 30")))</f>
        <v/>
      </c>
      <c r="R926" s="54">
        <f>IF(AND(G926&lt;=0,J926&gt;0),"Out of stock now",IF(G926&gt;=N926,"Covered to Nov 30",IF(G926+H926&gt;=N926,"Needs inbound in time","Short even with inbound")))</f>
        <v/>
      </c>
      <c r="S926" s="57" t="n">
        <v>0.036</v>
      </c>
      <c r="T926" s="59">
        <f>IF(S926="","",S926*34+S926*L926*12)</f>
        <v/>
      </c>
    </row>
    <row r="927">
      <c r="A927" s="54" t="inlineStr">
        <is>
          <t>CA SSS4</t>
        </is>
      </c>
      <c r="B927" s="54" t="inlineStr">
        <is>
          <t>CA</t>
        </is>
      </c>
      <c r="C927" s="54" t="inlineStr">
        <is>
          <t>B0DDRFLD2F</t>
        </is>
      </c>
      <c r="D927" s="54" t="inlineStr">
        <is>
          <t>SS-SATIN-LAVENDER-KING-4PCS</t>
        </is>
      </c>
      <c r="E927" s="54" t="inlineStr">
        <is>
          <t>King</t>
        </is>
      </c>
      <c r="F927" s="54" t="inlineStr">
        <is>
          <t>Lavender</t>
        </is>
      </c>
      <c r="G927" s="55" t="n">
        <v>4</v>
      </c>
      <c r="H927" s="55" t="n">
        <v>36</v>
      </c>
      <c r="I927" s="56" t="inlineStr">
        <is>
          <t>FBA19RSBKFGZ shipped: 36</t>
        </is>
      </c>
      <c r="J927" s="57" t="n">
        <v>0.01</v>
      </c>
      <c r="K927" s="56" t="inlineStr">
        <is>
          <t>account data velocity</t>
        </is>
      </c>
      <c r="L927" s="58" t="n">
        <v>1.515</v>
      </c>
      <c r="M927" s="56" t="inlineStr">
        <is>
          <t>own BFCM 2025 lift (account data)</t>
        </is>
      </c>
      <c r="N927" s="59">
        <f>J927*34+J927*L927*12</f>
        <v/>
      </c>
      <c r="O927" s="59">
        <f>MAX(0,N927-G927-H927)</f>
        <v/>
      </c>
      <c r="P927" s="60">
        <f>IF(J927=0,"",IF(G927&lt;J927*34,DATE(2026,10,15)+G927/J927,IF(G927&lt;N927,DATE(2026,11,18)+(G927-J927*34)/(J927*L927),"after Nov 30")))</f>
        <v/>
      </c>
      <c r="Q927" s="60">
        <f>IF(J927=0,"",IF(G927+H927&lt;J927*34,DATE(2026,10,15)+(G927+H927)/J927,IF(G927+H927&lt;N927,DATE(2026,11,18)+(G927+H927-J927*34)/(J927*L927),"after Nov 30")))</f>
        <v/>
      </c>
      <c r="R927" s="54">
        <f>IF(AND(G927&lt;=0,J927&gt;0),"Out of stock now",IF(G927&gt;=N927,"Covered to Nov 30",IF(G927+H927&gt;=N927,"Needs inbound in time","Short even with inbound")))</f>
        <v/>
      </c>
      <c r="S927" s="57" t="n">
        <v>0</v>
      </c>
      <c r="T927" s="59">
        <f>IF(S927="","",S927*34+S927*L927*12)</f>
        <v/>
      </c>
    </row>
    <row r="928">
      <c r="A928" s="54" t="inlineStr">
        <is>
          <t>CA SSS4</t>
        </is>
      </c>
      <c r="B928" s="54" t="inlineStr">
        <is>
          <t>CA</t>
        </is>
      </c>
      <c r="C928" s="54" t="inlineStr">
        <is>
          <t>B0DDQQ83Y4</t>
        </is>
      </c>
      <c r="D928" s="54" t="inlineStr">
        <is>
          <t>SS-SATIN-BURNT-ORANGE-FULL-4PCS</t>
        </is>
      </c>
      <c r="E928" s="54" t="inlineStr">
        <is>
          <t>Full</t>
        </is>
      </c>
      <c r="F928" s="54" t="inlineStr">
        <is>
          <t>Burnt Orange</t>
        </is>
      </c>
      <c r="G928" s="55" t="n">
        <v>31</v>
      </c>
      <c r="H928" s="55" t="n">
        <v>0</v>
      </c>
      <c r="I928" s="56" t="n"/>
      <c r="J928" s="57" t="n">
        <v>0</v>
      </c>
      <c r="K928" s="56" t="inlineStr">
        <is>
          <t>account data velocity</t>
        </is>
      </c>
      <c r="L928" s="58" t="n">
        <v>1.515</v>
      </c>
      <c r="M928" s="56" t="inlineStr">
        <is>
          <t>own BFCM 2025 lift (account data)</t>
        </is>
      </c>
      <c r="N928" s="59">
        <f>J928*34+J928*L928*12</f>
        <v/>
      </c>
      <c r="O928" s="59">
        <f>MAX(0,N928-G928-H928)</f>
        <v/>
      </c>
      <c r="P928" s="60">
        <f>IF(J928=0,"",IF(G928&lt;J928*34,DATE(2026,10,15)+G928/J928,IF(G928&lt;N928,DATE(2026,11,18)+(G928-J928*34)/(J928*L928),"after Nov 30")))</f>
        <v/>
      </c>
      <c r="Q928" s="60">
        <f>IF(J928=0,"",IF(G928+H928&lt;J928*34,DATE(2026,10,15)+(G928+H928)/J928,IF(G928+H928&lt;N928,DATE(2026,11,18)+(G928+H928-J928*34)/(J928*L928),"after Nov 30")))</f>
        <v/>
      </c>
      <c r="R928" s="54">
        <f>IF(AND(G928&lt;=0,J928&gt;0),"Out of stock now",IF(G928&gt;=N928,"Covered to Nov 30",IF(G928+H928&gt;=N928,"Needs inbound in time","Short even with inbound")))</f>
        <v/>
      </c>
      <c r="S928" s="57" t="n"/>
      <c r="T928" s="59">
        <f>IF(S928="","",S928*34+S928*L928*12)</f>
        <v/>
      </c>
    </row>
    <row r="929">
      <c r="A929" s="54" t="inlineStr">
        <is>
          <t>CA SSS4</t>
        </is>
      </c>
      <c r="B929" s="54" t="inlineStr">
        <is>
          <t>CA</t>
        </is>
      </c>
      <c r="C929" s="54" t="inlineStr">
        <is>
          <t>B0DDQX793B</t>
        </is>
      </c>
      <c r="D929" s="54" t="inlineStr">
        <is>
          <t>SS-SATIN-GREY-FULL-4PCS</t>
        </is>
      </c>
      <c r="E929" s="54" t="inlineStr">
        <is>
          <t>Full</t>
        </is>
      </c>
      <c r="F929" s="54" t="inlineStr">
        <is>
          <t>Grey</t>
        </is>
      </c>
      <c r="G929" s="55" t="n">
        <v>1</v>
      </c>
      <c r="H929" s="55" t="n">
        <v>0</v>
      </c>
      <c r="I929" s="56" t="n"/>
      <c r="J929" s="57" t="n">
        <v>0</v>
      </c>
      <c r="K929" s="56" t="inlineStr">
        <is>
          <t>account data velocity</t>
        </is>
      </c>
      <c r="L929" s="58" t="n">
        <v>1.515</v>
      </c>
      <c r="M929" s="56" t="inlineStr">
        <is>
          <t>own BFCM 2025 lift (account data)</t>
        </is>
      </c>
      <c r="N929" s="59">
        <f>J929*34+J929*L929*12</f>
        <v/>
      </c>
      <c r="O929" s="59">
        <f>MAX(0,N929-G929-H929)</f>
        <v/>
      </c>
      <c r="P929" s="60">
        <f>IF(J929=0,"",IF(G929&lt;J929*34,DATE(2026,10,15)+G929/J929,IF(G929&lt;N929,DATE(2026,11,18)+(G929-J929*34)/(J929*L929),"after Nov 30")))</f>
        <v/>
      </c>
      <c r="Q929" s="60">
        <f>IF(J929=0,"",IF(G929+H929&lt;J929*34,DATE(2026,10,15)+(G929+H929)/J929,IF(G929+H929&lt;N929,DATE(2026,11,18)+(G929+H929-J929*34)/(J929*L929),"after Nov 30")))</f>
        <v/>
      </c>
      <c r="R929" s="54">
        <f>IF(AND(G929&lt;=0,J929&gt;0),"Out of stock now",IF(G929&gt;=N929,"Covered to Nov 30",IF(G929+H929&gt;=N929,"Needs inbound in time","Short even with inbound")))</f>
        <v/>
      </c>
      <c r="S929" s="57" t="n">
        <v>0</v>
      </c>
      <c r="T929" s="59">
        <f>IF(S929="","",S929*34+S929*L929*12)</f>
        <v/>
      </c>
    </row>
    <row r="930">
      <c r="A930" s="54" t="inlineStr">
        <is>
          <t>CA SSS4</t>
        </is>
      </c>
      <c r="B930" s="54" t="inlineStr">
        <is>
          <t>CA</t>
        </is>
      </c>
      <c r="C930" s="54" t="inlineStr">
        <is>
          <t>B0DDRF88H4</t>
        </is>
      </c>
      <c r="D930" s="54" t="inlineStr">
        <is>
          <t>SS-SATIN-NAVY-BLUE-FULL-4PCS</t>
        </is>
      </c>
      <c r="E930" s="54" t="inlineStr">
        <is>
          <t>Full</t>
        </is>
      </c>
      <c r="F930" s="54" t="inlineStr">
        <is>
          <t>Navy Blue</t>
        </is>
      </c>
      <c r="G930" s="55" t="n">
        <v>84</v>
      </c>
      <c r="H930" s="55" t="n">
        <v>0</v>
      </c>
      <c r="I930" s="56" t="n"/>
      <c r="J930" s="57" t="n">
        <v>0</v>
      </c>
      <c r="K930" s="56" t="inlineStr">
        <is>
          <t>account data velocity</t>
        </is>
      </c>
      <c r="L930" s="58" t="n">
        <v>1.515</v>
      </c>
      <c r="M930" s="56" t="inlineStr">
        <is>
          <t>own BFCM 2025 lift (account data)</t>
        </is>
      </c>
      <c r="N930" s="59">
        <f>J930*34+J930*L930*12</f>
        <v/>
      </c>
      <c r="O930" s="59">
        <f>MAX(0,N930-G930-H930)</f>
        <v/>
      </c>
      <c r="P930" s="60">
        <f>IF(J930=0,"",IF(G930&lt;J930*34,DATE(2026,10,15)+G930/J930,IF(G930&lt;N930,DATE(2026,11,18)+(G930-J930*34)/(J930*L930),"after Nov 30")))</f>
        <v/>
      </c>
      <c r="Q930" s="60">
        <f>IF(J930=0,"",IF(G930+H930&lt;J930*34,DATE(2026,10,15)+(G930+H930)/J930,IF(G930+H930&lt;N930,DATE(2026,11,18)+(G930+H930-J930*34)/(J930*L930),"after Nov 30")))</f>
        <v/>
      </c>
      <c r="R930" s="54">
        <f>IF(AND(G930&lt;=0,J930&gt;0),"Out of stock now",IF(G930&gt;=N930,"Covered to Nov 30",IF(G930+H930&gt;=N930,"Needs inbound in time","Short even with inbound")))</f>
        <v/>
      </c>
      <c r="S930" s="57" t="n">
        <v>0</v>
      </c>
      <c r="T930" s="59">
        <f>IF(S930="","",S930*34+S930*L930*12)</f>
        <v/>
      </c>
    </row>
    <row r="931">
      <c r="A931" s="54" t="inlineStr">
        <is>
          <t>CA SSS4</t>
        </is>
      </c>
      <c r="B931" s="54" t="inlineStr">
        <is>
          <t>CA</t>
        </is>
      </c>
      <c r="C931" s="54" t="inlineStr">
        <is>
          <t>B0DDQZG4MQ</t>
        </is>
      </c>
      <c r="D931" s="54" t="inlineStr">
        <is>
          <t>SS-SATIN-PINK-FULL-4PCS</t>
        </is>
      </c>
      <c r="E931" s="54" t="inlineStr">
        <is>
          <t>Full</t>
        </is>
      </c>
      <c r="F931" s="54" t="inlineStr">
        <is>
          <t>Pink</t>
        </is>
      </c>
      <c r="G931" s="55" t="n">
        <v>84</v>
      </c>
      <c r="H931" s="55" t="n">
        <v>0</v>
      </c>
      <c r="I931" s="56" t="n"/>
      <c r="J931" s="57" t="n">
        <v>0</v>
      </c>
      <c r="K931" s="56" t="inlineStr">
        <is>
          <t>account data velocity</t>
        </is>
      </c>
      <c r="L931" s="58" t="n">
        <v>1.515</v>
      </c>
      <c r="M931" s="56" t="inlineStr">
        <is>
          <t>own BFCM 2025 lift (account data)</t>
        </is>
      </c>
      <c r="N931" s="59">
        <f>J931*34+J931*L931*12</f>
        <v/>
      </c>
      <c r="O931" s="59">
        <f>MAX(0,N931-G931-H931)</f>
        <v/>
      </c>
      <c r="P931" s="60">
        <f>IF(J931=0,"",IF(G931&lt;J931*34,DATE(2026,10,15)+G931/J931,IF(G931&lt;N931,DATE(2026,11,18)+(G931-J931*34)/(J931*L931),"after Nov 30")))</f>
        <v/>
      </c>
      <c r="Q931" s="60">
        <f>IF(J931=0,"",IF(G931+H931&lt;J931*34,DATE(2026,10,15)+(G931+H931)/J931,IF(G931+H931&lt;N931,DATE(2026,11,18)+(G931+H931-J931*34)/(J931*L931),"after Nov 30")))</f>
        <v/>
      </c>
      <c r="R931" s="54">
        <f>IF(AND(G931&lt;=0,J931&gt;0),"Out of stock now",IF(G931&gt;=N931,"Covered to Nov 30",IF(G931+H931&gt;=N931,"Needs inbound in time","Short even with inbound")))</f>
        <v/>
      </c>
      <c r="S931" s="57" t="n">
        <v>0</v>
      </c>
      <c r="T931" s="59">
        <f>IF(S931="","",S931*34+S931*L931*12)</f>
        <v/>
      </c>
    </row>
    <row r="932">
      <c r="A932" s="54" t="inlineStr">
        <is>
          <t>CA SSS4</t>
        </is>
      </c>
      <c r="B932" s="54" t="inlineStr">
        <is>
          <t>CA</t>
        </is>
      </c>
      <c r="C932" s="54" t="inlineStr">
        <is>
          <t>B0DDRCZN9J</t>
        </is>
      </c>
      <c r="D932" s="54" t="inlineStr">
        <is>
          <t>SS-SATIN-RED-FULL-4PCS</t>
        </is>
      </c>
      <c r="E932" s="54" t="inlineStr">
        <is>
          <t>Full</t>
        </is>
      </c>
      <c r="F932" s="54" t="inlineStr">
        <is>
          <t>Red</t>
        </is>
      </c>
      <c r="G932" s="55" t="n">
        <v>6</v>
      </c>
      <c r="H932" s="55" t="n">
        <v>18</v>
      </c>
      <c r="I932" s="56" t="inlineStr">
        <is>
          <t>FBA19RSBKFGZ shipped: 18</t>
        </is>
      </c>
      <c r="J932" s="57" t="n">
        <v>0</v>
      </c>
      <c r="K932" s="56" t="inlineStr">
        <is>
          <t>account data velocity</t>
        </is>
      </c>
      <c r="L932" s="58" t="n">
        <v>1.515</v>
      </c>
      <c r="M932" s="56" t="inlineStr">
        <is>
          <t>own BFCM 2025 lift (account data)</t>
        </is>
      </c>
      <c r="N932" s="59">
        <f>J932*34+J932*L932*12</f>
        <v/>
      </c>
      <c r="O932" s="59">
        <f>MAX(0,N932-G932-H932)</f>
        <v/>
      </c>
      <c r="P932" s="60">
        <f>IF(J932=0,"",IF(G932&lt;J932*34,DATE(2026,10,15)+G932/J932,IF(G932&lt;N932,DATE(2026,11,18)+(G932-J932*34)/(J932*L932),"after Nov 30")))</f>
        <v/>
      </c>
      <c r="Q932" s="60">
        <f>IF(J932=0,"",IF(G932+H932&lt;J932*34,DATE(2026,10,15)+(G932+H932)/J932,IF(G932+H932&lt;N932,DATE(2026,11,18)+(G932+H932-J932*34)/(J932*L932),"after Nov 30")))</f>
        <v/>
      </c>
      <c r="R932" s="54">
        <f>IF(AND(G932&lt;=0,J932&gt;0),"Out of stock now",IF(G932&gt;=N932,"Covered to Nov 30",IF(G932+H932&gt;=N932,"Needs inbound in time","Short even with inbound")))</f>
        <v/>
      </c>
      <c r="S932" s="57" t="n">
        <v>0</v>
      </c>
      <c r="T932" s="59">
        <f>IF(S932="","",S932*34+S932*L932*12)</f>
        <v/>
      </c>
    </row>
    <row r="933">
      <c r="A933" s="54" t="inlineStr">
        <is>
          <t>CA SSS4</t>
        </is>
      </c>
      <c r="B933" s="54" t="inlineStr">
        <is>
          <t>CA</t>
        </is>
      </c>
      <c r="C933" s="54" t="inlineStr">
        <is>
          <t>B0DDRL4WTJ</t>
        </is>
      </c>
      <c r="D933" s="54" t="inlineStr">
        <is>
          <t>SS-SATIN-BURNT-ORANGE-KING-4PCS</t>
        </is>
      </c>
      <c r="E933" s="54" t="inlineStr">
        <is>
          <t>King</t>
        </is>
      </c>
      <c r="F933" s="54" t="inlineStr">
        <is>
          <t>Burnt Orange</t>
        </is>
      </c>
      <c r="G933" s="55" t="n">
        <v>123</v>
      </c>
      <c r="H933" s="55" t="n">
        <v>0</v>
      </c>
      <c r="I933" s="56" t="n"/>
      <c r="J933" s="57" t="n">
        <v>0</v>
      </c>
      <c r="K933" s="56" t="inlineStr">
        <is>
          <t>account data velocity</t>
        </is>
      </c>
      <c r="L933" s="58" t="n">
        <v>1.515</v>
      </c>
      <c r="M933" s="56" t="inlineStr">
        <is>
          <t>own BFCM 2025 lift (account data)</t>
        </is>
      </c>
      <c r="N933" s="59">
        <f>J933*34+J933*L933*12</f>
        <v/>
      </c>
      <c r="O933" s="59">
        <f>MAX(0,N933-G933-H933)</f>
        <v/>
      </c>
      <c r="P933" s="60">
        <f>IF(J933=0,"",IF(G933&lt;J933*34,DATE(2026,10,15)+G933/J933,IF(G933&lt;N933,DATE(2026,11,18)+(G933-J933*34)/(J933*L933),"after Nov 30")))</f>
        <v/>
      </c>
      <c r="Q933" s="60">
        <f>IF(J933=0,"",IF(G933+H933&lt;J933*34,DATE(2026,10,15)+(G933+H933)/J933,IF(G933+H933&lt;N933,DATE(2026,11,18)+(G933+H933-J933*34)/(J933*L933),"after Nov 30")))</f>
        <v/>
      </c>
      <c r="R933" s="54">
        <f>IF(AND(G933&lt;=0,J933&gt;0),"Out of stock now",IF(G933&gt;=N933,"Covered to Nov 30",IF(G933+H933&gt;=N933,"Needs inbound in time","Short even with inbound")))</f>
        <v/>
      </c>
      <c r="S933" s="57" t="n">
        <v>0</v>
      </c>
      <c r="T933" s="59">
        <f>IF(S933="","",S933*34+S933*L933*12)</f>
        <v/>
      </c>
    </row>
    <row r="934">
      <c r="A934" s="54" t="inlineStr">
        <is>
          <t>CA SSS4</t>
        </is>
      </c>
      <c r="B934" s="54" t="inlineStr">
        <is>
          <t>CA</t>
        </is>
      </c>
      <c r="C934" s="54" t="inlineStr">
        <is>
          <t>B0DDRP3R3F</t>
        </is>
      </c>
      <c r="D934" s="54" t="inlineStr">
        <is>
          <t>SS-SATIN-RED-KING-4PCS</t>
        </is>
      </c>
      <c r="E934" s="54" t="inlineStr">
        <is>
          <t>King</t>
        </is>
      </c>
      <c r="F934" s="54" t="inlineStr">
        <is>
          <t>Red</t>
        </is>
      </c>
      <c r="G934" s="55" t="n">
        <v>7</v>
      </c>
      <c r="H934" s="55" t="n">
        <v>0</v>
      </c>
      <c r="I934" s="56" t="n"/>
      <c r="J934" s="57" t="n">
        <v>0</v>
      </c>
      <c r="K934" s="56" t="inlineStr">
        <is>
          <t>account data velocity</t>
        </is>
      </c>
      <c r="L934" s="58" t="n">
        <v>1.515</v>
      </c>
      <c r="M934" s="56" t="inlineStr">
        <is>
          <t>own BFCM 2025 lift (account data)</t>
        </is>
      </c>
      <c r="N934" s="59">
        <f>J934*34+J934*L934*12</f>
        <v/>
      </c>
      <c r="O934" s="59">
        <f>MAX(0,N934-G934-H934)</f>
        <v/>
      </c>
      <c r="P934" s="60">
        <f>IF(J934=0,"",IF(G934&lt;J934*34,DATE(2026,10,15)+G934/J934,IF(G934&lt;N934,DATE(2026,11,18)+(G934-J934*34)/(J934*L934),"after Nov 30")))</f>
        <v/>
      </c>
      <c r="Q934" s="60">
        <f>IF(J934=0,"",IF(G934+H934&lt;J934*34,DATE(2026,10,15)+(G934+H934)/J934,IF(G934+H934&lt;N934,DATE(2026,11,18)+(G934+H934-J934*34)/(J934*L934),"after Nov 30")))</f>
        <v/>
      </c>
      <c r="R934" s="54">
        <f>IF(AND(G934&lt;=0,J934&gt;0),"Out of stock now",IF(G934&gt;=N934,"Covered to Nov 30",IF(G934+H934&gt;=N934,"Needs inbound in time","Short even with inbound")))</f>
        <v/>
      </c>
      <c r="S934" s="57" t="n">
        <v>0</v>
      </c>
      <c r="T934" s="59">
        <f>IF(S934="","",S934*34+S934*L934*12)</f>
        <v/>
      </c>
    </row>
    <row r="935">
      <c r="A935" s="54" t="inlineStr">
        <is>
          <t>CA SSS4</t>
        </is>
      </c>
      <c r="B935" s="54" t="inlineStr">
        <is>
          <t>CA</t>
        </is>
      </c>
      <c r="C935" s="54" t="inlineStr">
        <is>
          <t>B0DDRF1Z4N</t>
        </is>
      </c>
      <c r="D935" s="54" t="inlineStr">
        <is>
          <t>SS-SATIN-TAUPE-KING-4PCS</t>
        </is>
      </c>
      <c r="E935" s="54" t="inlineStr">
        <is>
          <t>King</t>
        </is>
      </c>
      <c r="F935" s="54" t="inlineStr">
        <is>
          <t>Taupe</t>
        </is>
      </c>
      <c r="G935" s="55" t="n">
        <v>1</v>
      </c>
      <c r="H935" s="55" t="n">
        <v>24</v>
      </c>
      <c r="I935" s="56" t="inlineStr">
        <is>
          <t>FBA19RSBKFGZ shipped: 24</t>
        </is>
      </c>
      <c r="J935" s="57" t="n">
        <v>0</v>
      </c>
      <c r="K935" s="56" t="inlineStr">
        <is>
          <t>account data velocity</t>
        </is>
      </c>
      <c r="L935" s="58" t="n">
        <v>1.515</v>
      </c>
      <c r="M935" s="56" t="inlineStr">
        <is>
          <t>own BFCM 2025 lift (account data)</t>
        </is>
      </c>
      <c r="N935" s="59">
        <f>J935*34+J935*L935*12</f>
        <v/>
      </c>
      <c r="O935" s="59">
        <f>MAX(0,N935-G935-H935)</f>
        <v/>
      </c>
      <c r="P935" s="60">
        <f>IF(J935=0,"",IF(G935&lt;J935*34,DATE(2026,10,15)+G935/J935,IF(G935&lt;N935,DATE(2026,11,18)+(G935-J935*34)/(J935*L935),"after Nov 30")))</f>
        <v/>
      </c>
      <c r="Q935" s="60">
        <f>IF(J935=0,"",IF(G935+H935&lt;J935*34,DATE(2026,10,15)+(G935+H935)/J935,IF(G935+H935&lt;N935,DATE(2026,11,18)+(G935+H935-J935*34)/(J935*L935),"after Nov 30")))</f>
        <v/>
      </c>
      <c r="R935" s="54">
        <f>IF(AND(G935&lt;=0,J935&gt;0),"Out of stock now",IF(G935&gt;=N935,"Covered to Nov 30",IF(G935+H935&gt;=N935,"Needs inbound in time","Short even with inbound")))</f>
        <v/>
      </c>
      <c r="S935" s="57" t="n">
        <v>0</v>
      </c>
      <c r="T935" s="59">
        <f>IF(S935="","",S935*34+S935*L935*12)</f>
        <v/>
      </c>
    </row>
    <row r="936">
      <c r="A936" s="54" t="inlineStr">
        <is>
          <t>CA SSS4</t>
        </is>
      </c>
      <c r="B936" s="54" t="inlineStr">
        <is>
          <t>CA</t>
        </is>
      </c>
      <c r="C936" s="54" t="inlineStr">
        <is>
          <t>B0DDRFM554</t>
        </is>
      </c>
      <c r="D936" s="54" t="inlineStr">
        <is>
          <t>SS-SATIN-BABY-BLUE-QUEEN-4PCS</t>
        </is>
      </c>
      <c r="E936" s="54" t="inlineStr">
        <is>
          <t>Queen</t>
        </is>
      </c>
      <c r="F936" s="54" t="inlineStr">
        <is>
          <t>Baby Blue</t>
        </is>
      </c>
      <c r="G936" s="55" t="n">
        <v>1</v>
      </c>
      <c r="H936" s="55" t="n">
        <v>0</v>
      </c>
      <c r="I936" s="56" t="n"/>
      <c r="J936" s="57" t="n">
        <v>0</v>
      </c>
      <c r="K936" s="56" t="inlineStr">
        <is>
          <t>account data velocity</t>
        </is>
      </c>
      <c r="L936" s="58" t="n">
        <v>1.515</v>
      </c>
      <c r="M936" s="56" t="inlineStr">
        <is>
          <t>own BFCM 2025 lift (account data)</t>
        </is>
      </c>
      <c r="N936" s="59">
        <f>J936*34+J936*L936*12</f>
        <v/>
      </c>
      <c r="O936" s="59">
        <f>MAX(0,N936-G936-H936)</f>
        <v/>
      </c>
      <c r="P936" s="60">
        <f>IF(J936=0,"",IF(G936&lt;J936*34,DATE(2026,10,15)+G936/J936,IF(G936&lt;N936,DATE(2026,11,18)+(G936-J936*34)/(J936*L936),"after Nov 30")))</f>
        <v/>
      </c>
      <c r="Q936" s="60">
        <f>IF(J936=0,"",IF(G936+H936&lt;J936*34,DATE(2026,10,15)+(G936+H936)/J936,IF(G936+H936&lt;N936,DATE(2026,11,18)+(G936+H936-J936*34)/(J936*L936),"after Nov 30")))</f>
        <v/>
      </c>
      <c r="R936" s="54">
        <f>IF(AND(G936&lt;=0,J936&gt;0),"Out of stock now",IF(G936&gt;=N936,"Covered to Nov 30",IF(G936+H936&gt;=N936,"Needs inbound in time","Short even with inbound")))</f>
        <v/>
      </c>
      <c r="S936" s="57" t="n">
        <v>0</v>
      </c>
      <c r="T936" s="59">
        <f>IF(S936="","",S936*34+S936*L936*12)</f>
        <v/>
      </c>
    </row>
    <row r="937">
      <c r="A937" s="54" t="inlineStr">
        <is>
          <t>CA SSS4</t>
        </is>
      </c>
      <c r="B937" s="54" t="inlineStr">
        <is>
          <t>CA</t>
        </is>
      </c>
      <c r="C937" s="54" t="inlineStr">
        <is>
          <t>B0DDRNW3GF</t>
        </is>
      </c>
      <c r="D937" s="54" t="inlineStr">
        <is>
          <t>SS-SATIN-BLUE-QUEEN-4PCS</t>
        </is>
      </c>
      <c r="E937" s="54" t="inlineStr">
        <is>
          <t>Queen</t>
        </is>
      </c>
      <c r="F937" s="54" t="inlineStr">
        <is>
          <t>Blue</t>
        </is>
      </c>
      <c r="G937" s="55" t="n">
        <v>2</v>
      </c>
      <c r="H937" s="55" t="n">
        <v>0</v>
      </c>
      <c r="I937" s="56" t="n"/>
      <c r="J937" s="57" t="n">
        <v>0</v>
      </c>
      <c r="K937" s="56" t="inlineStr">
        <is>
          <t>account data velocity</t>
        </is>
      </c>
      <c r="L937" s="58" t="n">
        <v>1.515</v>
      </c>
      <c r="M937" s="56" t="inlineStr">
        <is>
          <t>own BFCM 2025 lift (account data)</t>
        </is>
      </c>
      <c r="N937" s="59">
        <f>J937*34+J937*L937*12</f>
        <v/>
      </c>
      <c r="O937" s="59">
        <f>MAX(0,N937-G937-H937)</f>
        <v/>
      </c>
      <c r="P937" s="60">
        <f>IF(J937=0,"",IF(G937&lt;J937*34,DATE(2026,10,15)+G937/J937,IF(G937&lt;N937,DATE(2026,11,18)+(G937-J937*34)/(J937*L937),"after Nov 30")))</f>
        <v/>
      </c>
      <c r="Q937" s="60">
        <f>IF(J937=0,"",IF(G937+H937&lt;J937*34,DATE(2026,10,15)+(G937+H937)/J937,IF(G937+H937&lt;N937,DATE(2026,11,18)+(G937+H937-J937*34)/(J937*L937),"after Nov 30")))</f>
        <v/>
      </c>
      <c r="R937" s="54">
        <f>IF(AND(G937&lt;=0,J937&gt;0),"Out of stock now",IF(G937&gt;=N937,"Covered to Nov 30",IF(G937+H937&gt;=N937,"Needs inbound in time","Short even with inbound")))</f>
        <v/>
      </c>
      <c r="S937" s="57" t="n">
        <v>0</v>
      </c>
      <c r="T937" s="59">
        <f>IF(S937="","",S937*34+S937*L937*12)</f>
        <v/>
      </c>
    </row>
    <row r="938">
      <c r="A938" s="54" t="inlineStr">
        <is>
          <t>CA SSS4</t>
        </is>
      </c>
      <c r="B938" s="54" t="inlineStr">
        <is>
          <t>CA</t>
        </is>
      </c>
      <c r="C938" s="54" t="inlineStr">
        <is>
          <t>B0DDR1H4YM</t>
        </is>
      </c>
      <c r="D938" s="54" t="inlineStr">
        <is>
          <t>SS-SATIN-BLUSH-PINK-QUEEN-4PCS</t>
        </is>
      </c>
      <c r="E938" s="54" t="inlineStr">
        <is>
          <t>Queen</t>
        </is>
      </c>
      <c r="F938" s="54" t="inlineStr">
        <is>
          <t>Blush Pink</t>
        </is>
      </c>
      <c r="G938" s="55" t="n">
        <v>51</v>
      </c>
      <c r="H938" s="55" t="n">
        <v>0</v>
      </c>
      <c r="I938" s="56" t="n"/>
      <c r="J938" s="57" t="n">
        <v>0</v>
      </c>
      <c r="K938" s="56" t="inlineStr">
        <is>
          <t>account data velocity</t>
        </is>
      </c>
      <c r="L938" s="58" t="n">
        <v>1.515</v>
      </c>
      <c r="M938" s="56" t="inlineStr">
        <is>
          <t>own BFCM 2025 lift (account data)</t>
        </is>
      </c>
      <c r="N938" s="59">
        <f>J938*34+J938*L938*12</f>
        <v/>
      </c>
      <c r="O938" s="59">
        <f>MAX(0,N938-G938-H938)</f>
        <v/>
      </c>
      <c r="P938" s="60">
        <f>IF(J938=0,"",IF(G938&lt;J938*34,DATE(2026,10,15)+G938/J938,IF(G938&lt;N938,DATE(2026,11,18)+(G938-J938*34)/(J938*L938),"after Nov 30")))</f>
        <v/>
      </c>
      <c r="Q938" s="60">
        <f>IF(J938=0,"",IF(G938+H938&lt;J938*34,DATE(2026,10,15)+(G938+H938)/J938,IF(G938+H938&lt;N938,DATE(2026,11,18)+(G938+H938-J938*34)/(J938*L938),"after Nov 30")))</f>
        <v/>
      </c>
      <c r="R938" s="54">
        <f>IF(AND(G938&lt;=0,J938&gt;0),"Out of stock now",IF(G938&gt;=N938,"Covered to Nov 30",IF(G938+H938&gt;=N938,"Needs inbound in time","Short even with inbound")))</f>
        <v/>
      </c>
      <c r="S938" s="57" t="n">
        <v>0</v>
      </c>
      <c r="T938" s="59">
        <f>IF(S938="","",S938*34+S938*L938*12)</f>
        <v/>
      </c>
    </row>
    <row r="939">
      <c r="A939" s="54" t="inlineStr">
        <is>
          <t>CA SSS4</t>
        </is>
      </c>
      <c r="B939" s="54" t="inlineStr">
        <is>
          <t>CA</t>
        </is>
      </c>
      <c r="C939" s="54" t="inlineStr">
        <is>
          <t>B0DDRGZYZD</t>
        </is>
      </c>
      <c r="D939" s="54" t="inlineStr">
        <is>
          <t>SS-SATIN-DARK-GREEN-QUEEN-4PCS</t>
        </is>
      </c>
      <c r="E939" s="54" t="inlineStr">
        <is>
          <t>Queen</t>
        </is>
      </c>
      <c r="F939" s="54" t="inlineStr">
        <is>
          <t>Dark Green</t>
        </is>
      </c>
      <c r="G939" s="55" t="n">
        <v>1</v>
      </c>
      <c r="H939" s="55" t="n">
        <v>0</v>
      </c>
      <c r="I939" s="56" t="n"/>
      <c r="J939" s="57" t="n">
        <v>0</v>
      </c>
      <c r="K939" s="56" t="inlineStr">
        <is>
          <t>account data velocity</t>
        </is>
      </c>
      <c r="L939" s="58" t="n">
        <v>1.515</v>
      </c>
      <c r="M939" s="56" t="inlineStr">
        <is>
          <t>own BFCM 2025 lift (account data)</t>
        </is>
      </c>
      <c r="N939" s="59">
        <f>J939*34+J939*L939*12</f>
        <v/>
      </c>
      <c r="O939" s="59">
        <f>MAX(0,N939-G939-H939)</f>
        <v/>
      </c>
      <c r="P939" s="60">
        <f>IF(J939=0,"",IF(G939&lt;J939*34,DATE(2026,10,15)+G939/J939,IF(G939&lt;N939,DATE(2026,11,18)+(G939-J939*34)/(J939*L939),"after Nov 30")))</f>
        <v/>
      </c>
      <c r="Q939" s="60">
        <f>IF(J939=0,"",IF(G939+H939&lt;J939*34,DATE(2026,10,15)+(G939+H939)/J939,IF(G939+H939&lt;N939,DATE(2026,11,18)+(G939+H939-J939*34)/(J939*L939),"after Nov 30")))</f>
        <v/>
      </c>
      <c r="R939" s="54">
        <f>IF(AND(G939&lt;=0,J939&gt;0),"Out of stock now",IF(G939&gt;=N939,"Covered to Nov 30",IF(G939+H939&gt;=N939,"Needs inbound in time","Short even with inbound")))</f>
        <v/>
      </c>
      <c r="S939" s="57" t="n">
        <v>0</v>
      </c>
      <c r="T939" s="59">
        <f>IF(S939="","",S939*34+S939*L939*12)</f>
        <v/>
      </c>
    </row>
    <row r="940">
      <c r="A940" s="54" t="inlineStr">
        <is>
          <t>CA SSS4</t>
        </is>
      </c>
      <c r="B940" s="54" t="inlineStr">
        <is>
          <t>CA</t>
        </is>
      </c>
      <c r="C940" s="54" t="inlineStr">
        <is>
          <t>B0DDRHPKDV</t>
        </is>
      </c>
      <c r="D940" s="54" t="inlineStr">
        <is>
          <t>SS-SATIN-GOLD-QUEEN-4PCS</t>
        </is>
      </c>
      <c r="E940" s="54" t="inlineStr">
        <is>
          <t>Queen</t>
        </is>
      </c>
      <c r="F940" s="54" t="inlineStr">
        <is>
          <t>Gold</t>
        </is>
      </c>
      <c r="G940" s="55" t="n">
        <v>2</v>
      </c>
      <c r="H940" s="55" t="n">
        <v>0</v>
      </c>
      <c r="I940" s="56" t="n"/>
      <c r="J940" s="57" t="n">
        <v>0</v>
      </c>
      <c r="K940" s="56" t="inlineStr">
        <is>
          <t>account data velocity</t>
        </is>
      </c>
      <c r="L940" s="58" t="n">
        <v>1.515</v>
      </c>
      <c r="M940" s="56" t="inlineStr">
        <is>
          <t>own BFCM 2025 lift (account data)</t>
        </is>
      </c>
      <c r="N940" s="59">
        <f>J940*34+J940*L940*12</f>
        <v/>
      </c>
      <c r="O940" s="59">
        <f>MAX(0,N940-G940-H940)</f>
        <v/>
      </c>
      <c r="P940" s="60">
        <f>IF(J940=0,"",IF(G940&lt;J940*34,DATE(2026,10,15)+G940/J940,IF(G940&lt;N940,DATE(2026,11,18)+(G940-J940*34)/(J940*L940),"after Nov 30")))</f>
        <v/>
      </c>
      <c r="Q940" s="60">
        <f>IF(J940=0,"",IF(G940+H940&lt;J940*34,DATE(2026,10,15)+(G940+H940)/J940,IF(G940+H940&lt;N940,DATE(2026,11,18)+(G940+H940-J940*34)/(J940*L940),"after Nov 30")))</f>
        <v/>
      </c>
      <c r="R940" s="54">
        <f>IF(AND(G940&lt;=0,J940&gt;0),"Out of stock now",IF(G940&gt;=N940,"Covered to Nov 30",IF(G940+H940&gt;=N940,"Needs inbound in time","Short even with inbound")))</f>
        <v/>
      </c>
      <c r="S940" s="57" t="n">
        <v>0</v>
      </c>
      <c r="T940" s="59">
        <f>IF(S940="","",S940*34+S940*L940*12)</f>
        <v/>
      </c>
    </row>
    <row r="941">
      <c r="A941" s="54" t="inlineStr">
        <is>
          <t>CA SSS4</t>
        </is>
      </c>
      <c r="B941" s="54" t="inlineStr">
        <is>
          <t>CA</t>
        </is>
      </c>
      <c r="C941" s="54" t="inlineStr">
        <is>
          <t>B0DDRHLV1C</t>
        </is>
      </c>
      <c r="D941" s="54" t="inlineStr">
        <is>
          <t>SS-SATIN-LAVENDER-QUEEN-4PCS</t>
        </is>
      </c>
      <c r="E941" s="54" t="inlineStr">
        <is>
          <t>Queen</t>
        </is>
      </c>
      <c r="F941" s="54" t="inlineStr">
        <is>
          <t>Lavender</t>
        </is>
      </c>
      <c r="G941" s="55" t="n">
        <v>4</v>
      </c>
      <c r="H941" s="55" t="n">
        <v>24</v>
      </c>
      <c r="I941" s="56" t="inlineStr">
        <is>
          <t>FBA19RSBKFGZ shipped: 24</t>
        </is>
      </c>
      <c r="J941" s="57" t="n">
        <v>0</v>
      </c>
      <c r="K941" s="56" t="inlineStr">
        <is>
          <t>account data velocity</t>
        </is>
      </c>
      <c r="L941" s="58" t="n">
        <v>1.515</v>
      </c>
      <c r="M941" s="56" t="inlineStr">
        <is>
          <t>own BFCM 2025 lift (account data)</t>
        </is>
      </c>
      <c r="N941" s="59">
        <f>J941*34+J941*L941*12</f>
        <v/>
      </c>
      <c r="O941" s="59">
        <f>MAX(0,N941-G941-H941)</f>
        <v/>
      </c>
      <c r="P941" s="60">
        <f>IF(J941=0,"",IF(G941&lt;J941*34,DATE(2026,10,15)+G941/J941,IF(G941&lt;N941,DATE(2026,11,18)+(G941-J941*34)/(J941*L941),"after Nov 30")))</f>
        <v/>
      </c>
      <c r="Q941" s="60">
        <f>IF(J941=0,"",IF(G941+H941&lt;J941*34,DATE(2026,10,15)+(G941+H941)/J941,IF(G941+H941&lt;N941,DATE(2026,11,18)+(G941+H941-J941*34)/(J941*L941),"after Nov 30")))</f>
        <v/>
      </c>
      <c r="R941" s="54">
        <f>IF(AND(G941&lt;=0,J941&gt;0),"Out of stock now",IF(G941&gt;=N941,"Covered to Nov 30",IF(G941+H941&gt;=N941,"Needs inbound in time","Short even with inbound")))</f>
        <v/>
      </c>
      <c r="S941" s="57" t="n">
        <v>0</v>
      </c>
      <c r="T941" s="59">
        <f>IF(S941="","",S941*34+S941*L941*12)</f>
        <v/>
      </c>
    </row>
    <row r="942">
      <c r="A942" s="54" t="inlineStr">
        <is>
          <t>CA SSS4</t>
        </is>
      </c>
      <c r="B942" s="54" t="inlineStr">
        <is>
          <t>CA</t>
        </is>
      </c>
      <c r="C942" s="54" t="inlineStr">
        <is>
          <t>B0DDR5K4KK</t>
        </is>
      </c>
      <c r="D942" s="54" t="inlineStr">
        <is>
          <t>SS-SATIN-SAGE-GREEN-QUEEN-4PCS</t>
        </is>
      </c>
      <c r="E942" s="54" t="inlineStr">
        <is>
          <t>Queen</t>
        </is>
      </c>
      <c r="F942" s="54" t="inlineStr">
        <is>
          <t>Sage Green</t>
        </is>
      </c>
      <c r="G942" s="55" t="n">
        <v>1</v>
      </c>
      <c r="H942" s="55" t="n">
        <v>0</v>
      </c>
      <c r="I942" s="56" t="n"/>
      <c r="J942" s="57" t="n">
        <v>0</v>
      </c>
      <c r="K942" s="56" t="inlineStr">
        <is>
          <t>account data velocity</t>
        </is>
      </c>
      <c r="L942" s="58" t="n">
        <v>1.515</v>
      </c>
      <c r="M942" s="56" t="inlineStr">
        <is>
          <t>own BFCM 2025 lift (account data)</t>
        </is>
      </c>
      <c r="N942" s="59">
        <f>J942*34+J942*L942*12</f>
        <v/>
      </c>
      <c r="O942" s="59">
        <f>MAX(0,N942-G942-H942)</f>
        <v/>
      </c>
      <c r="P942" s="60">
        <f>IF(J942=0,"",IF(G942&lt;J942*34,DATE(2026,10,15)+G942/J942,IF(G942&lt;N942,DATE(2026,11,18)+(G942-J942*34)/(J942*L942),"after Nov 30")))</f>
        <v/>
      </c>
      <c r="Q942" s="60">
        <f>IF(J942=0,"",IF(G942+H942&lt;J942*34,DATE(2026,10,15)+(G942+H942)/J942,IF(G942+H942&lt;N942,DATE(2026,11,18)+(G942+H942-J942*34)/(J942*L942),"after Nov 30")))</f>
        <v/>
      </c>
      <c r="R942" s="54">
        <f>IF(AND(G942&lt;=0,J942&gt;0),"Out of stock now",IF(G942&gt;=N942,"Covered to Nov 30",IF(G942+H942&gt;=N942,"Needs inbound in time","Short even with inbound")))</f>
        <v/>
      </c>
      <c r="S942" s="57" t="n">
        <v>0</v>
      </c>
      <c r="T942" s="59">
        <f>IF(S942="","",S942*34+S942*L942*12)</f>
        <v/>
      </c>
    </row>
    <row r="943">
      <c r="A943" s="54" t="inlineStr">
        <is>
          <t>CA SSS4</t>
        </is>
      </c>
      <c r="B943" s="54" t="inlineStr">
        <is>
          <t>CA</t>
        </is>
      </c>
      <c r="C943" s="54" t="inlineStr">
        <is>
          <t>B0DDR3QB2L</t>
        </is>
      </c>
      <c r="D943" s="54" t="inlineStr">
        <is>
          <t>SS-SATIN-BLUE-TWIN-3PCS</t>
        </is>
      </c>
      <c r="E943" s="54" t="inlineStr">
        <is>
          <t>Twin</t>
        </is>
      </c>
      <c r="F943" s="54" t="inlineStr">
        <is>
          <t>Blue</t>
        </is>
      </c>
      <c r="G943" s="55" t="n">
        <v>54</v>
      </c>
      <c r="H943" s="55" t="n">
        <v>0</v>
      </c>
      <c r="I943" s="56" t="n"/>
      <c r="J943" s="57" t="n">
        <v>0</v>
      </c>
      <c r="K943" s="56" t="inlineStr">
        <is>
          <t>account data velocity</t>
        </is>
      </c>
      <c r="L943" s="58" t="n">
        <v>1.515</v>
      </c>
      <c r="M943" s="56" t="inlineStr">
        <is>
          <t>own BFCM 2025 lift (account data)</t>
        </is>
      </c>
      <c r="N943" s="59">
        <f>J943*34+J943*L943*12</f>
        <v/>
      </c>
      <c r="O943" s="59">
        <f>MAX(0,N943-G943-H943)</f>
        <v/>
      </c>
      <c r="P943" s="60">
        <f>IF(J943=0,"",IF(G943&lt;J943*34,DATE(2026,10,15)+G943/J943,IF(G943&lt;N943,DATE(2026,11,18)+(G943-J943*34)/(J943*L943),"after Nov 30")))</f>
        <v/>
      </c>
      <c r="Q943" s="60">
        <f>IF(J943=0,"",IF(G943+H943&lt;J943*34,DATE(2026,10,15)+(G943+H943)/J943,IF(G943+H943&lt;N943,DATE(2026,11,18)+(G943+H943-J943*34)/(J943*L943),"after Nov 30")))</f>
        <v/>
      </c>
      <c r="R943" s="54">
        <f>IF(AND(G943&lt;=0,J943&gt;0),"Out of stock now",IF(G943&gt;=N943,"Covered to Nov 30",IF(G943+H943&gt;=N943,"Needs inbound in time","Short even with inbound")))</f>
        <v/>
      </c>
      <c r="S943" s="57" t="n">
        <v>0</v>
      </c>
      <c r="T943" s="59">
        <f>IF(S943="","",S943*34+S943*L943*12)</f>
        <v/>
      </c>
    </row>
    <row r="944">
      <c r="A944" s="54" t="inlineStr">
        <is>
          <t>CA SSS4</t>
        </is>
      </c>
      <c r="B944" s="54" t="inlineStr">
        <is>
          <t>CA</t>
        </is>
      </c>
      <c r="C944" s="54" t="inlineStr">
        <is>
          <t>B0DDRDYFFX</t>
        </is>
      </c>
      <c r="D944" s="54" t="inlineStr">
        <is>
          <t>SS-SATIN-GREY-TWIN-3PCS</t>
        </is>
      </c>
      <c r="E944" s="54" t="inlineStr">
        <is>
          <t>Twin</t>
        </is>
      </c>
      <c r="F944" s="54" t="inlineStr">
        <is>
          <t>Grey</t>
        </is>
      </c>
      <c r="G944" s="55" t="n">
        <v>2</v>
      </c>
      <c r="H944" s="55" t="n">
        <v>0</v>
      </c>
      <c r="I944" s="56" t="n"/>
      <c r="J944" s="57" t="n">
        <v>0</v>
      </c>
      <c r="K944" s="56" t="inlineStr">
        <is>
          <t>account data velocity</t>
        </is>
      </c>
      <c r="L944" s="58" t="n">
        <v>1.515</v>
      </c>
      <c r="M944" s="56" t="inlineStr">
        <is>
          <t>own BFCM 2025 lift (account data)</t>
        </is>
      </c>
      <c r="N944" s="59">
        <f>J944*34+J944*L944*12</f>
        <v/>
      </c>
      <c r="O944" s="59">
        <f>MAX(0,N944-G944-H944)</f>
        <v/>
      </c>
      <c r="P944" s="60">
        <f>IF(J944=0,"",IF(G944&lt;J944*34,DATE(2026,10,15)+G944/J944,IF(G944&lt;N944,DATE(2026,11,18)+(G944-J944*34)/(J944*L944),"after Nov 30")))</f>
        <v/>
      </c>
      <c r="Q944" s="60">
        <f>IF(J944=0,"",IF(G944+H944&lt;J944*34,DATE(2026,10,15)+(G944+H944)/J944,IF(G944+H944&lt;N944,DATE(2026,11,18)+(G944+H944-J944*34)/(J944*L944),"after Nov 30")))</f>
        <v/>
      </c>
      <c r="R944" s="54">
        <f>IF(AND(G944&lt;=0,J944&gt;0),"Out of stock now",IF(G944&gt;=N944,"Covered to Nov 30",IF(G944+H944&gt;=N944,"Needs inbound in time","Short even with inbound")))</f>
        <v/>
      </c>
      <c r="S944" s="57" t="n"/>
      <c r="T944" s="59">
        <f>IF(S944="","",S944*34+S944*L944*12)</f>
        <v/>
      </c>
    </row>
    <row r="945">
      <c r="A945" s="54" t="inlineStr">
        <is>
          <t>CA SSS4</t>
        </is>
      </c>
      <c r="B945" s="54" t="inlineStr">
        <is>
          <t>CA</t>
        </is>
      </c>
      <c r="C945" s="54" t="inlineStr">
        <is>
          <t>B0DDR154D4</t>
        </is>
      </c>
      <c r="D945" s="54" t="inlineStr">
        <is>
          <t>SS-SATIN-SAGE-GREEN-TWIN-3PCS</t>
        </is>
      </c>
      <c r="E945" s="54" t="inlineStr">
        <is>
          <t>Twin</t>
        </is>
      </c>
      <c r="F945" s="54" t="inlineStr">
        <is>
          <t>Sage Green</t>
        </is>
      </c>
      <c r="G945" s="55" t="n">
        <v>30</v>
      </c>
      <c r="H945" s="55" t="n">
        <v>0</v>
      </c>
      <c r="I945" s="56" t="n"/>
      <c r="J945" s="57" t="n">
        <v>0</v>
      </c>
      <c r="K945" s="56" t="inlineStr">
        <is>
          <t>account data velocity</t>
        </is>
      </c>
      <c r="L945" s="58" t="n">
        <v>1.515</v>
      </c>
      <c r="M945" s="56" t="inlineStr">
        <is>
          <t>own BFCM 2025 lift (account data)</t>
        </is>
      </c>
      <c r="N945" s="59">
        <f>J945*34+J945*L945*12</f>
        <v/>
      </c>
      <c r="O945" s="59">
        <f>MAX(0,N945-G945-H945)</f>
        <v/>
      </c>
      <c r="P945" s="60">
        <f>IF(J945=0,"",IF(G945&lt;J945*34,DATE(2026,10,15)+G945/J945,IF(G945&lt;N945,DATE(2026,11,18)+(G945-J945*34)/(J945*L945),"after Nov 30")))</f>
        <v/>
      </c>
      <c r="Q945" s="60">
        <f>IF(J945=0,"",IF(G945+H945&lt;J945*34,DATE(2026,10,15)+(G945+H945)/J945,IF(G945+H945&lt;N945,DATE(2026,11,18)+(G945+H945-J945*34)/(J945*L945),"after Nov 30")))</f>
        <v/>
      </c>
      <c r="R945" s="54">
        <f>IF(AND(G945&lt;=0,J945&gt;0),"Out of stock now",IF(G945&gt;=N945,"Covered to Nov 30",IF(G945+H945&gt;=N945,"Needs inbound in time","Short even with inbound")))</f>
        <v/>
      </c>
      <c r="S945" s="57" t="n"/>
      <c r="T945" s="59">
        <f>IF(S945="","",S945*34+S945*L945*12)</f>
        <v/>
      </c>
    </row>
    <row r="946">
      <c r="A946" s="54" t="inlineStr">
        <is>
          <t>CA SSS4</t>
        </is>
      </c>
      <c r="B946" s="54" t="inlineStr">
        <is>
          <t>CA</t>
        </is>
      </c>
      <c r="C946" s="54" t="inlineStr">
        <is>
          <t>B0DDQTZ8NT</t>
        </is>
      </c>
      <c r="D946" s="54" t="inlineStr">
        <is>
          <t>SS-SATIN-WHITE-TWIN-3PCS</t>
        </is>
      </c>
      <c r="E946" s="54" t="inlineStr">
        <is>
          <t>Twin</t>
        </is>
      </c>
      <c r="F946" s="54" t="inlineStr">
        <is>
          <t>White</t>
        </is>
      </c>
      <c r="G946" s="55" t="n">
        <v>12</v>
      </c>
      <c r="H946" s="55" t="n">
        <v>0</v>
      </c>
      <c r="I946" s="56" t="n"/>
      <c r="J946" s="57" t="n">
        <v>0</v>
      </c>
      <c r="K946" s="56" t="inlineStr">
        <is>
          <t>account data velocity</t>
        </is>
      </c>
      <c r="L946" s="58" t="n">
        <v>1.515</v>
      </c>
      <c r="M946" s="56" t="inlineStr">
        <is>
          <t>own BFCM 2025 lift (account data)</t>
        </is>
      </c>
      <c r="N946" s="59">
        <f>J946*34+J946*L946*12</f>
        <v/>
      </c>
      <c r="O946" s="59">
        <f>MAX(0,N946-G946-H946)</f>
        <v/>
      </c>
      <c r="P946" s="60">
        <f>IF(J946=0,"",IF(G946&lt;J946*34,DATE(2026,10,15)+G946/J946,IF(G946&lt;N946,DATE(2026,11,18)+(G946-J946*34)/(J946*L946),"after Nov 30")))</f>
        <v/>
      </c>
      <c r="Q946" s="60">
        <f>IF(J946=0,"",IF(G946+H946&lt;J946*34,DATE(2026,10,15)+(G946+H946)/J946,IF(G946+H946&lt;N946,DATE(2026,11,18)+(G946+H946-J946*34)/(J946*L946),"after Nov 30")))</f>
        <v/>
      </c>
      <c r="R946" s="54">
        <f>IF(AND(G946&lt;=0,J946&gt;0),"Out of stock now",IF(G946&gt;=N946,"Covered to Nov 30",IF(G946+H946&gt;=N946,"Needs inbound in time","Short even with inbound")))</f>
        <v/>
      </c>
      <c r="S946" s="57" t="n">
        <v>0</v>
      </c>
      <c r="T946" s="59">
        <f>IF(S946="","",S946*34+S946*L946*12)</f>
        <v/>
      </c>
    </row>
    <row r="947">
      <c r="A947" s="54" t="inlineStr">
        <is>
          <t>US DC Satin Fitted</t>
        </is>
      </c>
      <c r="B947" s="54" t="inlineStr">
        <is>
          <t>US</t>
        </is>
      </c>
      <c r="C947" s="54" t="inlineStr">
        <is>
          <t>B0DBW1PNJ8</t>
        </is>
      </c>
      <c r="D947" s="54" t="inlineStr">
        <is>
          <t>SATIN-FITTED-QUEEN-BLACK</t>
        </is>
      </c>
      <c r="E947" s="54" t="inlineStr">
        <is>
          <t>Queen</t>
        </is>
      </c>
      <c r="F947" s="54" t="inlineStr">
        <is>
          <t>Black</t>
        </is>
      </c>
      <c r="G947" s="55" t="n">
        <v>397</v>
      </c>
      <c r="H947" s="55" t="n">
        <v>0</v>
      </c>
      <c r="I947" s="56" t="n"/>
      <c r="J947" s="57" t="n">
        <v>4.33</v>
      </c>
      <c r="K947" s="56" t="inlineStr">
        <is>
          <t>account data velocity</t>
        </is>
      </c>
      <c r="L947" s="58" t="n">
        <v>2.4693</v>
      </c>
      <c r="M947" s="56" t="inlineStr">
        <is>
          <t>own BFCM 2025 lift (account data)</t>
        </is>
      </c>
      <c r="N947" s="59">
        <f>J947*34+J947*L947*12</f>
        <v/>
      </c>
      <c r="O947" s="59">
        <f>MAX(0,N947-G947-H947)</f>
        <v/>
      </c>
      <c r="P947" s="60">
        <f>IF(J947=0,"",IF(G947&lt;J947*34,DATE(2026,10,15)+G947/J947,IF(G947&lt;N947,DATE(2026,11,18)+(G947-J947*34)/(J947*L947),"after Nov 30")))</f>
        <v/>
      </c>
      <c r="Q947" s="60">
        <f>IF(J947=0,"",IF(G947+H947&lt;J947*34,DATE(2026,10,15)+(G947+H947)/J947,IF(G947+H947&lt;N947,DATE(2026,11,18)+(G947+H947-J947*34)/(J947*L947),"after Nov 30")))</f>
        <v/>
      </c>
      <c r="R947" s="54">
        <f>IF(AND(G947&lt;=0,J947&gt;0),"Out of stock now",IF(G947&gt;=N947,"Covered to Nov 30",IF(G947+H947&gt;=N947,"Needs inbound in time","Short even with inbound")))</f>
        <v/>
      </c>
      <c r="S947" s="57" t="n">
        <v>2.857</v>
      </c>
      <c r="T947" s="59">
        <f>IF(S947="","",S947*34+S947*L947*12)</f>
        <v/>
      </c>
    </row>
    <row r="948">
      <c r="A948" s="54" t="inlineStr">
        <is>
          <t>US DC Satin Fitted</t>
        </is>
      </c>
      <c r="B948" s="54" t="inlineStr">
        <is>
          <t>US</t>
        </is>
      </c>
      <c r="C948" s="54" t="inlineStr">
        <is>
          <t>B0DBW19GXY</t>
        </is>
      </c>
      <c r="D948" s="54" t="inlineStr">
        <is>
          <t>SATIN-FITTED-QUEEN-GREY</t>
        </is>
      </c>
      <c r="E948" s="54" t="inlineStr">
        <is>
          <t>Queen</t>
        </is>
      </c>
      <c r="F948" s="54" t="inlineStr">
        <is>
          <t>Grey</t>
        </is>
      </c>
      <c r="G948" s="55" t="n">
        <v>178</v>
      </c>
      <c r="H948" s="55" t="n">
        <v>40</v>
      </c>
      <c r="I948" s="56" t="inlineStr">
        <is>
          <t>FBA19N7XSBR9 in transit: 40</t>
        </is>
      </c>
      <c r="J948" s="57" t="n">
        <v>2.44</v>
      </c>
      <c r="K948" s="56" t="inlineStr">
        <is>
          <t>account data velocity</t>
        </is>
      </c>
      <c r="L948" s="58" t="n">
        <v>2.4693</v>
      </c>
      <c r="M948" s="56" t="inlineStr">
        <is>
          <t>own BFCM 2025 lift (account data)</t>
        </is>
      </c>
      <c r="N948" s="59">
        <f>J948*34+J948*L948*12</f>
        <v/>
      </c>
      <c r="O948" s="59">
        <f>MAX(0,N948-G948-H948)</f>
        <v/>
      </c>
      <c r="P948" s="60">
        <f>IF(J948=0,"",IF(G948&lt;J948*34,DATE(2026,10,15)+G948/J948,IF(G948&lt;N948,DATE(2026,11,18)+(G948-J948*34)/(J948*L948),"after Nov 30")))</f>
        <v/>
      </c>
      <c r="Q948" s="60">
        <f>IF(J948=0,"",IF(G948+H948&lt;J948*34,DATE(2026,10,15)+(G948+H948)/J948,IF(G948+H948&lt;N948,DATE(2026,11,18)+(G948+H948-J948*34)/(J948*L948),"after Nov 30")))</f>
        <v/>
      </c>
      <c r="R948" s="54">
        <f>IF(AND(G948&lt;=0,J948&gt;0),"Out of stock now",IF(G948&gt;=N948,"Covered to Nov 30",IF(G948+H948&gt;=N948,"Needs inbound in time","Short even with inbound")))</f>
        <v/>
      </c>
      <c r="S948" s="57" t="n">
        <v>1.75</v>
      </c>
      <c r="T948" s="59">
        <f>IF(S948="","",S948*34+S948*L948*12)</f>
        <v/>
      </c>
    </row>
    <row r="949">
      <c r="A949" s="54" t="inlineStr">
        <is>
          <t>US DC Satin Fitted</t>
        </is>
      </c>
      <c r="B949" s="54" t="inlineStr">
        <is>
          <t>US</t>
        </is>
      </c>
      <c r="C949" s="54" t="inlineStr">
        <is>
          <t>B0DBVZPPJ6</t>
        </is>
      </c>
      <c r="D949" s="54" t="inlineStr">
        <is>
          <t>SATIN-FITTED-QUEEN-PURPLE</t>
        </is>
      </c>
      <c r="E949" s="54" t="inlineStr">
        <is>
          <t>Queen</t>
        </is>
      </c>
      <c r="F949" s="54" t="inlineStr">
        <is>
          <t>Purple</t>
        </is>
      </c>
      <c r="G949" s="55" t="n">
        <v>113</v>
      </c>
      <c r="H949" s="55" t="n">
        <v>0</v>
      </c>
      <c r="I949" s="56" t="n"/>
      <c r="J949" s="57" t="n">
        <v>2.23</v>
      </c>
      <c r="K949" s="56" t="inlineStr">
        <is>
          <t>account data velocity</t>
        </is>
      </c>
      <c r="L949" s="58" t="n">
        <v>2.4693</v>
      </c>
      <c r="M949" s="56" t="inlineStr">
        <is>
          <t>own BFCM 2025 lift (account data)</t>
        </is>
      </c>
      <c r="N949" s="59">
        <f>J949*34+J949*L949*12</f>
        <v/>
      </c>
      <c r="O949" s="59">
        <f>MAX(0,N949-G949-H949)</f>
        <v/>
      </c>
      <c r="P949" s="60">
        <f>IF(J949=0,"",IF(G949&lt;J949*34,DATE(2026,10,15)+G949/J949,IF(G949&lt;N949,DATE(2026,11,18)+(G949-J949*34)/(J949*L949),"after Nov 30")))</f>
        <v/>
      </c>
      <c r="Q949" s="60">
        <f>IF(J949=0,"",IF(G949+H949&lt;J949*34,DATE(2026,10,15)+(G949+H949)/J949,IF(G949+H949&lt;N949,DATE(2026,11,18)+(G949+H949-J949*34)/(J949*L949),"after Nov 30")))</f>
        <v/>
      </c>
      <c r="R949" s="54">
        <f>IF(AND(G949&lt;=0,J949&gt;0),"Out of stock now",IF(G949&gt;=N949,"Covered to Nov 30",IF(G949+H949&gt;=N949,"Needs inbound in time","Short even with inbound")))</f>
        <v/>
      </c>
      <c r="S949" s="57" t="n">
        <v>1.75</v>
      </c>
      <c r="T949" s="59">
        <f>IF(S949="","",S949*34+S949*L949*12)</f>
        <v/>
      </c>
    </row>
    <row r="950">
      <c r="A950" s="54" t="inlineStr">
        <is>
          <t>US DC Satin Fitted</t>
        </is>
      </c>
      <c r="B950" s="54" t="inlineStr">
        <is>
          <t>US</t>
        </is>
      </c>
      <c r="C950" s="54" t="inlineStr">
        <is>
          <t>B0DBVYJJZ6</t>
        </is>
      </c>
      <c r="D950" s="54" t="inlineStr">
        <is>
          <t>SATIN-FITTED-QUEEN-RED</t>
        </is>
      </c>
      <c r="E950" s="54" t="inlineStr">
        <is>
          <t>Queen</t>
        </is>
      </c>
      <c r="F950" s="54" t="inlineStr">
        <is>
          <t>Red</t>
        </is>
      </c>
      <c r="G950" s="55" t="n">
        <v>170</v>
      </c>
      <c r="H950" s="55" t="n">
        <v>0</v>
      </c>
      <c r="I950" s="56" t="n"/>
      <c r="J950" s="57" t="n">
        <v>1.89</v>
      </c>
      <c r="K950" s="56" t="inlineStr">
        <is>
          <t>account data velocity</t>
        </is>
      </c>
      <c r="L950" s="58" t="n">
        <v>2.4693</v>
      </c>
      <c r="M950" s="56" t="inlineStr">
        <is>
          <t>own BFCM 2025 lift (account data)</t>
        </is>
      </c>
      <c r="N950" s="59">
        <f>J950*34+J950*L950*12</f>
        <v/>
      </c>
      <c r="O950" s="59">
        <f>MAX(0,N950-G950-H950)</f>
        <v/>
      </c>
      <c r="P950" s="60">
        <f>IF(J950=0,"",IF(G950&lt;J950*34,DATE(2026,10,15)+G950/J950,IF(G950&lt;N950,DATE(2026,11,18)+(G950-J950*34)/(J950*L950),"after Nov 30")))</f>
        <v/>
      </c>
      <c r="Q950" s="60">
        <f>IF(J950=0,"",IF(G950+H950&lt;J950*34,DATE(2026,10,15)+(G950+H950)/J950,IF(G950+H950&lt;N950,DATE(2026,11,18)+(G950+H950-J950*34)/(J950*L950),"after Nov 30")))</f>
        <v/>
      </c>
      <c r="R950" s="54">
        <f>IF(AND(G950&lt;=0,J950&gt;0),"Out of stock now",IF(G950&gt;=N950,"Covered to Nov 30",IF(G950+H950&gt;=N950,"Needs inbound in time","Short even with inbound")))</f>
        <v/>
      </c>
      <c r="S950" s="57" t="n">
        <v>1.107</v>
      </c>
      <c r="T950" s="59">
        <f>IF(S950="","",S950*34+S950*L950*12)</f>
        <v/>
      </c>
    </row>
    <row r="951">
      <c r="A951" s="54" t="inlineStr">
        <is>
          <t>US DC Satin Fitted</t>
        </is>
      </c>
      <c r="B951" s="54" t="inlineStr">
        <is>
          <t>US</t>
        </is>
      </c>
      <c r="C951" s="54" t="inlineStr">
        <is>
          <t>B0DBW47GVG</t>
        </is>
      </c>
      <c r="D951" s="54" t="inlineStr">
        <is>
          <t>SATIN-FITTED-QUEEN-PINK</t>
        </is>
      </c>
      <c r="E951" s="54" t="inlineStr">
        <is>
          <t>Queen</t>
        </is>
      </c>
      <c r="F951" s="54" t="inlineStr">
        <is>
          <t>Pink</t>
        </is>
      </c>
      <c r="G951" s="55" t="n">
        <v>101</v>
      </c>
      <c r="H951" s="55" t="n">
        <v>0</v>
      </c>
      <c r="I951" s="56" t="n"/>
      <c r="J951" s="57" t="n">
        <v>1.48</v>
      </c>
      <c r="K951" s="56" t="inlineStr">
        <is>
          <t>account data velocity</t>
        </is>
      </c>
      <c r="L951" s="58" t="n">
        <v>2.4693</v>
      </c>
      <c r="M951" s="56" t="inlineStr">
        <is>
          <t>own BFCM 2025 lift (account data)</t>
        </is>
      </c>
      <c r="N951" s="59">
        <f>J951*34+J951*L951*12</f>
        <v/>
      </c>
      <c r="O951" s="59">
        <f>MAX(0,N951-G951-H951)</f>
        <v/>
      </c>
      <c r="P951" s="60">
        <f>IF(J951=0,"",IF(G951&lt;J951*34,DATE(2026,10,15)+G951/J951,IF(G951&lt;N951,DATE(2026,11,18)+(G951-J951*34)/(J951*L951),"after Nov 30")))</f>
        <v/>
      </c>
      <c r="Q951" s="60">
        <f>IF(J951=0,"",IF(G951+H951&lt;J951*34,DATE(2026,10,15)+(G951+H951)/J951,IF(G951+H951&lt;N951,DATE(2026,11,18)+(G951+H951-J951*34)/(J951*L951),"after Nov 30")))</f>
        <v/>
      </c>
      <c r="R951" s="54">
        <f>IF(AND(G951&lt;=0,J951&gt;0),"Out of stock now",IF(G951&gt;=N951,"Covered to Nov 30",IF(G951+H951&gt;=N951,"Needs inbound in time","Short even with inbound")))</f>
        <v/>
      </c>
      <c r="S951" s="57" t="n">
        <v>0.571</v>
      </c>
      <c r="T951" s="59">
        <f>IF(S951="","",S951*34+S951*L951*12)</f>
        <v/>
      </c>
    </row>
    <row r="952">
      <c r="A952" s="54" t="inlineStr">
        <is>
          <t>US DC Satin Fitted</t>
        </is>
      </c>
      <c r="B952" s="54" t="inlineStr">
        <is>
          <t>US</t>
        </is>
      </c>
      <c r="C952" s="54" t="inlineStr">
        <is>
          <t>B0DBVZJTGS</t>
        </is>
      </c>
      <c r="D952" s="54" t="inlineStr">
        <is>
          <t>SATIN-FITTED-KING-PURPLE</t>
        </is>
      </c>
      <c r="E952" s="54" t="inlineStr">
        <is>
          <t>King</t>
        </is>
      </c>
      <c r="F952" s="54" t="inlineStr">
        <is>
          <t>Purple</t>
        </is>
      </c>
      <c r="G952" s="55" t="n">
        <v>133</v>
      </c>
      <c r="H952" s="55" t="n">
        <v>20</v>
      </c>
      <c r="I952" s="56" t="inlineStr">
        <is>
          <t>FBA19N7XSBR9 in transit: 20</t>
        </is>
      </c>
      <c r="J952" s="57" t="n">
        <v>1.41</v>
      </c>
      <c r="K952" s="56" t="inlineStr">
        <is>
          <t>account data velocity</t>
        </is>
      </c>
      <c r="L952" s="58" t="n">
        <v>2.4693</v>
      </c>
      <c r="M952" s="56" t="inlineStr">
        <is>
          <t>own BFCM 2025 lift (account data)</t>
        </is>
      </c>
      <c r="N952" s="59">
        <f>J952*34+J952*L952*12</f>
        <v/>
      </c>
      <c r="O952" s="59">
        <f>MAX(0,N952-G952-H952)</f>
        <v/>
      </c>
      <c r="P952" s="60">
        <f>IF(J952=0,"",IF(G952&lt;J952*34,DATE(2026,10,15)+G952/J952,IF(G952&lt;N952,DATE(2026,11,18)+(G952-J952*34)/(J952*L952),"after Nov 30")))</f>
        <v/>
      </c>
      <c r="Q952" s="60">
        <f>IF(J952=0,"",IF(G952+H952&lt;J952*34,DATE(2026,10,15)+(G952+H952)/J952,IF(G952+H952&lt;N952,DATE(2026,11,18)+(G952+H952-J952*34)/(J952*L952),"after Nov 30")))</f>
        <v/>
      </c>
      <c r="R952" s="54">
        <f>IF(AND(G952&lt;=0,J952&gt;0),"Out of stock now",IF(G952&gt;=N952,"Covered to Nov 30",IF(G952+H952&gt;=N952,"Needs inbound in time","Short even with inbound")))</f>
        <v/>
      </c>
      <c r="S952" s="57" t="n">
        <v>0.643</v>
      </c>
      <c r="T952" s="59">
        <f>IF(S952="","",S952*34+S952*L952*12)</f>
        <v/>
      </c>
    </row>
    <row r="953">
      <c r="A953" s="54" t="inlineStr">
        <is>
          <t>US DC Satin Fitted</t>
        </is>
      </c>
      <c r="B953" s="54" t="inlineStr">
        <is>
          <t>US</t>
        </is>
      </c>
      <c r="C953" s="54" t="inlineStr">
        <is>
          <t>B0DBW151XC</t>
        </is>
      </c>
      <c r="D953" s="54" t="inlineStr">
        <is>
          <t>SATIN-FITTED-QUEEN-DARK-GREEN</t>
        </is>
      </c>
      <c r="E953" s="54" t="inlineStr">
        <is>
          <t>Queen</t>
        </is>
      </c>
      <c r="F953" s="54" t="inlineStr">
        <is>
          <t>Dark Green</t>
        </is>
      </c>
      <c r="G953" s="55" t="n">
        <v>124</v>
      </c>
      <c r="H953" s="55" t="n">
        <v>0</v>
      </c>
      <c r="I953" s="56" t="n"/>
      <c r="J953" s="57" t="n">
        <v>1.31</v>
      </c>
      <c r="K953" s="56" t="inlineStr">
        <is>
          <t>account data velocity</t>
        </is>
      </c>
      <c r="L953" s="58" t="n">
        <v>2.4693</v>
      </c>
      <c r="M953" s="56" t="inlineStr">
        <is>
          <t>own BFCM 2025 lift (account data)</t>
        </is>
      </c>
      <c r="N953" s="59">
        <f>J953*34+J953*L953*12</f>
        <v/>
      </c>
      <c r="O953" s="59">
        <f>MAX(0,N953-G953-H953)</f>
        <v/>
      </c>
      <c r="P953" s="60">
        <f>IF(J953=0,"",IF(G953&lt;J953*34,DATE(2026,10,15)+G953/J953,IF(G953&lt;N953,DATE(2026,11,18)+(G953-J953*34)/(J953*L953),"after Nov 30")))</f>
        <v/>
      </c>
      <c r="Q953" s="60">
        <f>IF(J953=0,"",IF(G953+H953&lt;J953*34,DATE(2026,10,15)+(G953+H953)/J953,IF(G953+H953&lt;N953,DATE(2026,11,18)+(G953+H953-J953*34)/(J953*L953),"after Nov 30")))</f>
        <v/>
      </c>
      <c r="R953" s="54">
        <f>IF(AND(G953&lt;=0,J953&gt;0),"Out of stock now",IF(G953&gt;=N953,"Covered to Nov 30",IF(G953+H953&gt;=N953,"Needs inbound in time","Short even with inbound")))</f>
        <v/>
      </c>
      <c r="S953" s="57" t="n">
        <v>1.071</v>
      </c>
      <c r="T953" s="59">
        <f>IF(S953="","",S953*34+S953*L953*12)</f>
        <v/>
      </c>
    </row>
    <row r="954">
      <c r="A954" s="54" t="inlineStr">
        <is>
          <t>US DC Satin Fitted</t>
        </is>
      </c>
      <c r="B954" s="54" t="inlineStr">
        <is>
          <t>US</t>
        </is>
      </c>
      <c r="C954" s="54" t="inlineStr">
        <is>
          <t>B0DBVZZH8S</t>
        </is>
      </c>
      <c r="D954" s="54" t="inlineStr">
        <is>
          <t>SATIN-FITTED-QUEEN-GOLD</t>
        </is>
      </c>
      <c r="E954" s="54" t="inlineStr">
        <is>
          <t>Queen</t>
        </is>
      </c>
      <c r="F954" s="54" t="inlineStr">
        <is>
          <t>Gold</t>
        </is>
      </c>
      <c r="G954" s="55" t="n">
        <v>120</v>
      </c>
      <c r="H954" s="55" t="n">
        <v>0</v>
      </c>
      <c r="I954" s="56" t="n"/>
      <c r="J954" s="57" t="n">
        <v>1.2</v>
      </c>
      <c r="K954" s="56" t="inlineStr">
        <is>
          <t>account data velocity</t>
        </is>
      </c>
      <c r="L954" s="58" t="n">
        <v>2.4693</v>
      </c>
      <c r="M954" s="56" t="inlineStr">
        <is>
          <t>own BFCM 2025 lift (account data)</t>
        </is>
      </c>
      <c r="N954" s="59">
        <f>J954*34+J954*L954*12</f>
        <v/>
      </c>
      <c r="O954" s="59">
        <f>MAX(0,N954-G954-H954)</f>
        <v/>
      </c>
      <c r="P954" s="60">
        <f>IF(J954=0,"",IF(G954&lt;J954*34,DATE(2026,10,15)+G954/J954,IF(G954&lt;N954,DATE(2026,11,18)+(G954-J954*34)/(J954*L954),"after Nov 30")))</f>
        <v/>
      </c>
      <c r="Q954" s="60">
        <f>IF(J954=0,"",IF(G954+H954&lt;J954*34,DATE(2026,10,15)+(G954+H954)/J954,IF(G954+H954&lt;N954,DATE(2026,11,18)+(G954+H954-J954*34)/(J954*L954),"after Nov 30")))</f>
        <v/>
      </c>
      <c r="R954" s="54">
        <f>IF(AND(G954&lt;=0,J954&gt;0),"Out of stock now",IF(G954&gt;=N954,"Covered to Nov 30",IF(G954+H954&gt;=N954,"Needs inbound in time","Short even with inbound")))</f>
        <v/>
      </c>
      <c r="S954" s="57" t="n">
        <v>0.536</v>
      </c>
      <c r="T954" s="59">
        <f>IF(S954="","",S954*34+S954*L954*12)</f>
        <v/>
      </c>
    </row>
    <row r="955">
      <c r="A955" s="54" t="inlineStr">
        <is>
          <t>US DC Satin Fitted</t>
        </is>
      </c>
      <c r="B955" s="54" t="inlineStr">
        <is>
          <t>US</t>
        </is>
      </c>
      <c r="C955" s="54" t="inlineStr">
        <is>
          <t>B0DBW1M6RN</t>
        </is>
      </c>
      <c r="D955" s="54" t="inlineStr">
        <is>
          <t>SATIN-FITTED-KING-RED</t>
        </is>
      </c>
      <c r="E955" s="54" t="inlineStr">
        <is>
          <t>King</t>
        </is>
      </c>
      <c r="F955" s="54" t="inlineStr">
        <is>
          <t>Red</t>
        </is>
      </c>
      <c r="G955" s="55" t="n">
        <v>113</v>
      </c>
      <c r="H955" s="55" t="n">
        <v>60</v>
      </c>
      <c r="I955" s="56" t="inlineStr">
        <is>
          <t>FBA19N7XSBR9 in transit: 60</t>
        </is>
      </c>
      <c r="J955" s="57" t="n">
        <v>1.19</v>
      </c>
      <c r="K955" s="56" t="inlineStr">
        <is>
          <t>account data velocity</t>
        </is>
      </c>
      <c r="L955" s="58" t="n">
        <v>2.4693</v>
      </c>
      <c r="M955" s="56" t="inlineStr">
        <is>
          <t>own BFCM 2025 lift (account data)</t>
        </is>
      </c>
      <c r="N955" s="59">
        <f>J955*34+J955*L955*12</f>
        <v/>
      </c>
      <c r="O955" s="59">
        <f>MAX(0,N955-G955-H955)</f>
        <v/>
      </c>
      <c r="P955" s="60">
        <f>IF(J955=0,"",IF(G955&lt;J955*34,DATE(2026,10,15)+G955/J955,IF(G955&lt;N955,DATE(2026,11,18)+(G955-J955*34)/(J955*L955),"after Nov 30")))</f>
        <v/>
      </c>
      <c r="Q955" s="60">
        <f>IF(J955=0,"",IF(G955+H955&lt;J955*34,DATE(2026,10,15)+(G955+H955)/J955,IF(G955+H955&lt;N955,DATE(2026,11,18)+(G955+H955-J955*34)/(J955*L955),"after Nov 30")))</f>
        <v/>
      </c>
      <c r="R955" s="54">
        <f>IF(AND(G955&lt;=0,J955&gt;0),"Out of stock now",IF(G955&gt;=N955,"Covered to Nov 30",IF(G955+H955&gt;=N955,"Needs inbound in time","Short even with inbound")))</f>
        <v/>
      </c>
      <c r="S955" s="57" t="n">
        <v>0.607</v>
      </c>
      <c r="T955" s="59">
        <f>IF(S955="","",S955*34+S955*L955*12)</f>
        <v/>
      </c>
    </row>
    <row r="956">
      <c r="A956" s="54" t="inlineStr">
        <is>
          <t>US DC Satin Fitted</t>
        </is>
      </c>
      <c r="B956" s="54" t="inlineStr">
        <is>
          <t>US</t>
        </is>
      </c>
      <c r="C956" s="54" t="inlineStr">
        <is>
          <t>B0DBVZ1Z2R</t>
        </is>
      </c>
      <c r="D956" s="54" t="inlineStr">
        <is>
          <t>SATIN-FITTED-KING-WHITE</t>
        </is>
      </c>
      <c r="E956" s="54" t="inlineStr">
        <is>
          <t>King</t>
        </is>
      </c>
      <c r="F956" s="54" t="inlineStr">
        <is>
          <t>White</t>
        </is>
      </c>
      <c r="G956" s="55" t="n">
        <v>71</v>
      </c>
      <c r="H956" s="55" t="n">
        <v>0</v>
      </c>
      <c r="I956" s="56" t="n"/>
      <c r="J956" s="57" t="n">
        <v>1.17</v>
      </c>
      <c r="K956" s="56" t="inlineStr">
        <is>
          <t>account data velocity</t>
        </is>
      </c>
      <c r="L956" s="58" t="n">
        <v>2.4693</v>
      </c>
      <c r="M956" s="56" t="inlineStr">
        <is>
          <t>own BFCM 2025 lift (account data)</t>
        </is>
      </c>
      <c r="N956" s="59">
        <f>J956*34+J956*L956*12</f>
        <v/>
      </c>
      <c r="O956" s="59">
        <f>MAX(0,N956-G956-H956)</f>
        <v/>
      </c>
      <c r="P956" s="60">
        <f>IF(J956=0,"",IF(G956&lt;J956*34,DATE(2026,10,15)+G956/J956,IF(G956&lt;N956,DATE(2026,11,18)+(G956-J956*34)/(J956*L956),"after Nov 30")))</f>
        <v/>
      </c>
      <c r="Q956" s="60">
        <f>IF(J956=0,"",IF(G956+H956&lt;J956*34,DATE(2026,10,15)+(G956+H956)/J956,IF(G956+H956&lt;N956,DATE(2026,11,18)+(G956+H956-J956*34)/(J956*L956),"after Nov 30")))</f>
        <v/>
      </c>
      <c r="R956" s="54">
        <f>IF(AND(G956&lt;=0,J956&gt;0),"Out of stock now",IF(G956&gt;=N956,"Covered to Nov 30",IF(G956+H956&gt;=N956,"Needs inbound in time","Short even with inbound")))</f>
        <v/>
      </c>
      <c r="S956" s="57" t="n">
        <v>1.357</v>
      </c>
      <c r="T956" s="59">
        <f>IF(S956="","",S956*34+S956*L956*12)</f>
        <v/>
      </c>
    </row>
    <row r="957">
      <c r="A957" s="54" t="inlineStr">
        <is>
          <t>US DC Satin Fitted</t>
        </is>
      </c>
      <c r="B957" s="54" t="inlineStr">
        <is>
          <t>US</t>
        </is>
      </c>
      <c r="C957" s="54" t="inlineStr">
        <is>
          <t>B0DBVZBLDK</t>
        </is>
      </c>
      <c r="D957" s="54" t="inlineStr">
        <is>
          <t>SATIN-FITTED-QUEEN-BLUSH-PINK</t>
        </is>
      </c>
      <c r="E957" s="54" t="inlineStr">
        <is>
          <t>Queen</t>
        </is>
      </c>
      <c r="F957" s="54" t="inlineStr">
        <is>
          <t>Blush Pink</t>
        </is>
      </c>
      <c r="G957" s="55" t="n">
        <v>26</v>
      </c>
      <c r="H957" s="55" t="n">
        <v>0</v>
      </c>
      <c r="I957" s="56" t="n"/>
      <c r="J957" s="57" t="n">
        <v>1.11</v>
      </c>
      <c r="K957" s="56" t="inlineStr">
        <is>
          <t>account data velocity</t>
        </is>
      </c>
      <c r="L957" s="58" t="n">
        <v>2.4693</v>
      </c>
      <c r="M957" s="56" t="inlineStr">
        <is>
          <t>own BFCM 2025 lift (account data)</t>
        </is>
      </c>
      <c r="N957" s="59">
        <f>J957*34+J957*L957*12</f>
        <v/>
      </c>
      <c r="O957" s="59">
        <f>MAX(0,N957-G957-H957)</f>
        <v/>
      </c>
      <c r="P957" s="60">
        <f>IF(J957=0,"",IF(G957&lt;J957*34,DATE(2026,10,15)+G957/J957,IF(G957&lt;N957,DATE(2026,11,18)+(G957-J957*34)/(J957*L957),"after Nov 30")))</f>
        <v/>
      </c>
      <c r="Q957" s="60">
        <f>IF(J957=0,"",IF(G957+H957&lt;J957*34,DATE(2026,10,15)+(G957+H957)/J957,IF(G957+H957&lt;N957,DATE(2026,11,18)+(G957+H957-J957*34)/(J957*L957),"after Nov 30")))</f>
        <v/>
      </c>
      <c r="R957" s="54">
        <f>IF(AND(G957&lt;=0,J957&gt;0),"Out of stock now",IF(G957&gt;=N957,"Covered to Nov 30",IF(G957+H957&gt;=N957,"Needs inbound in time","Short even with inbound")))</f>
        <v/>
      </c>
      <c r="S957" s="57" t="n">
        <v>0.536</v>
      </c>
      <c r="T957" s="59">
        <f>IF(S957="","",S957*34+S957*L957*12)</f>
        <v/>
      </c>
    </row>
    <row r="958">
      <c r="A958" s="54" t="inlineStr">
        <is>
          <t>US DC Satin Fitted</t>
        </is>
      </c>
      <c r="B958" s="54" t="inlineStr">
        <is>
          <t>US</t>
        </is>
      </c>
      <c r="C958" s="54" t="inlineStr">
        <is>
          <t>B0DBW47GVH</t>
        </is>
      </c>
      <c r="D958" s="54" t="inlineStr">
        <is>
          <t>SATIN-FITTED-QUEEN-LAVENDER</t>
        </is>
      </c>
      <c r="E958" s="54" t="inlineStr">
        <is>
          <t>Queen</t>
        </is>
      </c>
      <c r="F958" s="54" t="inlineStr">
        <is>
          <t>Lavender</t>
        </is>
      </c>
      <c r="G958" s="55" t="n">
        <v>152</v>
      </c>
      <c r="H958" s="55" t="n">
        <v>0</v>
      </c>
      <c r="I958" s="56" t="n"/>
      <c r="J958" s="57" t="n">
        <v>1</v>
      </c>
      <c r="K958" s="56" t="inlineStr">
        <is>
          <t>account data velocity</t>
        </is>
      </c>
      <c r="L958" s="58" t="n">
        <v>2.4693</v>
      </c>
      <c r="M958" s="56" t="inlineStr">
        <is>
          <t>own BFCM 2025 lift (account data)</t>
        </is>
      </c>
      <c r="N958" s="59">
        <f>J958*34+J958*L958*12</f>
        <v/>
      </c>
      <c r="O958" s="59">
        <f>MAX(0,N958-G958-H958)</f>
        <v/>
      </c>
      <c r="P958" s="60">
        <f>IF(J958=0,"",IF(G958&lt;J958*34,DATE(2026,10,15)+G958/J958,IF(G958&lt;N958,DATE(2026,11,18)+(G958-J958*34)/(J958*L958),"after Nov 30")))</f>
        <v/>
      </c>
      <c r="Q958" s="60">
        <f>IF(J958=0,"",IF(G958+H958&lt;J958*34,DATE(2026,10,15)+(G958+H958)/J958,IF(G958+H958&lt;N958,DATE(2026,11,18)+(G958+H958-J958*34)/(J958*L958),"after Nov 30")))</f>
        <v/>
      </c>
      <c r="R958" s="54">
        <f>IF(AND(G958&lt;=0,J958&gt;0),"Out of stock now",IF(G958&gt;=N958,"Covered to Nov 30",IF(G958+H958&gt;=N958,"Needs inbound in time","Short even with inbound")))</f>
        <v/>
      </c>
      <c r="S958" s="57" t="n">
        <v>0.536</v>
      </c>
      <c r="T958" s="59">
        <f>IF(S958="","",S958*34+S958*L958*12)</f>
        <v/>
      </c>
    </row>
    <row r="959">
      <c r="A959" s="54" t="inlineStr">
        <is>
          <t>US DC Satin Fitted</t>
        </is>
      </c>
      <c r="B959" s="54" t="inlineStr">
        <is>
          <t>US</t>
        </is>
      </c>
      <c r="C959" s="54" t="inlineStr">
        <is>
          <t>B0DBW1NX31</t>
        </is>
      </c>
      <c r="D959" s="54" t="inlineStr">
        <is>
          <t>SATIN-FITTED-QUEEN-SAGE-GREEN</t>
        </is>
      </c>
      <c r="E959" s="54" t="inlineStr">
        <is>
          <t>Queen</t>
        </is>
      </c>
      <c r="F959" s="54" t="inlineStr">
        <is>
          <t>Sage Green</t>
        </is>
      </c>
      <c r="G959" s="55" t="n">
        <v>26</v>
      </c>
      <c r="H959" s="55" t="n">
        <v>0</v>
      </c>
      <c r="I959" s="56" t="n"/>
      <c r="J959" s="57" t="n">
        <v>0.98</v>
      </c>
      <c r="K959" s="56" t="inlineStr">
        <is>
          <t>account data velocity</t>
        </is>
      </c>
      <c r="L959" s="58" t="n">
        <v>2.4693</v>
      </c>
      <c r="M959" s="56" t="inlineStr">
        <is>
          <t>own BFCM 2025 lift (account data)</t>
        </is>
      </c>
      <c r="N959" s="59">
        <f>J959*34+J959*L959*12</f>
        <v/>
      </c>
      <c r="O959" s="59">
        <f>MAX(0,N959-G959-H959)</f>
        <v/>
      </c>
      <c r="P959" s="60">
        <f>IF(J959=0,"",IF(G959&lt;J959*34,DATE(2026,10,15)+G959/J959,IF(G959&lt;N959,DATE(2026,11,18)+(G959-J959*34)/(J959*L959),"after Nov 30")))</f>
        <v/>
      </c>
      <c r="Q959" s="60">
        <f>IF(J959=0,"",IF(G959+H959&lt;J959*34,DATE(2026,10,15)+(G959+H959)/J959,IF(G959+H959&lt;N959,DATE(2026,11,18)+(G959+H959-J959*34)/(J959*L959),"after Nov 30")))</f>
        <v/>
      </c>
      <c r="R959" s="54">
        <f>IF(AND(G959&lt;=0,J959&gt;0),"Out of stock now",IF(G959&gt;=N959,"Covered to Nov 30",IF(G959+H959&gt;=N959,"Needs inbound in time","Short even with inbound")))</f>
        <v/>
      </c>
      <c r="S959" s="57" t="n">
        <v>0.857</v>
      </c>
      <c r="T959" s="59">
        <f>IF(S959="","",S959*34+S959*L959*12)</f>
        <v/>
      </c>
    </row>
    <row r="960">
      <c r="A960" s="54" t="inlineStr">
        <is>
          <t>US DC Satin Fitted</t>
        </is>
      </c>
      <c r="B960" s="54" t="inlineStr">
        <is>
          <t>US</t>
        </is>
      </c>
      <c r="C960" s="54" t="inlineStr">
        <is>
          <t>B0DBW336HD</t>
        </is>
      </c>
      <c r="D960" s="54" t="inlineStr">
        <is>
          <t>SATIN-FITTED-KING-NAVY-BLUE</t>
        </is>
      </c>
      <c r="E960" s="54" t="inlineStr">
        <is>
          <t>King</t>
        </is>
      </c>
      <c r="F960" s="54" t="inlineStr">
        <is>
          <t>Navy Blue</t>
        </is>
      </c>
      <c r="G960" s="55" t="n">
        <v>34</v>
      </c>
      <c r="H960" s="55" t="n">
        <v>0</v>
      </c>
      <c r="I960" s="56" t="n"/>
      <c r="J960" s="57" t="n">
        <v>0.96</v>
      </c>
      <c r="K960" s="56" t="inlineStr">
        <is>
          <t>account data velocity</t>
        </is>
      </c>
      <c r="L960" s="58" t="n">
        <v>2.4693</v>
      </c>
      <c r="M960" s="56" t="inlineStr">
        <is>
          <t>own BFCM 2025 lift (account data)</t>
        </is>
      </c>
      <c r="N960" s="59">
        <f>J960*34+J960*L960*12</f>
        <v/>
      </c>
      <c r="O960" s="59">
        <f>MAX(0,N960-G960-H960)</f>
        <v/>
      </c>
      <c r="P960" s="60">
        <f>IF(J960=0,"",IF(G960&lt;J960*34,DATE(2026,10,15)+G960/J960,IF(G960&lt;N960,DATE(2026,11,18)+(G960-J960*34)/(J960*L960),"after Nov 30")))</f>
        <v/>
      </c>
      <c r="Q960" s="60">
        <f>IF(J960=0,"",IF(G960+H960&lt;J960*34,DATE(2026,10,15)+(G960+H960)/J960,IF(G960+H960&lt;N960,DATE(2026,11,18)+(G960+H960-J960*34)/(J960*L960),"after Nov 30")))</f>
        <v/>
      </c>
      <c r="R960" s="54">
        <f>IF(AND(G960&lt;=0,J960&gt;0),"Out of stock now",IF(G960&gt;=N960,"Covered to Nov 30",IF(G960+H960&gt;=N960,"Needs inbound in time","Short even with inbound")))</f>
        <v/>
      </c>
      <c r="S960" s="57" t="n">
        <v>0.607</v>
      </c>
      <c r="T960" s="59">
        <f>IF(S960="","",S960*34+S960*L960*12)</f>
        <v/>
      </c>
    </row>
    <row r="961">
      <c r="A961" s="54" t="inlineStr">
        <is>
          <t>US DC Satin Fitted</t>
        </is>
      </c>
      <c r="B961" s="54" t="inlineStr">
        <is>
          <t>US</t>
        </is>
      </c>
      <c r="C961" s="54" t="inlineStr">
        <is>
          <t>B0DBVZKXNX</t>
        </is>
      </c>
      <c r="D961" s="54" t="inlineStr">
        <is>
          <t>SATIN-FITTED-KING-ROSEWOOD</t>
        </is>
      </c>
      <c r="E961" s="54" t="inlineStr">
        <is>
          <t>King</t>
        </is>
      </c>
      <c r="F961" s="54" t="inlineStr">
        <is>
          <t>Rosewood</t>
        </is>
      </c>
      <c r="G961" s="55" t="n">
        <v>22</v>
      </c>
      <c r="H961" s="55" t="n">
        <v>0</v>
      </c>
      <c r="I961" s="56" t="n"/>
      <c r="J961" s="57" t="n">
        <v>0.85</v>
      </c>
      <c r="K961" s="56" t="inlineStr">
        <is>
          <t>account data velocity</t>
        </is>
      </c>
      <c r="L961" s="58" t="n">
        <v>2.4693</v>
      </c>
      <c r="M961" s="56" t="inlineStr">
        <is>
          <t>own BFCM 2025 lift (account data)</t>
        </is>
      </c>
      <c r="N961" s="59">
        <f>J961*34+J961*L961*12</f>
        <v/>
      </c>
      <c r="O961" s="59">
        <f>MAX(0,N961-G961-H961)</f>
        <v/>
      </c>
      <c r="P961" s="60">
        <f>IF(J961=0,"",IF(G961&lt;J961*34,DATE(2026,10,15)+G961/J961,IF(G961&lt;N961,DATE(2026,11,18)+(G961-J961*34)/(J961*L961),"after Nov 30")))</f>
        <v/>
      </c>
      <c r="Q961" s="60">
        <f>IF(J961=0,"",IF(G961+H961&lt;J961*34,DATE(2026,10,15)+(G961+H961)/J961,IF(G961+H961&lt;N961,DATE(2026,11,18)+(G961+H961-J961*34)/(J961*L961),"after Nov 30")))</f>
        <v/>
      </c>
      <c r="R961" s="54">
        <f>IF(AND(G961&lt;=0,J961&gt;0),"Out of stock now",IF(G961&gt;=N961,"Covered to Nov 30",IF(G961+H961&gt;=N961,"Needs inbound in time","Short even with inbound")))</f>
        <v/>
      </c>
      <c r="S961" s="57" t="n">
        <v>0.357</v>
      </c>
      <c r="T961" s="59">
        <f>IF(S961="","",S961*34+S961*L961*12)</f>
        <v/>
      </c>
    </row>
    <row r="962">
      <c r="A962" s="54" t="inlineStr">
        <is>
          <t>US DC Satin Fitted</t>
        </is>
      </c>
      <c r="B962" s="54" t="inlineStr">
        <is>
          <t>US</t>
        </is>
      </c>
      <c r="C962" s="54" t="inlineStr">
        <is>
          <t>B0DBW1FPBT</t>
        </is>
      </c>
      <c r="D962" s="54" t="inlineStr">
        <is>
          <t>SATIN-FITTED-KING-LAVENDER</t>
        </is>
      </c>
      <c r="E962" s="54" t="inlineStr">
        <is>
          <t>King</t>
        </is>
      </c>
      <c r="F962" s="54" t="inlineStr">
        <is>
          <t>Lavender</t>
        </is>
      </c>
      <c r="G962" s="55" t="n">
        <v>155</v>
      </c>
      <c r="H962" s="55" t="n">
        <v>0</v>
      </c>
      <c r="I962" s="56" t="n"/>
      <c r="J962" s="57" t="n">
        <v>0.8100000000000001</v>
      </c>
      <c r="K962" s="56" t="inlineStr">
        <is>
          <t>account data velocity</t>
        </is>
      </c>
      <c r="L962" s="58" t="n">
        <v>2.4693</v>
      </c>
      <c r="M962" s="56" t="inlineStr">
        <is>
          <t>own BFCM 2025 lift (account data)</t>
        </is>
      </c>
      <c r="N962" s="59">
        <f>J962*34+J962*L962*12</f>
        <v/>
      </c>
      <c r="O962" s="59">
        <f>MAX(0,N962-G962-H962)</f>
        <v/>
      </c>
      <c r="P962" s="60">
        <f>IF(J962=0,"",IF(G962&lt;J962*34,DATE(2026,10,15)+G962/J962,IF(G962&lt;N962,DATE(2026,11,18)+(G962-J962*34)/(J962*L962),"after Nov 30")))</f>
        <v/>
      </c>
      <c r="Q962" s="60">
        <f>IF(J962=0,"",IF(G962+H962&lt;J962*34,DATE(2026,10,15)+(G962+H962)/J962,IF(G962+H962&lt;N962,DATE(2026,11,18)+(G962+H962-J962*34)/(J962*L962),"after Nov 30")))</f>
        <v/>
      </c>
      <c r="R962" s="54">
        <f>IF(AND(G962&lt;=0,J962&gt;0),"Out of stock now",IF(G962&gt;=N962,"Covered to Nov 30",IF(G962+H962&gt;=N962,"Needs inbound in time","Short even with inbound")))</f>
        <v/>
      </c>
      <c r="S962" s="57" t="n">
        <v>0.393</v>
      </c>
      <c r="T962" s="59">
        <f>IF(S962="","",S962*34+S962*L962*12)</f>
        <v/>
      </c>
    </row>
    <row r="963">
      <c r="A963" s="54" t="inlineStr">
        <is>
          <t>US DC Satin Fitted</t>
        </is>
      </c>
      <c r="B963" s="54" t="inlineStr">
        <is>
          <t>US</t>
        </is>
      </c>
      <c r="C963" s="54" t="inlineStr">
        <is>
          <t>B0DBW6FFG1</t>
        </is>
      </c>
      <c r="D963" s="54" t="inlineStr">
        <is>
          <t>SATIN-FITTED-KING-GOLD</t>
        </is>
      </c>
      <c r="E963" s="54" t="inlineStr">
        <is>
          <t>King</t>
        </is>
      </c>
      <c r="F963" s="54" t="inlineStr">
        <is>
          <t>Gold</t>
        </is>
      </c>
      <c r="G963" s="55" t="n">
        <v>102</v>
      </c>
      <c r="H963" s="55" t="n">
        <v>20</v>
      </c>
      <c r="I963" s="56" t="inlineStr">
        <is>
          <t>FBA19N7XSBR9 in transit: 20</t>
        </is>
      </c>
      <c r="J963" s="57" t="n">
        <v>0.76</v>
      </c>
      <c r="K963" s="56" t="inlineStr">
        <is>
          <t>account data velocity</t>
        </is>
      </c>
      <c r="L963" s="58" t="n">
        <v>2.4693</v>
      </c>
      <c r="M963" s="56" t="inlineStr">
        <is>
          <t>own BFCM 2025 lift (account data)</t>
        </is>
      </c>
      <c r="N963" s="59">
        <f>J963*34+J963*L963*12</f>
        <v/>
      </c>
      <c r="O963" s="59">
        <f>MAX(0,N963-G963-H963)</f>
        <v/>
      </c>
      <c r="P963" s="60">
        <f>IF(J963=0,"",IF(G963&lt;J963*34,DATE(2026,10,15)+G963/J963,IF(G963&lt;N963,DATE(2026,11,18)+(G963-J963*34)/(J963*L963),"after Nov 30")))</f>
        <v/>
      </c>
      <c r="Q963" s="60">
        <f>IF(J963=0,"",IF(G963+H963&lt;J963*34,DATE(2026,10,15)+(G963+H963)/J963,IF(G963+H963&lt;N963,DATE(2026,11,18)+(G963+H963-J963*34)/(J963*L963),"after Nov 30")))</f>
        <v/>
      </c>
      <c r="R963" s="54">
        <f>IF(AND(G963&lt;=0,J963&gt;0),"Out of stock now",IF(G963&gt;=N963,"Covered to Nov 30",IF(G963+H963&gt;=N963,"Needs inbound in time","Short even with inbound")))</f>
        <v/>
      </c>
      <c r="S963" s="57" t="n">
        <v>0.321</v>
      </c>
      <c r="T963" s="59">
        <f>IF(S963="","",S963*34+S963*L963*12)</f>
        <v/>
      </c>
    </row>
    <row r="964">
      <c r="A964" s="54" t="inlineStr">
        <is>
          <t>US DC Satin Fitted</t>
        </is>
      </c>
      <c r="B964" s="54" t="inlineStr">
        <is>
          <t>US</t>
        </is>
      </c>
      <c r="C964" s="54" t="inlineStr">
        <is>
          <t>B0DBVZYXY9</t>
        </is>
      </c>
      <c r="D964" s="54" t="inlineStr">
        <is>
          <t>SATIN-FITTED-QUEEN-NAVY-BLUE</t>
        </is>
      </c>
      <c r="E964" s="54" t="inlineStr">
        <is>
          <t>Queen</t>
        </is>
      </c>
      <c r="F964" s="54" t="inlineStr">
        <is>
          <t>Navy Blue</t>
        </is>
      </c>
      <c r="G964" s="55" t="n">
        <v>28</v>
      </c>
      <c r="H964" s="55" t="n">
        <v>0</v>
      </c>
      <c r="I964" s="56" t="n"/>
      <c r="J964" s="57" t="n">
        <v>0.73</v>
      </c>
      <c r="K964" s="56" t="inlineStr">
        <is>
          <t>account data velocity</t>
        </is>
      </c>
      <c r="L964" s="58" t="n">
        <v>2.4693</v>
      </c>
      <c r="M964" s="56" t="inlineStr">
        <is>
          <t>own BFCM 2025 lift (account data)</t>
        </is>
      </c>
      <c r="N964" s="59">
        <f>J964*34+J964*L964*12</f>
        <v/>
      </c>
      <c r="O964" s="59">
        <f>MAX(0,N964-G964-H964)</f>
        <v/>
      </c>
      <c r="P964" s="60">
        <f>IF(J964=0,"",IF(G964&lt;J964*34,DATE(2026,10,15)+G964/J964,IF(G964&lt;N964,DATE(2026,11,18)+(G964-J964*34)/(J964*L964),"after Nov 30")))</f>
        <v/>
      </c>
      <c r="Q964" s="60">
        <f>IF(J964=0,"",IF(G964+H964&lt;J964*34,DATE(2026,10,15)+(G964+H964)/J964,IF(G964+H964&lt;N964,DATE(2026,11,18)+(G964+H964-J964*34)/(J964*L964),"after Nov 30")))</f>
        <v/>
      </c>
      <c r="R964" s="54">
        <f>IF(AND(G964&lt;=0,J964&gt;0),"Out of stock now",IF(G964&gt;=N964,"Covered to Nov 30",IF(G964+H964&gt;=N964,"Needs inbound in time","Short even with inbound")))</f>
        <v/>
      </c>
      <c r="S964" s="57" t="n">
        <v>0.714</v>
      </c>
      <c r="T964" s="59">
        <f>IF(S964="","",S964*34+S964*L964*12)</f>
        <v/>
      </c>
    </row>
    <row r="965">
      <c r="A965" s="54" t="inlineStr">
        <is>
          <t>US DC Satin Fitted</t>
        </is>
      </c>
      <c r="B965" s="54" t="inlineStr">
        <is>
          <t>US</t>
        </is>
      </c>
      <c r="C965" s="54" t="inlineStr">
        <is>
          <t>B0DBVZV66D</t>
        </is>
      </c>
      <c r="D965" s="54" t="inlineStr">
        <is>
          <t>SATIN-FITTED-FULL-BABY-BLUE</t>
        </is>
      </c>
      <c r="E965" s="54" t="inlineStr">
        <is>
          <t>Full</t>
        </is>
      </c>
      <c r="F965" s="54" t="inlineStr">
        <is>
          <t>Baby Blue</t>
        </is>
      </c>
      <c r="G965" s="55" t="n">
        <v>67</v>
      </c>
      <c r="H965" s="55" t="n">
        <v>0</v>
      </c>
      <c r="I965" s="56" t="n"/>
      <c r="J965" s="57" t="n">
        <v>0.72</v>
      </c>
      <c r="K965" s="56" t="inlineStr">
        <is>
          <t>account data velocity</t>
        </is>
      </c>
      <c r="L965" s="58" t="n">
        <v>2.4693</v>
      </c>
      <c r="M965" s="56" t="inlineStr">
        <is>
          <t>own BFCM 2025 lift (account data)</t>
        </is>
      </c>
      <c r="N965" s="59">
        <f>J965*34+J965*L965*12</f>
        <v/>
      </c>
      <c r="O965" s="59">
        <f>MAX(0,N965-G965-H965)</f>
        <v/>
      </c>
      <c r="P965" s="60">
        <f>IF(J965=0,"",IF(G965&lt;J965*34,DATE(2026,10,15)+G965/J965,IF(G965&lt;N965,DATE(2026,11,18)+(G965-J965*34)/(J965*L965),"after Nov 30")))</f>
        <v/>
      </c>
      <c r="Q965" s="60">
        <f>IF(J965=0,"",IF(G965+H965&lt;J965*34,DATE(2026,10,15)+(G965+H965)/J965,IF(G965+H965&lt;N965,DATE(2026,11,18)+(G965+H965-J965*34)/(J965*L965),"after Nov 30")))</f>
        <v/>
      </c>
      <c r="R965" s="54">
        <f>IF(AND(G965&lt;=0,J965&gt;0),"Out of stock now",IF(G965&gt;=N965,"Covered to Nov 30",IF(G965+H965&gt;=N965,"Needs inbound in time","Short even with inbound")))</f>
        <v/>
      </c>
      <c r="S965" s="57" t="n">
        <v>0.464</v>
      </c>
      <c r="T965" s="59">
        <f>IF(S965="","",S965*34+S965*L965*12)</f>
        <v/>
      </c>
    </row>
    <row r="966">
      <c r="A966" s="54" t="inlineStr">
        <is>
          <t>US DC Satin Fitted</t>
        </is>
      </c>
      <c r="B966" s="54" t="inlineStr">
        <is>
          <t>US</t>
        </is>
      </c>
      <c r="C966" s="54" t="inlineStr">
        <is>
          <t>B0DBW17ZJP</t>
        </is>
      </c>
      <c r="D966" s="54" t="inlineStr">
        <is>
          <t>SATIN-FITTED-FULL-GREY</t>
        </is>
      </c>
      <c r="E966" s="54" t="inlineStr">
        <is>
          <t>Full</t>
        </is>
      </c>
      <c r="F966" s="54" t="inlineStr">
        <is>
          <t>Grey</t>
        </is>
      </c>
      <c r="G966" s="55" t="n">
        <v>179</v>
      </c>
      <c r="H966" s="55" t="n">
        <v>0</v>
      </c>
      <c r="I966" s="56" t="inlineStr">
        <is>
          <t>FBA19N82086K ready to ship: 20</t>
        </is>
      </c>
      <c r="J966" s="57" t="n">
        <v>0.68</v>
      </c>
      <c r="K966" s="56" t="inlineStr">
        <is>
          <t>account data velocity</t>
        </is>
      </c>
      <c r="L966" s="58" t="n">
        <v>2.4693</v>
      </c>
      <c r="M966" s="56" t="inlineStr">
        <is>
          <t>own BFCM 2025 lift (account data)</t>
        </is>
      </c>
      <c r="N966" s="59">
        <f>J966*34+J966*L966*12</f>
        <v/>
      </c>
      <c r="O966" s="59">
        <f>MAX(0,N966-G966-H966)</f>
        <v/>
      </c>
      <c r="P966" s="60">
        <f>IF(J966=0,"",IF(G966&lt;J966*34,DATE(2026,10,15)+G966/J966,IF(G966&lt;N966,DATE(2026,11,18)+(G966-J966*34)/(J966*L966),"after Nov 30")))</f>
        <v/>
      </c>
      <c r="Q966" s="60">
        <f>IF(J966=0,"",IF(G966+H966&lt;J966*34,DATE(2026,10,15)+(G966+H966)/J966,IF(G966+H966&lt;N966,DATE(2026,11,18)+(G966+H966-J966*34)/(J966*L966),"after Nov 30")))</f>
        <v/>
      </c>
      <c r="R966" s="54">
        <f>IF(AND(G966&lt;=0,J966&gt;0),"Out of stock now",IF(G966&gt;=N966,"Covered to Nov 30",IF(G966+H966&gt;=N966,"Needs inbound in time","Short even with inbound")))</f>
        <v/>
      </c>
      <c r="S966" s="57" t="n">
        <v>0.321</v>
      </c>
      <c r="T966" s="59">
        <f>IF(S966="","",S966*34+S966*L966*12)</f>
        <v/>
      </c>
    </row>
    <row r="967">
      <c r="A967" s="54" t="inlineStr">
        <is>
          <t>US DC Satin Fitted</t>
        </is>
      </c>
      <c r="B967" s="54" t="inlineStr">
        <is>
          <t>US</t>
        </is>
      </c>
      <c r="C967" s="54" t="inlineStr">
        <is>
          <t>B0DBW3YBV4</t>
        </is>
      </c>
      <c r="D967" s="54" t="inlineStr">
        <is>
          <t>SATIN-FITTED-FULL-RED</t>
        </is>
      </c>
      <c r="E967" s="54" t="inlineStr">
        <is>
          <t>Full</t>
        </is>
      </c>
      <c r="F967" s="54" t="inlineStr">
        <is>
          <t>Red</t>
        </is>
      </c>
      <c r="G967" s="55" t="n">
        <v>157</v>
      </c>
      <c r="H967" s="55" t="n">
        <v>0</v>
      </c>
      <c r="I967" s="56" t="n"/>
      <c r="J967" s="57" t="n">
        <v>0.66</v>
      </c>
      <c r="K967" s="56" t="inlineStr">
        <is>
          <t>account data velocity</t>
        </is>
      </c>
      <c r="L967" s="58" t="n">
        <v>2.4693</v>
      </c>
      <c r="M967" s="56" t="inlineStr">
        <is>
          <t>own BFCM 2025 lift (account data)</t>
        </is>
      </c>
      <c r="N967" s="59">
        <f>J967*34+J967*L967*12</f>
        <v/>
      </c>
      <c r="O967" s="59">
        <f>MAX(0,N967-G967-H967)</f>
        <v/>
      </c>
      <c r="P967" s="60">
        <f>IF(J967=0,"",IF(G967&lt;J967*34,DATE(2026,10,15)+G967/J967,IF(G967&lt;N967,DATE(2026,11,18)+(G967-J967*34)/(J967*L967),"after Nov 30")))</f>
        <v/>
      </c>
      <c r="Q967" s="60">
        <f>IF(J967=0,"",IF(G967+H967&lt;J967*34,DATE(2026,10,15)+(G967+H967)/J967,IF(G967+H967&lt;N967,DATE(2026,11,18)+(G967+H967-J967*34)/(J967*L967),"after Nov 30")))</f>
        <v/>
      </c>
      <c r="R967" s="54">
        <f>IF(AND(G967&lt;=0,J967&gt;0),"Out of stock now",IF(G967&gt;=N967,"Covered to Nov 30",IF(G967+H967&gt;=N967,"Needs inbound in time","Short even with inbound")))</f>
        <v/>
      </c>
      <c r="S967" s="57" t="n">
        <v>0.357</v>
      </c>
      <c r="T967" s="59">
        <f>IF(S967="","",S967*34+S967*L967*12)</f>
        <v/>
      </c>
    </row>
    <row r="968">
      <c r="A968" s="54" t="inlineStr">
        <is>
          <t>US DC Satin Fitted</t>
        </is>
      </c>
      <c r="B968" s="54" t="inlineStr">
        <is>
          <t>US</t>
        </is>
      </c>
      <c r="C968" s="54" t="inlineStr">
        <is>
          <t>B0DBW2G5JS</t>
        </is>
      </c>
      <c r="D968" s="54" t="inlineStr">
        <is>
          <t>SATIN-FITTED-KING-IVORY</t>
        </is>
      </c>
      <c r="E968" s="54" t="inlineStr">
        <is>
          <t>King</t>
        </is>
      </c>
      <c r="F968" s="54" t="inlineStr">
        <is>
          <t>Ivory</t>
        </is>
      </c>
      <c r="G968" s="55" t="n">
        <v>7</v>
      </c>
      <c r="H968" s="55" t="n">
        <v>0</v>
      </c>
      <c r="I968" s="56" t="n"/>
      <c r="J968" s="57" t="n">
        <v>0.62</v>
      </c>
      <c r="K968" s="56" t="inlineStr">
        <is>
          <t>account data velocity</t>
        </is>
      </c>
      <c r="L968" s="58" t="n">
        <v>2.4693</v>
      </c>
      <c r="M968" s="56" t="inlineStr">
        <is>
          <t>own BFCM 2025 lift (account data)</t>
        </is>
      </c>
      <c r="N968" s="59">
        <f>J968*34+J968*L968*12</f>
        <v/>
      </c>
      <c r="O968" s="59">
        <f>MAX(0,N968-G968-H968)</f>
        <v/>
      </c>
      <c r="P968" s="60">
        <f>IF(J968=0,"",IF(G968&lt;J968*34,DATE(2026,10,15)+G968/J968,IF(G968&lt;N968,DATE(2026,11,18)+(G968-J968*34)/(J968*L968),"after Nov 30")))</f>
        <v/>
      </c>
      <c r="Q968" s="60">
        <f>IF(J968=0,"",IF(G968+H968&lt;J968*34,DATE(2026,10,15)+(G968+H968)/J968,IF(G968+H968&lt;N968,DATE(2026,11,18)+(G968+H968-J968*34)/(J968*L968),"after Nov 30")))</f>
        <v/>
      </c>
      <c r="R968" s="54">
        <f>IF(AND(G968&lt;=0,J968&gt;0),"Out of stock now",IF(G968&gt;=N968,"Covered to Nov 30",IF(G968+H968&gt;=N968,"Needs inbound in time","Short even with inbound")))</f>
        <v/>
      </c>
      <c r="S968" s="57" t="n">
        <v>0.607</v>
      </c>
      <c r="T968" s="59">
        <f>IF(S968="","",S968*34+S968*L968*12)</f>
        <v/>
      </c>
    </row>
    <row r="969">
      <c r="A969" s="54" t="inlineStr">
        <is>
          <t>US DC Satin Fitted</t>
        </is>
      </c>
      <c r="B969" s="54" t="inlineStr">
        <is>
          <t>US</t>
        </is>
      </c>
      <c r="C969" s="54" t="inlineStr">
        <is>
          <t>B0DBVZGV7Z</t>
        </is>
      </c>
      <c r="D969" s="54" t="inlineStr">
        <is>
          <t>SATIN-FITTED-KING-SAGE-GREEN</t>
        </is>
      </c>
      <c r="E969" s="54" t="inlineStr">
        <is>
          <t>King</t>
        </is>
      </c>
      <c r="F969" s="54" t="inlineStr">
        <is>
          <t>Sage Green</t>
        </is>
      </c>
      <c r="G969" s="55" t="n">
        <v>16</v>
      </c>
      <c r="H969" s="55" t="n">
        <v>0</v>
      </c>
      <c r="I969" s="56" t="n"/>
      <c r="J969" s="57" t="n">
        <v>0.62</v>
      </c>
      <c r="K969" s="56" t="inlineStr">
        <is>
          <t>account data velocity</t>
        </is>
      </c>
      <c r="L969" s="58" t="n">
        <v>2.4693</v>
      </c>
      <c r="M969" s="56" t="inlineStr">
        <is>
          <t>own BFCM 2025 lift (account data)</t>
        </is>
      </c>
      <c r="N969" s="59">
        <f>J969*34+J969*L969*12</f>
        <v/>
      </c>
      <c r="O969" s="59">
        <f>MAX(0,N969-G969-H969)</f>
        <v/>
      </c>
      <c r="P969" s="60">
        <f>IF(J969=0,"",IF(G969&lt;J969*34,DATE(2026,10,15)+G969/J969,IF(G969&lt;N969,DATE(2026,11,18)+(G969-J969*34)/(J969*L969),"after Nov 30")))</f>
        <v/>
      </c>
      <c r="Q969" s="60">
        <f>IF(J969=0,"",IF(G969+H969&lt;J969*34,DATE(2026,10,15)+(G969+H969)/J969,IF(G969+H969&lt;N969,DATE(2026,11,18)+(G969+H969-J969*34)/(J969*L969),"after Nov 30")))</f>
        <v/>
      </c>
      <c r="R969" s="54">
        <f>IF(AND(G969&lt;=0,J969&gt;0),"Out of stock now",IF(G969&gt;=N969,"Covered to Nov 30",IF(G969+H969&gt;=N969,"Needs inbound in time","Short even with inbound")))</f>
        <v/>
      </c>
      <c r="S969" s="57" t="n">
        <v>0.321</v>
      </c>
      <c r="T969" s="59">
        <f>IF(S969="","",S969*34+S969*L969*12)</f>
        <v/>
      </c>
    </row>
    <row r="970">
      <c r="A970" s="54" t="inlineStr">
        <is>
          <t>US DC Satin Fitted</t>
        </is>
      </c>
      <c r="B970" s="54" t="inlineStr">
        <is>
          <t>US</t>
        </is>
      </c>
      <c r="C970" s="54" t="inlineStr">
        <is>
          <t>B0DBVZGV7Y</t>
        </is>
      </c>
      <c r="D970" s="54" t="inlineStr">
        <is>
          <t>SATIN-FITTED-FULL-PURPLE</t>
        </is>
      </c>
      <c r="E970" s="54" t="inlineStr">
        <is>
          <t>Full</t>
        </is>
      </c>
      <c r="F970" s="54" t="inlineStr">
        <is>
          <t>Purple</t>
        </is>
      </c>
      <c r="G970" s="55" t="n">
        <v>19</v>
      </c>
      <c r="H970" s="55" t="n">
        <v>0</v>
      </c>
      <c r="I970" s="56" t="n"/>
      <c r="J970" s="57" t="n">
        <v>0.6</v>
      </c>
      <c r="K970" s="56" t="inlineStr">
        <is>
          <t>account data velocity</t>
        </is>
      </c>
      <c r="L970" s="58" t="n">
        <v>2.4693</v>
      </c>
      <c r="M970" s="56" t="inlineStr">
        <is>
          <t>own BFCM 2025 lift (account data)</t>
        </is>
      </c>
      <c r="N970" s="59">
        <f>J970*34+J970*L970*12</f>
        <v/>
      </c>
      <c r="O970" s="59">
        <f>MAX(0,N970-G970-H970)</f>
        <v/>
      </c>
      <c r="P970" s="60">
        <f>IF(J970=0,"",IF(G970&lt;J970*34,DATE(2026,10,15)+G970/J970,IF(G970&lt;N970,DATE(2026,11,18)+(G970-J970*34)/(J970*L970),"after Nov 30")))</f>
        <v/>
      </c>
      <c r="Q970" s="60">
        <f>IF(J970=0,"",IF(G970+H970&lt;J970*34,DATE(2026,10,15)+(G970+H970)/J970,IF(G970+H970&lt;N970,DATE(2026,11,18)+(G970+H970-J970*34)/(J970*L970),"after Nov 30")))</f>
        <v/>
      </c>
      <c r="R970" s="54">
        <f>IF(AND(G970&lt;=0,J970&gt;0),"Out of stock now",IF(G970&gt;=N970,"Covered to Nov 30",IF(G970+H970&gt;=N970,"Needs inbound in time","Short even with inbound")))</f>
        <v/>
      </c>
      <c r="S970" s="57" t="n">
        <v>0.393</v>
      </c>
      <c r="T970" s="59">
        <f>IF(S970="","",S970*34+S970*L970*12)</f>
        <v/>
      </c>
    </row>
    <row r="971">
      <c r="A971" s="54" t="inlineStr">
        <is>
          <t>US DC Satin Fitted</t>
        </is>
      </c>
      <c r="B971" s="54" t="inlineStr">
        <is>
          <t>US</t>
        </is>
      </c>
      <c r="C971" s="54" t="inlineStr">
        <is>
          <t>B0DBVYYWX3</t>
        </is>
      </c>
      <c r="D971" s="54" t="inlineStr">
        <is>
          <t>SATIN-FITTED-KING-DARK-GREEN</t>
        </is>
      </c>
      <c r="E971" s="54" t="inlineStr">
        <is>
          <t>King</t>
        </is>
      </c>
      <c r="F971" s="54" t="inlineStr">
        <is>
          <t>Dark Green</t>
        </is>
      </c>
      <c r="G971" s="55" t="n">
        <v>22</v>
      </c>
      <c r="H971" s="55" t="n">
        <v>0</v>
      </c>
      <c r="I971" s="56" t="n"/>
      <c r="J971" s="57" t="n">
        <v>0.6</v>
      </c>
      <c r="K971" s="56" t="inlineStr">
        <is>
          <t>account data velocity</t>
        </is>
      </c>
      <c r="L971" s="58" t="n">
        <v>2.4693</v>
      </c>
      <c r="M971" s="56" t="inlineStr">
        <is>
          <t>own BFCM 2025 lift (account data)</t>
        </is>
      </c>
      <c r="N971" s="59">
        <f>J971*34+J971*L971*12</f>
        <v/>
      </c>
      <c r="O971" s="59">
        <f>MAX(0,N971-G971-H971)</f>
        <v/>
      </c>
      <c r="P971" s="60">
        <f>IF(J971=0,"",IF(G971&lt;J971*34,DATE(2026,10,15)+G971/J971,IF(G971&lt;N971,DATE(2026,11,18)+(G971-J971*34)/(J971*L971),"after Nov 30")))</f>
        <v/>
      </c>
      <c r="Q971" s="60">
        <f>IF(J971=0,"",IF(G971+H971&lt;J971*34,DATE(2026,10,15)+(G971+H971)/J971,IF(G971+H971&lt;N971,DATE(2026,11,18)+(G971+H971-J971*34)/(J971*L971),"after Nov 30")))</f>
        <v/>
      </c>
      <c r="R971" s="54">
        <f>IF(AND(G971&lt;=0,J971&gt;0),"Out of stock now",IF(G971&gt;=N971,"Covered to Nov 30",IF(G971+H971&gt;=N971,"Needs inbound in time","Short even with inbound")))</f>
        <v/>
      </c>
      <c r="S971" s="57" t="n">
        <v>0.393</v>
      </c>
      <c r="T971" s="59">
        <f>IF(S971="","",S971*34+S971*L971*12)</f>
        <v/>
      </c>
    </row>
    <row r="972">
      <c r="A972" s="54" t="inlineStr">
        <is>
          <t>US DC Satin Fitted</t>
        </is>
      </c>
      <c r="B972" s="54" t="inlineStr">
        <is>
          <t>US</t>
        </is>
      </c>
      <c r="C972" s="54" t="inlineStr">
        <is>
          <t>B0DBW13VVR</t>
        </is>
      </c>
      <c r="D972" s="54" t="inlineStr">
        <is>
          <t>SATIN-FITTED-KING-BLACK</t>
        </is>
      </c>
      <c r="E972" s="54" t="inlineStr">
        <is>
          <t>King</t>
        </is>
      </c>
      <c r="F972" s="54" t="inlineStr">
        <is>
          <t>Black</t>
        </is>
      </c>
      <c r="G972" s="55" t="n">
        <v>0</v>
      </c>
      <c r="H972" s="55" t="n">
        <v>0</v>
      </c>
      <c r="I972" s="56" t="n"/>
      <c r="J972" s="57" t="n">
        <v>0.6</v>
      </c>
      <c r="K972" s="56" t="inlineStr">
        <is>
          <t>account data velocity</t>
        </is>
      </c>
      <c r="L972" s="58" t="n">
        <v>2.4693</v>
      </c>
      <c r="M972" s="56" t="inlineStr">
        <is>
          <t>own BFCM 2025 lift (account data)</t>
        </is>
      </c>
      <c r="N972" s="59">
        <f>J972*34+J972*L972*12</f>
        <v/>
      </c>
      <c r="O972" s="59">
        <f>MAX(0,N972-G972-H972)</f>
        <v/>
      </c>
      <c r="P972" s="60">
        <f>IF(J972=0,"",IF(G972&lt;J972*34,DATE(2026,10,15)+G972/J972,IF(G972&lt;N972,DATE(2026,11,18)+(G972-J972*34)/(J972*L972),"after Nov 30")))</f>
        <v/>
      </c>
      <c r="Q972" s="60">
        <f>IF(J972=0,"",IF(G972+H972&lt;J972*34,DATE(2026,10,15)+(G972+H972)/J972,IF(G972+H972&lt;N972,DATE(2026,11,18)+(G972+H972-J972*34)/(J972*L972),"after Nov 30")))</f>
        <v/>
      </c>
      <c r="R972" s="54">
        <f>IF(AND(G972&lt;=0,J972&gt;0),"Out of stock now",IF(G972&gt;=N972,"Covered to Nov 30",IF(G972+H972&gt;=N972,"Needs inbound in time","Short even with inbound")))</f>
        <v/>
      </c>
      <c r="S972" s="57" t="n">
        <v>0.357</v>
      </c>
      <c r="T972" s="59">
        <f>IF(S972="","",S972*34+S972*L972*12)</f>
        <v/>
      </c>
    </row>
    <row r="973">
      <c r="A973" s="54" t="inlineStr">
        <is>
          <t>US DC Satin Fitted</t>
        </is>
      </c>
      <c r="B973" s="54" t="inlineStr">
        <is>
          <t>US</t>
        </is>
      </c>
      <c r="C973" s="54" t="inlineStr">
        <is>
          <t>B0DBVZ9QZC</t>
        </is>
      </c>
      <c r="D973" s="54" t="inlineStr">
        <is>
          <t>SATIN-FITTED-TWIN-SAGE-GREEN</t>
        </is>
      </c>
      <c r="E973" s="54" t="inlineStr">
        <is>
          <t>Twin</t>
        </is>
      </c>
      <c r="F973" s="54" t="inlineStr">
        <is>
          <t>Sage Green</t>
        </is>
      </c>
      <c r="G973" s="55" t="n">
        <v>31</v>
      </c>
      <c r="H973" s="55" t="n">
        <v>0</v>
      </c>
      <c r="I973" s="56" t="n"/>
      <c r="J973" s="57" t="n">
        <v>0.6</v>
      </c>
      <c r="K973" s="56" t="inlineStr">
        <is>
          <t>account data velocity</t>
        </is>
      </c>
      <c r="L973" s="58" t="n">
        <v>2.4693</v>
      </c>
      <c r="M973" s="56" t="inlineStr">
        <is>
          <t>own BFCM 2025 lift (account data)</t>
        </is>
      </c>
      <c r="N973" s="59">
        <f>J973*34+J973*L973*12</f>
        <v/>
      </c>
      <c r="O973" s="59">
        <f>MAX(0,N973-G973-H973)</f>
        <v/>
      </c>
      <c r="P973" s="60">
        <f>IF(J973=0,"",IF(G973&lt;J973*34,DATE(2026,10,15)+G973/J973,IF(G973&lt;N973,DATE(2026,11,18)+(G973-J973*34)/(J973*L973),"after Nov 30")))</f>
        <v/>
      </c>
      <c r="Q973" s="60">
        <f>IF(J973=0,"",IF(G973+H973&lt;J973*34,DATE(2026,10,15)+(G973+H973)/J973,IF(G973+H973&lt;N973,DATE(2026,11,18)+(G973+H973-J973*34)/(J973*L973),"after Nov 30")))</f>
        <v/>
      </c>
      <c r="R973" s="54">
        <f>IF(AND(G973&lt;=0,J973&gt;0),"Out of stock now",IF(G973&gt;=N973,"Covered to Nov 30",IF(G973+H973&gt;=N973,"Needs inbound in time","Short even with inbound")))</f>
        <v/>
      </c>
      <c r="S973" s="57" t="n">
        <v>0.286</v>
      </c>
      <c r="T973" s="59">
        <f>IF(S973="","",S973*34+S973*L973*12)</f>
        <v/>
      </c>
    </row>
    <row r="974">
      <c r="A974" s="54" t="inlineStr">
        <is>
          <t>US DC Satin Fitted</t>
        </is>
      </c>
      <c r="B974" s="54" t="inlineStr">
        <is>
          <t>US</t>
        </is>
      </c>
      <c r="C974" s="54" t="inlineStr">
        <is>
          <t>B0DBW28W1W</t>
        </is>
      </c>
      <c r="D974" s="54" t="inlineStr">
        <is>
          <t>SATIN-FITTED-TWIN-STONE-GREY</t>
        </is>
      </c>
      <c r="E974" s="54" t="inlineStr">
        <is>
          <t>Twin</t>
        </is>
      </c>
      <c r="F974" s="54" t="inlineStr">
        <is>
          <t>Stone Grey</t>
        </is>
      </c>
      <c r="G974" s="55" t="n">
        <v>136</v>
      </c>
      <c r="H974" s="55" t="n">
        <v>0</v>
      </c>
      <c r="I974" s="56" t="n"/>
      <c r="J974" s="57" t="n">
        <v>0.5</v>
      </c>
      <c r="K974" s="56" t="inlineStr">
        <is>
          <t>account data velocity</t>
        </is>
      </c>
      <c r="L974" s="58" t="n">
        <v>2.4693</v>
      </c>
      <c r="M974" s="56" t="inlineStr">
        <is>
          <t>own BFCM 2025 lift (account data)</t>
        </is>
      </c>
      <c r="N974" s="59">
        <f>J974*34+J974*L974*12</f>
        <v/>
      </c>
      <c r="O974" s="59">
        <f>MAX(0,N974-G974-H974)</f>
        <v/>
      </c>
      <c r="P974" s="60">
        <f>IF(J974=0,"",IF(G974&lt;J974*34,DATE(2026,10,15)+G974/J974,IF(G974&lt;N974,DATE(2026,11,18)+(G974-J974*34)/(J974*L974),"after Nov 30")))</f>
        <v/>
      </c>
      <c r="Q974" s="60">
        <f>IF(J974=0,"",IF(G974+H974&lt;J974*34,DATE(2026,10,15)+(G974+H974)/J974,IF(G974+H974&lt;N974,DATE(2026,11,18)+(G974+H974-J974*34)/(J974*L974),"after Nov 30")))</f>
        <v/>
      </c>
      <c r="R974" s="54">
        <f>IF(AND(G974&lt;=0,J974&gt;0),"Out of stock now",IF(G974&gt;=N974,"Covered to Nov 30",IF(G974+H974&gt;=N974,"Needs inbound in time","Short even with inbound")))</f>
        <v/>
      </c>
      <c r="S974" s="57" t="n">
        <v>0.143</v>
      </c>
      <c r="T974" s="59">
        <f>IF(S974="","",S974*34+S974*L974*12)</f>
        <v/>
      </c>
    </row>
    <row r="975">
      <c r="A975" s="54" t="inlineStr">
        <is>
          <t>US DC Satin Fitted</t>
        </is>
      </c>
      <c r="B975" s="54" t="inlineStr">
        <is>
          <t>US</t>
        </is>
      </c>
      <c r="C975" s="54" t="inlineStr">
        <is>
          <t>B0DBVZY5T2</t>
        </is>
      </c>
      <c r="D975" s="54" t="inlineStr">
        <is>
          <t>SATIN-FITTED-TWIN-GOLD</t>
        </is>
      </c>
      <c r="E975" s="54" t="inlineStr">
        <is>
          <t>Twin</t>
        </is>
      </c>
      <c r="F975" s="54" t="inlineStr">
        <is>
          <t>Gold</t>
        </is>
      </c>
      <c r="G975" s="55" t="n">
        <v>86</v>
      </c>
      <c r="H975" s="55" t="n">
        <v>0</v>
      </c>
      <c r="I975" s="56" t="n"/>
      <c r="J975" s="57" t="n">
        <v>0.43</v>
      </c>
      <c r="K975" s="56" t="inlineStr">
        <is>
          <t>account data velocity</t>
        </is>
      </c>
      <c r="L975" s="58" t="n">
        <v>2.4693</v>
      </c>
      <c r="M975" s="56" t="inlineStr">
        <is>
          <t>own BFCM 2025 lift (account data)</t>
        </is>
      </c>
      <c r="N975" s="59">
        <f>J975*34+J975*L975*12</f>
        <v/>
      </c>
      <c r="O975" s="59">
        <f>MAX(0,N975-G975-H975)</f>
        <v/>
      </c>
      <c r="P975" s="60">
        <f>IF(J975=0,"",IF(G975&lt;J975*34,DATE(2026,10,15)+G975/J975,IF(G975&lt;N975,DATE(2026,11,18)+(G975-J975*34)/(J975*L975),"after Nov 30")))</f>
        <v/>
      </c>
      <c r="Q975" s="60">
        <f>IF(J975=0,"",IF(G975+H975&lt;J975*34,DATE(2026,10,15)+(G975+H975)/J975,IF(G975+H975&lt;N975,DATE(2026,11,18)+(G975+H975-J975*34)/(J975*L975),"after Nov 30")))</f>
        <v/>
      </c>
      <c r="R975" s="54">
        <f>IF(AND(G975&lt;=0,J975&gt;0),"Out of stock now",IF(G975&gt;=N975,"Covered to Nov 30",IF(G975+H975&gt;=N975,"Needs inbound in time","Short even with inbound")))</f>
        <v/>
      </c>
      <c r="S975" s="57" t="n">
        <v>0</v>
      </c>
      <c r="T975" s="59">
        <f>IF(S975="","",S975*34+S975*L975*12)</f>
        <v/>
      </c>
    </row>
    <row r="976">
      <c r="A976" s="54" t="inlineStr">
        <is>
          <t>US DC Satin Fitted</t>
        </is>
      </c>
      <c r="B976" s="54" t="inlineStr">
        <is>
          <t>US</t>
        </is>
      </c>
      <c r="C976" s="54" t="inlineStr">
        <is>
          <t>B0DBVZNLSM</t>
        </is>
      </c>
      <c r="D976" s="54" t="inlineStr">
        <is>
          <t>SATIN-FITTED-FULL-BLUSH-PINK</t>
        </is>
      </c>
      <c r="E976" s="54" t="inlineStr">
        <is>
          <t>Full</t>
        </is>
      </c>
      <c r="F976" s="54" t="inlineStr">
        <is>
          <t>Blush Pink</t>
        </is>
      </c>
      <c r="G976" s="55" t="n">
        <v>51</v>
      </c>
      <c r="H976" s="55" t="n">
        <v>0</v>
      </c>
      <c r="I976" s="56" t="n"/>
      <c r="J976" s="57" t="n">
        <v>0.4</v>
      </c>
      <c r="K976" s="56" t="inlineStr">
        <is>
          <t>account data velocity</t>
        </is>
      </c>
      <c r="L976" s="58" t="n">
        <v>2.4693</v>
      </c>
      <c r="M976" s="56" t="inlineStr">
        <is>
          <t>own BFCM 2025 lift (account data)</t>
        </is>
      </c>
      <c r="N976" s="59">
        <f>J976*34+J976*L976*12</f>
        <v/>
      </c>
      <c r="O976" s="59">
        <f>MAX(0,N976-G976-H976)</f>
        <v/>
      </c>
      <c r="P976" s="60">
        <f>IF(J976=0,"",IF(G976&lt;J976*34,DATE(2026,10,15)+G976/J976,IF(G976&lt;N976,DATE(2026,11,18)+(G976-J976*34)/(J976*L976),"after Nov 30")))</f>
        <v/>
      </c>
      <c r="Q976" s="60">
        <f>IF(J976=0,"",IF(G976+H976&lt;J976*34,DATE(2026,10,15)+(G976+H976)/J976,IF(G976+H976&lt;N976,DATE(2026,11,18)+(G976+H976-J976*34)/(J976*L976),"after Nov 30")))</f>
        <v/>
      </c>
      <c r="R976" s="54">
        <f>IF(AND(G976&lt;=0,J976&gt;0),"Out of stock now",IF(G976&gt;=N976,"Covered to Nov 30",IF(G976+H976&gt;=N976,"Needs inbound in time","Short even with inbound")))</f>
        <v/>
      </c>
      <c r="S976" s="57" t="n">
        <v>0.179</v>
      </c>
      <c r="T976" s="59">
        <f>IF(S976="","",S976*34+S976*L976*12)</f>
        <v/>
      </c>
    </row>
    <row r="977">
      <c r="A977" s="54" t="inlineStr">
        <is>
          <t>US DC Satin Fitted</t>
        </is>
      </c>
      <c r="B977" s="54" t="inlineStr">
        <is>
          <t>US</t>
        </is>
      </c>
      <c r="C977" s="54" t="inlineStr">
        <is>
          <t>B0DBVZQZXV</t>
        </is>
      </c>
      <c r="D977" s="54" t="inlineStr">
        <is>
          <t>SATIN-FITTED-TWIN-BABY-BLUE</t>
        </is>
      </c>
      <c r="E977" s="54" t="inlineStr">
        <is>
          <t>Twin</t>
        </is>
      </c>
      <c r="F977" s="54" t="inlineStr">
        <is>
          <t>Baby Blue</t>
        </is>
      </c>
      <c r="G977" s="55" t="n">
        <v>35</v>
      </c>
      <c r="H977" s="55" t="n">
        <v>20</v>
      </c>
      <c r="I977" s="56" t="inlineStr">
        <is>
          <t>FBA19N7XSBR9 in transit: 20</t>
        </is>
      </c>
      <c r="J977" s="57" t="n">
        <v>0.4</v>
      </c>
      <c r="K977" s="56" t="inlineStr">
        <is>
          <t>account data velocity</t>
        </is>
      </c>
      <c r="L977" s="58" t="n">
        <v>2.4693</v>
      </c>
      <c r="M977" s="56" t="inlineStr">
        <is>
          <t>own BFCM 2025 lift (account data)</t>
        </is>
      </c>
      <c r="N977" s="59">
        <f>J977*34+J977*L977*12</f>
        <v/>
      </c>
      <c r="O977" s="59">
        <f>MAX(0,N977-G977-H977)</f>
        <v/>
      </c>
      <c r="P977" s="60">
        <f>IF(J977=0,"",IF(G977&lt;J977*34,DATE(2026,10,15)+G977/J977,IF(G977&lt;N977,DATE(2026,11,18)+(G977-J977*34)/(J977*L977),"after Nov 30")))</f>
        <v/>
      </c>
      <c r="Q977" s="60">
        <f>IF(J977=0,"",IF(G977+H977&lt;J977*34,DATE(2026,10,15)+(G977+H977)/J977,IF(G977+H977&lt;N977,DATE(2026,11,18)+(G977+H977-J977*34)/(J977*L977),"after Nov 30")))</f>
        <v/>
      </c>
      <c r="R977" s="54">
        <f>IF(AND(G977&lt;=0,J977&gt;0),"Out of stock now",IF(G977&gt;=N977,"Covered to Nov 30",IF(G977+H977&gt;=N977,"Needs inbound in time","Short even with inbound")))</f>
        <v/>
      </c>
      <c r="S977" s="57" t="n">
        <v>0.179</v>
      </c>
      <c r="T977" s="59">
        <f>IF(S977="","",S977*34+S977*L977*12)</f>
        <v/>
      </c>
    </row>
    <row r="978">
      <c r="A978" s="54" t="inlineStr">
        <is>
          <t>US DC Satin Fitted</t>
        </is>
      </c>
      <c r="B978" s="54" t="inlineStr">
        <is>
          <t>US</t>
        </is>
      </c>
      <c r="C978" s="54" t="inlineStr">
        <is>
          <t>B0DBVZZZ7B</t>
        </is>
      </c>
      <c r="D978" s="54" t="inlineStr">
        <is>
          <t>SATIN-FITTED-FULL-STONE-GREY</t>
        </is>
      </c>
      <c r="E978" s="54" t="inlineStr">
        <is>
          <t>Full</t>
        </is>
      </c>
      <c r="F978" s="54" t="inlineStr">
        <is>
          <t>Stone Grey</t>
        </is>
      </c>
      <c r="G978" s="55" t="n">
        <v>36</v>
      </c>
      <c r="H978" s="55" t="n">
        <v>0</v>
      </c>
      <c r="I978" s="56" t="n"/>
      <c r="J978" s="57" t="n">
        <v>0.39</v>
      </c>
      <c r="K978" s="56" t="inlineStr">
        <is>
          <t>account data velocity</t>
        </is>
      </c>
      <c r="L978" s="58" t="n">
        <v>2.4693</v>
      </c>
      <c r="M978" s="56" t="inlineStr">
        <is>
          <t>own BFCM 2025 lift (account data)</t>
        </is>
      </c>
      <c r="N978" s="59">
        <f>J978*34+J978*L978*12</f>
        <v/>
      </c>
      <c r="O978" s="59">
        <f>MAX(0,N978-G978-H978)</f>
        <v/>
      </c>
      <c r="P978" s="60">
        <f>IF(J978=0,"",IF(G978&lt;J978*34,DATE(2026,10,15)+G978/J978,IF(G978&lt;N978,DATE(2026,11,18)+(G978-J978*34)/(J978*L978),"after Nov 30")))</f>
        <v/>
      </c>
      <c r="Q978" s="60">
        <f>IF(J978=0,"",IF(G978+H978&lt;J978*34,DATE(2026,10,15)+(G978+H978)/J978,IF(G978+H978&lt;N978,DATE(2026,11,18)+(G978+H978-J978*34)/(J978*L978),"after Nov 30")))</f>
        <v/>
      </c>
      <c r="R978" s="54">
        <f>IF(AND(G978&lt;=0,J978&gt;0),"Out of stock now",IF(G978&gt;=N978,"Covered to Nov 30",IF(G978+H978&gt;=N978,"Needs inbound in time","Short even with inbound")))</f>
        <v/>
      </c>
      <c r="S978" s="57" t="n">
        <v>0.429</v>
      </c>
      <c r="T978" s="59">
        <f>IF(S978="","",S978*34+S978*L978*12)</f>
        <v/>
      </c>
    </row>
    <row r="979">
      <c r="A979" s="54" t="inlineStr">
        <is>
          <t>US DC Satin Fitted</t>
        </is>
      </c>
      <c r="B979" s="54" t="inlineStr">
        <is>
          <t>US</t>
        </is>
      </c>
      <c r="C979" s="54" t="inlineStr">
        <is>
          <t>B0DBW1M1HX</t>
        </is>
      </c>
      <c r="D979" s="54" t="inlineStr">
        <is>
          <t>SATIN-FITTED-TWIN-SEA-TEAL</t>
        </is>
      </c>
      <c r="E979" s="54" t="inlineStr">
        <is>
          <t>Twin</t>
        </is>
      </c>
      <c r="F979" s="54" t="inlineStr">
        <is>
          <t>Sea Teal</t>
        </is>
      </c>
      <c r="G979" s="55" t="n">
        <v>74</v>
      </c>
      <c r="H979" s="55" t="n">
        <v>0</v>
      </c>
      <c r="I979" s="56" t="n"/>
      <c r="J979" s="57" t="n">
        <v>0.38</v>
      </c>
      <c r="K979" s="56" t="inlineStr">
        <is>
          <t>account data velocity</t>
        </is>
      </c>
      <c r="L979" s="58" t="n">
        <v>2.4693</v>
      </c>
      <c r="M979" s="56" t="inlineStr">
        <is>
          <t>own BFCM 2025 lift (account data)</t>
        </is>
      </c>
      <c r="N979" s="59">
        <f>J979*34+J979*L979*12</f>
        <v/>
      </c>
      <c r="O979" s="59">
        <f>MAX(0,N979-G979-H979)</f>
        <v/>
      </c>
      <c r="P979" s="60">
        <f>IF(J979=0,"",IF(G979&lt;J979*34,DATE(2026,10,15)+G979/J979,IF(G979&lt;N979,DATE(2026,11,18)+(G979-J979*34)/(J979*L979),"after Nov 30")))</f>
        <v/>
      </c>
      <c r="Q979" s="60">
        <f>IF(J979=0,"",IF(G979+H979&lt;J979*34,DATE(2026,10,15)+(G979+H979)/J979,IF(G979+H979&lt;N979,DATE(2026,11,18)+(G979+H979-J979*34)/(J979*L979),"after Nov 30")))</f>
        <v/>
      </c>
      <c r="R979" s="54">
        <f>IF(AND(G979&lt;=0,J979&gt;0),"Out of stock now",IF(G979&gt;=N979,"Covered to Nov 30",IF(G979+H979&gt;=N979,"Needs inbound in time","Short even with inbound")))</f>
        <v/>
      </c>
      <c r="S979" s="57" t="n">
        <v>0.143</v>
      </c>
      <c r="T979" s="59">
        <f>IF(S979="","",S979*34+S979*L979*12)</f>
        <v/>
      </c>
    </row>
    <row r="980">
      <c r="A980" s="54" t="inlineStr">
        <is>
          <t>US DC Satin Fitted</t>
        </is>
      </c>
      <c r="B980" s="54" t="inlineStr">
        <is>
          <t>US</t>
        </is>
      </c>
      <c r="C980" s="54" t="inlineStr">
        <is>
          <t>B0DBW2LXQY</t>
        </is>
      </c>
      <c r="D980" s="54" t="inlineStr">
        <is>
          <t>SATIN-FITTED-FULL-SAGE-GREEN</t>
        </is>
      </c>
      <c r="E980" s="54" t="inlineStr">
        <is>
          <t>Full</t>
        </is>
      </c>
      <c r="F980" s="54" t="inlineStr">
        <is>
          <t>Sage Green</t>
        </is>
      </c>
      <c r="G980" s="55" t="n">
        <v>57</v>
      </c>
      <c r="H980" s="55" t="n">
        <v>20</v>
      </c>
      <c r="I980" s="56" t="inlineStr">
        <is>
          <t>FBA19N7XSBR9 in transit: 20</t>
        </is>
      </c>
      <c r="J980" s="57" t="n">
        <v>0.37</v>
      </c>
      <c r="K980" s="56" t="inlineStr">
        <is>
          <t>account data velocity</t>
        </is>
      </c>
      <c r="L980" s="58" t="n">
        <v>2.4693</v>
      </c>
      <c r="M980" s="56" t="inlineStr">
        <is>
          <t>own BFCM 2025 lift (account data)</t>
        </is>
      </c>
      <c r="N980" s="59">
        <f>J980*34+J980*L980*12</f>
        <v/>
      </c>
      <c r="O980" s="59">
        <f>MAX(0,N980-G980-H980)</f>
        <v/>
      </c>
      <c r="P980" s="60">
        <f>IF(J980=0,"",IF(G980&lt;J980*34,DATE(2026,10,15)+G980/J980,IF(G980&lt;N980,DATE(2026,11,18)+(G980-J980*34)/(J980*L980),"after Nov 30")))</f>
        <v/>
      </c>
      <c r="Q980" s="60">
        <f>IF(J980=0,"",IF(G980+H980&lt;J980*34,DATE(2026,10,15)+(G980+H980)/J980,IF(G980+H980&lt;N980,DATE(2026,11,18)+(G980+H980-J980*34)/(J980*L980),"after Nov 30")))</f>
        <v/>
      </c>
      <c r="R980" s="54">
        <f>IF(AND(G980&lt;=0,J980&gt;0),"Out of stock now",IF(G980&gt;=N980,"Covered to Nov 30",IF(G980+H980&gt;=N980,"Needs inbound in time","Short even with inbound")))</f>
        <v/>
      </c>
      <c r="S980" s="57" t="n">
        <v>0.5</v>
      </c>
      <c r="T980" s="59">
        <f>IF(S980="","",S980*34+S980*L980*12)</f>
        <v/>
      </c>
    </row>
    <row r="981">
      <c r="A981" s="54" t="inlineStr">
        <is>
          <t>US DC Satin Fitted</t>
        </is>
      </c>
      <c r="B981" s="54" t="inlineStr">
        <is>
          <t>US</t>
        </is>
      </c>
      <c r="C981" s="54" t="inlineStr">
        <is>
          <t>B0DBW1NXMH</t>
        </is>
      </c>
      <c r="D981" s="54" t="inlineStr">
        <is>
          <t>SATIN-FITTED-FULL-LAVENDER</t>
        </is>
      </c>
      <c r="E981" s="54" t="inlineStr">
        <is>
          <t>Full</t>
        </is>
      </c>
      <c r="F981" s="54" t="inlineStr">
        <is>
          <t>Lavender</t>
        </is>
      </c>
      <c r="G981" s="55" t="n">
        <v>37</v>
      </c>
      <c r="H981" s="55" t="n">
        <v>0</v>
      </c>
      <c r="I981" s="56" t="inlineStr">
        <is>
          <t>FBA19N82086K ready to ship: 20</t>
        </is>
      </c>
      <c r="J981" s="57" t="n">
        <v>0.33</v>
      </c>
      <c r="K981" s="56" t="inlineStr">
        <is>
          <t>account data velocity</t>
        </is>
      </c>
      <c r="L981" s="58" t="n">
        <v>2.4693</v>
      </c>
      <c r="M981" s="56" t="inlineStr">
        <is>
          <t>own BFCM 2025 lift (account data)</t>
        </is>
      </c>
      <c r="N981" s="59">
        <f>J981*34+J981*L981*12</f>
        <v/>
      </c>
      <c r="O981" s="59">
        <f>MAX(0,N981-G981-H981)</f>
        <v/>
      </c>
      <c r="P981" s="60">
        <f>IF(J981=0,"",IF(G981&lt;J981*34,DATE(2026,10,15)+G981/J981,IF(G981&lt;N981,DATE(2026,11,18)+(G981-J981*34)/(J981*L981),"after Nov 30")))</f>
        <v/>
      </c>
      <c r="Q981" s="60">
        <f>IF(J981=0,"",IF(G981+H981&lt;J981*34,DATE(2026,10,15)+(G981+H981)/J981,IF(G981+H981&lt;N981,DATE(2026,11,18)+(G981+H981-J981*34)/(J981*L981),"after Nov 30")))</f>
        <v/>
      </c>
      <c r="R981" s="54">
        <f>IF(AND(G981&lt;=0,J981&gt;0),"Out of stock now",IF(G981&gt;=N981,"Covered to Nov 30",IF(G981+H981&gt;=N981,"Needs inbound in time","Short even with inbound")))</f>
        <v/>
      </c>
      <c r="S981" s="57" t="n">
        <v>0.393</v>
      </c>
      <c r="T981" s="59">
        <f>IF(S981="","",S981*34+S981*L981*12)</f>
        <v/>
      </c>
    </row>
    <row r="982">
      <c r="A982" s="54" t="inlineStr">
        <is>
          <t>US DC Satin Fitted</t>
        </is>
      </c>
      <c r="B982" s="54" t="inlineStr">
        <is>
          <t>US</t>
        </is>
      </c>
      <c r="C982" s="54" t="inlineStr">
        <is>
          <t>B0DBW1ZHFR</t>
        </is>
      </c>
      <c r="D982" s="54" t="inlineStr">
        <is>
          <t>SATIN-FITTED-TWIN-NAVY-BLUE</t>
        </is>
      </c>
      <c r="E982" s="54" t="inlineStr">
        <is>
          <t>Twin</t>
        </is>
      </c>
      <c r="F982" s="54" t="inlineStr">
        <is>
          <t>Navy Blue</t>
        </is>
      </c>
      <c r="G982" s="55" t="n">
        <v>132</v>
      </c>
      <c r="H982" s="55" t="n">
        <v>0</v>
      </c>
      <c r="I982" s="56" t="n"/>
      <c r="J982" s="57" t="n">
        <v>0.33</v>
      </c>
      <c r="K982" s="56" t="inlineStr">
        <is>
          <t>account data velocity</t>
        </is>
      </c>
      <c r="L982" s="58" t="n">
        <v>2.4693</v>
      </c>
      <c r="M982" s="56" t="inlineStr">
        <is>
          <t>own BFCM 2025 lift (account data)</t>
        </is>
      </c>
      <c r="N982" s="59">
        <f>J982*34+J982*L982*12</f>
        <v/>
      </c>
      <c r="O982" s="59">
        <f>MAX(0,N982-G982-H982)</f>
        <v/>
      </c>
      <c r="P982" s="60">
        <f>IF(J982=0,"",IF(G982&lt;J982*34,DATE(2026,10,15)+G982/J982,IF(G982&lt;N982,DATE(2026,11,18)+(G982-J982*34)/(J982*L982),"after Nov 30")))</f>
        <v/>
      </c>
      <c r="Q982" s="60">
        <f>IF(J982=0,"",IF(G982+H982&lt;J982*34,DATE(2026,10,15)+(G982+H982)/J982,IF(G982+H982&lt;N982,DATE(2026,11,18)+(G982+H982-J982*34)/(J982*L982),"after Nov 30")))</f>
        <v/>
      </c>
      <c r="R982" s="54">
        <f>IF(AND(G982&lt;=0,J982&gt;0),"Out of stock now",IF(G982&gt;=N982,"Covered to Nov 30",IF(G982+H982&gt;=N982,"Needs inbound in time","Short even with inbound")))</f>
        <v/>
      </c>
      <c r="S982" s="57" t="n">
        <v>0.143</v>
      </c>
      <c r="T982" s="59">
        <f>IF(S982="","",S982*34+S982*L982*12)</f>
        <v/>
      </c>
    </row>
    <row r="983">
      <c r="A983" s="54" t="inlineStr">
        <is>
          <t>US DC Satin Fitted</t>
        </is>
      </c>
      <c r="B983" s="54" t="inlineStr">
        <is>
          <t>US</t>
        </is>
      </c>
      <c r="C983" s="54" t="inlineStr">
        <is>
          <t>B0DBW1FRHC</t>
        </is>
      </c>
      <c r="D983" s="54" t="inlineStr">
        <is>
          <t>SATIN-FITTED-TWIN-RED</t>
        </is>
      </c>
      <c r="E983" s="54" t="inlineStr">
        <is>
          <t>Twin</t>
        </is>
      </c>
      <c r="F983" s="54" t="inlineStr">
        <is>
          <t>Red</t>
        </is>
      </c>
      <c r="G983" s="55" t="n">
        <v>47</v>
      </c>
      <c r="H983" s="55" t="n">
        <v>0</v>
      </c>
      <c r="I983" s="56" t="n"/>
      <c r="J983" s="57" t="n">
        <v>0.29</v>
      </c>
      <c r="K983" s="56" t="inlineStr">
        <is>
          <t>account data velocity</t>
        </is>
      </c>
      <c r="L983" s="58" t="n">
        <v>2.4693</v>
      </c>
      <c r="M983" s="56" t="inlineStr">
        <is>
          <t>own BFCM 2025 lift (account data)</t>
        </is>
      </c>
      <c r="N983" s="59">
        <f>J983*34+J983*L983*12</f>
        <v/>
      </c>
      <c r="O983" s="59">
        <f>MAX(0,N983-G983-H983)</f>
        <v/>
      </c>
      <c r="P983" s="60">
        <f>IF(J983=0,"",IF(G983&lt;J983*34,DATE(2026,10,15)+G983/J983,IF(G983&lt;N983,DATE(2026,11,18)+(G983-J983*34)/(J983*L983),"after Nov 30")))</f>
        <v/>
      </c>
      <c r="Q983" s="60">
        <f>IF(J983=0,"",IF(G983+H983&lt;J983*34,DATE(2026,10,15)+(G983+H983)/J983,IF(G983+H983&lt;N983,DATE(2026,11,18)+(G983+H983-J983*34)/(J983*L983),"after Nov 30")))</f>
        <v/>
      </c>
      <c r="R983" s="54">
        <f>IF(AND(G983&lt;=0,J983&gt;0),"Out of stock now",IF(G983&gt;=N983,"Covered to Nov 30",IF(G983+H983&gt;=N983,"Needs inbound in time","Short even with inbound")))</f>
        <v/>
      </c>
      <c r="S983" s="57" t="n">
        <v>0.143</v>
      </c>
      <c r="T983" s="59">
        <f>IF(S983="","",S983*34+S983*L983*12)</f>
        <v/>
      </c>
    </row>
    <row r="984">
      <c r="A984" s="54" t="inlineStr">
        <is>
          <t>US DC Satin Fitted</t>
        </is>
      </c>
      <c r="B984" s="54" t="inlineStr">
        <is>
          <t>US</t>
        </is>
      </c>
      <c r="C984" s="54" t="inlineStr">
        <is>
          <t>B0DBVY6P25</t>
        </is>
      </c>
      <c r="D984" s="54" t="inlineStr">
        <is>
          <t>SATIN-FITTED-KING-GREY</t>
        </is>
      </c>
      <c r="E984" s="54" t="inlineStr">
        <is>
          <t>King</t>
        </is>
      </c>
      <c r="F984" s="54" t="inlineStr">
        <is>
          <t>Grey</t>
        </is>
      </c>
      <c r="G984" s="55" t="n">
        <v>0</v>
      </c>
      <c r="H984" s="55" t="n">
        <v>0</v>
      </c>
      <c r="I984" s="56" t="n"/>
      <c r="J984" s="57" t="n">
        <v>0.28</v>
      </c>
      <c r="K984" s="56" t="inlineStr">
        <is>
          <t>account data velocity</t>
        </is>
      </c>
      <c r="L984" s="58" t="n">
        <v>2.4693</v>
      </c>
      <c r="M984" s="56" t="inlineStr">
        <is>
          <t>own BFCM 2025 lift (account data)</t>
        </is>
      </c>
      <c r="N984" s="59">
        <f>J984*34+J984*L984*12</f>
        <v/>
      </c>
      <c r="O984" s="59">
        <f>MAX(0,N984-G984-H984)</f>
        <v/>
      </c>
      <c r="P984" s="60">
        <f>IF(J984=0,"",IF(G984&lt;J984*34,DATE(2026,10,15)+G984/J984,IF(G984&lt;N984,DATE(2026,11,18)+(G984-J984*34)/(J984*L984),"after Nov 30")))</f>
        <v/>
      </c>
      <c r="Q984" s="60">
        <f>IF(J984=0,"",IF(G984+H984&lt;J984*34,DATE(2026,10,15)+(G984+H984)/J984,IF(G984+H984&lt;N984,DATE(2026,11,18)+(G984+H984-J984*34)/(J984*L984),"after Nov 30")))</f>
        <v/>
      </c>
      <c r="R984" s="54">
        <f>IF(AND(G984&lt;=0,J984&gt;0),"Out of stock now",IF(G984&gt;=N984,"Covered to Nov 30",IF(G984+H984&gt;=N984,"Needs inbound in time","Short even with inbound")))</f>
        <v/>
      </c>
      <c r="S984" s="57" t="n">
        <v>0.393</v>
      </c>
      <c r="T984" s="59">
        <f>IF(S984="","",S984*34+S984*L984*12)</f>
        <v/>
      </c>
    </row>
    <row r="985">
      <c r="A985" s="54" t="inlineStr">
        <is>
          <t>US DC Satin Fitted</t>
        </is>
      </c>
      <c r="B985" s="54" t="inlineStr">
        <is>
          <t>US</t>
        </is>
      </c>
      <c r="C985" s="54" t="inlineStr">
        <is>
          <t>B0DBVZZD7X</t>
        </is>
      </c>
      <c r="D985" s="54" t="inlineStr">
        <is>
          <t>SATIN-FITTED-KING-BLUSH-PINK</t>
        </is>
      </c>
      <c r="E985" s="54" t="inlineStr">
        <is>
          <t>King</t>
        </is>
      </c>
      <c r="F985" s="54" t="inlineStr">
        <is>
          <t>Blush Pink</t>
        </is>
      </c>
      <c r="G985" s="55" t="n">
        <v>108</v>
      </c>
      <c r="H985" s="55" t="n">
        <v>20</v>
      </c>
      <c r="I985" s="56" t="inlineStr">
        <is>
          <t>FBA19N7XSBR9 in transit: 20</t>
        </is>
      </c>
      <c r="J985" s="57" t="n">
        <v>0.28</v>
      </c>
      <c r="K985" s="56" t="inlineStr">
        <is>
          <t>account data velocity</t>
        </is>
      </c>
      <c r="L985" s="58" t="n">
        <v>2.4693</v>
      </c>
      <c r="M985" s="56" t="inlineStr">
        <is>
          <t>own BFCM 2025 lift (account data)</t>
        </is>
      </c>
      <c r="N985" s="59">
        <f>J985*34+J985*L985*12</f>
        <v/>
      </c>
      <c r="O985" s="59">
        <f>MAX(0,N985-G985-H985)</f>
        <v/>
      </c>
      <c r="P985" s="60">
        <f>IF(J985=0,"",IF(G985&lt;J985*34,DATE(2026,10,15)+G985/J985,IF(G985&lt;N985,DATE(2026,11,18)+(G985-J985*34)/(J985*L985),"after Nov 30")))</f>
        <v/>
      </c>
      <c r="Q985" s="60">
        <f>IF(J985=0,"",IF(G985+H985&lt;J985*34,DATE(2026,10,15)+(G985+H985)/J985,IF(G985+H985&lt;N985,DATE(2026,11,18)+(G985+H985-J985*34)/(J985*L985),"after Nov 30")))</f>
        <v/>
      </c>
      <c r="R985" s="54">
        <f>IF(AND(G985&lt;=0,J985&gt;0),"Out of stock now",IF(G985&gt;=N985,"Covered to Nov 30",IF(G985+H985&gt;=N985,"Needs inbound in time","Short even with inbound")))</f>
        <v/>
      </c>
      <c r="S985" s="57" t="n">
        <v>0.214</v>
      </c>
      <c r="T985" s="59">
        <f>IF(S985="","",S985*34+S985*L985*12)</f>
        <v/>
      </c>
    </row>
    <row r="986">
      <c r="A986" s="54" t="inlineStr">
        <is>
          <t>US DC Satin Fitted</t>
        </is>
      </c>
      <c r="B986" s="54" t="inlineStr">
        <is>
          <t>US</t>
        </is>
      </c>
      <c r="C986" s="54" t="inlineStr">
        <is>
          <t>B0DBW19662</t>
        </is>
      </c>
      <c r="D986" s="54" t="inlineStr">
        <is>
          <t>SATIN-FITTED-QUEEN-BABY-BLUE</t>
        </is>
      </c>
      <c r="E986" s="54" t="inlineStr">
        <is>
          <t>Queen</t>
        </is>
      </c>
      <c r="F986" s="54" t="inlineStr">
        <is>
          <t>Baby Blue</t>
        </is>
      </c>
      <c r="G986" s="55" t="n">
        <v>1</v>
      </c>
      <c r="H986" s="55" t="n">
        <v>0</v>
      </c>
      <c r="I986" s="56" t="n"/>
      <c r="J986" s="57" t="n">
        <v>0.28</v>
      </c>
      <c r="K986" s="56" t="inlineStr">
        <is>
          <t>account data velocity</t>
        </is>
      </c>
      <c r="L986" s="58" t="n">
        <v>2.4693</v>
      </c>
      <c r="M986" s="56" t="inlineStr">
        <is>
          <t>own BFCM 2025 lift (account data)</t>
        </is>
      </c>
      <c r="N986" s="59">
        <f>J986*34+J986*L986*12</f>
        <v/>
      </c>
      <c r="O986" s="59">
        <f>MAX(0,N986-G986-H986)</f>
        <v/>
      </c>
      <c r="P986" s="60">
        <f>IF(J986=0,"",IF(G986&lt;J986*34,DATE(2026,10,15)+G986/J986,IF(G986&lt;N986,DATE(2026,11,18)+(G986-J986*34)/(J986*L986),"after Nov 30")))</f>
        <v/>
      </c>
      <c r="Q986" s="60">
        <f>IF(J986=0,"",IF(G986+H986&lt;J986*34,DATE(2026,10,15)+(G986+H986)/J986,IF(G986+H986&lt;N986,DATE(2026,11,18)+(G986+H986-J986*34)/(J986*L986),"after Nov 30")))</f>
        <v/>
      </c>
      <c r="R986" s="54">
        <f>IF(AND(G986&lt;=0,J986&gt;0),"Out of stock now",IF(G986&gt;=N986,"Covered to Nov 30",IF(G986+H986&gt;=N986,"Needs inbound in time","Short even with inbound")))</f>
        <v/>
      </c>
      <c r="S986" s="57" t="n">
        <v>0.143</v>
      </c>
      <c r="T986" s="59">
        <f>IF(S986="","",S986*34+S986*L986*12)</f>
        <v/>
      </c>
    </row>
    <row r="987">
      <c r="A987" s="54" t="inlineStr">
        <is>
          <t>US DC Satin Fitted</t>
        </is>
      </c>
      <c r="B987" s="54" t="inlineStr">
        <is>
          <t>US</t>
        </is>
      </c>
      <c r="C987" s="54" t="inlineStr">
        <is>
          <t>B0DBVZRZ4H</t>
        </is>
      </c>
      <c r="D987" s="54" t="inlineStr">
        <is>
          <t>SATIN-FITTED-FULL-PINK</t>
        </is>
      </c>
      <c r="E987" s="54" t="inlineStr">
        <is>
          <t>Full</t>
        </is>
      </c>
      <c r="F987" s="54" t="inlineStr">
        <is>
          <t>Pink</t>
        </is>
      </c>
      <c r="G987" s="55" t="n">
        <v>42</v>
      </c>
      <c r="H987" s="55" t="n">
        <v>100</v>
      </c>
      <c r="I987" s="56" t="inlineStr">
        <is>
          <t>FBA19STZ9LHZ ready to ship: 20; FBA19STRJMC3 ready to ship: 20; FBA19SV47PX1 ready to ship: 20; FBA19SV1CLVT ready to ship: 20; FBA19STYQSF4 ready to ship: 20; FBA19N82086K ready to ship: 20</t>
        </is>
      </c>
      <c r="J987" s="57" t="n">
        <v>0.27</v>
      </c>
      <c r="K987" s="56" t="inlineStr">
        <is>
          <t>account data velocity</t>
        </is>
      </c>
      <c r="L987" s="58" t="n">
        <v>2.4693</v>
      </c>
      <c r="M987" s="56" t="inlineStr">
        <is>
          <t>own BFCM 2025 lift (account data)</t>
        </is>
      </c>
      <c r="N987" s="59">
        <f>J987*34+J987*L987*12</f>
        <v/>
      </c>
      <c r="O987" s="59">
        <f>MAX(0,N987-G987-H987)</f>
        <v/>
      </c>
      <c r="P987" s="60">
        <f>IF(J987=0,"",IF(G987&lt;J987*34,DATE(2026,10,15)+G987/J987,IF(G987&lt;N987,DATE(2026,11,18)+(G987-J987*34)/(J987*L987),"after Nov 30")))</f>
        <v/>
      </c>
      <c r="Q987" s="60">
        <f>IF(J987=0,"",IF(G987+H987&lt;J987*34,DATE(2026,10,15)+(G987+H987)/J987,IF(G987+H987&lt;N987,DATE(2026,11,18)+(G987+H987-J987*34)/(J987*L987),"after Nov 30")))</f>
        <v/>
      </c>
      <c r="R987" s="54">
        <f>IF(AND(G987&lt;=0,J987&gt;0),"Out of stock now",IF(G987&gt;=N987,"Covered to Nov 30",IF(G987+H987&gt;=N987,"Needs inbound in time","Short even with inbound")))</f>
        <v/>
      </c>
      <c r="S987" s="57" t="n">
        <v>0.25</v>
      </c>
      <c r="T987" s="59">
        <f>IF(S987="","",S987*34+S987*L987*12)</f>
        <v/>
      </c>
    </row>
    <row r="988">
      <c r="A988" s="54" t="inlineStr">
        <is>
          <t>US DC Satin Fitted</t>
        </is>
      </c>
      <c r="B988" s="54" t="inlineStr">
        <is>
          <t>US</t>
        </is>
      </c>
      <c r="C988" s="54" t="inlineStr">
        <is>
          <t>B0DBVZMMPN</t>
        </is>
      </c>
      <c r="D988" s="54" t="inlineStr">
        <is>
          <t>SATIN-FITTED-TWIN-BLUSH-PINK</t>
        </is>
      </c>
      <c r="E988" s="54" t="inlineStr">
        <is>
          <t>Twin</t>
        </is>
      </c>
      <c r="F988" s="54" t="inlineStr">
        <is>
          <t>Blush Pink</t>
        </is>
      </c>
      <c r="G988" s="55" t="n">
        <v>81</v>
      </c>
      <c r="H988" s="55" t="n">
        <v>0</v>
      </c>
      <c r="I988" s="56" t="n"/>
      <c r="J988" s="57" t="n">
        <v>0.26</v>
      </c>
      <c r="K988" s="56" t="inlineStr">
        <is>
          <t>account data velocity</t>
        </is>
      </c>
      <c r="L988" s="58" t="n">
        <v>2.4693</v>
      </c>
      <c r="M988" s="56" t="inlineStr">
        <is>
          <t>own BFCM 2025 lift (account data)</t>
        </is>
      </c>
      <c r="N988" s="59">
        <f>J988*34+J988*L988*12</f>
        <v/>
      </c>
      <c r="O988" s="59">
        <f>MAX(0,N988-G988-H988)</f>
        <v/>
      </c>
      <c r="P988" s="60">
        <f>IF(J988=0,"",IF(G988&lt;J988*34,DATE(2026,10,15)+G988/J988,IF(G988&lt;N988,DATE(2026,11,18)+(G988-J988*34)/(J988*L988),"after Nov 30")))</f>
        <v/>
      </c>
      <c r="Q988" s="60">
        <f>IF(J988=0,"",IF(G988+H988&lt;J988*34,DATE(2026,10,15)+(G988+H988)/J988,IF(G988+H988&lt;N988,DATE(2026,11,18)+(G988+H988-J988*34)/(J988*L988),"after Nov 30")))</f>
        <v/>
      </c>
      <c r="R988" s="54">
        <f>IF(AND(G988&lt;=0,J988&gt;0),"Out of stock now",IF(G988&gt;=N988,"Covered to Nov 30",IF(G988+H988&gt;=N988,"Needs inbound in time","Short even with inbound")))</f>
        <v/>
      </c>
      <c r="S988" s="57" t="n">
        <v>0.179</v>
      </c>
      <c r="T988" s="59">
        <f>IF(S988="","",S988*34+S988*L988*12)</f>
        <v/>
      </c>
    </row>
    <row r="989">
      <c r="A989" s="54" t="inlineStr">
        <is>
          <t>US DC Satin Fitted</t>
        </is>
      </c>
      <c r="B989" s="54" t="inlineStr">
        <is>
          <t>US</t>
        </is>
      </c>
      <c r="C989" s="54" t="inlineStr">
        <is>
          <t>B0DBW2LTK4</t>
        </is>
      </c>
      <c r="D989" s="54" t="inlineStr">
        <is>
          <t>SATIN-FITTED-TWIN-GREY</t>
        </is>
      </c>
      <c r="E989" s="54" t="inlineStr">
        <is>
          <t>Twin</t>
        </is>
      </c>
      <c r="F989" s="54" t="inlineStr">
        <is>
          <t>Grey</t>
        </is>
      </c>
      <c r="G989" s="55" t="n">
        <v>165</v>
      </c>
      <c r="H989" s="55" t="n">
        <v>20</v>
      </c>
      <c r="I989" s="56" t="inlineStr">
        <is>
          <t>FBA19N7XSBR9 in transit: 20</t>
        </is>
      </c>
      <c r="J989" s="57" t="n">
        <v>0.26</v>
      </c>
      <c r="K989" s="56" t="inlineStr">
        <is>
          <t>account data velocity</t>
        </is>
      </c>
      <c r="L989" s="58" t="n">
        <v>2.4693</v>
      </c>
      <c r="M989" s="56" t="inlineStr">
        <is>
          <t>own BFCM 2025 lift (account data)</t>
        </is>
      </c>
      <c r="N989" s="59">
        <f>J989*34+J989*L989*12</f>
        <v/>
      </c>
      <c r="O989" s="59">
        <f>MAX(0,N989-G989-H989)</f>
        <v/>
      </c>
      <c r="P989" s="60">
        <f>IF(J989=0,"",IF(G989&lt;J989*34,DATE(2026,10,15)+G989/J989,IF(G989&lt;N989,DATE(2026,11,18)+(G989-J989*34)/(J989*L989),"after Nov 30")))</f>
        <v/>
      </c>
      <c r="Q989" s="60">
        <f>IF(J989=0,"",IF(G989+H989&lt;J989*34,DATE(2026,10,15)+(G989+H989)/J989,IF(G989+H989&lt;N989,DATE(2026,11,18)+(G989+H989-J989*34)/(J989*L989),"after Nov 30")))</f>
        <v/>
      </c>
      <c r="R989" s="54">
        <f>IF(AND(G989&lt;=0,J989&gt;0),"Out of stock now",IF(G989&gt;=N989,"Covered to Nov 30",IF(G989+H989&gt;=N989,"Needs inbound in time","Short even with inbound")))</f>
        <v/>
      </c>
      <c r="S989" s="57" t="n">
        <v>0.107</v>
      </c>
      <c r="T989" s="59">
        <f>IF(S989="","",S989*34+S989*L989*12)</f>
        <v/>
      </c>
    </row>
    <row r="990">
      <c r="A990" s="54" t="inlineStr">
        <is>
          <t>US DC Satin Fitted</t>
        </is>
      </c>
      <c r="B990" s="54" t="inlineStr">
        <is>
          <t>US</t>
        </is>
      </c>
      <c r="C990" s="54" t="inlineStr">
        <is>
          <t>B0DBW6FW27</t>
        </is>
      </c>
      <c r="D990" s="54" t="inlineStr">
        <is>
          <t>SATIN-FITTED-TWIN-IVORY</t>
        </is>
      </c>
      <c r="E990" s="54" t="inlineStr">
        <is>
          <t>Twin</t>
        </is>
      </c>
      <c r="F990" s="54" t="inlineStr">
        <is>
          <t>Ivory</t>
        </is>
      </c>
      <c r="G990" s="55" t="n">
        <v>72</v>
      </c>
      <c r="H990" s="55" t="n">
        <v>0</v>
      </c>
      <c r="I990" s="56" t="n"/>
      <c r="J990" s="57" t="n">
        <v>0.24</v>
      </c>
      <c r="K990" s="56" t="inlineStr">
        <is>
          <t>account data velocity</t>
        </is>
      </c>
      <c r="L990" s="58" t="n">
        <v>2.4693</v>
      </c>
      <c r="M990" s="56" t="inlineStr">
        <is>
          <t>own BFCM 2025 lift (account data)</t>
        </is>
      </c>
      <c r="N990" s="59">
        <f>J990*34+J990*L990*12</f>
        <v/>
      </c>
      <c r="O990" s="59">
        <f>MAX(0,N990-G990-H990)</f>
        <v/>
      </c>
      <c r="P990" s="60">
        <f>IF(J990=0,"",IF(G990&lt;J990*34,DATE(2026,10,15)+G990/J990,IF(G990&lt;N990,DATE(2026,11,18)+(G990-J990*34)/(J990*L990),"after Nov 30")))</f>
        <v/>
      </c>
      <c r="Q990" s="60">
        <f>IF(J990=0,"",IF(G990+H990&lt;J990*34,DATE(2026,10,15)+(G990+H990)/J990,IF(G990+H990&lt;N990,DATE(2026,11,18)+(G990+H990-J990*34)/(J990*L990),"after Nov 30")))</f>
        <v/>
      </c>
      <c r="R990" s="54">
        <f>IF(AND(G990&lt;=0,J990&gt;0),"Out of stock now",IF(G990&gt;=N990,"Covered to Nov 30",IF(G990+H990&gt;=N990,"Needs inbound in time","Short even with inbound")))</f>
        <v/>
      </c>
      <c r="S990" s="57" t="n">
        <v>0.107</v>
      </c>
      <c r="T990" s="59">
        <f>IF(S990="","",S990*34+S990*L990*12)</f>
        <v/>
      </c>
    </row>
    <row r="991">
      <c r="A991" s="54" t="inlineStr">
        <is>
          <t>US DC Satin Fitted</t>
        </is>
      </c>
      <c r="B991" s="54" t="inlineStr">
        <is>
          <t>US</t>
        </is>
      </c>
      <c r="C991" s="54" t="inlineStr">
        <is>
          <t>B0DBVYF4DM</t>
        </is>
      </c>
      <c r="D991" s="54" t="inlineStr">
        <is>
          <t>SATIN-FITTED-KING-STONE-GREY</t>
        </is>
      </c>
      <c r="E991" s="54" t="inlineStr">
        <is>
          <t>King</t>
        </is>
      </c>
      <c r="F991" s="54" t="inlineStr">
        <is>
          <t>Stone Grey</t>
        </is>
      </c>
      <c r="G991" s="55" t="n">
        <v>0</v>
      </c>
      <c r="H991" s="55" t="n">
        <v>0</v>
      </c>
      <c r="I991" s="56" t="n"/>
      <c r="J991" s="57" t="n">
        <v>0.19</v>
      </c>
      <c r="K991" s="56" t="inlineStr">
        <is>
          <t>account data velocity</t>
        </is>
      </c>
      <c r="L991" s="58" t="n">
        <v>2.4693</v>
      </c>
      <c r="M991" s="56" t="inlineStr">
        <is>
          <t>own BFCM 2025 lift (account data)</t>
        </is>
      </c>
      <c r="N991" s="59">
        <f>J991*34+J991*L991*12</f>
        <v/>
      </c>
      <c r="O991" s="59">
        <f>MAX(0,N991-G991-H991)</f>
        <v/>
      </c>
      <c r="P991" s="60">
        <f>IF(J991=0,"",IF(G991&lt;J991*34,DATE(2026,10,15)+G991/J991,IF(G991&lt;N991,DATE(2026,11,18)+(G991-J991*34)/(J991*L991),"after Nov 30")))</f>
        <v/>
      </c>
      <c r="Q991" s="60">
        <f>IF(J991=0,"",IF(G991+H991&lt;J991*34,DATE(2026,10,15)+(G991+H991)/J991,IF(G991+H991&lt;N991,DATE(2026,11,18)+(G991+H991-J991*34)/(J991*L991),"after Nov 30")))</f>
        <v/>
      </c>
      <c r="R991" s="54">
        <f>IF(AND(G991&lt;=0,J991&gt;0),"Out of stock now",IF(G991&gt;=N991,"Covered to Nov 30",IF(G991+H991&gt;=N991,"Needs inbound in time","Short even with inbound")))</f>
        <v/>
      </c>
      <c r="S991" s="57" t="n">
        <v>0.5</v>
      </c>
      <c r="T991" s="59">
        <f>IF(S991="","",S991*34+S991*L991*12)</f>
        <v/>
      </c>
    </row>
    <row r="992">
      <c r="A992" s="54" t="inlineStr">
        <is>
          <t>US DC Satin Fitted</t>
        </is>
      </c>
      <c r="B992" s="54" t="inlineStr">
        <is>
          <t>US</t>
        </is>
      </c>
      <c r="C992" s="54" t="inlineStr">
        <is>
          <t>B0DBVZ1Z2S</t>
        </is>
      </c>
      <c r="D992" s="54" t="inlineStr">
        <is>
          <t>SATIN-FITTED-FULL-SEA-TEAL</t>
        </is>
      </c>
      <c r="E992" s="54" t="inlineStr">
        <is>
          <t>Full</t>
        </is>
      </c>
      <c r="F992" s="54" t="inlineStr">
        <is>
          <t>Sea Teal</t>
        </is>
      </c>
      <c r="G992" s="55" t="n">
        <v>77</v>
      </c>
      <c r="H992" s="55" t="n">
        <v>0</v>
      </c>
      <c r="I992" s="56" t="n"/>
      <c r="J992" s="57" t="n">
        <v>0.19</v>
      </c>
      <c r="K992" s="56" t="inlineStr">
        <is>
          <t>account data velocity</t>
        </is>
      </c>
      <c r="L992" s="58" t="n">
        <v>2.4693</v>
      </c>
      <c r="M992" s="56" t="inlineStr">
        <is>
          <t>own BFCM 2025 lift (account data)</t>
        </is>
      </c>
      <c r="N992" s="59">
        <f>J992*34+J992*L992*12</f>
        <v/>
      </c>
      <c r="O992" s="59">
        <f>MAX(0,N992-G992-H992)</f>
        <v/>
      </c>
      <c r="P992" s="60">
        <f>IF(J992=0,"",IF(G992&lt;J992*34,DATE(2026,10,15)+G992/J992,IF(G992&lt;N992,DATE(2026,11,18)+(G992-J992*34)/(J992*L992),"after Nov 30")))</f>
        <v/>
      </c>
      <c r="Q992" s="60">
        <f>IF(J992=0,"",IF(G992+H992&lt;J992*34,DATE(2026,10,15)+(G992+H992)/J992,IF(G992+H992&lt;N992,DATE(2026,11,18)+(G992+H992-J992*34)/(J992*L992),"after Nov 30")))</f>
        <v/>
      </c>
      <c r="R992" s="54">
        <f>IF(AND(G992&lt;=0,J992&gt;0),"Out of stock now",IF(G992&gt;=N992,"Covered to Nov 30",IF(G992+H992&gt;=N992,"Needs inbound in time","Short even with inbound")))</f>
        <v/>
      </c>
      <c r="S992" s="57" t="n">
        <v>0.214</v>
      </c>
      <c r="T992" s="59">
        <f>IF(S992="","",S992*34+S992*L992*12)</f>
        <v/>
      </c>
    </row>
    <row r="993">
      <c r="A993" s="54" t="inlineStr">
        <is>
          <t>US DC Satin Fitted</t>
        </is>
      </c>
      <c r="B993" s="54" t="inlineStr">
        <is>
          <t>US</t>
        </is>
      </c>
      <c r="C993" s="54" t="inlineStr">
        <is>
          <t>B0DBW17V8N</t>
        </is>
      </c>
      <c r="D993" s="54" t="inlineStr">
        <is>
          <t>SATIN-FITTED-KING-PINK</t>
        </is>
      </c>
      <c r="E993" s="54" t="inlineStr">
        <is>
          <t>King</t>
        </is>
      </c>
      <c r="F993" s="54" t="inlineStr">
        <is>
          <t>Pink</t>
        </is>
      </c>
      <c r="G993" s="55" t="n">
        <v>78</v>
      </c>
      <c r="H993" s="55" t="n">
        <v>0</v>
      </c>
      <c r="I993" s="56" t="n"/>
      <c r="J993" s="57" t="n">
        <v>0.17</v>
      </c>
      <c r="K993" s="56" t="inlineStr">
        <is>
          <t>account data velocity</t>
        </is>
      </c>
      <c r="L993" s="58" t="n">
        <v>2.4693</v>
      </c>
      <c r="M993" s="56" t="inlineStr">
        <is>
          <t>own BFCM 2025 lift (account data)</t>
        </is>
      </c>
      <c r="N993" s="59">
        <f>J993*34+J993*L993*12</f>
        <v/>
      </c>
      <c r="O993" s="59">
        <f>MAX(0,N993-G993-H993)</f>
        <v/>
      </c>
      <c r="P993" s="60">
        <f>IF(J993=0,"",IF(G993&lt;J993*34,DATE(2026,10,15)+G993/J993,IF(G993&lt;N993,DATE(2026,11,18)+(G993-J993*34)/(J993*L993),"after Nov 30")))</f>
        <v/>
      </c>
      <c r="Q993" s="60">
        <f>IF(J993=0,"",IF(G993+H993&lt;J993*34,DATE(2026,10,15)+(G993+H993)/J993,IF(G993+H993&lt;N993,DATE(2026,11,18)+(G993+H993-J993*34)/(J993*L993),"after Nov 30")))</f>
        <v/>
      </c>
      <c r="R993" s="54">
        <f>IF(AND(G993&lt;=0,J993&gt;0),"Out of stock now",IF(G993&gt;=N993,"Covered to Nov 30",IF(G993+H993&gt;=N993,"Needs inbound in time","Short even with inbound")))</f>
        <v/>
      </c>
      <c r="S993" s="57" t="n">
        <v>0.393</v>
      </c>
      <c r="T993" s="59">
        <f>IF(S993="","",S993*34+S993*L993*12)</f>
        <v/>
      </c>
    </row>
    <row r="994">
      <c r="A994" s="54" t="inlineStr">
        <is>
          <t>US DC Satin Fitted</t>
        </is>
      </c>
      <c r="B994" s="54" t="inlineStr">
        <is>
          <t>US</t>
        </is>
      </c>
      <c r="C994" s="54" t="inlineStr">
        <is>
          <t>B0DBW27P8P</t>
        </is>
      </c>
      <c r="D994" s="54" t="inlineStr">
        <is>
          <t>SATIN-FITTED-FULL-WHITE</t>
        </is>
      </c>
      <c r="E994" s="54" t="inlineStr">
        <is>
          <t>Full</t>
        </is>
      </c>
      <c r="F994" s="54" t="inlineStr">
        <is>
          <t>White</t>
        </is>
      </c>
      <c r="G994" s="55" t="n">
        <v>0</v>
      </c>
      <c r="H994" s="55" t="n">
        <v>0</v>
      </c>
      <c r="I994" s="56" t="n"/>
      <c r="J994" s="57" t="n">
        <v>0.16</v>
      </c>
      <c r="K994" s="56" t="inlineStr">
        <is>
          <t>account data velocity</t>
        </is>
      </c>
      <c r="L994" s="58" t="n">
        <v>2.4693</v>
      </c>
      <c r="M994" s="56" t="inlineStr">
        <is>
          <t>own BFCM 2025 lift (account data)</t>
        </is>
      </c>
      <c r="N994" s="59">
        <f>J994*34+J994*L994*12</f>
        <v/>
      </c>
      <c r="O994" s="59">
        <f>MAX(0,N994-G994-H994)</f>
        <v/>
      </c>
      <c r="P994" s="60">
        <f>IF(J994=0,"",IF(G994&lt;J994*34,DATE(2026,10,15)+G994/J994,IF(G994&lt;N994,DATE(2026,11,18)+(G994-J994*34)/(J994*L994),"after Nov 30")))</f>
        <v/>
      </c>
      <c r="Q994" s="60">
        <f>IF(J994=0,"",IF(G994+H994&lt;J994*34,DATE(2026,10,15)+(G994+H994)/J994,IF(G994+H994&lt;N994,DATE(2026,11,18)+(G994+H994-J994*34)/(J994*L994),"after Nov 30")))</f>
        <v/>
      </c>
      <c r="R994" s="54">
        <f>IF(AND(G994&lt;=0,J994&gt;0),"Out of stock now",IF(G994&gt;=N994,"Covered to Nov 30",IF(G994+H994&gt;=N994,"Needs inbound in time","Short even with inbound")))</f>
        <v/>
      </c>
      <c r="S994" s="57" t="n">
        <v>0.25</v>
      </c>
      <c r="T994" s="59">
        <f>IF(S994="","",S994*34+S994*L994*12)</f>
        <v/>
      </c>
    </row>
    <row r="995">
      <c r="A995" s="54" t="inlineStr">
        <is>
          <t>US DC Satin Fitted</t>
        </is>
      </c>
      <c r="B995" s="54" t="inlineStr">
        <is>
          <t>US</t>
        </is>
      </c>
      <c r="C995" s="54" t="inlineStr">
        <is>
          <t>B0DBW2HDDZ</t>
        </is>
      </c>
      <c r="D995" s="54" t="inlineStr">
        <is>
          <t>SATIN-FITTED-TWIN-PINK</t>
        </is>
      </c>
      <c r="E995" s="54" t="inlineStr">
        <is>
          <t>Twin</t>
        </is>
      </c>
      <c r="F995" s="54" t="inlineStr">
        <is>
          <t>Pink</t>
        </is>
      </c>
      <c r="G995" s="55" t="n">
        <v>86</v>
      </c>
      <c r="H995" s="55" t="n">
        <v>20</v>
      </c>
      <c r="I995" s="56" t="inlineStr">
        <is>
          <t>FBA19KFX24C6 delivered: 20</t>
        </is>
      </c>
      <c r="J995" s="57" t="n">
        <v>0.14</v>
      </c>
      <c r="K995" s="56" t="inlineStr">
        <is>
          <t>account data velocity</t>
        </is>
      </c>
      <c r="L995" s="58" t="n">
        <v>2.4693</v>
      </c>
      <c r="M995" s="56" t="inlineStr">
        <is>
          <t>own BFCM 2025 lift (account data)</t>
        </is>
      </c>
      <c r="N995" s="59">
        <f>J995*34+J995*L995*12</f>
        <v/>
      </c>
      <c r="O995" s="59">
        <f>MAX(0,N995-G995-H995)</f>
        <v/>
      </c>
      <c r="P995" s="60">
        <f>IF(J995=0,"",IF(G995&lt;J995*34,DATE(2026,10,15)+G995/J995,IF(G995&lt;N995,DATE(2026,11,18)+(G995-J995*34)/(J995*L995),"after Nov 30")))</f>
        <v/>
      </c>
      <c r="Q995" s="60">
        <f>IF(J995=0,"",IF(G995+H995&lt;J995*34,DATE(2026,10,15)+(G995+H995)/J995,IF(G995+H995&lt;N995,DATE(2026,11,18)+(G995+H995-J995*34)/(J995*L995),"after Nov 30")))</f>
        <v/>
      </c>
      <c r="R995" s="54">
        <f>IF(AND(G995&lt;=0,J995&gt;0),"Out of stock now",IF(G995&gt;=N995,"Covered to Nov 30",IF(G995+H995&gt;=N995,"Needs inbound in time","Short even with inbound")))</f>
        <v/>
      </c>
      <c r="S995" s="57" t="n">
        <v>0.25</v>
      </c>
      <c r="T995" s="59">
        <f>IF(S995="","",S995*34+S995*L995*12)</f>
        <v/>
      </c>
    </row>
    <row r="996">
      <c r="A996" s="54" t="inlineStr">
        <is>
          <t>US DC Satin Fitted</t>
        </is>
      </c>
      <c r="B996" s="54" t="inlineStr">
        <is>
          <t>US</t>
        </is>
      </c>
      <c r="C996" s="54" t="inlineStr">
        <is>
          <t>B0DBW157CR</t>
        </is>
      </c>
      <c r="D996" s="54" t="inlineStr">
        <is>
          <t>SATIN-FITTED-QUEEN-WHITE</t>
        </is>
      </c>
      <c r="E996" s="54" t="inlineStr">
        <is>
          <t>Queen</t>
        </is>
      </c>
      <c r="F996" s="54" t="inlineStr">
        <is>
          <t>White</t>
        </is>
      </c>
      <c r="G996" s="55" t="n">
        <v>0</v>
      </c>
      <c r="H996" s="55" t="n">
        <v>19</v>
      </c>
      <c r="I996" s="56" t="inlineStr">
        <is>
          <t>FBA19JY3ZHW1 receiving: 19</t>
        </is>
      </c>
      <c r="J996" s="57" t="n">
        <v>0.13</v>
      </c>
      <c r="K996" s="56" t="inlineStr">
        <is>
          <t>account data velocity</t>
        </is>
      </c>
      <c r="L996" s="58" t="n">
        <v>2.4693</v>
      </c>
      <c r="M996" s="56" t="inlineStr">
        <is>
          <t>own BFCM 2025 lift (account data)</t>
        </is>
      </c>
      <c r="N996" s="59">
        <f>J996*34+J996*L996*12</f>
        <v/>
      </c>
      <c r="O996" s="59">
        <f>MAX(0,N996-G996-H996)</f>
        <v/>
      </c>
      <c r="P996" s="60">
        <f>IF(J996=0,"",IF(G996&lt;J996*34,DATE(2026,10,15)+G996/J996,IF(G996&lt;N996,DATE(2026,11,18)+(G996-J996*34)/(J996*L996),"after Nov 30")))</f>
        <v/>
      </c>
      <c r="Q996" s="60">
        <f>IF(J996=0,"",IF(G996+H996&lt;J996*34,DATE(2026,10,15)+(G996+H996)/J996,IF(G996+H996&lt;N996,DATE(2026,11,18)+(G996+H996-J996*34)/(J996*L996),"after Nov 30")))</f>
        <v/>
      </c>
      <c r="R996" s="54">
        <f>IF(AND(G996&lt;=0,J996&gt;0),"Out of stock now",IF(G996&gt;=N996,"Covered to Nov 30",IF(G996+H996&gt;=N996,"Needs inbound in time","Short even with inbound")))</f>
        <v/>
      </c>
      <c r="S996" s="57" t="n">
        <v>0.357</v>
      </c>
      <c r="T996" s="59">
        <f>IF(S996="","",S996*34+S996*L996*12)</f>
        <v/>
      </c>
    </row>
    <row r="997">
      <c r="A997" s="54" t="inlineStr">
        <is>
          <t>US DC Satin Fitted</t>
        </is>
      </c>
      <c r="B997" s="54" t="inlineStr">
        <is>
          <t>US</t>
        </is>
      </c>
      <c r="C997" s="54" t="inlineStr">
        <is>
          <t>B0DBW1NXMC</t>
        </is>
      </c>
      <c r="D997" s="54" t="inlineStr">
        <is>
          <t>SATIN-FITTED-TWIN-DARK-GREEN</t>
        </is>
      </c>
      <c r="E997" s="54" t="inlineStr">
        <is>
          <t>Twin</t>
        </is>
      </c>
      <c r="F997" s="54" t="inlineStr">
        <is>
          <t>Dark Green</t>
        </is>
      </c>
      <c r="G997" s="55" t="n">
        <v>199</v>
      </c>
      <c r="H997" s="55" t="n">
        <v>0</v>
      </c>
      <c r="I997" s="56" t="n"/>
      <c r="J997" s="57" t="n">
        <v>0.12</v>
      </c>
      <c r="K997" s="56" t="inlineStr">
        <is>
          <t>account data velocity</t>
        </is>
      </c>
      <c r="L997" s="58" t="n">
        <v>2.4693</v>
      </c>
      <c r="M997" s="56" t="inlineStr">
        <is>
          <t>own BFCM 2025 lift (account data)</t>
        </is>
      </c>
      <c r="N997" s="59">
        <f>J997*34+J997*L997*12</f>
        <v/>
      </c>
      <c r="O997" s="59">
        <f>MAX(0,N997-G997-H997)</f>
        <v/>
      </c>
      <c r="P997" s="60">
        <f>IF(J997=0,"",IF(G997&lt;J997*34,DATE(2026,10,15)+G997/J997,IF(G997&lt;N997,DATE(2026,11,18)+(G997-J997*34)/(J997*L997),"after Nov 30")))</f>
        <v/>
      </c>
      <c r="Q997" s="60">
        <f>IF(J997=0,"",IF(G997+H997&lt;J997*34,DATE(2026,10,15)+(G997+H997)/J997,IF(G997+H997&lt;N997,DATE(2026,11,18)+(G997+H997-J997*34)/(J997*L997),"after Nov 30")))</f>
        <v/>
      </c>
      <c r="R997" s="54">
        <f>IF(AND(G997&lt;=0,J997&gt;0),"Out of stock now",IF(G997&gt;=N997,"Covered to Nov 30",IF(G997+H997&gt;=N997,"Needs inbound in time","Short even with inbound")))</f>
        <v/>
      </c>
      <c r="S997" s="57" t="n">
        <v>0.107</v>
      </c>
      <c r="T997" s="59">
        <f>IF(S997="","",S997*34+S997*L997*12)</f>
        <v/>
      </c>
    </row>
    <row r="998">
      <c r="A998" s="54" t="inlineStr">
        <is>
          <t>US DC Satin Fitted</t>
        </is>
      </c>
      <c r="B998" s="54" t="inlineStr">
        <is>
          <t>US</t>
        </is>
      </c>
      <c r="C998" s="54" t="inlineStr">
        <is>
          <t>B0DBVYHGK1</t>
        </is>
      </c>
      <c r="D998" s="54" t="inlineStr">
        <is>
          <t>SATIN-FITTED-FULL-NAVY-BLUE</t>
        </is>
      </c>
      <c r="E998" s="54" t="inlineStr">
        <is>
          <t>Full</t>
        </is>
      </c>
      <c r="F998" s="54" t="inlineStr">
        <is>
          <t>Navy Blue</t>
        </is>
      </c>
      <c r="G998" s="55" t="n">
        <v>24</v>
      </c>
      <c r="H998" s="55" t="n">
        <v>0</v>
      </c>
      <c r="I998" s="56" t="n"/>
      <c r="J998" s="57" t="n">
        <v>0.11</v>
      </c>
      <c r="K998" s="56" t="inlineStr">
        <is>
          <t>account data velocity</t>
        </is>
      </c>
      <c r="L998" s="58" t="n">
        <v>2.4693</v>
      </c>
      <c r="M998" s="56" t="inlineStr">
        <is>
          <t>own BFCM 2025 lift (account data)</t>
        </is>
      </c>
      <c r="N998" s="59">
        <f>J998*34+J998*L998*12</f>
        <v/>
      </c>
      <c r="O998" s="59">
        <f>MAX(0,N998-G998-H998)</f>
        <v/>
      </c>
      <c r="P998" s="60">
        <f>IF(J998=0,"",IF(G998&lt;J998*34,DATE(2026,10,15)+G998/J998,IF(G998&lt;N998,DATE(2026,11,18)+(G998-J998*34)/(J998*L998),"after Nov 30")))</f>
        <v/>
      </c>
      <c r="Q998" s="60">
        <f>IF(J998=0,"",IF(G998+H998&lt;J998*34,DATE(2026,10,15)+(G998+H998)/J998,IF(G998+H998&lt;N998,DATE(2026,11,18)+(G998+H998-J998*34)/(J998*L998),"after Nov 30")))</f>
        <v/>
      </c>
      <c r="R998" s="54">
        <f>IF(AND(G998&lt;=0,J998&gt;0),"Out of stock now",IF(G998&gt;=N998,"Covered to Nov 30",IF(G998+H998&gt;=N998,"Needs inbound in time","Short even with inbound")))</f>
        <v/>
      </c>
      <c r="S998" s="57" t="n">
        <v>0.214</v>
      </c>
      <c r="T998" s="59">
        <f>IF(S998="","",S998*34+S998*L998*12)</f>
        <v/>
      </c>
    </row>
    <row r="999">
      <c r="A999" s="54" t="inlineStr">
        <is>
          <t>US DC Satin Fitted</t>
        </is>
      </c>
      <c r="B999" s="54" t="inlineStr">
        <is>
          <t>US</t>
        </is>
      </c>
      <c r="C999" s="54" t="inlineStr">
        <is>
          <t>B0DBW1NVHF</t>
        </is>
      </c>
      <c r="D999" s="54" t="inlineStr">
        <is>
          <t>SATIN-FITTED-QUEEN-SEA-TEAL</t>
        </is>
      </c>
      <c r="E999" s="54" t="inlineStr">
        <is>
          <t>Queen</t>
        </is>
      </c>
      <c r="F999" s="54" t="inlineStr">
        <is>
          <t>Sea Teal</t>
        </is>
      </c>
      <c r="G999" s="55" t="n">
        <v>0</v>
      </c>
      <c r="H999" s="55" t="n">
        <v>0</v>
      </c>
      <c r="I999" s="56" t="n"/>
      <c r="J999" s="57" t="n">
        <v>0.11</v>
      </c>
      <c r="K999" s="56" t="inlineStr">
        <is>
          <t>account data velocity</t>
        </is>
      </c>
      <c r="L999" s="58" t="n">
        <v>2.4693</v>
      </c>
      <c r="M999" s="56" t="inlineStr">
        <is>
          <t>own BFCM 2025 lift (account data)</t>
        </is>
      </c>
      <c r="N999" s="59">
        <f>J999*34+J999*L999*12</f>
        <v/>
      </c>
      <c r="O999" s="59">
        <f>MAX(0,N999-G999-H999)</f>
        <v/>
      </c>
      <c r="P999" s="60">
        <f>IF(J999=0,"",IF(G999&lt;J999*34,DATE(2026,10,15)+G999/J999,IF(G999&lt;N999,DATE(2026,11,18)+(G999-J999*34)/(J999*L999),"after Nov 30")))</f>
        <v/>
      </c>
      <c r="Q999" s="60">
        <f>IF(J999=0,"",IF(G999+H999&lt;J999*34,DATE(2026,10,15)+(G999+H999)/J999,IF(G999+H999&lt;N999,DATE(2026,11,18)+(G999+H999-J999*34)/(J999*L999),"after Nov 30")))</f>
        <v/>
      </c>
      <c r="R999" s="54">
        <f>IF(AND(G999&lt;=0,J999&gt;0),"Out of stock now",IF(G999&gt;=N999,"Covered to Nov 30",IF(G999+H999&gt;=N999,"Needs inbound in time","Short even with inbound")))</f>
        <v/>
      </c>
      <c r="S999" s="57" t="n">
        <v>0.107</v>
      </c>
      <c r="T999" s="59">
        <f>IF(S999="","",S999*34+S999*L999*12)</f>
        <v/>
      </c>
    </row>
    <row r="1000">
      <c r="A1000" s="54" t="inlineStr">
        <is>
          <t>US DC Satin Fitted</t>
        </is>
      </c>
      <c r="B1000" s="54" t="inlineStr">
        <is>
          <t>US</t>
        </is>
      </c>
      <c r="C1000" s="54" t="inlineStr">
        <is>
          <t>B0DBW128WH</t>
        </is>
      </c>
      <c r="D1000" s="54" t="inlineStr">
        <is>
          <t>SATIN-FITTED-QUEEN-IVORY</t>
        </is>
      </c>
      <c r="E1000" s="54" t="inlineStr">
        <is>
          <t>Queen</t>
        </is>
      </c>
      <c r="F1000" s="54" t="inlineStr">
        <is>
          <t>Ivory</t>
        </is>
      </c>
      <c r="G1000" s="55" t="n">
        <v>0</v>
      </c>
      <c r="H1000" s="55" t="n">
        <v>0</v>
      </c>
      <c r="I1000" s="56" t="n"/>
      <c r="J1000" s="57" t="n">
        <v>0.09</v>
      </c>
      <c r="K1000" s="56" t="inlineStr">
        <is>
          <t>account data velocity</t>
        </is>
      </c>
      <c r="L1000" s="58" t="n">
        <v>2.4693</v>
      </c>
      <c r="M1000" s="56" t="inlineStr">
        <is>
          <t>own BFCM 2025 lift (account data)</t>
        </is>
      </c>
      <c r="N1000" s="59">
        <f>J1000*34+J1000*L1000*12</f>
        <v/>
      </c>
      <c r="O1000" s="59">
        <f>MAX(0,N1000-G1000-H1000)</f>
        <v/>
      </c>
      <c r="P1000" s="60">
        <f>IF(J1000=0,"",IF(G1000&lt;J1000*34,DATE(2026,10,15)+G1000/J1000,IF(G1000&lt;N1000,DATE(2026,11,18)+(G1000-J1000*34)/(J1000*L1000),"after Nov 30")))</f>
        <v/>
      </c>
      <c r="Q1000" s="60">
        <f>IF(J1000=0,"",IF(G1000+H1000&lt;J1000*34,DATE(2026,10,15)+(G1000+H1000)/J1000,IF(G1000+H1000&lt;N1000,DATE(2026,11,18)+(G1000+H1000-J1000*34)/(J1000*L1000),"after Nov 30")))</f>
        <v/>
      </c>
      <c r="R1000" s="54">
        <f>IF(AND(G1000&lt;=0,J1000&gt;0),"Out of stock now",IF(G1000&gt;=N1000,"Covered to Nov 30",IF(G1000+H1000&gt;=N1000,"Needs inbound in time","Short even with inbound")))</f>
        <v/>
      </c>
      <c r="S1000" s="57" t="n">
        <v>0.036</v>
      </c>
      <c r="T1000" s="59">
        <f>IF(S1000="","",S1000*34+S1000*L1000*12)</f>
        <v/>
      </c>
    </row>
    <row r="1001">
      <c r="A1001" s="54" t="inlineStr">
        <is>
          <t>US DC Satin Fitted</t>
        </is>
      </c>
      <c r="B1001" s="54" t="inlineStr">
        <is>
          <t>US</t>
        </is>
      </c>
      <c r="C1001" s="54" t="inlineStr">
        <is>
          <t>B0DBW1M6RR</t>
        </is>
      </c>
      <c r="D1001" s="54" t="inlineStr">
        <is>
          <t>SATIN-FITTED-TWIN-PURPLE</t>
        </is>
      </c>
      <c r="E1001" s="54" t="inlineStr">
        <is>
          <t>Twin</t>
        </is>
      </c>
      <c r="F1001" s="54" t="inlineStr">
        <is>
          <t>Purple</t>
        </is>
      </c>
      <c r="G1001" s="55" t="n">
        <v>130</v>
      </c>
      <c r="H1001" s="55" t="n">
        <v>0</v>
      </c>
      <c r="I1001" s="56" t="n"/>
      <c r="J1001" s="57" t="n">
        <v>0.07000000000000001</v>
      </c>
      <c r="K1001" s="56" t="inlineStr">
        <is>
          <t>account data velocity</t>
        </is>
      </c>
      <c r="L1001" s="58" t="n">
        <v>2.4693</v>
      </c>
      <c r="M1001" s="56" t="inlineStr">
        <is>
          <t>own BFCM 2025 lift (account data)</t>
        </is>
      </c>
      <c r="N1001" s="59">
        <f>J1001*34+J1001*L1001*12</f>
        <v/>
      </c>
      <c r="O1001" s="59">
        <f>MAX(0,N1001-G1001-H1001)</f>
        <v/>
      </c>
      <c r="P1001" s="60">
        <f>IF(J1001=0,"",IF(G1001&lt;J1001*34,DATE(2026,10,15)+G1001/J1001,IF(G1001&lt;N1001,DATE(2026,11,18)+(G1001-J1001*34)/(J1001*L1001),"after Nov 30")))</f>
        <v/>
      </c>
      <c r="Q1001" s="60">
        <f>IF(J1001=0,"",IF(G1001+H1001&lt;J1001*34,DATE(2026,10,15)+(G1001+H1001)/J1001,IF(G1001+H1001&lt;N1001,DATE(2026,11,18)+(G1001+H1001-J1001*34)/(J1001*L1001),"after Nov 30")))</f>
        <v/>
      </c>
      <c r="R1001" s="54">
        <f>IF(AND(G1001&lt;=0,J1001&gt;0),"Out of stock now",IF(G1001&gt;=N1001,"Covered to Nov 30",IF(G1001+H1001&gt;=N1001,"Needs inbound in time","Short even with inbound")))</f>
        <v/>
      </c>
      <c r="S1001" s="57" t="n">
        <v>0.25</v>
      </c>
      <c r="T1001" s="59">
        <f>IF(S1001="","",S1001*34+S1001*L1001*12)</f>
        <v/>
      </c>
    </row>
    <row r="1002">
      <c r="A1002" s="54" t="inlineStr">
        <is>
          <t>US DC Satin Fitted</t>
        </is>
      </c>
      <c r="B1002" s="54" t="inlineStr">
        <is>
          <t>US</t>
        </is>
      </c>
      <c r="C1002" s="54" t="inlineStr">
        <is>
          <t>B0DBVZ73F7</t>
        </is>
      </c>
      <c r="D1002" s="54" t="inlineStr">
        <is>
          <t>SATIN-FITTED-FULL-GOLD</t>
        </is>
      </c>
      <c r="E1002" s="54" t="inlineStr">
        <is>
          <t>Full</t>
        </is>
      </c>
      <c r="F1002" s="54" t="inlineStr">
        <is>
          <t>Gold</t>
        </is>
      </c>
      <c r="G1002" s="55" t="n">
        <v>108</v>
      </c>
      <c r="H1002" s="55" t="n">
        <v>0</v>
      </c>
      <c r="I1002" s="56" t="n"/>
      <c r="J1002" s="57" t="n">
        <v>0.07000000000000001</v>
      </c>
      <c r="K1002" s="56" t="inlineStr">
        <is>
          <t>account data velocity</t>
        </is>
      </c>
      <c r="L1002" s="58" t="n">
        <v>2.4693</v>
      </c>
      <c r="M1002" s="56" t="inlineStr">
        <is>
          <t>own BFCM 2025 lift (account data)</t>
        </is>
      </c>
      <c r="N1002" s="59">
        <f>J1002*34+J1002*L1002*12</f>
        <v/>
      </c>
      <c r="O1002" s="59">
        <f>MAX(0,N1002-G1002-H1002)</f>
        <v/>
      </c>
      <c r="P1002" s="60">
        <f>IF(J1002=0,"",IF(G1002&lt;J1002*34,DATE(2026,10,15)+G1002/J1002,IF(G1002&lt;N1002,DATE(2026,11,18)+(G1002-J1002*34)/(J1002*L1002),"after Nov 30")))</f>
        <v/>
      </c>
      <c r="Q1002" s="60">
        <f>IF(J1002=0,"",IF(G1002+H1002&lt;J1002*34,DATE(2026,10,15)+(G1002+H1002)/J1002,IF(G1002+H1002&lt;N1002,DATE(2026,11,18)+(G1002+H1002-J1002*34)/(J1002*L1002),"after Nov 30")))</f>
        <v/>
      </c>
      <c r="R1002" s="54">
        <f>IF(AND(G1002&lt;=0,J1002&gt;0),"Out of stock now",IF(G1002&gt;=N1002,"Covered to Nov 30",IF(G1002+H1002&gt;=N1002,"Needs inbound in time","Short even with inbound")))</f>
        <v/>
      </c>
      <c r="S1002" s="57" t="n">
        <v>0.107</v>
      </c>
      <c r="T1002" s="59">
        <f>IF(S1002="","",S1002*34+S1002*L1002*12)</f>
        <v/>
      </c>
    </row>
    <row r="1003">
      <c r="A1003" s="54" t="inlineStr">
        <is>
          <t>US DC Satin Fitted</t>
        </is>
      </c>
      <c r="B1003" s="54" t="inlineStr">
        <is>
          <t>US</t>
        </is>
      </c>
      <c r="C1003" s="54" t="inlineStr">
        <is>
          <t>B0DBVXG561</t>
        </is>
      </c>
      <c r="D1003" s="54" t="inlineStr">
        <is>
          <t>SATIN-FITTED-FULL-DARK-GREEN</t>
        </is>
      </c>
      <c r="E1003" s="54" t="inlineStr">
        <is>
          <t>Full</t>
        </is>
      </c>
      <c r="F1003" s="54" t="inlineStr">
        <is>
          <t>Dark Green</t>
        </is>
      </c>
      <c r="G1003" s="55" t="n">
        <v>56</v>
      </c>
      <c r="H1003" s="55" t="n">
        <v>100</v>
      </c>
      <c r="I1003" s="56" t="inlineStr">
        <is>
          <t>FBA19SV5KWMR ready to ship: 20; FBA19RS1HC4F shipped: 20; FBA19RRY6QFT shipped: 20; FBA19RS0N5K2 shipped: 20; FBA19RRYCGHJ shipped: 20; FBA19RRY5FBL shipped: 20</t>
        </is>
      </c>
      <c r="J1003" s="57" t="n">
        <v>0.07000000000000001</v>
      </c>
      <c r="K1003" s="56" t="inlineStr">
        <is>
          <t>account data velocity</t>
        </is>
      </c>
      <c r="L1003" s="58" t="n">
        <v>2.4693</v>
      </c>
      <c r="M1003" s="56" t="inlineStr">
        <is>
          <t>own BFCM 2025 lift (account data)</t>
        </is>
      </c>
      <c r="N1003" s="59">
        <f>J1003*34+J1003*L1003*12</f>
        <v/>
      </c>
      <c r="O1003" s="59">
        <f>MAX(0,N1003-G1003-H1003)</f>
        <v/>
      </c>
      <c r="P1003" s="60">
        <f>IF(J1003=0,"",IF(G1003&lt;J1003*34,DATE(2026,10,15)+G1003/J1003,IF(G1003&lt;N1003,DATE(2026,11,18)+(G1003-J1003*34)/(J1003*L1003),"after Nov 30")))</f>
        <v/>
      </c>
      <c r="Q1003" s="60">
        <f>IF(J1003=0,"",IF(G1003+H1003&lt;J1003*34,DATE(2026,10,15)+(G1003+H1003)/J1003,IF(G1003+H1003&lt;N1003,DATE(2026,11,18)+(G1003+H1003-J1003*34)/(J1003*L1003),"after Nov 30")))</f>
        <v/>
      </c>
      <c r="R1003" s="54">
        <f>IF(AND(G1003&lt;=0,J1003&gt;0),"Out of stock now",IF(G1003&gt;=N1003,"Covered to Nov 30",IF(G1003+H1003&gt;=N1003,"Needs inbound in time","Short even with inbound")))</f>
        <v/>
      </c>
      <c r="S1003" s="57" t="n">
        <v>0.07099999999999999</v>
      </c>
      <c r="T1003" s="59">
        <f>IF(S1003="","",S1003*34+S1003*L1003*12)</f>
        <v/>
      </c>
    </row>
    <row r="1004">
      <c r="A1004" s="54" t="inlineStr">
        <is>
          <t>US DC Satin Fitted</t>
        </is>
      </c>
      <c r="B1004" s="54" t="inlineStr">
        <is>
          <t>US</t>
        </is>
      </c>
      <c r="C1004" s="54" t="inlineStr">
        <is>
          <t>B0DBVZ9JMT</t>
        </is>
      </c>
      <c r="D1004" s="54" t="inlineStr">
        <is>
          <t>SATIN-FITTED-TWIN-LAVENDER</t>
        </is>
      </c>
      <c r="E1004" s="54" t="inlineStr">
        <is>
          <t>Twin</t>
        </is>
      </c>
      <c r="F1004" s="54" t="inlineStr">
        <is>
          <t>Lavender</t>
        </is>
      </c>
      <c r="G1004" s="55" t="n">
        <v>32</v>
      </c>
      <c r="H1004" s="55" t="n">
        <v>0</v>
      </c>
      <c r="I1004" s="56" t="n"/>
      <c r="J1004" s="57" t="n">
        <v>0.06</v>
      </c>
      <c r="K1004" s="56" t="inlineStr">
        <is>
          <t>account data velocity</t>
        </is>
      </c>
      <c r="L1004" s="58" t="n">
        <v>2.4693</v>
      </c>
      <c r="M1004" s="56" t="inlineStr">
        <is>
          <t>own BFCM 2025 lift (account data)</t>
        </is>
      </c>
      <c r="N1004" s="59">
        <f>J1004*34+J1004*L1004*12</f>
        <v/>
      </c>
      <c r="O1004" s="59">
        <f>MAX(0,N1004-G1004-H1004)</f>
        <v/>
      </c>
      <c r="P1004" s="60">
        <f>IF(J1004=0,"",IF(G1004&lt;J1004*34,DATE(2026,10,15)+G1004/J1004,IF(G1004&lt;N1004,DATE(2026,11,18)+(G1004-J1004*34)/(J1004*L1004),"after Nov 30")))</f>
        <v/>
      </c>
      <c r="Q1004" s="60">
        <f>IF(J1004=0,"",IF(G1004+H1004&lt;J1004*34,DATE(2026,10,15)+(G1004+H1004)/J1004,IF(G1004+H1004&lt;N1004,DATE(2026,11,18)+(G1004+H1004-J1004*34)/(J1004*L1004),"after Nov 30")))</f>
        <v/>
      </c>
      <c r="R1004" s="54">
        <f>IF(AND(G1004&lt;=0,J1004&gt;0),"Out of stock now",IF(G1004&gt;=N1004,"Covered to Nov 30",IF(G1004+H1004&gt;=N1004,"Needs inbound in time","Short even with inbound")))</f>
        <v/>
      </c>
      <c r="S1004" s="57" t="n">
        <v>0.07099999999999999</v>
      </c>
      <c r="T1004" s="59">
        <f>IF(S1004="","",S1004*34+S1004*L1004*12)</f>
        <v/>
      </c>
    </row>
    <row r="1005">
      <c r="A1005" s="54" t="inlineStr">
        <is>
          <t>US DC Satin Fitted</t>
        </is>
      </c>
      <c r="B1005" s="54" t="inlineStr">
        <is>
          <t>US</t>
        </is>
      </c>
      <c r="C1005" s="54" t="inlineStr">
        <is>
          <t>B0DBVZRL8V</t>
        </is>
      </c>
      <c r="D1005" s="54" t="inlineStr">
        <is>
          <t>SATIN-FITTED-TWIN-BLACK</t>
        </is>
      </c>
      <c r="E1005" s="54" t="inlineStr">
        <is>
          <t>Twin</t>
        </is>
      </c>
      <c r="F1005" s="54" t="inlineStr">
        <is>
          <t>Black</t>
        </is>
      </c>
      <c r="G1005" s="55" t="n">
        <v>0</v>
      </c>
      <c r="H1005" s="55" t="n">
        <v>0</v>
      </c>
      <c r="I1005" s="56" t="n"/>
      <c r="J1005" s="57" t="n">
        <v>0.05</v>
      </c>
      <c r="K1005" s="56" t="inlineStr">
        <is>
          <t>account data velocity</t>
        </is>
      </c>
      <c r="L1005" s="58" t="n">
        <v>2.4693</v>
      </c>
      <c r="M1005" s="56" t="inlineStr">
        <is>
          <t>own BFCM 2025 lift (account data)</t>
        </is>
      </c>
      <c r="N1005" s="59">
        <f>J1005*34+J1005*L1005*12</f>
        <v/>
      </c>
      <c r="O1005" s="59">
        <f>MAX(0,N1005-G1005-H1005)</f>
        <v/>
      </c>
      <c r="P1005" s="60">
        <f>IF(J1005=0,"",IF(G1005&lt;J1005*34,DATE(2026,10,15)+G1005/J1005,IF(G1005&lt;N1005,DATE(2026,11,18)+(G1005-J1005*34)/(J1005*L1005),"after Nov 30")))</f>
        <v/>
      </c>
      <c r="Q1005" s="60">
        <f>IF(J1005=0,"",IF(G1005+H1005&lt;J1005*34,DATE(2026,10,15)+(G1005+H1005)/J1005,IF(G1005+H1005&lt;N1005,DATE(2026,11,18)+(G1005+H1005-J1005*34)/(J1005*L1005),"after Nov 30")))</f>
        <v/>
      </c>
      <c r="R1005" s="54">
        <f>IF(AND(G1005&lt;=0,J1005&gt;0),"Out of stock now",IF(G1005&gt;=N1005,"Covered to Nov 30",IF(G1005+H1005&gt;=N1005,"Needs inbound in time","Short even with inbound")))</f>
        <v/>
      </c>
      <c r="S1005" s="57" t="n">
        <v>0</v>
      </c>
      <c r="T1005" s="59">
        <f>IF(S1005="","",S1005*34+S1005*L1005*12)</f>
        <v/>
      </c>
    </row>
    <row r="1006">
      <c r="A1006" s="54" t="inlineStr">
        <is>
          <t>US DC Satin Fitted</t>
        </is>
      </c>
      <c r="B1006" s="54" t="inlineStr">
        <is>
          <t>US</t>
        </is>
      </c>
      <c r="C1006" s="54" t="inlineStr">
        <is>
          <t>B0DBW2GW4S</t>
        </is>
      </c>
      <c r="D1006" s="54" t="inlineStr">
        <is>
          <t>SATIN-FITTED-FULL-IVORY</t>
        </is>
      </c>
      <c r="E1006" s="54" t="inlineStr">
        <is>
          <t>Full</t>
        </is>
      </c>
      <c r="F1006" s="54" t="inlineStr">
        <is>
          <t>Ivory</t>
        </is>
      </c>
      <c r="G1006" s="55" t="n">
        <v>104</v>
      </c>
      <c r="H1006" s="55" t="n">
        <v>0</v>
      </c>
      <c r="I1006" s="56" t="n"/>
      <c r="J1006" s="57" t="n">
        <v>0.04</v>
      </c>
      <c r="K1006" s="56" t="inlineStr">
        <is>
          <t>account data velocity</t>
        </is>
      </c>
      <c r="L1006" s="58" t="n">
        <v>2.4693</v>
      </c>
      <c r="M1006" s="56" t="inlineStr">
        <is>
          <t>own BFCM 2025 lift (account data)</t>
        </is>
      </c>
      <c r="N1006" s="59">
        <f>J1006*34+J1006*L1006*12</f>
        <v/>
      </c>
      <c r="O1006" s="59">
        <f>MAX(0,N1006-G1006-H1006)</f>
        <v/>
      </c>
      <c r="P1006" s="60">
        <f>IF(J1006=0,"",IF(G1006&lt;J1006*34,DATE(2026,10,15)+G1006/J1006,IF(G1006&lt;N1006,DATE(2026,11,18)+(G1006-J1006*34)/(J1006*L1006),"after Nov 30")))</f>
        <v/>
      </c>
      <c r="Q1006" s="60">
        <f>IF(J1006=0,"",IF(G1006+H1006&lt;J1006*34,DATE(2026,10,15)+(G1006+H1006)/J1006,IF(G1006+H1006&lt;N1006,DATE(2026,11,18)+(G1006+H1006-J1006*34)/(J1006*L1006),"after Nov 30")))</f>
        <v/>
      </c>
      <c r="R1006" s="54">
        <f>IF(AND(G1006&lt;=0,J1006&gt;0),"Out of stock now",IF(G1006&gt;=N1006,"Covered to Nov 30",IF(G1006+H1006&gt;=N1006,"Needs inbound in time","Short even with inbound")))</f>
        <v/>
      </c>
      <c r="S1006" s="57" t="n">
        <v>0.214</v>
      </c>
      <c r="T1006" s="59">
        <f>IF(S1006="","",S1006*34+S1006*L1006*12)</f>
        <v/>
      </c>
    </row>
    <row r="1007">
      <c r="A1007" s="54" t="inlineStr">
        <is>
          <t>US DC Satin Fitted</t>
        </is>
      </c>
      <c r="B1007" s="54" t="inlineStr">
        <is>
          <t>US</t>
        </is>
      </c>
      <c r="C1007" s="54" t="inlineStr">
        <is>
          <t>B0DBVZSNZ4</t>
        </is>
      </c>
      <c r="D1007" s="54" t="inlineStr">
        <is>
          <t>SATIN-FITTED-TWIN-WHITE</t>
        </is>
      </c>
      <c r="E1007" s="54" t="inlineStr">
        <is>
          <t>Twin</t>
        </is>
      </c>
      <c r="F1007" s="54" t="inlineStr">
        <is>
          <t>White</t>
        </is>
      </c>
      <c r="G1007" s="55" t="n">
        <v>39</v>
      </c>
      <c r="H1007" s="55" t="n">
        <v>0</v>
      </c>
      <c r="I1007" s="56" t="n"/>
      <c r="J1007" s="57" t="n">
        <v>0.04</v>
      </c>
      <c r="K1007" s="56" t="inlineStr">
        <is>
          <t>account data velocity</t>
        </is>
      </c>
      <c r="L1007" s="58" t="n">
        <v>2.4693</v>
      </c>
      <c r="M1007" s="56" t="inlineStr">
        <is>
          <t>own BFCM 2025 lift (account data)</t>
        </is>
      </c>
      <c r="N1007" s="59">
        <f>J1007*34+J1007*L1007*12</f>
        <v/>
      </c>
      <c r="O1007" s="59">
        <f>MAX(0,N1007-G1007-H1007)</f>
        <v/>
      </c>
      <c r="P1007" s="60">
        <f>IF(J1007=0,"",IF(G1007&lt;J1007*34,DATE(2026,10,15)+G1007/J1007,IF(G1007&lt;N1007,DATE(2026,11,18)+(G1007-J1007*34)/(J1007*L1007),"after Nov 30")))</f>
        <v/>
      </c>
      <c r="Q1007" s="60">
        <f>IF(J1007=0,"",IF(G1007+H1007&lt;J1007*34,DATE(2026,10,15)+(G1007+H1007)/J1007,IF(G1007+H1007&lt;N1007,DATE(2026,11,18)+(G1007+H1007-J1007*34)/(J1007*L1007),"after Nov 30")))</f>
        <v/>
      </c>
      <c r="R1007" s="54">
        <f>IF(AND(G1007&lt;=0,J1007&gt;0),"Out of stock now",IF(G1007&gt;=N1007,"Covered to Nov 30",IF(G1007+H1007&gt;=N1007,"Needs inbound in time","Short even with inbound")))</f>
        <v/>
      </c>
      <c r="S1007" s="57" t="n">
        <v>0.214</v>
      </c>
      <c r="T1007" s="59">
        <f>IF(S1007="","",S1007*34+S1007*L1007*12)</f>
        <v/>
      </c>
    </row>
    <row r="1008">
      <c r="A1008" s="54" t="inlineStr">
        <is>
          <t>US DC Satin Fitted</t>
        </is>
      </c>
      <c r="B1008" s="54" t="inlineStr">
        <is>
          <t>US</t>
        </is>
      </c>
      <c r="C1008" s="54" t="inlineStr">
        <is>
          <t>B0DBVZBSHL</t>
        </is>
      </c>
      <c r="D1008" s="54" t="inlineStr">
        <is>
          <t>SATIN-FITTED-KING-SEA-TEAL</t>
        </is>
      </c>
      <c r="E1008" s="54" t="inlineStr">
        <is>
          <t>King</t>
        </is>
      </c>
      <c r="F1008" s="54" t="inlineStr">
        <is>
          <t>Sea Teal</t>
        </is>
      </c>
      <c r="G1008" s="55" t="n">
        <v>0</v>
      </c>
      <c r="H1008" s="55" t="n">
        <v>0</v>
      </c>
      <c r="I1008" s="56" t="n"/>
      <c r="J1008" s="57" t="n">
        <v>0.01</v>
      </c>
      <c r="K1008" s="56" t="inlineStr">
        <is>
          <t>account data velocity</t>
        </is>
      </c>
      <c r="L1008" s="58" t="n">
        <v>2.4693</v>
      </c>
      <c r="M1008" s="56" t="inlineStr">
        <is>
          <t>own BFCM 2025 lift (account data)</t>
        </is>
      </c>
      <c r="N1008" s="59">
        <f>J1008*34+J1008*L1008*12</f>
        <v/>
      </c>
      <c r="O1008" s="59">
        <f>MAX(0,N1008-G1008-H1008)</f>
        <v/>
      </c>
      <c r="P1008" s="60">
        <f>IF(J1008=0,"",IF(G1008&lt;J1008*34,DATE(2026,10,15)+G1008/J1008,IF(G1008&lt;N1008,DATE(2026,11,18)+(G1008-J1008*34)/(J1008*L1008),"after Nov 30")))</f>
        <v/>
      </c>
      <c r="Q1008" s="60">
        <f>IF(J1008=0,"",IF(G1008+H1008&lt;J1008*34,DATE(2026,10,15)+(G1008+H1008)/J1008,IF(G1008+H1008&lt;N1008,DATE(2026,11,18)+(G1008+H1008-J1008*34)/(J1008*L1008),"after Nov 30")))</f>
        <v/>
      </c>
      <c r="R1008" s="54">
        <f>IF(AND(G1008&lt;=0,J1008&gt;0),"Out of stock now",IF(G1008&gt;=N1008,"Covered to Nov 30",IF(G1008+H1008&gt;=N1008,"Needs inbound in time","Short even with inbound")))</f>
        <v/>
      </c>
      <c r="S1008" s="57" t="n">
        <v>0.036</v>
      </c>
      <c r="T1008" s="59">
        <f>IF(S1008="","",S1008*34+S1008*L1008*12)</f>
        <v/>
      </c>
    </row>
    <row r="1009">
      <c r="A1009" s="54" t="inlineStr">
        <is>
          <t>CA DC Satin Fitted</t>
        </is>
      </c>
      <c r="B1009" s="54" t="inlineStr">
        <is>
          <t>CA</t>
        </is>
      </c>
      <c r="C1009" s="54" t="inlineStr">
        <is>
          <t>B0DBW13VVR</t>
        </is>
      </c>
      <c r="D1009" s="54" t="inlineStr">
        <is>
          <t>SATIN-FITTED-KING-BLACK</t>
        </is>
      </c>
      <c r="E1009" s="54" t="inlineStr">
        <is>
          <t>King</t>
        </is>
      </c>
      <c r="F1009" s="54" t="inlineStr">
        <is>
          <t>Black</t>
        </is>
      </c>
      <c r="G1009" s="55" t="n">
        <v>0</v>
      </c>
      <c r="H1009" s="55" t="n">
        <v>0</v>
      </c>
      <c r="I1009" s="56" t="n"/>
      <c r="J1009" s="57" t="n">
        <v>1.4</v>
      </c>
      <c r="K1009" s="56" t="inlineStr">
        <is>
          <t>account data velocity</t>
        </is>
      </c>
      <c r="L1009" s="58" t="n">
        <v>3.1389</v>
      </c>
      <c r="M1009" s="56" t="inlineStr">
        <is>
          <t>ASSUMED: account BFCM 2025 lift (CA); product's own 2025 lift not reliable</t>
        </is>
      </c>
      <c r="N1009" s="59">
        <f>J1009*34+J1009*L1009*12</f>
        <v/>
      </c>
      <c r="O1009" s="59">
        <f>MAX(0,N1009-G1009-H1009)</f>
        <v/>
      </c>
      <c r="P1009" s="60">
        <f>IF(J1009=0,"",IF(G1009&lt;J1009*34,DATE(2026,10,15)+G1009/J1009,IF(G1009&lt;N1009,DATE(2026,11,18)+(G1009-J1009*34)/(J1009*L1009),"after Nov 30")))</f>
        <v/>
      </c>
      <c r="Q1009" s="60">
        <f>IF(J1009=0,"",IF(G1009+H1009&lt;J1009*34,DATE(2026,10,15)+(G1009+H1009)/J1009,IF(G1009+H1009&lt;N1009,DATE(2026,11,18)+(G1009+H1009-J1009*34)/(J1009*L1009),"after Nov 30")))</f>
        <v/>
      </c>
      <c r="R1009" s="54">
        <f>IF(AND(G1009&lt;=0,J1009&gt;0),"Out of stock now",IF(G1009&gt;=N1009,"Covered to Nov 30",IF(G1009+H1009&gt;=N1009,"Needs inbound in time","Short even with inbound")))</f>
        <v/>
      </c>
      <c r="S1009" s="57" t="n">
        <v>0.143</v>
      </c>
      <c r="T1009" s="59">
        <f>IF(S1009="","",S1009*34+S1009*L1009*12)</f>
        <v/>
      </c>
    </row>
    <row r="1010">
      <c r="A1010" s="54" t="inlineStr">
        <is>
          <t>CA DC Satin Fitted</t>
        </is>
      </c>
      <c r="B1010" s="54" t="inlineStr">
        <is>
          <t>CA</t>
        </is>
      </c>
      <c r="C1010" s="54" t="inlineStr">
        <is>
          <t>B0DBW27P8P</t>
        </is>
      </c>
      <c r="D1010" s="54" t="inlineStr">
        <is>
          <t>SATIN-FITTED-FULL-WHITE</t>
        </is>
      </c>
      <c r="E1010" s="54" t="inlineStr">
        <is>
          <t>Full</t>
        </is>
      </c>
      <c r="F1010" s="54" t="inlineStr">
        <is>
          <t>White</t>
        </is>
      </c>
      <c r="G1010" s="55" t="n">
        <v>48</v>
      </c>
      <c r="H1010" s="55" t="n">
        <v>0</v>
      </c>
      <c r="I1010" s="56" t="n"/>
      <c r="J1010" s="57" t="n">
        <v>0.83</v>
      </c>
      <c r="K1010" s="56" t="inlineStr">
        <is>
          <t>account data velocity</t>
        </is>
      </c>
      <c r="L1010" s="58" t="n">
        <v>3.1389</v>
      </c>
      <c r="M1010" s="56" t="inlineStr">
        <is>
          <t>ASSUMED: account BFCM 2025 lift (CA); product's own 2025 lift not reliable</t>
        </is>
      </c>
      <c r="N1010" s="59">
        <f>J1010*34+J1010*L1010*12</f>
        <v/>
      </c>
      <c r="O1010" s="59">
        <f>MAX(0,N1010-G1010-H1010)</f>
        <v/>
      </c>
      <c r="P1010" s="60">
        <f>IF(J1010=0,"",IF(G1010&lt;J1010*34,DATE(2026,10,15)+G1010/J1010,IF(G1010&lt;N1010,DATE(2026,11,18)+(G1010-J1010*34)/(J1010*L1010),"after Nov 30")))</f>
        <v/>
      </c>
      <c r="Q1010" s="60">
        <f>IF(J1010=0,"",IF(G1010+H1010&lt;J1010*34,DATE(2026,10,15)+(G1010+H1010)/J1010,IF(G1010+H1010&lt;N1010,DATE(2026,11,18)+(G1010+H1010-J1010*34)/(J1010*L1010),"after Nov 30")))</f>
        <v/>
      </c>
      <c r="R1010" s="54">
        <f>IF(AND(G1010&lt;=0,J1010&gt;0),"Out of stock now",IF(G1010&gt;=N1010,"Covered to Nov 30",IF(G1010+H1010&gt;=N1010,"Needs inbound in time","Short even with inbound")))</f>
        <v/>
      </c>
      <c r="S1010" s="57" t="n">
        <v>0.286</v>
      </c>
      <c r="T1010" s="59">
        <f>IF(S1010="","",S1010*34+S1010*L1010*12)</f>
        <v/>
      </c>
    </row>
    <row r="1011">
      <c r="A1011" s="54" t="inlineStr">
        <is>
          <t>CA DC Satin Fitted</t>
        </is>
      </c>
      <c r="B1011" s="54" t="inlineStr">
        <is>
          <t>CA</t>
        </is>
      </c>
      <c r="C1011" s="54" t="inlineStr">
        <is>
          <t>B0DBVYJJZ6</t>
        </is>
      </c>
      <c r="D1011" s="54" t="inlineStr">
        <is>
          <t>SATIN-FITTED-QUEEN-RED</t>
        </is>
      </c>
      <c r="E1011" s="54" t="inlineStr">
        <is>
          <t>Queen</t>
        </is>
      </c>
      <c r="F1011" s="54" t="inlineStr">
        <is>
          <t>Red</t>
        </is>
      </c>
      <c r="G1011" s="55" t="n">
        <v>0</v>
      </c>
      <c r="H1011" s="55" t="n">
        <v>0</v>
      </c>
      <c r="I1011" s="56" t="n"/>
      <c r="J1011" s="57" t="n">
        <v>0.5</v>
      </c>
      <c r="K1011" s="56" t="inlineStr">
        <is>
          <t>account data velocity</t>
        </is>
      </c>
      <c r="L1011" s="58" t="n">
        <v>3.1389</v>
      </c>
      <c r="M1011" s="56" t="inlineStr">
        <is>
          <t>ASSUMED: account BFCM 2025 lift (CA); product's own 2025 lift not reliable</t>
        </is>
      </c>
      <c r="N1011" s="59">
        <f>J1011*34+J1011*L1011*12</f>
        <v/>
      </c>
      <c r="O1011" s="59">
        <f>MAX(0,N1011-G1011-H1011)</f>
        <v/>
      </c>
      <c r="P1011" s="60">
        <f>IF(J1011=0,"",IF(G1011&lt;J1011*34,DATE(2026,10,15)+G1011/J1011,IF(G1011&lt;N1011,DATE(2026,11,18)+(G1011-J1011*34)/(J1011*L1011),"after Nov 30")))</f>
        <v/>
      </c>
      <c r="Q1011" s="60">
        <f>IF(J1011=0,"",IF(G1011+H1011&lt;J1011*34,DATE(2026,10,15)+(G1011+H1011)/J1011,IF(G1011+H1011&lt;N1011,DATE(2026,11,18)+(G1011+H1011-J1011*34)/(J1011*L1011),"after Nov 30")))</f>
        <v/>
      </c>
      <c r="R1011" s="54">
        <f>IF(AND(G1011&lt;=0,J1011&gt;0),"Out of stock now",IF(G1011&gt;=N1011,"Covered to Nov 30",IF(G1011+H1011&gt;=N1011,"Needs inbound in time","Short even with inbound")))</f>
        <v/>
      </c>
      <c r="S1011" s="57" t="n">
        <v>0.25</v>
      </c>
      <c r="T1011" s="59">
        <f>IF(S1011="","",S1011*34+S1011*L1011*12)</f>
        <v/>
      </c>
    </row>
    <row r="1012">
      <c r="A1012" s="54" t="inlineStr">
        <is>
          <t>CA DC Satin Fitted</t>
        </is>
      </c>
      <c r="B1012" s="54" t="inlineStr">
        <is>
          <t>CA</t>
        </is>
      </c>
      <c r="C1012" s="54" t="inlineStr">
        <is>
          <t>B0DBVZ1Z2R</t>
        </is>
      </c>
      <c r="D1012" s="54" t="inlineStr">
        <is>
          <t>SATIN-FITTED-KING-WHITE</t>
        </is>
      </c>
      <c r="E1012" s="54" t="inlineStr">
        <is>
          <t>King</t>
        </is>
      </c>
      <c r="F1012" s="54" t="inlineStr">
        <is>
          <t>White</t>
        </is>
      </c>
      <c r="G1012" s="55" t="n">
        <v>4</v>
      </c>
      <c r="H1012" s="55" t="n">
        <v>0</v>
      </c>
      <c r="I1012" s="56" t="n"/>
      <c r="J1012" s="57" t="n">
        <v>0.48</v>
      </c>
      <c r="K1012" s="56" t="inlineStr">
        <is>
          <t>account data velocity</t>
        </is>
      </c>
      <c r="L1012" s="58" t="n">
        <v>3.1389</v>
      </c>
      <c r="M1012" s="56" t="inlineStr">
        <is>
          <t>ASSUMED: account BFCM 2025 lift (CA); product's own 2025 lift not reliable</t>
        </is>
      </c>
      <c r="N1012" s="59">
        <f>J1012*34+J1012*L1012*12</f>
        <v/>
      </c>
      <c r="O1012" s="59">
        <f>MAX(0,N1012-G1012-H1012)</f>
        <v/>
      </c>
      <c r="P1012" s="60">
        <f>IF(J1012=0,"",IF(G1012&lt;J1012*34,DATE(2026,10,15)+G1012/J1012,IF(G1012&lt;N1012,DATE(2026,11,18)+(G1012-J1012*34)/(J1012*L1012),"after Nov 30")))</f>
        <v/>
      </c>
      <c r="Q1012" s="60">
        <f>IF(J1012=0,"",IF(G1012+H1012&lt;J1012*34,DATE(2026,10,15)+(G1012+H1012)/J1012,IF(G1012+H1012&lt;N1012,DATE(2026,11,18)+(G1012+H1012-J1012*34)/(J1012*L1012),"after Nov 30")))</f>
        <v/>
      </c>
      <c r="R1012" s="54">
        <f>IF(AND(G1012&lt;=0,J1012&gt;0),"Out of stock now",IF(G1012&gt;=N1012,"Covered to Nov 30",IF(G1012+H1012&gt;=N1012,"Needs inbound in time","Short even with inbound")))</f>
        <v/>
      </c>
      <c r="S1012" s="57" t="n">
        <v>0.179</v>
      </c>
      <c r="T1012" s="59">
        <f>IF(S1012="","",S1012*34+S1012*L1012*12)</f>
        <v/>
      </c>
    </row>
    <row r="1013">
      <c r="A1013" s="54" t="inlineStr">
        <is>
          <t>CA DC Satin Fitted</t>
        </is>
      </c>
      <c r="B1013" s="54" t="inlineStr">
        <is>
          <t>CA</t>
        </is>
      </c>
      <c r="C1013" s="54" t="inlineStr">
        <is>
          <t>B0DBW157CR</t>
        </is>
      </c>
      <c r="D1013" s="54" t="inlineStr">
        <is>
          <t>SATIN-FITTED-QUEEN-WHITE</t>
        </is>
      </c>
      <c r="E1013" s="54" t="inlineStr">
        <is>
          <t>Queen</t>
        </is>
      </c>
      <c r="F1013" s="54" t="inlineStr">
        <is>
          <t>White</t>
        </is>
      </c>
      <c r="G1013" s="55" t="n">
        <v>0</v>
      </c>
      <c r="H1013" s="55" t="n">
        <v>0</v>
      </c>
      <c r="I1013" s="56" t="n"/>
      <c r="J1013" s="57" t="n">
        <v>0.43</v>
      </c>
      <c r="K1013" s="56" t="inlineStr">
        <is>
          <t>account data velocity</t>
        </is>
      </c>
      <c r="L1013" s="58" t="n">
        <v>3.1389</v>
      </c>
      <c r="M1013" s="56" t="inlineStr">
        <is>
          <t>ASSUMED: account BFCM 2025 lift (CA); product's own 2025 lift not reliable</t>
        </is>
      </c>
      <c r="N1013" s="59">
        <f>J1013*34+J1013*L1013*12</f>
        <v/>
      </c>
      <c r="O1013" s="59">
        <f>MAX(0,N1013-G1013-H1013)</f>
        <v/>
      </c>
      <c r="P1013" s="60">
        <f>IF(J1013=0,"",IF(G1013&lt;J1013*34,DATE(2026,10,15)+G1013/J1013,IF(G1013&lt;N1013,DATE(2026,11,18)+(G1013-J1013*34)/(J1013*L1013),"after Nov 30")))</f>
        <v/>
      </c>
      <c r="Q1013" s="60">
        <f>IF(J1013=0,"",IF(G1013+H1013&lt;J1013*34,DATE(2026,10,15)+(G1013+H1013)/J1013,IF(G1013+H1013&lt;N1013,DATE(2026,11,18)+(G1013+H1013-J1013*34)/(J1013*L1013),"after Nov 30")))</f>
        <v/>
      </c>
      <c r="R1013" s="54">
        <f>IF(AND(G1013&lt;=0,J1013&gt;0),"Out of stock now",IF(G1013&gt;=N1013,"Covered to Nov 30",IF(G1013+H1013&gt;=N1013,"Needs inbound in time","Short even with inbound")))</f>
        <v/>
      </c>
      <c r="S1013" s="57" t="n">
        <v>0.143</v>
      </c>
      <c r="T1013" s="59">
        <f>IF(S1013="","",S1013*34+S1013*L1013*12)</f>
        <v/>
      </c>
    </row>
    <row r="1014">
      <c r="A1014" s="54" t="inlineStr">
        <is>
          <t>CA DC Satin Fitted</t>
        </is>
      </c>
      <c r="B1014" s="54" t="inlineStr">
        <is>
          <t>CA</t>
        </is>
      </c>
      <c r="C1014" s="54" t="inlineStr">
        <is>
          <t>B0DBW151XC</t>
        </is>
      </c>
      <c r="D1014" s="54" t="inlineStr">
        <is>
          <t>SATIN-FITTED-QUEEN-DARK-GREEN</t>
        </is>
      </c>
      <c r="E1014" s="54" t="inlineStr">
        <is>
          <t>Queen</t>
        </is>
      </c>
      <c r="F1014" s="54" t="inlineStr">
        <is>
          <t>Dark Green</t>
        </is>
      </c>
      <c r="G1014" s="55" t="n">
        <v>16</v>
      </c>
      <c r="H1014" s="55" t="n">
        <v>0</v>
      </c>
      <c r="I1014" s="56" t="n"/>
      <c r="J1014" s="57" t="n">
        <v>0.42</v>
      </c>
      <c r="K1014" s="56" t="inlineStr">
        <is>
          <t>account data velocity</t>
        </is>
      </c>
      <c r="L1014" s="58" t="n">
        <v>3.1389</v>
      </c>
      <c r="M1014" s="56" t="inlineStr">
        <is>
          <t>ASSUMED: account BFCM 2025 lift (CA); product's own 2025 lift not reliable</t>
        </is>
      </c>
      <c r="N1014" s="59">
        <f>J1014*34+J1014*L1014*12</f>
        <v/>
      </c>
      <c r="O1014" s="59">
        <f>MAX(0,N1014-G1014-H1014)</f>
        <v/>
      </c>
      <c r="P1014" s="60">
        <f>IF(J1014=0,"",IF(G1014&lt;J1014*34,DATE(2026,10,15)+G1014/J1014,IF(G1014&lt;N1014,DATE(2026,11,18)+(G1014-J1014*34)/(J1014*L1014),"after Nov 30")))</f>
        <v/>
      </c>
      <c r="Q1014" s="60">
        <f>IF(J1014=0,"",IF(G1014+H1014&lt;J1014*34,DATE(2026,10,15)+(G1014+H1014)/J1014,IF(G1014+H1014&lt;N1014,DATE(2026,11,18)+(G1014+H1014-J1014*34)/(J1014*L1014),"after Nov 30")))</f>
        <v/>
      </c>
      <c r="R1014" s="54">
        <f>IF(AND(G1014&lt;=0,J1014&gt;0),"Out of stock now",IF(G1014&gt;=N1014,"Covered to Nov 30",IF(G1014+H1014&gt;=N1014,"Needs inbound in time","Short even with inbound")))</f>
        <v/>
      </c>
      <c r="S1014" s="57" t="n">
        <v>0.321</v>
      </c>
      <c r="T1014" s="59">
        <f>IF(S1014="","",S1014*34+S1014*L1014*12)</f>
        <v/>
      </c>
    </row>
    <row r="1015">
      <c r="A1015" s="54" t="inlineStr">
        <is>
          <t>CA DC Satin Fitted</t>
        </is>
      </c>
      <c r="B1015" s="54" t="inlineStr">
        <is>
          <t>CA</t>
        </is>
      </c>
      <c r="C1015" s="54" t="inlineStr">
        <is>
          <t>B0DBW47GVG</t>
        </is>
      </c>
      <c r="D1015" s="54" t="inlineStr">
        <is>
          <t>SATIN-FITTED-QUEEN-PINK</t>
        </is>
      </c>
      <c r="E1015" s="54" t="inlineStr">
        <is>
          <t>Queen</t>
        </is>
      </c>
      <c r="F1015" s="54" t="inlineStr">
        <is>
          <t>Pink</t>
        </is>
      </c>
      <c r="G1015" s="55" t="n">
        <v>0</v>
      </c>
      <c r="H1015" s="55" t="n">
        <v>0</v>
      </c>
      <c r="I1015" s="56" t="n"/>
      <c r="J1015" s="57" t="n">
        <v>0.4</v>
      </c>
      <c r="K1015" s="56" t="inlineStr">
        <is>
          <t>account data velocity</t>
        </is>
      </c>
      <c r="L1015" s="58" t="n">
        <v>3.1389</v>
      </c>
      <c r="M1015" s="56" t="inlineStr">
        <is>
          <t>ASSUMED: account BFCM 2025 lift (CA); product's own 2025 lift not reliable</t>
        </is>
      </c>
      <c r="N1015" s="59">
        <f>J1015*34+J1015*L1015*12</f>
        <v/>
      </c>
      <c r="O1015" s="59">
        <f>MAX(0,N1015-G1015-H1015)</f>
        <v/>
      </c>
      <c r="P1015" s="60">
        <f>IF(J1015=0,"",IF(G1015&lt;J1015*34,DATE(2026,10,15)+G1015/J1015,IF(G1015&lt;N1015,DATE(2026,11,18)+(G1015-J1015*34)/(J1015*L1015),"after Nov 30")))</f>
        <v/>
      </c>
      <c r="Q1015" s="60">
        <f>IF(J1015=0,"",IF(G1015+H1015&lt;J1015*34,DATE(2026,10,15)+(G1015+H1015)/J1015,IF(G1015+H1015&lt;N1015,DATE(2026,11,18)+(G1015+H1015-J1015*34)/(J1015*L1015),"after Nov 30")))</f>
        <v/>
      </c>
      <c r="R1015" s="54">
        <f>IF(AND(G1015&lt;=0,J1015&gt;0),"Out of stock now",IF(G1015&gt;=N1015,"Covered to Nov 30",IF(G1015+H1015&gt;=N1015,"Needs inbound in time","Short even with inbound")))</f>
        <v/>
      </c>
      <c r="S1015" s="57" t="n">
        <v>0.107</v>
      </c>
      <c r="T1015" s="59">
        <f>IF(S1015="","",S1015*34+S1015*L1015*12)</f>
        <v/>
      </c>
    </row>
    <row r="1016">
      <c r="A1016" s="54" t="inlineStr">
        <is>
          <t>CA DC Satin Fitted</t>
        </is>
      </c>
      <c r="B1016" s="54" t="inlineStr">
        <is>
          <t>CA</t>
        </is>
      </c>
      <c r="C1016" s="54" t="inlineStr">
        <is>
          <t>B0DBW1PNJ8</t>
        </is>
      </c>
      <c r="D1016" s="54" t="inlineStr">
        <is>
          <t>SATIN-FITTED-QUEEN-BLACK</t>
        </is>
      </c>
      <c r="E1016" s="54" t="inlineStr">
        <is>
          <t>Queen</t>
        </is>
      </c>
      <c r="F1016" s="54" t="inlineStr">
        <is>
          <t>Black</t>
        </is>
      </c>
      <c r="G1016" s="55" t="n">
        <v>0</v>
      </c>
      <c r="H1016" s="55" t="n">
        <v>0</v>
      </c>
      <c r="I1016" s="56" t="n"/>
      <c r="J1016" s="57" t="n">
        <v>0.39</v>
      </c>
      <c r="K1016" s="56" t="inlineStr">
        <is>
          <t>account data velocity</t>
        </is>
      </c>
      <c r="L1016" s="58" t="n">
        <v>3.1389</v>
      </c>
      <c r="M1016" s="56" t="inlineStr">
        <is>
          <t>ASSUMED: account BFCM 2025 lift (CA); product's own 2025 lift not reliable</t>
        </is>
      </c>
      <c r="N1016" s="59">
        <f>J1016*34+J1016*L1016*12</f>
        <v/>
      </c>
      <c r="O1016" s="59">
        <f>MAX(0,N1016-G1016-H1016)</f>
        <v/>
      </c>
      <c r="P1016" s="60">
        <f>IF(J1016=0,"",IF(G1016&lt;J1016*34,DATE(2026,10,15)+G1016/J1016,IF(G1016&lt;N1016,DATE(2026,11,18)+(G1016-J1016*34)/(J1016*L1016),"after Nov 30")))</f>
        <v/>
      </c>
      <c r="Q1016" s="60">
        <f>IF(J1016=0,"",IF(G1016+H1016&lt;J1016*34,DATE(2026,10,15)+(G1016+H1016)/J1016,IF(G1016+H1016&lt;N1016,DATE(2026,11,18)+(G1016+H1016-J1016*34)/(J1016*L1016),"after Nov 30")))</f>
        <v/>
      </c>
      <c r="R1016" s="54">
        <f>IF(AND(G1016&lt;=0,J1016&gt;0),"Out of stock now",IF(G1016&gt;=N1016,"Covered to Nov 30",IF(G1016+H1016&gt;=N1016,"Needs inbound in time","Short even with inbound")))</f>
        <v/>
      </c>
      <c r="S1016" s="57" t="n">
        <v>0.643</v>
      </c>
      <c r="T1016" s="59">
        <f>IF(S1016="","",S1016*34+S1016*L1016*12)</f>
        <v/>
      </c>
    </row>
    <row r="1017">
      <c r="A1017" s="54" t="inlineStr">
        <is>
          <t>CA DC Satin Fitted</t>
        </is>
      </c>
      <c r="B1017" s="54" t="inlineStr">
        <is>
          <t>CA</t>
        </is>
      </c>
      <c r="C1017" s="54" t="inlineStr">
        <is>
          <t>B0DBW2HZBF</t>
        </is>
      </c>
      <c r="D1017" s="54" t="inlineStr">
        <is>
          <t>SATIN-FITTED-QUEEN-ROSEWOOD</t>
        </is>
      </c>
      <c r="E1017" s="54" t="inlineStr">
        <is>
          <t>Queen</t>
        </is>
      </c>
      <c r="F1017" s="54" t="inlineStr">
        <is>
          <t>Rosewood</t>
        </is>
      </c>
      <c r="G1017" s="55" t="n">
        <v>34</v>
      </c>
      <c r="H1017" s="55" t="n">
        <v>0</v>
      </c>
      <c r="I1017" s="56" t="n"/>
      <c r="J1017" s="57" t="n">
        <v>0.39</v>
      </c>
      <c r="K1017" s="56" t="inlineStr">
        <is>
          <t>account data velocity</t>
        </is>
      </c>
      <c r="L1017" s="58" t="n">
        <v>3.1389</v>
      </c>
      <c r="M1017" s="56" t="inlineStr">
        <is>
          <t>ASSUMED: account BFCM 2025 lift (CA); product's own 2025 lift not reliable</t>
        </is>
      </c>
      <c r="N1017" s="59">
        <f>J1017*34+J1017*L1017*12</f>
        <v/>
      </c>
      <c r="O1017" s="59">
        <f>MAX(0,N1017-G1017-H1017)</f>
        <v/>
      </c>
      <c r="P1017" s="60">
        <f>IF(J1017=0,"",IF(G1017&lt;J1017*34,DATE(2026,10,15)+G1017/J1017,IF(G1017&lt;N1017,DATE(2026,11,18)+(G1017-J1017*34)/(J1017*L1017),"after Nov 30")))</f>
        <v/>
      </c>
      <c r="Q1017" s="60">
        <f>IF(J1017=0,"",IF(G1017+H1017&lt;J1017*34,DATE(2026,10,15)+(G1017+H1017)/J1017,IF(G1017+H1017&lt;N1017,DATE(2026,11,18)+(G1017+H1017-J1017*34)/(J1017*L1017),"after Nov 30")))</f>
        <v/>
      </c>
      <c r="R1017" s="54">
        <f>IF(AND(G1017&lt;=0,J1017&gt;0),"Out of stock now",IF(G1017&gt;=N1017,"Covered to Nov 30",IF(G1017+H1017&gt;=N1017,"Needs inbound in time","Short even with inbound")))</f>
        <v/>
      </c>
      <c r="S1017" s="57" t="n">
        <v>0.357</v>
      </c>
      <c r="T1017" s="59">
        <f>IF(S1017="","",S1017*34+S1017*L1017*12)</f>
        <v/>
      </c>
    </row>
    <row r="1018">
      <c r="A1018" s="54" t="inlineStr">
        <is>
          <t>CA DC Satin Fitted</t>
        </is>
      </c>
      <c r="B1018" s="54" t="inlineStr">
        <is>
          <t>CA</t>
        </is>
      </c>
      <c r="C1018" s="54" t="inlineStr">
        <is>
          <t>B0DBVZRZ4H</t>
        </is>
      </c>
      <c r="D1018" s="54" t="inlineStr">
        <is>
          <t>SATIN-FITTED-FULL-PINK</t>
        </is>
      </c>
      <c r="E1018" s="54" t="inlineStr">
        <is>
          <t>Full</t>
        </is>
      </c>
      <c r="F1018" s="54" t="inlineStr">
        <is>
          <t>Pink</t>
        </is>
      </c>
      <c r="G1018" s="55" t="n">
        <v>95</v>
      </c>
      <c r="H1018" s="55" t="n">
        <v>20</v>
      </c>
      <c r="I1018" s="56" t="n"/>
      <c r="J1018" s="57" t="n">
        <v>0.35</v>
      </c>
      <c r="K1018" s="56" t="inlineStr">
        <is>
          <t>account data velocity</t>
        </is>
      </c>
      <c r="L1018" s="58" t="n">
        <v>3.1389</v>
      </c>
      <c r="M1018" s="56" t="inlineStr">
        <is>
          <t>ASSUMED: account BFCM 2025 lift (CA); product's own 2025 lift not reliable</t>
        </is>
      </c>
      <c r="N1018" s="59">
        <f>J1018*34+J1018*L1018*12</f>
        <v/>
      </c>
      <c r="O1018" s="59">
        <f>MAX(0,N1018-G1018-H1018)</f>
        <v/>
      </c>
      <c r="P1018" s="60">
        <f>IF(J1018=0,"",IF(G1018&lt;J1018*34,DATE(2026,10,15)+G1018/J1018,IF(G1018&lt;N1018,DATE(2026,11,18)+(G1018-J1018*34)/(J1018*L1018),"after Nov 30")))</f>
        <v/>
      </c>
      <c r="Q1018" s="60">
        <f>IF(J1018=0,"",IF(G1018+H1018&lt;J1018*34,DATE(2026,10,15)+(G1018+H1018)/J1018,IF(G1018+H1018&lt;N1018,DATE(2026,11,18)+(G1018+H1018-J1018*34)/(J1018*L1018),"after Nov 30")))</f>
        <v/>
      </c>
      <c r="R1018" s="54">
        <f>IF(AND(G1018&lt;=0,J1018&gt;0),"Out of stock now",IF(G1018&gt;=N1018,"Covered to Nov 30",IF(G1018+H1018&gt;=N1018,"Needs inbound in time","Short even with inbound")))</f>
        <v/>
      </c>
      <c r="S1018" s="57" t="n">
        <v>0.286</v>
      </c>
      <c r="T1018" s="59">
        <f>IF(S1018="","",S1018*34+S1018*L1018*12)</f>
        <v/>
      </c>
    </row>
    <row r="1019">
      <c r="A1019" s="54" t="inlineStr">
        <is>
          <t>CA DC Satin Fitted</t>
        </is>
      </c>
      <c r="B1019" s="54" t="inlineStr">
        <is>
          <t>CA</t>
        </is>
      </c>
      <c r="C1019" s="54" t="inlineStr">
        <is>
          <t>B0DBVXG561</t>
        </is>
      </c>
      <c r="D1019" s="54" t="inlineStr">
        <is>
          <t>SATIN-FITTED-FULL-DARK-GREEN</t>
        </is>
      </c>
      <c r="E1019" s="54" t="inlineStr">
        <is>
          <t>Full</t>
        </is>
      </c>
      <c r="F1019" s="54" t="inlineStr">
        <is>
          <t>Dark Green</t>
        </is>
      </c>
      <c r="G1019" s="55" t="n">
        <v>25</v>
      </c>
      <c r="H1019" s="55" t="n">
        <v>20</v>
      </c>
      <c r="I1019" s="56" t="n"/>
      <c r="J1019" s="57" t="n">
        <v>0.3</v>
      </c>
      <c r="K1019" s="56" t="inlineStr">
        <is>
          <t>account data velocity</t>
        </is>
      </c>
      <c r="L1019" s="58" t="n">
        <v>3.1389</v>
      </c>
      <c r="M1019" s="56" t="inlineStr">
        <is>
          <t>ASSUMED: account BFCM 2025 lift (CA); product's own 2025 lift not reliable</t>
        </is>
      </c>
      <c r="N1019" s="59">
        <f>J1019*34+J1019*L1019*12</f>
        <v/>
      </c>
      <c r="O1019" s="59">
        <f>MAX(0,N1019-G1019-H1019)</f>
        <v/>
      </c>
      <c r="P1019" s="60">
        <f>IF(J1019=0,"",IF(G1019&lt;J1019*34,DATE(2026,10,15)+G1019/J1019,IF(G1019&lt;N1019,DATE(2026,11,18)+(G1019-J1019*34)/(J1019*L1019),"after Nov 30")))</f>
        <v/>
      </c>
      <c r="Q1019" s="60">
        <f>IF(J1019=0,"",IF(G1019+H1019&lt;J1019*34,DATE(2026,10,15)+(G1019+H1019)/J1019,IF(G1019+H1019&lt;N1019,DATE(2026,11,18)+(G1019+H1019-J1019*34)/(J1019*L1019),"after Nov 30")))</f>
        <v/>
      </c>
      <c r="R1019" s="54">
        <f>IF(AND(G1019&lt;=0,J1019&gt;0),"Out of stock now",IF(G1019&gt;=N1019,"Covered to Nov 30",IF(G1019+H1019&gt;=N1019,"Needs inbound in time","Short even with inbound")))</f>
        <v/>
      </c>
      <c r="S1019" s="57" t="n">
        <v>0.143</v>
      </c>
      <c r="T1019" s="59">
        <f>IF(S1019="","",S1019*34+S1019*L1019*12)</f>
        <v/>
      </c>
    </row>
    <row r="1020">
      <c r="A1020" s="54" t="inlineStr">
        <is>
          <t>CA DC Satin Fitted</t>
        </is>
      </c>
      <c r="B1020" s="54" t="inlineStr">
        <is>
          <t>CA</t>
        </is>
      </c>
      <c r="C1020" s="54" t="inlineStr">
        <is>
          <t>B0DBVY6P25</t>
        </is>
      </c>
      <c r="D1020" s="54" t="inlineStr">
        <is>
          <t>SATIN-FITTED-KING-GREY</t>
        </is>
      </c>
      <c r="E1020" s="54" t="inlineStr">
        <is>
          <t>King</t>
        </is>
      </c>
      <c r="F1020" s="54" t="inlineStr">
        <is>
          <t>Grey</t>
        </is>
      </c>
      <c r="G1020" s="55" t="n">
        <v>0</v>
      </c>
      <c r="H1020" s="55" t="n">
        <v>0</v>
      </c>
      <c r="I1020" s="56" t="n"/>
      <c r="J1020" s="57" t="n">
        <v>0.27</v>
      </c>
      <c r="K1020" s="56" t="inlineStr">
        <is>
          <t>account data velocity</t>
        </is>
      </c>
      <c r="L1020" s="58" t="n">
        <v>3.1389</v>
      </c>
      <c r="M1020" s="56" t="inlineStr">
        <is>
          <t>ASSUMED: account BFCM 2025 lift (CA); product's own 2025 lift not reliable</t>
        </is>
      </c>
      <c r="N1020" s="59">
        <f>J1020*34+J1020*L1020*12</f>
        <v/>
      </c>
      <c r="O1020" s="59">
        <f>MAX(0,N1020-G1020-H1020)</f>
        <v/>
      </c>
      <c r="P1020" s="60">
        <f>IF(J1020=0,"",IF(G1020&lt;J1020*34,DATE(2026,10,15)+G1020/J1020,IF(G1020&lt;N1020,DATE(2026,11,18)+(G1020-J1020*34)/(J1020*L1020),"after Nov 30")))</f>
        <v/>
      </c>
      <c r="Q1020" s="60">
        <f>IF(J1020=0,"",IF(G1020+H1020&lt;J1020*34,DATE(2026,10,15)+(G1020+H1020)/J1020,IF(G1020+H1020&lt;N1020,DATE(2026,11,18)+(G1020+H1020-J1020*34)/(J1020*L1020),"after Nov 30")))</f>
        <v/>
      </c>
      <c r="R1020" s="54">
        <f>IF(AND(G1020&lt;=0,J1020&gt;0),"Out of stock now",IF(G1020&gt;=N1020,"Covered to Nov 30",IF(G1020+H1020&gt;=N1020,"Needs inbound in time","Short even with inbound")))</f>
        <v/>
      </c>
      <c r="S1020" s="57" t="n">
        <v>0.107</v>
      </c>
      <c r="T1020" s="59">
        <f>IF(S1020="","",S1020*34+S1020*L1020*12)</f>
        <v/>
      </c>
    </row>
    <row r="1021">
      <c r="A1021" s="54" t="inlineStr">
        <is>
          <t>CA DC Satin Fitted</t>
        </is>
      </c>
      <c r="B1021" s="54" t="inlineStr">
        <is>
          <t>CA</t>
        </is>
      </c>
      <c r="C1021" s="54" t="inlineStr">
        <is>
          <t>B0DBVZZZ7B</t>
        </is>
      </c>
      <c r="D1021" s="54" t="inlineStr">
        <is>
          <t>SATIN-FITTED-FULL-STONE-GREY</t>
        </is>
      </c>
      <c r="E1021" s="54" t="inlineStr">
        <is>
          <t>Full</t>
        </is>
      </c>
      <c r="F1021" s="54" t="inlineStr">
        <is>
          <t>Stone Grey</t>
        </is>
      </c>
      <c r="G1021" s="55" t="n">
        <v>26</v>
      </c>
      <c r="H1021" s="55" t="n">
        <v>0</v>
      </c>
      <c r="I1021" s="56" t="n"/>
      <c r="J1021" s="57" t="n">
        <v>0.25</v>
      </c>
      <c r="K1021" s="56" t="inlineStr">
        <is>
          <t>account data velocity</t>
        </is>
      </c>
      <c r="L1021" s="58" t="n">
        <v>3.1389</v>
      </c>
      <c r="M1021" s="56" t="inlineStr">
        <is>
          <t>ASSUMED: account BFCM 2025 lift (CA); product's own 2025 lift not reliable</t>
        </is>
      </c>
      <c r="N1021" s="59">
        <f>J1021*34+J1021*L1021*12</f>
        <v/>
      </c>
      <c r="O1021" s="59">
        <f>MAX(0,N1021-G1021-H1021)</f>
        <v/>
      </c>
      <c r="P1021" s="60">
        <f>IF(J1021=0,"",IF(G1021&lt;J1021*34,DATE(2026,10,15)+G1021/J1021,IF(G1021&lt;N1021,DATE(2026,11,18)+(G1021-J1021*34)/(J1021*L1021),"after Nov 30")))</f>
        <v/>
      </c>
      <c r="Q1021" s="60">
        <f>IF(J1021=0,"",IF(G1021+H1021&lt;J1021*34,DATE(2026,10,15)+(G1021+H1021)/J1021,IF(G1021+H1021&lt;N1021,DATE(2026,11,18)+(G1021+H1021-J1021*34)/(J1021*L1021),"after Nov 30")))</f>
        <v/>
      </c>
      <c r="R1021" s="54">
        <f>IF(AND(G1021&lt;=0,J1021&gt;0),"Out of stock now",IF(G1021&gt;=N1021,"Covered to Nov 30",IF(G1021+H1021&gt;=N1021,"Needs inbound in time","Short even with inbound")))</f>
        <v/>
      </c>
      <c r="S1021" s="57" t="n">
        <v>0.107</v>
      </c>
      <c r="T1021" s="59">
        <f>IF(S1021="","",S1021*34+S1021*L1021*12)</f>
        <v/>
      </c>
    </row>
    <row r="1022">
      <c r="A1022" s="54" t="inlineStr">
        <is>
          <t>CA DC Satin Fitted</t>
        </is>
      </c>
      <c r="B1022" s="54" t="inlineStr">
        <is>
          <t>CA</t>
        </is>
      </c>
      <c r="C1022" s="54" t="inlineStr">
        <is>
          <t>B0DBW2GW4S</t>
        </is>
      </c>
      <c r="D1022" s="54" t="inlineStr">
        <is>
          <t>SATIN-FITTED-FULL-IVORY</t>
        </is>
      </c>
      <c r="E1022" s="54" t="inlineStr">
        <is>
          <t>Full</t>
        </is>
      </c>
      <c r="F1022" s="54" t="inlineStr">
        <is>
          <t>Ivory</t>
        </is>
      </c>
      <c r="G1022" s="55" t="n">
        <v>64</v>
      </c>
      <c r="H1022" s="55" t="n">
        <v>0</v>
      </c>
      <c r="I1022" s="56" t="n"/>
      <c r="J1022" s="57" t="n">
        <v>0.23</v>
      </c>
      <c r="K1022" s="56" t="inlineStr">
        <is>
          <t>account data velocity</t>
        </is>
      </c>
      <c r="L1022" s="58" t="n">
        <v>3.1389</v>
      </c>
      <c r="M1022" s="56" t="inlineStr">
        <is>
          <t>ASSUMED: account BFCM 2025 lift (CA); product's own 2025 lift not reliable</t>
        </is>
      </c>
      <c r="N1022" s="59">
        <f>J1022*34+J1022*L1022*12</f>
        <v/>
      </c>
      <c r="O1022" s="59">
        <f>MAX(0,N1022-G1022-H1022)</f>
        <v/>
      </c>
      <c r="P1022" s="60">
        <f>IF(J1022=0,"",IF(G1022&lt;J1022*34,DATE(2026,10,15)+G1022/J1022,IF(G1022&lt;N1022,DATE(2026,11,18)+(G1022-J1022*34)/(J1022*L1022),"after Nov 30")))</f>
        <v/>
      </c>
      <c r="Q1022" s="60">
        <f>IF(J1022=0,"",IF(G1022+H1022&lt;J1022*34,DATE(2026,10,15)+(G1022+H1022)/J1022,IF(G1022+H1022&lt;N1022,DATE(2026,11,18)+(G1022+H1022-J1022*34)/(J1022*L1022),"after Nov 30")))</f>
        <v/>
      </c>
      <c r="R1022" s="54">
        <f>IF(AND(G1022&lt;=0,J1022&gt;0),"Out of stock now",IF(G1022&gt;=N1022,"Covered to Nov 30",IF(G1022+H1022&gt;=N1022,"Needs inbound in time","Short even with inbound")))</f>
        <v/>
      </c>
      <c r="S1022" s="57" t="n">
        <v>0.07099999999999999</v>
      </c>
      <c r="T1022" s="59">
        <f>IF(S1022="","",S1022*34+S1022*L1022*12)</f>
        <v/>
      </c>
    </row>
    <row r="1023">
      <c r="A1023" s="54" t="inlineStr">
        <is>
          <t>CA DC Satin Fitted</t>
        </is>
      </c>
      <c r="B1023" s="54" t="inlineStr">
        <is>
          <t>CA</t>
        </is>
      </c>
      <c r="C1023" s="54" t="inlineStr">
        <is>
          <t>B0DBW19GXY</t>
        </is>
      </c>
      <c r="D1023" s="54" t="inlineStr">
        <is>
          <t>SATIN-FITTED-QUEEN-GREY</t>
        </is>
      </c>
      <c r="E1023" s="54" t="inlineStr">
        <is>
          <t>Queen</t>
        </is>
      </c>
      <c r="F1023" s="54" t="inlineStr">
        <is>
          <t>Grey</t>
        </is>
      </c>
      <c r="G1023" s="55" t="n">
        <v>0</v>
      </c>
      <c r="H1023" s="55" t="n">
        <v>0</v>
      </c>
      <c r="I1023" s="56" t="n"/>
      <c r="J1023" s="57" t="n">
        <v>0.22</v>
      </c>
      <c r="K1023" s="56" t="inlineStr">
        <is>
          <t>account data velocity</t>
        </is>
      </c>
      <c r="L1023" s="58" t="n">
        <v>3.1389</v>
      </c>
      <c r="M1023" s="56" t="inlineStr">
        <is>
          <t>ASSUMED: account BFCM 2025 lift (CA); product's own 2025 lift not reliable</t>
        </is>
      </c>
      <c r="N1023" s="59">
        <f>J1023*34+J1023*L1023*12</f>
        <v/>
      </c>
      <c r="O1023" s="59">
        <f>MAX(0,N1023-G1023-H1023)</f>
        <v/>
      </c>
      <c r="P1023" s="60">
        <f>IF(J1023=0,"",IF(G1023&lt;J1023*34,DATE(2026,10,15)+G1023/J1023,IF(G1023&lt;N1023,DATE(2026,11,18)+(G1023-J1023*34)/(J1023*L1023),"after Nov 30")))</f>
        <v/>
      </c>
      <c r="Q1023" s="60">
        <f>IF(J1023=0,"",IF(G1023+H1023&lt;J1023*34,DATE(2026,10,15)+(G1023+H1023)/J1023,IF(G1023+H1023&lt;N1023,DATE(2026,11,18)+(G1023+H1023-J1023*34)/(J1023*L1023),"after Nov 30")))</f>
        <v/>
      </c>
      <c r="R1023" s="54">
        <f>IF(AND(G1023&lt;=0,J1023&gt;0),"Out of stock now",IF(G1023&gt;=N1023,"Covered to Nov 30",IF(G1023+H1023&gt;=N1023,"Needs inbound in time","Short even with inbound")))</f>
        <v/>
      </c>
      <c r="S1023" s="57" t="n">
        <v>0.429</v>
      </c>
      <c r="T1023" s="59">
        <f>IF(S1023="","",S1023*34+S1023*L1023*12)</f>
        <v/>
      </c>
    </row>
    <row r="1024">
      <c r="A1024" s="54" t="inlineStr">
        <is>
          <t>CA DC Satin Fitted</t>
        </is>
      </c>
      <c r="B1024" s="54" t="inlineStr">
        <is>
          <t>CA</t>
        </is>
      </c>
      <c r="C1024" s="54" t="inlineStr">
        <is>
          <t>B0DBVZGV7Y</t>
        </is>
      </c>
      <c r="D1024" s="54" t="inlineStr">
        <is>
          <t>SATIN-FITTED-FULL-PURPLE</t>
        </is>
      </c>
      <c r="E1024" s="54" t="inlineStr">
        <is>
          <t>Full</t>
        </is>
      </c>
      <c r="F1024" s="54" t="inlineStr">
        <is>
          <t>Purple</t>
        </is>
      </c>
      <c r="G1024" s="55" t="n">
        <v>54</v>
      </c>
      <c r="H1024" s="55" t="n">
        <v>0</v>
      </c>
      <c r="I1024" s="56" t="n"/>
      <c r="J1024" s="57" t="n">
        <v>0.22</v>
      </c>
      <c r="K1024" s="56" t="inlineStr">
        <is>
          <t>account data velocity</t>
        </is>
      </c>
      <c r="L1024" s="58" t="n">
        <v>3.1389</v>
      </c>
      <c r="M1024" s="56" t="inlineStr">
        <is>
          <t>ASSUMED: account BFCM 2025 lift (CA); product's own 2025 lift not reliable</t>
        </is>
      </c>
      <c r="N1024" s="59">
        <f>J1024*34+J1024*L1024*12</f>
        <v/>
      </c>
      <c r="O1024" s="59">
        <f>MAX(0,N1024-G1024-H1024)</f>
        <v/>
      </c>
      <c r="P1024" s="60">
        <f>IF(J1024=0,"",IF(G1024&lt;J1024*34,DATE(2026,10,15)+G1024/J1024,IF(G1024&lt;N1024,DATE(2026,11,18)+(G1024-J1024*34)/(J1024*L1024),"after Nov 30")))</f>
        <v/>
      </c>
      <c r="Q1024" s="60">
        <f>IF(J1024=0,"",IF(G1024+H1024&lt;J1024*34,DATE(2026,10,15)+(G1024+H1024)/J1024,IF(G1024+H1024&lt;N1024,DATE(2026,11,18)+(G1024+H1024-J1024*34)/(J1024*L1024),"after Nov 30")))</f>
        <v/>
      </c>
      <c r="R1024" s="54">
        <f>IF(AND(G1024&lt;=0,J1024&gt;0),"Out of stock now",IF(G1024&gt;=N1024,"Covered to Nov 30",IF(G1024+H1024&gt;=N1024,"Needs inbound in time","Short even with inbound")))</f>
        <v/>
      </c>
      <c r="S1024" s="57" t="n">
        <v>0.036</v>
      </c>
      <c r="T1024" s="59">
        <f>IF(S1024="","",S1024*34+S1024*L1024*12)</f>
        <v/>
      </c>
    </row>
    <row r="1025">
      <c r="A1025" s="54" t="inlineStr">
        <is>
          <t>CA DC Satin Fitted</t>
        </is>
      </c>
      <c r="B1025" s="54" t="inlineStr">
        <is>
          <t>CA</t>
        </is>
      </c>
      <c r="C1025" s="54" t="inlineStr">
        <is>
          <t>B0DBW2LXQY</t>
        </is>
      </c>
      <c r="D1025" s="54" t="inlineStr">
        <is>
          <t>SATIN-FITTED-FULL-SAGE-GREEN</t>
        </is>
      </c>
      <c r="E1025" s="54" t="inlineStr">
        <is>
          <t>Full</t>
        </is>
      </c>
      <c r="F1025" s="54" t="inlineStr">
        <is>
          <t>Sage Green</t>
        </is>
      </c>
      <c r="G1025" s="55" t="n">
        <v>28</v>
      </c>
      <c r="H1025" s="55" t="n">
        <v>0</v>
      </c>
      <c r="I1025" s="56" t="n"/>
      <c r="J1025" s="57" t="n">
        <v>0.22</v>
      </c>
      <c r="K1025" s="56" t="inlineStr">
        <is>
          <t>account data velocity</t>
        </is>
      </c>
      <c r="L1025" s="58" t="n">
        <v>3.1389</v>
      </c>
      <c r="M1025" s="56" t="inlineStr">
        <is>
          <t>ASSUMED: account BFCM 2025 lift (CA); product's own 2025 lift not reliable</t>
        </is>
      </c>
      <c r="N1025" s="59">
        <f>J1025*34+J1025*L1025*12</f>
        <v/>
      </c>
      <c r="O1025" s="59">
        <f>MAX(0,N1025-G1025-H1025)</f>
        <v/>
      </c>
      <c r="P1025" s="60">
        <f>IF(J1025=0,"",IF(G1025&lt;J1025*34,DATE(2026,10,15)+G1025/J1025,IF(G1025&lt;N1025,DATE(2026,11,18)+(G1025-J1025*34)/(J1025*L1025),"after Nov 30")))</f>
        <v/>
      </c>
      <c r="Q1025" s="60">
        <f>IF(J1025=0,"",IF(G1025+H1025&lt;J1025*34,DATE(2026,10,15)+(G1025+H1025)/J1025,IF(G1025+H1025&lt;N1025,DATE(2026,11,18)+(G1025+H1025-J1025*34)/(J1025*L1025),"after Nov 30")))</f>
        <v/>
      </c>
      <c r="R1025" s="54">
        <f>IF(AND(G1025&lt;=0,J1025&gt;0),"Out of stock now",IF(G1025&gt;=N1025,"Covered to Nov 30",IF(G1025+H1025&gt;=N1025,"Needs inbound in time","Short even with inbound")))</f>
        <v/>
      </c>
      <c r="S1025" s="57" t="n">
        <v>0</v>
      </c>
      <c r="T1025" s="59">
        <f>IF(S1025="","",S1025*34+S1025*L1025*12)</f>
        <v/>
      </c>
    </row>
    <row r="1026">
      <c r="A1026" s="54" t="inlineStr">
        <is>
          <t>CA DC Satin Fitted</t>
        </is>
      </c>
      <c r="B1026" s="54" t="inlineStr">
        <is>
          <t>CA</t>
        </is>
      </c>
      <c r="C1026" s="54" t="inlineStr">
        <is>
          <t>B0DBW336HD</t>
        </is>
      </c>
      <c r="D1026" s="54" t="inlineStr">
        <is>
          <t>SATIN-FITTED-KING-NAVY-BLUE</t>
        </is>
      </c>
      <c r="E1026" s="54" t="inlineStr">
        <is>
          <t>King</t>
        </is>
      </c>
      <c r="F1026" s="54" t="inlineStr">
        <is>
          <t>Navy Blue</t>
        </is>
      </c>
      <c r="G1026" s="55" t="n">
        <v>0</v>
      </c>
      <c r="H1026" s="55" t="n">
        <v>0</v>
      </c>
      <c r="I1026" s="56" t="n"/>
      <c r="J1026" s="57" t="n">
        <v>0.2</v>
      </c>
      <c r="K1026" s="56" t="inlineStr">
        <is>
          <t>account data velocity</t>
        </is>
      </c>
      <c r="L1026" s="58" t="n">
        <v>3.1389</v>
      </c>
      <c r="M1026" s="56" t="inlineStr">
        <is>
          <t>ASSUMED: account BFCM 2025 lift (CA); product's own 2025 lift not reliable</t>
        </is>
      </c>
      <c r="N1026" s="59">
        <f>J1026*34+J1026*L1026*12</f>
        <v/>
      </c>
      <c r="O1026" s="59">
        <f>MAX(0,N1026-G1026-H1026)</f>
        <v/>
      </c>
      <c r="P1026" s="60">
        <f>IF(J1026=0,"",IF(G1026&lt;J1026*34,DATE(2026,10,15)+G1026/J1026,IF(G1026&lt;N1026,DATE(2026,11,18)+(G1026-J1026*34)/(J1026*L1026),"after Nov 30")))</f>
        <v/>
      </c>
      <c r="Q1026" s="60">
        <f>IF(J1026=0,"",IF(G1026+H1026&lt;J1026*34,DATE(2026,10,15)+(G1026+H1026)/J1026,IF(G1026+H1026&lt;N1026,DATE(2026,11,18)+(G1026+H1026-J1026*34)/(J1026*L1026),"after Nov 30")))</f>
        <v/>
      </c>
      <c r="R1026" s="54">
        <f>IF(AND(G1026&lt;=0,J1026&gt;0),"Out of stock now",IF(G1026&gt;=N1026,"Covered to Nov 30",IF(G1026+H1026&gt;=N1026,"Needs inbound in time","Short even with inbound")))</f>
        <v/>
      </c>
      <c r="S1026" s="57" t="n">
        <v>0</v>
      </c>
      <c r="T1026" s="59">
        <f>IF(S1026="","",S1026*34+S1026*L1026*12)</f>
        <v/>
      </c>
    </row>
    <row r="1027">
      <c r="A1027" s="54" t="inlineStr">
        <is>
          <t>CA DC Satin Fitted</t>
        </is>
      </c>
      <c r="B1027" s="54" t="inlineStr">
        <is>
          <t>CA</t>
        </is>
      </c>
      <c r="C1027" s="54" t="inlineStr">
        <is>
          <t>B0DBVZRL8V</t>
        </is>
      </c>
      <c r="D1027" s="54" t="inlineStr">
        <is>
          <t>SATIN-FITTED-TWIN-BLACK</t>
        </is>
      </c>
      <c r="E1027" s="54" t="inlineStr">
        <is>
          <t>Twin</t>
        </is>
      </c>
      <c r="F1027" s="54" t="inlineStr">
        <is>
          <t>Black</t>
        </is>
      </c>
      <c r="G1027" s="55" t="n">
        <v>0</v>
      </c>
      <c r="H1027" s="55" t="n">
        <v>0</v>
      </c>
      <c r="I1027" s="56" t="n"/>
      <c r="J1027" s="57" t="n">
        <v>0.15</v>
      </c>
      <c r="K1027" s="56" t="inlineStr">
        <is>
          <t>account data velocity</t>
        </is>
      </c>
      <c r="L1027" s="58" t="n">
        <v>3.1389</v>
      </c>
      <c r="M1027" s="56" t="inlineStr">
        <is>
          <t>ASSUMED: account BFCM 2025 lift (CA); product's own 2025 lift not reliable</t>
        </is>
      </c>
      <c r="N1027" s="59">
        <f>J1027*34+J1027*L1027*12</f>
        <v/>
      </c>
      <c r="O1027" s="59">
        <f>MAX(0,N1027-G1027-H1027)</f>
        <v/>
      </c>
      <c r="P1027" s="60">
        <f>IF(J1027=0,"",IF(G1027&lt;J1027*34,DATE(2026,10,15)+G1027/J1027,IF(G1027&lt;N1027,DATE(2026,11,18)+(G1027-J1027*34)/(J1027*L1027),"after Nov 30")))</f>
        <v/>
      </c>
      <c r="Q1027" s="60">
        <f>IF(J1027=0,"",IF(G1027+H1027&lt;J1027*34,DATE(2026,10,15)+(G1027+H1027)/J1027,IF(G1027+H1027&lt;N1027,DATE(2026,11,18)+(G1027+H1027-J1027*34)/(J1027*L1027),"after Nov 30")))</f>
        <v/>
      </c>
      <c r="R1027" s="54">
        <f>IF(AND(G1027&lt;=0,J1027&gt;0),"Out of stock now",IF(G1027&gt;=N1027,"Covered to Nov 30",IF(G1027+H1027&gt;=N1027,"Needs inbound in time","Short even with inbound")))</f>
        <v/>
      </c>
      <c r="S1027" s="57" t="n">
        <v>0.07099999999999999</v>
      </c>
      <c r="T1027" s="59">
        <f>IF(S1027="","",S1027*34+S1027*L1027*12)</f>
        <v/>
      </c>
    </row>
    <row r="1028">
      <c r="A1028" s="54" t="inlineStr">
        <is>
          <t>CA DC Satin Fitted</t>
        </is>
      </c>
      <c r="B1028" s="54" t="inlineStr">
        <is>
          <t>CA</t>
        </is>
      </c>
      <c r="C1028" s="54" t="inlineStr">
        <is>
          <t>B0DBW2HDDZ</t>
        </is>
      </c>
      <c r="D1028" s="54" t="inlineStr">
        <is>
          <t>SATIN-FITTED-TWIN-PINK</t>
        </is>
      </c>
      <c r="E1028" s="54" t="inlineStr">
        <is>
          <t>Twin</t>
        </is>
      </c>
      <c r="F1028" s="54" t="inlineStr">
        <is>
          <t>Pink</t>
        </is>
      </c>
      <c r="G1028" s="55" t="n">
        <v>79</v>
      </c>
      <c r="H1028" s="55" t="n">
        <v>60</v>
      </c>
      <c r="I1028" s="56" t="inlineStr">
        <is>
          <t>FBA19RSBKFGZ shipped: 60</t>
        </is>
      </c>
      <c r="J1028" s="57" t="n">
        <v>0.12</v>
      </c>
      <c r="K1028" s="56" t="inlineStr">
        <is>
          <t>account data velocity</t>
        </is>
      </c>
      <c r="L1028" s="58" t="n">
        <v>3.1389</v>
      </c>
      <c r="M1028" s="56" t="inlineStr">
        <is>
          <t>ASSUMED: account BFCM 2025 lift (CA); product's own 2025 lift not reliable</t>
        </is>
      </c>
      <c r="N1028" s="59">
        <f>J1028*34+J1028*L1028*12</f>
        <v/>
      </c>
      <c r="O1028" s="59">
        <f>MAX(0,N1028-G1028-H1028)</f>
        <v/>
      </c>
      <c r="P1028" s="60">
        <f>IF(J1028=0,"",IF(G1028&lt;J1028*34,DATE(2026,10,15)+G1028/J1028,IF(G1028&lt;N1028,DATE(2026,11,18)+(G1028-J1028*34)/(J1028*L1028),"after Nov 30")))</f>
        <v/>
      </c>
      <c r="Q1028" s="60">
        <f>IF(J1028=0,"",IF(G1028+H1028&lt;J1028*34,DATE(2026,10,15)+(G1028+H1028)/J1028,IF(G1028+H1028&lt;N1028,DATE(2026,11,18)+(G1028+H1028-J1028*34)/(J1028*L1028),"after Nov 30")))</f>
        <v/>
      </c>
      <c r="R1028" s="54">
        <f>IF(AND(G1028&lt;=0,J1028&gt;0),"Out of stock now",IF(G1028&gt;=N1028,"Covered to Nov 30",IF(G1028+H1028&gt;=N1028,"Needs inbound in time","Short even with inbound")))</f>
        <v/>
      </c>
      <c r="S1028" s="57" t="n">
        <v>0.429</v>
      </c>
      <c r="T1028" s="59">
        <f>IF(S1028="","",S1028*34+S1028*L1028*12)</f>
        <v/>
      </c>
    </row>
    <row r="1029">
      <c r="A1029" s="54" t="inlineStr">
        <is>
          <t>CA DC Satin Fitted</t>
        </is>
      </c>
      <c r="B1029" s="54" t="inlineStr">
        <is>
          <t>CA</t>
        </is>
      </c>
      <c r="C1029" s="54" t="inlineStr">
        <is>
          <t>B0DBVZSNZ4</t>
        </is>
      </c>
      <c r="D1029" s="54" t="inlineStr">
        <is>
          <t>SATIN-FITTED-TWIN-WHITE</t>
        </is>
      </c>
      <c r="E1029" s="54" t="inlineStr">
        <is>
          <t>Twin</t>
        </is>
      </c>
      <c r="F1029" s="54" t="inlineStr">
        <is>
          <t>White</t>
        </is>
      </c>
      <c r="G1029" s="55" t="n">
        <v>66</v>
      </c>
      <c r="H1029" s="55" t="n">
        <v>0</v>
      </c>
      <c r="I1029" s="56" t="n"/>
      <c r="J1029" s="57" t="n">
        <v>0.12</v>
      </c>
      <c r="K1029" s="56" t="inlineStr">
        <is>
          <t>account data velocity</t>
        </is>
      </c>
      <c r="L1029" s="58" t="n">
        <v>3.1389</v>
      </c>
      <c r="M1029" s="56" t="inlineStr">
        <is>
          <t>ASSUMED: account BFCM 2025 lift (CA); product's own 2025 lift not reliable</t>
        </is>
      </c>
      <c r="N1029" s="59">
        <f>J1029*34+J1029*L1029*12</f>
        <v/>
      </c>
      <c r="O1029" s="59">
        <f>MAX(0,N1029-G1029-H1029)</f>
        <v/>
      </c>
      <c r="P1029" s="60">
        <f>IF(J1029=0,"",IF(G1029&lt;J1029*34,DATE(2026,10,15)+G1029/J1029,IF(G1029&lt;N1029,DATE(2026,11,18)+(G1029-J1029*34)/(J1029*L1029),"after Nov 30")))</f>
        <v/>
      </c>
      <c r="Q1029" s="60">
        <f>IF(J1029=0,"",IF(G1029+H1029&lt;J1029*34,DATE(2026,10,15)+(G1029+H1029)/J1029,IF(G1029+H1029&lt;N1029,DATE(2026,11,18)+(G1029+H1029-J1029*34)/(J1029*L1029),"after Nov 30")))</f>
        <v/>
      </c>
      <c r="R1029" s="54">
        <f>IF(AND(G1029&lt;=0,J1029&gt;0),"Out of stock now",IF(G1029&gt;=N1029,"Covered to Nov 30",IF(G1029+H1029&gt;=N1029,"Needs inbound in time","Short even with inbound")))</f>
        <v/>
      </c>
      <c r="S1029" s="57" t="n">
        <v>0.25</v>
      </c>
      <c r="T1029" s="59">
        <f>IF(S1029="","",S1029*34+S1029*L1029*12)</f>
        <v/>
      </c>
    </row>
    <row r="1030">
      <c r="A1030" s="54" t="inlineStr">
        <is>
          <t>CA DC Satin Fitted</t>
        </is>
      </c>
      <c r="B1030" s="54" t="inlineStr">
        <is>
          <t>CA</t>
        </is>
      </c>
      <c r="C1030" s="54" t="inlineStr">
        <is>
          <t>B0DBVZPPJ6</t>
        </is>
      </c>
      <c r="D1030" s="54" t="inlineStr">
        <is>
          <t>SATIN-FITTED-QUEEN-PURPLE</t>
        </is>
      </c>
      <c r="E1030" s="54" t="inlineStr">
        <is>
          <t>Queen</t>
        </is>
      </c>
      <c r="F1030" s="54" t="inlineStr">
        <is>
          <t>Purple</t>
        </is>
      </c>
      <c r="G1030" s="55" t="n">
        <v>40</v>
      </c>
      <c r="H1030" s="55" t="n">
        <v>0</v>
      </c>
      <c r="I1030" s="56" t="n"/>
      <c r="J1030" s="57" t="n">
        <v>0.12</v>
      </c>
      <c r="K1030" s="56" t="inlineStr">
        <is>
          <t>account data velocity</t>
        </is>
      </c>
      <c r="L1030" s="58" t="n">
        <v>3.1389</v>
      </c>
      <c r="M1030" s="56" t="inlineStr">
        <is>
          <t>ASSUMED: account BFCM 2025 lift (CA); product's own 2025 lift not reliable</t>
        </is>
      </c>
      <c r="N1030" s="59">
        <f>J1030*34+J1030*L1030*12</f>
        <v/>
      </c>
      <c r="O1030" s="59">
        <f>MAX(0,N1030-G1030-H1030)</f>
        <v/>
      </c>
      <c r="P1030" s="60">
        <f>IF(J1030=0,"",IF(G1030&lt;J1030*34,DATE(2026,10,15)+G1030/J1030,IF(G1030&lt;N1030,DATE(2026,11,18)+(G1030-J1030*34)/(J1030*L1030),"after Nov 30")))</f>
        <v/>
      </c>
      <c r="Q1030" s="60">
        <f>IF(J1030=0,"",IF(G1030+H1030&lt;J1030*34,DATE(2026,10,15)+(G1030+H1030)/J1030,IF(G1030+H1030&lt;N1030,DATE(2026,11,18)+(G1030+H1030-J1030*34)/(J1030*L1030),"after Nov 30")))</f>
        <v/>
      </c>
      <c r="R1030" s="54">
        <f>IF(AND(G1030&lt;=0,J1030&gt;0),"Out of stock now",IF(G1030&gt;=N1030,"Covered to Nov 30",IF(G1030+H1030&gt;=N1030,"Needs inbound in time","Short even with inbound")))</f>
        <v/>
      </c>
      <c r="S1030" s="57" t="n">
        <v>0.143</v>
      </c>
      <c r="T1030" s="59">
        <f>IF(S1030="","",S1030*34+S1030*L1030*12)</f>
        <v/>
      </c>
    </row>
    <row r="1031">
      <c r="A1031" s="54" t="inlineStr">
        <is>
          <t>CA DC Satin Fitted</t>
        </is>
      </c>
      <c r="B1031" s="54" t="inlineStr">
        <is>
          <t>CA</t>
        </is>
      </c>
      <c r="C1031" s="54" t="inlineStr">
        <is>
          <t>B0DBVYF4DM</t>
        </is>
      </c>
      <c r="D1031" s="54" t="inlineStr">
        <is>
          <t>SATIN-FITTED-KING-STONE-GREY</t>
        </is>
      </c>
      <c r="E1031" s="54" t="inlineStr">
        <is>
          <t>King</t>
        </is>
      </c>
      <c r="F1031" s="54" t="inlineStr">
        <is>
          <t>Stone Grey</t>
        </is>
      </c>
      <c r="G1031" s="55" t="n">
        <v>0</v>
      </c>
      <c r="H1031" s="55" t="n">
        <v>0</v>
      </c>
      <c r="I1031" s="56" t="n"/>
      <c r="J1031" s="57" t="n">
        <v>0.107</v>
      </c>
      <c r="K1031" s="56" t="inlineStr">
        <is>
          <t>units last 28 days / 28 (no account data velocity: out of stock)</t>
        </is>
      </c>
      <c r="L1031" s="58" t="n">
        <v>3.1389</v>
      </c>
      <c r="M1031" s="56" t="inlineStr">
        <is>
          <t>ASSUMED: account BFCM 2025 lift (CA); product's own 2025 lift not reliable</t>
        </is>
      </c>
      <c r="N1031" s="59">
        <f>J1031*34+J1031*L1031*12</f>
        <v/>
      </c>
      <c r="O1031" s="59">
        <f>MAX(0,N1031-G1031-H1031)</f>
        <v/>
      </c>
      <c r="P1031" s="60">
        <f>IF(J1031=0,"",IF(G1031&lt;J1031*34,DATE(2026,10,15)+G1031/J1031,IF(G1031&lt;N1031,DATE(2026,11,18)+(G1031-J1031*34)/(J1031*L1031),"after Nov 30")))</f>
        <v/>
      </c>
      <c r="Q1031" s="60">
        <f>IF(J1031=0,"",IF(G1031+H1031&lt;J1031*34,DATE(2026,10,15)+(G1031+H1031)/J1031,IF(G1031+H1031&lt;N1031,DATE(2026,11,18)+(G1031+H1031-J1031*34)/(J1031*L1031),"after Nov 30")))</f>
        <v/>
      </c>
      <c r="R1031" s="54">
        <f>IF(AND(G1031&lt;=0,J1031&gt;0),"Out of stock now",IF(G1031&gt;=N1031,"Covered to Nov 30",IF(G1031+H1031&gt;=N1031,"Needs inbound in time","Short even with inbound")))</f>
        <v/>
      </c>
      <c r="S1031" s="57" t="n">
        <v>0.107</v>
      </c>
      <c r="T1031" s="59">
        <f>IF(S1031="","",S1031*34+S1031*L1031*12)</f>
        <v/>
      </c>
    </row>
    <row r="1032">
      <c r="A1032" s="54" t="inlineStr">
        <is>
          <t>CA DC Satin Fitted</t>
        </is>
      </c>
      <c r="B1032" s="54" t="inlineStr">
        <is>
          <t>CA</t>
        </is>
      </c>
      <c r="C1032" s="54" t="inlineStr">
        <is>
          <t>B0DBW1NVHF</t>
        </is>
      </c>
      <c r="D1032" s="54" t="inlineStr">
        <is>
          <t>SATIN-FITTED-QUEEN-SEA-TEAL</t>
        </is>
      </c>
      <c r="E1032" s="54" t="inlineStr">
        <is>
          <t>Queen</t>
        </is>
      </c>
      <c r="F1032" s="54" t="inlineStr">
        <is>
          <t>Sea Teal</t>
        </is>
      </c>
      <c r="G1032" s="55" t="n">
        <v>0</v>
      </c>
      <c r="H1032" s="55" t="n">
        <v>0</v>
      </c>
      <c r="I1032" s="56" t="n"/>
      <c r="J1032" s="57" t="n">
        <v>0.1</v>
      </c>
      <c r="K1032" s="56" t="inlineStr">
        <is>
          <t>account data velocity</t>
        </is>
      </c>
      <c r="L1032" s="58" t="n">
        <v>3.1389</v>
      </c>
      <c r="M1032" s="56" t="inlineStr">
        <is>
          <t>ASSUMED: account BFCM 2025 lift (CA); product's own 2025 lift not reliable</t>
        </is>
      </c>
      <c r="N1032" s="59">
        <f>J1032*34+J1032*L1032*12</f>
        <v/>
      </c>
      <c r="O1032" s="59">
        <f>MAX(0,N1032-G1032-H1032)</f>
        <v/>
      </c>
      <c r="P1032" s="60">
        <f>IF(J1032=0,"",IF(G1032&lt;J1032*34,DATE(2026,10,15)+G1032/J1032,IF(G1032&lt;N1032,DATE(2026,11,18)+(G1032-J1032*34)/(J1032*L1032),"after Nov 30")))</f>
        <v/>
      </c>
      <c r="Q1032" s="60">
        <f>IF(J1032=0,"",IF(G1032+H1032&lt;J1032*34,DATE(2026,10,15)+(G1032+H1032)/J1032,IF(G1032+H1032&lt;N1032,DATE(2026,11,18)+(G1032+H1032-J1032*34)/(J1032*L1032),"after Nov 30")))</f>
        <v/>
      </c>
      <c r="R1032" s="54">
        <f>IF(AND(G1032&lt;=0,J1032&gt;0),"Out of stock now",IF(G1032&gt;=N1032,"Covered to Nov 30",IF(G1032+H1032&gt;=N1032,"Needs inbound in time","Short even with inbound")))</f>
        <v/>
      </c>
      <c r="S1032" s="57" t="n">
        <v>0</v>
      </c>
      <c r="T1032" s="59">
        <f>IF(S1032="","",S1032*34+S1032*L1032*12)</f>
        <v/>
      </c>
    </row>
    <row r="1033">
      <c r="A1033" s="54" t="inlineStr">
        <is>
          <t>CA DC Satin Fitted</t>
        </is>
      </c>
      <c r="B1033" s="54" t="inlineStr">
        <is>
          <t>CA</t>
        </is>
      </c>
      <c r="C1033" s="54" t="inlineStr">
        <is>
          <t>B0DBVZZH8S</t>
        </is>
      </c>
      <c r="D1033" s="54" t="inlineStr">
        <is>
          <t>SATIN-FITTED-QUEEN-GOLD</t>
        </is>
      </c>
      <c r="E1033" s="54" t="inlineStr">
        <is>
          <t>Queen</t>
        </is>
      </c>
      <c r="F1033" s="54" t="inlineStr">
        <is>
          <t>Gold</t>
        </is>
      </c>
      <c r="G1033" s="55" t="n">
        <v>31</v>
      </c>
      <c r="H1033" s="55" t="n">
        <v>0</v>
      </c>
      <c r="I1033" s="56" t="n"/>
      <c r="J1033" s="57" t="n">
        <v>0.09</v>
      </c>
      <c r="K1033" s="56" t="inlineStr">
        <is>
          <t>account data velocity</t>
        </is>
      </c>
      <c r="L1033" s="58" t="n">
        <v>3.1389</v>
      </c>
      <c r="M1033" s="56" t="inlineStr">
        <is>
          <t>ASSUMED: account BFCM 2025 lift (CA); product's own 2025 lift not reliable</t>
        </is>
      </c>
      <c r="N1033" s="59">
        <f>J1033*34+J1033*L1033*12</f>
        <v/>
      </c>
      <c r="O1033" s="59">
        <f>MAX(0,N1033-G1033-H1033)</f>
        <v/>
      </c>
      <c r="P1033" s="60">
        <f>IF(J1033=0,"",IF(G1033&lt;J1033*34,DATE(2026,10,15)+G1033/J1033,IF(G1033&lt;N1033,DATE(2026,11,18)+(G1033-J1033*34)/(J1033*L1033),"after Nov 30")))</f>
        <v/>
      </c>
      <c r="Q1033" s="60">
        <f>IF(J1033=0,"",IF(G1033+H1033&lt;J1033*34,DATE(2026,10,15)+(G1033+H1033)/J1033,IF(G1033+H1033&lt;N1033,DATE(2026,11,18)+(G1033+H1033-J1033*34)/(J1033*L1033),"after Nov 30")))</f>
        <v/>
      </c>
      <c r="R1033" s="54">
        <f>IF(AND(G1033&lt;=0,J1033&gt;0),"Out of stock now",IF(G1033&gt;=N1033,"Covered to Nov 30",IF(G1033+H1033&gt;=N1033,"Needs inbound in time","Short even with inbound")))</f>
        <v/>
      </c>
      <c r="S1033" s="57" t="n">
        <v>0.25</v>
      </c>
      <c r="T1033" s="59">
        <f>IF(S1033="","",S1033*34+S1033*L1033*12)</f>
        <v/>
      </c>
    </row>
    <row r="1034">
      <c r="A1034" s="54" t="inlineStr">
        <is>
          <t>CA DC Satin Fitted</t>
        </is>
      </c>
      <c r="B1034" s="54" t="inlineStr">
        <is>
          <t>CA</t>
        </is>
      </c>
      <c r="C1034" s="54" t="inlineStr">
        <is>
          <t>B0DBVZJTGS</t>
        </is>
      </c>
      <c r="D1034" s="54" t="inlineStr">
        <is>
          <t>SATIN-FITTED-KING-PURPLE</t>
        </is>
      </c>
      <c r="E1034" s="54" t="inlineStr">
        <is>
          <t>King</t>
        </is>
      </c>
      <c r="F1034" s="54" t="inlineStr">
        <is>
          <t>Purple</t>
        </is>
      </c>
      <c r="G1034" s="55" t="n">
        <v>8</v>
      </c>
      <c r="H1034" s="55" t="n">
        <v>100</v>
      </c>
      <c r="I1034" s="56" t="inlineStr">
        <is>
          <t>FBA19RSBKFGZ shipped: 80; FBA19QLVD3FK shipped: 20</t>
        </is>
      </c>
      <c r="J1034" s="57" t="n">
        <v>0.09</v>
      </c>
      <c r="K1034" s="56" t="inlineStr">
        <is>
          <t>account data velocity</t>
        </is>
      </c>
      <c r="L1034" s="58" t="n">
        <v>3.1389</v>
      </c>
      <c r="M1034" s="56" t="inlineStr">
        <is>
          <t>ASSUMED: account BFCM 2025 lift (CA); product's own 2025 lift not reliable</t>
        </is>
      </c>
      <c r="N1034" s="59">
        <f>J1034*34+J1034*L1034*12</f>
        <v/>
      </c>
      <c r="O1034" s="59">
        <f>MAX(0,N1034-G1034-H1034)</f>
        <v/>
      </c>
      <c r="P1034" s="60">
        <f>IF(J1034=0,"",IF(G1034&lt;J1034*34,DATE(2026,10,15)+G1034/J1034,IF(G1034&lt;N1034,DATE(2026,11,18)+(G1034-J1034*34)/(J1034*L1034),"after Nov 30")))</f>
        <v/>
      </c>
      <c r="Q1034" s="60">
        <f>IF(J1034=0,"",IF(G1034+H1034&lt;J1034*34,DATE(2026,10,15)+(G1034+H1034)/J1034,IF(G1034+H1034&lt;N1034,DATE(2026,11,18)+(G1034+H1034-J1034*34)/(J1034*L1034),"after Nov 30")))</f>
        <v/>
      </c>
      <c r="R1034" s="54">
        <f>IF(AND(G1034&lt;=0,J1034&gt;0),"Out of stock now",IF(G1034&gt;=N1034,"Covered to Nov 30",IF(G1034+H1034&gt;=N1034,"Needs inbound in time","Short even with inbound")))</f>
        <v/>
      </c>
      <c r="S1034" s="57" t="n">
        <v>0.07099999999999999</v>
      </c>
      <c r="T1034" s="59">
        <f>IF(S1034="","",S1034*34+S1034*L1034*12)</f>
        <v/>
      </c>
    </row>
    <row r="1035">
      <c r="A1035" s="54" t="inlineStr">
        <is>
          <t>CA DC Satin Fitted</t>
        </is>
      </c>
      <c r="B1035" s="54" t="inlineStr">
        <is>
          <t>CA</t>
        </is>
      </c>
      <c r="C1035" s="54" t="inlineStr">
        <is>
          <t>B0DBVZNLSM</t>
        </is>
      </c>
      <c r="D1035" s="54" t="inlineStr">
        <is>
          <t>SATIN-FITTED-FULL-BLUSH-PINK</t>
        </is>
      </c>
      <c r="E1035" s="54" t="inlineStr">
        <is>
          <t>Full</t>
        </is>
      </c>
      <c r="F1035" s="54" t="inlineStr">
        <is>
          <t>Blush Pink</t>
        </is>
      </c>
      <c r="G1035" s="55" t="n">
        <v>76</v>
      </c>
      <c r="H1035" s="55" t="n">
        <v>0</v>
      </c>
      <c r="I1035" s="56" t="n"/>
      <c r="J1035" s="57" t="n">
        <v>0.08</v>
      </c>
      <c r="K1035" s="56" t="inlineStr">
        <is>
          <t>account data velocity</t>
        </is>
      </c>
      <c r="L1035" s="58" t="n">
        <v>3.1389</v>
      </c>
      <c r="M1035" s="56" t="inlineStr">
        <is>
          <t>ASSUMED: account BFCM 2025 lift (CA); product's own 2025 lift not reliable</t>
        </is>
      </c>
      <c r="N1035" s="59">
        <f>J1035*34+J1035*L1035*12</f>
        <v/>
      </c>
      <c r="O1035" s="59">
        <f>MAX(0,N1035-G1035-H1035)</f>
        <v/>
      </c>
      <c r="P1035" s="60">
        <f>IF(J1035=0,"",IF(G1035&lt;J1035*34,DATE(2026,10,15)+G1035/J1035,IF(G1035&lt;N1035,DATE(2026,11,18)+(G1035-J1035*34)/(J1035*L1035),"after Nov 30")))</f>
        <v/>
      </c>
      <c r="Q1035" s="60">
        <f>IF(J1035=0,"",IF(G1035+H1035&lt;J1035*34,DATE(2026,10,15)+(G1035+H1035)/J1035,IF(G1035+H1035&lt;N1035,DATE(2026,11,18)+(G1035+H1035-J1035*34)/(J1035*L1035),"after Nov 30")))</f>
        <v/>
      </c>
      <c r="R1035" s="54">
        <f>IF(AND(G1035&lt;=0,J1035&gt;0),"Out of stock now",IF(G1035&gt;=N1035,"Covered to Nov 30",IF(G1035+H1035&gt;=N1035,"Needs inbound in time","Short even with inbound")))</f>
        <v/>
      </c>
      <c r="S1035" s="57" t="n">
        <v>0.107</v>
      </c>
      <c r="T1035" s="59">
        <f>IF(S1035="","",S1035*34+S1035*L1035*12)</f>
        <v/>
      </c>
    </row>
    <row r="1036">
      <c r="A1036" s="54" t="inlineStr">
        <is>
          <t>CA DC Satin Fitted</t>
        </is>
      </c>
      <c r="B1036" s="54" t="inlineStr">
        <is>
          <t>CA</t>
        </is>
      </c>
      <c r="C1036" s="54" t="inlineStr">
        <is>
          <t>B0DBW3YBV4</t>
        </is>
      </c>
      <c r="D1036" s="54" t="inlineStr">
        <is>
          <t>SATIN-FITTED-FULL-RED</t>
        </is>
      </c>
      <c r="E1036" s="54" t="inlineStr">
        <is>
          <t>Full</t>
        </is>
      </c>
      <c r="F1036" s="54" t="inlineStr">
        <is>
          <t>Red</t>
        </is>
      </c>
      <c r="G1036" s="55" t="n">
        <v>21</v>
      </c>
      <c r="H1036" s="55" t="n">
        <v>20</v>
      </c>
      <c r="I1036" s="56" t="inlineStr">
        <is>
          <t>FBA19RSBKFGZ shipped: 20</t>
        </is>
      </c>
      <c r="J1036" s="57" t="n">
        <v>0.08</v>
      </c>
      <c r="K1036" s="56" t="inlineStr">
        <is>
          <t>account data velocity</t>
        </is>
      </c>
      <c r="L1036" s="58" t="n">
        <v>3.1389</v>
      </c>
      <c r="M1036" s="56" t="inlineStr">
        <is>
          <t>ASSUMED: account BFCM 2025 lift (CA); product's own 2025 lift not reliable</t>
        </is>
      </c>
      <c r="N1036" s="59">
        <f>J1036*34+J1036*L1036*12</f>
        <v/>
      </c>
      <c r="O1036" s="59">
        <f>MAX(0,N1036-G1036-H1036)</f>
        <v/>
      </c>
      <c r="P1036" s="60">
        <f>IF(J1036=0,"",IF(G1036&lt;J1036*34,DATE(2026,10,15)+G1036/J1036,IF(G1036&lt;N1036,DATE(2026,11,18)+(G1036-J1036*34)/(J1036*L1036),"after Nov 30")))</f>
        <v/>
      </c>
      <c r="Q1036" s="60">
        <f>IF(J1036=0,"",IF(G1036+H1036&lt;J1036*34,DATE(2026,10,15)+(G1036+H1036)/J1036,IF(G1036+H1036&lt;N1036,DATE(2026,11,18)+(G1036+H1036-J1036*34)/(J1036*L1036),"after Nov 30")))</f>
        <v/>
      </c>
      <c r="R1036" s="54">
        <f>IF(AND(G1036&lt;=0,J1036&gt;0),"Out of stock now",IF(G1036&gt;=N1036,"Covered to Nov 30",IF(G1036+H1036&gt;=N1036,"Needs inbound in time","Short even with inbound")))</f>
        <v/>
      </c>
      <c r="S1036" s="57" t="n">
        <v>0.107</v>
      </c>
      <c r="T1036" s="59">
        <f>IF(S1036="","",S1036*34+S1036*L1036*12)</f>
        <v/>
      </c>
    </row>
    <row r="1037">
      <c r="A1037" s="54" t="inlineStr">
        <is>
          <t>CA DC Satin Fitted</t>
        </is>
      </c>
      <c r="B1037" s="54" t="inlineStr">
        <is>
          <t>CA</t>
        </is>
      </c>
      <c r="C1037" s="54" t="inlineStr">
        <is>
          <t>B0DBW2LTK4</t>
        </is>
      </c>
      <c r="D1037" s="54" t="inlineStr">
        <is>
          <t>SATIN-FITTED-TWIN-GREY</t>
        </is>
      </c>
      <c r="E1037" s="54" t="inlineStr">
        <is>
          <t>Twin</t>
        </is>
      </c>
      <c r="F1037" s="54" t="inlineStr">
        <is>
          <t>Grey</t>
        </is>
      </c>
      <c r="G1037" s="55" t="n">
        <v>90</v>
      </c>
      <c r="H1037" s="55" t="n">
        <v>0</v>
      </c>
      <c r="I1037" s="56" t="n"/>
      <c r="J1037" s="57" t="n">
        <v>0.08</v>
      </c>
      <c r="K1037" s="56" t="inlineStr">
        <is>
          <t>account data velocity</t>
        </is>
      </c>
      <c r="L1037" s="58" t="n">
        <v>3.1389</v>
      </c>
      <c r="M1037" s="56" t="inlineStr">
        <is>
          <t>ASSUMED: account BFCM 2025 lift (CA); product's own 2025 lift not reliable</t>
        </is>
      </c>
      <c r="N1037" s="59">
        <f>J1037*34+J1037*L1037*12</f>
        <v/>
      </c>
      <c r="O1037" s="59">
        <f>MAX(0,N1037-G1037-H1037)</f>
        <v/>
      </c>
      <c r="P1037" s="60">
        <f>IF(J1037=0,"",IF(G1037&lt;J1037*34,DATE(2026,10,15)+G1037/J1037,IF(G1037&lt;N1037,DATE(2026,11,18)+(G1037-J1037*34)/(J1037*L1037),"after Nov 30")))</f>
        <v/>
      </c>
      <c r="Q1037" s="60">
        <f>IF(J1037=0,"",IF(G1037+H1037&lt;J1037*34,DATE(2026,10,15)+(G1037+H1037)/J1037,IF(G1037+H1037&lt;N1037,DATE(2026,11,18)+(G1037+H1037-J1037*34)/(J1037*L1037),"after Nov 30")))</f>
        <v/>
      </c>
      <c r="R1037" s="54">
        <f>IF(AND(G1037&lt;=0,J1037&gt;0),"Out of stock now",IF(G1037&gt;=N1037,"Covered to Nov 30",IF(G1037+H1037&gt;=N1037,"Needs inbound in time","Short even with inbound")))</f>
        <v/>
      </c>
      <c r="S1037" s="57" t="n">
        <v>0.07099999999999999</v>
      </c>
      <c r="T1037" s="59">
        <f>IF(S1037="","",S1037*34+S1037*L1037*12)</f>
        <v/>
      </c>
    </row>
    <row r="1038">
      <c r="A1038" s="54" t="inlineStr">
        <is>
          <t>CA DC Satin Fitted</t>
        </is>
      </c>
      <c r="B1038" s="54" t="inlineStr">
        <is>
          <t>CA</t>
        </is>
      </c>
      <c r="C1038" s="54" t="inlineStr">
        <is>
          <t>B0DBVYYWX3</t>
        </is>
      </c>
      <c r="D1038" s="54" t="inlineStr">
        <is>
          <t>SATIN-FITTED-KING-DARK-GREEN</t>
        </is>
      </c>
      <c r="E1038" s="54" t="inlineStr">
        <is>
          <t>King</t>
        </is>
      </c>
      <c r="F1038" s="54" t="inlineStr">
        <is>
          <t>Dark Green</t>
        </is>
      </c>
      <c r="G1038" s="55" t="n">
        <v>0</v>
      </c>
      <c r="H1038" s="55" t="n">
        <v>0</v>
      </c>
      <c r="I1038" s="56" t="n"/>
      <c r="J1038" s="57" t="n">
        <v>0.07099999999999999</v>
      </c>
      <c r="K1038" s="56" t="inlineStr">
        <is>
          <t>units last 28 days / 28 (no account data velocity: out of stock)</t>
        </is>
      </c>
      <c r="L1038" s="58" t="n">
        <v>3.1389</v>
      </c>
      <c r="M1038" s="56" t="inlineStr">
        <is>
          <t>ASSUMED: account BFCM 2025 lift (CA); product's own 2025 lift not reliable</t>
        </is>
      </c>
      <c r="N1038" s="59">
        <f>J1038*34+J1038*L1038*12</f>
        <v/>
      </c>
      <c r="O1038" s="59">
        <f>MAX(0,N1038-G1038-H1038)</f>
        <v/>
      </c>
      <c r="P1038" s="60">
        <f>IF(J1038=0,"",IF(G1038&lt;J1038*34,DATE(2026,10,15)+G1038/J1038,IF(G1038&lt;N1038,DATE(2026,11,18)+(G1038-J1038*34)/(J1038*L1038),"after Nov 30")))</f>
        <v/>
      </c>
      <c r="Q1038" s="60">
        <f>IF(J1038=0,"",IF(G1038+H1038&lt;J1038*34,DATE(2026,10,15)+(G1038+H1038)/J1038,IF(G1038+H1038&lt;N1038,DATE(2026,11,18)+(G1038+H1038-J1038*34)/(J1038*L1038),"after Nov 30")))</f>
        <v/>
      </c>
      <c r="R1038" s="54">
        <f>IF(AND(G1038&lt;=0,J1038&gt;0),"Out of stock now",IF(G1038&gt;=N1038,"Covered to Nov 30",IF(G1038+H1038&gt;=N1038,"Needs inbound in time","Short even with inbound")))</f>
        <v/>
      </c>
      <c r="S1038" s="57" t="n">
        <v>0.07099999999999999</v>
      </c>
      <c r="T1038" s="59">
        <f>IF(S1038="","",S1038*34+S1038*L1038*12)</f>
        <v/>
      </c>
    </row>
    <row r="1039">
      <c r="A1039" s="54" t="inlineStr">
        <is>
          <t>CA DC Satin Fitted</t>
        </is>
      </c>
      <c r="B1039" s="54" t="inlineStr">
        <is>
          <t>CA</t>
        </is>
      </c>
      <c r="C1039" s="54" t="inlineStr">
        <is>
          <t>B0DBVZBLDK</t>
        </is>
      </c>
      <c r="D1039" s="54" t="inlineStr">
        <is>
          <t>SATIN-FITTED-QUEEN-BLUSH-PINK</t>
        </is>
      </c>
      <c r="E1039" s="54" t="inlineStr">
        <is>
          <t>Queen</t>
        </is>
      </c>
      <c r="F1039" s="54" t="inlineStr">
        <is>
          <t>Blush Pink</t>
        </is>
      </c>
      <c r="G1039" s="55" t="n">
        <v>0</v>
      </c>
      <c r="H1039" s="55" t="n">
        <v>0</v>
      </c>
      <c r="I1039" s="56" t="n"/>
      <c r="J1039" s="57" t="n">
        <v>0.07099999999999999</v>
      </c>
      <c r="K1039" s="56" t="inlineStr">
        <is>
          <t>units last 28 days / 28 (no account data velocity: out of stock)</t>
        </is>
      </c>
      <c r="L1039" s="58" t="n">
        <v>3.1389</v>
      </c>
      <c r="M1039" s="56" t="inlineStr">
        <is>
          <t>ASSUMED: account BFCM 2025 lift (CA); product's own 2025 lift not reliable</t>
        </is>
      </c>
      <c r="N1039" s="59">
        <f>J1039*34+J1039*L1039*12</f>
        <v/>
      </c>
      <c r="O1039" s="59">
        <f>MAX(0,N1039-G1039-H1039)</f>
        <v/>
      </c>
      <c r="P1039" s="60">
        <f>IF(J1039=0,"",IF(G1039&lt;J1039*34,DATE(2026,10,15)+G1039/J1039,IF(G1039&lt;N1039,DATE(2026,11,18)+(G1039-J1039*34)/(J1039*L1039),"after Nov 30")))</f>
        <v/>
      </c>
      <c r="Q1039" s="60">
        <f>IF(J1039=0,"",IF(G1039+H1039&lt;J1039*34,DATE(2026,10,15)+(G1039+H1039)/J1039,IF(G1039+H1039&lt;N1039,DATE(2026,11,18)+(G1039+H1039-J1039*34)/(J1039*L1039),"after Nov 30")))</f>
        <v/>
      </c>
      <c r="R1039" s="54">
        <f>IF(AND(G1039&lt;=0,J1039&gt;0),"Out of stock now",IF(G1039&gt;=N1039,"Covered to Nov 30",IF(G1039+H1039&gt;=N1039,"Needs inbound in time","Short even with inbound")))</f>
        <v/>
      </c>
      <c r="S1039" s="57" t="n">
        <v>0.07099999999999999</v>
      </c>
      <c r="T1039" s="59">
        <f>IF(S1039="","",S1039*34+S1039*L1039*12)</f>
        <v/>
      </c>
    </row>
    <row r="1040">
      <c r="A1040" s="54" t="inlineStr">
        <is>
          <t>CA DC Satin Fitted</t>
        </is>
      </c>
      <c r="B1040" s="54" t="inlineStr">
        <is>
          <t>CA</t>
        </is>
      </c>
      <c r="C1040" s="54" t="inlineStr">
        <is>
          <t>B0DBVZGV7Z</t>
        </is>
      </c>
      <c r="D1040" s="54" t="inlineStr">
        <is>
          <t>SATIN-FITTED-KING-SAGE-GREEN</t>
        </is>
      </c>
      <c r="E1040" s="54" t="inlineStr">
        <is>
          <t>King</t>
        </is>
      </c>
      <c r="F1040" s="54" t="inlineStr">
        <is>
          <t>Sage Green</t>
        </is>
      </c>
      <c r="G1040" s="55" t="n">
        <v>13</v>
      </c>
      <c r="H1040" s="55" t="n">
        <v>0</v>
      </c>
      <c r="I1040" s="56" t="n"/>
      <c r="J1040" s="57" t="n">
        <v>0.07000000000000001</v>
      </c>
      <c r="K1040" s="56" t="inlineStr">
        <is>
          <t>account data velocity</t>
        </is>
      </c>
      <c r="L1040" s="58" t="n">
        <v>3.1389</v>
      </c>
      <c r="M1040" s="56" t="inlineStr">
        <is>
          <t>ASSUMED: account BFCM 2025 lift (CA); product's own 2025 lift not reliable</t>
        </is>
      </c>
      <c r="N1040" s="59">
        <f>J1040*34+J1040*L1040*12</f>
        <v/>
      </c>
      <c r="O1040" s="59">
        <f>MAX(0,N1040-G1040-H1040)</f>
        <v/>
      </c>
      <c r="P1040" s="60">
        <f>IF(J1040=0,"",IF(G1040&lt;J1040*34,DATE(2026,10,15)+G1040/J1040,IF(G1040&lt;N1040,DATE(2026,11,18)+(G1040-J1040*34)/(J1040*L1040),"after Nov 30")))</f>
        <v/>
      </c>
      <c r="Q1040" s="60">
        <f>IF(J1040=0,"",IF(G1040+H1040&lt;J1040*34,DATE(2026,10,15)+(G1040+H1040)/J1040,IF(G1040+H1040&lt;N1040,DATE(2026,11,18)+(G1040+H1040-J1040*34)/(J1040*L1040),"after Nov 30")))</f>
        <v/>
      </c>
      <c r="R1040" s="54">
        <f>IF(AND(G1040&lt;=0,J1040&gt;0),"Out of stock now",IF(G1040&gt;=N1040,"Covered to Nov 30",IF(G1040+H1040&gt;=N1040,"Needs inbound in time","Short even with inbound")))</f>
        <v/>
      </c>
      <c r="S1040" s="57" t="n">
        <v>0.107</v>
      </c>
      <c r="T1040" s="59">
        <f>IF(S1040="","",S1040*34+S1040*L1040*12)</f>
        <v/>
      </c>
    </row>
    <row r="1041">
      <c r="A1041" s="54" t="inlineStr">
        <is>
          <t>CA DC Satin Fitted</t>
        </is>
      </c>
      <c r="B1041" s="54" t="inlineStr">
        <is>
          <t>CA</t>
        </is>
      </c>
      <c r="C1041" s="54" t="inlineStr">
        <is>
          <t>B0DBW17ZJP</t>
        </is>
      </c>
      <c r="D1041" s="54" t="inlineStr">
        <is>
          <t>SATIN-FITTED-FULL-GREY</t>
        </is>
      </c>
      <c r="E1041" s="54" t="inlineStr">
        <is>
          <t>Full</t>
        </is>
      </c>
      <c r="F1041" s="54" t="inlineStr">
        <is>
          <t>Grey</t>
        </is>
      </c>
      <c r="G1041" s="55" t="n">
        <v>56</v>
      </c>
      <c r="H1041" s="55" t="n">
        <v>20</v>
      </c>
      <c r="I1041" s="56" t="n"/>
      <c r="J1041" s="57" t="n">
        <v>0.07000000000000001</v>
      </c>
      <c r="K1041" s="56" t="inlineStr">
        <is>
          <t>account data velocity</t>
        </is>
      </c>
      <c r="L1041" s="58" t="n">
        <v>3.1389</v>
      </c>
      <c r="M1041" s="56" t="inlineStr">
        <is>
          <t>ASSUMED: account BFCM 2025 lift (CA); product's own 2025 lift not reliable</t>
        </is>
      </c>
      <c r="N1041" s="59">
        <f>J1041*34+J1041*L1041*12</f>
        <v/>
      </c>
      <c r="O1041" s="59">
        <f>MAX(0,N1041-G1041-H1041)</f>
        <v/>
      </c>
      <c r="P1041" s="60">
        <f>IF(J1041=0,"",IF(G1041&lt;J1041*34,DATE(2026,10,15)+G1041/J1041,IF(G1041&lt;N1041,DATE(2026,11,18)+(G1041-J1041*34)/(J1041*L1041),"after Nov 30")))</f>
        <v/>
      </c>
      <c r="Q1041" s="60">
        <f>IF(J1041=0,"",IF(G1041+H1041&lt;J1041*34,DATE(2026,10,15)+(G1041+H1041)/J1041,IF(G1041+H1041&lt;N1041,DATE(2026,11,18)+(G1041+H1041-J1041*34)/(J1041*L1041),"after Nov 30")))</f>
        <v/>
      </c>
      <c r="R1041" s="54">
        <f>IF(AND(G1041&lt;=0,J1041&gt;0),"Out of stock now",IF(G1041&gt;=N1041,"Covered to Nov 30",IF(G1041+H1041&gt;=N1041,"Needs inbound in time","Short even with inbound")))</f>
        <v/>
      </c>
      <c r="S1041" s="57" t="n">
        <v>0.07099999999999999</v>
      </c>
      <c r="T1041" s="59">
        <f>IF(S1041="","",S1041*34+S1041*L1041*12)</f>
        <v/>
      </c>
    </row>
    <row r="1042">
      <c r="A1042" s="54" t="inlineStr">
        <is>
          <t>CA DC Satin Fitted</t>
        </is>
      </c>
      <c r="B1042" s="54" t="inlineStr">
        <is>
          <t>CA</t>
        </is>
      </c>
      <c r="C1042" s="54" t="inlineStr">
        <is>
          <t>B0DBW6FW27</t>
        </is>
      </c>
      <c r="D1042" s="54" t="inlineStr">
        <is>
          <t>SATIN-FITTED-TWIN-IVORY</t>
        </is>
      </c>
      <c r="E1042" s="54" t="inlineStr">
        <is>
          <t>Twin</t>
        </is>
      </c>
      <c r="F1042" s="54" t="inlineStr">
        <is>
          <t>Ivory</t>
        </is>
      </c>
      <c r="G1042" s="55" t="n">
        <v>29</v>
      </c>
      <c r="H1042" s="55" t="n">
        <v>0</v>
      </c>
      <c r="I1042" s="56" t="n"/>
      <c r="J1042" s="57" t="n">
        <v>0.07000000000000001</v>
      </c>
      <c r="K1042" s="56" t="inlineStr">
        <is>
          <t>account data velocity</t>
        </is>
      </c>
      <c r="L1042" s="58" t="n">
        <v>3.1389</v>
      </c>
      <c r="M1042" s="56" t="inlineStr">
        <is>
          <t>ASSUMED: account BFCM 2025 lift (CA); product's own 2025 lift not reliable</t>
        </is>
      </c>
      <c r="N1042" s="59">
        <f>J1042*34+J1042*L1042*12</f>
        <v/>
      </c>
      <c r="O1042" s="59">
        <f>MAX(0,N1042-G1042-H1042)</f>
        <v/>
      </c>
      <c r="P1042" s="60">
        <f>IF(J1042=0,"",IF(G1042&lt;J1042*34,DATE(2026,10,15)+G1042/J1042,IF(G1042&lt;N1042,DATE(2026,11,18)+(G1042-J1042*34)/(J1042*L1042),"after Nov 30")))</f>
        <v/>
      </c>
      <c r="Q1042" s="60">
        <f>IF(J1042=0,"",IF(G1042+H1042&lt;J1042*34,DATE(2026,10,15)+(G1042+H1042)/J1042,IF(G1042+H1042&lt;N1042,DATE(2026,11,18)+(G1042+H1042-J1042*34)/(J1042*L1042),"after Nov 30")))</f>
        <v/>
      </c>
      <c r="R1042" s="54">
        <f>IF(AND(G1042&lt;=0,J1042&gt;0),"Out of stock now",IF(G1042&gt;=N1042,"Covered to Nov 30",IF(G1042+H1042&gt;=N1042,"Needs inbound in time","Short even with inbound")))</f>
        <v/>
      </c>
      <c r="S1042" s="57" t="n">
        <v>0.07099999999999999</v>
      </c>
      <c r="T1042" s="59">
        <f>IF(S1042="","",S1042*34+S1042*L1042*12)</f>
        <v/>
      </c>
    </row>
    <row r="1043">
      <c r="A1043" s="54" t="inlineStr">
        <is>
          <t>CA DC Satin Fitted</t>
        </is>
      </c>
      <c r="B1043" s="54" t="inlineStr">
        <is>
          <t>CA</t>
        </is>
      </c>
      <c r="C1043" s="54" t="inlineStr">
        <is>
          <t>B0DBW1M6RN</t>
        </is>
      </c>
      <c r="D1043" s="54" t="inlineStr">
        <is>
          <t>SATIN-FITTED-KING-RED</t>
        </is>
      </c>
      <c r="E1043" s="54" t="inlineStr">
        <is>
          <t>King</t>
        </is>
      </c>
      <c r="F1043" s="54" t="inlineStr">
        <is>
          <t>Red</t>
        </is>
      </c>
      <c r="G1043" s="55" t="n">
        <v>2</v>
      </c>
      <c r="H1043" s="55" t="n">
        <v>0</v>
      </c>
      <c r="I1043" s="56" t="n"/>
      <c r="J1043" s="57" t="n">
        <v>0.06</v>
      </c>
      <c r="K1043" s="56" t="inlineStr">
        <is>
          <t>account data velocity</t>
        </is>
      </c>
      <c r="L1043" s="58" t="n">
        <v>3.1389</v>
      </c>
      <c r="M1043" s="56" t="inlineStr">
        <is>
          <t>ASSUMED: account BFCM 2025 lift (CA); product's own 2025 lift not reliable</t>
        </is>
      </c>
      <c r="N1043" s="59">
        <f>J1043*34+J1043*L1043*12</f>
        <v/>
      </c>
      <c r="O1043" s="59">
        <f>MAX(0,N1043-G1043-H1043)</f>
        <v/>
      </c>
      <c r="P1043" s="60">
        <f>IF(J1043=0,"",IF(G1043&lt;J1043*34,DATE(2026,10,15)+G1043/J1043,IF(G1043&lt;N1043,DATE(2026,11,18)+(G1043-J1043*34)/(J1043*L1043),"after Nov 30")))</f>
        <v/>
      </c>
      <c r="Q1043" s="60">
        <f>IF(J1043=0,"",IF(G1043+H1043&lt;J1043*34,DATE(2026,10,15)+(G1043+H1043)/J1043,IF(G1043+H1043&lt;N1043,DATE(2026,11,18)+(G1043+H1043-J1043*34)/(J1043*L1043),"after Nov 30")))</f>
        <v/>
      </c>
      <c r="R1043" s="54">
        <f>IF(AND(G1043&lt;=0,J1043&gt;0),"Out of stock now",IF(G1043&gt;=N1043,"Covered to Nov 30",IF(G1043+H1043&gt;=N1043,"Needs inbound in time","Short even with inbound")))</f>
        <v/>
      </c>
      <c r="S1043" s="57" t="n">
        <v>0.179</v>
      </c>
      <c r="T1043" s="59">
        <f>IF(S1043="","",S1043*34+S1043*L1043*12)</f>
        <v/>
      </c>
    </row>
    <row r="1044">
      <c r="A1044" s="54" t="inlineStr">
        <is>
          <t>CA DC Satin Fitted</t>
        </is>
      </c>
      <c r="B1044" s="54" t="inlineStr">
        <is>
          <t>CA</t>
        </is>
      </c>
      <c r="C1044" s="54" t="inlineStr">
        <is>
          <t>B0DBVZZD7X</t>
        </is>
      </c>
      <c r="D1044" s="54" t="inlineStr">
        <is>
          <t>SATIN-FITTED-KING-BLUSH-PINK</t>
        </is>
      </c>
      <c r="E1044" s="54" t="inlineStr">
        <is>
          <t>King</t>
        </is>
      </c>
      <c r="F1044" s="54" t="inlineStr">
        <is>
          <t>Blush Pink</t>
        </is>
      </c>
      <c r="G1044" s="55" t="n">
        <v>16</v>
      </c>
      <c r="H1044" s="55" t="n">
        <v>0</v>
      </c>
      <c r="I1044" s="56" t="n"/>
      <c r="J1044" s="57" t="n">
        <v>0.06</v>
      </c>
      <c r="K1044" s="56" t="inlineStr">
        <is>
          <t>account data velocity</t>
        </is>
      </c>
      <c r="L1044" s="58" t="n">
        <v>3.1389</v>
      </c>
      <c r="M1044" s="56" t="inlineStr">
        <is>
          <t>ASSUMED: account BFCM 2025 lift (CA); product's own 2025 lift not reliable</t>
        </is>
      </c>
      <c r="N1044" s="59">
        <f>J1044*34+J1044*L1044*12</f>
        <v/>
      </c>
      <c r="O1044" s="59">
        <f>MAX(0,N1044-G1044-H1044)</f>
        <v/>
      </c>
      <c r="P1044" s="60">
        <f>IF(J1044=0,"",IF(G1044&lt;J1044*34,DATE(2026,10,15)+G1044/J1044,IF(G1044&lt;N1044,DATE(2026,11,18)+(G1044-J1044*34)/(J1044*L1044),"after Nov 30")))</f>
        <v/>
      </c>
      <c r="Q1044" s="60">
        <f>IF(J1044=0,"",IF(G1044+H1044&lt;J1044*34,DATE(2026,10,15)+(G1044+H1044)/J1044,IF(G1044+H1044&lt;N1044,DATE(2026,11,18)+(G1044+H1044-J1044*34)/(J1044*L1044),"after Nov 30")))</f>
        <v/>
      </c>
      <c r="R1044" s="54">
        <f>IF(AND(G1044&lt;=0,J1044&gt;0),"Out of stock now",IF(G1044&gt;=N1044,"Covered to Nov 30",IF(G1044+H1044&gt;=N1044,"Needs inbound in time","Short even with inbound")))</f>
        <v/>
      </c>
      <c r="S1044" s="57" t="n">
        <v>0.07099999999999999</v>
      </c>
      <c r="T1044" s="59">
        <f>IF(S1044="","",S1044*34+S1044*L1044*12)</f>
        <v/>
      </c>
    </row>
    <row r="1045">
      <c r="A1045" s="54" t="inlineStr">
        <is>
          <t>CA DC Satin Fitted</t>
        </is>
      </c>
      <c r="B1045" s="54" t="inlineStr">
        <is>
          <t>CA</t>
        </is>
      </c>
      <c r="C1045" s="54" t="inlineStr">
        <is>
          <t>B0DBW1M6RR</t>
        </is>
      </c>
      <c r="D1045" s="54" t="inlineStr">
        <is>
          <t>SATIN-FITTED-TWIN-PURPLE</t>
        </is>
      </c>
      <c r="E1045" s="54" t="inlineStr">
        <is>
          <t>Twin</t>
        </is>
      </c>
      <c r="F1045" s="54" t="inlineStr">
        <is>
          <t>Purple</t>
        </is>
      </c>
      <c r="G1045" s="55" t="n">
        <v>28</v>
      </c>
      <c r="H1045" s="55" t="n">
        <v>0</v>
      </c>
      <c r="I1045" s="56" t="n"/>
      <c r="J1045" s="57" t="n">
        <v>0.06</v>
      </c>
      <c r="K1045" s="56" t="inlineStr">
        <is>
          <t>account data velocity</t>
        </is>
      </c>
      <c r="L1045" s="58" t="n">
        <v>3.1389</v>
      </c>
      <c r="M1045" s="56" t="inlineStr">
        <is>
          <t>ASSUMED: account BFCM 2025 lift (CA); product's own 2025 lift not reliable</t>
        </is>
      </c>
      <c r="N1045" s="59">
        <f>J1045*34+J1045*L1045*12</f>
        <v/>
      </c>
      <c r="O1045" s="59">
        <f>MAX(0,N1045-G1045-H1045)</f>
        <v/>
      </c>
      <c r="P1045" s="60">
        <f>IF(J1045=0,"",IF(G1045&lt;J1045*34,DATE(2026,10,15)+G1045/J1045,IF(G1045&lt;N1045,DATE(2026,11,18)+(G1045-J1045*34)/(J1045*L1045),"after Nov 30")))</f>
        <v/>
      </c>
      <c r="Q1045" s="60">
        <f>IF(J1045=0,"",IF(G1045+H1045&lt;J1045*34,DATE(2026,10,15)+(G1045+H1045)/J1045,IF(G1045+H1045&lt;N1045,DATE(2026,11,18)+(G1045+H1045-J1045*34)/(J1045*L1045),"after Nov 30")))</f>
        <v/>
      </c>
      <c r="R1045" s="54">
        <f>IF(AND(G1045&lt;=0,J1045&gt;0),"Out of stock now",IF(G1045&gt;=N1045,"Covered to Nov 30",IF(G1045+H1045&gt;=N1045,"Needs inbound in time","Short even with inbound")))</f>
        <v/>
      </c>
      <c r="S1045" s="57" t="n">
        <v>0.07099999999999999</v>
      </c>
      <c r="T1045" s="59">
        <f>IF(S1045="","",S1045*34+S1045*L1045*12)</f>
        <v/>
      </c>
    </row>
    <row r="1046">
      <c r="A1046" s="54" t="inlineStr">
        <is>
          <t>CA DC Satin Fitted</t>
        </is>
      </c>
      <c r="B1046" s="54" t="inlineStr">
        <is>
          <t>CA</t>
        </is>
      </c>
      <c r="C1046" s="54" t="inlineStr">
        <is>
          <t>B0DBVZYXY9</t>
        </is>
      </c>
      <c r="D1046" s="54" t="inlineStr">
        <is>
          <t>SATIN-FITTED-QUEEN-NAVY-BLUE</t>
        </is>
      </c>
      <c r="E1046" s="54" t="inlineStr">
        <is>
          <t>Queen</t>
        </is>
      </c>
      <c r="F1046" s="54" t="inlineStr">
        <is>
          <t>Navy Blue</t>
        </is>
      </c>
      <c r="G1046" s="55" t="n">
        <v>0</v>
      </c>
      <c r="H1046" s="55" t="n">
        <v>0</v>
      </c>
      <c r="I1046" s="56" t="n"/>
      <c r="J1046" s="57" t="n">
        <v>0.05</v>
      </c>
      <c r="K1046" s="56" t="inlineStr">
        <is>
          <t>account data velocity</t>
        </is>
      </c>
      <c r="L1046" s="58" t="n">
        <v>3.1389</v>
      </c>
      <c r="M1046" s="56" t="inlineStr">
        <is>
          <t>ASSUMED: account BFCM 2025 lift (CA); product's own 2025 lift not reliable</t>
        </is>
      </c>
      <c r="N1046" s="59">
        <f>J1046*34+J1046*L1046*12</f>
        <v/>
      </c>
      <c r="O1046" s="59">
        <f>MAX(0,N1046-G1046-H1046)</f>
        <v/>
      </c>
      <c r="P1046" s="60">
        <f>IF(J1046=0,"",IF(G1046&lt;J1046*34,DATE(2026,10,15)+G1046/J1046,IF(G1046&lt;N1046,DATE(2026,11,18)+(G1046-J1046*34)/(J1046*L1046),"after Nov 30")))</f>
        <v/>
      </c>
      <c r="Q1046" s="60">
        <f>IF(J1046=0,"",IF(G1046+H1046&lt;J1046*34,DATE(2026,10,15)+(G1046+H1046)/J1046,IF(G1046+H1046&lt;N1046,DATE(2026,11,18)+(G1046+H1046-J1046*34)/(J1046*L1046),"after Nov 30")))</f>
        <v/>
      </c>
      <c r="R1046" s="54">
        <f>IF(AND(G1046&lt;=0,J1046&gt;0),"Out of stock now",IF(G1046&gt;=N1046,"Covered to Nov 30",IF(G1046+H1046&gt;=N1046,"Needs inbound in time","Short even with inbound")))</f>
        <v/>
      </c>
      <c r="S1046" s="57" t="n">
        <v>0.143</v>
      </c>
      <c r="T1046" s="59">
        <f>IF(S1046="","",S1046*34+S1046*L1046*12)</f>
        <v/>
      </c>
    </row>
    <row r="1047">
      <c r="A1047" s="54" t="inlineStr">
        <is>
          <t>CA DC Satin Fitted</t>
        </is>
      </c>
      <c r="B1047" s="54" t="inlineStr">
        <is>
          <t>CA</t>
        </is>
      </c>
      <c r="C1047" s="54" t="inlineStr">
        <is>
          <t>B0DBW2G5JS</t>
        </is>
      </c>
      <c r="D1047" s="54" t="inlineStr">
        <is>
          <t>SATIN-FITTED-KING-IVORY</t>
        </is>
      </c>
      <c r="E1047" s="54" t="inlineStr">
        <is>
          <t>King</t>
        </is>
      </c>
      <c r="F1047" s="54" t="inlineStr">
        <is>
          <t>Ivory</t>
        </is>
      </c>
      <c r="G1047" s="55" t="n">
        <v>0</v>
      </c>
      <c r="H1047" s="55" t="n">
        <v>0</v>
      </c>
      <c r="I1047" s="56" t="n"/>
      <c r="J1047" s="57" t="n">
        <v>0.05</v>
      </c>
      <c r="K1047" s="56" t="inlineStr">
        <is>
          <t>account data velocity</t>
        </is>
      </c>
      <c r="L1047" s="58" t="n">
        <v>3.1389</v>
      </c>
      <c r="M1047" s="56" t="inlineStr">
        <is>
          <t>ASSUMED: account BFCM 2025 lift (CA); product's own 2025 lift not reliable</t>
        </is>
      </c>
      <c r="N1047" s="59">
        <f>J1047*34+J1047*L1047*12</f>
        <v/>
      </c>
      <c r="O1047" s="59">
        <f>MAX(0,N1047-G1047-H1047)</f>
        <v/>
      </c>
      <c r="P1047" s="60">
        <f>IF(J1047=0,"",IF(G1047&lt;J1047*34,DATE(2026,10,15)+G1047/J1047,IF(G1047&lt;N1047,DATE(2026,11,18)+(G1047-J1047*34)/(J1047*L1047),"after Nov 30")))</f>
        <v/>
      </c>
      <c r="Q1047" s="60">
        <f>IF(J1047=0,"",IF(G1047+H1047&lt;J1047*34,DATE(2026,10,15)+(G1047+H1047)/J1047,IF(G1047+H1047&lt;N1047,DATE(2026,11,18)+(G1047+H1047-J1047*34)/(J1047*L1047),"after Nov 30")))</f>
        <v/>
      </c>
      <c r="R1047" s="54">
        <f>IF(AND(G1047&lt;=0,J1047&gt;0),"Out of stock now",IF(G1047&gt;=N1047,"Covered to Nov 30",IF(G1047+H1047&gt;=N1047,"Needs inbound in time","Short even with inbound")))</f>
        <v/>
      </c>
      <c r="S1047" s="57" t="n">
        <v>0.107</v>
      </c>
      <c r="T1047" s="59">
        <f>IF(S1047="","",S1047*34+S1047*L1047*12)</f>
        <v/>
      </c>
    </row>
    <row r="1048">
      <c r="A1048" s="54" t="inlineStr">
        <is>
          <t>CA DC Satin Fitted</t>
        </is>
      </c>
      <c r="B1048" s="54" t="inlineStr">
        <is>
          <t>CA</t>
        </is>
      </c>
      <c r="C1048" s="54" t="inlineStr">
        <is>
          <t>B0DBVZTM41</t>
        </is>
      </c>
      <c r="D1048" s="54" t="inlineStr">
        <is>
          <t>SATIN-FITTED-FULL-BLACK</t>
        </is>
      </c>
      <c r="E1048" s="54" t="inlineStr">
        <is>
          <t>Full</t>
        </is>
      </c>
      <c r="F1048" s="54" t="inlineStr">
        <is>
          <t>Black</t>
        </is>
      </c>
      <c r="G1048" s="55" t="n">
        <v>0</v>
      </c>
      <c r="H1048" s="55" t="n">
        <v>0</v>
      </c>
      <c r="I1048" s="56" t="n"/>
      <c r="J1048" s="57" t="n">
        <v>0.05</v>
      </c>
      <c r="K1048" s="56" t="inlineStr">
        <is>
          <t>account data velocity</t>
        </is>
      </c>
      <c r="L1048" s="58" t="n">
        <v>3.1389</v>
      </c>
      <c r="M1048" s="56" t="inlineStr">
        <is>
          <t>ASSUMED: account BFCM 2025 lift (CA); product's own 2025 lift not reliable</t>
        </is>
      </c>
      <c r="N1048" s="59">
        <f>J1048*34+J1048*L1048*12</f>
        <v/>
      </c>
      <c r="O1048" s="59">
        <f>MAX(0,N1048-G1048-H1048)</f>
        <v/>
      </c>
      <c r="P1048" s="60">
        <f>IF(J1048=0,"",IF(G1048&lt;J1048*34,DATE(2026,10,15)+G1048/J1048,IF(G1048&lt;N1048,DATE(2026,11,18)+(G1048-J1048*34)/(J1048*L1048),"after Nov 30")))</f>
        <v/>
      </c>
      <c r="Q1048" s="60">
        <f>IF(J1048=0,"",IF(G1048+H1048&lt;J1048*34,DATE(2026,10,15)+(G1048+H1048)/J1048,IF(G1048+H1048&lt;N1048,DATE(2026,11,18)+(G1048+H1048-J1048*34)/(J1048*L1048),"after Nov 30")))</f>
        <v/>
      </c>
      <c r="R1048" s="54">
        <f>IF(AND(G1048&lt;=0,J1048&gt;0),"Out of stock now",IF(G1048&gt;=N1048,"Covered to Nov 30",IF(G1048+H1048&gt;=N1048,"Needs inbound in time","Short even with inbound")))</f>
        <v/>
      </c>
      <c r="S1048" s="57" t="n"/>
      <c r="T1048" s="59">
        <f>IF(S1048="","",S1048*34+S1048*L1048*12)</f>
        <v/>
      </c>
    </row>
    <row r="1049">
      <c r="A1049" s="54" t="inlineStr">
        <is>
          <t>CA DC Satin Fitted</t>
        </is>
      </c>
      <c r="B1049" s="54" t="inlineStr">
        <is>
          <t>CA</t>
        </is>
      </c>
      <c r="C1049" s="54" t="inlineStr">
        <is>
          <t>B0DBVZ9JMT</t>
        </is>
      </c>
      <c r="D1049" s="54" t="inlineStr">
        <is>
          <t>SATIN-FITTED-TWIN-LAVENDER</t>
        </is>
      </c>
      <c r="E1049" s="54" t="inlineStr">
        <is>
          <t>Twin</t>
        </is>
      </c>
      <c r="F1049" s="54" t="inlineStr">
        <is>
          <t>Lavender</t>
        </is>
      </c>
      <c r="G1049" s="55" t="n">
        <v>33</v>
      </c>
      <c r="H1049" s="55" t="n">
        <v>0</v>
      </c>
      <c r="I1049" s="56" t="n"/>
      <c r="J1049" s="57" t="n">
        <v>0.04</v>
      </c>
      <c r="K1049" s="56" t="inlineStr">
        <is>
          <t>account data velocity</t>
        </is>
      </c>
      <c r="L1049" s="58" t="n">
        <v>3.1389</v>
      </c>
      <c r="M1049" s="56" t="inlineStr">
        <is>
          <t>ASSUMED: account BFCM 2025 lift (CA); product's own 2025 lift not reliable</t>
        </is>
      </c>
      <c r="N1049" s="59">
        <f>J1049*34+J1049*L1049*12</f>
        <v/>
      </c>
      <c r="O1049" s="59">
        <f>MAX(0,N1049-G1049-H1049)</f>
        <v/>
      </c>
      <c r="P1049" s="60">
        <f>IF(J1049=0,"",IF(G1049&lt;J1049*34,DATE(2026,10,15)+G1049/J1049,IF(G1049&lt;N1049,DATE(2026,11,18)+(G1049-J1049*34)/(J1049*L1049),"after Nov 30")))</f>
        <v/>
      </c>
      <c r="Q1049" s="60">
        <f>IF(J1049=0,"",IF(G1049+H1049&lt;J1049*34,DATE(2026,10,15)+(G1049+H1049)/J1049,IF(G1049+H1049&lt;N1049,DATE(2026,11,18)+(G1049+H1049-J1049*34)/(J1049*L1049),"after Nov 30")))</f>
        <v/>
      </c>
      <c r="R1049" s="54">
        <f>IF(AND(G1049&lt;=0,J1049&gt;0),"Out of stock now",IF(G1049&gt;=N1049,"Covered to Nov 30",IF(G1049+H1049&gt;=N1049,"Needs inbound in time","Short even with inbound")))</f>
        <v/>
      </c>
      <c r="S1049" s="57" t="n">
        <v>0.179</v>
      </c>
      <c r="T1049" s="59">
        <f>IF(S1049="","",S1049*34+S1049*L1049*12)</f>
        <v/>
      </c>
    </row>
    <row r="1050">
      <c r="A1050" s="54" t="inlineStr">
        <is>
          <t>CA DC Satin Fitted</t>
        </is>
      </c>
      <c r="B1050" s="54" t="inlineStr">
        <is>
          <t>CA</t>
        </is>
      </c>
      <c r="C1050" s="54" t="inlineStr">
        <is>
          <t>B0DBVYHGK1</t>
        </is>
      </c>
      <c r="D1050" s="54" t="inlineStr">
        <is>
          <t>SATIN-FITTED-FULL-NAVY-BLUE</t>
        </is>
      </c>
      <c r="E1050" s="54" t="inlineStr">
        <is>
          <t>Full</t>
        </is>
      </c>
      <c r="F1050" s="54" t="inlineStr">
        <is>
          <t>Navy Blue</t>
        </is>
      </c>
      <c r="G1050" s="55" t="n">
        <v>37</v>
      </c>
      <c r="H1050" s="55" t="n">
        <v>40</v>
      </c>
      <c r="I1050" s="56" t="inlineStr">
        <is>
          <t>FBA19MV0YVFX shipped: 40</t>
        </is>
      </c>
      <c r="J1050" s="57" t="n">
        <v>0.04</v>
      </c>
      <c r="K1050" s="56" t="inlineStr">
        <is>
          <t>account data velocity</t>
        </is>
      </c>
      <c r="L1050" s="58" t="n">
        <v>3.1389</v>
      </c>
      <c r="M1050" s="56" t="inlineStr">
        <is>
          <t>ASSUMED: account BFCM 2025 lift (CA); product's own 2025 lift not reliable</t>
        </is>
      </c>
      <c r="N1050" s="59">
        <f>J1050*34+J1050*L1050*12</f>
        <v/>
      </c>
      <c r="O1050" s="59">
        <f>MAX(0,N1050-G1050-H1050)</f>
        <v/>
      </c>
      <c r="P1050" s="60">
        <f>IF(J1050=0,"",IF(G1050&lt;J1050*34,DATE(2026,10,15)+G1050/J1050,IF(G1050&lt;N1050,DATE(2026,11,18)+(G1050-J1050*34)/(J1050*L1050),"after Nov 30")))</f>
        <v/>
      </c>
      <c r="Q1050" s="60">
        <f>IF(J1050=0,"",IF(G1050+H1050&lt;J1050*34,DATE(2026,10,15)+(G1050+H1050)/J1050,IF(G1050+H1050&lt;N1050,DATE(2026,11,18)+(G1050+H1050-J1050*34)/(J1050*L1050),"after Nov 30")))</f>
        <v/>
      </c>
      <c r="R1050" s="54">
        <f>IF(AND(G1050&lt;=0,J1050&gt;0),"Out of stock now",IF(G1050&gt;=N1050,"Covered to Nov 30",IF(G1050+H1050&gt;=N1050,"Needs inbound in time","Short even with inbound")))</f>
        <v/>
      </c>
      <c r="S1050" s="57" t="n">
        <v>0.107</v>
      </c>
      <c r="T1050" s="59">
        <f>IF(S1050="","",S1050*34+S1050*L1050*12)</f>
        <v/>
      </c>
    </row>
    <row r="1051">
      <c r="A1051" s="54" t="inlineStr">
        <is>
          <t>CA DC Satin Fitted</t>
        </is>
      </c>
      <c r="B1051" s="54" t="inlineStr">
        <is>
          <t>CA</t>
        </is>
      </c>
      <c r="C1051" s="54" t="inlineStr">
        <is>
          <t>B0DBW1ZHFR</t>
        </is>
      </c>
      <c r="D1051" s="54" t="inlineStr">
        <is>
          <t>SATIN-FITTED-TWIN-NAVY-BLUE</t>
        </is>
      </c>
      <c r="E1051" s="54" t="inlineStr">
        <is>
          <t>Twin</t>
        </is>
      </c>
      <c r="F1051" s="54" t="inlineStr">
        <is>
          <t>Navy Blue</t>
        </is>
      </c>
      <c r="G1051" s="55" t="n">
        <v>43</v>
      </c>
      <c r="H1051" s="55" t="n">
        <v>0</v>
      </c>
      <c r="I1051" s="56" t="n"/>
      <c r="J1051" s="57" t="n">
        <v>0.04</v>
      </c>
      <c r="K1051" s="56" t="inlineStr">
        <is>
          <t>account data velocity</t>
        </is>
      </c>
      <c r="L1051" s="58" t="n">
        <v>3.1389</v>
      </c>
      <c r="M1051" s="56" t="inlineStr">
        <is>
          <t>ASSUMED: account BFCM 2025 lift (CA); product's own 2025 lift not reliable</t>
        </is>
      </c>
      <c r="N1051" s="59">
        <f>J1051*34+J1051*L1051*12</f>
        <v/>
      </c>
      <c r="O1051" s="59">
        <f>MAX(0,N1051-G1051-H1051)</f>
        <v/>
      </c>
      <c r="P1051" s="60">
        <f>IF(J1051=0,"",IF(G1051&lt;J1051*34,DATE(2026,10,15)+G1051/J1051,IF(G1051&lt;N1051,DATE(2026,11,18)+(G1051-J1051*34)/(J1051*L1051),"after Nov 30")))</f>
        <v/>
      </c>
      <c r="Q1051" s="60">
        <f>IF(J1051=0,"",IF(G1051+H1051&lt;J1051*34,DATE(2026,10,15)+(G1051+H1051)/J1051,IF(G1051+H1051&lt;N1051,DATE(2026,11,18)+(G1051+H1051-J1051*34)/(J1051*L1051),"after Nov 30")))</f>
        <v/>
      </c>
      <c r="R1051" s="54">
        <f>IF(AND(G1051&lt;=0,J1051&gt;0),"Out of stock now",IF(G1051&gt;=N1051,"Covered to Nov 30",IF(G1051+H1051&gt;=N1051,"Needs inbound in time","Short even with inbound")))</f>
        <v/>
      </c>
      <c r="S1051" s="57" t="n">
        <v>0.107</v>
      </c>
      <c r="T1051" s="59">
        <f>IF(S1051="","",S1051*34+S1051*L1051*12)</f>
        <v/>
      </c>
    </row>
    <row r="1052">
      <c r="A1052" s="54" t="inlineStr">
        <is>
          <t>CA DC Satin Fitted</t>
        </is>
      </c>
      <c r="B1052" s="54" t="inlineStr">
        <is>
          <t>CA</t>
        </is>
      </c>
      <c r="C1052" s="54" t="inlineStr">
        <is>
          <t>B0DBVZKXNX</t>
        </is>
      </c>
      <c r="D1052" s="54" t="inlineStr">
        <is>
          <t>SATIN-FITTED-KING-ROSEWOOD</t>
        </is>
      </c>
      <c r="E1052" s="54" t="inlineStr">
        <is>
          <t>King</t>
        </is>
      </c>
      <c r="F1052" s="54" t="inlineStr">
        <is>
          <t>Rosewood</t>
        </is>
      </c>
      <c r="G1052" s="55" t="n">
        <v>0</v>
      </c>
      <c r="H1052" s="55" t="n">
        <v>0</v>
      </c>
      <c r="I1052" s="56" t="n"/>
      <c r="J1052" s="57" t="n">
        <v>0.036</v>
      </c>
      <c r="K1052" s="56" t="inlineStr">
        <is>
          <t>units last 28 days / 28 (no account data velocity: out of stock)</t>
        </is>
      </c>
      <c r="L1052" s="58" t="n">
        <v>3.1389</v>
      </c>
      <c r="M1052" s="56" t="inlineStr">
        <is>
          <t>ASSUMED: account BFCM 2025 lift (CA); product's own 2025 lift not reliable</t>
        </is>
      </c>
      <c r="N1052" s="59">
        <f>J1052*34+J1052*L1052*12</f>
        <v/>
      </c>
      <c r="O1052" s="59">
        <f>MAX(0,N1052-G1052-H1052)</f>
        <v/>
      </c>
      <c r="P1052" s="60">
        <f>IF(J1052=0,"",IF(G1052&lt;J1052*34,DATE(2026,10,15)+G1052/J1052,IF(G1052&lt;N1052,DATE(2026,11,18)+(G1052-J1052*34)/(J1052*L1052),"after Nov 30")))</f>
        <v/>
      </c>
      <c r="Q1052" s="60">
        <f>IF(J1052=0,"",IF(G1052+H1052&lt;J1052*34,DATE(2026,10,15)+(G1052+H1052)/J1052,IF(G1052+H1052&lt;N1052,DATE(2026,11,18)+(G1052+H1052-J1052*34)/(J1052*L1052),"after Nov 30")))</f>
        <v/>
      </c>
      <c r="R1052" s="54">
        <f>IF(AND(G1052&lt;=0,J1052&gt;0),"Out of stock now",IF(G1052&gt;=N1052,"Covered to Nov 30",IF(G1052+H1052&gt;=N1052,"Needs inbound in time","Short even with inbound")))</f>
        <v/>
      </c>
      <c r="S1052" s="57" t="n">
        <v>0.036</v>
      </c>
      <c r="T1052" s="59">
        <f>IF(S1052="","",S1052*34+S1052*L1052*12)</f>
        <v/>
      </c>
    </row>
    <row r="1053">
      <c r="A1053" s="54" t="inlineStr">
        <is>
          <t>CA DC Satin Fitted</t>
        </is>
      </c>
      <c r="B1053" s="54" t="inlineStr">
        <is>
          <t>CA</t>
        </is>
      </c>
      <c r="C1053" s="54" t="inlineStr">
        <is>
          <t>B0DBW1NX31</t>
        </is>
      </c>
      <c r="D1053" s="54" t="inlineStr">
        <is>
          <t>SATIN-FITTED-QUEEN-SAGE-GREEN</t>
        </is>
      </c>
      <c r="E1053" s="54" t="inlineStr">
        <is>
          <t>Queen</t>
        </is>
      </c>
      <c r="F1053" s="54" t="inlineStr">
        <is>
          <t>Sage Green</t>
        </is>
      </c>
      <c r="G1053" s="55" t="n">
        <v>0</v>
      </c>
      <c r="H1053" s="55" t="n">
        <v>0</v>
      </c>
      <c r="I1053" s="56" t="n"/>
      <c r="J1053" s="57" t="n">
        <v>0.036</v>
      </c>
      <c r="K1053" s="56" t="inlineStr">
        <is>
          <t>units last 28 days / 28 (no account data velocity: out of stock)</t>
        </is>
      </c>
      <c r="L1053" s="58" t="n">
        <v>3.1389</v>
      </c>
      <c r="M1053" s="56" t="inlineStr">
        <is>
          <t>ASSUMED: account BFCM 2025 lift (CA); product's own 2025 lift not reliable</t>
        </is>
      </c>
      <c r="N1053" s="59">
        <f>J1053*34+J1053*L1053*12</f>
        <v/>
      </c>
      <c r="O1053" s="59">
        <f>MAX(0,N1053-G1053-H1053)</f>
        <v/>
      </c>
      <c r="P1053" s="60">
        <f>IF(J1053=0,"",IF(G1053&lt;J1053*34,DATE(2026,10,15)+G1053/J1053,IF(G1053&lt;N1053,DATE(2026,11,18)+(G1053-J1053*34)/(J1053*L1053),"after Nov 30")))</f>
        <v/>
      </c>
      <c r="Q1053" s="60">
        <f>IF(J1053=0,"",IF(G1053+H1053&lt;J1053*34,DATE(2026,10,15)+(G1053+H1053)/J1053,IF(G1053+H1053&lt;N1053,DATE(2026,11,18)+(G1053+H1053-J1053*34)/(J1053*L1053),"after Nov 30")))</f>
        <v/>
      </c>
      <c r="R1053" s="54">
        <f>IF(AND(G1053&lt;=0,J1053&gt;0),"Out of stock now",IF(G1053&gt;=N1053,"Covered to Nov 30",IF(G1053+H1053&gt;=N1053,"Needs inbound in time","Short even with inbound")))</f>
        <v/>
      </c>
      <c r="S1053" s="57" t="n">
        <v>0.036</v>
      </c>
      <c r="T1053" s="59">
        <f>IF(S1053="","",S1053*34+S1053*L1053*12)</f>
        <v/>
      </c>
    </row>
    <row r="1054">
      <c r="A1054" s="54" t="inlineStr">
        <is>
          <t>CA DC Satin Fitted</t>
        </is>
      </c>
      <c r="B1054" s="54" t="inlineStr">
        <is>
          <t>CA</t>
        </is>
      </c>
      <c r="C1054" s="54" t="inlineStr">
        <is>
          <t>B0DBW1FPBT</t>
        </is>
      </c>
      <c r="D1054" s="54" t="inlineStr">
        <is>
          <t>SATIN-FITTED-KING-LAVENDER</t>
        </is>
      </c>
      <c r="E1054" s="54" t="inlineStr">
        <is>
          <t>King</t>
        </is>
      </c>
      <c r="F1054" s="54" t="inlineStr">
        <is>
          <t>Lavender</t>
        </is>
      </c>
      <c r="G1054" s="55" t="n">
        <v>85</v>
      </c>
      <c r="H1054" s="55" t="n">
        <v>0</v>
      </c>
      <c r="I1054" s="56" t="n"/>
      <c r="J1054" s="57" t="n">
        <v>0.03</v>
      </c>
      <c r="K1054" s="56" t="inlineStr">
        <is>
          <t>account data velocity</t>
        </is>
      </c>
      <c r="L1054" s="58" t="n">
        <v>3.1389</v>
      </c>
      <c r="M1054" s="56" t="inlineStr">
        <is>
          <t>ASSUMED: account BFCM 2025 lift (CA); product's own 2025 lift not reliable</t>
        </is>
      </c>
      <c r="N1054" s="59">
        <f>J1054*34+J1054*L1054*12</f>
        <v/>
      </c>
      <c r="O1054" s="59">
        <f>MAX(0,N1054-G1054-H1054)</f>
        <v/>
      </c>
      <c r="P1054" s="60">
        <f>IF(J1054=0,"",IF(G1054&lt;J1054*34,DATE(2026,10,15)+G1054/J1054,IF(G1054&lt;N1054,DATE(2026,11,18)+(G1054-J1054*34)/(J1054*L1054),"after Nov 30")))</f>
        <v/>
      </c>
      <c r="Q1054" s="60">
        <f>IF(J1054=0,"",IF(G1054+H1054&lt;J1054*34,DATE(2026,10,15)+(G1054+H1054)/J1054,IF(G1054+H1054&lt;N1054,DATE(2026,11,18)+(G1054+H1054-J1054*34)/(J1054*L1054),"after Nov 30")))</f>
        <v/>
      </c>
      <c r="R1054" s="54">
        <f>IF(AND(G1054&lt;=0,J1054&gt;0),"Out of stock now",IF(G1054&gt;=N1054,"Covered to Nov 30",IF(G1054+H1054&gt;=N1054,"Needs inbound in time","Short even with inbound")))</f>
        <v/>
      </c>
      <c r="S1054" s="57" t="n">
        <v>0.036</v>
      </c>
      <c r="T1054" s="59">
        <f>IF(S1054="","",S1054*34+S1054*L1054*12)</f>
        <v/>
      </c>
    </row>
    <row r="1055">
      <c r="A1055" s="54" t="inlineStr">
        <is>
          <t>CA DC Satin Fitted</t>
        </is>
      </c>
      <c r="B1055" s="54" t="inlineStr">
        <is>
          <t>CA</t>
        </is>
      </c>
      <c r="C1055" s="54" t="inlineStr">
        <is>
          <t>B0DBW1NXMH</t>
        </is>
      </c>
      <c r="D1055" s="54" t="inlineStr">
        <is>
          <t>SATIN-FITTED-FULL-LAVENDER</t>
        </is>
      </c>
      <c r="E1055" s="54" t="inlineStr">
        <is>
          <t>Full</t>
        </is>
      </c>
      <c r="F1055" s="54" t="inlineStr">
        <is>
          <t>Lavender</t>
        </is>
      </c>
      <c r="G1055" s="55" t="n">
        <v>32</v>
      </c>
      <c r="H1055" s="55" t="n">
        <v>20</v>
      </c>
      <c r="I1055" s="56" t="n"/>
      <c r="J1055" s="57" t="n">
        <v>0.02</v>
      </c>
      <c r="K1055" s="56" t="inlineStr">
        <is>
          <t>account data velocity</t>
        </is>
      </c>
      <c r="L1055" s="58" t="n">
        <v>3.1389</v>
      </c>
      <c r="M1055" s="56" t="inlineStr">
        <is>
          <t>ASSUMED: account BFCM 2025 lift (CA); product's own 2025 lift not reliable</t>
        </is>
      </c>
      <c r="N1055" s="59">
        <f>J1055*34+J1055*L1055*12</f>
        <v/>
      </c>
      <c r="O1055" s="59">
        <f>MAX(0,N1055-G1055-H1055)</f>
        <v/>
      </c>
      <c r="P1055" s="60">
        <f>IF(J1055=0,"",IF(G1055&lt;J1055*34,DATE(2026,10,15)+G1055/J1055,IF(G1055&lt;N1055,DATE(2026,11,18)+(G1055-J1055*34)/(J1055*L1055),"after Nov 30")))</f>
        <v/>
      </c>
      <c r="Q1055" s="60">
        <f>IF(J1055=0,"",IF(G1055+H1055&lt;J1055*34,DATE(2026,10,15)+(G1055+H1055)/J1055,IF(G1055+H1055&lt;N1055,DATE(2026,11,18)+(G1055+H1055-J1055*34)/(J1055*L1055),"after Nov 30")))</f>
        <v/>
      </c>
      <c r="R1055" s="54">
        <f>IF(AND(G1055&lt;=0,J1055&gt;0),"Out of stock now",IF(G1055&gt;=N1055,"Covered to Nov 30",IF(G1055+H1055&gt;=N1055,"Needs inbound in time","Short even with inbound")))</f>
        <v/>
      </c>
      <c r="S1055" s="57" t="n">
        <v>0.107</v>
      </c>
      <c r="T1055" s="59">
        <f>IF(S1055="","",S1055*34+S1055*L1055*12)</f>
        <v/>
      </c>
    </row>
    <row r="1056">
      <c r="A1056" s="54" t="inlineStr">
        <is>
          <t>CA DC Satin Fitted</t>
        </is>
      </c>
      <c r="B1056" s="54" t="inlineStr">
        <is>
          <t>CA</t>
        </is>
      </c>
      <c r="C1056" s="54" t="inlineStr">
        <is>
          <t>B0DBW47GVH</t>
        </is>
      </c>
      <c r="D1056" s="54" t="inlineStr">
        <is>
          <t>SATIN-FITTED-QUEEN-LAVENDER</t>
        </is>
      </c>
      <c r="E1056" s="54" t="inlineStr">
        <is>
          <t>Queen</t>
        </is>
      </c>
      <c r="F1056" s="54" t="inlineStr">
        <is>
          <t>Lavender</t>
        </is>
      </c>
      <c r="G1056" s="55" t="n">
        <v>5</v>
      </c>
      <c r="H1056" s="55" t="n">
        <v>0</v>
      </c>
      <c r="I1056" s="56" t="n"/>
      <c r="J1056" s="57" t="n">
        <v>0.02</v>
      </c>
      <c r="K1056" s="56" t="inlineStr">
        <is>
          <t>account data velocity</t>
        </is>
      </c>
      <c r="L1056" s="58" t="n">
        <v>3.1389</v>
      </c>
      <c r="M1056" s="56" t="inlineStr">
        <is>
          <t>ASSUMED: account BFCM 2025 lift (CA); product's own 2025 lift not reliable</t>
        </is>
      </c>
      <c r="N1056" s="59">
        <f>J1056*34+J1056*L1056*12</f>
        <v/>
      </c>
      <c r="O1056" s="59">
        <f>MAX(0,N1056-G1056-H1056)</f>
        <v/>
      </c>
      <c r="P1056" s="60">
        <f>IF(J1056=0,"",IF(G1056&lt;J1056*34,DATE(2026,10,15)+G1056/J1056,IF(G1056&lt;N1056,DATE(2026,11,18)+(G1056-J1056*34)/(J1056*L1056),"after Nov 30")))</f>
        <v/>
      </c>
      <c r="Q1056" s="60">
        <f>IF(J1056=0,"",IF(G1056+H1056&lt;J1056*34,DATE(2026,10,15)+(G1056+H1056)/J1056,IF(G1056+H1056&lt;N1056,DATE(2026,11,18)+(G1056+H1056-J1056*34)/(J1056*L1056),"after Nov 30")))</f>
        <v/>
      </c>
      <c r="R1056" s="54">
        <f>IF(AND(G1056&lt;=0,J1056&gt;0),"Out of stock now",IF(G1056&gt;=N1056,"Covered to Nov 30",IF(G1056+H1056&gt;=N1056,"Needs inbound in time","Short even with inbound")))</f>
        <v/>
      </c>
      <c r="S1056" s="57" t="n">
        <v>0.107</v>
      </c>
      <c r="T1056" s="59">
        <f>IF(S1056="","",S1056*34+S1056*L1056*12)</f>
        <v/>
      </c>
    </row>
    <row r="1057">
      <c r="A1057" s="54" t="inlineStr">
        <is>
          <t>CA DC Satin Fitted</t>
        </is>
      </c>
      <c r="B1057" s="54" t="inlineStr">
        <is>
          <t>CA</t>
        </is>
      </c>
      <c r="C1057" s="54" t="inlineStr">
        <is>
          <t>B0DBVZMMPN</t>
        </is>
      </c>
      <c r="D1057" s="54" t="inlineStr">
        <is>
          <t>SATIN-FITTED-TWIN-BLUSH-PINK</t>
        </is>
      </c>
      <c r="E1057" s="54" t="inlineStr">
        <is>
          <t>Twin</t>
        </is>
      </c>
      <c r="F1057" s="54" t="inlineStr">
        <is>
          <t>Blush Pink</t>
        </is>
      </c>
      <c r="G1057" s="55" t="n">
        <v>78</v>
      </c>
      <c r="H1057" s="55" t="n">
        <v>0</v>
      </c>
      <c r="I1057" s="56" t="n"/>
      <c r="J1057" s="57" t="n">
        <v>0.02</v>
      </c>
      <c r="K1057" s="56" t="inlineStr">
        <is>
          <t>account data velocity</t>
        </is>
      </c>
      <c r="L1057" s="58" t="n">
        <v>3.1389</v>
      </c>
      <c r="M1057" s="56" t="inlineStr">
        <is>
          <t>ASSUMED: account BFCM 2025 lift (CA); product's own 2025 lift not reliable</t>
        </is>
      </c>
      <c r="N1057" s="59">
        <f>J1057*34+J1057*L1057*12</f>
        <v/>
      </c>
      <c r="O1057" s="59">
        <f>MAX(0,N1057-G1057-H1057)</f>
        <v/>
      </c>
      <c r="P1057" s="60">
        <f>IF(J1057=0,"",IF(G1057&lt;J1057*34,DATE(2026,10,15)+G1057/J1057,IF(G1057&lt;N1057,DATE(2026,11,18)+(G1057-J1057*34)/(J1057*L1057),"after Nov 30")))</f>
        <v/>
      </c>
      <c r="Q1057" s="60">
        <f>IF(J1057=0,"",IF(G1057+H1057&lt;J1057*34,DATE(2026,10,15)+(G1057+H1057)/J1057,IF(G1057+H1057&lt;N1057,DATE(2026,11,18)+(G1057+H1057-J1057*34)/(J1057*L1057),"after Nov 30")))</f>
        <v/>
      </c>
      <c r="R1057" s="54">
        <f>IF(AND(G1057&lt;=0,J1057&gt;0),"Out of stock now",IF(G1057&gt;=N1057,"Covered to Nov 30",IF(G1057+H1057&gt;=N1057,"Needs inbound in time","Short even with inbound")))</f>
        <v/>
      </c>
      <c r="S1057" s="57" t="n">
        <v>0.107</v>
      </c>
      <c r="T1057" s="59">
        <f>IF(S1057="","",S1057*34+S1057*L1057*12)</f>
        <v/>
      </c>
    </row>
    <row r="1058">
      <c r="A1058" s="54" t="inlineStr">
        <is>
          <t>CA DC Satin Fitted</t>
        </is>
      </c>
      <c r="B1058" s="54" t="inlineStr">
        <is>
          <t>CA</t>
        </is>
      </c>
      <c r="C1058" s="54" t="inlineStr">
        <is>
          <t>B0DBW28W1W</t>
        </is>
      </c>
      <c r="D1058" s="54" t="inlineStr">
        <is>
          <t>SATIN-FITTED-TWIN-STONE-GREY</t>
        </is>
      </c>
      <c r="E1058" s="54" t="inlineStr">
        <is>
          <t>Twin</t>
        </is>
      </c>
      <c r="F1058" s="54" t="inlineStr">
        <is>
          <t>Stone Grey</t>
        </is>
      </c>
      <c r="G1058" s="55" t="n">
        <v>43</v>
      </c>
      <c r="H1058" s="55" t="n">
        <v>0</v>
      </c>
      <c r="I1058" s="56" t="n"/>
      <c r="J1058" s="57" t="n">
        <v>0.02</v>
      </c>
      <c r="K1058" s="56" t="inlineStr">
        <is>
          <t>account data velocity</t>
        </is>
      </c>
      <c r="L1058" s="58" t="n">
        <v>3.1389</v>
      </c>
      <c r="M1058" s="56" t="inlineStr">
        <is>
          <t>ASSUMED: account BFCM 2025 lift (CA); product's own 2025 lift not reliable</t>
        </is>
      </c>
      <c r="N1058" s="59">
        <f>J1058*34+J1058*L1058*12</f>
        <v/>
      </c>
      <c r="O1058" s="59">
        <f>MAX(0,N1058-G1058-H1058)</f>
        <v/>
      </c>
      <c r="P1058" s="60">
        <f>IF(J1058=0,"",IF(G1058&lt;J1058*34,DATE(2026,10,15)+G1058/J1058,IF(G1058&lt;N1058,DATE(2026,11,18)+(G1058-J1058*34)/(J1058*L1058),"after Nov 30")))</f>
        <v/>
      </c>
      <c r="Q1058" s="60">
        <f>IF(J1058=0,"",IF(G1058+H1058&lt;J1058*34,DATE(2026,10,15)+(G1058+H1058)/J1058,IF(G1058+H1058&lt;N1058,DATE(2026,11,18)+(G1058+H1058-J1058*34)/(J1058*L1058),"after Nov 30")))</f>
        <v/>
      </c>
      <c r="R1058" s="54">
        <f>IF(AND(G1058&lt;=0,J1058&gt;0),"Out of stock now",IF(G1058&gt;=N1058,"Covered to Nov 30",IF(G1058+H1058&gt;=N1058,"Needs inbound in time","Short even with inbound")))</f>
        <v/>
      </c>
      <c r="S1058" s="57" t="n">
        <v>0.07099999999999999</v>
      </c>
      <c r="T1058" s="59">
        <f>IF(S1058="","",S1058*34+S1058*L1058*12)</f>
        <v/>
      </c>
    </row>
    <row r="1059">
      <c r="A1059" s="54" t="inlineStr">
        <is>
          <t>CA DC Satin Fitted</t>
        </is>
      </c>
      <c r="B1059" s="54" t="inlineStr">
        <is>
          <t>CA</t>
        </is>
      </c>
      <c r="C1059" s="54" t="inlineStr">
        <is>
          <t>B0DBW17V8N</t>
        </is>
      </c>
      <c r="D1059" s="54" t="inlineStr">
        <is>
          <t>SATIN-FITTED-KING-PINK</t>
        </is>
      </c>
      <c r="E1059" s="54" t="inlineStr">
        <is>
          <t>King</t>
        </is>
      </c>
      <c r="F1059" s="54" t="inlineStr">
        <is>
          <t>Pink</t>
        </is>
      </c>
      <c r="G1059" s="55" t="n">
        <v>6</v>
      </c>
      <c r="H1059" s="55" t="n">
        <v>0</v>
      </c>
      <c r="I1059" s="56" t="n"/>
      <c r="J1059" s="57" t="n">
        <v>0.02</v>
      </c>
      <c r="K1059" s="56" t="inlineStr">
        <is>
          <t>account data velocity</t>
        </is>
      </c>
      <c r="L1059" s="58" t="n">
        <v>3.1389</v>
      </c>
      <c r="M1059" s="56" t="inlineStr">
        <is>
          <t>ASSUMED: account BFCM 2025 lift (CA); product's own 2025 lift not reliable</t>
        </is>
      </c>
      <c r="N1059" s="59">
        <f>J1059*34+J1059*L1059*12</f>
        <v/>
      </c>
      <c r="O1059" s="59">
        <f>MAX(0,N1059-G1059-H1059)</f>
        <v/>
      </c>
      <c r="P1059" s="60">
        <f>IF(J1059=0,"",IF(G1059&lt;J1059*34,DATE(2026,10,15)+G1059/J1059,IF(G1059&lt;N1059,DATE(2026,11,18)+(G1059-J1059*34)/(J1059*L1059),"after Nov 30")))</f>
        <v/>
      </c>
      <c r="Q1059" s="60">
        <f>IF(J1059=0,"",IF(G1059+H1059&lt;J1059*34,DATE(2026,10,15)+(G1059+H1059)/J1059,IF(G1059+H1059&lt;N1059,DATE(2026,11,18)+(G1059+H1059-J1059*34)/(J1059*L1059),"after Nov 30")))</f>
        <v/>
      </c>
      <c r="R1059" s="54">
        <f>IF(AND(G1059&lt;=0,J1059&gt;0),"Out of stock now",IF(G1059&gt;=N1059,"Covered to Nov 30",IF(G1059+H1059&gt;=N1059,"Needs inbound in time","Short even with inbound")))</f>
        <v/>
      </c>
      <c r="S1059" s="57" t="n">
        <v>0.036</v>
      </c>
      <c r="T1059" s="59">
        <f>IF(S1059="","",S1059*34+S1059*L1059*12)</f>
        <v/>
      </c>
    </row>
    <row r="1060">
      <c r="A1060" s="54" t="inlineStr">
        <is>
          <t>CA DC Satin Fitted</t>
        </is>
      </c>
      <c r="B1060" s="54" t="inlineStr">
        <is>
          <t>CA</t>
        </is>
      </c>
      <c r="C1060" s="54" t="inlineStr">
        <is>
          <t>B0DBVZQZXV</t>
        </is>
      </c>
      <c r="D1060" s="54" t="inlineStr">
        <is>
          <t>SATIN-FITTED-TWIN-BABY-BLUE</t>
        </is>
      </c>
      <c r="E1060" s="54" t="inlineStr">
        <is>
          <t>Twin</t>
        </is>
      </c>
      <c r="F1060" s="54" t="inlineStr">
        <is>
          <t>Baby Blue</t>
        </is>
      </c>
      <c r="G1060" s="55" t="n">
        <v>70</v>
      </c>
      <c r="H1060" s="55" t="n">
        <v>0</v>
      </c>
      <c r="I1060" s="56" t="n"/>
      <c r="J1060" s="57" t="n">
        <v>0.02</v>
      </c>
      <c r="K1060" s="56" t="inlineStr">
        <is>
          <t>account data velocity</t>
        </is>
      </c>
      <c r="L1060" s="58" t="n">
        <v>3.1389</v>
      </c>
      <c r="M1060" s="56" t="inlineStr">
        <is>
          <t>ASSUMED: account BFCM 2025 lift (CA); product's own 2025 lift not reliable</t>
        </is>
      </c>
      <c r="N1060" s="59">
        <f>J1060*34+J1060*L1060*12</f>
        <v/>
      </c>
      <c r="O1060" s="59">
        <f>MAX(0,N1060-G1060-H1060)</f>
        <v/>
      </c>
      <c r="P1060" s="60">
        <f>IF(J1060=0,"",IF(G1060&lt;J1060*34,DATE(2026,10,15)+G1060/J1060,IF(G1060&lt;N1060,DATE(2026,11,18)+(G1060-J1060*34)/(J1060*L1060),"after Nov 30")))</f>
        <v/>
      </c>
      <c r="Q1060" s="60">
        <f>IF(J1060=0,"",IF(G1060+H1060&lt;J1060*34,DATE(2026,10,15)+(G1060+H1060)/J1060,IF(G1060+H1060&lt;N1060,DATE(2026,11,18)+(G1060+H1060-J1060*34)/(J1060*L1060),"after Nov 30")))</f>
        <v/>
      </c>
      <c r="R1060" s="54">
        <f>IF(AND(G1060&lt;=0,J1060&gt;0),"Out of stock now",IF(G1060&gt;=N1060,"Covered to Nov 30",IF(G1060+H1060&gt;=N1060,"Needs inbound in time","Short even with inbound")))</f>
        <v/>
      </c>
      <c r="S1060" s="57" t="n">
        <v>0.036</v>
      </c>
      <c r="T1060" s="59">
        <f>IF(S1060="","",S1060*34+S1060*L1060*12)</f>
        <v/>
      </c>
    </row>
    <row r="1061">
      <c r="A1061" s="54" t="inlineStr">
        <is>
          <t>CA DC Satin Fitted</t>
        </is>
      </c>
      <c r="B1061" s="54" t="inlineStr">
        <is>
          <t>CA</t>
        </is>
      </c>
      <c r="C1061" s="54" t="inlineStr">
        <is>
          <t>B0DBW1FRHC</t>
        </is>
      </c>
      <c r="D1061" s="54" t="inlineStr">
        <is>
          <t>SATIN-FITTED-TWIN-RED</t>
        </is>
      </c>
      <c r="E1061" s="54" t="inlineStr">
        <is>
          <t>Twin</t>
        </is>
      </c>
      <c r="F1061" s="54" t="inlineStr">
        <is>
          <t>Red</t>
        </is>
      </c>
      <c r="G1061" s="55" t="n">
        <v>27</v>
      </c>
      <c r="H1061" s="55" t="n">
        <v>0</v>
      </c>
      <c r="I1061" s="56" t="n"/>
      <c r="J1061" s="57" t="n">
        <v>0.02</v>
      </c>
      <c r="K1061" s="56" t="inlineStr">
        <is>
          <t>account data velocity</t>
        </is>
      </c>
      <c r="L1061" s="58" t="n">
        <v>3.1389</v>
      </c>
      <c r="M1061" s="56" t="inlineStr">
        <is>
          <t>ASSUMED: account BFCM 2025 lift (CA); product's own 2025 lift not reliable</t>
        </is>
      </c>
      <c r="N1061" s="59">
        <f>J1061*34+J1061*L1061*12</f>
        <v/>
      </c>
      <c r="O1061" s="59">
        <f>MAX(0,N1061-G1061-H1061)</f>
        <v/>
      </c>
      <c r="P1061" s="60">
        <f>IF(J1061=0,"",IF(G1061&lt;J1061*34,DATE(2026,10,15)+G1061/J1061,IF(G1061&lt;N1061,DATE(2026,11,18)+(G1061-J1061*34)/(J1061*L1061),"after Nov 30")))</f>
        <v/>
      </c>
      <c r="Q1061" s="60">
        <f>IF(J1061=0,"",IF(G1061+H1061&lt;J1061*34,DATE(2026,10,15)+(G1061+H1061)/J1061,IF(G1061+H1061&lt;N1061,DATE(2026,11,18)+(G1061+H1061-J1061*34)/(J1061*L1061),"after Nov 30")))</f>
        <v/>
      </c>
      <c r="R1061" s="54">
        <f>IF(AND(G1061&lt;=0,J1061&gt;0),"Out of stock now",IF(G1061&gt;=N1061,"Covered to Nov 30",IF(G1061+H1061&gt;=N1061,"Needs inbound in time","Short even with inbound")))</f>
        <v/>
      </c>
      <c r="S1061" s="57" t="n">
        <v>0.036</v>
      </c>
      <c r="T1061" s="59">
        <f>IF(S1061="","",S1061*34+S1061*L1061*12)</f>
        <v/>
      </c>
    </row>
    <row r="1062">
      <c r="A1062" s="54" t="inlineStr">
        <is>
          <t>CA DC Satin Fitted</t>
        </is>
      </c>
      <c r="B1062" s="54" t="inlineStr">
        <is>
          <t>CA</t>
        </is>
      </c>
      <c r="C1062" s="54" t="inlineStr">
        <is>
          <t>B0DBVZV66D</t>
        </is>
      </c>
      <c r="D1062" s="54" t="inlineStr">
        <is>
          <t>SATIN-FITTED-FULL-BABY-BLUE</t>
        </is>
      </c>
      <c r="E1062" s="54" t="inlineStr">
        <is>
          <t>Full</t>
        </is>
      </c>
      <c r="F1062" s="54" t="inlineStr">
        <is>
          <t>Baby Blue</t>
        </is>
      </c>
      <c r="G1062" s="55" t="n">
        <v>112</v>
      </c>
      <c r="H1062" s="55" t="n">
        <v>0</v>
      </c>
      <c r="I1062" s="56" t="n"/>
      <c r="J1062" s="57" t="n">
        <v>0.01</v>
      </c>
      <c r="K1062" s="56" t="inlineStr">
        <is>
          <t>account data velocity</t>
        </is>
      </c>
      <c r="L1062" s="58" t="n">
        <v>3.1389</v>
      </c>
      <c r="M1062" s="56" t="inlineStr">
        <is>
          <t>ASSUMED: account BFCM 2025 lift (CA); product's own 2025 lift not reliable</t>
        </is>
      </c>
      <c r="N1062" s="59">
        <f>J1062*34+J1062*L1062*12</f>
        <v/>
      </c>
      <c r="O1062" s="59">
        <f>MAX(0,N1062-G1062-H1062)</f>
        <v/>
      </c>
      <c r="P1062" s="60">
        <f>IF(J1062=0,"",IF(G1062&lt;J1062*34,DATE(2026,10,15)+G1062/J1062,IF(G1062&lt;N1062,DATE(2026,11,18)+(G1062-J1062*34)/(J1062*L1062),"after Nov 30")))</f>
        <v/>
      </c>
      <c r="Q1062" s="60">
        <f>IF(J1062=0,"",IF(G1062+H1062&lt;J1062*34,DATE(2026,10,15)+(G1062+H1062)/J1062,IF(G1062+H1062&lt;N1062,DATE(2026,11,18)+(G1062+H1062-J1062*34)/(J1062*L1062),"after Nov 30")))</f>
        <v/>
      </c>
      <c r="R1062" s="54">
        <f>IF(AND(G1062&lt;=0,J1062&gt;0),"Out of stock now",IF(G1062&gt;=N1062,"Covered to Nov 30",IF(G1062+H1062&gt;=N1062,"Needs inbound in time","Short even with inbound")))</f>
        <v/>
      </c>
      <c r="S1062" s="57" t="n">
        <v>0.036</v>
      </c>
      <c r="T1062" s="59">
        <f>IF(S1062="","",S1062*34+S1062*L1062*12)</f>
        <v/>
      </c>
    </row>
    <row r="1063">
      <c r="A1063" s="54" t="inlineStr">
        <is>
          <t>CA DC Satin Fitted</t>
        </is>
      </c>
      <c r="B1063" s="54" t="inlineStr">
        <is>
          <t>CA</t>
        </is>
      </c>
      <c r="C1063" s="54" t="inlineStr">
        <is>
          <t>B0DBW1NXMC</t>
        </is>
      </c>
      <c r="D1063" s="54" t="inlineStr">
        <is>
          <t>SATIN-FITTED-TWIN-DARK-GREEN</t>
        </is>
      </c>
      <c r="E1063" s="54" t="inlineStr">
        <is>
          <t>Twin</t>
        </is>
      </c>
      <c r="F1063" s="54" t="inlineStr">
        <is>
          <t>Dark Green</t>
        </is>
      </c>
      <c r="G1063" s="55" t="n">
        <v>38</v>
      </c>
      <c r="H1063" s="55" t="n">
        <v>0</v>
      </c>
      <c r="I1063" s="56" t="n"/>
      <c r="J1063" s="57" t="n">
        <v>0.01</v>
      </c>
      <c r="K1063" s="56" t="inlineStr">
        <is>
          <t>account data velocity</t>
        </is>
      </c>
      <c r="L1063" s="58" t="n">
        <v>3.1389</v>
      </c>
      <c r="M1063" s="56" t="inlineStr">
        <is>
          <t>ASSUMED: account BFCM 2025 lift (CA); product's own 2025 lift not reliable</t>
        </is>
      </c>
      <c r="N1063" s="59">
        <f>J1063*34+J1063*L1063*12</f>
        <v/>
      </c>
      <c r="O1063" s="59">
        <f>MAX(0,N1063-G1063-H1063)</f>
        <v/>
      </c>
      <c r="P1063" s="60">
        <f>IF(J1063=0,"",IF(G1063&lt;J1063*34,DATE(2026,10,15)+G1063/J1063,IF(G1063&lt;N1063,DATE(2026,11,18)+(G1063-J1063*34)/(J1063*L1063),"after Nov 30")))</f>
        <v/>
      </c>
      <c r="Q1063" s="60">
        <f>IF(J1063=0,"",IF(G1063+H1063&lt;J1063*34,DATE(2026,10,15)+(G1063+H1063)/J1063,IF(G1063+H1063&lt;N1063,DATE(2026,11,18)+(G1063+H1063-J1063*34)/(J1063*L1063),"after Nov 30")))</f>
        <v/>
      </c>
      <c r="R1063" s="54">
        <f>IF(AND(G1063&lt;=0,J1063&gt;0),"Out of stock now",IF(G1063&gt;=N1063,"Covered to Nov 30",IF(G1063+H1063&gt;=N1063,"Needs inbound in time","Short even with inbound")))</f>
        <v/>
      </c>
      <c r="S1063" s="57" t="n">
        <v>0.036</v>
      </c>
      <c r="T1063" s="59">
        <f>IF(S1063="","",S1063*34+S1063*L1063*12)</f>
        <v/>
      </c>
    </row>
    <row r="1064">
      <c r="A1064" s="54" t="inlineStr">
        <is>
          <t>CA DC Satin Fitted</t>
        </is>
      </c>
      <c r="B1064" s="54" t="inlineStr">
        <is>
          <t>CA</t>
        </is>
      </c>
      <c r="C1064" s="54" t="inlineStr">
        <is>
          <t>B0DBVZY5T2</t>
        </is>
      </c>
      <c r="D1064" s="54" t="inlineStr">
        <is>
          <t>SATIN-FITTED-TWIN-GOLD</t>
        </is>
      </c>
      <c r="E1064" s="54" t="inlineStr">
        <is>
          <t>Twin</t>
        </is>
      </c>
      <c r="F1064" s="54" t="inlineStr">
        <is>
          <t>Gold</t>
        </is>
      </c>
      <c r="G1064" s="55" t="n">
        <v>104</v>
      </c>
      <c r="H1064" s="55" t="n">
        <v>0</v>
      </c>
      <c r="I1064" s="56" t="n"/>
      <c r="J1064" s="57" t="n">
        <v>0.01</v>
      </c>
      <c r="K1064" s="56" t="inlineStr">
        <is>
          <t>account data velocity</t>
        </is>
      </c>
      <c r="L1064" s="58" t="n">
        <v>3.1389</v>
      </c>
      <c r="M1064" s="56" t="inlineStr">
        <is>
          <t>ASSUMED: account BFCM 2025 lift (CA); product's own 2025 lift not reliable</t>
        </is>
      </c>
      <c r="N1064" s="59">
        <f>J1064*34+J1064*L1064*12</f>
        <v/>
      </c>
      <c r="O1064" s="59">
        <f>MAX(0,N1064-G1064-H1064)</f>
        <v/>
      </c>
      <c r="P1064" s="60">
        <f>IF(J1064=0,"",IF(G1064&lt;J1064*34,DATE(2026,10,15)+G1064/J1064,IF(G1064&lt;N1064,DATE(2026,11,18)+(G1064-J1064*34)/(J1064*L1064),"after Nov 30")))</f>
        <v/>
      </c>
      <c r="Q1064" s="60">
        <f>IF(J1064=0,"",IF(G1064+H1064&lt;J1064*34,DATE(2026,10,15)+(G1064+H1064)/J1064,IF(G1064+H1064&lt;N1064,DATE(2026,11,18)+(G1064+H1064-J1064*34)/(J1064*L1064),"after Nov 30")))</f>
        <v/>
      </c>
      <c r="R1064" s="54">
        <f>IF(AND(G1064&lt;=0,J1064&gt;0),"Out of stock now",IF(G1064&gt;=N1064,"Covered to Nov 30",IF(G1064+H1064&gt;=N1064,"Needs inbound in time","Short even with inbound")))</f>
        <v/>
      </c>
      <c r="S1064" s="57" t="n">
        <v>0.036</v>
      </c>
      <c r="T1064" s="59">
        <f>IF(S1064="","",S1064*34+S1064*L1064*12)</f>
        <v/>
      </c>
    </row>
    <row r="1065">
      <c r="A1065" s="54" t="inlineStr">
        <is>
          <t>CA DC Satin Fitted</t>
        </is>
      </c>
      <c r="B1065" s="54" t="inlineStr">
        <is>
          <t>CA</t>
        </is>
      </c>
      <c r="C1065" s="54" t="inlineStr">
        <is>
          <t>B0DBVZ73F7</t>
        </is>
      </c>
      <c r="D1065" s="54" t="inlineStr">
        <is>
          <t>SATIN-FITTED-FULL-GOLD</t>
        </is>
      </c>
      <c r="E1065" s="54" t="inlineStr">
        <is>
          <t>Full</t>
        </is>
      </c>
      <c r="F1065" s="54" t="inlineStr">
        <is>
          <t>Gold</t>
        </is>
      </c>
      <c r="G1065" s="55" t="n">
        <v>2</v>
      </c>
      <c r="H1065" s="55" t="n">
        <v>40</v>
      </c>
      <c r="I1065" s="56" t="inlineStr">
        <is>
          <t>FBA19RSBKFGZ shipped: 20; FBA19QLVD3FK shipped: 20</t>
        </is>
      </c>
      <c r="J1065" s="57" t="n">
        <v>0</v>
      </c>
      <c r="K1065" s="56" t="inlineStr">
        <is>
          <t>account data velocity</t>
        </is>
      </c>
      <c r="L1065" s="58" t="n">
        <v>3.1389</v>
      </c>
      <c r="M1065" s="56" t="inlineStr">
        <is>
          <t>ASSUMED: account BFCM 2025 lift (CA); product's own 2025 lift not reliable</t>
        </is>
      </c>
      <c r="N1065" s="59">
        <f>J1065*34+J1065*L1065*12</f>
        <v/>
      </c>
      <c r="O1065" s="59">
        <f>MAX(0,N1065-G1065-H1065)</f>
        <v/>
      </c>
      <c r="P1065" s="60">
        <f>IF(J1065=0,"",IF(G1065&lt;J1065*34,DATE(2026,10,15)+G1065/J1065,IF(G1065&lt;N1065,DATE(2026,11,18)+(G1065-J1065*34)/(J1065*L1065),"after Nov 30")))</f>
        <v/>
      </c>
      <c r="Q1065" s="60">
        <f>IF(J1065=0,"",IF(G1065+H1065&lt;J1065*34,DATE(2026,10,15)+(G1065+H1065)/J1065,IF(G1065+H1065&lt;N1065,DATE(2026,11,18)+(G1065+H1065-J1065*34)/(J1065*L1065),"after Nov 30")))</f>
        <v/>
      </c>
      <c r="R1065" s="54">
        <f>IF(AND(G1065&lt;=0,J1065&gt;0),"Out of stock now",IF(G1065&gt;=N1065,"Covered to Nov 30",IF(G1065+H1065&gt;=N1065,"Needs inbound in time","Short even with inbound")))</f>
        <v/>
      </c>
      <c r="S1065" s="57" t="n">
        <v>0</v>
      </c>
      <c r="T1065" s="59">
        <f>IF(S1065="","",S1065*34+S1065*L1065*12)</f>
        <v/>
      </c>
    </row>
    <row r="1066">
      <c r="A1066" s="54" t="inlineStr">
        <is>
          <t>CA DC Satin Fitted</t>
        </is>
      </c>
      <c r="B1066" s="54" t="inlineStr">
        <is>
          <t>CA</t>
        </is>
      </c>
      <c r="C1066" s="54" t="inlineStr">
        <is>
          <t>B0DBW6FFG1</t>
        </is>
      </c>
      <c r="D1066" s="54" t="inlineStr">
        <is>
          <t>SATIN-FITTED-KING-GOLD</t>
        </is>
      </c>
      <c r="E1066" s="54" t="inlineStr">
        <is>
          <t>King</t>
        </is>
      </c>
      <c r="F1066" s="54" t="inlineStr">
        <is>
          <t>Gold</t>
        </is>
      </c>
      <c r="G1066" s="55" t="n">
        <v>26</v>
      </c>
      <c r="H1066" s="55" t="n">
        <v>20</v>
      </c>
      <c r="I1066" s="56" t="inlineStr">
        <is>
          <t>FBA19RSBKFGZ shipped: 20</t>
        </is>
      </c>
      <c r="J1066" s="57" t="n">
        <v>0</v>
      </c>
      <c r="K1066" s="56" t="inlineStr">
        <is>
          <t>account data velocity</t>
        </is>
      </c>
      <c r="L1066" s="58" t="n">
        <v>3.1389</v>
      </c>
      <c r="M1066" s="56" t="inlineStr">
        <is>
          <t>ASSUMED: account BFCM 2025 lift (CA); product's own 2025 lift not reliable</t>
        </is>
      </c>
      <c r="N1066" s="59">
        <f>J1066*34+J1066*L1066*12</f>
        <v/>
      </c>
      <c r="O1066" s="59">
        <f>MAX(0,N1066-G1066-H1066)</f>
        <v/>
      </c>
      <c r="P1066" s="60">
        <f>IF(J1066=0,"",IF(G1066&lt;J1066*34,DATE(2026,10,15)+G1066/J1066,IF(G1066&lt;N1066,DATE(2026,11,18)+(G1066-J1066*34)/(J1066*L1066),"after Nov 30")))</f>
        <v/>
      </c>
      <c r="Q1066" s="60">
        <f>IF(J1066=0,"",IF(G1066+H1066&lt;J1066*34,DATE(2026,10,15)+(G1066+H1066)/J1066,IF(G1066+H1066&lt;N1066,DATE(2026,11,18)+(G1066+H1066-J1066*34)/(J1066*L1066),"after Nov 30")))</f>
        <v/>
      </c>
      <c r="R1066" s="54">
        <f>IF(AND(G1066&lt;=0,J1066&gt;0),"Out of stock now",IF(G1066&gt;=N1066,"Covered to Nov 30",IF(G1066+H1066&gt;=N1066,"Needs inbound in time","Short even with inbound")))</f>
        <v/>
      </c>
      <c r="S1066" s="57" t="n">
        <v>0</v>
      </c>
      <c r="T1066" s="59">
        <f>IF(S1066="","",S1066*34+S1066*L1066*12)</f>
        <v/>
      </c>
    </row>
    <row r="1067">
      <c r="A1067" s="54" t="inlineStr">
        <is>
          <t>CA DC Satin Fitted</t>
        </is>
      </c>
      <c r="B1067" s="54" t="inlineStr">
        <is>
          <t>CA</t>
        </is>
      </c>
      <c r="C1067" s="54" t="inlineStr">
        <is>
          <t>B0DBW19662</t>
        </is>
      </c>
      <c r="D1067" s="54" t="inlineStr">
        <is>
          <t>SATIN-FITTED-QUEEN-BABY-BLUE</t>
        </is>
      </c>
      <c r="E1067" s="54" t="inlineStr">
        <is>
          <t>Queen</t>
        </is>
      </c>
      <c r="F1067" s="54" t="inlineStr">
        <is>
          <t>Baby Blue</t>
        </is>
      </c>
      <c r="G1067" s="55" t="n">
        <v>1</v>
      </c>
      <c r="H1067" s="55" t="n">
        <v>0</v>
      </c>
      <c r="I1067" s="56" t="n"/>
      <c r="J1067" s="57" t="n">
        <v>0</v>
      </c>
      <c r="K1067" s="56" t="inlineStr">
        <is>
          <t>account data velocity</t>
        </is>
      </c>
      <c r="L1067" s="58" t="n">
        <v>3.1389</v>
      </c>
      <c r="M1067" s="56" t="inlineStr">
        <is>
          <t>ASSUMED: account BFCM 2025 lift (CA); product's own 2025 lift not reliable</t>
        </is>
      </c>
      <c r="N1067" s="59">
        <f>J1067*34+J1067*L1067*12</f>
        <v/>
      </c>
      <c r="O1067" s="59">
        <f>MAX(0,N1067-G1067-H1067)</f>
        <v/>
      </c>
      <c r="P1067" s="60">
        <f>IF(J1067=0,"",IF(G1067&lt;J1067*34,DATE(2026,10,15)+G1067/J1067,IF(G1067&lt;N1067,DATE(2026,11,18)+(G1067-J1067*34)/(J1067*L1067),"after Nov 30")))</f>
        <v/>
      </c>
      <c r="Q1067" s="60">
        <f>IF(J1067=0,"",IF(G1067+H1067&lt;J1067*34,DATE(2026,10,15)+(G1067+H1067)/J1067,IF(G1067+H1067&lt;N1067,DATE(2026,11,18)+(G1067+H1067-J1067*34)/(J1067*L1067),"after Nov 30")))</f>
        <v/>
      </c>
      <c r="R1067" s="54">
        <f>IF(AND(G1067&lt;=0,J1067&gt;0),"Out of stock now",IF(G1067&gt;=N1067,"Covered to Nov 30",IF(G1067+H1067&gt;=N1067,"Needs inbound in time","Short even with inbound")))</f>
        <v/>
      </c>
      <c r="S1067" s="57" t="n">
        <v>0</v>
      </c>
      <c r="T1067" s="59">
        <f>IF(S1067="","",S1067*34+S1067*L1067*12)</f>
        <v/>
      </c>
    </row>
    <row r="1068">
      <c r="A1068" s="54" t="inlineStr">
        <is>
          <t>CA DC Satin Fitted</t>
        </is>
      </c>
      <c r="B1068" s="54" t="inlineStr">
        <is>
          <t>CA</t>
        </is>
      </c>
      <c r="C1068" s="54" t="inlineStr">
        <is>
          <t>B0DBVZ9QZC</t>
        </is>
      </c>
      <c r="D1068" s="54" t="inlineStr">
        <is>
          <t>SATIN-FITTED-TWIN-SAGE-GREEN</t>
        </is>
      </c>
      <c r="E1068" s="54" t="inlineStr">
        <is>
          <t>Twin</t>
        </is>
      </c>
      <c r="F1068" s="54" t="inlineStr">
        <is>
          <t>Sage Green</t>
        </is>
      </c>
      <c r="G1068" s="55" t="n">
        <v>57</v>
      </c>
      <c r="H1068" s="55" t="n">
        <v>0</v>
      </c>
      <c r="I1068" s="56" t="n"/>
      <c r="J1068" s="57" t="n">
        <v>0</v>
      </c>
      <c r="K1068" s="56" t="inlineStr">
        <is>
          <t>account data velocity</t>
        </is>
      </c>
      <c r="L1068" s="58" t="n">
        <v>3.1389</v>
      </c>
      <c r="M1068" s="56" t="inlineStr">
        <is>
          <t>ASSUMED: account BFCM 2025 lift (CA); product's own 2025 lift not reliable</t>
        </is>
      </c>
      <c r="N1068" s="59">
        <f>J1068*34+J1068*L1068*12</f>
        <v/>
      </c>
      <c r="O1068" s="59">
        <f>MAX(0,N1068-G1068-H1068)</f>
        <v/>
      </c>
      <c r="P1068" s="60">
        <f>IF(J1068=0,"",IF(G1068&lt;J1068*34,DATE(2026,10,15)+G1068/J1068,IF(G1068&lt;N1068,DATE(2026,11,18)+(G1068-J1068*34)/(J1068*L1068),"after Nov 30")))</f>
        <v/>
      </c>
      <c r="Q1068" s="60">
        <f>IF(J1068=0,"",IF(G1068+H1068&lt;J1068*34,DATE(2026,10,15)+(G1068+H1068)/J1068,IF(G1068+H1068&lt;N1068,DATE(2026,11,18)+(G1068+H1068-J1068*34)/(J1068*L1068),"after Nov 30")))</f>
        <v/>
      </c>
      <c r="R1068" s="54">
        <f>IF(AND(G1068&lt;=0,J1068&gt;0),"Out of stock now",IF(G1068&gt;=N1068,"Covered to Nov 30",IF(G1068+H1068&gt;=N1068,"Needs inbound in time","Short even with inbound")))</f>
        <v/>
      </c>
      <c r="S1068" s="57" t="n">
        <v>0</v>
      </c>
      <c r="T1068" s="59">
        <f>IF(S1068="","",S1068*34+S1068*L1068*12)</f>
        <v/>
      </c>
    </row>
    <row r="1069">
      <c r="A1069" s="54" t="inlineStr">
        <is>
          <t>US DC Silk Pillowcase</t>
        </is>
      </c>
      <c r="B1069" s="54" t="inlineStr">
        <is>
          <t>US</t>
        </is>
      </c>
      <c r="C1069" s="54" t="inlineStr">
        <is>
          <t>B0DBR5SY67</t>
        </is>
      </c>
      <c r="D1069" s="54" t="inlineStr">
        <is>
          <t>SILK-PILLOWCASE-STANDARD-WHITE-1PCS</t>
        </is>
      </c>
      <c r="E1069" s="54" t="inlineStr">
        <is>
          <t>Standard</t>
        </is>
      </c>
      <c r="F1069" s="54" t="inlineStr">
        <is>
          <t>White</t>
        </is>
      </c>
      <c r="G1069" s="55" t="n">
        <v>394</v>
      </c>
      <c r="H1069" s="55" t="n">
        <v>0</v>
      </c>
      <c r="I1069" s="56" t="n"/>
      <c r="J1069" s="57" t="n">
        <v>1.47</v>
      </c>
      <c r="K1069" s="56" t="inlineStr">
        <is>
          <t>account data velocity</t>
        </is>
      </c>
      <c r="L1069" s="58" t="n">
        <v>1.3528</v>
      </c>
      <c r="M1069" s="56" t="inlineStr">
        <is>
          <t>own BFCM 2025 lift (account data)</t>
        </is>
      </c>
      <c r="N1069" s="59">
        <f>J1069*34+J1069*L1069*12</f>
        <v/>
      </c>
      <c r="O1069" s="59">
        <f>MAX(0,N1069-G1069-H1069)</f>
        <v/>
      </c>
      <c r="P1069" s="60">
        <f>IF(J1069=0,"",IF(G1069&lt;J1069*34,DATE(2026,10,15)+G1069/J1069,IF(G1069&lt;N1069,DATE(2026,11,18)+(G1069-J1069*34)/(J1069*L1069),"after Nov 30")))</f>
        <v/>
      </c>
      <c r="Q1069" s="60">
        <f>IF(J1069=0,"",IF(G1069+H1069&lt;J1069*34,DATE(2026,10,15)+(G1069+H1069)/J1069,IF(G1069+H1069&lt;N1069,DATE(2026,11,18)+(G1069+H1069-J1069*34)/(J1069*L1069),"after Nov 30")))</f>
        <v/>
      </c>
      <c r="R1069" s="54">
        <f>IF(AND(G1069&lt;=0,J1069&gt;0),"Out of stock now",IF(G1069&gt;=N1069,"Covered to Nov 30",IF(G1069+H1069&gt;=N1069,"Needs inbound in time","Short even with inbound")))</f>
        <v/>
      </c>
      <c r="S1069" s="57" t="n">
        <v>0.929</v>
      </c>
      <c r="T1069" s="59">
        <f>IF(S1069="","",S1069*34+S1069*L1069*12)</f>
        <v/>
      </c>
    </row>
    <row r="1070">
      <c r="A1070" s="54" t="inlineStr">
        <is>
          <t>US DC Silk Pillowcase</t>
        </is>
      </c>
      <c r="B1070" s="54" t="inlineStr">
        <is>
          <t>US</t>
        </is>
      </c>
      <c r="C1070" s="54" t="inlineStr">
        <is>
          <t>B0DBR7PBVP</t>
        </is>
      </c>
      <c r="D1070" s="54" t="inlineStr">
        <is>
          <t>SILK-PILLOWCASE-KING-CHAMPAGNE-1PCS</t>
        </is>
      </c>
      <c r="E1070" s="54" t="inlineStr">
        <is>
          <t>King</t>
        </is>
      </c>
      <c r="F1070" s="54" t="inlineStr">
        <is>
          <t>Champagne</t>
        </is>
      </c>
      <c r="G1070" s="55" t="n">
        <v>115</v>
      </c>
      <c r="H1070" s="55" t="n">
        <v>0</v>
      </c>
      <c r="I1070" s="56" t="n"/>
      <c r="J1070" s="57" t="n">
        <v>0.98</v>
      </c>
      <c r="K1070" s="56" t="inlineStr">
        <is>
          <t>account data velocity</t>
        </is>
      </c>
      <c r="L1070" s="58" t="n">
        <v>1.3528</v>
      </c>
      <c r="M1070" s="56" t="inlineStr">
        <is>
          <t>own BFCM 2025 lift (account data)</t>
        </is>
      </c>
      <c r="N1070" s="59">
        <f>J1070*34+J1070*L1070*12</f>
        <v/>
      </c>
      <c r="O1070" s="59">
        <f>MAX(0,N1070-G1070-H1070)</f>
        <v/>
      </c>
      <c r="P1070" s="60">
        <f>IF(J1070=0,"",IF(G1070&lt;J1070*34,DATE(2026,10,15)+G1070/J1070,IF(G1070&lt;N1070,DATE(2026,11,18)+(G1070-J1070*34)/(J1070*L1070),"after Nov 30")))</f>
        <v/>
      </c>
      <c r="Q1070" s="60">
        <f>IF(J1070=0,"",IF(G1070+H1070&lt;J1070*34,DATE(2026,10,15)+(G1070+H1070)/J1070,IF(G1070+H1070&lt;N1070,DATE(2026,11,18)+(G1070+H1070-J1070*34)/(J1070*L1070),"after Nov 30")))</f>
        <v/>
      </c>
      <c r="R1070" s="54">
        <f>IF(AND(G1070&lt;=0,J1070&gt;0),"Out of stock now",IF(G1070&gt;=N1070,"Covered to Nov 30",IF(G1070+H1070&gt;=N1070,"Needs inbound in time","Short even with inbound")))</f>
        <v/>
      </c>
      <c r="S1070" s="57" t="n">
        <v>0.107</v>
      </c>
      <c r="T1070" s="59">
        <f>IF(S1070="","",S1070*34+S1070*L1070*12)</f>
        <v/>
      </c>
    </row>
    <row r="1071">
      <c r="A1071" s="54" t="inlineStr">
        <is>
          <t>US DC Silk Pillowcase</t>
        </is>
      </c>
      <c r="B1071" s="54" t="inlineStr">
        <is>
          <t>US</t>
        </is>
      </c>
      <c r="C1071" s="54" t="inlineStr">
        <is>
          <t>B0DBR8G7GH</t>
        </is>
      </c>
      <c r="D1071" s="54" t="inlineStr">
        <is>
          <t>SILK-PILLOWCASE-STANDARD-CHAMPAGNE-1PCS</t>
        </is>
      </c>
      <c r="E1071" s="54" t="inlineStr">
        <is>
          <t>Standard</t>
        </is>
      </c>
      <c r="F1071" s="54" t="inlineStr">
        <is>
          <t>Champagne</t>
        </is>
      </c>
      <c r="G1071" s="55" t="n">
        <v>230</v>
      </c>
      <c r="H1071" s="55" t="n">
        <v>0</v>
      </c>
      <c r="I1071" s="56" t="n"/>
      <c r="J1071" s="57" t="n">
        <v>0.84</v>
      </c>
      <c r="K1071" s="56" t="inlineStr">
        <is>
          <t>account data velocity</t>
        </is>
      </c>
      <c r="L1071" s="58" t="n">
        <v>1.3528</v>
      </c>
      <c r="M1071" s="56" t="inlineStr">
        <is>
          <t>own BFCM 2025 lift (account data)</t>
        </is>
      </c>
      <c r="N1071" s="59">
        <f>J1071*34+J1071*L1071*12</f>
        <v/>
      </c>
      <c r="O1071" s="59">
        <f>MAX(0,N1071-G1071-H1071)</f>
        <v/>
      </c>
      <c r="P1071" s="60">
        <f>IF(J1071=0,"",IF(G1071&lt;J1071*34,DATE(2026,10,15)+G1071/J1071,IF(G1071&lt;N1071,DATE(2026,11,18)+(G1071-J1071*34)/(J1071*L1071),"after Nov 30")))</f>
        <v/>
      </c>
      <c r="Q1071" s="60">
        <f>IF(J1071=0,"",IF(G1071+H1071&lt;J1071*34,DATE(2026,10,15)+(G1071+H1071)/J1071,IF(G1071+H1071&lt;N1071,DATE(2026,11,18)+(G1071+H1071-J1071*34)/(J1071*L1071),"after Nov 30")))</f>
        <v/>
      </c>
      <c r="R1071" s="54">
        <f>IF(AND(G1071&lt;=0,J1071&gt;0),"Out of stock now",IF(G1071&gt;=N1071,"Covered to Nov 30",IF(G1071+H1071&gt;=N1071,"Needs inbound in time","Short even with inbound")))</f>
        <v/>
      </c>
      <c r="S1071" s="57" t="n">
        <v>0.536</v>
      </c>
      <c r="T1071" s="59">
        <f>IF(S1071="","",S1071*34+S1071*L1071*12)</f>
        <v/>
      </c>
    </row>
    <row r="1072">
      <c r="A1072" s="54" t="inlineStr">
        <is>
          <t>US DC Silk Pillowcase</t>
        </is>
      </c>
      <c r="B1072" s="54" t="inlineStr">
        <is>
          <t>US</t>
        </is>
      </c>
      <c r="C1072" s="54" t="inlineStr">
        <is>
          <t>B0DBR99M41</t>
        </is>
      </c>
      <c r="D1072" s="54" t="inlineStr">
        <is>
          <t>SILK-PILLOWCASE-STANDARD-IVORY-1PCS</t>
        </is>
      </c>
      <c r="E1072" s="54" t="inlineStr">
        <is>
          <t>Standard</t>
        </is>
      </c>
      <c r="F1072" s="54" t="inlineStr">
        <is>
          <t>Ivory</t>
        </is>
      </c>
      <c r="G1072" s="55" t="n">
        <v>303</v>
      </c>
      <c r="H1072" s="55" t="n">
        <v>0</v>
      </c>
      <c r="I1072" s="56" t="n"/>
      <c r="J1072" s="57" t="n">
        <v>0.73</v>
      </c>
      <c r="K1072" s="56" t="inlineStr">
        <is>
          <t>account data velocity</t>
        </is>
      </c>
      <c r="L1072" s="58" t="n">
        <v>1.3528</v>
      </c>
      <c r="M1072" s="56" t="inlineStr">
        <is>
          <t>own BFCM 2025 lift (account data)</t>
        </is>
      </c>
      <c r="N1072" s="59">
        <f>J1072*34+J1072*L1072*12</f>
        <v/>
      </c>
      <c r="O1072" s="59">
        <f>MAX(0,N1072-G1072-H1072)</f>
        <v/>
      </c>
      <c r="P1072" s="60">
        <f>IF(J1072=0,"",IF(G1072&lt;J1072*34,DATE(2026,10,15)+G1072/J1072,IF(G1072&lt;N1072,DATE(2026,11,18)+(G1072-J1072*34)/(J1072*L1072),"after Nov 30")))</f>
        <v/>
      </c>
      <c r="Q1072" s="60">
        <f>IF(J1072=0,"",IF(G1072+H1072&lt;J1072*34,DATE(2026,10,15)+(G1072+H1072)/J1072,IF(G1072+H1072&lt;N1072,DATE(2026,11,18)+(G1072+H1072-J1072*34)/(J1072*L1072),"after Nov 30")))</f>
        <v/>
      </c>
      <c r="R1072" s="54">
        <f>IF(AND(G1072&lt;=0,J1072&gt;0),"Out of stock now",IF(G1072&gt;=N1072,"Covered to Nov 30",IF(G1072+H1072&gt;=N1072,"Needs inbound in time","Short even with inbound")))</f>
        <v/>
      </c>
      <c r="S1072" s="57" t="n">
        <v>0.357</v>
      </c>
      <c r="T1072" s="59">
        <f>IF(S1072="","",S1072*34+S1072*L1072*12)</f>
        <v/>
      </c>
    </row>
    <row r="1073">
      <c r="A1073" s="54" t="inlineStr">
        <is>
          <t>US DC Silk Pillowcase</t>
        </is>
      </c>
      <c r="B1073" s="54" t="inlineStr">
        <is>
          <t>US</t>
        </is>
      </c>
      <c r="C1073" s="54" t="inlineStr">
        <is>
          <t>B0DBR9GXG4</t>
        </is>
      </c>
      <c r="D1073" s="54" t="inlineStr">
        <is>
          <t>SILK-PILLOWCASE-QUEEN-IVORY-1PCS</t>
        </is>
      </c>
      <c r="E1073" s="54" t="inlineStr">
        <is>
          <t>Queen</t>
        </is>
      </c>
      <c r="F1073" s="54" t="inlineStr">
        <is>
          <t>Ivory</t>
        </is>
      </c>
      <c r="G1073" s="55" t="n">
        <v>138</v>
      </c>
      <c r="H1073" s="55" t="n">
        <v>0</v>
      </c>
      <c r="I1073" s="56" t="n"/>
      <c r="J1073" s="57" t="n">
        <v>0.67</v>
      </c>
      <c r="K1073" s="56" t="inlineStr">
        <is>
          <t>account data velocity</t>
        </is>
      </c>
      <c r="L1073" s="58" t="n">
        <v>1.3528</v>
      </c>
      <c r="M1073" s="56" t="inlineStr">
        <is>
          <t>own BFCM 2025 lift (account data)</t>
        </is>
      </c>
      <c r="N1073" s="59">
        <f>J1073*34+J1073*L1073*12</f>
        <v/>
      </c>
      <c r="O1073" s="59">
        <f>MAX(0,N1073-G1073-H1073)</f>
        <v/>
      </c>
      <c r="P1073" s="60">
        <f>IF(J1073=0,"",IF(G1073&lt;J1073*34,DATE(2026,10,15)+G1073/J1073,IF(G1073&lt;N1073,DATE(2026,11,18)+(G1073-J1073*34)/(J1073*L1073),"after Nov 30")))</f>
        <v/>
      </c>
      <c r="Q1073" s="60">
        <f>IF(J1073=0,"",IF(G1073+H1073&lt;J1073*34,DATE(2026,10,15)+(G1073+H1073)/J1073,IF(G1073+H1073&lt;N1073,DATE(2026,11,18)+(G1073+H1073-J1073*34)/(J1073*L1073),"after Nov 30")))</f>
        <v/>
      </c>
      <c r="R1073" s="54">
        <f>IF(AND(G1073&lt;=0,J1073&gt;0),"Out of stock now",IF(G1073&gt;=N1073,"Covered to Nov 30",IF(G1073+H1073&gt;=N1073,"Needs inbound in time","Short even with inbound")))</f>
        <v/>
      </c>
      <c r="S1073" s="57" t="n">
        <v>0.393</v>
      </c>
      <c r="T1073" s="59">
        <f>IF(S1073="","",S1073*34+S1073*L1073*12)</f>
        <v/>
      </c>
    </row>
    <row r="1074">
      <c r="A1074" s="54" t="inlineStr">
        <is>
          <t>US DC Silk Pillowcase</t>
        </is>
      </c>
      <c r="B1074" s="54" t="inlineStr">
        <is>
          <t>US</t>
        </is>
      </c>
      <c r="C1074" s="54" t="inlineStr">
        <is>
          <t>B0DBR948NX</t>
        </is>
      </c>
      <c r="D1074" s="54" t="inlineStr">
        <is>
          <t>SILK-PILLOWCASE-STANDARD-GREY-1PCS</t>
        </is>
      </c>
      <c r="E1074" s="54" t="inlineStr">
        <is>
          <t>Standard</t>
        </is>
      </c>
      <c r="F1074" s="54" t="inlineStr">
        <is>
          <t>Grey</t>
        </is>
      </c>
      <c r="G1074" s="55" t="n">
        <v>14</v>
      </c>
      <c r="H1074" s="55" t="n">
        <v>0</v>
      </c>
      <c r="I1074" s="56" t="n"/>
      <c r="J1074" s="57" t="n">
        <v>0.5</v>
      </c>
      <c r="K1074" s="56" t="inlineStr">
        <is>
          <t>account data velocity</t>
        </is>
      </c>
      <c r="L1074" s="58" t="n">
        <v>1.3528</v>
      </c>
      <c r="M1074" s="56" t="inlineStr">
        <is>
          <t>own BFCM 2025 lift (account data)</t>
        </is>
      </c>
      <c r="N1074" s="59">
        <f>J1074*34+J1074*L1074*12</f>
        <v/>
      </c>
      <c r="O1074" s="59">
        <f>MAX(0,N1074-G1074-H1074)</f>
        <v/>
      </c>
      <c r="P1074" s="60">
        <f>IF(J1074=0,"",IF(G1074&lt;J1074*34,DATE(2026,10,15)+G1074/J1074,IF(G1074&lt;N1074,DATE(2026,11,18)+(G1074-J1074*34)/(J1074*L1074),"after Nov 30")))</f>
        <v/>
      </c>
      <c r="Q1074" s="60">
        <f>IF(J1074=0,"",IF(G1074+H1074&lt;J1074*34,DATE(2026,10,15)+(G1074+H1074)/J1074,IF(G1074+H1074&lt;N1074,DATE(2026,11,18)+(G1074+H1074-J1074*34)/(J1074*L1074),"after Nov 30")))</f>
        <v/>
      </c>
      <c r="R1074" s="54">
        <f>IF(AND(G1074&lt;=0,J1074&gt;0),"Out of stock now",IF(G1074&gt;=N1074,"Covered to Nov 30",IF(G1074+H1074&gt;=N1074,"Needs inbound in time","Short even with inbound")))</f>
        <v/>
      </c>
      <c r="S1074" s="57" t="n">
        <v>0.214</v>
      </c>
      <c r="T1074" s="59">
        <f>IF(S1074="","",S1074*34+S1074*L1074*12)</f>
        <v/>
      </c>
    </row>
    <row r="1075">
      <c r="A1075" s="54" t="inlineStr">
        <is>
          <t>US DC Silk Pillowcase</t>
        </is>
      </c>
      <c r="B1075" s="54" t="inlineStr">
        <is>
          <t>US</t>
        </is>
      </c>
      <c r="C1075" s="54" t="inlineStr">
        <is>
          <t>B0DBR73C9R</t>
        </is>
      </c>
      <c r="D1075" s="54" t="inlineStr">
        <is>
          <t>SILK-PILLOWCASE-KING-GREY-1PCS</t>
        </is>
      </c>
      <c r="E1075" s="54" t="inlineStr">
        <is>
          <t>King</t>
        </is>
      </c>
      <c r="F1075" s="54" t="inlineStr">
        <is>
          <t>Grey</t>
        </is>
      </c>
      <c r="G1075" s="55" t="n">
        <v>124</v>
      </c>
      <c r="H1075" s="55" t="n">
        <v>0</v>
      </c>
      <c r="I1075" s="56" t="n"/>
      <c r="J1075" s="57" t="n">
        <v>0.41</v>
      </c>
      <c r="K1075" s="56" t="inlineStr">
        <is>
          <t>account data velocity</t>
        </is>
      </c>
      <c r="L1075" s="58" t="n">
        <v>1.3528</v>
      </c>
      <c r="M1075" s="56" t="inlineStr">
        <is>
          <t>own BFCM 2025 lift (account data)</t>
        </is>
      </c>
      <c r="N1075" s="59">
        <f>J1075*34+J1075*L1075*12</f>
        <v/>
      </c>
      <c r="O1075" s="59">
        <f>MAX(0,N1075-G1075-H1075)</f>
        <v/>
      </c>
      <c r="P1075" s="60">
        <f>IF(J1075=0,"",IF(G1075&lt;J1075*34,DATE(2026,10,15)+G1075/J1075,IF(G1075&lt;N1075,DATE(2026,11,18)+(G1075-J1075*34)/(J1075*L1075),"after Nov 30")))</f>
        <v/>
      </c>
      <c r="Q1075" s="60">
        <f>IF(J1075=0,"",IF(G1075+H1075&lt;J1075*34,DATE(2026,10,15)+(G1075+H1075)/J1075,IF(G1075+H1075&lt;N1075,DATE(2026,11,18)+(G1075+H1075-J1075*34)/(J1075*L1075),"after Nov 30")))</f>
        <v/>
      </c>
      <c r="R1075" s="54">
        <f>IF(AND(G1075&lt;=0,J1075&gt;0),"Out of stock now",IF(G1075&gt;=N1075,"Covered to Nov 30",IF(G1075+H1075&gt;=N1075,"Needs inbound in time","Short even with inbound")))</f>
        <v/>
      </c>
      <c r="S1075" s="57" t="n">
        <v>0.143</v>
      </c>
      <c r="T1075" s="59">
        <f>IF(S1075="","",S1075*34+S1075*L1075*12)</f>
        <v/>
      </c>
    </row>
    <row r="1076">
      <c r="A1076" s="54" t="inlineStr">
        <is>
          <t>US DC Silk Pillowcase</t>
        </is>
      </c>
      <c r="B1076" s="54" t="inlineStr">
        <is>
          <t>US</t>
        </is>
      </c>
      <c r="C1076" s="54" t="inlineStr">
        <is>
          <t>B0DBR61W7F</t>
        </is>
      </c>
      <c r="D1076" s="54" t="inlineStr">
        <is>
          <t>SILK-PILLOWCASE-QUEEN-CHAMPAGNE-1PCS</t>
        </is>
      </c>
      <c r="E1076" s="54" t="inlineStr">
        <is>
          <t>Queen</t>
        </is>
      </c>
      <c r="F1076" s="54" t="inlineStr">
        <is>
          <t>Champagne</t>
        </is>
      </c>
      <c r="G1076" s="55" t="n">
        <v>247</v>
      </c>
      <c r="H1076" s="55" t="n">
        <v>0</v>
      </c>
      <c r="I1076" s="56" t="n"/>
      <c r="J1076" s="57" t="n">
        <v>0.31</v>
      </c>
      <c r="K1076" s="56" t="inlineStr">
        <is>
          <t>account data velocity</t>
        </is>
      </c>
      <c r="L1076" s="58" t="n">
        <v>1.3528</v>
      </c>
      <c r="M1076" s="56" t="inlineStr">
        <is>
          <t>own BFCM 2025 lift (account data)</t>
        </is>
      </c>
      <c r="N1076" s="59">
        <f>J1076*34+J1076*L1076*12</f>
        <v/>
      </c>
      <c r="O1076" s="59">
        <f>MAX(0,N1076-G1076-H1076)</f>
        <v/>
      </c>
      <c r="P1076" s="60">
        <f>IF(J1076=0,"",IF(G1076&lt;J1076*34,DATE(2026,10,15)+G1076/J1076,IF(G1076&lt;N1076,DATE(2026,11,18)+(G1076-J1076*34)/(J1076*L1076),"after Nov 30")))</f>
        <v/>
      </c>
      <c r="Q1076" s="60">
        <f>IF(J1076=0,"",IF(G1076+H1076&lt;J1076*34,DATE(2026,10,15)+(G1076+H1076)/J1076,IF(G1076+H1076&lt;N1076,DATE(2026,11,18)+(G1076+H1076-J1076*34)/(J1076*L1076),"after Nov 30")))</f>
        <v/>
      </c>
      <c r="R1076" s="54">
        <f>IF(AND(G1076&lt;=0,J1076&gt;0),"Out of stock now",IF(G1076&gt;=N1076,"Covered to Nov 30",IF(G1076+H1076&gt;=N1076,"Needs inbound in time","Short even with inbound")))</f>
        <v/>
      </c>
      <c r="S1076" s="57" t="n">
        <v>0.214</v>
      </c>
      <c r="T1076" s="59">
        <f>IF(S1076="","",S1076*34+S1076*L1076*12)</f>
        <v/>
      </c>
    </row>
    <row r="1077">
      <c r="A1077" s="54" t="inlineStr">
        <is>
          <t>US DC Silk Pillowcase</t>
        </is>
      </c>
      <c r="B1077" s="54" t="inlineStr">
        <is>
          <t>US</t>
        </is>
      </c>
      <c r="C1077" s="54" t="inlineStr">
        <is>
          <t>B0DBRBSH2R</t>
        </is>
      </c>
      <c r="D1077" s="54" t="inlineStr">
        <is>
          <t>SILK-PILLOWCASE-QUEEN-WHITE-1PCS</t>
        </is>
      </c>
      <c r="E1077" s="54" t="inlineStr">
        <is>
          <t>Queen</t>
        </is>
      </c>
      <c r="F1077" s="54" t="inlineStr">
        <is>
          <t>White</t>
        </is>
      </c>
      <c r="G1077" s="55" t="n">
        <v>140</v>
      </c>
      <c r="H1077" s="55" t="n">
        <v>0</v>
      </c>
      <c r="I1077" s="56" t="n"/>
      <c r="J1077" s="57" t="n">
        <v>0.29</v>
      </c>
      <c r="K1077" s="56" t="inlineStr">
        <is>
          <t>account data velocity</t>
        </is>
      </c>
      <c r="L1077" s="58" t="n">
        <v>1.3528</v>
      </c>
      <c r="M1077" s="56" t="inlineStr">
        <is>
          <t>own BFCM 2025 lift (account data)</t>
        </is>
      </c>
      <c r="N1077" s="59">
        <f>J1077*34+J1077*L1077*12</f>
        <v/>
      </c>
      <c r="O1077" s="59">
        <f>MAX(0,N1077-G1077-H1077)</f>
        <v/>
      </c>
      <c r="P1077" s="60">
        <f>IF(J1077=0,"",IF(G1077&lt;J1077*34,DATE(2026,10,15)+G1077/J1077,IF(G1077&lt;N1077,DATE(2026,11,18)+(G1077-J1077*34)/(J1077*L1077),"after Nov 30")))</f>
        <v/>
      </c>
      <c r="Q1077" s="60">
        <f>IF(J1077=0,"",IF(G1077+H1077&lt;J1077*34,DATE(2026,10,15)+(G1077+H1077)/J1077,IF(G1077+H1077&lt;N1077,DATE(2026,11,18)+(G1077+H1077-J1077*34)/(J1077*L1077),"after Nov 30")))</f>
        <v/>
      </c>
      <c r="R1077" s="54">
        <f>IF(AND(G1077&lt;=0,J1077&gt;0),"Out of stock now",IF(G1077&gt;=N1077,"Covered to Nov 30",IF(G1077+H1077&gt;=N1077,"Needs inbound in time","Short even with inbound")))</f>
        <v/>
      </c>
      <c r="S1077" s="57" t="n">
        <v>0.143</v>
      </c>
      <c r="T1077" s="59">
        <f>IF(S1077="","",S1077*34+S1077*L1077*12)</f>
        <v/>
      </c>
    </row>
    <row r="1078">
      <c r="A1078" s="54" t="inlineStr">
        <is>
          <t>US DC Silk Pillowcase</t>
        </is>
      </c>
      <c r="B1078" s="54" t="inlineStr">
        <is>
          <t>US</t>
        </is>
      </c>
      <c r="C1078" s="54" t="inlineStr">
        <is>
          <t>B0DBRB2B8J</t>
        </is>
      </c>
      <c r="D1078" s="54" t="inlineStr">
        <is>
          <t>SILK-PILLOWCASE-QUEEN-SILVER GREY-1PCS</t>
        </is>
      </c>
      <c r="E1078" s="54" t="inlineStr">
        <is>
          <t>Queen</t>
        </is>
      </c>
      <c r="F1078" s="54" t="inlineStr">
        <is>
          <t>Silver Grey</t>
        </is>
      </c>
      <c r="G1078" s="55" t="n">
        <v>122</v>
      </c>
      <c r="H1078" s="55" t="n">
        <v>0</v>
      </c>
      <c r="I1078" s="56" t="n"/>
      <c r="J1078" s="57" t="n">
        <v>0.29</v>
      </c>
      <c r="K1078" s="56" t="inlineStr">
        <is>
          <t>account data velocity</t>
        </is>
      </c>
      <c r="L1078" s="58" t="n">
        <v>1.3528</v>
      </c>
      <c r="M1078" s="56" t="inlineStr">
        <is>
          <t>own BFCM 2025 lift (account data)</t>
        </is>
      </c>
      <c r="N1078" s="59">
        <f>J1078*34+J1078*L1078*12</f>
        <v/>
      </c>
      <c r="O1078" s="59">
        <f>MAX(0,N1078-G1078-H1078)</f>
        <v/>
      </c>
      <c r="P1078" s="60">
        <f>IF(J1078=0,"",IF(G1078&lt;J1078*34,DATE(2026,10,15)+G1078/J1078,IF(G1078&lt;N1078,DATE(2026,11,18)+(G1078-J1078*34)/(J1078*L1078),"after Nov 30")))</f>
        <v/>
      </c>
      <c r="Q1078" s="60">
        <f>IF(J1078=0,"",IF(G1078+H1078&lt;J1078*34,DATE(2026,10,15)+(G1078+H1078)/J1078,IF(G1078+H1078&lt;N1078,DATE(2026,11,18)+(G1078+H1078-J1078*34)/(J1078*L1078),"after Nov 30")))</f>
        <v/>
      </c>
      <c r="R1078" s="54">
        <f>IF(AND(G1078&lt;=0,J1078&gt;0),"Out of stock now",IF(G1078&gt;=N1078,"Covered to Nov 30",IF(G1078+H1078&gt;=N1078,"Needs inbound in time","Short even with inbound")))</f>
        <v/>
      </c>
      <c r="S1078" s="57" t="n">
        <v>0.107</v>
      </c>
      <c r="T1078" s="59">
        <f>IF(S1078="","",S1078*34+S1078*L1078*12)</f>
        <v/>
      </c>
    </row>
    <row r="1079">
      <c r="A1079" s="54" t="inlineStr">
        <is>
          <t>US DC Silk Pillowcase</t>
        </is>
      </c>
      <c r="B1079" s="54" t="inlineStr">
        <is>
          <t>US</t>
        </is>
      </c>
      <c r="C1079" s="54" t="inlineStr">
        <is>
          <t>B0DBR855WF</t>
        </is>
      </c>
      <c r="D1079" s="54" t="inlineStr">
        <is>
          <t>SILK-PILLOWCASE-KING-CORAL-1PCS</t>
        </is>
      </c>
      <c r="E1079" s="54" t="inlineStr">
        <is>
          <t>King</t>
        </is>
      </c>
      <c r="F1079" s="54" t="inlineStr">
        <is>
          <t>Coral</t>
        </is>
      </c>
      <c r="G1079" s="55" t="n">
        <v>118</v>
      </c>
      <c r="H1079" s="55" t="n">
        <v>0</v>
      </c>
      <c r="I1079" s="56" t="n"/>
      <c r="J1079" s="57" t="n">
        <v>0.26</v>
      </c>
      <c r="K1079" s="56" t="inlineStr">
        <is>
          <t>account data velocity</t>
        </is>
      </c>
      <c r="L1079" s="58" t="n">
        <v>1.3528</v>
      </c>
      <c r="M1079" s="56" t="inlineStr">
        <is>
          <t>own BFCM 2025 lift (account data)</t>
        </is>
      </c>
      <c r="N1079" s="59">
        <f>J1079*34+J1079*L1079*12</f>
        <v/>
      </c>
      <c r="O1079" s="59">
        <f>MAX(0,N1079-G1079-H1079)</f>
        <v/>
      </c>
      <c r="P1079" s="60">
        <f>IF(J1079=0,"",IF(G1079&lt;J1079*34,DATE(2026,10,15)+G1079/J1079,IF(G1079&lt;N1079,DATE(2026,11,18)+(G1079-J1079*34)/(J1079*L1079),"after Nov 30")))</f>
        <v/>
      </c>
      <c r="Q1079" s="60">
        <f>IF(J1079=0,"",IF(G1079+H1079&lt;J1079*34,DATE(2026,10,15)+(G1079+H1079)/J1079,IF(G1079+H1079&lt;N1079,DATE(2026,11,18)+(G1079+H1079-J1079*34)/(J1079*L1079),"after Nov 30")))</f>
        <v/>
      </c>
      <c r="R1079" s="54">
        <f>IF(AND(G1079&lt;=0,J1079&gt;0),"Out of stock now",IF(G1079&gt;=N1079,"Covered to Nov 30",IF(G1079+H1079&gt;=N1079,"Needs inbound in time","Short even with inbound")))</f>
        <v/>
      </c>
      <c r="S1079" s="57" t="n">
        <v>0.107</v>
      </c>
      <c r="T1079" s="59">
        <f>IF(S1079="","",S1079*34+S1079*L1079*12)</f>
        <v/>
      </c>
    </row>
    <row r="1080">
      <c r="A1080" s="54" t="inlineStr">
        <is>
          <t>US DC Silk Pillowcase</t>
        </is>
      </c>
      <c r="B1080" s="54" t="inlineStr">
        <is>
          <t>US</t>
        </is>
      </c>
      <c r="C1080" s="54" t="inlineStr">
        <is>
          <t>B0DBR9LLGV</t>
        </is>
      </c>
      <c r="D1080" s="54" t="inlineStr">
        <is>
          <t>SILK-PILLOWCASE-QUEEN-GREY-1PCS</t>
        </is>
      </c>
      <c r="E1080" s="54" t="inlineStr">
        <is>
          <t>Queen</t>
        </is>
      </c>
      <c r="F1080" s="54" t="inlineStr">
        <is>
          <t>Grey</t>
        </is>
      </c>
      <c r="G1080" s="55" t="n">
        <v>32</v>
      </c>
      <c r="H1080" s="55" t="n">
        <v>0</v>
      </c>
      <c r="I1080" s="56" t="n"/>
      <c r="J1080" s="57" t="n">
        <v>0.24</v>
      </c>
      <c r="K1080" s="56" t="inlineStr">
        <is>
          <t>account data velocity</t>
        </is>
      </c>
      <c r="L1080" s="58" t="n">
        <v>1.3528</v>
      </c>
      <c r="M1080" s="56" t="inlineStr">
        <is>
          <t>own BFCM 2025 lift (account data)</t>
        </is>
      </c>
      <c r="N1080" s="59">
        <f>J1080*34+J1080*L1080*12</f>
        <v/>
      </c>
      <c r="O1080" s="59">
        <f>MAX(0,N1080-G1080-H1080)</f>
        <v/>
      </c>
      <c r="P1080" s="60">
        <f>IF(J1080=0,"",IF(G1080&lt;J1080*34,DATE(2026,10,15)+G1080/J1080,IF(G1080&lt;N1080,DATE(2026,11,18)+(G1080-J1080*34)/(J1080*L1080),"after Nov 30")))</f>
        <v/>
      </c>
      <c r="Q1080" s="60">
        <f>IF(J1080=0,"",IF(G1080+H1080&lt;J1080*34,DATE(2026,10,15)+(G1080+H1080)/J1080,IF(G1080+H1080&lt;N1080,DATE(2026,11,18)+(G1080+H1080-J1080*34)/(J1080*L1080),"after Nov 30")))</f>
        <v/>
      </c>
      <c r="R1080" s="54">
        <f>IF(AND(G1080&lt;=0,J1080&gt;0),"Out of stock now",IF(G1080&gt;=N1080,"Covered to Nov 30",IF(G1080+H1080&gt;=N1080,"Needs inbound in time","Short even with inbound")))</f>
        <v/>
      </c>
      <c r="S1080" s="57" t="n">
        <v>0.107</v>
      </c>
      <c r="T1080" s="59">
        <f>IF(S1080="","",S1080*34+S1080*L1080*12)</f>
        <v/>
      </c>
    </row>
    <row r="1081">
      <c r="A1081" s="54" t="inlineStr">
        <is>
          <t>US DC Silk Pillowcase</t>
        </is>
      </c>
      <c r="B1081" s="54" t="inlineStr">
        <is>
          <t>US</t>
        </is>
      </c>
      <c r="C1081" s="54" t="inlineStr">
        <is>
          <t>B0DBRL13MZ</t>
        </is>
      </c>
      <c r="D1081" s="54" t="inlineStr">
        <is>
          <t>SILK-PILLOWCASE-KING-SILVER GREY-1PCS</t>
        </is>
      </c>
      <c r="E1081" s="54" t="inlineStr">
        <is>
          <t>King</t>
        </is>
      </c>
      <c r="F1081" s="54" t="inlineStr">
        <is>
          <t>Silver Grey</t>
        </is>
      </c>
      <c r="G1081" s="55" t="n">
        <v>430</v>
      </c>
      <c r="H1081" s="55" t="n">
        <v>0</v>
      </c>
      <c r="I1081" s="56" t="n"/>
      <c r="J1081" s="57" t="n">
        <v>0.15</v>
      </c>
      <c r="K1081" s="56" t="inlineStr">
        <is>
          <t>account data velocity</t>
        </is>
      </c>
      <c r="L1081" s="58" t="n">
        <v>1.3528</v>
      </c>
      <c r="M1081" s="56" t="inlineStr">
        <is>
          <t>own BFCM 2025 lift (account data)</t>
        </is>
      </c>
      <c r="N1081" s="59">
        <f>J1081*34+J1081*L1081*12</f>
        <v/>
      </c>
      <c r="O1081" s="59">
        <f>MAX(0,N1081-G1081-H1081)</f>
        <v/>
      </c>
      <c r="P1081" s="60">
        <f>IF(J1081=0,"",IF(G1081&lt;J1081*34,DATE(2026,10,15)+G1081/J1081,IF(G1081&lt;N1081,DATE(2026,11,18)+(G1081-J1081*34)/(J1081*L1081),"after Nov 30")))</f>
        <v/>
      </c>
      <c r="Q1081" s="60">
        <f>IF(J1081=0,"",IF(G1081+H1081&lt;J1081*34,DATE(2026,10,15)+(G1081+H1081)/J1081,IF(G1081+H1081&lt;N1081,DATE(2026,11,18)+(G1081+H1081-J1081*34)/(J1081*L1081),"after Nov 30")))</f>
        <v/>
      </c>
      <c r="R1081" s="54">
        <f>IF(AND(G1081&lt;=0,J1081&gt;0),"Out of stock now",IF(G1081&gt;=N1081,"Covered to Nov 30",IF(G1081+H1081&gt;=N1081,"Needs inbound in time","Short even with inbound")))</f>
        <v/>
      </c>
      <c r="S1081" s="57" t="n">
        <v>0.321</v>
      </c>
      <c r="T1081" s="59">
        <f>IF(S1081="","",S1081*34+S1081*L1081*12)</f>
        <v/>
      </c>
    </row>
    <row r="1082">
      <c r="A1082" s="54" t="inlineStr">
        <is>
          <t>US DC Silk Pillowcase</t>
        </is>
      </c>
      <c r="B1082" s="54" t="inlineStr">
        <is>
          <t>US</t>
        </is>
      </c>
      <c r="C1082" s="54" t="inlineStr">
        <is>
          <t>B0DBR8Y5Y2</t>
        </is>
      </c>
      <c r="D1082" s="54" t="inlineStr">
        <is>
          <t>SILK-PILLOWCASE-KING-WHITE-1PCS</t>
        </is>
      </c>
      <c r="E1082" s="54" t="inlineStr">
        <is>
          <t>King</t>
        </is>
      </c>
      <c r="F1082" s="54" t="inlineStr">
        <is>
          <t>White</t>
        </is>
      </c>
      <c r="G1082" s="55" t="n">
        <v>198</v>
      </c>
      <c r="H1082" s="55" t="n">
        <v>0</v>
      </c>
      <c r="I1082" s="56" t="n"/>
      <c r="J1082" s="57" t="n">
        <v>0.14</v>
      </c>
      <c r="K1082" s="56" t="inlineStr">
        <is>
          <t>account data velocity</t>
        </is>
      </c>
      <c r="L1082" s="58" t="n">
        <v>1.3528</v>
      </c>
      <c r="M1082" s="56" t="inlineStr">
        <is>
          <t>own BFCM 2025 lift (account data)</t>
        </is>
      </c>
      <c r="N1082" s="59">
        <f>J1082*34+J1082*L1082*12</f>
        <v/>
      </c>
      <c r="O1082" s="59">
        <f>MAX(0,N1082-G1082-H1082)</f>
        <v/>
      </c>
      <c r="P1082" s="60">
        <f>IF(J1082=0,"",IF(G1082&lt;J1082*34,DATE(2026,10,15)+G1082/J1082,IF(G1082&lt;N1082,DATE(2026,11,18)+(G1082-J1082*34)/(J1082*L1082),"after Nov 30")))</f>
        <v/>
      </c>
      <c r="Q1082" s="60">
        <f>IF(J1082=0,"",IF(G1082+H1082&lt;J1082*34,DATE(2026,10,15)+(G1082+H1082)/J1082,IF(G1082+H1082&lt;N1082,DATE(2026,11,18)+(G1082+H1082-J1082*34)/(J1082*L1082),"after Nov 30")))</f>
        <v/>
      </c>
      <c r="R1082" s="54">
        <f>IF(AND(G1082&lt;=0,J1082&gt;0),"Out of stock now",IF(G1082&gt;=N1082,"Covered to Nov 30",IF(G1082+H1082&gt;=N1082,"Needs inbound in time","Short even with inbound")))</f>
        <v/>
      </c>
      <c r="S1082" s="57" t="n">
        <v>0.286</v>
      </c>
      <c r="T1082" s="59">
        <f>IF(S1082="","",S1082*34+S1082*L1082*12)</f>
        <v/>
      </c>
    </row>
    <row r="1083">
      <c r="A1083" s="54" t="inlineStr">
        <is>
          <t>US DC Silk Pillowcase</t>
        </is>
      </c>
      <c r="B1083" s="54" t="inlineStr">
        <is>
          <t>US</t>
        </is>
      </c>
      <c r="C1083" s="54" t="inlineStr">
        <is>
          <t>B0DBR9B5ZX</t>
        </is>
      </c>
      <c r="D1083" s="54" t="inlineStr">
        <is>
          <t>SILK-PILLOWCASE-STANDARD-SILVERGREY-1PC</t>
        </is>
      </c>
      <c r="E1083" s="54" t="inlineStr">
        <is>
          <t>Standard</t>
        </is>
      </c>
      <c r="F1083" s="54" t="inlineStr">
        <is>
          <t>Silver Grey</t>
        </is>
      </c>
      <c r="G1083" s="55" t="n">
        <v>218</v>
      </c>
      <c r="H1083" s="55" t="n">
        <v>0</v>
      </c>
      <c r="I1083" s="56" t="n"/>
      <c r="J1083" s="57" t="n">
        <v>0.12</v>
      </c>
      <c r="K1083" s="56" t="inlineStr">
        <is>
          <t>account data velocity</t>
        </is>
      </c>
      <c r="L1083" s="58" t="n">
        <v>1.3528</v>
      </c>
      <c r="M1083" s="56" t="inlineStr">
        <is>
          <t>own BFCM 2025 lift (account data)</t>
        </is>
      </c>
      <c r="N1083" s="59">
        <f>J1083*34+J1083*L1083*12</f>
        <v/>
      </c>
      <c r="O1083" s="59">
        <f>MAX(0,N1083-G1083-H1083)</f>
        <v/>
      </c>
      <c r="P1083" s="60">
        <f>IF(J1083=0,"",IF(G1083&lt;J1083*34,DATE(2026,10,15)+G1083/J1083,IF(G1083&lt;N1083,DATE(2026,11,18)+(G1083-J1083*34)/(J1083*L1083),"after Nov 30")))</f>
        <v/>
      </c>
      <c r="Q1083" s="60">
        <f>IF(J1083=0,"",IF(G1083+H1083&lt;J1083*34,DATE(2026,10,15)+(G1083+H1083)/J1083,IF(G1083+H1083&lt;N1083,DATE(2026,11,18)+(G1083+H1083-J1083*34)/(J1083*L1083),"after Nov 30")))</f>
        <v/>
      </c>
      <c r="R1083" s="54">
        <f>IF(AND(G1083&lt;=0,J1083&gt;0),"Out of stock now",IF(G1083&gt;=N1083,"Covered to Nov 30",IF(G1083+H1083&gt;=N1083,"Needs inbound in time","Short even with inbound")))</f>
        <v/>
      </c>
      <c r="S1083" s="57" t="n">
        <v>0.25</v>
      </c>
      <c r="T1083" s="59">
        <f>IF(S1083="","",S1083*34+S1083*L1083*12)</f>
        <v/>
      </c>
    </row>
    <row r="1084">
      <c r="A1084" s="54" t="inlineStr">
        <is>
          <t>US DC Silk Pillowcase</t>
        </is>
      </c>
      <c r="B1084" s="54" t="inlineStr">
        <is>
          <t>US</t>
        </is>
      </c>
      <c r="C1084" s="54" t="inlineStr">
        <is>
          <t>B0DBRS4FDL</t>
        </is>
      </c>
      <c r="D1084" s="54" t="inlineStr">
        <is>
          <t>SILK-PILLOWCASE-STANDARD-CORAL-1PCS</t>
        </is>
      </c>
      <c r="E1084" s="54" t="inlineStr">
        <is>
          <t>Standard</t>
        </is>
      </c>
      <c r="F1084" s="54" t="inlineStr">
        <is>
          <t>Coral</t>
        </is>
      </c>
      <c r="G1084" s="55" t="n">
        <v>33</v>
      </c>
      <c r="H1084" s="55" t="n">
        <v>0</v>
      </c>
      <c r="I1084" s="56" t="n"/>
      <c r="J1084" s="57" t="n">
        <v>0.07000000000000001</v>
      </c>
      <c r="K1084" s="56" t="inlineStr">
        <is>
          <t>account data velocity</t>
        </is>
      </c>
      <c r="L1084" s="58" t="n">
        <v>1.3528</v>
      </c>
      <c r="M1084" s="56" t="inlineStr">
        <is>
          <t>own BFCM 2025 lift (account data)</t>
        </is>
      </c>
      <c r="N1084" s="59">
        <f>J1084*34+J1084*L1084*12</f>
        <v/>
      </c>
      <c r="O1084" s="59">
        <f>MAX(0,N1084-G1084-H1084)</f>
        <v/>
      </c>
      <c r="P1084" s="60">
        <f>IF(J1084=0,"",IF(G1084&lt;J1084*34,DATE(2026,10,15)+G1084/J1084,IF(G1084&lt;N1084,DATE(2026,11,18)+(G1084-J1084*34)/(J1084*L1084),"after Nov 30")))</f>
        <v/>
      </c>
      <c r="Q1084" s="60">
        <f>IF(J1084=0,"",IF(G1084+H1084&lt;J1084*34,DATE(2026,10,15)+(G1084+H1084)/J1084,IF(G1084+H1084&lt;N1084,DATE(2026,11,18)+(G1084+H1084-J1084*34)/(J1084*L1084),"after Nov 30")))</f>
        <v/>
      </c>
      <c r="R1084" s="54">
        <f>IF(AND(G1084&lt;=0,J1084&gt;0),"Out of stock now",IF(G1084&gt;=N1084,"Covered to Nov 30",IF(G1084+H1084&gt;=N1084,"Needs inbound in time","Short even with inbound")))</f>
        <v/>
      </c>
      <c r="S1084" s="57" t="n">
        <v>0.214</v>
      </c>
      <c r="T1084" s="59">
        <f>IF(S1084="","",S1084*34+S1084*L1084*12)</f>
        <v/>
      </c>
    </row>
    <row r="1085">
      <c r="A1085" s="54" t="inlineStr">
        <is>
          <t>US DC Silk Pillowcase</t>
        </is>
      </c>
      <c r="B1085" s="54" t="inlineStr">
        <is>
          <t>US</t>
        </is>
      </c>
      <c r="C1085" s="54" t="inlineStr">
        <is>
          <t>B0DBR771WD</t>
        </is>
      </c>
      <c r="D1085" s="54" t="inlineStr">
        <is>
          <t>SILK-PILLOWCASE-QUEEN-CORAL-1PCS</t>
        </is>
      </c>
      <c r="E1085" s="54" t="inlineStr">
        <is>
          <t>Queen</t>
        </is>
      </c>
      <c r="F1085" s="54" t="inlineStr">
        <is>
          <t>Coral</t>
        </is>
      </c>
      <c r="G1085" s="55" t="n">
        <v>89</v>
      </c>
      <c r="H1085" s="55" t="n">
        <v>0</v>
      </c>
      <c r="I1085" s="56" t="n"/>
      <c r="J1085" s="57" t="n">
        <v>0.03</v>
      </c>
      <c r="K1085" s="56" t="inlineStr">
        <is>
          <t>account data velocity</t>
        </is>
      </c>
      <c r="L1085" s="58" t="n">
        <v>1.3528</v>
      </c>
      <c r="M1085" s="56" t="inlineStr">
        <is>
          <t>own BFCM 2025 lift (account data)</t>
        </is>
      </c>
      <c r="N1085" s="59">
        <f>J1085*34+J1085*L1085*12</f>
        <v/>
      </c>
      <c r="O1085" s="59">
        <f>MAX(0,N1085-G1085-H1085)</f>
        <v/>
      </c>
      <c r="P1085" s="60">
        <f>IF(J1085=0,"",IF(G1085&lt;J1085*34,DATE(2026,10,15)+G1085/J1085,IF(G1085&lt;N1085,DATE(2026,11,18)+(G1085-J1085*34)/(J1085*L1085),"after Nov 30")))</f>
        <v/>
      </c>
      <c r="Q1085" s="60">
        <f>IF(J1085=0,"",IF(G1085+H1085&lt;J1085*34,DATE(2026,10,15)+(G1085+H1085)/J1085,IF(G1085+H1085&lt;N1085,DATE(2026,11,18)+(G1085+H1085-J1085*34)/(J1085*L1085),"after Nov 30")))</f>
        <v/>
      </c>
      <c r="R1085" s="54">
        <f>IF(AND(G1085&lt;=0,J1085&gt;0),"Out of stock now",IF(G1085&gt;=N1085,"Covered to Nov 30",IF(G1085+H1085&gt;=N1085,"Needs inbound in time","Short even with inbound")))</f>
        <v/>
      </c>
      <c r="S1085" s="57" t="n">
        <v>0.036</v>
      </c>
      <c r="T1085" s="59">
        <f>IF(S1085="","",S1085*34+S1085*L1085*12)</f>
        <v/>
      </c>
    </row>
    <row r="1086">
      <c r="A1086" s="54" t="inlineStr">
        <is>
          <t>US SL Mask Contoured</t>
        </is>
      </c>
      <c r="B1086" s="54" t="inlineStr">
        <is>
          <t>US</t>
        </is>
      </c>
      <c r="C1086" s="54" t="inlineStr">
        <is>
          <t>B0F4XP8CYP</t>
        </is>
      </c>
      <c r="D1086" s="54" t="inlineStr">
        <is>
          <t>SS-SLEEP-MASK-3D-CONTOURED-MISTY-BLUE</t>
        </is>
      </c>
      <c r="E1086" s="54" t="inlineStr">
        <is>
          <t>One Size</t>
        </is>
      </c>
      <c r="F1086" s="54" t="inlineStr">
        <is>
          <t>Misty Blue</t>
        </is>
      </c>
      <c r="G1086" s="55" t="n">
        <v>1</v>
      </c>
      <c r="H1086" s="55" t="n">
        <v>0</v>
      </c>
      <c r="I1086" s="56" t="n"/>
      <c r="J1086" s="57" t="n">
        <v>0.23</v>
      </c>
      <c r="K1086" s="56" t="inlineStr">
        <is>
          <t>account data velocity</t>
        </is>
      </c>
      <c r="L1086" s="58" t="n">
        <v>3.6667</v>
      </c>
      <c r="M1086" s="56" t="inlineStr">
        <is>
          <t>own BFCM 2025 lift (account data)</t>
        </is>
      </c>
      <c r="N1086" s="59">
        <f>J1086*34+J1086*L1086*12</f>
        <v/>
      </c>
      <c r="O1086" s="59">
        <f>MAX(0,N1086-G1086-H1086)</f>
        <v/>
      </c>
      <c r="P1086" s="60">
        <f>IF(J1086=0,"",IF(G1086&lt;J1086*34,DATE(2026,10,15)+G1086/J1086,IF(G1086&lt;N1086,DATE(2026,11,18)+(G1086-J1086*34)/(J1086*L1086),"after Nov 30")))</f>
        <v/>
      </c>
      <c r="Q1086" s="60">
        <f>IF(J1086=0,"",IF(G1086+H1086&lt;J1086*34,DATE(2026,10,15)+(G1086+H1086)/J1086,IF(G1086+H1086&lt;N1086,DATE(2026,11,18)+(G1086+H1086-J1086*34)/(J1086*L1086),"after Nov 30")))</f>
        <v/>
      </c>
      <c r="R1086" s="54">
        <f>IF(AND(G1086&lt;=0,J1086&gt;0),"Out of stock now",IF(G1086&gt;=N1086,"Covered to Nov 30",IF(G1086+H1086&gt;=N1086,"Needs inbound in time","Short even with inbound")))</f>
        <v/>
      </c>
      <c r="S1086" s="57" t="n">
        <v>0</v>
      </c>
      <c r="T1086" s="59">
        <f>IF(S1086="","",S1086*34+S1086*L1086*12)</f>
        <v/>
      </c>
    </row>
    <row r="1087">
      <c r="A1087" s="54" t="inlineStr">
        <is>
          <t>US SL Mask Contoured</t>
        </is>
      </c>
      <c r="B1087" s="54" t="inlineStr">
        <is>
          <t>US</t>
        </is>
      </c>
      <c r="C1087" s="54" t="inlineStr">
        <is>
          <t>B0F4XRFWGR</t>
        </is>
      </c>
      <c r="D1087" s="54" t="inlineStr">
        <is>
          <t>SS-SLEEP-MASK-3D-CONTOURED-PEACOCK-BLUE</t>
        </is>
      </c>
      <c r="E1087" s="54" t="inlineStr">
        <is>
          <t>One Size</t>
        </is>
      </c>
      <c r="F1087" s="54" t="inlineStr">
        <is>
          <t>Peacock Blue</t>
        </is>
      </c>
      <c r="G1087" s="55" t="n">
        <v>1</v>
      </c>
      <c r="H1087" s="55" t="n">
        <v>0</v>
      </c>
      <c r="I1087" s="56" t="n"/>
      <c r="J1087" s="57" t="n">
        <v>0.03</v>
      </c>
      <c r="K1087" s="56" t="inlineStr">
        <is>
          <t>account data velocity</t>
        </is>
      </c>
      <c r="L1087" s="58" t="n">
        <v>3.6667</v>
      </c>
      <c r="M1087" s="56" t="inlineStr">
        <is>
          <t>own BFCM 2025 lift (account data)</t>
        </is>
      </c>
      <c r="N1087" s="59">
        <f>J1087*34+J1087*L1087*12</f>
        <v/>
      </c>
      <c r="O1087" s="59">
        <f>MAX(0,N1087-G1087-H1087)</f>
        <v/>
      </c>
      <c r="P1087" s="60">
        <f>IF(J1087=0,"",IF(G1087&lt;J1087*34,DATE(2026,10,15)+G1087/J1087,IF(G1087&lt;N1087,DATE(2026,11,18)+(G1087-J1087*34)/(J1087*L1087),"after Nov 30")))</f>
        <v/>
      </c>
      <c r="Q1087" s="60">
        <f>IF(J1087=0,"",IF(G1087+H1087&lt;J1087*34,DATE(2026,10,15)+(G1087+H1087)/J1087,IF(G1087+H1087&lt;N1087,DATE(2026,11,18)+(G1087+H1087-J1087*34)/(J1087*L1087),"after Nov 30")))</f>
        <v/>
      </c>
      <c r="R1087" s="54">
        <f>IF(AND(G1087&lt;=0,J1087&gt;0),"Out of stock now",IF(G1087&gt;=N1087,"Covered to Nov 30",IF(G1087+H1087&gt;=N1087,"Needs inbound in time","Short even with inbound")))</f>
        <v/>
      </c>
      <c r="S1087" s="57" t="n">
        <v>0.143</v>
      </c>
      <c r="T1087" s="59">
        <f>IF(S1087="","",S1087*34+S1087*L1087*12)</f>
        <v/>
      </c>
    </row>
    <row r="1088">
      <c r="A1088" s="54" t="inlineStr">
        <is>
          <t>US SL Mask Contoured</t>
        </is>
      </c>
      <c r="B1088" s="54" t="inlineStr">
        <is>
          <t>US</t>
        </is>
      </c>
      <c r="C1088" s="54" t="inlineStr">
        <is>
          <t>B0F4XS1FWJ</t>
        </is>
      </c>
      <c r="D1088" s="54" t="inlineStr">
        <is>
          <t>SS-SLEEP-MASK-3D-CONTOURED-BLACK</t>
        </is>
      </c>
      <c r="E1088" s="54" t="inlineStr">
        <is>
          <t>One Size</t>
        </is>
      </c>
      <c r="F1088" s="54" t="inlineStr">
        <is>
          <t>Black</t>
        </is>
      </c>
      <c r="G1088" s="55" t="n">
        <v>24</v>
      </c>
      <c r="H1088" s="55" t="n">
        <v>0</v>
      </c>
      <c r="I1088" s="56" t="n"/>
      <c r="J1088" s="57" t="n">
        <v>0</v>
      </c>
      <c r="K1088" s="56" t="inlineStr">
        <is>
          <t>account data velocity</t>
        </is>
      </c>
      <c r="L1088" s="58" t="n">
        <v>3.6667</v>
      </c>
      <c r="M1088" s="56" t="inlineStr">
        <is>
          <t>own BFCM 2025 lift (account data)</t>
        </is>
      </c>
      <c r="N1088" s="59">
        <f>J1088*34+J1088*L1088*12</f>
        <v/>
      </c>
      <c r="O1088" s="59">
        <f>MAX(0,N1088-G1088-H1088)</f>
        <v/>
      </c>
      <c r="P1088" s="60">
        <f>IF(J1088=0,"",IF(G1088&lt;J1088*34,DATE(2026,10,15)+G1088/J1088,IF(G1088&lt;N1088,DATE(2026,11,18)+(G1088-J1088*34)/(J1088*L1088),"after Nov 30")))</f>
        <v/>
      </c>
      <c r="Q1088" s="60">
        <f>IF(J1088=0,"",IF(G1088+H1088&lt;J1088*34,DATE(2026,10,15)+(G1088+H1088)/J1088,IF(G1088+H1088&lt;N1088,DATE(2026,11,18)+(G1088+H1088-J1088*34)/(J1088*L1088),"after Nov 30")))</f>
        <v/>
      </c>
      <c r="R1088" s="54">
        <f>IF(AND(G1088&lt;=0,J1088&gt;0),"Out of stock now",IF(G1088&gt;=N1088,"Covered to Nov 30",IF(G1088+H1088&gt;=N1088,"Needs inbound in time","Short even with inbound")))</f>
        <v/>
      </c>
      <c r="S1088" s="57" t="n">
        <v>0</v>
      </c>
      <c r="T1088" s="59">
        <f>IF(S1088="","",S1088*34+S1088*L1088*12)</f>
        <v/>
      </c>
    </row>
    <row r="1089">
      <c r="A1089" s="54" t="inlineStr">
        <is>
          <t>US SL Mask Contoured</t>
        </is>
      </c>
      <c r="B1089" s="54" t="inlineStr">
        <is>
          <t>US</t>
        </is>
      </c>
      <c r="C1089" s="54" t="inlineStr">
        <is>
          <t>B0F4XQBGJV</t>
        </is>
      </c>
      <c r="D1089" s="54" t="inlineStr">
        <is>
          <t>SS-SLEEP-MASK-3D-CONTOURED-PINK</t>
        </is>
      </c>
      <c r="E1089" s="54" t="inlineStr">
        <is>
          <t>One Size</t>
        </is>
      </c>
      <c r="F1089" s="54" t="inlineStr">
        <is>
          <t>Pink</t>
        </is>
      </c>
      <c r="G1089" s="55" t="n">
        <v>6</v>
      </c>
      <c r="H1089" s="55" t="n">
        <v>0</v>
      </c>
      <c r="I1089" s="56" t="n"/>
      <c r="J1089" s="57" t="n">
        <v>0</v>
      </c>
      <c r="K1089" s="56" t="inlineStr">
        <is>
          <t>account data velocity</t>
        </is>
      </c>
      <c r="L1089" s="58" t="n">
        <v>3.6667</v>
      </c>
      <c r="M1089" s="56" t="inlineStr">
        <is>
          <t>own BFCM 2025 lift (account data)</t>
        </is>
      </c>
      <c r="N1089" s="59">
        <f>J1089*34+J1089*L1089*12</f>
        <v/>
      </c>
      <c r="O1089" s="59">
        <f>MAX(0,N1089-G1089-H1089)</f>
        <v/>
      </c>
      <c r="P1089" s="60">
        <f>IF(J1089=0,"",IF(G1089&lt;J1089*34,DATE(2026,10,15)+G1089/J1089,IF(G1089&lt;N1089,DATE(2026,11,18)+(G1089-J1089*34)/(J1089*L1089),"after Nov 30")))</f>
        <v/>
      </c>
      <c r="Q1089" s="60">
        <f>IF(J1089=0,"",IF(G1089+H1089&lt;J1089*34,DATE(2026,10,15)+(G1089+H1089)/J1089,IF(G1089+H1089&lt;N1089,DATE(2026,11,18)+(G1089+H1089-J1089*34)/(J1089*L1089),"after Nov 30")))</f>
        <v/>
      </c>
      <c r="R1089" s="54">
        <f>IF(AND(G1089&lt;=0,J1089&gt;0),"Out of stock now",IF(G1089&gt;=N1089,"Covered to Nov 30",IF(G1089+H1089&gt;=N1089,"Needs inbound in time","Short even with inbound")))</f>
        <v/>
      </c>
      <c r="S1089" s="57" t="n">
        <v>0</v>
      </c>
      <c r="T1089" s="59">
        <f>IF(S1089="","",S1089*34+S1089*L1089*12)</f>
        <v/>
      </c>
    </row>
    <row r="1090">
      <c r="A1090" s="54" t="inlineStr">
        <is>
          <t>US SL Mask Velcro</t>
        </is>
      </c>
      <c r="B1090" s="54" t="inlineStr">
        <is>
          <t>US</t>
        </is>
      </c>
      <c r="C1090" s="54" t="inlineStr">
        <is>
          <t>B0F4XQ7L8Q</t>
        </is>
      </c>
      <c r="D1090" s="54" t="inlineStr">
        <is>
          <t>SS-SLEEP-MASK-VELCRO-STRAP-BLACK</t>
        </is>
      </c>
      <c r="E1090" s="54" t="inlineStr">
        <is>
          <t>One Size</t>
        </is>
      </c>
      <c r="F1090" s="54" t="inlineStr">
        <is>
          <t>Black</t>
        </is>
      </c>
      <c r="G1090" s="55" t="n">
        <v>179</v>
      </c>
      <c r="H1090" s="55" t="n">
        <v>0</v>
      </c>
      <c r="I1090" s="56" t="n"/>
      <c r="J1090" s="57" t="n">
        <v>0.12</v>
      </c>
      <c r="K1090" s="56" t="inlineStr">
        <is>
          <t>account data velocity</t>
        </is>
      </c>
      <c r="L1090" s="58" t="n">
        <v>1</v>
      </c>
      <c r="M1090" s="56" t="inlineStr">
        <is>
          <t>own BFCM 2025 lift (account data)</t>
        </is>
      </c>
      <c r="N1090" s="59">
        <f>J1090*34+J1090*L1090*12</f>
        <v/>
      </c>
      <c r="O1090" s="59">
        <f>MAX(0,N1090-G1090-H1090)</f>
        <v/>
      </c>
      <c r="P1090" s="60">
        <f>IF(J1090=0,"",IF(G1090&lt;J1090*34,DATE(2026,10,15)+G1090/J1090,IF(G1090&lt;N1090,DATE(2026,11,18)+(G1090-J1090*34)/(J1090*L1090),"after Nov 30")))</f>
        <v/>
      </c>
      <c r="Q1090" s="60">
        <f>IF(J1090=0,"",IF(G1090+H1090&lt;J1090*34,DATE(2026,10,15)+(G1090+H1090)/J1090,IF(G1090+H1090&lt;N1090,DATE(2026,11,18)+(G1090+H1090-J1090*34)/(J1090*L1090),"after Nov 30")))</f>
        <v/>
      </c>
      <c r="R1090" s="54">
        <f>IF(AND(G1090&lt;=0,J1090&gt;0),"Out of stock now",IF(G1090&gt;=N1090,"Covered to Nov 30",IF(G1090+H1090&gt;=N1090,"Needs inbound in time","Short even with inbound")))</f>
        <v/>
      </c>
      <c r="S1090" s="57" t="n">
        <v>0.179</v>
      </c>
      <c r="T1090" s="59">
        <f>IF(S1090="","",S1090*34+S1090*L1090*12)</f>
        <v/>
      </c>
    </row>
    <row r="1091">
      <c r="A1091" s="54" t="inlineStr">
        <is>
          <t>US SL Mask Velcro</t>
        </is>
      </c>
      <c r="B1091" s="54" t="inlineStr">
        <is>
          <t>US</t>
        </is>
      </c>
      <c r="C1091" s="54" t="inlineStr">
        <is>
          <t>B0F4XS863Y</t>
        </is>
      </c>
      <c r="D1091" s="54" t="inlineStr">
        <is>
          <t>SS-SLEEP-MASK-VELCRO-STRAP-MISTY-BLUE</t>
        </is>
      </c>
      <c r="E1091" s="54" t="inlineStr">
        <is>
          <t>One Size</t>
        </is>
      </c>
      <c r="F1091" s="54" t="inlineStr">
        <is>
          <t>Misty Blue</t>
        </is>
      </c>
      <c r="G1091" s="55" t="n">
        <v>194</v>
      </c>
      <c r="H1091" s="55" t="n">
        <v>0</v>
      </c>
      <c r="I1091" s="56" t="n"/>
      <c r="J1091" s="57" t="n">
        <v>0.07000000000000001</v>
      </c>
      <c r="K1091" s="56" t="inlineStr">
        <is>
          <t>account data velocity</t>
        </is>
      </c>
      <c r="L1091" s="58" t="n">
        <v>1</v>
      </c>
      <c r="M1091" s="56" t="inlineStr">
        <is>
          <t>own BFCM 2025 lift (account data)</t>
        </is>
      </c>
      <c r="N1091" s="59">
        <f>J1091*34+J1091*L1091*12</f>
        <v/>
      </c>
      <c r="O1091" s="59">
        <f>MAX(0,N1091-G1091-H1091)</f>
        <v/>
      </c>
      <c r="P1091" s="60">
        <f>IF(J1091=0,"",IF(G1091&lt;J1091*34,DATE(2026,10,15)+G1091/J1091,IF(G1091&lt;N1091,DATE(2026,11,18)+(G1091-J1091*34)/(J1091*L1091),"after Nov 30")))</f>
        <v/>
      </c>
      <c r="Q1091" s="60">
        <f>IF(J1091=0,"",IF(G1091+H1091&lt;J1091*34,DATE(2026,10,15)+(G1091+H1091)/J1091,IF(G1091+H1091&lt;N1091,DATE(2026,11,18)+(G1091+H1091-J1091*34)/(J1091*L1091),"after Nov 30")))</f>
        <v/>
      </c>
      <c r="R1091" s="54">
        <f>IF(AND(G1091&lt;=0,J1091&gt;0),"Out of stock now",IF(G1091&gt;=N1091,"Covered to Nov 30",IF(G1091+H1091&gt;=N1091,"Needs inbound in time","Short even with inbound")))</f>
        <v/>
      </c>
      <c r="S1091" s="57" t="n">
        <v>0.143</v>
      </c>
      <c r="T1091" s="59">
        <f>IF(S1091="","",S1091*34+S1091*L1091*12)</f>
        <v/>
      </c>
    </row>
    <row r="1092">
      <c r="A1092" s="54" t="inlineStr">
        <is>
          <t>US SL Mask Velcro</t>
        </is>
      </c>
      <c r="B1092" s="54" t="inlineStr">
        <is>
          <t>US</t>
        </is>
      </c>
      <c r="C1092" s="54" t="inlineStr">
        <is>
          <t>B0F4XPMS5B</t>
        </is>
      </c>
      <c r="D1092" s="54" t="inlineStr">
        <is>
          <t>SS-SLEEP-MASK-VELCRO-STRAP-PEACOCK-BLUE</t>
        </is>
      </c>
      <c r="E1092" s="54" t="inlineStr">
        <is>
          <t>One Size</t>
        </is>
      </c>
      <c r="F1092" s="54" t="inlineStr">
        <is>
          <t>Peacock Blue</t>
        </is>
      </c>
      <c r="G1092" s="55" t="n">
        <v>75</v>
      </c>
      <c r="H1092" s="55" t="n">
        <v>0</v>
      </c>
      <c r="I1092" s="56" t="n"/>
      <c r="J1092" s="57" t="n">
        <v>0.06</v>
      </c>
      <c r="K1092" s="56" t="inlineStr">
        <is>
          <t>account data velocity</t>
        </is>
      </c>
      <c r="L1092" s="58" t="n">
        <v>1</v>
      </c>
      <c r="M1092" s="56" t="inlineStr">
        <is>
          <t>own BFCM 2025 lift (account data)</t>
        </is>
      </c>
      <c r="N1092" s="59">
        <f>J1092*34+J1092*L1092*12</f>
        <v/>
      </c>
      <c r="O1092" s="59">
        <f>MAX(0,N1092-G1092-H1092)</f>
        <v/>
      </c>
      <c r="P1092" s="60">
        <f>IF(J1092=0,"",IF(G1092&lt;J1092*34,DATE(2026,10,15)+G1092/J1092,IF(G1092&lt;N1092,DATE(2026,11,18)+(G1092-J1092*34)/(J1092*L1092),"after Nov 30")))</f>
        <v/>
      </c>
      <c r="Q1092" s="60">
        <f>IF(J1092=0,"",IF(G1092+H1092&lt;J1092*34,DATE(2026,10,15)+(G1092+H1092)/J1092,IF(G1092+H1092&lt;N1092,DATE(2026,11,18)+(G1092+H1092-J1092*34)/(J1092*L1092),"after Nov 30")))</f>
        <v/>
      </c>
      <c r="R1092" s="54">
        <f>IF(AND(G1092&lt;=0,J1092&gt;0),"Out of stock now",IF(G1092&gt;=N1092,"Covered to Nov 30",IF(G1092+H1092&gt;=N1092,"Needs inbound in time","Short even with inbound")))</f>
        <v/>
      </c>
      <c r="S1092" s="57" t="n">
        <v>0.036</v>
      </c>
      <c r="T1092" s="59">
        <f>IF(S1092="","",S1092*34+S1092*L1092*12)</f>
        <v/>
      </c>
    </row>
    <row r="1093">
      <c r="A1093" s="54" t="inlineStr">
        <is>
          <t>US SL Mask Velcro</t>
        </is>
      </c>
      <c r="B1093" s="54" t="inlineStr">
        <is>
          <t>US</t>
        </is>
      </c>
      <c r="C1093" s="54" t="inlineStr">
        <is>
          <t>B0F4XR5RWT</t>
        </is>
      </c>
      <c r="D1093" s="54" t="inlineStr">
        <is>
          <t>SS-SLEEP-MASK-VELCRO-STRAP-PINK</t>
        </is>
      </c>
      <c r="E1093" s="54" t="inlineStr">
        <is>
          <t>One Size</t>
        </is>
      </c>
      <c r="F1093" s="54" t="inlineStr">
        <is>
          <t>Pink</t>
        </is>
      </c>
      <c r="G1093" s="55" t="n">
        <v>190</v>
      </c>
      <c r="H1093" s="55" t="n">
        <v>0</v>
      </c>
      <c r="I1093" s="56" t="n"/>
      <c r="J1093" s="57" t="n">
        <v>0.03</v>
      </c>
      <c r="K1093" s="56" t="inlineStr">
        <is>
          <t>account data velocity</t>
        </is>
      </c>
      <c r="L1093" s="58" t="n">
        <v>1</v>
      </c>
      <c r="M1093" s="56" t="inlineStr">
        <is>
          <t>own BFCM 2025 lift (account data)</t>
        </is>
      </c>
      <c r="N1093" s="59">
        <f>J1093*34+J1093*L1093*12</f>
        <v/>
      </c>
      <c r="O1093" s="59">
        <f>MAX(0,N1093-G1093-H1093)</f>
        <v/>
      </c>
      <c r="P1093" s="60">
        <f>IF(J1093=0,"",IF(G1093&lt;J1093*34,DATE(2026,10,15)+G1093/J1093,IF(G1093&lt;N1093,DATE(2026,11,18)+(G1093-J1093*34)/(J1093*L1093),"after Nov 30")))</f>
        <v/>
      </c>
      <c r="Q1093" s="60">
        <f>IF(J1093=0,"",IF(G1093+H1093&lt;J1093*34,DATE(2026,10,15)+(G1093+H1093)/J1093,IF(G1093+H1093&lt;N1093,DATE(2026,11,18)+(G1093+H1093-J1093*34)/(J1093*L1093),"after Nov 30")))</f>
        <v/>
      </c>
      <c r="R1093" s="54">
        <f>IF(AND(G1093&lt;=0,J1093&gt;0),"Out of stock now",IF(G1093&gt;=N1093,"Covered to Nov 30",IF(G1093+H1093&gt;=N1093,"Needs inbound in time","Short even with inbound")))</f>
        <v/>
      </c>
      <c r="S1093" s="57" t="n">
        <v>0.107</v>
      </c>
      <c r="T1093" s="59">
        <f>IF(S1093="","",S1093*34+S1093*L1093*12)</f>
        <v/>
      </c>
    </row>
    <row r="1094">
      <c r="A1094" s="54" t="inlineStr">
        <is>
          <t>US DC Cooling 4pc</t>
        </is>
      </c>
      <c r="B1094" s="54" t="inlineStr">
        <is>
          <t>US</t>
        </is>
      </c>
      <c r="C1094" s="54" t="inlineStr">
        <is>
          <t>B0CWJBC82X</t>
        </is>
      </c>
      <c r="D1094" s="54" t="inlineStr">
        <is>
          <t>BM-QUEEN-BEIGE</t>
        </is>
      </c>
      <c r="E1094" s="54" t="inlineStr">
        <is>
          <t>Queen</t>
        </is>
      </c>
      <c r="F1094" s="54" t="inlineStr">
        <is>
          <t>Beige</t>
        </is>
      </c>
      <c r="G1094" s="55" t="n">
        <v>29</v>
      </c>
      <c r="H1094" s="55" t="n">
        <v>0</v>
      </c>
      <c r="I1094" s="56" t="n"/>
      <c r="J1094" s="57" t="n">
        <v>1.02</v>
      </c>
      <c r="K1094" s="56" t="inlineStr">
        <is>
          <t>account data velocity</t>
        </is>
      </c>
      <c r="L1094" s="58" t="n">
        <v>1.6284</v>
      </c>
      <c r="M1094" s="56" t="inlineStr">
        <is>
          <t>own BFCM 2025 lift (account data)</t>
        </is>
      </c>
      <c r="N1094" s="59">
        <f>J1094*34+J1094*L1094*12</f>
        <v/>
      </c>
      <c r="O1094" s="59">
        <f>MAX(0,N1094-G1094-H1094)</f>
        <v/>
      </c>
      <c r="P1094" s="60">
        <f>IF(J1094=0,"",IF(G1094&lt;J1094*34,DATE(2026,10,15)+G1094/J1094,IF(G1094&lt;N1094,DATE(2026,11,18)+(G1094-J1094*34)/(J1094*L1094),"after Nov 30")))</f>
        <v/>
      </c>
      <c r="Q1094" s="60">
        <f>IF(J1094=0,"",IF(G1094+H1094&lt;J1094*34,DATE(2026,10,15)+(G1094+H1094)/J1094,IF(G1094+H1094&lt;N1094,DATE(2026,11,18)+(G1094+H1094-J1094*34)/(J1094*L1094),"after Nov 30")))</f>
        <v/>
      </c>
      <c r="R1094" s="54">
        <f>IF(AND(G1094&lt;=0,J1094&gt;0),"Out of stock now",IF(G1094&gt;=N1094,"Covered to Nov 30",IF(G1094+H1094&gt;=N1094,"Needs inbound in time","Short even with inbound")))</f>
        <v/>
      </c>
      <c r="S1094" s="57" t="n">
        <v>0</v>
      </c>
      <c r="T1094" s="59">
        <f>IF(S1094="","",S1094*34+S1094*L1094*12)</f>
        <v/>
      </c>
    </row>
    <row r="1095">
      <c r="A1095" s="54" t="inlineStr">
        <is>
          <t>US DC Cooling 4pc</t>
        </is>
      </c>
      <c r="B1095" s="54" t="inlineStr">
        <is>
          <t>US</t>
        </is>
      </c>
      <c r="C1095" s="54" t="inlineStr">
        <is>
          <t>B0C9LTMN8M</t>
        </is>
      </c>
      <c r="D1095" s="54" t="inlineStr">
        <is>
          <t>BM-QUEEN-CGREY</t>
        </is>
      </c>
      <c r="E1095" s="54" t="inlineStr">
        <is>
          <t>Queen</t>
        </is>
      </c>
      <c r="F1095" s="54" t="inlineStr">
        <is>
          <t>Cool Grey</t>
        </is>
      </c>
      <c r="G1095" s="55" t="n">
        <v>215</v>
      </c>
      <c r="H1095" s="55" t="n">
        <v>8</v>
      </c>
      <c r="I1095" s="56" t="inlineStr">
        <is>
          <t>FBA19LNPQH41 receiving: 8</t>
        </is>
      </c>
      <c r="J1095" s="57" t="n">
        <v>0.98</v>
      </c>
      <c r="K1095" s="56" t="inlineStr">
        <is>
          <t>account data velocity</t>
        </is>
      </c>
      <c r="L1095" s="58" t="n">
        <v>1.6284</v>
      </c>
      <c r="M1095" s="56" t="inlineStr">
        <is>
          <t>own BFCM 2025 lift (account data)</t>
        </is>
      </c>
      <c r="N1095" s="59">
        <f>J1095*34+J1095*L1095*12</f>
        <v/>
      </c>
      <c r="O1095" s="59">
        <f>MAX(0,N1095-G1095-H1095)</f>
        <v/>
      </c>
      <c r="P1095" s="60">
        <f>IF(J1095=0,"",IF(G1095&lt;J1095*34,DATE(2026,10,15)+G1095/J1095,IF(G1095&lt;N1095,DATE(2026,11,18)+(G1095-J1095*34)/(J1095*L1095),"after Nov 30")))</f>
        <v/>
      </c>
      <c r="Q1095" s="60">
        <f>IF(J1095=0,"",IF(G1095+H1095&lt;J1095*34,DATE(2026,10,15)+(G1095+H1095)/J1095,IF(G1095+H1095&lt;N1095,DATE(2026,11,18)+(G1095+H1095-J1095*34)/(J1095*L1095),"after Nov 30")))</f>
        <v/>
      </c>
      <c r="R1095" s="54">
        <f>IF(AND(G1095&lt;=0,J1095&gt;0),"Out of stock now",IF(G1095&gt;=N1095,"Covered to Nov 30",IF(G1095+H1095&gt;=N1095,"Needs inbound in time","Short even with inbound")))</f>
        <v/>
      </c>
      <c r="S1095" s="57" t="n">
        <v>0.286</v>
      </c>
      <c r="T1095" s="59">
        <f>IF(S1095="","",S1095*34+S1095*L1095*12)</f>
        <v/>
      </c>
    </row>
    <row r="1096">
      <c r="A1096" s="54" t="inlineStr">
        <is>
          <t>US DC Cooling 4pc</t>
        </is>
      </c>
      <c r="B1096" s="54" t="inlineStr">
        <is>
          <t>US</t>
        </is>
      </c>
      <c r="C1096" s="54" t="inlineStr">
        <is>
          <t>B0C9LS8Z18</t>
        </is>
      </c>
      <c r="D1096" s="54" t="inlineStr">
        <is>
          <t>BM-KING-R-PURPLE</t>
        </is>
      </c>
      <c r="E1096" s="54" t="inlineStr">
        <is>
          <t>King</t>
        </is>
      </c>
      <c r="F1096" s="54" t="inlineStr">
        <is>
          <t>Regal Purple</t>
        </is>
      </c>
      <c r="G1096" s="55" t="n">
        <v>98</v>
      </c>
      <c r="H1096" s="55" t="n">
        <v>0</v>
      </c>
      <c r="I1096" s="56" t="n"/>
      <c r="J1096" s="57" t="n">
        <v>0.83</v>
      </c>
      <c r="K1096" s="56" t="inlineStr">
        <is>
          <t>account data velocity</t>
        </is>
      </c>
      <c r="L1096" s="58" t="n">
        <v>1.6284</v>
      </c>
      <c r="M1096" s="56" t="inlineStr">
        <is>
          <t>own BFCM 2025 lift (account data)</t>
        </is>
      </c>
      <c r="N1096" s="59">
        <f>J1096*34+J1096*L1096*12</f>
        <v/>
      </c>
      <c r="O1096" s="59">
        <f>MAX(0,N1096-G1096-H1096)</f>
        <v/>
      </c>
      <c r="P1096" s="60">
        <f>IF(J1096=0,"",IF(G1096&lt;J1096*34,DATE(2026,10,15)+G1096/J1096,IF(G1096&lt;N1096,DATE(2026,11,18)+(G1096-J1096*34)/(J1096*L1096),"after Nov 30")))</f>
        <v/>
      </c>
      <c r="Q1096" s="60">
        <f>IF(J1096=0,"",IF(G1096+H1096&lt;J1096*34,DATE(2026,10,15)+(G1096+H1096)/J1096,IF(G1096+H1096&lt;N1096,DATE(2026,11,18)+(G1096+H1096-J1096*34)/(J1096*L1096),"after Nov 30")))</f>
        <v/>
      </c>
      <c r="R1096" s="54">
        <f>IF(AND(G1096&lt;=0,J1096&gt;0),"Out of stock now",IF(G1096&gt;=N1096,"Covered to Nov 30",IF(G1096+H1096&gt;=N1096,"Needs inbound in time","Short even with inbound")))</f>
        <v/>
      </c>
      <c r="S1096" s="57" t="n">
        <v>0.571</v>
      </c>
      <c r="T1096" s="59">
        <f>IF(S1096="","",S1096*34+S1096*L1096*12)</f>
        <v/>
      </c>
    </row>
    <row r="1097">
      <c r="A1097" s="54" t="inlineStr">
        <is>
          <t>US DC Cooling 4pc</t>
        </is>
      </c>
      <c r="B1097" s="54" t="inlineStr">
        <is>
          <t>US</t>
        </is>
      </c>
      <c r="C1097" s="54" t="inlineStr">
        <is>
          <t>B0C9LSB9RT</t>
        </is>
      </c>
      <c r="D1097" s="54" t="inlineStr">
        <is>
          <t>BM-QUEEN-MIDNIGHT-BLACK</t>
        </is>
      </c>
      <c r="E1097" s="54" t="inlineStr">
        <is>
          <t>Queen</t>
        </is>
      </c>
      <c r="F1097" s="54" t="inlineStr">
        <is>
          <t>Midnight Black</t>
        </is>
      </c>
      <c r="G1097" s="55" t="n">
        <v>76</v>
      </c>
      <c r="H1097" s="55" t="n">
        <v>0</v>
      </c>
      <c r="I1097" s="56" t="n"/>
      <c r="J1097" s="57" t="n">
        <v>0.74</v>
      </c>
      <c r="K1097" s="56" t="inlineStr">
        <is>
          <t>account data velocity</t>
        </is>
      </c>
      <c r="L1097" s="58" t="n">
        <v>1.6284</v>
      </c>
      <c r="M1097" s="56" t="inlineStr">
        <is>
          <t>own BFCM 2025 lift (account data)</t>
        </is>
      </c>
      <c r="N1097" s="59">
        <f>J1097*34+J1097*L1097*12</f>
        <v/>
      </c>
      <c r="O1097" s="59">
        <f>MAX(0,N1097-G1097-H1097)</f>
        <v/>
      </c>
      <c r="P1097" s="60">
        <f>IF(J1097=0,"",IF(G1097&lt;J1097*34,DATE(2026,10,15)+G1097/J1097,IF(G1097&lt;N1097,DATE(2026,11,18)+(G1097-J1097*34)/(J1097*L1097),"after Nov 30")))</f>
        <v/>
      </c>
      <c r="Q1097" s="60">
        <f>IF(J1097=0,"",IF(G1097+H1097&lt;J1097*34,DATE(2026,10,15)+(G1097+H1097)/J1097,IF(G1097+H1097&lt;N1097,DATE(2026,11,18)+(G1097+H1097-J1097*34)/(J1097*L1097),"after Nov 30")))</f>
        <v/>
      </c>
      <c r="R1097" s="54">
        <f>IF(AND(G1097&lt;=0,J1097&gt;0),"Out of stock now",IF(G1097&gt;=N1097,"Covered to Nov 30",IF(G1097+H1097&gt;=N1097,"Needs inbound in time","Short even with inbound")))</f>
        <v/>
      </c>
      <c r="S1097" s="57" t="n">
        <v>0.321</v>
      </c>
      <c r="T1097" s="59">
        <f>IF(S1097="","",S1097*34+S1097*L1097*12)</f>
        <v/>
      </c>
    </row>
    <row r="1098">
      <c r="A1098" s="54" t="inlineStr">
        <is>
          <t>US DC Cooling 4pc</t>
        </is>
      </c>
      <c r="B1098" s="54" t="inlineStr">
        <is>
          <t>US</t>
        </is>
      </c>
      <c r="C1098" s="54" t="inlineStr">
        <is>
          <t>B0CWJ87BTG</t>
        </is>
      </c>
      <c r="D1098" s="54" t="inlineStr">
        <is>
          <t>BM-QUEEN-LIGHT-BLUE</t>
        </is>
      </c>
      <c r="E1098" s="54" t="inlineStr">
        <is>
          <t>Queen</t>
        </is>
      </c>
      <c r="F1098" s="54" t="inlineStr">
        <is>
          <t>Light Blue</t>
        </is>
      </c>
      <c r="G1098" s="55" t="n">
        <v>61</v>
      </c>
      <c r="H1098" s="55" t="n">
        <v>6</v>
      </c>
      <c r="I1098" s="56" t="inlineStr">
        <is>
          <t>FBA19LNL8KBZ receiving: 6</t>
        </is>
      </c>
      <c r="J1098" s="57" t="n">
        <v>0.66</v>
      </c>
      <c r="K1098" s="56" t="inlineStr">
        <is>
          <t>account data velocity</t>
        </is>
      </c>
      <c r="L1098" s="58" t="n">
        <v>1.6284</v>
      </c>
      <c r="M1098" s="56" t="inlineStr">
        <is>
          <t>own BFCM 2025 lift (account data)</t>
        </is>
      </c>
      <c r="N1098" s="59">
        <f>J1098*34+J1098*L1098*12</f>
        <v/>
      </c>
      <c r="O1098" s="59">
        <f>MAX(0,N1098-G1098-H1098)</f>
        <v/>
      </c>
      <c r="P1098" s="60">
        <f>IF(J1098=0,"",IF(G1098&lt;J1098*34,DATE(2026,10,15)+G1098/J1098,IF(G1098&lt;N1098,DATE(2026,11,18)+(G1098-J1098*34)/(J1098*L1098),"after Nov 30")))</f>
        <v/>
      </c>
      <c r="Q1098" s="60">
        <f>IF(J1098=0,"",IF(G1098+H1098&lt;J1098*34,DATE(2026,10,15)+(G1098+H1098)/J1098,IF(G1098+H1098&lt;N1098,DATE(2026,11,18)+(G1098+H1098-J1098*34)/(J1098*L1098),"after Nov 30")))</f>
        <v/>
      </c>
      <c r="R1098" s="54">
        <f>IF(AND(G1098&lt;=0,J1098&gt;0),"Out of stock now",IF(G1098&gt;=N1098,"Covered to Nov 30",IF(G1098+H1098&gt;=N1098,"Needs inbound in time","Short even with inbound")))</f>
        <v/>
      </c>
      <c r="S1098" s="57" t="n">
        <v>0.357</v>
      </c>
      <c r="T1098" s="59">
        <f>IF(S1098="","",S1098*34+S1098*L1098*12)</f>
        <v/>
      </c>
    </row>
    <row r="1099">
      <c r="A1099" s="54" t="inlineStr">
        <is>
          <t>US DC Cooling 4pc</t>
        </is>
      </c>
      <c r="B1099" s="54" t="inlineStr">
        <is>
          <t>US</t>
        </is>
      </c>
      <c r="C1099" s="54" t="inlineStr">
        <is>
          <t>B0CWJ745KL</t>
        </is>
      </c>
      <c r="D1099" s="54" t="inlineStr">
        <is>
          <t>BM-KING-LIGHT-BLUE</t>
        </is>
      </c>
      <c r="E1099" s="54" t="inlineStr">
        <is>
          <t>King</t>
        </is>
      </c>
      <c r="F1099" s="54" t="inlineStr">
        <is>
          <t>Light Blue</t>
        </is>
      </c>
      <c r="G1099" s="55" t="n">
        <v>166</v>
      </c>
      <c r="H1099" s="55" t="n">
        <v>0</v>
      </c>
      <c r="I1099" s="56" t="n"/>
      <c r="J1099" s="57" t="n">
        <v>0.65</v>
      </c>
      <c r="K1099" s="56" t="inlineStr">
        <is>
          <t>account data velocity</t>
        </is>
      </c>
      <c r="L1099" s="58" t="n">
        <v>1.6284</v>
      </c>
      <c r="M1099" s="56" t="inlineStr">
        <is>
          <t>own BFCM 2025 lift (account data)</t>
        </is>
      </c>
      <c r="N1099" s="59">
        <f>J1099*34+J1099*L1099*12</f>
        <v/>
      </c>
      <c r="O1099" s="59">
        <f>MAX(0,N1099-G1099-H1099)</f>
        <v/>
      </c>
      <c r="P1099" s="60">
        <f>IF(J1099=0,"",IF(G1099&lt;J1099*34,DATE(2026,10,15)+G1099/J1099,IF(G1099&lt;N1099,DATE(2026,11,18)+(G1099-J1099*34)/(J1099*L1099),"after Nov 30")))</f>
        <v/>
      </c>
      <c r="Q1099" s="60">
        <f>IF(J1099=0,"",IF(G1099+H1099&lt;J1099*34,DATE(2026,10,15)+(G1099+H1099)/J1099,IF(G1099+H1099&lt;N1099,DATE(2026,11,18)+(G1099+H1099-J1099*34)/(J1099*L1099),"after Nov 30")))</f>
        <v/>
      </c>
      <c r="R1099" s="54">
        <f>IF(AND(G1099&lt;=0,J1099&gt;0),"Out of stock now",IF(G1099&gt;=N1099,"Covered to Nov 30",IF(G1099+H1099&gt;=N1099,"Needs inbound in time","Short even with inbound")))</f>
        <v/>
      </c>
      <c r="S1099" s="57" t="n">
        <v>0.25</v>
      </c>
      <c r="T1099" s="59">
        <f>IF(S1099="","",S1099*34+S1099*L1099*12)</f>
        <v/>
      </c>
    </row>
    <row r="1100">
      <c r="A1100" s="54" t="inlineStr">
        <is>
          <t>US DC Cooling 4pc</t>
        </is>
      </c>
      <c r="B1100" s="54" t="inlineStr">
        <is>
          <t>US</t>
        </is>
      </c>
      <c r="C1100" s="54" t="inlineStr">
        <is>
          <t>B0CWJ8YXR4</t>
        </is>
      </c>
      <c r="D1100" s="54" t="inlineStr">
        <is>
          <t>BM-FULL-PINK</t>
        </is>
      </c>
      <c r="E1100" s="54" t="inlineStr">
        <is>
          <t>Full</t>
        </is>
      </c>
      <c r="F1100" s="54" t="inlineStr">
        <is>
          <t>Light Pink</t>
        </is>
      </c>
      <c r="G1100" s="55" t="n">
        <v>22</v>
      </c>
      <c r="H1100" s="55" t="n">
        <v>0</v>
      </c>
      <c r="I1100" s="56" t="n"/>
      <c r="J1100" s="57" t="n">
        <v>0.61</v>
      </c>
      <c r="K1100" s="56" t="inlineStr">
        <is>
          <t>account data velocity</t>
        </is>
      </c>
      <c r="L1100" s="58" t="n">
        <v>1.6284</v>
      </c>
      <c r="M1100" s="56" t="inlineStr">
        <is>
          <t>own BFCM 2025 lift (account data)</t>
        </is>
      </c>
      <c r="N1100" s="59">
        <f>J1100*34+J1100*L1100*12</f>
        <v/>
      </c>
      <c r="O1100" s="59">
        <f>MAX(0,N1100-G1100-H1100)</f>
        <v/>
      </c>
      <c r="P1100" s="60">
        <f>IF(J1100=0,"",IF(G1100&lt;J1100*34,DATE(2026,10,15)+G1100/J1100,IF(G1100&lt;N1100,DATE(2026,11,18)+(G1100-J1100*34)/(J1100*L1100),"after Nov 30")))</f>
        <v/>
      </c>
      <c r="Q1100" s="60">
        <f>IF(J1100=0,"",IF(G1100+H1100&lt;J1100*34,DATE(2026,10,15)+(G1100+H1100)/J1100,IF(G1100+H1100&lt;N1100,DATE(2026,11,18)+(G1100+H1100-J1100*34)/(J1100*L1100),"after Nov 30")))</f>
        <v/>
      </c>
      <c r="R1100" s="54">
        <f>IF(AND(G1100&lt;=0,J1100&gt;0),"Out of stock now",IF(G1100&gt;=N1100,"Covered to Nov 30",IF(G1100+H1100&gt;=N1100,"Needs inbound in time","Short even with inbound")))</f>
        <v/>
      </c>
      <c r="S1100" s="57" t="n">
        <v>0</v>
      </c>
      <c r="T1100" s="59">
        <f>IF(S1100="","",S1100*34+S1100*L1100*12)</f>
        <v/>
      </c>
    </row>
    <row r="1101">
      <c r="A1101" s="54" t="inlineStr">
        <is>
          <t>US DC Cooling 4pc</t>
        </is>
      </c>
      <c r="B1101" s="54" t="inlineStr">
        <is>
          <t>US</t>
        </is>
      </c>
      <c r="C1101" s="54" t="inlineStr">
        <is>
          <t>B0C9LTM6CX</t>
        </is>
      </c>
      <c r="D1101" s="54" t="inlineStr">
        <is>
          <t>BM-KING-MIDNIGHT-BLACK</t>
        </is>
      </c>
      <c r="E1101" s="54" t="inlineStr">
        <is>
          <t>King</t>
        </is>
      </c>
      <c r="F1101" s="54" t="inlineStr">
        <is>
          <t>Midnight Black</t>
        </is>
      </c>
      <c r="G1101" s="55" t="n">
        <v>33</v>
      </c>
      <c r="H1101" s="55" t="n">
        <v>0</v>
      </c>
      <c r="I1101" s="56" t="n"/>
      <c r="J1101" s="57" t="n">
        <v>0.54</v>
      </c>
      <c r="K1101" s="56" t="inlineStr">
        <is>
          <t>account data velocity</t>
        </is>
      </c>
      <c r="L1101" s="58" t="n">
        <v>1.6284</v>
      </c>
      <c r="M1101" s="56" t="inlineStr">
        <is>
          <t>own BFCM 2025 lift (account data)</t>
        </is>
      </c>
      <c r="N1101" s="59">
        <f>J1101*34+J1101*L1101*12</f>
        <v/>
      </c>
      <c r="O1101" s="59">
        <f>MAX(0,N1101-G1101-H1101)</f>
        <v/>
      </c>
      <c r="P1101" s="60">
        <f>IF(J1101=0,"",IF(G1101&lt;J1101*34,DATE(2026,10,15)+G1101/J1101,IF(G1101&lt;N1101,DATE(2026,11,18)+(G1101-J1101*34)/(J1101*L1101),"after Nov 30")))</f>
        <v/>
      </c>
      <c r="Q1101" s="60">
        <f>IF(J1101=0,"",IF(G1101+H1101&lt;J1101*34,DATE(2026,10,15)+(G1101+H1101)/J1101,IF(G1101+H1101&lt;N1101,DATE(2026,11,18)+(G1101+H1101-J1101*34)/(J1101*L1101),"after Nov 30")))</f>
        <v/>
      </c>
      <c r="R1101" s="54">
        <f>IF(AND(G1101&lt;=0,J1101&gt;0),"Out of stock now",IF(G1101&gt;=N1101,"Covered to Nov 30",IF(G1101+H1101&gt;=N1101,"Needs inbound in time","Short even with inbound")))</f>
        <v/>
      </c>
      <c r="S1101" s="57" t="n">
        <v>0.143</v>
      </c>
      <c r="T1101" s="59">
        <f>IF(S1101="","",S1101*34+S1101*L1101*12)</f>
        <v/>
      </c>
    </row>
    <row r="1102">
      <c r="A1102" s="54" t="inlineStr">
        <is>
          <t>US DC Cooling 4pc</t>
        </is>
      </c>
      <c r="B1102" s="54" t="inlineStr">
        <is>
          <t>US</t>
        </is>
      </c>
      <c r="C1102" s="54" t="inlineStr">
        <is>
          <t>B0C9LS5H2T</t>
        </is>
      </c>
      <c r="D1102" s="54" t="inlineStr">
        <is>
          <t>BM-QUEEN-NAVY-BLUE</t>
        </is>
      </c>
      <c r="E1102" s="54" t="inlineStr">
        <is>
          <t>Queen</t>
        </is>
      </c>
      <c r="F1102" s="54" t="inlineStr">
        <is>
          <t>Navy Blue</t>
        </is>
      </c>
      <c r="G1102" s="55" t="n">
        <v>165</v>
      </c>
      <c r="H1102" s="55" t="n">
        <v>0</v>
      </c>
      <c r="I1102" s="56" t="n"/>
      <c r="J1102" s="57" t="n">
        <v>0.46</v>
      </c>
      <c r="K1102" s="56" t="inlineStr">
        <is>
          <t>account data velocity</t>
        </is>
      </c>
      <c r="L1102" s="58" t="n">
        <v>1.6284</v>
      </c>
      <c r="M1102" s="56" t="inlineStr">
        <is>
          <t>own BFCM 2025 lift (account data)</t>
        </is>
      </c>
      <c r="N1102" s="59">
        <f>J1102*34+J1102*L1102*12</f>
        <v/>
      </c>
      <c r="O1102" s="59">
        <f>MAX(0,N1102-G1102-H1102)</f>
        <v/>
      </c>
      <c r="P1102" s="60">
        <f>IF(J1102=0,"",IF(G1102&lt;J1102*34,DATE(2026,10,15)+G1102/J1102,IF(G1102&lt;N1102,DATE(2026,11,18)+(G1102-J1102*34)/(J1102*L1102),"after Nov 30")))</f>
        <v/>
      </c>
      <c r="Q1102" s="60">
        <f>IF(J1102=0,"",IF(G1102+H1102&lt;J1102*34,DATE(2026,10,15)+(G1102+H1102)/J1102,IF(G1102+H1102&lt;N1102,DATE(2026,11,18)+(G1102+H1102-J1102*34)/(J1102*L1102),"after Nov 30")))</f>
        <v/>
      </c>
      <c r="R1102" s="54">
        <f>IF(AND(G1102&lt;=0,J1102&gt;0),"Out of stock now",IF(G1102&gt;=N1102,"Covered to Nov 30",IF(G1102+H1102&gt;=N1102,"Needs inbound in time","Short even with inbound")))</f>
        <v/>
      </c>
      <c r="S1102" s="57" t="n">
        <v>0.464</v>
      </c>
      <c r="T1102" s="59">
        <f>IF(S1102="","",S1102*34+S1102*L1102*12)</f>
        <v/>
      </c>
    </row>
    <row r="1103">
      <c r="A1103" s="54" t="inlineStr">
        <is>
          <t>US DC Cooling 4pc</t>
        </is>
      </c>
      <c r="B1103" s="54" t="inlineStr">
        <is>
          <t>US</t>
        </is>
      </c>
      <c r="C1103" s="54" t="inlineStr">
        <is>
          <t>B0CWJ79M7J</t>
        </is>
      </c>
      <c r="D1103" s="54" t="inlineStr">
        <is>
          <t>BM-KING-PINK</t>
        </is>
      </c>
      <c r="E1103" s="54" t="inlineStr">
        <is>
          <t>King</t>
        </is>
      </c>
      <c r="F1103" s="54" t="inlineStr">
        <is>
          <t>Light Pink</t>
        </is>
      </c>
      <c r="G1103" s="55" t="n">
        <v>51</v>
      </c>
      <c r="H1103" s="55" t="n">
        <v>0</v>
      </c>
      <c r="I1103" s="56" t="n"/>
      <c r="J1103" s="57" t="n">
        <v>0.36</v>
      </c>
      <c r="K1103" s="56" t="inlineStr">
        <is>
          <t>account data velocity</t>
        </is>
      </c>
      <c r="L1103" s="58" t="n">
        <v>1.6284</v>
      </c>
      <c r="M1103" s="56" t="inlineStr">
        <is>
          <t>own BFCM 2025 lift (account data)</t>
        </is>
      </c>
      <c r="N1103" s="59">
        <f>J1103*34+J1103*L1103*12</f>
        <v/>
      </c>
      <c r="O1103" s="59">
        <f>MAX(0,N1103-G1103-H1103)</f>
        <v/>
      </c>
      <c r="P1103" s="60">
        <f>IF(J1103=0,"",IF(G1103&lt;J1103*34,DATE(2026,10,15)+G1103/J1103,IF(G1103&lt;N1103,DATE(2026,11,18)+(G1103-J1103*34)/(J1103*L1103),"after Nov 30")))</f>
        <v/>
      </c>
      <c r="Q1103" s="60">
        <f>IF(J1103=0,"",IF(G1103+H1103&lt;J1103*34,DATE(2026,10,15)+(G1103+H1103)/J1103,IF(G1103+H1103&lt;N1103,DATE(2026,11,18)+(G1103+H1103-J1103*34)/(J1103*L1103),"after Nov 30")))</f>
        <v/>
      </c>
      <c r="R1103" s="54">
        <f>IF(AND(G1103&lt;=0,J1103&gt;0),"Out of stock now",IF(G1103&gt;=N1103,"Covered to Nov 30",IF(G1103+H1103&gt;=N1103,"Needs inbound in time","Short even with inbound")))</f>
        <v/>
      </c>
      <c r="S1103" s="57" t="n">
        <v>0.07099999999999999</v>
      </c>
      <c r="T1103" s="59">
        <f>IF(S1103="","",S1103*34+S1103*L1103*12)</f>
        <v/>
      </c>
    </row>
    <row r="1104">
      <c r="A1104" s="54" t="inlineStr">
        <is>
          <t>US DC Cooling 4pc</t>
        </is>
      </c>
      <c r="B1104" s="54" t="inlineStr">
        <is>
          <t>US</t>
        </is>
      </c>
      <c r="C1104" s="54" t="inlineStr">
        <is>
          <t>B0C9LXDSJ1</t>
        </is>
      </c>
      <c r="D1104" s="54" t="inlineStr">
        <is>
          <t>BM-CALKING-CGREY</t>
        </is>
      </c>
      <c r="E1104" s="54" t="inlineStr">
        <is>
          <t>California King</t>
        </is>
      </c>
      <c r="F1104" s="54" t="inlineStr">
        <is>
          <t>Cool Grey</t>
        </is>
      </c>
      <c r="G1104" s="55" t="n">
        <v>78</v>
      </c>
      <c r="H1104" s="55" t="n">
        <v>0</v>
      </c>
      <c r="I1104" s="56" t="n"/>
      <c r="J1104" s="57" t="n">
        <v>0.32</v>
      </c>
      <c r="K1104" s="56" t="inlineStr">
        <is>
          <t>account data velocity</t>
        </is>
      </c>
      <c r="L1104" s="58" t="n">
        <v>1.6284</v>
      </c>
      <c r="M1104" s="56" t="inlineStr">
        <is>
          <t>own BFCM 2025 lift (account data)</t>
        </is>
      </c>
      <c r="N1104" s="59">
        <f>J1104*34+J1104*L1104*12</f>
        <v/>
      </c>
      <c r="O1104" s="59">
        <f>MAX(0,N1104-G1104-H1104)</f>
        <v/>
      </c>
      <c r="P1104" s="60">
        <f>IF(J1104=0,"",IF(G1104&lt;J1104*34,DATE(2026,10,15)+G1104/J1104,IF(G1104&lt;N1104,DATE(2026,11,18)+(G1104-J1104*34)/(J1104*L1104),"after Nov 30")))</f>
        <v/>
      </c>
      <c r="Q1104" s="60">
        <f>IF(J1104=0,"",IF(G1104+H1104&lt;J1104*34,DATE(2026,10,15)+(G1104+H1104)/J1104,IF(G1104+H1104&lt;N1104,DATE(2026,11,18)+(G1104+H1104-J1104*34)/(J1104*L1104),"after Nov 30")))</f>
        <v/>
      </c>
      <c r="R1104" s="54">
        <f>IF(AND(G1104&lt;=0,J1104&gt;0),"Out of stock now",IF(G1104&gt;=N1104,"Covered to Nov 30",IF(G1104+H1104&gt;=N1104,"Needs inbound in time","Short even with inbound")))</f>
        <v/>
      </c>
      <c r="S1104" s="57" t="n">
        <v>0</v>
      </c>
      <c r="T1104" s="59">
        <f>IF(S1104="","",S1104*34+S1104*L1104*12)</f>
        <v/>
      </c>
    </row>
    <row r="1105">
      <c r="A1105" s="54" t="inlineStr">
        <is>
          <t>US DC Cooling 4pc</t>
        </is>
      </c>
      <c r="B1105" s="54" t="inlineStr">
        <is>
          <t>US</t>
        </is>
      </c>
      <c r="C1105" s="54" t="inlineStr">
        <is>
          <t>B0C9LT3V3D</t>
        </is>
      </c>
      <c r="D1105" s="54" t="inlineStr">
        <is>
          <t>BM-KING-NAVY-BLUE</t>
        </is>
      </c>
      <c r="E1105" s="54" t="inlineStr">
        <is>
          <t>King</t>
        </is>
      </c>
      <c r="F1105" s="54" t="inlineStr">
        <is>
          <t>Navy Blue</t>
        </is>
      </c>
      <c r="G1105" s="55" t="n">
        <v>80</v>
      </c>
      <c r="H1105" s="55" t="n">
        <v>0</v>
      </c>
      <c r="I1105" s="56" t="n"/>
      <c r="J1105" s="57" t="n">
        <v>0.3</v>
      </c>
      <c r="K1105" s="56" t="inlineStr">
        <is>
          <t>account data velocity</t>
        </is>
      </c>
      <c r="L1105" s="58" t="n">
        <v>1.6284</v>
      </c>
      <c r="M1105" s="56" t="inlineStr">
        <is>
          <t>own BFCM 2025 lift (account data)</t>
        </is>
      </c>
      <c r="N1105" s="59">
        <f>J1105*34+J1105*L1105*12</f>
        <v/>
      </c>
      <c r="O1105" s="59">
        <f>MAX(0,N1105-G1105-H1105)</f>
        <v/>
      </c>
      <c r="P1105" s="60">
        <f>IF(J1105=0,"",IF(G1105&lt;J1105*34,DATE(2026,10,15)+G1105/J1105,IF(G1105&lt;N1105,DATE(2026,11,18)+(G1105-J1105*34)/(J1105*L1105),"after Nov 30")))</f>
        <v/>
      </c>
      <c r="Q1105" s="60">
        <f>IF(J1105=0,"",IF(G1105+H1105&lt;J1105*34,DATE(2026,10,15)+(G1105+H1105)/J1105,IF(G1105+H1105&lt;N1105,DATE(2026,11,18)+(G1105+H1105-J1105*34)/(J1105*L1105),"after Nov 30")))</f>
        <v/>
      </c>
      <c r="R1105" s="54">
        <f>IF(AND(G1105&lt;=0,J1105&gt;0),"Out of stock now",IF(G1105&gt;=N1105,"Covered to Nov 30",IF(G1105+H1105&gt;=N1105,"Needs inbound in time","Short even with inbound")))</f>
        <v/>
      </c>
      <c r="S1105" s="57" t="n">
        <v>0.107</v>
      </c>
      <c r="T1105" s="59">
        <f>IF(S1105="","",S1105*34+S1105*L1105*12)</f>
        <v/>
      </c>
    </row>
    <row r="1106">
      <c r="A1106" s="54" t="inlineStr">
        <is>
          <t>US DC Cooling 4pc</t>
        </is>
      </c>
      <c r="B1106" s="54" t="inlineStr">
        <is>
          <t>US</t>
        </is>
      </c>
      <c r="C1106" s="54" t="inlineStr">
        <is>
          <t>B0C9LNSCWB</t>
        </is>
      </c>
      <c r="D1106" s="54" t="inlineStr">
        <is>
          <t>BM-CALKING-4PCS-GRAPHITE-GREY</t>
        </is>
      </c>
      <c r="E1106" s="54" t="inlineStr">
        <is>
          <t>Cal King</t>
        </is>
      </c>
      <c r="F1106" s="54" t="inlineStr">
        <is>
          <t>Graphite</t>
        </is>
      </c>
      <c r="G1106" s="55" t="n">
        <v>9</v>
      </c>
      <c r="H1106" s="55" t="n">
        <v>0</v>
      </c>
      <c r="I1106" s="56" t="n"/>
      <c r="J1106" s="57" t="n">
        <v>0.25</v>
      </c>
      <c r="K1106" s="56" t="inlineStr">
        <is>
          <t>account data velocity</t>
        </is>
      </c>
      <c r="L1106" s="58" t="n">
        <v>1.6284</v>
      </c>
      <c r="M1106" s="56" t="inlineStr">
        <is>
          <t>own BFCM 2025 lift (account data)</t>
        </is>
      </c>
      <c r="N1106" s="59">
        <f>J1106*34+J1106*L1106*12</f>
        <v/>
      </c>
      <c r="O1106" s="59">
        <f>MAX(0,N1106-G1106-H1106)</f>
        <v/>
      </c>
      <c r="P1106" s="60">
        <f>IF(J1106=0,"",IF(G1106&lt;J1106*34,DATE(2026,10,15)+G1106/J1106,IF(G1106&lt;N1106,DATE(2026,11,18)+(G1106-J1106*34)/(J1106*L1106),"after Nov 30")))</f>
        <v/>
      </c>
      <c r="Q1106" s="60">
        <f>IF(J1106=0,"",IF(G1106+H1106&lt;J1106*34,DATE(2026,10,15)+(G1106+H1106)/J1106,IF(G1106+H1106&lt;N1106,DATE(2026,11,18)+(G1106+H1106-J1106*34)/(J1106*L1106),"after Nov 30")))</f>
        <v/>
      </c>
      <c r="R1106" s="54">
        <f>IF(AND(G1106&lt;=0,J1106&gt;0),"Out of stock now",IF(G1106&gt;=N1106,"Covered to Nov 30",IF(G1106+H1106&gt;=N1106,"Needs inbound in time","Short even with inbound")))</f>
        <v/>
      </c>
      <c r="S1106" s="57" t="n">
        <v>0</v>
      </c>
      <c r="T1106" s="59">
        <f>IF(S1106="","",S1106*34+S1106*L1106*12)</f>
        <v/>
      </c>
    </row>
    <row r="1107">
      <c r="A1107" s="54" t="inlineStr">
        <is>
          <t>US DC Cooling 4pc</t>
        </is>
      </c>
      <c r="B1107" s="54" t="inlineStr">
        <is>
          <t>US</t>
        </is>
      </c>
      <c r="C1107" s="54" t="inlineStr">
        <is>
          <t>B0C9LVTKF7</t>
        </is>
      </c>
      <c r="D1107" s="54" t="inlineStr">
        <is>
          <t>BM-FULL-CGREY</t>
        </is>
      </c>
      <c r="E1107" s="54" t="inlineStr">
        <is>
          <t>Full</t>
        </is>
      </c>
      <c r="F1107" s="54" t="inlineStr">
        <is>
          <t>Cool Grey</t>
        </is>
      </c>
      <c r="G1107" s="55" t="n">
        <v>0</v>
      </c>
      <c r="H1107" s="55" t="n">
        <v>0</v>
      </c>
      <c r="I1107" s="56" t="n"/>
      <c r="J1107" s="57" t="n">
        <v>0.23</v>
      </c>
      <c r="K1107" s="56" t="inlineStr">
        <is>
          <t>account data velocity</t>
        </is>
      </c>
      <c r="L1107" s="58" t="n">
        <v>1.6284</v>
      </c>
      <c r="M1107" s="56" t="inlineStr">
        <is>
          <t>own BFCM 2025 lift (account data)</t>
        </is>
      </c>
      <c r="N1107" s="59">
        <f>J1107*34+J1107*L1107*12</f>
        <v/>
      </c>
      <c r="O1107" s="59">
        <f>MAX(0,N1107-G1107-H1107)</f>
        <v/>
      </c>
      <c r="P1107" s="60">
        <f>IF(J1107=0,"",IF(G1107&lt;J1107*34,DATE(2026,10,15)+G1107/J1107,IF(G1107&lt;N1107,DATE(2026,11,18)+(G1107-J1107*34)/(J1107*L1107),"after Nov 30")))</f>
        <v/>
      </c>
      <c r="Q1107" s="60">
        <f>IF(J1107=0,"",IF(G1107+H1107&lt;J1107*34,DATE(2026,10,15)+(G1107+H1107)/J1107,IF(G1107+H1107&lt;N1107,DATE(2026,11,18)+(G1107+H1107-J1107*34)/(J1107*L1107),"after Nov 30")))</f>
        <v/>
      </c>
      <c r="R1107" s="54">
        <f>IF(AND(G1107&lt;=0,J1107&gt;0),"Out of stock now",IF(G1107&gt;=N1107,"Covered to Nov 30",IF(G1107+H1107&gt;=N1107,"Needs inbound in time","Short even with inbound")))</f>
        <v/>
      </c>
      <c r="S1107" s="57" t="n">
        <v>0.07099999999999999</v>
      </c>
      <c r="T1107" s="59">
        <f>IF(S1107="","",S1107*34+S1107*L1107*12)</f>
        <v/>
      </c>
    </row>
    <row r="1108">
      <c r="A1108" s="54" t="inlineStr">
        <is>
          <t>US DC Cooling 4pc</t>
        </is>
      </c>
      <c r="B1108" s="54" t="inlineStr">
        <is>
          <t>US</t>
        </is>
      </c>
      <c r="C1108" s="54" t="inlineStr">
        <is>
          <t>B0CWJ188W3</t>
        </is>
      </c>
      <c r="D1108" s="54" t="inlineStr">
        <is>
          <t>BM-QUEEN-LIGHT-GREY</t>
        </is>
      </c>
      <c r="E1108" s="54" t="inlineStr">
        <is>
          <t>Queen</t>
        </is>
      </c>
      <c r="F1108" s="54" t="inlineStr">
        <is>
          <t>Light Grey</t>
        </is>
      </c>
      <c r="G1108" s="55" t="n">
        <v>25</v>
      </c>
      <c r="H1108" s="55" t="n">
        <v>0</v>
      </c>
      <c r="I1108" s="56" t="n"/>
      <c r="J1108" s="57" t="n">
        <v>0.22</v>
      </c>
      <c r="K1108" s="56" t="inlineStr">
        <is>
          <t>account data velocity</t>
        </is>
      </c>
      <c r="L1108" s="58" t="n">
        <v>1.6284</v>
      </c>
      <c r="M1108" s="56" t="inlineStr">
        <is>
          <t>own BFCM 2025 lift (account data)</t>
        </is>
      </c>
      <c r="N1108" s="59">
        <f>J1108*34+J1108*L1108*12</f>
        <v/>
      </c>
      <c r="O1108" s="59">
        <f>MAX(0,N1108-G1108-H1108)</f>
        <v/>
      </c>
      <c r="P1108" s="60">
        <f>IF(J1108=0,"",IF(G1108&lt;J1108*34,DATE(2026,10,15)+G1108/J1108,IF(G1108&lt;N1108,DATE(2026,11,18)+(G1108-J1108*34)/(J1108*L1108),"after Nov 30")))</f>
        <v/>
      </c>
      <c r="Q1108" s="60">
        <f>IF(J1108=0,"",IF(G1108+H1108&lt;J1108*34,DATE(2026,10,15)+(G1108+H1108)/J1108,IF(G1108+H1108&lt;N1108,DATE(2026,11,18)+(G1108+H1108-J1108*34)/(J1108*L1108),"after Nov 30")))</f>
        <v/>
      </c>
      <c r="R1108" s="54">
        <f>IF(AND(G1108&lt;=0,J1108&gt;0),"Out of stock now",IF(G1108&gt;=N1108,"Covered to Nov 30",IF(G1108+H1108&gt;=N1108,"Needs inbound in time","Short even with inbound")))</f>
        <v/>
      </c>
      <c r="S1108" s="57" t="n">
        <v>0.036</v>
      </c>
      <c r="T1108" s="59">
        <f>IF(S1108="","",S1108*34+S1108*L1108*12)</f>
        <v/>
      </c>
    </row>
    <row r="1109">
      <c r="A1109" s="54" t="inlineStr">
        <is>
          <t>US DC Cooling 4pc</t>
        </is>
      </c>
      <c r="B1109" s="54" t="inlineStr">
        <is>
          <t>US</t>
        </is>
      </c>
      <c r="C1109" s="54" t="inlineStr">
        <is>
          <t>B0CWJ4HG7W</t>
        </is>
      </c>
      <c r="D1109" s="54" t="inlineStr">
        <is>
          <t>BM-CALKING-SAGE-GREEN</t>
        </is>
      </c>
      <c r="E1109" s="54" t="inlineStr">
        <is>
          <t>California King</t>
        </is>
      </c>
      <c r="F1109" s="54" t="inlineStr">
        <is>
          <t>Sage Green</t>
        </is>
      </c>
      <c r="G1109" s="55" t="n">
        <v>33</v>
      </c>
      <c r="H1109" s="55" t="n">
        <v>0</v>
      </c>
      <c r="I1109" s="56" t="n"/>
      <c r="J1109" s="57" t="n">
        <v>0.12</v>
      </c>
      <c r="K1109" s="56" t="inlineStr">
        <is>
          <t>account data velocity</t>
        </is>
      </c>
      <c r="L1109" s="58" t="n">
        <v>1.6284</v>
      </c>
      <c r="M1109" s="56" t="inlineStr">
        <is>
          <t>own BFCM 2025 lift (account data)</t>
        </is>
      </c>
      <c r="N1109" s="59">
        <f>J1109*34+J1109*L1109*12</f>
        <v/>
      </c>
      <c r="O1109" s="59">
        <f>MAX(0,N1109-G1109-H1109)</f>
        <v/>
      </c>
      <c r="P1109" s="60">
        <f>IF(J1109=0,"",IF(G1109&lt;J1109*34,DATE(2026,10,15)+G1109/J1109,IF(G1109&lt;N1109,DATE(2026,11,18)+(G1109-J1109*34)/(J1109*L1109),"after Nov 30")))</f>
        <v/>
      </c>
      <c r="Q1109" s="60">
        <f>IF(J1109=0,"",IF(G1109+H1109&lt;J1109*34,DATE(2026,10,15)+(G1109+H1109)/J1109,IF(G1109+H1109&lt;N1109,DATE(2026,11,18)+(G1109+H1109-J1109*34)/(J1109*L1109),"after Nov 30")))</f>
        <v/>
      </c>
      <c r="R1109" s="54">
        <f>IF(AND(G1109&lt;=0,J1109&gt;0),"Out of stock now",IF(G1109&gt;=N1109,"Covered to Nov 30",IF(G1109+H1109&gt;=N1109,"Needs inbound in time","Short even with inbound")))</f>
        <v/>
      </c>
      <c r="S1109" s="57" t="n">
        <v>0.036</v>
      </c>
      <c r="T1109" s="59">
        <f>IF(S1109="","",S1109*34+S1109*L1109*12)</f>
        <v/>
      </c>
    </row>
    <row r="1110">
      <c r="A1110" s="54" t="inlineStr">
        <is>
          <t>US DC Cooling 4pc</t>
        </is>
      </c>
      <c r="B1110" s="54" t="inlineStr">
        <is>
          <t>US</t>
        </is>
      </c>
      <c r="C1110" s="54" t="inlineStr">
        <is>
          <t>B0CWJ19HT3</t>
        </is>
      </c>
      <c r="D1110" s="54" t="inlineStr">
        <is>
          <t>BM-CALKING-PINK</t>
        </is>
      </c>
      <c r="E1110" s="54" t="inlineStr">
        <is>
          <t>California King</t>
        </is>
      </c>
      <c r="F1110" s="54" t="inlineStr">
        <is>
          <t>Light Pink</t>
        </is>
      </c>
      <c r="G1110" s="55" t="n">
        <v>18</v>
      </c>
      <c r="H1110" s="55" t="n">
        <v>0</v>
      </c>
      <c r="I1110" s="56" t="n"/>
      <c r="J1110" s="57" t="n">
        <v>0.12</v>
      </c>
      <c r="K1110" s="56" t="inlineStr">
        <is>
          <t>account data velocity</t>
        </is>
      </c>
      <c r="L1110" s="58" t="n">
        <v>1.6284</v>
      </c>
      <c r="M1110" s="56" t="inlineStr">
        <is>
          <t>own BFCM 2025 lift (account data)</t>
        </is>
      </c>
      <c r="N1110" s="59">
        <f>J1110*34+J1110*L1110*12</f>
        <v/>
      </c>
      <c r="O1110" s="59">
        <f>MAX(0,N1110-G1110-H1110)</f>
        <v/>
      </c>
      <c r="P1110" s="60">
        <f>IF(J1110=0,"",IF(G1110&lt;J1110*34,DATE(2026,10,15)+G1110/J1110,IF(G1110&lt;N1110,DATE(2026,11,18)+(G1110-J1110*34)/(J1110*L1110),"after Nov 30")))</f>
        <v/>
      </c>
      <c r="Q1110" s="60">
        <f>IF(J1110=0,"",IF(G1110+H1110&lt;J1110*34,DATE(2026,10,15)+(G1110+H1110)/J1110,IF(G1110+H1110&lt;N1110,DATE(2026,11,18)+(G1110+H1110-J1110*34)/(J1110*L1110),"after Nov 30")))</f>
        <v/>
      </c>
      <c r="R1110" s="54">
        <f>IF(AND(G1110&lt;=0,J1110&gt;0),"Out of stock now",IF(G1110&gt;=N1110,"Covered to Nov 30",IF(G1110+H1110&gt;=N1110,"Needs inbound in time","Short even with inbound")))</f>
        <v/>
      </c>
      <c r="S1110" s="57" t="n">
        <v>0</v>
      </c>
      <c r="T1110" s="59">
        <f>IF(S1110="","",S1110*34+S1110*L1110*12)</f>
        <v/>
      </c>
    </row>
    <row r="1111">
      <c r="A1111" s="54" t="inlineStr">
        <is>
          <t>US DC Cooling 4pc</t>
        </is>
      </c>
      <c r="B1111" s="54" t="inlineStr">
        <is>
          <t>US</t>
        </is>
      </c>
      <c r="C1111" s="54" t="inlineStr">
        <is>
          <t>B0C9LR2MK4</t>
        </is>
      </c>
      <c r="D1111" s="54" t="inlineStr">
        <is>
          <t>BM-CALKING-NAVY-BLUE</t>
        </is>
      </c>
      <c r="E1111" s="54" t="inlineStr">
        <is>
          <t>California King</t>
        </is>
      </c>
      <c r="F1111" s="54" t="inlineStr">
        <is>
          <t>Navy Blue</t>
        </is>
      </c>
      <c r="G1111" s="55" t="n">
        <v>51</v>
      </c>
      <c r="H1111" s="55" t="n">
        <v>0</v>
      </c>
      <c r="I1111" s="56" t="n"/>
      <c r="J1111" s="57" t="n">
        <v>0.12</v>
      </c>
      <c r="K1111" s="56" t="inlineStr">
        <is>
          <t>account data velocity</t>
        </is>
      </c>
      <c r="L1111" s="58" t="n">
        <v>1.6284</v>
      </c>
      <c r="M1111" s="56" t="inlineStr">
        <is>
          <t>own BFCM 2025 lift (account data)</t>
        </is>
      </c>
      <c r="N1111" s="59">
        <f>J1111*34+J1111*L1111*12</f>
        <v/>
      </c>
      <c r="O1111" s="59">
        <f>MAX(0,N1111-G1111-H1111)</f>
        <v/>
      </c>
      <c r="P1111" s="60">
        <f>IF(J1111=0,"",IF(G1111&lt;J1111*34,DATE(2026,10,15)+G1111/J1111,IF(G1111&lt;N1111,DATE(2026,11,18)+(G1111-J1111*34)/(J1111*L1111),"after Nov 30")))</f>
        <v/>
      </c>
      <c r="Q1111" s="60">
        <f>IF(J1111=0,"",IF(G1111+H1111&lt;J1111*34,DATE(2026,10,15)+(G1111+H1111)/J1111,IF(G1111+H1111&lt;N1111,DATE(2026,11,18)+(G1111+H1111-J1111*34)/(J1111*L1111),"after Nov 30")))</f>
        <v/>
      </c>
      <c r="R1111" s="54">
        <f>IF(AND(G1111&lt;=0,J1111&gt;0),"Out of stock now",IF(G1111&gt;=N1111,"Covered to Nov 30",IF(G1111+H1111&gt;=N1111,"Needs inbound in time","Short even with inbound")))</f>
        <v/>
      </c>
      <c r="S1111" s="57" t="n">
        <v>0</v>
      </c>
      <c r="T1111" s="59">
        <f>IF(S1111="","",S1111*34+S1111*L1111*12)</f>
        <v/>
      </c>
    </row>
    <row r="1112">
      <c r="A1112" s="54" t="inlineStr">
        <is>
          <t>US DC Cooling 4pc</t>
        </is>
      </c>
      <c r="B1112" s="54" t="inlineStr">
        <is>
          <t>US</t>
        </is>
      </c>
      <c r="C1112" s="54" t="inlineStr">
        <is>
          <t>B0C9LR45L9</t>
        </is>
      </c>
      <c r="D1112" s="54" t="inlineStr">
        <is>
          <t>BM-FULL-CREAM</t>
        </is>
      </c>
      <c r="E1112" s="54" t="inlineStr">
        <is>
          <t>Full</t>
        </is>
      </c>
      <c r="F1112" s="54" t="inlineStr">
        <is>
          <t>Cream</t>
        </is>
      </c>
      <c r="G1112" s="55" t="n">
        <v>31</v>
      </c>
      <c r="H1112" s="55" t="n">
        <v>0</v>
      </c>
      <c r="I1112" s="56" t="n"/>
      <c r="J1112" s="57" t="n">
        <v>0.1</v>
      </c>
      <c r="K1112" s="56" t="inlineStr">
        <is>
          <t>account data velocity</t>
        </is>
      </c>
      <c r="L1112" s="58" t="n">
        <v>1.6284</v>
      </c>
      <c r="M1112" s="56" t="inlineStr">
        <is>
          <t>own BFCM 2025 lift (account data)</t>
        </is>
      </c>
      <c r="N1112" s="59">
        <f>J1112*34+J1112*L1112*12</f>
        <v/>
      </c>
      <c r="O1112" s="59">
        <f>MAX(0,N1112-G1112-H1112)</f>
        <v/>
      </c>
      <c r="P1112" s="60">
        <f>IF(J1112=0,"",IF(G1112&lt;J1112*34,DATE(2026,10,15)+G1112/J1112,IF(G1112&lt;N1112,DATE(2026,11,18)+(G1112-J1112*34)/(J1112*L1112),"after Nov 30")))</f>
        <v/>
      </c>
      <c r="Q1112" s="60">
        <f>IF(J1112=0,"",IF(G1112+H1112&lt;J1112*34,DATE(2026,10,15)+(G1112+H1112)/J1112,IF(G1112+H1112&lt;N1112,DATE(2026,11,18)+(G1112+H1112-J1112*34)/(J1112*L1112),"after Nov 30")))</f>
        <v/>
      </c>
      <c r="R1112" s="54">
        <f>IF(AND(G1112&lt;=0,J1112&gt;0),"Out of stock now",IF(G1112&gt;=N1112,"Covered to Nov 30",IF(G1112+H1112&gt;=N1112,"Needs inbound in time","Short even with inbound")))</f>
        <v/>
      </c>
      <c r="S1112" s="57" t="n">
        <v>0.07099999999999999</v>
      </c>
      <c r="T1112" s="59">
        <f>IF(S1112="","",S1112*34+S1112*L1112*12)</f>
        <v/>
      </c>
    </row>
    <row r="1113">
      <c r="A1113" s="54" t="inlineStr">
        <is>
          <t>US DC Cooling 4pc</t>
        </is>
      </c>
      <c r="B1113" s="54" t="inlineStr">
        <is>
          <t>US</t>
        </is>
      </c>
      <c r="C1113" s="54" t="inlineStr">
        <is>
          <t>B0C9LTP7TM</t>
        </is>
      </c>
      <c r="D1113" s="54" t="inlineStr">
        <is>
          <t>BM-CALKING-WHITE</t>
        </is>
      </c>
      <c r="E1113" s="54" t="inlineStr">
        <is>
          <t>California King</t>
        </is>
      </c>
      <c r="F1113" s="54" t="inlineStr">
        <is>
          <t>White</t>
        </is>
      </c>
      <c r="G1113" s="55" t="n">
        <v>46</v>
      </c>
      <c r="H1113" s="55" t="n">
        <v>1</v>
      </c>
      <c r="I1113" s="56" t="inlineStr">
        <is>
          <t>FBA19LNLC0KK receiving: 1</t>
        </is>
      </c>
      <c r="J1113" s="57" t="n">
        <v>0.1</v>
      </c>
      <c r="K1113" s="56" t="inlineStr">
        <is>
          <t>account data velocity</t>
        </is>
      </c>
      <c r="L1113" s="58" t="n">
        <v>1.6284</v>
      </c>
      <c r="M1113" s="56" t="inlineStr">
        <is>
          <t>own BFCM 2025 lift (account data)</t>
        </is>
      </c>
      <c r="N1113" s="59">
        <f>J1113*34+J1113*L1113*12</f>
        <v/>
      </c>
      <c r="O1113" s="59">
        <f>MAX(0,N1113-G1113-H1113)</f>
        <v/>
      </c>
      <c r="P1113" s="60">
        <f>IF(J1113=0,"",IF(G1113&lt;J1113*34,DATE(2026,10,15)+G1113/J1113,IF(G1113&lt;N1113,DATE(2026,11,18)+(G1113-J1113*34)/(J1113*L1113),"after Nov 30")))</f>
        <v/>
      </c>
      <c r="Q1113" s="60">
        <f>IF(J1113=0,"",IF(G1113+H1113&lt;J1113*34,DATE(2026,10,15)+(G1113+H1113)/J1113,IF(G1113+H1113&lt;N1113,DATE(2026,11,18)+(G1113+H1113-J1113*34)/(J1113*L1113),"after Nov 30")))</f>
        <v/>
      </c>
      <c r="R1113" s="54">
        <f>IF(AND(G1113&lt;=0,J1113&gt;0),"Out of stock now",IF(G1113&gt;=N1113,"Covered to Nov 30",IF(G1113+H1113&gt;=N1113,"Needs inbound in time","Short even with inbound")))</f>
        <v/>
      </c>
      <c r="S1113" s="57" t="n">
        <v>0</v>
      </c>
      <c r="T1113" s="59">
        <f>IF(S1113="","",S1113*34+S1113*L1113*12)</f>
        <v/>
      </c>
    </row>
    <row r="1114">
      <c r="A1114" s="54" t="inlineStr">
        <is>
          <t>US DC Cooling 4pc</t>
        </is>
      </c>
      <c r="B1114" s="54" t="inlineStr">
        <is>
          <t>US</t>
        </is>
      </c>
      <c r="C1114" s="54" t="inlineStr">
        <is>
          <t>B0C9LSZTPN</t>
        </is>
      </c>
      <c r="D1114" s="54" t="inlineStr">
        <is>
          <t>BM-TWIN-CGREY</t>
        </is>
      </c>
      <c r="E1114" s="54" t="inlineStr">
        <is>
          <t>Twin</t>
        </is>
      </c>
      <c r="F1114" s="54" t="inlineStr">
        <is>
          <t>Cool Grey</t>
        </is>
      </c>
      <c r="G1114" s="55" t="n">
        <v>8</v>
      </c>
      <c r="H1114" s="55" t="n">
        <v>0</v>
      </c>
      <c r="I1114" s="56" t="n"/>
      <c r="J1114" s="57" t="n">
        <v>0.1</v>
      </c>
      <c r="K1114" s="56" t="inlineStr">
        <is>
          <t>account data velocity</t>
        </is>
      </c>
      <c r="L1114" s="58" t="n">
        <v>1.6284</v>
      </c>
      <c r="M1114" s="56" t="inlineStr">
        <is>
          <t>own BFCM 2025 lift (account data)</t>
        </is>
      </c>
      <c r="N1114" s="59">
        <f>J1114*34+J1114*L1114*12</f>
        <v/>
      </c>
      <c r="O1114" s="59">
        <f>MAX(0,N1114-G1114-H1114)</f>
        <v/>
      </c>
      <c r="P1114" s="60">
        <f>IF(J1114=0,"",IF(G1114&lt;J1114*34,DATE(2026,10,15)+G1114/J1114,IF(G1114&lt;N1114,DATE(2026,11,18)+(G1114-J1114*34)/(J1114*L1114),"after Nov 30")))</f>
        <v/>
      </c>
      <c r="Q1114" s="60">
        <f>IF(J1114=0,"",IF(G1114+H1114&lt;J1114*34,DATE(2026,10,15)+(G1114+H1114)/J1114,IF(G1114+H1114&lt;N1114,DATE(2026,11,18)+(G1114+H1114-J1114*34)/(J1114*L1114),"after Nov 30")))</f>
        <v/>
      </c>
      <c r="R1114" s="54">
        <f>IF(AND(G1114&lt;=0,J1114&gt;0),"Out of stock now",IF(G1114&gt;=N1114,"Covered to Nov 30",IF(G1114+H1114&gt;=N1114,"Needs inbound in time","Short even with inbound")))</f>
        <v/>
      </c>
      <c r="S1114" s="57" t="n">
        <v>0</v>
      </c>
      <c r="T1114" s="59">
        <f>IF(S1114="","",S1114*34+S1114*L1114*12)</f>
        <v/>
      </c>
    </row>
    <row r="1115">
      <c r="A1115" s="54" t="inlineStr">
        <is>
          <t>US DC Cooling 4pc</t>
        </is>
      </c>
      <c r="B1115" s="54" t="inlineStr">
        <is>
          <t>US</t>
        </is>
      </c>
      <c r="C1115" s="54" t="inlineStr">
        <is>
          <t>B0C9LVLJ6S</t>
        </is>
      </c>
      <c r="D1115" s="54" t="inlineStr">
        <is>
          <t>BM-TWIN-NAVY-BLUE</t>
        </is>
      </c>
      <c r="E1115" s="54" t="inlineStr">
        <is>
          <t>Twin</t>
        </is>
      </c>
      <c r="F1115" s="54" t="inlineStr">
        <is>
          <t>Navy Blue</t>
        </is>
      </c>
      <c r="G1115" s="55" t="n">
        <v>24</v>
      </c>
      <c r="H1115" s="55" t="n">
        <v>0</v>
      </c>
      <c r="I1115" s="56" t="n"/>
      <c r="J1115" s="57" t="n">
        <v>0.08</v>
      </c>
      <c r="K1115" s="56" t="inlineStr">
        <is>
          <t>account data velocity</t>
        </is>
      </c>
      <c r="L1115" s="58" t="n">
        <v>1.6284</v>
      </c>
      <c r="M1115" s="56" t="inlineStr">
        <is>
          <t>own BFCM 2025 lift (account data)</t>
        </is>
      </c>
      <c r="N1115" s="59">
        <f>J1115*34+J1115*L1115*12</f>
        <v/>
      </c>
      <c r="O1115" s="59">
        <f>MAX(0,N1115-G1115-H1115)</f>
        <v/>
      </c>
      <c r="P1115" s="60">
        <f>IF(J1115=0,"",IF(G1115&lt;J1115*34,DATE(2026,10,15)+G1115/J1115,IF(G1115&lt;N1115,DATE(2026,11,18)+(G1115-J1115*34)/(J1115*L1115),"after Nov 30")))</f>
        <v/>
      </c>
      <c r="Q1115" s="60">
        <f>IF(J1115=0,"",IF(G1115+H1115&lt;J1115*34,DATE(2026,10,15)+(G1115+H1115)/J1115,IF(G1115+H1115&lt;N1115,DATE(2026,11,18)+(G1115+H1115-J1115*34)/(J1115*L1115),"after Nov 30")))</f>
        <v/>
      </c>
      <c r="R1115" s="54">
        <f>IF(AND(G1115&lt;=0,J1115&gt;0),"Out of stock now",IF(G1115&gt;=N1115,"Covered to Nov 30",IF(G1115+H1115&gt;=N1115,"Needs inbound in time","Short even with inbound")))</f>
        <v/>
      </c>
      <c r="S1115" s="57" t="n">
        <v>0.036</v>
      </c>
      <c r="T1115" s="59">
        <f>IF(S1115="","",S1115*34+S1115*L1115*12)</f>
        <v/>
      </c>
    </row>
    <row r="1116">
      <c r="A1116" s="54" t="inlineStr">
        <is>
          <t>US DC Cooling 4pc</t>
        </is>
      </c>
      <c r="B1116" s="54" t="inlineStr">
        <is>
          <t>US</t>
        </is>
      </c>
      <c r="C1116" s="54" t="inlineStr">
        <is>
          <t>B0C9LVNKHG</t>
        </is>
      </c>
      <c r="D1116" s="54" t="inlineStr">
        <is>
          <t>BM-TWIN-WHITE</t>
        </is>
      </c>
      <c r="E1116" s="54" t="inlineStr">
        <is>
          <t>Twin</t>
        </is>
      </c>
      <c r="F1116" s="54" t="inlineStr">
        <is>
          <t>White</t>
        </is>
      </c>
      <c r="G1116" s="55" t="n">
        <v>4</v>
      </c>
      <c r="H1116" s="55" t="n">
        <v>0</v>
      </c>
      <c r="I1116" s="56" t="n"/>
      <c r="J1116" s="57" t="n">
        <v>0.08</v>
      </c>
      <c r="K1116" s="56" t="inlineStr">
        <is>
          <t>account data velocity</t>
        </is>
      </c>
      <c r="L1116" s="58" t="n">
        <v>1.6284</v>
      </c>
      <c r="M1116" s="56" t="inlineStr">
        <is>
          <t>own BFCM 2025 lift (account data)</t>
        </is>
      </c>
      <c r="N1116" s="59">
        <f>J1116*34+J1116*L1116*12</f>
        <v/>
      </c>
      <c r="O1116" s="59">
        <f>MAX(0,N1116-G1116-H1116)</f>
        <v/>
      </c>
      <c r="P1116" s="60">
        <f>IF(J1116=0,"",IF(G1116&lt;J1116*34,DATE(2026,10,15)+G1116/J1116,IF(G1116&lt;N1116,DATE(2026,11,18)+(G1116-J1116*34)/(J1116*L1116),"after Nov 30")))</f>
        <v/>
      </c>
      <c r="Q1116" s="60">
        <f>IF(J1116=0,"",IF(G1116+H1116&lt;J1116*34,DATE(2026,10,15)+(G1116+H1116)/J1116,IF(G1116+H1116&lt;N1116,DATE(2026,11,18)+(G1116+H1116-J1116*34)/(J1116*L1116),"after Nov 30")))</f>
        <v/>
      </c>
      <c r="R1116" s="54">
        <f>IF(AND(G1116&lt;=0,J1116&gt;0),"Out of stock now",IF(G1116&gt;=N1116,"Covered to Nov 30",IF(G1116+H1116&gt;=N1116,"Needs inbound in time","Short even with inbound")))</f>
        <v/>
      </c>
      <c r="S1116" s="57" t="n">
        <v>0</v>
      </c>
      <c r="T1116" s="59">
        <f>IF(S1116="","",S1116*34+S1116*L1116*12)</f>
        <v/>
      </c>
    </row>
    <row r="1117">
      <c r="A1117" s="54" t="inlineStr">
        <is>
          <t>US DC Cooling 4pc</t>
        </is>
      </c>
      <c r="B1117" s="54" t="inlineStr">
        <is>
          <t>US</t>
        </is>
      </c>
      <c r="C1117" s="54" t="inlineStr">
        <is>
          <t>B0CWJ4HG9Q</t>
        </is>
      </c>
      <c r="D1117" s="54" t="inlineStr">
        <is>
          <t>BM-CALKING-LIGHT-GREY</t>
        </is>
      </c>
      <c r="E1117" s="54" t="inlineStr">
        <is>
          <t>California King</t>
        </is>
      </c>
      <c r="F1117" s="54" t="inlineStr">
        <is>
          <t>Light Grey</t>
        </is>
      </c>
      <c r="G1117" s="55" t="n">
        <v>31</v>
      </c>
      <c r="H1117" s="55" t="n">
        <v>0</v>
      </c>
      <c r="I1117" s="56" t="n"/>
      <c r="J1117" s="57" t="n">
        <v>0.06</v>
      </c>
      <c r="K1117" s="56" t="inlineStr">
        <is>
          <t>account data velocity</t>
        </is>
      </c>
      <c r="L1117" s="58" t="n">
        <v>1.6284</v>
      </c>
      <c r="M1117" s="56" t="inlineStr">
        <is>
          <t>own BFCM 2025 lift (account data)</t>
        </is>
      </c>
      <c r="N1117" s="59">
        <f>J1117*34+J1117*L1117*12</f>
        <v/>
      </c>
      <c r="O1117" s="59">
        <f>MAX(0,N1117-G1117-H1117)</f>
        <v/>
      </c>
      <c r="P1117" s="60">
        <f>IF(J1117=0,"",IF(G1117&lt;J1117*34,DATE(2026,10,15)+G1117/J1117,IF(G1117&lt;N1117,DATE(2026,11,18)+(G1117-J1117*34)/(J1117*L1117),"after Nov 30")))</f>
        <v/>
      </c>
      <c r="Q1117" s="60">
        <f>IF(J1117=0,"",IF(G1117+H1117&lt;J1117*34,DATE(2026,10,15)+(G1117+H1117)/J1117,IF(G1117+H1117&lt;N1117,DATE(2026,11,18)+(G1117+H1117-J1117*34)/(J1117*L1117),"after Nov 30")))</f>
        <v/>
      </c>
      <c r="R1117" s="54">
        <f>IF(AND(G1117&lt;=0,J1117&gt;0),"Out of stock now",IF(G1117&gt;=N1117,"Covered to Nov 30",IF(G1117+H1117&gt;=N1117,"Needs inbound in time","Short even with inbound")))</f>
        <v/>
      </c>
      <c r="S1117" s="57" t="n">
        <v>0.07099999999999999</v>
      </c>
      <c r="T1117" s="59">
        <f>IF(S1117="","",S1117*34+S1117*L1117*12)</f>
        <v/>
      </c>
    </row>
    <row r="1118">
      <c r="A1118" s="54" t="inlineStr">
        <is>
          <t>US DC Cooling 4pc</t>
        </is>
      </c>
      <c r="B1118" s="54" t="inlineStr">
        <is>
          <t>US</t>
        </is>
      </c>
      <c r="C1118" s="54" t="inlineStr">
        <is>
          <t>B0C9LSHCH5</t>
        </is>
      </c>
      <c r="D1118" s="54" t="inlineStr">
        <is>
          <t>BM-FULL-WHITE</t>
        </is>
      </c>
      <c r="E1118" s="54" t="inlineStr">
        <is>
          <t>Full</t>
        </is>
      </c>
      <c r="F1118" s="54" t="inlineStr">
        <is>
          <t>White</t>
        </is>
      </c>
      <c r="G1118" s="55" t="n">
        <v>19</v>
      </c>
      <c r="H1118" s="55" t="n">
        <v>0</v>
      </c>
      <c r="I1118" s="56" t="n"/>
      <c r="J1118" s="57" t="n">
        <v>0.06</v>
      </c>
      <c r="K1118" s="56" t="inlineStr">
        <is>
          <t>account data velocity</t>
        </is>
      </c>
      <c r="L1118" s="58" t="n">
        <v>1.6284</v>
      </c>
      <c r="M1118" s="56" t="inlineStr">
        <is>
          <t>own BFCM 2025 lift (account data)</t>
        </is>
      </c>
      <c r="N1118" s="59">
        <f>J1118*34+J1118*L1118*12</f>
        <v/>
      </c>
      <c r="O1118" s="59">
        <f>MAX(0,N1118-G1118-H1118)</f>
        <v/>
      </c>
      <c r="P1118" s="60">
        <f>IF(J1118=0,"",IF(G1118&lt;J1118*34,DATE(2026,10,15)+G1118/J1118,IF(G1118&lt;N1118,DATE(2026,11,18)+(G1118-J1118*34)/(J1118*L1118),"after Nov 30")))</f>
        <v/>
      </c>
      <c r="Q1118" s="60">
        <f>IF(J1118=0,"",IF(G1118+H1118&lt;J1118*34,DATE(2026,10,15)+(G1118+H1118)/J1118,IF(G1118+H1118&lt;N1118,DATE(2026,11,18)+(G1118+H1118-J1118*34)/(J1118*L1118),"after Nov 30")))</f>
        <v/>
      </c>
      <c r="R1118" s="54">
        <f>IF(AND(G1118&lt;=0,J1118&gt;0),"Out of stock now",IF(G1118&gt;=N1118,"Covered to Nov 30",IF(G1118+H1118&gt;=N1118,"Needs inbound in time","Short even with inbound")))</f>
        <v/>
      </c>
      <c r="S1118" s="57" t="n">
        <v>0.036</v>
      </c>
      <c r="T1118" s="59">
        <f>IF(S1118="","",S1118*34+S1118*L1118*12)</f>
        <v/>
      </c>
    </row>
    <row r="1119">
      <c r="A1119" s="54" t="inlineStr">
        <is>
          <t>US DC Cooling 4pc</t>
        </is>
      </c>
      <c r="B1119" s="54" t="inlineStr">
        <is>
          <t>US</t>
        </is>
      </c>
      <c r="C1119" s="54" t="inlineStr">
        <is>
          <t>B0C9LQWPC7</t>
        </is>
      </c>
      <c r="D1119" s="54" t="inlineStr">
        <is>
          <t>BM-QUEEN-GRAPHITE-GREY</t>
        </is>
      </c>
      <c r="E1119" s="54" t="inlineStr">
        <is>
          <t>Queen</t>
        </is>
      </c>
      <c r="F1119" s="54" t="inlineStr">
        <is>
          <t>Graphite</t>
        </is>
      </c>
      <c r="G1119" s="55" t="n">
        <v>0</v>
      </c>
      <c r="H1119" s="55" t="n">
        <v>0</v>
      </c>
      <c r="I1119" s="56" t="n"/>
      <c r="J1119" s="57" t="n">
        <v>0.05</v>
      </c>
      <c r="K1119" s="56" t="inlineStr">
        <is>
          <t>account data velocity</t>
        </is>
      </c>
      <c r="L1119" s="58" t="n">
        <v>1.6284</v>
      </c>
      <c r="M1119" s="56" t="inlineStr">
        <is>
          <t>own BFCM 2025 lift (account data)</t>
        </is>
      </c>
      <c r="N1119" s="59">
        <f>J1119*34+J1119*L1119*12</f>
        <v/>
      </c>
      <c r="O1119" s="59">
        <f>MAX(0,N1119-G1119-H1119)</f>
        <v/>
      </c>
      <c r="P1119" s="60">
        <f>IF(J1119=0,"",IF(G1119&lt;J1119*34,DATE(2026,10,15)+G1119/J1119,IF(G1119&lt;N1119,DATE(2026,11,18)+(G1119-J1119*34)/(J1119*L1119),"after Nov 30")))</f>
        <v/>
      </c>
      <c r="Q1119" s="60">
        <f>IF(J1119=0,"",IF(G1119+H1119&lt;J1119*34,DATE(2026,10,15)+(G1119+H1119)/J1119,IF(G1119+H1119&lt;N1119,DATE(2026,11,18)+(G1119+H1119-J1119*34)/(J1119*L1119),"after Nov 30")))</f>
        <v/>
      </c>
      <c r="R1119" s="54">
        <f>IF(AND(G1119&lt;=0,J1119&gt;0),"Out of stock now",IF(G1119&gt;=N1119,"Covered to Nov 30",IF(G1119+H1119&gt;=N1119,"Needs inbound in time","Short even with inbound")))</f>
        <v/>
      </c>
      <c r="S1119" s="57" t="n"/>
      <c r="T1119" s="59">
        <f>IF(S1119="","",S1119*34+S1119*L1119*12)</f>
        <v/>
      </c>
    </row>
    <row r="1120">
      <c r="A1120" s="54" t="inlineStr">
        <is>
          <t>US DC Cooling 4pc</t>
        </is>
      </c>
      <c r="B1120" s="54" t="inlineStr">
        <is>
          <t>US</t>
        </is>
      </c>
      <c r="C1120" s="54" t="inlineStr">
        <is>
          <t>B0CWJ1KPGR</t>
        </is>
      </c>
      <c r="D1120" s="54" t="inlineStr">
        <is>
          <t>BM-TWIN-LIGHT-GREY</t>
        </is>
      </c>
      <c r="E1120" s="54" t="inlineStr">
        <is>
          <t>Twin</t>
        </is>
      </c>
      <c r="F1120" s="54" t="inlineStr">
        <is>
          <t>Light Grey</t>
        </is>
      </c>
      <c r="G1120" s="55" t="n">
        <v>15</v>
      </c>
      <c r="H1120" s="55" t="n">
        <v>0</v>
      </c>
      <c r="I1120" s="56" t="n"/>
      <c r="J1120" s="57" t="n">
        <v>0.04</v>
      </c>
      <c r="K1120" s="56" t="inlineStr">
        <is>
          <t>account data velocity</t>
        </is>
      </c>
      <c r="L1120" s="58" t="n">
        <v>1.6284</v>
      </c>
      <c r="M1120" s="56" t="inlineStr">
        <is>
          <t>own BFCM 2025 lift (account data)</t>
        </is>
      </c>
      <c r="N1120" s="59">
        <f>J1120*34+J1120*L1120*12</f>
        <v/>
      </c>
      <c r="O1120" s="59">
        <f>MAX(0,N1120-G1120-H1120)</f>
        <v/>
      </c>
      <c r="P1120" s="60">
        <f>IF(J1120=0,"",IF(G1120&lt;J1120*34,DATE(2026,10,15)+G1120/J1120,IF(G1120&lt;N1120,DATE(2026,11,18)+(G1120-J1120*34)/(J1120*L1120),"after Nov 30")))</f>
        <v/>
      </c>
      <c r="Q1120" s="60">
        <f>IF(J1120=0,"",IF(G1120+H1120&lt;J1120*34,DATE(2026,10,15)+(G1120+H1120)/J1120,IF(G1120+H1120&lt;N1120,DATE(2026,11,18)+(G1120+H1120-J1120*34)/(J1120*L1120),"after Nov 30")))</f>
        <v/>
      </c>
      <c r="R1120" s="54">
        <f>IF(AND(G1120&lt;=0,J1120&gt;0),"Out of stock now",IF(G1120&gt;=N1120,"Covered to Nov 30",IF(G1120+H1120&gt;=N1120,"Needs inbound in time","Short even with inbound")))</f>
        <v/>
      </c>
      <c r="S1120" s="57" t="n">
        <v>0.07099999999999999</v>
      </c>
      <c r="T1120" s="59">
        <f>IF(S1120="","",S1120*34+S1120*L1120*12)</f>
        <v/>
      </c>
    </row>
    <row r="1121">
      <c r="A1121" s="54" t="inlineStr">
        <is>
          <t>US DC Cooling 4pc</t>
        </is>
      </c>
      <c r="B1121" s="54" t="inlineStr">
        <is>
          <t>US</t>
        </is>
      </c>
      <c r="C1121" s="54" t="inlineStr">
        <is>
          <t>B0CWJ24ZTV</t>
        </is>
      </c>
      <c r="D1121" s="54" t="inlineStr">
        <is>
          <t>BM-TWIN-BEIGE</t>
        </is>
      </c>
      <c r="E1121" s="54" t="inlineStr">
        <is>
          <t>Twin</t>
        </is>
      </c>
      <c r="F1121" s="54" t="inlineStr">
        <is>
          <t>Beige</t>
        </is>
      </c>
      <c r="G1121" s="55" t="n">
        <v>5</v>
      </c>
      <c r="H1121" s="55" t="n">
        <v>0</v>
      </c>
      <c r="I1121" s="56" t="n"/>
      <c r="J1121" s="57" t="n">
        <v>0.04</v>
      </c>
      <c r="K1121" s="56" t="inlineStr">
        <is>
          <t>account data velocity</t>
        </is>
      </c>
      <c r="L1121" s="58" t="n">
        <v>1.6284</v>
      </c>
      <c r="M1121" s="56" t="inlineStr">
        <is>
          <t>own BFCM 2025 lift (account data)</t>
        </is>
      </c>
      <c r="N1121" s="59">
        <f>J1121*34+J1121*L1121*12</f>
        <v/>
      </c>
      <c r="O1121" s="59">
        <f>MAX(0,N1121-G1121-H1121)</f>
        <v/>
      </c>
      <c r="P1121" s="60">
        <f>IF(J1121=0,"",IF(G1121&lt;J1121*34,DATE(2026,10,15)+G1121/J1121,IF(G1121&lt;N1121,DATE(2026,11,18)+(G1121-J1121*34)/(J1121*L1121),"after Nov 30")))</f>
        <v/>
      </c>
      <c r="Q1121" s="60">
        <f>IF(J1121=0,"",IF(G1121+H1121&lt;J1121*34,DATE(2026,10,15)+(G1121+H1121)/J1121,IF(G1121+H1121&lt;N1121,DATE(2026,11,18)+(G1121+H1121-J1121*34)/(J1121*L1121),"after Nov 30")))</f>
        <v/>
      </c>
      <c r="R1121" s="54">
        <f>IF(AND(G1121&lt;=0,J1121&gt;0),"Out of stock now",IF(G1121&gt;=N1121,"Covered to Nov 30",IF(G1121+H1121&gt;=N1121,"Needs inbound in time","Short even with inbound")))</f>
        <v/>
      </c>
      <c r="S1121" s="57" t="n">
        <v>0</v>
      </c>
      <c r="T1121" s="59">
        <f>IF(S1121="","",S1121*34+S1121*L1121*12)</f>
        <v/>
      </c>
    </row>
    <row r="1122">
      <c r="A1122" s="54" t="inlineStr">
        <is>
          <t>US DC Cooling 4pc</t>
        </is>
      </c>
      <c r="B1122" s="54" t="inlineStr">
        <is>
          <t>US</t>
        </is>
      </c>
      <c r="C1122" s="54" t="inlineStr">
        <is>
          <t>B0C9LTZ8BC</t>
        </is>
      </c>
      <c r="D1122" s="54" t="inlineStr">
        <is>
          <t>BM-TWIN-MIDNIGHT-BLACK</t>
        </is>
      </c>
      <c r="E1122" s="54" t="inlineStr">
        <is>
          <t>Twin</t>
        </is>
      </c>
      <c r="F1122" s="54" t="inlineStr">
        <is>
          <t>Midnight Black</t>
        </is>
      </c>
      <c r="G1122" s="55" t="n">
        <v>10</v>
      </c>
      <c r="H1122" s="55" t="n">
        <v>0</v>
      </c>
      <c r="I1122" s="56" t="n"/>
      <c r="J1122" s="57" t="n">
        <v>0.04</v>
      </c>
      <c r="K1122" s="56" t="inlineStr">
        <is>
          <t>account data velocity</t>
        </is>
      </c>
      <c r="L1122" s="58" t="n">
        <v>1.6284</v>
      </c>
      <c r="M1122" s="56" t="inlineStr">
        <is>
          <t>own BFCM 2025 lift (account data)</t>
        </is>
      </c>
      <c r="N1122" s="59">
        <f>J1122*34+J1122*L1122*12</f>
        <v/>
      </c>
      <c r="O1122" s="59">
        <f>MAX(0,N1122-G1122-H1122)</f>
        <v/>
      </c>
      <c r="P1122" s="60">
        <f>IF(J1122=0,"",IF(G1122&lt;J1122*34,DATE(2026,10,15)+G1122/J1122,IF(G1122&lt;N1122,DATE(2026,11,18)+(G1122-J1122*34)/(J1122*L1122),"after Nov 30")))</f>
        <v/>
      </c>
      <c r="Q1122" s="60">
        <f>IF(J1122=0,"",IF(G1122+H1122&lt;J1122*34,DATE(2026,10,15)+(G1122+H1122)/J1122,IF(G1122+H1122&lt;N1122,DATE(2026,11,18)+(G1122+H1122-J1122*34)/(J1122*L1122),"after Nov 30")))</f>
        <v/>
      </c>
      <c r="R1122" s="54">
        <f>IF(AND(G1122&lt;=0,J1122&gt;0),"Out of stock now",IF(G1122&gt;=N1122,"Covered to Nov 30",IF(G1122+H1122&gt;=N1122,"Needs inbound in time","Short even with inbound")))</f>
        <v/>
      </c>
      <c r="S1122" s="57" t="n">
        <v>0</v>
      </c>
      <c r="T1122" s="59">
        <f>IF(S1122="","",S1122*34+S1122*L1122*12)</f>
        <v/>
      </c>
    </row>
    <row r="1123">
      <c r="A1123" s="54" t="inlineStr">
        <is>
          <t>US DC Cooling 4pc</t>
        </is>
      </c>
      <c r="B1123" s="54" t="inlineStr">
        <is>
          <t>US</t>
        </is>
      </c>
      <c r="C1123" s="54" t="inlineStr">
        <is>
          <t>B0C9LS4RWT</t>
        </is>
      </c>
      <c r="D1123" s="54" t="inlineStr">
        <is>
          <t>BM-TWIN-R-PURPLE</t>
        </is>
      </c>
      <c r="E1123" s="54" t="inlineStr">
        <is>
          <t>Twin</t>
        </is>
      </c>
      <c r="F1123" s="54" t="inlineStr">
        <is>
          <t>Regal Purple</t>
        </is>
      </c>
      <c r="G1123" s="55" t="n">
        <v>21</v>
      </c>
      <c r="H1123" s="55" t="n">
        <v>0</v>
      </c>
      <c r="I1123" s="56" t="n"/>
      <c r="J1123" s="57" t="n">
        <v>0.04</v>
      </c>
      <c r="K1123" s="56" t="inlineStr">
        <is>
          <t>account data velocity</t>
        </is>
      </c>
      <c r="L1123" s="58" t="n">
        <v>1.6284</v>
      </c>
      <c r="M1123" s="56" t="inlineStr">
        <is>
          <t>own BFCM 2025 lift (account data)</t>
        </is>
      </c>
      <c r="N1123" s="59">
        <f>J1123*34+J1123*L1123*12</f>
        <v/>
      </c>
      <c r="O1123" s="59">
        <f>MAX(0,N1123-G1123-H1123)</f>
        <v/>
      </c>
      <c r="P1123" s="60">
        <f>IF(J1123=0,"",IF(G1123&lt;J1123*34,DATE(2026,10,15)+G1123/J1123,IF(G1123&lt;N1123,DATE(2026,11,18)+(G1123-J1123*34)/(J1123*L1123),"after Nov 30")))</f>
        <v/>
      </c>
      <c r="Q1123" s="60">
        <f>IF(J1123=0,"",IF(G1123+H1123&lt;J1123*34,DATE(2026,10,15)+(G1123+H1123)/J1123,IF(G1123+H1123&lt;N1123,DATE(2026,11,18)+(G1123+H1123-J1123*34)/(J1123*L1123),"after Nov 30")))</f>
        <v/>
      </c>
      <c r="R1123" s="54">
        <f>IF(AND(G1123&lt;=0,J1123&gt;0),"Out of stock now",IF(G1123&gt;=N1123,"Covered to Nov 30",IF(G1123+H1123&gt;=N1123,"Needs inbound in time","Short even with inbound")))</f>
        <v/>
      </c>
      <c r="S1123" s="57" t="n">
        <v>0</v>
      </c>
      <c r="T1123" s="59">
        <f>IF(S1123="","",S1123*34+S1123*L1123*12)</f>
        <v/>
      </c>
    </row>
    <row r="1124">
      <c r="A1124" s="54" t="inlineStr">
        <is>
          <t>US DC Cooling 4pc</t>
        </is>
      </c>
      <c r="B1124" s="54" t="inlineStr">
        <is>
          <t>US</t>
        </is>
      </c>
      <c r="C1124" s="54" t="inlineStr">
        <is>
          <t>B0C9LQWY53</t>
        </is>
      </c>
      <c r="D1124" s="54" t="inlineStr">
        <is>
          <t>BM-FULL-GRAPHITE-GREY</t>
        </is>
      </c>
      <c r="E1124" s="54" t="inlineStr">
        <is>
          <t>Full</t>
        </is>
      </c>
      <c r="F1124" s="54" t="inlineStr">
        <is>
          <t>Graphite</t>
        </is>
      </c>
      <c r="G1124" s="55" t="n">
        <v>23</v>
      </c>
      <c r="H1124" s="55" t="n">
        <v>0</v>
      </c>
      <c r="I1124" s="56" t="n"/>
      <c r="J1124" s="57" t="n">
        <v>0.03</v>
      </c>
      <c r="K1124" s="56" t="inlineStr">
        <is>
          <t>account data velocity</t>
        </is>
      </c>
      <c r="L1124" s="58" t="n">
        <v>1.6284</v>
      </c>
      <c r="M1124" s="56" t="inlineStr">
        <is>
          <t>own BFCM 2025 lift (account data)</t>
        </is>
      </c>
      <c r="N1124" s="59">
        <f>J1124*34+J1124*L1124*12</f>
        <v/>
      </c>
      <c r="O1124" s="59">
        <f>MAX(0,N1124-G1124-H1124)</f>
        <v/>
      </c>
      <c r="P1124" s="60">
        <f>IF(J1124=0,"",IF(G1124&lt;J1124*34,DATE(2026,10,15)+G1124/J1124,IF(G1124&lt;N1124,DATE(2026,11,18)+(G1124-J1124*34)/(J1124*L1124),"after Nov 30")))</f>
        <v/>
      </c>
      <c r="Q1124" s="60">
        <f>IF(J1124=0,"",IF(G1124+H1124&lt;J1124*34,DATE(2026,10,15)+(G1124+H1124)/J1124,IF(G1124+H1124&lt;N1124,DATE(2026,11,18)+(G1124+H1124-J1124*34)/(J1124*L1124),"after Nov 30")))</f>
        <v/>
      </c>
      <c r="R1124" s="54">
        <f>IF(AND(G1124&lt;=0,J1124&gt;0),"Out of stock now",IF(G1124&gt;=N1124,"Covered to Nov 30",IF(G1124+H1124&gt;=N1124,"Needs inbound in time","Short even with inbound")))</f>
        <v/>
      </c>
      <c r="S1124" s="57" t="n">
        <v>0.036</v>
      </c>
      <c r="T1124" s="59">
        <f>IF(S1124="","",S1124*34+S1124*L1124*12)</f>
        <v/>
      </c>
    </row>
    <row r="1125">
      <c r="A1125" s="54" t="inlineStr">
        <is>
          <t>US DC Cooling 4pc</t>
        </is>
      </c>
      <c r="B1125" s="54" t="inlineStr">
        <is>
          <t>US</t>
        </is>
      </c>
      <c r="C1125" s="54" t="inlineStr">
        <is>
          <t>B0DCK54DQP</t>
        </is>
      </c>
      <c r="D1125" s="54" t="inlineStr">
        <is>
          <t>BM-CREAM-QUEEN-4PCS</t>
        </is>
      </c>
      <c r="E1125" s="54" t="inlineStr">
        <is>
          <t>Queen</t>
        </is>
      </c>
      <c r="F1125" s="54" t="inlineStr">
        <is>
          <t>Cream</t>
        </is>
      </c>
      <c r="G1125" s="55" t="n">
        <v>80</v>
      </c>
      <c r="H1125" s="55" t="n">
        <v>0</v>
      </c>
      <c r="I1125" s="56" t="n"/>
      <c r="J1125" s="57" t="n">
        <v>0.03</v>
      </c>
      <c r="K1125" s="56" t="inlineStr">
        <is>
          <t>account data velocity</t>
        </is>
      </c>
      <c r="L1125" s="58" t="n">
        <v>1.6284</v>
      </c>
      <c r="M1125" s="56" t="inlineStr">
        <is>
          <t>own BFCM 2025 lift (account data)</t>
        </is>
      </c>
      <c r="N1125" s="59">
        <f>J1125*34+J1125*L1125*12</f>
        <v/>
      </c>
      <c r="O1125" s="59">
        <f>MAX(0,N1125-G1125-H1125)</f>
        <v/>
      </c>
      <c r="P1125" s="60">
        <f>IF(J1125=0,"",IF(G1125&lt;J1125*34,DATE(2026,10,15)+G1125/J1125,IF(G1125&lt;N1125,DATE(2026,11,18)+(G1125-J1125*34)/(J1125*L1125),"after Nov 30")))</f>
        <v/>
      </c>
      <c r="Q1125" s="60">
        <f>IF(J1125=0,"",IF(G1125+H1125&lt;J1125*34,DATE(2026,10,15)+(G1125+H1125)/J1125,IF(G1125+H1125&lt;N1125,DATE(2026,11,18)+(G1125+H1125-J1125*34)/(J1125*L1125),"after Nov 30")))</f>
        <v/>
      </c>
      <c r="R1125" s="54">
        <f>IF(AND(G1125&lt;=0,J1125&gt;0),"Out of stock now",IF(G1125&gt;=N1125,"Covered to Nov 30",IF(G1125+H1125&gt;=N1125,"Needs inbound in time","Short even with inbound")))</f>
        <v/>
      </c>
      <c r="S1125" s="57" t="n"/>
      <c r="T1125" s="59">
        <f>IF(S1125="","",S1125*34+S1125*L1125*12)</f>
        <v/>
      </c>
    </row>
    <row r="1126">
      <c r="A1126" s="54" t="inlineStr">
        <is>
          <t>US DC Cooling 4pc</t>
        </is>
      </c>
      <c r="B1126" s="54" t="inlineStr">
        <is>
          <t>US</t>
        </is>
      </c>
      <c r="C1126" s="54" t="inlineStr">
        <is>
          <t>B0CWJ4W1WP</t>
        </is>
      </c>
      <c r="D1126" s="54" t="inlineStr">
        <is>
          <t>BM-FULL-LIGHT-BLUE</t>
        </is>
      </c>
      <c r="E1126" s="54" t="inlineStr">
        <is>
          <t>Full</t>
        </is>
      </c>
      <c r="F1126" s="54" t="inlineStr">
        <is>
          <t>Light Blue</t>
        </is>
      </c>
      <c r="G1126" s="55" t="n">
        <v>4</v>
      </c>
      <c r="H1126" s="55" t="n">
        <v>0</v>
      </c>
      <c r="I1126" s="56" t="n"/>
      <c r="J1126" s="57" t="n">
        <v>0.02</v>
      </c>
      <c r="K1126" s="56" t="inlineStr">
        <is>
          <t>account data velocity</t>
        </is>
      </c>
      <c r="L1126" s="58" t="n">
        <v>1.6284</v>
      </c>
      <c r="M1126" s="56" t="inlineStr">
        <is>
          <t>own BFCM 2025 lift (account data)</t>
        </is>
      </c>
      <c r="N1126" s="59">
        <f>J1126*34+J1126*L1126*12</f>
        <v/>
      </c>
      <c r="O1126" s="59">
        <f>MAX(0,N1126-G1126-H1126)</f>
        <v/>
      </c>
      <c r="P1126" s="60">
        <f>IF(J1126=0,"",IF(G1126&lt;J1126*34,DATE(2026,10,15)+G1126/J1126,IF(G1126&lt;N1126,DATE(2026,11,18)+(G1126-J1126*34)/(J1126*L1126),"after Nov 30")))</f>
        <v/>
      </c>
      <c r="Q1126" s="60">
        <f>IF(J1126=0,"",IF(G1126+H1126&lt;J1126*34,DATE(2026,10,15)+(G1126+H1126)/J1126,IF(G1126+H1126&lt;N1126,DATE(2026,11,18)+(G1126+H1126-J1126*34)/(J1126*L1126),"after Nov 30")))</f>
        <v/>
      </c>
      <c r="R1126" s="54">
        <f>IF(AND(G1126&lt;=0,J1126&gt;0),"Out of stock now",IF(G1126&gt;=N1126,"Covered to Nov 30",IF(G1126+H1126&gt;=N1126,"Needs inbound in time","Short even with inbound")))</f>
        <v/>
      </c>
      <c r="S1126" s="57" t="n">
        <v>0.036</v>
      </c>
      <c r="T1126" s="59">
        <f>IF(S1126="","",S1126*34+S1126*L1126*12)</f>
        <v/>
      </c>
    </row>
    <row r="1127">
      <c r="A1127" s="54" t="inlineStr">
        <is>
          <t>US DC Cooling 4pc</t>
        </is>
      </c>
      <c r="B1127" s="54" t="inlineStr">
        <is>
          <t>US</t>
        </is>
      </c>
      <c r="C1127" s="54" t="inlineStr">
        <is>
          <t>B0C9LT81MY</t>
        </is>
      </c>
      <c r="D1127" s="54" t="inlineStr">
        <is>
          <t>BM-FULL-NAVY-BLUE</t>
        </is>
      </c>
      <c r="E1127" s="54" t="inlineStr">
        <is>
          <t>Full</t>
        </is>
      </c>
      <c r="F1127" s="54" t="inlineStr">
        <is>
          <t>Navy Blue-01</t>
        </is>
      </c>
      <c r="G1127" s="55" t="n">
        <v>14</v>
      </c>
      <c r="H1127" s="55" t="n">
        <v>0</v>
      </c>
      <c r="I1127" s="56" t="n"/>
      <c r="J1127" s="57" t="n">
        <v>0.02</v>
      </c>
      <c r="K1127" s="56" t="inlineStr">
        <is>
          <t>account data velocity</t>
        </is>
      </c>
      <c r="L1127" s="58" t="n">
        <v>1.6284</v>
      </c>
      <c r="M1127" s="56" t="inlineStr">
        <is>
          <t>own BFCM 2025 lift (account data)</t>
        </is>
      </c>
      <c r="N1127" s="59">
        <f>J1127*34+J1127*L1127*12</f>
        <v/>
      </c>
      <c r="O1127" s="59">
        <f>MAX(0,N1127-G1127-H1127)</f>
        <v/>
      </c>
      <c r="P1127" s="60">
        <f>IF(J1127=0,"",IF(G1127&lt;J1127*34,DATE(2026,10,15)+G1127/J1127,IF(G1127&lt;N1127,DATE(2026,11,18)+(G1127-J1127*34)/(J1127*L1127),"after Nov 30")))</f>
        <v/>
      </c>
      <c r="Q1127" s="60">
        <f>IF(J1127=0,"",IF(G1127+H1127&lt;J1127*34,DATE(2026,10,15)+(G1127+H1127)/J1127,IF(G1127+H1127&lt;N1127,DATE(2026,11,18)+(G1127+H1127-J1127*34)/(J1127*L1127),"after Nov 30")))</f>
        <v/>
      </c>
      <c r="R1127" s="54">
        <f>IF(AND(G1127&lt;=0,J1127&gt;0),"Out of stock now",IF(G1127&gt;=N1127,"Covered to Nov 30",IF(G1127+H1127&gt;=N1127,"Needs inbound in time","Short even with inbound")))</f>
        <v/>
      </c>
      <c r="S1127" s="57" t="n">
        <v>0.036</v>
      </c>
      <c r="T1127" s="59">
        <f>IF(S1127="","",S1127*34+S1127*L1127*12)</f>
        <v/>
      </c>
    </row>
    <row r="1128">
      <c r="A1128" s="54" t="inlineStr">
        <is>
          <t>US DC Cooling 4pc</t>
        </is>
      </c>
      <c r="B1128" s="54" t="inlineStr">
        <is>
          <t>US</t>
        </is>
      </c>
      <c r="C1128" s="54" t="inlineStr">
        <is>
          <t>B0CWJCY2VP</t>
        </is>
      </c>
      <c r="D1128" s="54" t="inlineStr">
        <is>
          <t>BM-FULL-SAGE-GREEN</t>
        </is>
      </c>
      <c r="E1128" s="54" t="inlineStr">
        <is>
          <t>Full</t>
        </is>
      </c>
      <c r="F1128" s="54" t="inlineStr">
        <is>
          <t>Sage Green</t>
        </is>
      </c>
      <c r="G1128" s="55" t="n">
        <v>30</v>
      </c>
      <c r="H1128" s="55" t="n">
        <v>0</v>
      </c>
      <c r="I1128" s="56" t="n"/>
      <c r="J1128" s="57" t="n">
        <v>0.02</v>
      </c>
      <c r="K1128" s="56" t="inlineStr">
        <is>
          <t>account data velocity</t>
        </is>
      </c>
      <c r="L1128" s="58" t="n">
        <v>1.6284</v>
      </c>
      <c r="M1128" s="56" t="inlineStr">
        <is>
          <t>own BFCM 2025 lift (account data)</t>
        </is>
      </c>
      <c r="N1128" s="59">
        <f>J1128*34+J1128*L1128*12</f>
        <v/>
      </c>
      <c r="O1128" s="59">
        <f>MAX(0,N1128-G1128-H1128)</f>
        <v/>
      </c>
      <c r="P1128" s="60">
        <f>IF(J1128=0,"",IF(G1128&lt;J1128*34,DATE(2026,10,15)+G1128/J1128,IF(G1128&lt;N1128,DATE(2026,11,18)+(G1128-J1128*34)/(J1128*L1128),"after Nov 30")))</f>
        <v/>
      </c>
      <c r="Q1128" s="60">
        <f>IF(J1128=0,"",IF(G1128+H1128&lt;J1128*34,DATE(2026,10,15)+(G1128+H1128)/J1128,IF(G1128+H1128&lt;N1128,DATE(2026,11,18)+(G1128+H1128-J1128*34)/(J1128*L1128),"after Nov 30")))</f>
        <v/>
      </c>
      <c r="R1128" s="54">
        <f>IF(AND(G1128&lt;=0,J1128&gt;0),"Out of stock now",IF(G1128&gt;=N1128,"Covered to Nov 30",IF(G1128+H1128&gt;=N1128,"Needs inbound in time","Short even with inbound")))</f>
        <v/>
      </c>
      <c r="S1128" s="57" t="n">
        <v>0.036</v>
      </c>
      <c r="T1128" s="59">
        <f>IF(S1128="","",S1128*34+S1128*L1128*12)</f>
        <v/>
      </c>
    </row>
    <row r="1129">
      <c r="A1129" s="54" t="inlineStr">
        <is>
          <t>US DC Cooling 4pc</t>
        </is>
      </c>
      <c r="B1129" s="54" t="inlineStr">
        <is>
          <t>US</t>
        </is>
      </c>
      <c r="C1129" s="54" t="inlineStr">
        <is>
          <t>B0C9LPF46G</t>
        </is>
      </c>
      <c r="D1129" s="54" t="inlineStr">
        <is>
          <t>BM-TWIN-GRAPHITE-GREY</t>
        </is>
      </c>
      <c r="E1129" s="54" t="inlineStr">
        <is>
          <t>Twin</t>
        </is>
      </c>
      <c r="F1129" s="54" t="inlineStr">
        <is>
          <t>Graphite</t>
        </is>
      </c>
      <c r="G1129" s="55" t="n">
        <v>36</v>
      </c>
      <c r="H1129" s="55" t="n">
        <v>0</v>
      </c>
      <c r="I1129" s="56" t="n"/>
      <c r="J1129" s="57" t="n">
        <v>0.02</v>
      </c>
      <c r="K1129" s="56" t="inlineStr">
        <is>
          <t>account data velocity</t>
        </is>
      </c>
      <c r="L1129" s="58" t="n">
        <v>1.6284</v>
      </c>
      <c r="M1129" s="56" t="inlineStr">
        <is>
          <t>own BFCM 2025 lift (account data)</t>
        </is>
      </c>
      <c r="N1129" s="59">
        <f>J1129*34+J1129*L1129*12</f>
        <v/>
      </c>
      <c r="O1129" s="59">
        <f>MAX(0,N1129-G1129-H1129)</f>
        <v/>
      </c>
      <c r="P1129" s="60">
        <f>IF(J1129=0,"",IF(G1129&lt;J1129*34,DATE(2026,10,15)+G1129/J1129,IF(G1129&lt;N1129,DATE(2026,11,18)+(G1129-J1129*34)/(J1129*L1129),"after Nov 30")))</f>
        <v/>
      </c>
      <c r="Q1129" s="60">
        <f>IF(J1129=0,"",IF(G1129+H1129&lt;J1129*34,DATE(2026,10,15)+(G1129+H1129)/J1129,IF(G1129+H1129&lt;N1129,DATE(2026,11,18)+(G1129+H1129-J1129*34)/(J1129*L1129),"after Nov 30")))</f>
        <v/>
      </c>
      <c r="R1129" s="54">
        <f>IF(AND(G1129&lt;=0,J1129&gt;0),"Out of stock now",IF(G1129&gt;=N1129,"Covered to Nov 30",IF(G1129+H1129&gt;=N1129,"Needs inbound in time","Short even with inbound")))</f>
        <v/>
      </c>
      <c r="S1129" s="57" t="n">
        <v>0.036</v>
      </c>
      <c r="T1129" s="59">
        <f>IF(S1129="","",S1129*34+S1129*L1129*12)</f>
        <v/>
      </c>
    </row>
    <row r="1130">
      <c r="A1130" s="54" t="inlineStr">
        <is>
          <t>US DC Cooling 4pc</t>
        </is>
      </c>
      <c r="B1130" s="54" t="inlineStr">
        <is>
          <t>US</t>
        </is>
      </c>
      <c r="C1130" s="54" t="inlineStr">
        <is>
          <t>B0CWJ2ZQJR</t>
        </is>
      </c>
      <c r="D1130" s="54" t="inlineStr">
        <is>
          <t>BM-CALKING-BEIGE</t>
        </is>
      </c>
      <c r="E1130" s="54" t="inlineStr">
        <is>
          <t>California King</t>
        </is>
      </c>
      <c r="F1130" s="54" t="inlineStr">
        <is>
          <t>Beige</t>
        </is>
      </c>
      <c r="G1130" s="55" t="n">
        <v>35</v>
      </c>
      <c r="H1130" s="55" t="n">
        <v>0</v>
      </c>
      <c r="I1130" s="56" t="n"/>
      <c r="J1130" s="57" t="n">
        <v>0.02</v>
      </c>
      <c r="K1130" s="56" t="inlineStr">
        <is>
          <t>account data velocity</t>
        </is>
      </c>
      <c r="L1130" s="58" t="n">
        <v>1.6284</v>
      </c>
      <c r="M1130" s="56" t="inlineStr">
        <is>
          <t>own BFCM 2025 lift (account data)</t>
        </is>
      </c>
      <c r="N1130" s="59">
        <f>J1130*34+J1130*L1130*12</f>
        <v/>
      </c>
      <c r="O1130" s="59">
        <f>MAX(0,N1130-G1130-H1130)</f>
        <v/>
      </c>
      <c r="P1130" s="60">
        <f>IF(J1130=0,"",IF(G1130&lt;J1130*34,DATE(2026,10,15)+G1130/J1130,IF(G1130&lt;N1130,DATE(2026,11,18)+(G1130-J1130*34)/(J1130*L1130),"after Nov 30")))</f>
        <v/>
      </c>
      <c r="Q1130" s="60">
        <f>IF(J1130=0,"",IF(G1130+H1130&lt;J1130*34,DATE(2026,10,15)+(G1130+H1130)/J1130,IF(G1130+H1130&lt;N1130,DATE(2026,11,18)+(G1130+H1130-J1130*34)/(J1130*L1130),"after Nov 30")))</f>
        <v/>
      </c>
      <c r="R1130" s="54">
        <f>IF(AND(G1130&lt;=0,J1130&gt;0),"Out of stock now",IF(G1130&gt;=N1130,"Covered to Nov 30",IF(G1130+H1130&gt;=N1130,"Needs inbound in time","Short even with inbound")))</f>
        <v/>
      </c>
      <c r="S1130" s="57" t="n">
        <v>0</v>
      </c>
      <c r="T1130" s="59">
        <f>IF(S1130="","",S1130*34+S1130*L1130*12)</f>
        <v/>
      </c>
    </row>
    <row r="1131">
      <c r="A1131" s="54" t="inlineStr">
        <is>
          <t>US DC Cooling 4pc</t>
        </is>
      </c>
      <c r="B1131" s="54" t="inlineStr">
        <is>
          <t>US</t>
        </is>
      </c>
      <c r="C1131" s="54" t="inlineStr">
        <is>
          <t>B0CWJBHX1G</t>
        </is>
      </c>
      <c r="D1131" s="54" t="inlineStr">
        <is>
          <t>BM-FULL-BEIGE</t>
        </is>
      </c>
      <c r="E1131" s="54" t="inlineStr">
        <is>
          <t>Full</t>
        </is>
      </c>
      <c r="F1131" s="54" t="inlineStr">
        <is>
          <t>Beige</t>
        </is>
      </c>
      <c r="G1131" s="55" t="n">
        <v>2</v>
      </c>
      <c r="H1131" s="55" t="n">
        <v>0</v>
      </c>
      <c r="I1131" s="56" t="n"/>
      <c r="J1131" s="57" t="n">
        <v>0.02</v>
      </c>
      <c r="K1131" s="56" t="inlineStr">
        <is>
          <t>account data velocity</t>
        </is>
      </c>
      <c r="L1131" s="58" t="n">
        <v>1.6284</v>
      </c>
      <c r="M1131" s="56" t="inlineStr">
        <is>
          <t>own BFCM 2025 lift (account data)</t>
        </is>
      </c>
      <c r="N1131" s="59">
        <f>J1131*34+J1131*L1131*12</f>
        <v/>
      </c>
      <c r="O1131" s="59">
        <f>MAX(0,N1131-G1131-H1131)</f>
        <v/>
      </c>
      <c r="P1131" s="60">
        <f>IF(J1131=0,"",IF(G1131&lt;J1131*34,DATE(2026,10,15)+G1131/J1131,IF(G1131&lt;N1131,DATE(2026,11,18)+(G1131-J1131*34)/(J1131*L1131),"after Nov 30")))</f>
        <v/>
      </c>
      <c r="Q1131" s="60">
        <f>IF(J1131=0,"",IF(G1131+H1131&lt;J1131*34,DATE(2026,10,15)+(G1131+H1131)/J1131,IF(G1131+H1131&lt;N1131,DATE(2026,11,18)+(G1131+H1131-J1131*34)/(J1131*L1131),"after Nov 30")))</f>
        <v/>
      </c>
      <c r="R1131" s="54">
        <f>IF(AND(G1131&lt;=0,J1131&gt;0),"Out of stock now",IF(G1131&gt;=N1131,"Covered to Nov 30",IF(G1131+H1131&gt;=N1131,"Needs inbound in time","Short even with inbound")))</f>
        <v/>
      </c>
      <c r="S1131" s="57" t="n">
        <v>0</v>
      </c>
      <c r="T1131" s="59">
        <f>IF(S1131="","",S1131*34+S1131*L1131*12)</f>
        <v/>
      </c>
    </row>
    <row r="1132">
      <c r="A1132" s="54" t="inlineStr">
        <is>
          <t>US DC Cooling 4pc</t>
        </is>
      </c>
      <c r="B1132" s="54" t="inlineStr">
        <is>
          <t>US</t>
        </is>
      </c>
      <c r="C1132" s="54" t="inlineStr">
        <is>
          <t>B0DCK3Z5P8</t>
        </is>
      </c>
      <c r="D1132" s="54" t="inlineStr">
        <is>
          <t>BM-COOLGREY-KING-4PCS</t>
        </is>
      </c>
      <c r="E1132" s="54" t="inlineStr">
        <is>
          <t>King</t>
        </is>
      </c>
      <c r="F1132" s="54" t="inlineStr">
        <is>
          <t>Cool Grey</t>
        </is>
      </c>
      <c r="G1132" s="55" t="n">
        <v>25</v>
      </c>
      <c r="H1132" s="55" t="n">
        <v>0</v>
      </c>
      <c r="I1132" s="56" t="n"/>
      <c r="J1132" s="57" t="n">
        <v>0.02</v>
      </c>
      <c r="K1132" s="56" t="inlineStr">
        <is>
          <t>account data velocity</t>
        </is>
      </c>
      <c r="L1132" s="58" t="n">
        <v>1.6284</v>
      </c>
      <c r="M1132" s="56" t="inlineStr">
        <is>
          <t>own BFCM 2025 lift (account data)</t>
        </is>
      </c>
      <c r="N1132" s="59">
        <f>J1132*34+J1132*L1132*12</f>
        <v/>
      </c>
      <c r="O1132" s="59">
        <f>MAX(0,N1132-G1132-H1132)</f>
        <v/>
      </c>
      <c r="P1132" s="60">
        <f>IF(J1132=0,"",IF(G1132&lt;J1132*34,DATE(2026,10,15)+G1132/J1132,IF(G1132&lt;N1132,DATE(2026,11,18)+(G1132-J1132*34)/(J1132*L1132),"after Nov 30")))</f>
        <v/>
      </c>
      <c r="Q1132" s="60">
        <f>IF(J1132=0,"",IF(G1132+H1132&lt;J1132*34,DATE(2026,10,15)+(G1132+H1132)/J1132,IF(G1132+H1132&lt;N1132,DATE(2026,11,18)+(G1132+H1132-J1132*34)/(J1132*L1132),"after Nov 30")))</f>
        <v/>
      </c>
      <c r="R1132" s="54">
        <f>IF(AND(G1132&lt;=0,J1132&gt;0),"Out of stock now",IF(G1132&gt;=N1132,"Covered to Nov 30",IF(G1132+H1132&gt;=N1132,"Needs inbound in time","Short even with inbound")))</f>
        <v/>
      </c>
      <c r="S1132" s="57" t="n"/>
      <c r="T1132" s="59">
        <f>IF(S1132="","",S1132*34+S1132*L1132*12)</f>
        <v/>
      </c>
    </row>
    <row r="1133">
      <c r="A1133" s="54" t="inlineStr">
        <is>
          <t>US DC Cooling 4pc</t>
        </is>
      </c>
      <c r="B1133" s="54" t="inlineStr">
        <is>
          <t>US</t>
        </is>
      </c>
      <c r="C1133" s="54" t="inlineStr">
        <is>
          <t>B0CWJBZFZ7</t>
        </is>
      </c>
      <c r="D1133" s="54" t="inlineStr">
        <is>
          <t>BM-TWIN-LIGHT-BLUE</t>
        </is>
      </c>
      <c r="E1133" s="54" t="inlineStr">
        <is>
          <t>Twin</t>
        </is>
      </c>
      <c r="F1133" s="54" t="inlineStr">
        <is>
          <t>Light Blue</t>
        </is>
      </c>
      <c r="G1133" s="55" t="n">
        <v>99</v>
      </c>
      <c r="H1133" s="55" t="n">
        <v>0</v>
      </c>
      <c r="I1133" s="56" t="n"/>
      <c r="J1133" s="57" t="n">
        <v>0.02</v>
      </c>
      <c r="K1133" s="56" t="inlineStr">
        <is>
          <t>account data velocity</t>
        </is>
      </c>
      <c r="L1133" s="58" t="n">
        <v>1.6284</v>
      </c>
      <c r="M1133" s="56" t="inlineStr">
        <is>
          <t>own BFCM 2025 lift (account data)</t>
        </is>
      </c>
      <c r="N1133" s="59">
        <f>J1133*34+J1133*L1133*12</f>
        <v/>
      </c>
      <c r="O1133" s="59">
        <f>MAX(0,N1133-G1133-H1133)</f>
        <v/>
      </c>
      <c r="P1133" s="60">
        <f>IF(J1133=0,"",IF(G1133&lt;J1133*34,DATE(2026,10,15)+G1133/J1133,IF(G1133&lt;N1133,DATE(2026,11,18)+(G1133-J1133*34)/(J1133*L1133),"after Nov 30")))</f>
        <v/>
      </c>
      <c r="Q1133" s="60">
        <f>IF(J1133=0,"",IF(G1133+H1133&lt;J1133*34,DATE(2026,10,15)+(G1133+H1133)/J1133,IF(G1133+H1133&lt;N1133,DATE(2026,11,18)+(G1133+H1133-J1133*34)/(J1133*L1133),"after Nov 30")))</f>
        <v/>
      </c>
      <c r="R1133" s="54">
        <f>IF(AND(G1133&lt;=0,J1133&gt;0),"Out of stock now",IF(G1133&gt;=N1133,"Covered to Nov 30",IF(G1133+H1133&gt;=N1133,"Needs inbound in time","Short even with inbound")))</f>
        <v/>
      </c>
      <c r="S1133" s="57" t="n">
        <v>0</v>
      </c>
      <c r="T1133" s="59">
        <f>IF(S1133="","",S1133*34+S1133*L1133*12)</f>
        <v/>
      </c>
    </row>
    <row r="1134">
      <c r="A1134" s="54" t="inlineStr">
        <is>
          <t>US DC Cooling 4pc</t>
        </is>
      </c>
      <c r="B1134" s="54" t="inlineStr">
        <is>
          <t>US</t>
        </is>
      </c>
      <c r="C1134" s="54" t="inlineStr">
        <is>
          <t>B0DCK3XMTF</t>
        </is>
      </c>
      <c r="D1134" s="54" t="inlineStr">
        <is>
          <t>BM-NAVYBLUE-FULL-4PCS</t>
        </is>
      </c>
      <c r="E1134" s="54" t="inlineStr">
        <is>
          <t>Full</t>
        </is>
      </c>
      <c r="F1134" s="54" t="inlineStr">
        <is>
          <t>Navy</t>
        </is>
      </c>
      <c r="G1134" s="55" t="n">
        <v>2</v>
      </c>
      <c r="H1134" s="55" t="n">
        <v>0</v>
      </c>
      <c r="I1134" s="56" t="n"/>
      <c r="J1134" s="57" t="n">
        <v>0.01</v>
      </c>
      <c r="K1134" s="56" t="inlineStr">
        <is>
          <t>account data velocity</t>
        </is>
      </c>
      <c r="L1134" s="58" t="n">
        <v>1.6284</v>
      </c>
      <c r="M1134" s="56" t="inlineStr">
        <is>
          <t>own BFCM 2025 lift (account data)</t>
        </is>
      </c>
      <c r="N1134" s="59">
        <f>J1134*34+J1134*L1134*12</f>
        <v/>
      </c>
      <c r="O1134" s="59">
        <f>MAX(0,N1134-G1134-H1134)</f>
        <v/>
      </c>
      <c r="P1134" s="60">
        <f>IF(J1134=0,"",IF(G1134&lt;J1134*34,DATE(2026,10,15)+G1134/J1134,IF(G1134&lt;N1134,DATE(2026,11,18)+(G1134-J1134*34)/(J1134*L1134),"after Nov 30")))</f>
        <v/>
      </c>
      <c r="Q1134" s="60">
        <f>IF(J1134=0,"",IF(G1134+H1134&lt;J1134*34,DATE(2026,10,15)+(G1134+H1134)/J1134,IF(G1134+H1134&lt;N1134,DATE(2026,11,18)+(G1134+H1134-J1134*34)/(J1134*L1134),"after Nov 30")))</f>
        <v/>
      </c>
      <c r="R1134" s="54">
        <f>IF(AND(G1134&lt;=0,J1134&gt;0),"Out of stock now",IF(G1134&gt;=N1134,"Covered to Nov 30",IF(G1134+H1134&gt;=N1134,"Needs inbound in time","Short even with inbound")))</f>
        <v/>
      </c>
      <c r="S1134" s="57" t="n"/>
      <c r="T1134" s="59">
        <f>IF(S1134="","",S1134*34+S1134*L1134*12)</f>
        <v/>
      </c>
    </row>
    <row r="1135">
      <c r="A1135" s="54" t="inlineStr">
        <is>
          <t>US DC Cooling 4pc</t>
        </is>
      </c>
      <c r="B1135" s="54" t="inlineStr">
        <is>
          <t>US</t>
        </is>
      </c>
      <c r="C1135" s="54" t="inlineStr">
        <is>
          <t>B0C9LWPL86</t>
        </is>
      </c>
      <c r="D1135" s="54" t="inlineStr">
        <is>
          <t>BM-CALKING-CREAM</t>
        </is>
      </c>
      <c r="E1135" s="54" t="inlineStr">
        <is>
          <t>California King</t>
        </is>
      </c>
      <c r="F1135" s="54" t="inlineStr">
        <is>
          <t>Cream</t>
        </is>
      </c>
      <c r="G1135" s="55" t="n">
        <v>24</v>
      </c>
      <c r="H1135" s="55" t="n">
        <v>0</v>
      </c>
      <c r="I1135" s="56" t="n"/>
      <c r="J1135" s="57" t="n">
        <v>0</v>
      </c>
      <c r="K1135" s="56" t="inlineStr">
        <is>
          <t>account data velocity</t>
        </is>
      </c>
      <c r="L1135" s="58" t="n">
        <v>1.6284</v>
      </c>
      <c r="M1135" s="56" t="inlineStr">
        <is>
          <t>own BFCM 2025 lift (account data)</t>
        </is>
      </c>
      <c r="N1135" s="59">
        <f>J1135*34+J1135*L1135*12</f>
        <v/>
      </c>
      <c r="O1135" s="59">
        <f>MAX(0,N1135-G1135-H1135)</f>
        <v/>
      </c>
      <c r="P1135" s="60">
        <f>IF(J1135=0,"",IF(G1135&lt;J1135*34,DATE(2026,10,15)+G1135/J1135,IF(G1135&lt;N1135,DATE(2026,11,18)+(G1135-J1135*34)/(J1135*L1135),"after Nov 30")))</f>
        <v/>
      </c>
      <c r="Q1135" s="60">
        <f>IF(J1135=0,"",IF(G1135+H1135&lt;J1135*34,DATE(2026,10,15)+(G1135+H1135)/J1135,IF(G1135+H1135&lt;N1135,DATE(2026,11,18)+(G1135+H1135-J1135*34)/(J1135*L1135),"after Nov 30")))</f>
        <v/>
      </c>
      <c r="R1135" s="54">
        <f>IF(AND(G1135&lt;=0,J1135&gt;0),"Out of stock now",IF(G1135&gt;=N1135,"Covered to Nov 30",IF(G1135+H1135&gt;=N1135,"Needs inbound in time","Short even with inbound")))</f>
        <v/>
      </c>
      <c r="S1135" s="57" t="n">
        <v>0</v>
      </c>
      <c r="T1135" s="59">
        <f>IF(S1135="","",S1135*34+S1135*L1135*12)</f>
        <v/>
      </c>
    </row>
    <row r="1136">
      <c r="A1136" s="54" t="inlineStr">
        <is>
          <t>US DC Cooling 4pc</t>
        </is>
      </c>
      <c r="B1136" s="54" t="inlineStr">
        <is>
          <t>US</t>
        </is>
      </c>
      <c r="C1136" s="54" t="inlineStr">
        <is>
          <t>B0C9LRJQCW</t>
        </is>
      </c>
      <c r="D1136" s="54" t="inlineStr">
        <is>
          <t>BM-QUEEN-CREAM</t>
        </is>
      </c>
      <c r="E1136" s="54" t="inlineStr">
        <is>
          <t>Queen</t>
        </is>
      </c>
      <c r="F1136" s="54" t="inlineStr">
        <is>
          <t>Cream-01</t>
        </is>
      </c>
      <c r="G1136" s="55" t="n">
        <v>37</v>
      </c>
      <c r="H1136" s="55" t="n">
        <v>0</v>
      </c>
      <c r="I1136" s="56" t="n"/>
      <c r="J1136" s="57" t="n">
        <v>0</v>
      </c>
      <c r="K1136" s="56" t="inlineStr">
        <is>
          <t>account data velocity</t>
        </is>
      </c>
      <c r="L1136" s="58" t="n">
        <v>1.6284</v>
      </c>
      <c r="M1136" s="56" t="inlineStr">
        <is>
          <t>own BFCM 2025 lift (account data)</t>
        </is>
      </c>
      <c r="N1136" s="59">
        <f>J1136*34+J1136*L1136*12</f>
        <v/>
      </c>
      <c r="O1136" s="59">
        <f>MAX(0,N1136-G1136-H1136)</f>
        <v/>
      </c>
      <c r="P1136" s="60">
        <f>IF(J1136=0,"",IF(G1136&lt;J1136*34,DATE(2026,10,15)+G1136/J1136,IF(G1136&lt;N1136,DATE(2026,11,18)+(G1136-J1136*34)/(J1136*L1136),"after Nov 30")))</f>
        <v/>
      </c>
      <c r="Q1136" s="60">
        <f>IF(J1136=0,"",IF(G1136+H1136&lt;J1136*34,DATE(2026,10,15)+(G1136+H1136)/J1136,IF(G1136+H1136&lt;N1136,DATE(2026,11,18)+(G1136+H1136-J1136*34)/(J1136*L1136),"after Nov 30")))</f>
        <v/>
      </c>
      <c r="R1136" s="54">
        <f>IF(AND(G1136&lt;=0,J1136&gt;0),"Out of stock now",IF(G1136&gt;=N1136,"Covered to Nov 30",IF(G1136+H1136&gt;=N1136,"Needs inbound in time","Short even with inbound")))</f>
        <v/>
      </c>
      <c r="S1136" s="57" t="n">
        <v>0</v>
      </c>
      <c r="T1136" s="59">
        <f>IF(S1136="","",S1136*34+S1136*L1136*12)</f>
        <v/>
      </c>
    </row>
    <row r="1137">
      <c r="A1137" s="54" t="inlineStr">
        <is>
          <t>US SL Cooling 4pc</t>
        </is>
      </c>
      <c r="B1137" s="54" t="inlineStr">
        <is>
          <t>US</t>
        </is>
      </c>
      <c r="C1137" s="54" t="inlineStr">
        <is>
          <t>B0F7LY3K8C</t>
        </is>
      </c>
      <c r="D1137" s="54" t="inlineStr">
        <is>
          <t>SL-COOLING-SHEET-QUEEN-GRAPHITE</t>
        </is>
      </c>
      <c r="E1137" s="54" t="inlineStr">
        <is>
          <t>Queen</t>
        </is>
      </c>
      <c r="F1137" s="54" t="inlineStr">
        <is>
          <t>Graphite</t>
        </is>
      </c>
      <c r="G1137" s="55" t="n">
        <v>456</v>
      </c>
      <c r="H1137" s="55" t="n">
        <v>0</v>
      </c>
      <c r="I1137" s="56" t="n"/>
      <c r="J1137" s="57" t="n">
        <v>2.29</v>
      </c>
      <c r="K1137" s="56" t="inlineStr">
        <is>
          <t>account data velocity</t>
        </is>
      </c>
      <c r="L1137" s="58" t="n">
        <v>1.1586</v>
      </c>
      <c r="M1137" s="56" t="inlineStr">
        <is>
          <t>own BFCM 2025 lift (account data)</t>
        </is>
      </c>
      <c r="N1137" s="59">
        <f>J1137*34+J1137*L1137*12</f>
        <v/>
      </c>
      <c r="O1137" s="59">
        <f>MAX(0,N1137-G1137-H1137)</f>
        <v/>
      </c>
      <c r="P1137" s="60">
        <f>IF(J1137=0,"",IF(G1137&lt;J1137*34,DATE(2026,10,15)+G1137/J1137,IF(G1137&lt;N1137,DATE(2026,11,18)+(G1137-J1137*34)/(J1137*L1137),"after Nov 30")))</f>
        <v/>
      </c>
      <c r="Q1137" s="60">
        <f>IF(J1137=0,"",IF(G1137+H1137&lt;J1137*34,DATE(2026,10,15)+(G1137+H1137)/J1137,IF(G1137+H1137&lt;N1137,DATE(2026,11,18)+(G1137+H1137-J1137*34)/(J1137*L1137),"after Nov 30")))</f>
        <v/>
      </c>
      <c r="R1137" s="54">
        <f>IF(AND(G1137&lt;=0,J1137&gt;0),"Out of stock now",IF(G1137&gt;=N1137,"Covered to Nov 30",IF(G1137+H1137&gt;=N1137,"Needs inbound in time","Short even with inbound")))</f>
        <v/>
      </c>
      <c r="S1137" s="57" t="n">
        <v>0.786</v>
      </c>
      <c r="T1137" s="59">
        <f>IF(S1137="","",S1137*34+S1137*L1137*12)</f>
        <v/>
      </c>
    </row>
    <row r="1138">
      <c r="A1138" s="54" t="inlineStr">
        <is>
          <t>US SL Cooling 4pc</t>
        </is>
      </c>
      <c r="B1138" s="54" t="inlineStr">
        <is>
          <t>US</t>
        </is>
      </c>
      <c r="C1138" s="54" t="inlineStr">
        <is>
          <t>B0F7LX5ZQN</t>
        </is>
      </c>
      <c r="D1138" s="54" t="inlineStr">
        <is>
          <t>SL-COOLING-SHEET-KING-WHITE</t>
        </is>
      </c>
      <c r="E1138" s="54" t="inlineStr">
        <is>
          <t>King</t>
        </is>
      </c>
      <c r="F1138" s="54" t="inlineStr">
        <is>
          <t>White</t>
        </is>
      </c>
      <c r="G1138" s="55" t="n">
        <v>747</v>
      </c>
      <c r="H1138" s="55" t="n">
        <v>0</v>
      </c>
      <c r="I1138" s="56" t="n"/>
      <c r="J1138" s="57" t="n">
        <v>2.22</v>
      </c>
      <c r="K1138" s="56" t="inlineStr">
        <is>
          <t>account data velocity</t>
        </is>
      </c>
      <c r="L1138" s="58" t="n">
        <v>1.1586</v>
      </c>
      <c r="M1138" s="56" t="inlineStr">
        <is>
          <t>own BFCM 2025 lift (account data)</t>
        </is>
      </c>
      <c r="N1138" s="59">
        <f>J1138*34+J1138*L1138*12</f>
        <v/>
      </c>
      <c r="O1138" s="59">
        <f>MAX(0,N1138-G1138-H1138)</f>
        <v/>
      </c>
      <c r="P1138" s="60">
        <f>IF(J1138=0,"",IF(G1138&lt;J1138*34,DATE(2026,10,15)+G1138/J1138,IF(G1138&lt;N1138,DATE(2026,11,18)+(G1138-J1138*34)/(J1138*L1138),"after Nov 30")))</f>
        <v/>
      </c>
      <c r="Q1138" s="60">
        <f>IF(J1138=0,"",IF(G1138+H1138&lt;J1138*34,DATE(2026,10,15)+(G1138+H1138)/J1138,IF(G1138+H1138&lt;N1138,DATE(2026,11,18)+(G1138+H1138-J1138*34)/(J1138*L1138),"after Nov 30")))</f>
        <v/>
      </c>
      <c r="R1138" s="54">
        <f>IF(AND(G1138&lt;=0,J1138&gt;0),"Out of stock now",IF(G1138&gt;=N1138,"Covered to Nov 30",IF(G1138+H1138&gt;=N1138,"Needs inbound in time","Short even with inbound")))</f>
        <v/>
      </c>
      <c r="S1138" s="57" t="n">
        <v>0.536</v>
      </c>
      <c r="T1138" s="59">
        <f>IF(S1138="","",S1138*34+S1138*L1138*12)</f>
        <v/>
      </c>
    </row>
    <row r="1139">
      <c r="A1139" s="54" t="inlineStr">
        <is>
          <t>US SL Cooling 4pc</t>
        </is>
      </c>
      <c r="B1139" s="54" t="inlineStr">
        <is>
          <t>US</t>
        </is>
      </c>
      <c r="C1139" s="54" t="inlineStr">
        <is>
          <t>B0F7LZQNHM</t>
        </is>
      </c>
      <c r="D1139" s="54" t="inlineStr">
        <is>
          <t>SL-COOLING-SHEET-KING-LIGHT-GREY</t>
        </is>
      </c>
      <c r="E1139" s="54" t="inlineStr">
        <is>
          <t>King</t>
        </is>
      </c>
      <c r="F1139" s="54" t="inlineStr">
        <is>
          <t>Light Grey</t>
        </is>
      </c>
      <c r="G1139" s="55" t="n">
        <v>65</v>
      </c>
      <c r="H1139" s="55" t="n">
        <v>126</v>
      </c>
      <c r="I1139" s="56" t="inlineStr">
        <is>
          <t>FBA19RS1HC4F shipped: 30; FBA19RRY6QFT shipped: 24; FBA19RS0N5K2 shipped: 12; FBA19RRYCGHJ shipped: 24; FBA19RRY5FBL shipped: 36</t>
        </is>
      </c>
      <c r="J1139" s="57" t="n">
        <v>1.54</v>
      </c>
      <c r="K1139" s="56" t="inlineStr">
        <is>
          <t>account data velocity</t>
        </is>
      </c>
      <c r="L1139" s="58" t="n">
        <v>1.1586</v>
      </c>
      <c r="M1139" s="56" t="inlineStr">
        <is>
          <t>own BFCM 2025 lift (account data)</t>
        </is>
      </c>
      <c r="N1139" s="59">
        <f>J1139*34+J1139*L1139*12</f>
        <v/>
      </c>
      <c r="O1139" s="59">
        <f>MAX(0,N1139-G1139-H1139)</f>
        <v/>
      </c>
      <c r="P1139" s="60">
        <f>IF(J1139=0,"",IF(G1139&lt;J1139*34,DATE(2026,10,15)+G1139/J1139,IF(G1139&lt;N1139,DATE(2026,11,18)+(G1139-J1139*34)/(J1139*L1139),"after Nov 30")))</f>
        <v/>
      </c>
      <c r="Q1139" s="60">
        <f>IF(J1139=0,"",IF(G1139+H1139&lt;J1139*34,DATE(2026,10,15)+(G1139+H1139)/J1139,IF(G1139+H1139&lt;N1139,DATE(2026,11,18)+(G1139+H1139-J1139*34)/(J1139*L1139),"after Nov 30")))</f>
        <v/>
      </c>
      <c r="R1139" s="54">
        <f>IF(AND(G1139&lt;=0,J1139&gt;0),"Out of stock now",IF(G1139&gt;=N1139,"Covered to Nov 30",IF(G1139+H1139&gt;=N1139,"Needs inbound in time","Short even with inbound")))</f>
        <v/>
      </c>
      <c r="S1139" s="57" t="n">
        <v>0.679</v>
      </c>
      <c r="T1139" s="59">
        <f>IF(S1139="","",S1139*34+S1139*L1139*12)</f>
        <v/>
      </c>
    </row>
    <row r="1140">
      <c r="A1140" s="54" t="inlineStr">
        <is>
          <t>US SL Cooling 4pc</t>
        </is>
      </c>
      <c r="B1140" s="54" t="inlineStr">
        <is>
          <t>US</t>
        </is>
      </c>
      <c r="C1140" s="54" t="inlineStr">
        <is>
          <t>B0F7LW9GQN</t>
        </is>
      </c>
      <c r="D1140" s="54" t="inlineStr">
        <is>
          <t>SL-COOLING-SHEET-QUEEN-WHITE</t>
        </is>
      </c>
      <c r="E1140" s="54" t="inlineStr">
        <is>
          <t>Queen</t>
        </is>
      </c>
      <c r="F1140" s="54" t="inlineStr">
        <is>
          <t>White</t>
        </is>
      </c>
      <c r="G1140" s="55" t="n">
        <v>61</v>
      </c>
      <c r="H1140" s="55" t="n">
        <v>150</v>
      </c>
      <c r="I1140" s="56" t="inlineStr">
        <is>
          <t>FBA19RS1HC4F shipped: 24; FBA19RRY6QFT shipped: 30; FBA19RS0N5K2 shipped: 18; FBA19RRYCGHJ shipped: 48; FBA19RRY5FBL shipped: 30</t>
        </is>
      </c>
      <c r="J1140" s="57" t="n">
        <v>1.34</v>
      </c>
      <c r="K1140" s="56" t="inlineStr">
        <is>
          <t>account data velocity</t>
        </is>
      </c>
      <c r="L1140" s="58" t="n">
        <v>1.1586</v>
      </c>
      <c r="M1140" s="56" t="inlineStr">
        <is>
          <t>own BFCM 2025 lift (account data)</t>
        </is>
      </c>
      <c r="N1140" s="59">
        <f>J1140*34+J1140*L1140*12</f>
        <v/>
      </c>
      <c r="O1140" s="59">
        <f>MAX(0,N1140-G1140-H1140)</f>
        <v/>
      </c>
      <c r="P1140" s="60">
        <f>IF(J1140=0,"",IF(G1140&lt;J1140*34,DATE(2026,10,15)+G1140/J1140,IF(G1140&lt;N1140,DATE(2026,11,18)+(G1140-J1140*34)/(J1140*L1140),"after Nov 30")))</f>
        <v/>
      </c>
      <c r="Q1140" s="60">
        <f>IF(J1140=0,"",IF(G1140+H1140&lt;J1140*34,DATE(2026,10,15)+(G1140+H1140)/J1140,IF(G1140+H1140&lt;N1140,DATE(2026,11,18)+(G1140+H1140-J1140*34)/(J1140*L1140),"after Nov 30")))</f>
        <v/>
      </c>
      <c r="R1140" s="54">
        <f>IF(AND(G1140&lt;=0,J1140&gt;0),"Out of stock now",IF(G1140&gt;=N1140,"Covered to Nov 30",IF(G1140+H1140&gt;=N1140,"Needs inbound in time","Short even with inbound")))</f>
        <v/>
      </c>
      <c r="S1140" s="57" t="n">
        <v>0.179</v>
      </c>
      <c r="T1140" s="59">
        <f>IF(S1140="","",S1140*34+S1140*L1140*12)</f>
        <v/>
      </c>
    </row>
    <row r="1141">
      <c r="A1141" s="54" t="inlineStr">
        <is>
          <t>US SL Cooling 4pc</t>
        </is>
      </c>
      <c r="B1141" s="54" t="inlineStr">
        <is>
          <t>US</t>
        </is>
      </c>
      <c r="C1141" s="54" t="inlineStr">
        <is>
          <t>B0F7LZR5DF</t>
        </is>
      </c>
      <c r="D1141" s="54" t="inlineStr">
        <is>
          <t>SL-COOLING-SHEET-QUEEN-LIGHT-BLUE</t>
        </is>
      </c>
      <c r="E1141" s="54" t="inlineStr">
        <is>
          <t>Queen</t>
        </is>
      </c>
      <c r="F1141" s="54" t="inlineStr">
        <is>
          <t>Light Blue</t>
        </is>
      </c>
      <c r="G1141" s="55" t="n">
        <v>125</v>
      </c>
      <c r="H1141" s="55" t="n">
        <v>96</v>
      </c>
      <c r="I1141" s="56" t="inlineStr">
        <is>
          <t>FBA19RS1HC4F shipped: 18; FBA19RRY6QFT shipped: 18; FBA19RS0N5K2 shipped: 6; FBA19RRYCGHJ shipped: 30; FBA19RRY5FBL shipped: 24</t>
        </is>
      </c>
      <c r="J1141" s="57" t="n">
        <v>1.24</v>
      </c>
      <c r="K1141" s="56" t="inlineStr">
        <is>
          <t>account data velocity</t>
        </is>
      </c>
      <c r="L1141" s="58" t="n">
        <v>1.1586</v>
      </c>
      <c r="M1141" s="56" t="inlineStr">
        <is>
          <t>own BFCM 2025 lift (account data)</t>
        </is>
      </c>
      <c r="N1141" s="59">
        <f>J1141*34+J1141*L1141*12</f>
        <v/>
      </c>
      <c r="O1141" s="59">
        <f>MAX(0,N1141-G1141-H1141)</f>
        <v/>
      </c>
      <c r="P1141" s="60">
        <f>IF(J1141=0,"",IF(G1141&lt;J1141*34,DATE(2026,10,15)+G1141/J1141,IF(G1141&lt;N1141,DATE(2026,11,18)+(G1141-J1141*34)/(J1141*L1141),"after Nov 30")))</f>
        <v/>
      </c>
      <c r="Q1141" s="60">
        <f>IF(J1141=0,"",IF(G1141+H1141&lt;J1141*34,DATE(2026,10,15)+(G1141+H1141)/J1141,IF(G1141+H1141&lt;N1141,DATE(2026,11,18)+(G1141+H1141-J1141*34)/(J1141*L1141),"after Nov 30")))</f>
        <v/>
      </c>
      <c r="R1141" s="54">
        <f>IF(AND(G1141&lt;=0,J1141&gt;0),"Out of stock now",IF(G1141&gt;=N1141,"Covered to Nov 30",IF(G1141+H1141&gt;=N1141,"Needs inbound in time","Short even with inbound")))</f>
        <v/>
      </c>
      <c r="S1141" s="57" t="n">
        <v>0.286</v>
      </c>
      <c r="T1141" s="59">
        <f>IF(S1141="","",S1141*34+S1141*L1141*12)</f>
        <v/>
      </c>
    </row>
    <row r="1142">
      <c r="A1142" s="54" t="inlineStr">
        <is>
          <t>US SL Cooling 4pc</t>
        </is>
      </c>
      <c r="B1142" s="54" t="inlineStr">
        <is>
          <t>US</t>
        </is>
      </c>
      <c r="C1142" s="54" t="inlineStr">
        <is>
          <t>B0F7LXS4FK</t>
        </is>
      </c>
      <c r="D1142" s="54" t="inlineStr">
        <is>
          <t>SL-COOLING-SHEET-KING-CREAM</t>
        </is>
      </c>
      <c r="E1142" s="54" t="inlineStr">
        <is>
          <t>King</t>
        </is>
      </c>
      <c r="F1142" s="54" t="inlineStr">
        <is>
          <t>Cream</t>
        </is>
      </c>
      <c r="G1142" s="55" t="n">
        <v>45</v>
      </c>
      <c r="H1142" s="55" t="n">
        <v>126</v>
      </c>
      <c r="I1142" s="56" t="inlineStr">
        <is>
          <t>FBA19RS1HC4F shipped: 30; FBA19RRY6QFT shipped: 12; FBA19RS0N5K2 shipped: 6; FBA19RRYCGHJ shipped: 54; FBA19RRY5FBL shipped: 24</t>
        </is>
      </c>
      <c r="J1142" s="57" t="n">
        <v>0.97</v>
      </c>
      <c r="K1142" s="56" t="inlineStr">
        <is>
          <t>account data velocity</t>
        </is>
      </c>
      <c r="L1142" s="58" t="n">
        <v>1.1586</v>
      </c>
      <c r="M1142" s="56" t="inlineStr">
        <is>
          <t>own BFCM 2025 lift (account data)</t>
        </is>
      </c>
      <c r="N1142" s="59">
        <f>J1142*34+J1142*L1142*12</f>
        <v/>
      </c>
      <c r="O1142" s="59">
        <f>MAX(0,N1142-G1142-H1142)</f>
        <v/>
      </c>
      <c r="P1142" s="60">
        <f>IF(J1142=0,"",IF(G1142&lt;J1142*34,DATE(2026,10,15)+G1142/J1142,IF(G1142&lt;N1142,DATE(2026,11,18)+(G1142-J1142*34)/(J1142*L1142),"after Nov 30")))</f>
        <v/>
      </c>
      <c r="Q1142" s="60">
        <f>IF(J1142=0,"",IF(G1142+H1142&lt;J1142*34,DATE(2026,10,15)+(G1142+H1142)/J1142,IF(G1142+H1142&lt;N1142,DATE(2026,11,18)+(G1142+H1142-J1142*34)/(J1142*L1142),"after Nov 30")))</f>
        <v/>
      </c>
      <c r="R1142" s="54">
        <f>IF(AND(G1142&lt;=0,J1142&gt;0),"Out of stock now",IF(G1142&gt;=N1142,"Covered to Nov 30",IF(G1142+H1142&gt;=N1142,"Needs inbound in time","Short even with inbound")))</f>
        <v/>
      </c>
      <c r="S1142" s="57" t="n">
        <v>0.571</v>
      </c>
      <c r="T1142" s="59">
        <f>IF(S1142="","",S1142*34+S1142*L1142*12)</f>
        <v/>
      </c>
    </row>
    <row r="1143">
      <c r="A1143" s="54" t="inlineStr">
        <is>
          <t>US SL Cooling 4pc</t>
        </is>
      </c>
      <c r="B1143" s="54" t="inlineStr">
        <is>
          <t>US</t>
        </is>
      </c>
      <c r="C1143" s="54" t="inlineStr">
        <is>
          <t>B0F7LYFZ5Y</t>
        </is>
      </c>
      <c r="D1143" s="54" t="inlineStr">
        <is>
          <t>SL-COOLING-SHEET-FULL-WHITE</t>
        </is>
      </c>
      <c r="E1143" s="54" t="inlineStr">
        <is>
          <t>Full</t>
        </is>
      </c>
      <c r="F1143" s="54" t="inlineStr">
        <is>
          <t>White</t>
        </is>
      </c>
      <c r="G1143" s="55" t="n">
        <v>1</v>
      </c>
      <c r="H1143" s="55" t="n">
        <v>36</v>
      </c>
      <c r="I1143" s="56" t="inlineStr">
        <is>
          <t>FBA19RS1HC4F shipped: 6; FBA19RRY6QFT shipped: 12; FBA19RS0N5K2 shipped: 6; FBA19RRYCGHJ shipped: 6; FBA19RRY5FBL shipped: 6</t>
        </is>
      </c>
      <c r="J1143" s="57" t="n">
        <v>0.97</v>
      </c>
      <c r="K1143" s="56" t="inlineStr">
        <is>
          <t>account data velocity</t>
        </is>
      </c>
      <c r="L1143" s="58" t="n">
        <v>1.1586</v>
      </c>
      <c r="M1143" s="56" t="inlineStr">
        <is>
          <t>own BFCM 2025 lift (account data)</t>
        </is>
      </c>
      <c r="N1143" s="59">
        <f>J1143*34+J1143*L1143*12</f>
        <v/>
      </c>
      <c r="O1143" s="59">
        <f>MAX(0,N1143-G1143-H1143)</f>
        <v/>
      </c>
      <c r="P1143" s="60">
        <f>IF(J1143=0,"",IF(G1143&lt;J1143*34,DATE(2026,10,15)+G1143/J1143,IF(G1143&lt;N1143,DATE(2026,11,18)+(G1143-J1143*34)/(J1143*L1143),"after Nov 30")))</f>
        <v/>
      </c>
      <c r="Q1143" s="60">
        <f>IF(J1143=0,"",IF(G1143+H1143&lt;J1143*34,DATE(2026,10,15)+(G1143+H1143)/J1143,IF(G1143+H1143&lt;N1143,DATE(2026,11,18)+(G1143+H1143-J1143*34)/(J1143*L1143),"after Nov 30")))</f>
        <v/>
      </c>
      <c r="R1143" s="54">
        <f>IF(AND(G1143&lt;=0,J1143&gt;0),"Out of stock now",IF(G1143&gt;=N1143,"Covered to Nov 30",IF(G1143+H1143&gt;=N1143,"Needs inbound in time","Short even with inbound")))</f>
        <v/>
      </c>
      <c r="S1143" s="57" t="n">
        <v>0.179</v>
      </c>
      <c r="T1143" s="59">
        <f>IF(S1143="","",S1143*34+S1143*L1143*12)</f>
        <v/>
      </c>
    </row>
    <row r="1144">
      <c r="A1144" s="54" t="inlineStr">
        <is>
          <t>US SL Cooling 4pc</t>
        </is>
      </c>
      <c r="B1144" s="54" t="inlineStr">
        <is>
          <t>US</t>
        </is>
      </c>
      <c r="C1144" s="54" t="inlineStr">
        <is>
          <t>B0F7LYCX4N</t>
        </is>
      </c>
      <c r="D1144" s="54" t="inlineStr">
        <is>
          <t>SL-COOLING-SHEET-KING-LIGHT-BLUE</t>
        </is>
      </c>
      <c r="E1144" s="54" t="inlineStr">
        <is>
          <t>King</t>
        </is>
      </c>
      <c r="F1144" s="54" t="inlineStr">
        <is>
          <t>Light Blue</t>
        </is>
      </c>
      <c r="G1144" s="55" t="n">
        <v>57</v>
      </c>
      <c r="H1144" s="55" t="n">
        <v>0</v>
      </c>
      <c r="I1144" s="56" t="n"/>
      <c r="J1144" s="57" t="n">
        <v>0.9</v>
      </c>
      <c r="K1144" s="56" t="inlineStr">
        <is>
          <t>account data velocity</t>
        </is>
      </c>
      <c r="L1144" s="58" t="n">
        <v>1.1586</v>
      </c>
      <c r="M1144" s="56" t="inlineStr">
        <is>
          <t>own BFCM 2025 lift (account data)</t>
        </is>
      </c>
      <c r="N1144" s="59">
        <f>J1144*34+J1144*L1144*12</f>
        <v/>
      </c>
      <c r="O1144" s="59">
        <f>MAX(0,N1144-G1144-H1144)</f>
        <v/>
      </c>
      <c r="P1144" s="60">
        <f>IF(J1144=0,"",IF(G1144&lt;J1144*34,DATE(2026,10,15)+G1144/J1144,IF(G1144&lt;N1144,DATE(2026,11,18)+(G1144-J1144*34)/(J1144*L1144),"after Nov 30")))</f>
        <v/>
      </c>
      <c r="Q1144" s="60">
        <f>IF(J1144=0,"",IF(G1144+H1144&lt;J1144*34,DATE(2026,10,15)+(G1144+H1144)/J1144,IF(G1144+H1144&lt;N1144,DATE(2026,11,18)+(G1144+H1144-J1144*34)/(J1144*L1144),"after Nov 30")))</f>
        <v/>
      </c>
      <c r="R1144" s="54">
        <f>IF(AND(G1144&lt;=0,J1144&gt;0),"Out of stock now",IF(G1144&gt;=N1144,"Covered to Nov 30",IF(G1144+H1144&gt;=N1144,"Needs inbound in time","Short even with inbound")))</f>
        <v/>
      </c>
      <c r="S1144" s="57" t="n">
        <v>0.643</v>
      </c>
      <c r="T1144" s="59">
        <f>IF(S1144="","",S1144*34+S1144*L1144*12)</f>
        <v/>
      </c>
    </row>
    <row r="1145">
      <c r="A1145" s="54" t="inlineStr">
        <is>
          <t>US SL Cooling 4pc</t>
        </is>
      </c>
      <c r="B1145" s="54" t="inlineStr">
        <is>
          <t>US</t>
        </is>
      </c>
      <c r="C1145" s="54" t="inlineStr">
        <is>
          <t>B0F7LX6W9T</t>
        </is>
      </c>
      <c r="D1145" s="54" t="inlineStr">
        <is>
          <t>SL-COOLING-SHEET-QUEEN-BEIGE</t>
        </is>
      </c>
      <c r="E1145" s="54" t="inlineStr">
        <is>
          <t>Queen</t>
        </is>
      </c>
      <c r="F1145" s="54" t="inlineStr">
        <is>
          <t>Beige</t>
        </is>
      </c>
      <c r="G1145" s="55" t="n">
        <v>163</v>
      </c>
      <c r="H1145" s="55" t="n">
        <v>42</v>
      </c>
      <c r="I1145" s="56" t="inlineStr">
        <is>
          <t>FBA19RS1HC4F shipped: 6; FBA19RRY6QFT shipped: 6; FBA19RS0N5K2 shipped: 6; FBA19RRYCGHJ shipped: 12; FBA19RRY5FBL shipped: 12</t>
        </is>
      </c>
      <c r="J1145" s="57" t="n">
        <v>0.77</v>
      </c>
      <c r="K1145" s="56" t="inlineStr">
        <is>
          <t>account data velocity</t>
        </is>
      </c>
      <c r="L1145" s="58" t="n">
        <v>1.1586</v>
      </c>
      <c r="M1145" s="56" t="inlineStr">
        <is>
          <t>own BFCM 2025 lift (account data)</t>
        </is>
      </c>
      <c r="N1145" s="59">
        <f>J1145*34+J1145*L1145*12</f>
        <v/>
      </c>
      <c r="O1145" s="59">
        <f>MAX(0,N1145-G1145-H1145)</f>
        <v/>
      </c>
      <c r="P1145" s="60">
        <f>IF(J1145=0,"",IF(G1145&lt;J1145*34,DATE(2026,10,15)+G1145/J1145,IF(G1145&lt;N1145,DATE(2026,11,18)+(G1145-J1145*34)/(J1145*L1145),"after Nov 30")))</f>
        <v/>
      </c>
      <c r="Q1145" s="60">
        <f>IF(J1145=0,"",IF(G1145+H1145&lt;J1145*34,DATE(2026,10,15)+(G1145+H1145)/J1145,IF(G1145+H1145&lt;N1145,DATE(2026,11,18)+(G1145+H1145-J1145*34)/(J1145*L1145),"after Nov 30")))</f>
        <v/>
      </c>
      <c r="R1145" s="54">
        <f>IF(AND(G1145&lt;=0,J1145&gt;0),"Out of stock now",IF(G1145&gt;=N1145,"Covered to Nov 30",IF(G1145+H1145&gt;=N1145,"Needs inbound in time","Short even with inbound")))</f>
        <v/>
      </c>
      <c r="S1145" s="57" t="n">
        <v>0.25</v>
      </c>
      <c r="T1145" s="59">
        <f>IF(S1145="","",S1145*34+S1145*L1145*12)</f>
        <v/>
      </c>
    </row>
    <row r="1146">
      <c r="A1146" s="54" t="inlineStr">
        <is>
          <t>US SL Cooling 4pc</t>
        </is>
      </c>
      <c r="B1146" s="54" t="inlineStr">
        <is>
          <t>US</t>
        </is>
      </c>
      <c r="C1146" s="54" t="inlineStr">
        <is>
          <t>B0F7LWK826</t>
        </is>
      </c>
      <c r="D1146" s="54" t="inlineStr">
        <is>
          <t>SL-COOLING-SHEET-QUEEN-CREAM</t>
        </is>
      </c>
      <c r="E1146" s="54" t="inlineStr">
        <is>
          <t>Queen</t>
        </is>
      </c>
      <c r="F1146" s="54" t="inlineStr">
        <is>
          <t>Cream</t>
        </is>
      </c>
      <c r="G1146" s="55" t="n">
        <v>59</v>
      </c>
      <c r="H1146" s="55" t="n">
        <v>42</v>
      </c>
      <c r="I1146" s="56" t="inlineStr">
        <is>
          <t>FBA19STZ9LHZ ready to ship: 6; FBA19STRJMC3 ready to ship: 12; FBA19SV47PX1 ready to ship: 12; FBA19SV1CLVT ready to ship: 6; FBA19STYQSF4 ready to ship: 6</t>
        </is>
      </c>
      <c r="J1146" s="57" t="n">
        <v>0.74</v>
      </c>
      <c r="K1146" s="56" t="inlineStr">
        <is>
          <t>account data velocity</t>
        </is>
      </c>
      <c r="L1146" s="58" t="n">
        <v>1.1586</v>
      </c>
      <c r="M1146" s="56" t="inlineStr">
        <is>
          <t>own BFCM 2025 lift (account data)</t>
        </is>
      </c>
      <c r="N1146" s="59">
        <f>J1146*34+J1146*L1146*12</f>
        <v/>
      </c>
      <c r="O1146" s="59">
        <f>MAX(0,N1146-G1146-H1146)</f>
        <v/>
      </c>
      <c r="P1146" s="60">
        <f>IF(J1146=0,"",IF(G1146&lt;J1146*34,DATE(2026,10,15)+G1146/J1146,IF(G1146&lt;N1146,DATE(2026,11,18)+(G1146-J1146*34)/(J1146*L1146),"after Nov 30")))</f>
        <v/>
      </c>
      <c r="Q1146" s="60">
        <f>IF(J1146=0,"",IF(G1146+H1146&lt;J1146*34,DATE(2026,10,15)+(G1146+H1146)/J1146,IF(G1146+H1146&lt;N1146,DATE(2026,11,18)+(G1146+H1146-J1146*34)/(J1146*L1146),"after Nov 30")))</f>
        <v/>
      </c>
      <c r="R1146" s="54">
        <f>IF(AND(G1146&lt;=0,J1146&gt;0),"Out of stock now",IF(G1146&gt;=N1146,"Covered to Nov 30",IF(G1146+H1146&gt;=N1146,"Needs inbound in time","Short even with inbound")))</f>
        <v/>
      </c>
      <c r="S1146" s="57" t="n">
        <v>0.25</v>
      </c>
      <c r="T1146" s="59">
        <f>IF(S1146="","",S1146*34+S1146*L1146*12)</f>
        <v/>
      </c>
    </row>
    <row r="1147">
      <c r="A1147" s="54" t="inlineStr">
        <is>
          <t>US SL Cooling 4pc</t>
        </is>
      </c>
      <c r="B1147" s="54" t="inlineStr">
        <is>
          <t>US</t>
        </is>
      </c>
      <c r="C1147" s="54" t="inlineStr">
        <is>
          <t>B0F7LYNN5W</t>
        </is>
      </c>
      <c r="D1147" s="54" t="inlineStr">
        <is>
          <t>SL-COOLING-SHEET-QUEEN-NAVY-BLUE</t>
        </is>
      </c>
      <c r="E1147" s="54" t="inlineStr">
        <is>
          <t>Queen</t>
        </is>
      </c>
      <c r="F1147" s="54" t="inlineStr">
        <is>
          <t>Navy Blue</t>
        </is>
      </c>
      <c r="G1147" s="55" t="n">
        <v>403</v>
      </c>
      <c r="H1147" s="55" t="n">
        <v>0</v>
      </c>
      <c r="I1147" s="56" t="n"/>
      <c r="J1147" s="57" t="n">
        <v>0.72</v>
      </c>
      <c r="K1147" s="56" t="inlineStr">
        <is>
          <t>account data velocity</t>
        </is>
      </c>
      <c r="L1147" s="58" t="n">
        <v>1.1586</v>
      </c>
      <c r="M1147" s="56" t="inlineStr">
        <is>
          <t>own BFCM 2025 lift (account data)</t>
        </is>
      </c>
      <c r="N1147" s="59">
        <f>J1147*34+J1147*L1147*12</f>
        <v/>
      </c>
      <c r="O1147" s="59">
        <f>MAX(0,N1147-G1147-H1147)</f>
        <v/>
      </c>
      <c r="P1147" s="60">
        <f>IF(J1147=0,"",IF(G1147&lt;J1147*34,DATE(2026,10,15)+G1147/J1147,IF(G1147&lt;N1147,DATE(2026,11,18)+(G1147-J1147*34)/(J1147*L1147),"after Nov 30")))</f>
        <v/>
      </c>
      <c r="Q1147" s="60">
        <f>IF(J1147=0,"",IF(G1147+H1147&lt;J1147*34,DATE(2026,10,15)+(G1147+H1147)/J1147,IF(G1147+H1147&lt;N1147,DATE(2026,11,18)+(G1147+H1147-J1147*34)/(J1147*L1147),"after Nov 30")))</f>
        <v/>
      </c>
      <c r="R1147" s="54">
        <f>IF(AND(G1147&lt;=0,J1147&gt;0),"Out of stock now",IF(G1147&gt;=N1147,"Covered to Nov 30",IF(G1147+H1147&gt;=N1147,"Needs inbound in time","Short even with inbound")))</f>
        <v/>
      </c>
      <c r="S1147" s="57" t="n">
        <v>0.286</v>
      </c>
      <c r="T1147" s="59">
        <f>IF(S1147="","",S1147*34+S1147*L1147*12)</f>
        <v/>
      </c>
    </row>
    <row r="1148">
      <c r="A1148" s="54" t="inlineStr">
        <is>
          <t>US SL Cooling 4pc</t>
        </is>
      </c>
      <c r="B1148" s="54" t="inlineStr">
        <is>
          <t>US</t>
        </is>
      </c>
      <c r="C1148" s="54" t="inlineStr">
        <is>
          <t>B0F7LY4DSG</t>
        </is>
      </c>
      <c r="D1148" s="54" t="inlineStr">
        <is>
          <t>SL-COOLING-SHEET-QUEEN-REGAL-PURPLE</t>
        </is>
      </c>
      <c r="E1148" s="54" t="inlineStr">
        <is>
          <t>Queen</t>
        </is>
      </c>
      <c r="F1148" s="54" t="inlineStr">
        <is>
          <t>Regal Purple</t>
        </is>
      </c>
      <c r="G1148" s="55" t="n">
        <v>78</v>
      </c>
      <c r="H1148" s="55" t="n">
        <v>96</v>
      </c>
      <c r="I1148" s="56" t="inlineStr">
        <is>
          <t>FBA19STZ9LHZ ready to ship: 12; FBA19STRJMC3 ready to ship: 12; FBA19SV47PX1 ready to ship: 12; FBA19SV1CLVT ready to ship: 6; FBA19STYQSF4 ready to ship: 6; FBA19RS1HC4F shipped: 6; FBA19RRY6QFT shipped: 12; FBA19RS0N5K2 shipped: 6; FBA19RRYCGHJ shipped: 12; FBA19RRY5FBL shipped: 12</t>
        </is>
      </c>
      <c r="J1148" s="57" t="n">
        <v>0.6899999999999999</v>
      </c>
      <c r="K1148" s="56" t="inlineStr">
        <is>
          <t>account data velocity</t>
        </is>
      </c>
      <c r="L1148" s="58" t="n">
        <v>1.1586</v>
      </c>
      <c r="M1148" s="56" t="inlineStr">
        <is>
          <t>own BFCM 2025 lift (account data)</t>
        </is>
      </c>
      <c r="N1148" s="59">
        <f>J1148*34+J1148*L1148*12</f>
        <v/>
      </c>
      <c r="O1148" s="59">
        <f>MAX(0,N1148-G1148-H1148)</f>
        <v/>
      </c>
      <c r="P1148" s="60">
        <f>IF(J1148=0,"",IF(G1148&lt;J1148*34,DATE(2026,10,15)+G1148/J1148,IF(G1148&lt;N1148,DATE(2026,11,18)+(G1148-J1148*34)/(J1148*L1148),"after Nov 30")))</f>
        <v/>
      </c>
      <c r="Q1148" s="60">
        <f>IF(J1148=0,"",IF(G1148+H1148&lt;J1148*34,DATE(2026,10,15)+(G1148+H1148)/J1148,IF(G1148+H1148&lt;N1148,DATE(2026,11,18)+(G1148+H1148-J1148*34)/(J1148*L1148),"after Nov 30")))</f>
        <v/>
      </c>
      <c r="R1148" s="54">
        <f>IF(AND(G1148&lt;=0,J1148&gt;0),"Out of stock now",IF(G1148&gt;=N1148,"Covered to Nov 30",IF(G1148+H1148&gt;=N1148,"Needs inbound in time","Short even with inbound")))</f>
        <v/>
      </c>
      <c r="S1148" s="57" t="n">
        <v>0.464</v>
      </c>
      <c r="T1148" s="59">
        <f>IF(S1148="","",S1148*34+S1148*L1148*12)</f>
        <v/>
      </c>
    </row>
    <row r="1149">
      <c r="A1149" s="54" t="inlineStr">
        <is>
          <t>US SL Cooling 4pc</t>
        </is>
      </c>
      <c r="B1149" s="54" t="inlineStr">
        <is>
          <t>US</t>
        </is>
      </c>
      <c r="C1149" s="54" t="inlineStr">
        <is>
          <t>B0F7LXB26C</t>
        </is>
      </c>
      <c r="D1149" s="54" t="inlineStr">
        <is>
          <t>SL-COOLING-SHEET-FULL-COOL-GREY</t>
        </is>
      </c>
      <c r="E1149" s="54" t="inlineStr">
        <is>
          <t>Full</t>
        </is>
      </c>
      <c r="F1149" s="54" t="inlineStr">
        <is>
          <t>Cool Grey</t>
        </is>
      </c>
      <c r="G1149" s="55" t="n">
        <v>74</v>
      </c>
      <c r="H1149" s="55" t="n">
        <v>0</v>
      </c>
      <c r="I1149" s="56" t="n"/>
      <c r="J1149" s="57" t="n">
        <v>0.68</v>
      </c>
      <c r="K1149" s="56" t="inlineStr">
        <is>
          <t>account data velocity</t>
        </is>
      </c>
      <c r="L1149" s="58" t="n">
        <v>1.1586</v>
      </c>
      <c r="M1149" s="56" t="inlineStr">
        <is>
          <t>own BFCM 2025 lift (account data)</t>
        </is>
      </c>
      <c r="N1149" s="59">
        <f>J1149*34+J1149*L1149*12</f>
        <v/>
      </c>
      <c r="O1149" s="59">
        <f>MAX(0,N1149-G1149-H1149)</f>
        <v/>
      </c>
      <c r="P1149" s="60">
        <f>IF(J1149=0,"",IF(G1149&lt;J1149*34,DATE(2026,10,15)+G1149/J1149,IF(G1149&lt;N1149,DATE(2026,11,18)+(G1149-J1149*34)/(J1149*L1149),"after Nov 30")))</f>
        <v/>
      </c>
      <c r="Q1149" s="60">
        <f>IF(J1149=0,"",IF(G1149+H1149&lt;J1149*34,DATE(2026,10,15)+(G1149+H1149)/J1149,IF(G1149+H1149&lt;N1149,DATE(2026,11,18)+(G1149+H1149-J1149*34)/(J1149*L1149),"after Nov 30")))</f>
        <v/>
      </c>
      <c r="R1149" s="54">
        <f>IF(AND(G1149&lt;=0,J1149&gt;0),"Out of stock now",IF(G1149&gt;=N1149,"Covered to Nov 30",IF(G1149+H1149&gt;=N1149,"Needs inbound in time","Short even with inbound")))</f>
        <v/>
      </c>
      <c r="S1149" s="57" t="n">
        <v>0.179</v>
      </c>
      <c r="T1149" s="59">
        <f>IF(S1149="","",S1149*34+S1149*L1149*12)</f>
        <v/>
      </c>
    </row>
    <row r="1150">
      <c r="A1150" s="54" t="inlineStr">
        <is>
          <t>US SL Cooling 4pc</t>
        </is>
      </c>
      <c r="B1150" s="54" t="inlineStr">
        <is>
          <t>US</t>
        </is>
      </c>
      <c r="C1150" s="54" t="inlineStr">
        <is>
          <t>B0F7LXWBL8</t>
        </is>
      </c>
      <c r="D1150" s="54" t="inlineStr">
        <is>
          <t>SL-COOLING-SHEET-TWIN-COOL-GREY</t>
        </is>
      </c>
      <c r="E1150" s="54" t="inlineStr">
        <is>
          <t>Twin</t>
        </is>
      </c>
      <c r="F1150" s="54" t="inlineStr">
        <is>
          <t>Cool Grey</t>
        </is>
      </c>
      <c r="G1150" s="55" t="n">
        <v>10</v>
      </c>
      <c r="H1150" s="55" t="n">
        <v>42</v>
      </c>
      <c r="I1150" s="56" t="inlineStr">
        <is>
          <t>FBA19RS1HC4F shipped: 6; FBA19RRY6QFT shipped: 6; FBA19RRYCGHJ shipped: 24; FBA19RRY5FBL shipped: 6</t>
        </is>
      </c>
      <c r="J1150" s="57" t="n">
        <v>0.58</v>
      </c>
      <c r="K1150" s="56" t="inlineStr">
        <is>
          <t>account data velocity</t>
        </is>
      </c>
      <c r="L1150" s="58" t="n">
        <v>1.1586</v>
      </c>
      <c r="M1150" s="56" t="inlineStr">
        <is>
          <t>own BFCM 2025 lift (account data)</t>
        </is>
      </c>
      <c r="N1150" s="59">
        <f>J1150*34+J1150*L1150*12</f>
        <v/>
      </c>
      <c r="O1150" s="59">
        <f>MAX(0,N1150-G1150-H1150)</f>
        <v/>
      </c>
      <c r="P1150" s="60">
        <f>IF(J1150=0,"",IF(G1150&lt;J1150*34,DATE(2026,10,15)+G1150/J1150,IF(G1150&lt;N1150,DATE(2026,11,18)+(G1150-J1150*34)/(J1150*L1150),"after Nov 30")))</f>
        <v/>
      </c>
      <c r="Q1150" s="60">
        <f>IF(J1150=0,"",IF(G1150+H1150&lt;J1150*34,DATE(2026,10,15)+(G1150+H1150)/J1150,IF(G1150+H1150&lt;N1150,DATE(2026,11,18)+(G1150+H1150-J1150*34)/(J1150*L1150),"after Nov 30")))</f>
        <v/>
      </c>
      <c r="R1150" s="54">
        <f>IF(AND(G1150&lt;=0,J1150&gt;0),"Out of stock now",IF(G1150&gt;=N1150,"Covered to Nov 30",IF(G1150+H1150&gt;=N1150,"Needs inbound in time","Short even with inbound")))</f>
        <v/>
      </c>
      <c r="S1150" s="57" t="n">
        <v>0.214</v>
      </c>
      <c r="T1150" s="59">
        <f>IF(S1150="","",S1150*34+S1150*L1150*12)</f>
        <v/>
      </c>
    </row>
    <row r="1151">
      <c r="A1151" s="54" t="inlineStr">
        <is>
          <t>US SL Cooling 4pc</t>
        </is>
      </c>
      <c r="B1151" s="54" t="inlineStr">
        <is>
          <t>US</t>
        </is>
      </c>
      <c r="C1151" s="54" t="inlineStr">
        <is>
          <t>B0F7LYTDD7</t>
        </is>
      </c>
      <c r="D1151" s="54" t="inlineStr">
        <is>
          <t>SL-COOLING-SHEET-QUEEN-LIGHT-GREY</t>
        </is>
      </c>
      <c r="E1151" s="54" t="inlineStr">
        <is>
          <t>Queen</t>
        </is>
      </c>
      <c r="F1151" s="54" t="inlineStr">
        <is>
          <t>Light Grey</t>
        </is>
      </c>
      <c r="G1151" s="55" t="n">
        <v>125</v>
      </c>
      <c r="H1151" s="55" t="n">
        <v>0</v>
      </c>
      <c r="I1151" s="56" t="n"/>
      <c r="J1151" s="57" t="n">
        <v>0.57</v>
      </c>
      <c r="K1151" s="56" t="inlineStr">
        <is>
          <t>account data velocity</t>
        </is>
      </c>
      <c r="L1151" s="58" t="n">
        <v>1.1586</v>
      </c>
      <c r="M1151" s="56" t="inlineStr">
        <is>
          <t>own BFCM 2025 lift (account data)</t>
        </is>
      </c>
      <c r="N1151" s="59">
        <f>J1151*34+J1151*L1151*12</f>
        <v/>
      </c>
      <c r="O1151" s="59">
        <f>MAX(0,N1151-G1151-H1151)</f>
        <v/>
      </c>
      <c r="P1151" s="60">
        <f>IF(J1151=0,"",IF(G1151&lt;J1151*34,DATE(2026,10,15)+G1151/J1151,IF(G1151&lt;N1151,DATE(2026,11,18)+(G1151-J1151*34)/(J1151*L1151),"after Nov 30")))</f>
        <v/>
      </c>
      <c r="Q1151" s="60">
        <f>IF(J1151=0,"",IF(G1151+H1151&lt;J1151*34,DATE(2026,10,15)+(G1151+H1151)/J1151,IF(G1151+H1151&lt;N1151,DATE(2026,11,18)+(G1151+H1151-J1151*34)/(J1151*L1151),"after Nov 30")))</f>
        <v/>
      </c>
      <c r="R1151" s="54">
        <f>IF(AND(G1151&lt;=0,J1151&gt;0),"Out of stock now",IF(G1151&gt;=N1151,"Covered to Nov 30",IF(G1151+H1151&gt;=N1151,"Needs inbound in time","Short even with inbound")))</f>
        <v/>
      </c>
      <c r="S1151" s="57" t="n">
        <v>0.357</v>
      </c>
      <c r="T1151" s="59">
        <f>IF(S1151="","",S1151*34+S1151*L1151*12)</f>
        <v/>
      </c>
    </row>
    <row r="1152">
      <c r="A1152" s="54" t="inlineStr">
        <is>
          <t>US SL Cooling 4pc</t>
        </is>
      </c>
      <c r="B1152" s="54" t="inlineStr">
        <is>
          <t>US</t>
        </is>
      </c>
      <c r="C1152" s="54" t="inlineStr">
        <is>
          <t>B0F7M19VYV</t>
        </is>
      </c>
      <c r="D1152" s="54" t="inlineStr">
        <is>
          <t>SL-COOLING-SHEET-KING-GRAPHITE</t>
        </is>
      </c>
      <c r="E1152" s="54" t="inlineStr">
        <is>
          <t>King</t>
        </is>
      </c>
      <c r="F1152" s="54" t="inlineStr">
        <is>
          <t>Graphite</t>
        </is>
      </c>
      <c r="G1152" s="55" t="n">
        <v>0</v>
      </c>
      <c r="H1152" s="55" t="n">
        <v>0</v>
      </c>
      <c r="I1152" s="56" t="n"/>
      <c r="J1152" s="57" t="n">
        <v>0.53</v>
      </c>
      <c r="K1152" s="56" t="inlineStr">
        <is>
          <t>account data velocity</t>
        </is>
      </c>
      <c r="L1152" s="58" t="n">
        <v>1.1586</v>
      </c>
      <c r="M1152" s="56" t="inlineStr">
        <is>
          <t>own BFCM 2025 lift (account data)</t>
        </is>
      </c>
      <c r="N1152" s="59">
        <f>J1152*34+J1152*L1152*12</f>
        <v/>
      </c>
      <c r="O1152" s="59">
        <f>MAX(0,N1152-G1152-H1152)</f>
        <v/>
      </c>
      <c r="P1152" s="60">
        <f>IF(J1152=0,"",IF(G1152&lt;J1152*34,DATE(2026,10,15)+G1152/J1152,IF(G1152&lt;N1152,DATE(2026,11,18)+(G1152-J1152*34)/(J1152*L1152),"after Nov 30")))</f>
        <v/>
      </c>
      <c r="Q1152" s="60">
        <f>IF(J1152=0,"",IF(G1152+H1152&lt;J1152*34,DATE(2026,10,15)+(G1152+H1152)/J1152,IF(G1152+H1152&lt;N1152,DATE(2026,11,18)+(G1152+H1152-J1152*34)/(J1152*L1152),"after Nov 30")))</f>
        <v/>
      </c>
      <c r="R1152" s="54">
        <f>IF(AND(G1152&lt;=0,J1152&gt;0),"Out of stock now",IF(G1152&gt;=N1152,"Covered to Nov 30",IF(G1152+H1152&gt;=N1152,"Needs inbound in time","Short even with inbound")))</f>
        <v/>
      </c>
      <c r="S1152" s="57" t="n">
        <v>1.143</v>
      </c>
      <c r="T1152" s="59">
        <f>IF(S1152="","",S1152*34+S1152*L1152*12)</f>
        <v/>
      </c>
    </row>
    <row r="1153">
      <c r="A1153" s="54" t="inlineStr">
        <is>
          <t>US SL Cooling 4pc</t>
        </is>
      </c>
      <c r="B1153" s="54" t="inlineStr">
        <is>
          <t>US</t>
        </is>
      </c>
      <c r="C1153" s="54" t="inlineStr">
        <is>
          <t>B0F7LX6LFL</t>
        </is>
      </c>
      <c r="D1153" s="54" t="inlineStr">
        <is>
          <t>SL-COOLING-SHEET-CAL-KING-WHITE</t>
        </is>
      </c>
      <c r="E1153" s="54" t="inlineStr">
        <is>
          <t>Cal King</t>
        </is>
      </c>
      <c r="F1153" s="54" t="inlineStr">
        <is>
          <t>White</t>
        </is>
      </c>
      <c r="G1153" s="55" t="n">
        <v>72</v>
      </c>
      <c r="H1153" s="55" t="n">
        <v>30</v>
      </c>
      <c r="I1153" s="56" t="inlineStr">
        <is>
          <t>FBA19RS1HC4F shipped: 6; FBA19RRY6QFT shipped: 6; FBA19RS0N5K2 shipped: 6; FBA19RRYCGHJ shipped: 6; FBA19RRY5FBL shipped: 6</t>
        </is>
      </c>
      <c r="J1153" s="57" t="n">
        <v>0.53</v>
      </c>
      <c r="K1153" s="56" t="inlineStr">
        <is>
          <t>account data velocity</t>
        </is>
      </c>
      <c r="L1153" s="58" t="n">
        <v>1.1586</v>
      </c>
      <c r="M1153" s="56" t="inlineStr">
        <is>
          <t>own BFCM 2025 lift (account data)</t>
        </is>
      </c>
      <c r="N1153" s="59">
        <f>J1153*34+J1153*L1153*12</f>
        <v/>
      </c>
      <c r="O1153" s="59">
        <f>MAX(0,N1153-G1153-H1153)</f>
        <v/>
      </c>
      <c r="P1153" s="60">
        <f>IF(J1153=0,"",IF(G1153&lt;J1153*34,DATE(2026,10,15)+G1153/J1153,IF(G1153&lt;N1153,DATE(2026,11,18)+(G1153-J1153*34)/(J1153*L1153),"after Nov 30")))</f>
        <v/>
      </c>
      <c r="Q1153" s="60">
        <f>IF(J1153=0,"",IF(G1153+H1153&lt;J1153*34,DATE(2026,10,15)+(G1153+H1153)/J1153,IF(G1153+H1153&lt;N1153,DATE(2026,11,18)+(G1153+H1153-J1153*34)/(J1153*L1153),"after Nov 30")))</f>
        <v/>
      </c>
      <c r="R1153" s="54">
        <f>IF(AND(G1153&lt;=0,J1153&gt;0),"Out of stock now",IF(G1153&gt;=N1153,"Covered to Nov 30",IF(G1153+H1153&gt;=N1153,"Needs inbound in time","Short even with inbound")))</f>
        <v/>
      </c>
      <c r="S1153" s="57" t="n">
        <v>0.143</v>
      </c>
      <c r="T1153" s="59">
        <f>IF(S1153="","",S1153*34+S1153*L1153*12)</f>
        <v/>
      </c>
    </row>
    <row r="1154">
      <c r="A1154" s="54" t="inlineStr">
        <is>
          <t>US SL Cooling 4pc</t>
        </is>
      </c>
      <c r="B1154" s="54" t="inlineStr">
        <is>
          <t>US</t>
        </is>
      </c>
      <c r="C1154" s="54" t="inlineStr">
        <is>
          <t>B0F7LY8QWF</t>
        </is>
      </c>
      <c r="D1154" s="54" t="inlineStr">
        <is>
          <t>SL-COOLING-SHEET-CAL-KING-GRAPHITE</t>
        </is>
      </c>
      <c r="E1154" s="54" t="inlineStr">
        <is>
          <t>Cal King</t>
        </is>
      </c>
      <c r="F1154" s="54" t="inlineStr">
        <is>
          <t>Graphite</t>
        </is>
      </c>
      <c r="G1154" s="55" t="n">
        <v>80</v>
      </c>
      <c r="H1154" s="55" t="n">
        <v>6</v>
      </c>
      <c r="I1154" s="56" t="inlineStr">
        <is>
          <t>FBA19N7XSBR9 in transit: 6</t>
        </is>
      </c>
      <c r="J1154" s="57" t="n">
        <v>0.51</v>
      </c>
      <c r="K1154" s="56" t="inlineStr">
        <is>
          <t>account data velocity</t>
        </is>
      </c>
      <c r="L1154" s="58" t="n">
        <v>1.1586</v>
      </c>
      <c r="M1154" s="56" t="inlineStr">
        <is>
          <t>own BFCM 2025 lift (account data)</t>
        </is>
      </c>
      <c r="N1154" s="59">
        <f>J1154*34+J1154*L1154*12</f>
        <v/>
      </c>
      <c r="O1154" s="59">
        <f>MAX(0,N1154-G1154-H1154)</f>
        <v/>
      </c>
      <c r="P1154" s="60">
        <f>IF(J1154=0,"",IF(G1154&lt;J1154*34,DATE(2026,10,15)+G1154/J1154,IF(G1154&lt;N1154,DATE(2026,11,18)+(G1154-J1154*34)/(J1154*L1154),"after Nov 30")))</f>
        <v/>
      </c>
      <c r="Q1154" s="60">
        <f>IF(J1154=0,"",IF(G1154+H1154&lt;J1154*34,DATE(2026,10,15)+(G1154+H1154)/J1154,IF(G1154+H1154&lt;N1154,DATE(2026,11,18)+(G1154+H1154-J1154*34)/(J1154*L1154),"after Nov 30")))</f>
        <v/>
      </c>
      <c r="R1154" s="54">
        <f>IF(AND(G1154&lt;=0,J1154&gt;0),"Out of stock now",IF(G1154&gt;=N1154,"Covered to Nov 30",IF(G1154+H1154&gt;=N1154,"Needs inbound in time","Short even with inbound")))</f>
        <v/>
      </c>
      <c r="S1154" s="57" t="n">
        <v>0.536</v>
      </c>
      <c r="T1154" s="59">
        <f>IF(S1154="","",S1154*34+S1154*L1154*12)</f>
        <v/>
      </c>
    </row>
    <row r="1155">
      <c r="A1155" s="54" t="inlineStr">
        <is>
          <t>US SL Cooling 4pc</t>
        </is>
      </c>
      <c r="B1155" s="54" t="inlineStr">
        <is>
          <t>US</t>
        </is>
      </c>
      <c r="C1155" s="54" t="inlineStr">
        <is>
          <t>B0F7LYR7L2</t>
        </is>
      </c>
      <c r="D1155" s="54" t="inlineStr">
        <is>
          <t>SL-COOLING-SHEET-CAL-KING-MIDNIGHT-BLACK</t>
        </is>
      </c>
      <c r="E1155" s="54" t="inlineStr">
        <is>
          <t>Cal King</t>
        </is>
      </c>
      <c r="F1155" s="54" t="inlineStr">
        <is>
          <t>Midnight Black</t>
        </is>
      </c>
      <c r="G1155" s="55" t="n">
        <v>22</v>
      </c>
      <c r="H1155" s="55" t="n">
        <v>0</v>
      </c>
      <c r="I1155" s="56" t="n"/>
      <c r="J1155" s="57" t="n">
        <v>0.51</v>
      </c>
      <c r="K1155" s="56" t="inlineStr">
        <is>
          <t>account data velocity</t>
        </is>
      </c>
      <c r="L1155" s="58" t="n">
        <v>1.1586</v>
      </c>
      <c r="M1155" s="56" t="inlineStr">
        <is>
          <t>own BFCM 2025 lift (account data)</t>
        </is>
      </c>
      <c r="N1155" s="59">
        <f>J1155*34+J1155*L1155*12</f>
        <v/>
      </c>
      <c r="O1155" s="59">
        <f>MAX(0,N1155-G1155-H1155)</f>
        <v/>
      </c>
      <c r="P1155" s="60">
        <f>IF(J1155=0,"",IF(G1155&lt;J1155*34,DATE(2026,10,15)+G1155/J1155,IF(G1155&lt;N1155,DATE(2026,11,18)+(G1155-J1155*34)/(J1155*L1155),"after Nov 30")))</f>
        <v/>
      </c>
      <c r="Q1155" s="60">
        <f>IF(J1155=0,"",IF(G1155+H1155&lt;J1155*34,DATE(2026,10,15)+(G1155+H1155)/J1155,IF(G1155+H1155&lt;N1155,DATE(2026,11,18)+(G1155+H1155-J1155*34)/(J1155*L1155),"after Nov 30")))</f>
        <v/>
      </c>
      <c r="R1155" s="54">
        <f>IF(AND(G1155&lt;=0,J1155&gt;0),"Out of stock now",IF(G1155&gt;=N1155,"Covered to Nov 30",IF(G1155+H1155&gt;=N1155,"Needs inbound in time","Short even with inbound")))</f>
        <v/>
      </c>
      <c r="S1155" s="57" t="n">
        <v>0.07099999999999999</v>
      </c>
      <c r="T1155" s="59">
        <f>IF(S1155="","",S1155*34+S1155*L1155*12)</f>
        <v/>
      </c>
    </row>
    <row r="1156">
      <c r="A1156" s="54" t="inlineStr">
        <is>
          <t>US SL Cooling 4pc</t>
        </is>
      </c>
      <c r="B1156" s="54" t="inlineStr">
        <is>
          <t>US</t>
        </is>
      </c>
      <c r="C1156" s="54" t="inlineStr">
        <is>
          <t>B0F7LZ27F2</t>
        </is>
      </c>
      <c r="D1156" s="54" t="inlineStr">
        <is>
          <t>SL-COOLING-SHEET-TWIN-GRAPHITE</t>
        </is>
      </c>
      <c r="E1156" s="54" t="inlineStr">
        <is>
          <t>Twin</t>
        </is>
      </c>
      <c r="F1156" s="54" t="inlineStr">
        <is>
          <t>Graphite</t>
        </is>
      </c>
      <c r="G1156" s="55" t="n">
        <v>30</v>
      </c>
      <c r="H1156" s="55" t="n">
        <v>30</v>
      </c>
      <c r="I1156" s="56" t="inlineStr">
        <is>
          <t>FBA19RS1HC4F shipped: 6; FBA19RRY6QFT shipped: 6; FBA19RS0N5K2 shipped: 6; FBA19RRYCGHJ shipped: 6; FBA19RRY5FBL shipped: 6</t>
        </is>
      </c>
      <c r="J1156" s="57" t="n">
        <v>0.43</v>
      </c>
      <c r="K1156" s="56" t="inlineStr">
        <is>
          <t>account data velocity</t>
        </is>
      </c>
      <c r="L1156" s="58" t="n">
        <v>1.1586</v>
      </c>
      <c r="M1156" s="56" t="inlineStr">
        <is>
          <t>own BFCM 2025 lift (account data)</t>
        </is>
      </c>
      <c r="N1156" s="59">
        <f>J1156*34+J1156*L1156*12</f>
        <v/>
      </c>
      <c r="O1156" s="59">
        <f>MAX(0,N1156-G1156-H1156)</f>
        <v/>
      </c>
      <c r="P1156" s="60">
        <f>IF(J1156=0,"",IF(G1156&lt;J1156*34,DATE(2026,10,15)+G1156/J1156,IF(G1156&lt;N1156,DATE(2026,11,18)+(G1156-J1156*34)/(J1156*L1156),"after Nov 30")))</f>
        <v/>
      </c>
      <c r="Q1156" s="60">
        <f>IF(J1156=0,"",IF(G1156+H1156&lt;J1156*34,DATE(2026,10,15)+(G1156+H1156)/J1156,IF(G1156+H1156&lt;N1156,DATE(2026,11,18)+(G1156+H1156-J1156*34)/(J1156*L1156),"after Nov 30")))</f>
        <v/>
      </c>
      <c r="R1156" s="54">
        <f>IF(AND(G1156&lt;=0,J1156&gt;0),"Out of stock now",IF(G1156&gt;=N1156,"Covered to Nov 30",IF(G1156+H1156&gt;=N1156,"Needs inbound in time","Short even with inbound")))</f>
        <v/>
      </c>
      <c r="S1156" s="57" t="n">
        <v>0.357</v>
      </c>
      <c r="T1156" s="59">
        <f>IF(S1156="","",S1156*34+S1156*L1156*12)</f>
        <v/>
      </c>
    </row>
    <row r="1157">
      <c r="A1157" s="54" t="inlineStr">
        <is>
          <t>US SL Cooling 4pc</t>
        </is>
      </c>
      <c r="B1157" s="54" t="inlineStr">
        <is>
          <t>US</t>
        </is>
      </c>
      <c r="C1157" s="54" t="inlineStr">
        <is>
          <t>B0F7LZFZCH</t>
        </is>
      </c>
      <c r="D1157" s="54" t="inlineStr">
        <is>
          <t>SL-COOLING-SHEET-QUEEN-SAGE-GREEN</t>
        </is>
      </c>
      <c r="E1157" s="54" t="inlineStr">
        <is>
          <t>Queen</t>
        </is>
      </c>
      <c r="F1157" s="54" t="inlineStr">
        <is>
          <t>Sage Green</t>
        </is>
      </c>
      <c r="G1157" s="55" t="n">
        <v>146</v>
      </c>
      <c r="H1157" s="55" t="n">
        <v>60</v>
      </c>
      <c r="I1157" s="56" t="inlineStr">
        <is>
          <t>FBA19STZ9LHZ ready to ship: 12; FBA19STRJMC3 ready to ship: 12; FBA19SV47PX1 ready to ship: 12; FBA19SV1CLVT ready to ship: 12; FBA19STYQSF4 ready to ship: 12</t>
        </is>
      </c>
      <c r="J1157" s="57" t="n">
        <v>0.42</v>
      </c>
      <c r="K1157" s="56" t="inlineStr">
        <is>
          <t>account data velocity</t>
        </is>
      </c>
      <c r="L1157" s="58" t="n">
        <v>1.1586</v>
      </c>
      <c r="M1157" s="56" t="inlineStr">
        <is>
          <t>own BFCM 2025 lift (account data)</t>
        </is>
      </c>
      <c r="N1157" s="59">
        <f>J1157*34+J1157*L1157*12</f>
        <v/>
      </c>
      <c r="O1157" s="59">
        <f>MAX(0,N1157-G1157-H1157)</f>
        <v/>
      </c>
      <c r="P1157" s="60">
        <f>IF(J1157=0,"",IF(G1157&lt;J1157*34,DATE(2026,10,15)+G1157/J1157,IF(G1157&lt;N1157,DATE(2026,11,18)+(G1157-J1157*34)/(J1157*L1157),"after Nov 30")))</f>
        <v/>
      </c>
      <c r="Q1157" s="60">
        <f>IF(J1157=0,"",IF(G1157+H1157&lt;J1157*34,DATE(2026,10,15)+(G1157+H1157)/J1157,IF(G1157+H1157&lt;N1157,DATE(2026,11,18)+(G1157+H1157-J1157*34)/(J1157*L1157),"after Nov 30")))</f>
        <v/>
      </c>
      <c r="R1157" s="54">
        <f>IF(AND(G1157&lt;=0,J1157&gt;0),"Out of stock now",IF(G1157&gt;=N1157,"Covered to Nov 30",IF(G1157+H1157&gt;=N1157,"Needs inbound in time","Short even with inbound")))</f>
        <v/>
      </c>
      <c r="S1157" s="57" t="n">
        <v>0.464</v>
      </c>
      <c r="T1157" s="59">
        <f>IF(S1157="","",S1157*34+S1157*L1157*12)</f>
        <v/>
      </c>
    </row>
    <row r="1158">
      <c r="A1158" s="54" t="inlineStr">
        <is>
          <t>US SL Cooling 4pc</t>
        </is>
      </c>
      <c r="B1158" s="54" t="inlineStr">
        <is>
          <t>US</t>
        </is>
      </c>
      <c r="C1158" s="54" t="inlineStr">
        <is>
          <t>B0F7LY14LM</t>
        </is>
      </c>
      <c r="D1158" s="54" t="inlineStr">
        <is>
          <t>SL-COOLING-SHEET-QUEEN-MIDNIGHT-BLACK</t>
        </is>
      </c>
      <c r="E1158" s="54" t="inlineStr">
        <is>
          <t>Queen</t>
        </is>
      </c>
      <c r="F1158" s="54" t="inlineStr">
        <is>
          <t>Midnight Black</t>
        </is>
      </c>
      <c r="G1158" s="55" t="n">
        <v>13</v>
      </c>
      <c r="H1158" s="55" t="n">
        <v>90</v>
      </c>
      <c r="I1158" s="56" t="inlineStr">
        <is>
          <t>FBA19RS1HC4F shipped: 18; FBA19RRY6QFT shipped: 18; FBA19RS0N5K2 shipped: 12; FBA19RRYCGHJ shipped: 24; FBA19RRY5FBL shipped: 18</t>
        </is>
      </c>
      <c r="J1158" s="57" t="n">
        <v>0.41</v>
      </c>
      <c r="K1158" s="56" t="inlineStr">
        <is>
          <t>account data velocity</t>
        </is>
      </c>
      <c r="L1158" s="58" t="n">
        <v>1.1586</v>
      </c>
      <c r="M1158" s="56" t="inlineStr">
        <is>
          <t>own BFCM 2025 lift (account data)</t>
        </is>
      </c>
      <c r="N1158" s="59">
        <f>J1158*34+J1158*L1158*12</f>
        <v/>
      </c>
      <c r="O1158" s="59">
        <f>MAX(0,N1158-G1158-H1158)</f>
        <v/>
      </c>
      <c r="P1158" s="60">
        <f>IF(J1158=0,"",IF(G1158&lt;J1158*34,DATE(2026,10,15)+G1158/J1158,IF(G1158&lt;N1158,DATE(2026,11,18)+(G1158-J1158*34)/(J1158*L1158),"after Nov 30")))</f>
        <v/>
      </c>
      <c r="Q1158" s="60">
        <f>IF(J1158=0,"",IF(G1158+H1158&lt;J1158*34,DATE(2026,10,15)+(G1158+H1158)/J1158,IF(G1158+H1158&lt;N1158,DATE(2026,11,18)+(G1158+H1158-J1158*34)/(J1158*L1158),"after Nov 30")))</f>
        <v/>
      </c>
      <c r="R1158" s="54">
        <f>IF(AND(G1158&lt;=0,J1158&gt;0),"Out of stock now",IF(G1158&gt;=N1158,"Covered to Nov 30",IF(G1158+H1158&gt;=N1158,"Needs inbound in time","Short even with inbound")))</f>
        <v/>
      </c>
      <c r="S1158" s="57" t="n">
        <v>0.5</v>
      </c>
      <c r="T1158" s="59">
        <f>IF(S1158="","",S1158*34+S1158*L1158*12)</f>
        <v/>
      </c>
    </row>
    <row r="1159">
      <c r="A1159" s="54" t="inlineStr">
        <is>
          <t>US SL Cooling 4pc</t>
        </is>
      </c>
      <c r="B1159" s="54" t="inlineStr">
        <is>
          <t>US</t>
        </is>
      </c>
      <c r="C1159" s="54" t="inlineStr">
        <is>
          <t>B0F7LXFBGG</t>
        </is>
      </c>
      <c r="D1159" s="54" t="inlineStr">
        <is>
          <t>SL-COOLING-SHEET-CAL-KING-NAVY-BLUE</t>
        </is>
      </c>
      <c r="E1159" s="54" t="inlineStr">
        <is>
          <t>Cal King</t>
        </is>
      </c>
      <c r="F1159" s="54" t="inlineStr">
        <is>
          <t>Navy Blue</t>
        </is>
      </c>
      <c r="G1159" s="55" t="n">
        <v>46</v>
      </c>
      <c r="H1159" s="55" t="n">
        <v>30</v>
      </c>
      <c r="I1159" s="56" t="inlineStr">
        <is>
          <t>FBA19RS1HC4F shipped: 6; FBA19RRY6QFT shipped: 6; FBA19RRYCGHJ shipped: 12; FBA19RRY5FBL shipped: 6</t>
        </is>
      </c>
      <c r="J1159" s="57" t="n">
        <v>0.41</v>
      </c>
      <c r="K1159" s="56" t="inlineStr">
        <is>
          <t>account data velocity</t>
        </is>
      </c>
      <c r="L1159" s="58" t="n">
        <v>1.1586</v>
      </c>
      <c r="M1159" s="56" t="inlineStr">
        <is>
          <t>own BFCM 2025 lift (account data)</t>
        </is>
      </c>
      <c r="N1159" s="59">
        <f>J1159*34+J1159*L1159*12</f>
        <v/>
      </c>
      <c r="O1159" s="59">
        <f>MAX(0,N1159-G1159-H1159)</f>
        <v/>
      </c>
      <c r="P1159" s="60">
        <f>IF(J1159=0,"",IF(G1159&lt;J1159*34,DATE(2026,10,15)+G1159/J1159,IF(G1159&lt;N1159,DATE(2026,11,18)+(G1159-J1159*34)/(J1159*L1159),"after Nov 30")))</f>
        <v/>
      </c>
      <c r="Q1159" s="60">
        <f>IF(J1159=0,"",IF(G1159+H1159&lt;J1159*34,DATE(2026,10,15)+(G1159+H1159)/J1159,IF(G1159+H1159&lt;N1159,DATE(2026,11,18)+(G1159+H1159-J1159*34)/(J1159*L1159),"after Nov 30")))</f>
        <v/>
      </c>
      <c r="R1159" s="54">
        <f>IF(AND(G1159&lt;=0,J1159&gt;0),"Out of stock now",IF(G1159&gt;=N1159,"Covered to Nov 30",IF(G1159+H1159&gt;=N1159,"Needs inbound in time","Short even with inbound")))</f>
        <v/>
      </c>
      <c r="S1159" s="57" t="n">
        <v>0.179</v>
      </c>
      <c r="T1159" s="59">
        <f>IF(S1159="","",S1159*34+S1159*L1159*12)</f>
        <v/>
      </c>
    </row>
    <row r="1160">
      <c r="A1160" s="54" t="inlineStr">
        <is>
          <t>US SL Cooling 4pc</t>
        </is>
      </c>
      <c r="B1160" s="54" t="inlineStr">
        <is>
          <t>US</t>
        </is>
      </c>
      <c r="C1160" s="54" t="inlineStr">
        <is>
          <t>B0F7LXCSKW</t>
        </is>
      </c>
      <c r="D1160" s="54" t="inlineStr">
        <is>
          <t>SL-COOLING-SHEET-CAL-KING-REGAL-PURPLE</t>
        </is>
      </c>
      <c r="E1160" s="54" t="inlineStr">
        <is>
          <t>Cal King</t>
        </is>
      </c>
      <c r="F1160" s="54" t="inlineStr">
        <is>
          <t>Regal Purple</t>
        </is>
      </c>
      <c r="G1160" s="55" t="n">
        <v>54</v>
      </c>
      <c r="H1160" s="55" t="n">
        <v>0</v>
      </c>
      <c r="I1160" s="56" t="n"/>
      <c r="J1160" s="57" t="n">
        <v>0.36</v>
      </c>
      <c r="K1160" s="56" t="inlineStr">
        <is>
          <t>account data velocity</t>
        </is>
      </c>
      <c r="L1160" s="58" t="n">
        <v>1.1586</v>
      </c>
      <c r="M1160" s="56" t="inlineStr">
        <is>
          <t>own BFCM 2025 lift (account data)</t>
        </is>
      </c>
      <c r="N1160" s="59">
        <f>J1160*34+J1160*L1160*12</f>
        <v/>
      </c>
      <c r="O1160" s="59">
        <f>MAX(0,N1160-G1160-H1160)</f>
        <v/>
      </c>
      <c r="P1160" s="60">
        <f>IF(J1160=0,"",IF(G1160&lt;J1160*34,DATE(2026,10,15)+G1160/J1160,IF(G1160&lt;N1160,DATE(2026,11,18)+(G1160-J1160*34)/(J1160*L1160),"after Nov 30")))</f>
        <v/>
      </c>
      <c r="Q1160" s="60">
        <f>IF(J1160=0,"",IF(G1160+H1160&lt;J1160*34,DATE(2026,10,15)+(G1160+H1160)/J1160,IF(G1160+H1160&lt;N1160,DATE(2026,11,18)+(G1160+H1160-J1160*34)/(J1160*L1160),"after Nov 30")))</f>
        <v/>
      </c>
      <c r="R1160" s="54">
        <f>IF(AND(G1160&lt;=0,J1160&gt;0),"Out of stock now",IF(G1160&gt;=N1160,"Covered to Nov 30",IF(G1160+H1160&gt;=N1160,"Needs inbound in time","Short even with inbound")))</f>
        <v/>
      </c>
      <c r="S1160" s="57" t="n">
        <v>0.07099999999999999</v>
      </c>
      <c r="T1160" s="59">
        <f>IF(S1160="","",S1160*34+S1160*L1160*12)</f>
        <v/>
      </c>
    </row>
    <row r="1161">
      <c r="A1161" s="54" t="inlineStr">
        <is>
          <t>US SL Cooling 4pc</t>
        </is>
      </c>
      <c r="B1161" s="54" t="inlineStr">
        <is>
          <t>US</t>
        </is>
      </c>
      <c r="C1161" s="54" t="inlineStr">
        <is>
          <t>B0F7LZNYY8</t>
        </is>
      </c>
      <c r="D1161" s="54" t="inlineStr">
        <is>
          <t>SL-COOLING-SHEET-FULL-LIGHT-PINK</t>
        </is>
      </c>
      <c r="E1161" s="54" t="inlineStr">
        <is>
          <t>Full</t>
        </is>
      </c>
      <c r="F1161" s="54" t="inlineStr">
        <is>
          <t>Light Pink</t>
        </is>
      </c>
      <c r="G1161" s="55" t="n">
        <v>18</v>
      </c>
      <c r="H1161" s="55" t="n">
        <v>66</v>
      </c>
      <c r="I1161" s="56" t="inlineStr">
        <is>
          <t>FBA19STZ9LHZ ready to ship: 6; FBA19STRJMC3 ready to ship: 12; FBA19SV47PX1 ready to ship: 6; FBA19SV1CLVT ready to ship: 6; FBA19RS1HC4F shipped: 6; FBA19RRY6QFT shipped: 12; FBA19RS0N5K2 shipped: 6; FBA19RRYCGHJ shipped: 6; FBA19RRY5FBL shipped: 6</t>
        </is>
      </c>
      <c r="J1161" s="57" t="n">
        <v>0.29</v>
      </c>
      <c r="K1161" s="56" t="inlineStr">
        <is>
          <t>account data velocity</t>
        </is>
      </c>
      <c r="L1161" s="58" t="n">
        <v>1.1586</v>
      </c>
      <c r="M1161" s="56" t="inlineStr">
        <is>
          <t>own BFCM 2025 lift (account data)</t>
        </is>
      </c>
      <c r="N1161" s="59">
        <f>J1161*34+J1161*L1161*12</f>
        <v/>
      </c>
      <c r="O1161" s="59">
        <f>MAX(0,N1161-G1161-H1161)</f>
        <v/>
      </c>
      <c r="P1161" s="60">
        <f>IF(J1161=0,"",IF(G1161&lt;J1161*34,DATE(2026,10,15)+G1161/J1161,IF(G1161&lt;N1161,DATE(2026,11,18)+(G1161-J1161*34)/(J1161*L1161),"after Nov 30")))</f>
        <v/>
      </c>
      <c r="Q1161" s="60">
        <f>IF(J1161=0,"",IF(G1161+H1161&lt;J1161*34,DATE(2026,10,15)+(G1161+H1161)/J1161,IF(G1161+H1161&lt;N1161,DATE(2026,11,18)+(G1161+H1161-J1161*34)/(J1161*L1161),"after Nov 30")))</f>
        <v/>
      </c>
      <c r="R1161" s="54">
        <f>IF(AND(G1161&lt;=0,J1161&gt;0),"Out of stock now",IF(G1161&gt;=N1161,"Covered to Nov 30",IF(G1161+H1161&gt;=N1161,"Needs inbound in time","Short even with inbound")))</f>
        <v/>
      </c>
      <c r="S1161" s="57" t="n">
        <v>0.107</v>
      </c>
      <c r="T1161" s="59">
        <f>IF(S1161="","",S1161*34+S1161*L1161*12)</f>
        <v/>
      </c>
    </row>
    <row r="1162">
      <c r="A1162" s="54" t="inlineStr">
        <is>
          <t>US SL Cooling 4pc</t>
        </is>
      </c>
      <c r="B1162" s="54" t="inlineStr">
        <is>
          <t>US</t>
        </is>
      </c>
      <c r="C1162" s="54" t="inlineStr">
        <is>
          <t>B0F7LXS112</t>
        </is>
      </c>
      <c r="D1162" s="54" t="inlineStr">
        <is>
          <t>SL-COOLING-SHEET-TWIN-LIGHT-BLUE</t>
        </is>
      </c>
      <c r="E1162" s="54" t="inlineStr">
        <is>
          <t>Twin</t>
        </is>
      </c>
      <c r="F1162" s="54" t="inlineStr">
        <is>
          <t>Light Blue</t>
        </is>
      </c>
      <c r="G1162" s="55" t="n">
        <v>6</v>
      </c>
      <c r="H1162" s="55" t="n">
        <v>42</v>
      </c>
      <c r="I1162" s="56" t="inlineStr">
        <is>
          <t>FBA19RS1HC4F shipped: 6; FBA19RRY6QFT shipped: 12; FBA19RS0N5K2 shipped: 6; FBA19RRYCGHJ shipped: 6; FBA19RRY5FBL shipped: 12</t>
        </is>
      </c>
      <c r="J1162" s="57" t="n">
        <v>0.28</v>
      </c>
      <c r="K1162" s="56" t="inlineStr">
        <is>
          <t>account data velocity</t>
        </is>
      </c>
      <c r="L1162" s="58" t="n">
        <v>1.1586</v>
      </c>
      <c r="M1162" s="56" t="inlineStr">
        <is>
          <t>own BFCM 2025 lift (account data)</t>
        </is>
      </c>
      <c r="N1162" s="59">
        <f>J1162*34+J1162*L1162*12</f>
        <v/>
      </c>
      <c r="O1162" s="59">
        <f>MAX(0,N1162-G1162-H1162)</f>
        <v/>
      </c>
      <c r="P1162" s="60">
        <f>IF(J1162=0,"",IF(G1162&lt;J1162*34,DATE(2026,10,15)+G1162/J1162,IF(G1162&lt;N1162,DATE(2026,11,18)+(G1162-J1162*34)/(J1162*L1162),"after Nov 30")))</f>
        <v/>
      </c>
      <c r="Q1162" s="60">
        <f>IF(J1162=0,"",IF(G1162+H1162&lt;J1162*34,DATE(2026,10,15)+(G1162+H1162)/J1162,IF(G1162+H1162&lt;N1162,DATE(2026,11,18)+(G1162+H1162-J1162*34)/(J1162*L1162),"after Nov 30")))</f>
        <v/>
      </c>
      <c r="R1162" s="54">
        <f>IF(AND(G1162&lt;=0,J1162&gt;0),"Out of stock now",IF(G1162&gt;=N1162,"Covered to Nov 30",IF(G1162+H1162&gt;=N1162,"Needs inbound in time","Short even with inbound")))</f>
        <v/>
      </c>
      <c r="S1162" s="57" t="n">
        <v>0.07099999999999999</v>
      </c>
      <c r="T1162" s="59">
        <f>IF(S1162="","",S1162*34+S1162*L1162*12)</f>
        <v/>
      </c>
    </row>
    <row r="1163">
      <c r="A1163" s="54" t="inlineStr">
        <is>
          <t>US SL Cooling 4pc</t>
        </is>
      </c>
      <c r="B1163" s="54" t="inlineStr">
        <is>
          <t>US</t>
        </is>
      </c>
      <c r="C1163" s="54" t="inlineStr">
        <is>
          <t>B0F7LX84MY</t>
        </is>
      </c>
      <c r="D1163" s="54" t="inlineStr">
        <is>
          <t>SL-COOLING-SHEET-KING-REGAL-PURPLE</t>
        </is>
      </c>
      <c r="E1163" s="54" t="inlineStr">
        <is>
          <t>King</t>
        </is>
      </c>
      <c r="F1163" s="54" t="inlineStr">
        <is>
          <t>Regal Purple</t>
        </is>
      </c>
      <c r="G1163" s="55" t="n">
        <v>34</v>
      </c>
      <c r="H1163" s="55" t="n">
        <v>60</v>
      </c>
      <c r="I1163" s="56" t="inlineStr">
        <is>
          <t>FBA19RS1HC4F shipped: 12; FBA19RRY6QFT shipped: 12; FBA19RS0N5K2 shipped: 6; FBA19RRYCGHJ shipped: 12; FBA19RRY5FBL shipped: 18</t>
        </is>
      </c>
      <c r="J1163" s="57" t="n">
        <v>0.27</v>
      </c>
      <c r="K1163" s="56" t="inlineStr">
        <is>
          <t>account data velocity</t>
        </is>
      </c>
      <c r="L1163" s="58" t="n">
        <v>1.1586</v>
      </c>
      <c r="M1163" s="56" t="inlineStr">
        <is>
          <t>own BFCM 2025 lift (account data)</t>
        </is>
      </c>
      <c r="N1163" s="59">
        <f>J1163*34+J1163*L1163*12</f>
        <v/>
      </c>
      <c r="O1163" s="59">
        <f>MAX(0,N1163-G1163-H1163)</f>
        <v/>
      </c>
      <c r="P1163" s="60">
        <f>IF(J1163=0,"",IF(G1163&lt;J1163*34,DATE(2026,10,15)+G1163/J1163,IF(G1163&lt;N1163,DATE(2026,11,18)+(G1163-J1163*34)/(J1163*L1163),"after Nov 30")))</f>
        <v/>
      </c>
      <c r="Q1163" s="60">
        <f>IF(J1163=0,"",IF(G1163+H1163&lt;J1163*34,DATE(2026,10,15)+(G1163+H1163)/J1163,IF(G1163+H1163&lt;N1163,DATE(2026,11,18)+(G1163+H1163-J1163*34)/(J1163*L1163),"after Nov 30")))</f>
        <v/>
      </c>
      <c r="R1163" s="54">
        <f>IF(AND(G1163&lt;=0,J1163&gt;0),"Out of stock now",IF(G1163&gt;=N1163,"Covered to Nov 30",IF(G1163+H1163&gt;=N1163,"Needs inbound in time","Short even with inbound")))</f>
        <v/>
      </c>
      <c r="S1163" s="57" t="n">
        <v>0.393</v>
      </c>
      <c r="T1163" s="59">
        <f>IF(S1163="","",S1163*34+S1163*L1163*12)</f>
        <v/>
      </c>
    </row>
    <row r="1164">
      <c r="A1164" s="54" t="inlineStr">
        <is>
          <t>US SL Cooling 4pc</t>
        </is>
      </c>
      <c r="B1164" s="54" t="inlineStr">
        <is>
          <t>US</t>
        </is>
      </c>
      <c r="C1164" s="54" t="inlineStr">
        <is>
          <t>B0F7LYF4RK</t>
        </is>
      </c>
      <c r="D1164" s="54" t="inlineStr">
        <is>
          <t>SL-COOLING-SHEET-FULL-LIGHT-BLUE</t>
        </is>
      </c>
      <c r="E1164" s="54" t="inlineStr">
        <is>
          <t>Full</t>
        </is>
      </c>
      <c r="F1164" s="54" t="inlineStr">
        <is>
          <t>Light Blue</t>
        </is>
      </c>
      <c r="G1164" s="55" t="n">
        <v>19</v>
      </c>
      <c r="H1164" s="55" t="n">
        <v>54</v>
      </c>
      <c r="I1164" s="56" t="inlineStr">
        <is>
          <t>FBA19RS1HC4F shipped: 12; FBA19RRY6QFT shipped: 12; FBA19RS0N5K2 shipped: 6; FBA19RRYCGHJ shipped: 12; FBA19RRY5FBL shipped: 12</t>
        </is>
      </c>
      <c r="J1164" s="57" t="n">
        <v>0.27</v>
      </c>
      <c r="K1164" s="56" t="inlineStr">
        <is>
          <t>account data velocity</t>
        </is>
      </c>
      <c r="L1164" s="58" t="n">
        <v>1.1586</v>
      </c>
      <c r="M1164" s="56" t="inlineStr">
        <is>
          <t>own BFCM 2025 lift (account data)</t>
        </is>
      </c>
      <c r="N1164" s="59">
        <f>J1164*34+J1164*L1164*12</f>
        <v/>
      </c>
      <c r="O1164" s="59">
        <f>MAX(0,N1164-G1164-H1164)</f>
        <v/>
      </c>
      <c r="P1164" s="60">
        <f>IF(J1164=0,"",IF(G1164&lt;J1164*34,DATE(2026,10,15)+G1164/J1164,IF(G1164&lt;N1164,DATE(2026,11,18)+(G1164-J1164*34)/(J1164*L1164),"after Nov 30")))</f>
        <v/>
      </c>
      <c r="Q1164" s="60">
        <f>IF(J1164=0,"",IF(G1164+H1164&lt;J1164*34,DATE(2026,10,15)+(G1164+H1164)/J1164,IF(G1164+H1164&lt;N1164,DATE(2026,11,18)+(G1164+H1164-J1164*34)/(J1164*L1164),"after Nov 30")))</f>
        <v/>
      </c>
      <c r="R1164" s="54">
        <f>IF(AND(G1164&lt;=0,J1164&gt;0),"Out of stock now",IF(G1164&gt;=N1164,"Covered to Nov 30",IF(G1164+H1164&gt;=N1164,"Needs inbound in time","Short even with inbound")))</f>
        <v/>
      </c>
      <c r="S1164" s="57" t="n">
        <v>0.214</v>
      </c>
      <c r="T1164" s="59">
        <f>IF(S1164="","",S1164*34+S1164*L1164*12)</f>
        <v/>
      </c>
    </row>
    <row r="1165">
      <c r="A1165" s="54" t="inlineStr">
        <is>
          <t>US SL Cooling 4pc</t>
        </is>
      </c>
      <c r="B1165" s="54" t="inlineStr">
        <is>
          <t>US</t>
        </is>
      </c>
      <c r="C1165" s="54" t="inlineStr">
        <is>
          <t>B0F7LZFKS7</t>
        </is>
      </c>
      <c r="D1165" s="54" t="inlineStr">
        <is>
          <t>SL-COOLING-SHEET-FULL-NAVY-BLUE</t>
        </is>
      </c>
      <c r="E1165" s="54" t="inlineStr">
        <is>
          <t>Full</t>
        </is>
      </c>
      <c r="F1165" s="54" t="inlineStr">
        <is>
          <t>Navy Blue</t>
        </is>
      </c>
      <c r="G1165" s="55" t="n">
        <v>157</v>
      </c>
      <c r="H1165" s="55" t="n">
        <v>0</v>
      </c>
      <c r="I1165" s="56" t="n"/>
      <c r="J1165" s="57" t="n">
        <v>0.26</v>
      </c>
      <c r="K1165" s="56" t="inlineStr">
        <is>
          <t>account data velocity</t>
        </is>
      </c>
      <c r="L1165" s="58" t="n">
        <v>1.1586</v>
      </c>
      <c r="M1165" s="56" t="inlineStr">
        <is>
          <t>own BFCM 2025 lift (account data)</t>
        </is>
      </c>
      <c r="N1165" s="59">
        <f>J1165*34+J1165*L1165*12</f>
        <v/>
      </c>
      <c r="O1165" s="59">
        <f>MAX(0,N1165-G1165-H1165)</f>
        <v/>
      </c>
      <c r="P1165" s="60">
        <f>IF(J1165=0,"",IF(G1165&lt;J1165*34,DATE(2026,10,15)+G1165/J1165,IF(G1165&lt;N1165,DATE(2026,11,18)+(G1165-J1165*34)/(J1165*L1165),"after Nov 30")))</f>
        <v/>
      </c>
      <c r="Q1165" s="60">
        <f>IF(J1165=0,"",IF(G1165+H1165&lt;J1165*34,DATE(2026,10,15)+(G1165+H1165)/J1165,IF(G1165+H1165&lt;N1165,DATE(2026,11,18)+(G1165+H1165-J1165*34)/(J1165*L1165),"after Nov 30")))</f>
        <v/>
      </c>
      <c r="R1165" s="54">
        <f>IF(AND(G1165&lt;=0,J1165&gt;0),"Out of stock now",IF(G1165&gt;=N1165,"Covered to Nov 30",IF(G1165+H1165&gt;=N1165,"Needs inbound in time","Short even with inbound")))</f>
        <v/>
      </c>
      <c r="S1165" s="57" t="n">
        <v>0.107</v>
      </c>
      <c r="T1165" s="59">
        <f>IF(S1165="","",S1165*34+S1165*L1165*12)</f>
        <v/>
      </c>
    </row>
    <row r="1166">
      <c r="A1166" s="54" t="inlineStr">
        <is>
          <t>US SL Cooling 4pc</t>
        </is>
      </c>
      <c r="B1166" s="54" t="inlineStr">
        <is>
          <t>US</t>
        </is>
      </c>
      <c r="C1166" s="54" t="inlineStr">
        <is>
          <t>B0F7LTXSLG</t>
        </is>
      </c>
      <c r="D1166" s="54" t="inlineStr">
        <is>
          <t>SL-COOLING-SHEET-KING-LIGHT-PINK</t>
        </is>
      </c>
      <c r="E1166" s="54" t="inlineStr">
        <is>
          <t>King</t>
        </is>
      </c>
      <c r="F1166" s="54" t="inlineStr">
        <is>
          <t>Light Pink</t>
        </is>
      </c>
      <c r="G1166" s="55" t="n">
        <v>2</v>
      </c>
      <c r="H1166" s="55" t="n">
        <v>96</v>
      </c>
      <c r="I1166" s="56" t="inlineStr">
        <is>
          <t>FBA19STZ9LHZ ready to ship: 6; FBA19STRJMC3 ready to ship: 6; FBA19SV47PX1 ready to ship: 6; FBA19SV1CLVT ready to ship: 6; FBA19STYQSF4 ready to ship: 6; FBA19RS1HC4F shipped: 12; FBA19RRY6QFT shipped: 18; FBA19RS0N5K2 shipped: 6; FBA19RRYCGHJ shipped: 12; FBA19RRY5FBL shipped: 18</t>
        </is>
      </c>
      <c r="J1166" s="57" t="n">
        <v>0.25</v>
      </c>
      <c r="K1166" s="56" t="inlineStr">
        <is>
          <t>account data velocity</t>
        </is>
      </c>
      <c r="L1166" s="58" t="n">
        <v>1.1586</v>
      </c>
      <c r="M1166" s="56" t="inlineStr">
        <is>
          <t>own BFCM 2025 lift (account data)</t>
        </is>
      </c>
      <c r="N1166" s="59">
        <f>J1166*34+J1166*L1166*12</f>
        <v/>
      </c>
      <c r="O1166" s="59">
        <f>MAX(0,N1166-G1166-H1166)</f>
        <v/>
      </c>
      <c r="P1166" s="60">
        <f>IF(J1166=0,"",IF(G1166&lt;J1166*34,DATE(2026,10,15)+G1166/J1166,IF(G1166&lt;N1166,DATE(2026,11,18)+(G1166-J1166*34)/(J1166*L1166),"after Nov 30")))</f>
        <v/>
      </c>
      <c r="Q1166" s="60">
        <f>IF(J1166=0,"",IF(G1166+H1166&lt;J1166*34,DATE(2026,10,15)+(G1166+H1166)/J1166,IF(G1166+H1166&lt;N1166,DATE(2026,11,18)+(G1166+H1166-J1166*34)/(J1166*L1166),"after Nov 30")))</f>
        <v/>
      </c>
      <c r="R1166" s="54">
        <f>IF(AND(G1166&lt;=0,J1166&gt;0),"Out of stock now",IF(G1166&gt;=N1166,"Covered to Nov 30",IF(G1166+H1166&gt;=N1166,"Needs inbound in time","Short even with inbound")))</f>
        <v/>
      </c>
      <c r="S1166" s="57" t="n">
        <v>0.07099999999999999</v>
      </c>
      <c r="T1166" s="59">
        <f>IF(S1166="","",S1166*34+S1166*L1166*12)</f>
        <v/>
      </c>
    </row>
    <row r="1167">
      <c r="A1167" s="54" t="inlineStr">
        <is>
          <t>US SL Cooling 4pc</t>
        </is>
      </c>
      <c r="B1167" s="54" t="inlineStr">
        <is>
          <t>US</t>
        </is>
      </c>
      <c r="C1167" s="54" t="inlineStr">
        <is>
          <t>B0F7LWYY19</t>
        </is>
      </c>
      <c r="D1167" s="54" t="inlineStr">
        <is>
          <t>SL-COOLING-SHEET-FULL-LIGHT-GREY</t>
        </is>
      </c>
      <c r="E1167" s="54" t="inlineStr">
        <is>
          <t>Full</t>
        </is>
      </c>
      <c r="F1167" s="54" t="inlineStr">
        <is>
          <t>Light Grey</t>
        </is>
      </c>
      <c r="G1167" s="55" t="n">
        <v>0</v>
      </c>
      <c r="H1167" s="55" t="n">
        <v>0</v>
      </c>
      <c r="I1167" s="56" t="n"/>
      <c r="J1167" s="57" t="n">
        <v>0.22</v>
      </c>
      <c r="K1167" s="56" t="inlineStr">
        <is>
          <t>account data velocity</t>
        </is>
      </c>
      <c r="L1167" s="58" t="n">
        <v>1.1586</v>
      </c>
      <c r="M1167" s="56" t="inlineStr">
        <is>
          <t>own BFCM 2025 lift (account data)</t>
        </is>
      </c>
      <c r="N1167" s="59">
        <f>J1167*34+J1167*L1167*12</f>
        <v/>
      </c>
      <c r="O1167" s="59">
        <f>MAX(0,N1167-G1167-H1167)</f>
        <v/>
      </c>
      <c r="P1167" s="60">
        <f>IF(J1167=0,"",IF(G1167&lt;J1167*34,DATE(2026,10,15)+G1167/J1167,IF(G1167&lt;N1167,DATE(2026,11,18)+(G1167-J1167*34)/(J1167*L1167),"after Nov 30")))</f>
        <v/>
      </c>
      <c r="Q1167" s="60">
        <f>IF(J1167=0,"",IF(G1167+H1167&lt;J1167*34,DATE(2026,10,15)+(G1167+H1167)/J1167,IF(G1167+H1167&lt;N1167,DATE(2026,11,18)+(G1167+H1167-J1167*34)/(J1167*L1167),"after Nov 30")))</f>
        <v/>
      </c>
      <c r="R1167" s="54">
        <f>IF(AND(G1167&lt;=0,J1167&gt;0),"Out of stock now",IF(G1167&gt;=N1167,"Covered to Nov 30",IF(G1167+H1167&gt;=N1167,"Needs inbound in time","Short even with inbound")))</f>
        <v/>
      </c>
      <c r="S1167" s="57" t="n">
        <v>0.179</v>
      </c>
      <c r="T1167" s="59">
        <f>IF(S1167="","",S1167*34+S1167*L1167*12)</f>
        <v/>
      </c>
    </row>
    <row r="1168">
      <c r="A1168" s="54" t="inlineStr">
        <is>
          <t>US SL Cooling 4pc</t>
        </is>
      </c>
      <c r="B1168" s="54" t="inlineStr">
        <is>
          <t>US</t>
        </is>
      </c>
      <c r="C1168" s="54" t="inlineStr">
        <is>
          <t>B0F7LX6353</t>
        </is>
      </c>
      <c r="D1168" s="54" t="inlineStr">
        <is>
          <t>SL-COOLING-SHEET-TWIN-BEIGE</t>
        </is>
      </c>
      <c r="E1168" s="54" t="inlineStr">
        <is>
          <t>Twin</t>
        </is>
      </c>
      <c r="F1168" s="54" t="inlineStr">
        <is>
          <t>Beige</t>
        </is>
      </c>
      <c r="G1168" s="55" t="n">
        <v>6</v>
      </c>
      <c r="H1168" s="55" t="n">
        <v>0</v>
      </c>
      <c r="I1168" s="56" t="n"/>
      <c r="J1168" s="57" t="n">
        <v>0.22</v>
      </c>
      <c r="K1168" s="56" t="inlineStr">
        <is>
          <t>account data velocity</t>
        </is>
      </c>
      <c r="L1168" s="58" t="n">
        <v>1.1586</v>
      </c>
      <c r="M1168" s="56" t="inlineStr">
        <is>
          <t>own BFCM 2025 lift (account data)</t>
        </is>
      </c>
      <c r="N1168" s="59">
        <f>J1168*34+J1168*L1168*12</f>
        <v/>
      </c>
      <c r="O1168" s="59">
        <f>MAX(0,N1168-G1168-H1168)</f>
        <v/>
      </c>
      <c r="P1168" s="60">
        <f>IF(J1168=0,"",IF(G1168&lt;J1168*34,DATE(2026,10,15)+G1168/J1168,IF(G1168&lt;N1168,DATE(2026,11,18)+(G1168-J1168*34)/(J1168*L1168),"after Nov 30")))</f>
        <v/>
      </c>
      <c r="Q1168" s="60">
        <f>IF(J1168=0,"",IF(G1168+H1168&lt;J1168*34,DATE(2026,10,15)+(G1168+H1168)/J1168,IF(G1168+H1168&lt;N1168,DATE(2026,11,18)+(G1168+H1168-J1168*34)/(J1168*L1168),"after Nov 30")))</f>
        <v/>
      </c>
      <c r="R1168" s="54">
        <f>IF(AND(G1168&lt;=0,J1168&gt;0),"Out of stock now",IF(G1168&gt;=N1168,"Covered to Nov 30",IF(G1168+H1168&gt;=N1168,"Needs inbound in time","Short even with inbound")))</f>
        <v/>
      </c>
      <c r="S1168" s="57" t="n">
        <v>0</v>
      </c>
      <c r="T1168" s="59">
        <f>IF(S1168="","",S1168*34+S1168*L1168*12)</f>
        <v/>
      </c>
    </row>
    <row r="1169">
      <c r="A1169" s="54" t="inlineStr">
        <is>
          <t>US SL Cooling 4pc</t>
        </is>
      </c>
      <c r="B1169" s="54" t="inlineStr">
        <is>
          <t>US</t>
        </is>
      </c>
      <c r="C1169" s="54" t="inlineStr">
        <is>
          <t>B0F7LX64VV</t>
        </is>
      </c>
      <c r="D1169" s="54" t="inlineStr">
        <is>
          <t>SL-COOLING-SHEET-QUEEN-LIGHT-PINK</t>
        </is>
      </c>
      <c r="E1169" s="54" t="inlineStr">
        <is>
          <t>Queen</t>
        </is>
      </c>
      <c r="F1169" s="54" t="inlineStr">
        <is>
          <t>Light Pink</t>
        </is>
      </c>
      <c r="G1169" s="55" t="n">
        <v>55</v>
      </c>
      <c r="H1169" s="55" t="n">
        <v>66</v>
      </c>
      <c r="I1169" s="56" t="inlineStr">
        <is>
          <t>FBA19RS1HC4F shipped: 12; FBA19RRY6QFT shipped: 12; FBA19RS0N5K2 shipped: 6; FBA19RRYCGHJ shipped: 18; FBA19RRY5FBL shipped: 18</t>
        </is>
      </c>
      <c r="J1169" s="57" t="n">
        <v>0.18</v>
      </c>
      <c r="K1169" s="56" t="inlineStr">
        <is>
          <t>account data velocity</t>
        </is>
      </c>
      <c r="L1169" s="58" t="n">
        <v>1.1586</v>
      </c>
      <c r="M1169" s="56" t="inlineStr">
        <is>
          <t>own BFCM 2025 lift (account data)</t>
        </is>
      </c>
      <c r="N1169" s="59">
        <f>J1169*34+J1169*L1169*12</f>
        <v/>
      </c>
      <c r="O1169" s="59">
        <f>MAX(0,N1169-G1169-H1169)</f>
        <v/>
      </c>
      <c r="P1169" s="60">
        <f>IF(J1169=0,"",IF(G1169&lt;J1169*34,DATE(2026,10,15)+G1169/J1169,IF(G1169&lt;N1169,DATE(2026,11,18)+(G1169-J1169*34)/(J1169*L1169),"after Nov 30")))</f>
        <v/>
      </c>
      <c r="Q1169" s="60">
        <f>IF(J1169=0,"",IF(G1169+H1169&lt;J1169*34,DATE(2026,10,15)+(G1169+H1169)/J1169,IF(G1169+H1169&lt;N1169,DATE(2026,11,18)+(G1169+H1169-J1169*34)/(J1169*L1169),"after Nov 30")))</f>
        <v/>
      </c>
      <c r="R1169" s="54">
        <f>IF(AND(G1169&lt;=0,J1169&gt;0),"Out of stock now",IF(G1169&gt;=N1169,"Covered to Nov 30",IF(G1169+H1169&gt;=N1169,"Needs inbound in time","Short even with inbound")))</f>
        <v/>
      </c>
      <c r="S1169" s="57" t="n">
        <v>0.214</v>
      </c>
      <c r="T1169" s="59">
        <f>IF(S1169="","",S1169*34+S1169*L1169*12)</f>
        <v/>
      </c>
    </row>
    <row r="1170">
      <c r="A1170" s="54" t="inlineStr">
        <is>
          <t>US SL Cooling 4pc</t>
        </is>
      </c>
      <c r="B1170" s="54" t="inlineStr">
        <is>
          <t>US</t>
        </is>
      </c>
      <c r="C1170" s="54" t="inlineStr">
        <is>
          <t>B0F7M13J7X</t>
        </is>
      </c>
      <c r="D1170" s="54" t="inlineStr">
        <is>
          <t>SL-COOLING-SHEET-KING-NAVY-BLUE</t>
        </is>
      </c>
      <c r="E1170" s="54" t="inlineStr">
        <is>
          <t>King</t>
        </is>
      </c>
      <c r="F1170" s="54" t="inlineStr">
        <is>
          <t>Navy Blue</t>
        </is>
      </c>
      <c r="G1170" s="55" t="n">
        <v>0</v>
      </c>
      <c r="H1170" s="55" t="n">
        <v>0</v>
      </c>
      <c r="I1170" s="56" t="n"/>
      <c r="J1170" s="57" t="n">
        <v>0.16</v>
      </c>
      <c r="K1170" s="56" t="inlineStr">
        <is>
          <t>account data velocity</t>
        </is>
      </c>
      <c r="L1170" s="58" t="n">
        <v>1.1586</v>
      </c>
      <c r="M1170" s="56" t="inlineStr">
        <is>
          <t>own BFCM 2025 lift (account data)</t>
        </is>
      </c>
      <c r="N1170" s="59">
        <f>J1170*34+J1170*L1170*12</f>
        <v/>
      </c>
      <c r="O1170" s="59">
        <f>MAX(0,N1170-G1170-H1170)</f>
        <v/>
      </c>
      <c r="P1170" s="60">
        <f>IF(J1170=0,"",IF(G1170&lt;J1170*34,DATE(2026,10,15)+G1170/J1170,IF(G1170&lt;N1170,DATE(2026,11,18)+(G1170-J1170*34)/(J1170*L1170),"after Nov 30")))</f>
        <v/>
      </c>
      <c r="Q1170" s="60">
        <f>IF(J1170=0,"",IF(G1170+H1170&lt;J1170*34,DATE(2026,10,15)+(G1170+H1170)/J1170,IF(G1170+H1170&lt;N1170,DATE(2026,11,18)+(G1170+H1170-J1170*34)/(J1170*L1170),"after Nov 30")))</f>
        <v/>
      </c>
      <c r="R1170" s="54">
        <f>IF(AND(G1170&lt;=0,J1170&gt;0),"Out of stock now",IF(G1170&gt;=N1170,"Covered to Nov 30",IF(G1170+H1170&gt;=N1170,"Needs inbound in time","Short even with inbound")))</f>
        <v/>
      </c>
      <c r="S1170" s="57" t="n">
        <v>0.036</v>
      </c>
      <c r="T1170" s="59">
        <f>IF(S1170="","",S1170*34+S1170*L1170*12)</f>
        <v/>
      </c>
    </row>
    <row r="1171">
      <c r="A1171" s="54" t="inlineStr">
        <is>
          <t>US SL Cooling 4pc</t>
        </is>
      </c>
      <c r="B1171" s="54" t="inlineStr">
        <is>
          <t>US</t>
        </is>
      </c>
      <c r="C1171" s="54" t="inlineStr">
        <is>
          <t>B0F7LY3ZWB</t>
        </is>
      </c>
      <c r="D1171" s="54" t="inlineStr">
        <is>
          <t>SL-COOLING-SHEET-FULL-GRAPHITE</t>
        </is>
      </c>
      <c r="E1171" s="54" t="inlineStr">
        <is>
          <t>Full</t>
        </is>
      </c>
      <c r="F1171" s="54" t="inlineStr">
        <is>
          <t>Graphite</t>
        </is>
      </c>
      <c r="G1171" s="55" t="n">
        <v>41</v>
      </c>
      <c r="H1171" s="55" t="n">
        <v>0</v>
      </c>
      <c r="I1171" s="56" t="n"/>
      <c r="J1171" s="57" t="n">
        <v>0.15</v>
      </c>
      <c r="K1171" s="56" t="inlineStr">
        <is>
          <t>account data velocity</t>
        </is>
      </c>
      <c r="L1171" s="58" t="n">
        <v>1.1586</v>
      </c>
      <c r="M1171" s="56" t="inlineStr">
        <is>
          <t>own BFCM 2025 lift (account data)</t>
        </is>
      </c>
      <c r="N1171" s="59">
        <f>J1171*34+J1171*L1171*12</f>
        <v/>
      </c>
      <c r="O1171" s="59">
        <f>MAX(0,N1171-G1171-H1171)</f>
        <v/>
      </c>
      <c r="P1171" s="60">
        <f>IF(J1171=0,"",IF(G1171&lt;J1171*34,DATE(2026,10,15)+G1171/J1171,IF(G1171&lt;N1171,DATE(2026,11,18)+(G1171-J1171*34)/(J1171*L1171),"after Nov 30")))</f>
        <v/>
      </c>
      <c r="Q1171" s="60">
        <f>IF(J1171=0,"",IF(G1171+H1171&lt;J1171*34,DATE(2026,10,15)+(G1171+H1171)/J1171,IF(G1171+H1171&lt;N1171,DATE(2026,11,18)+(G1171+H1171-J1171*34)/(J1171*L1171),"after Nov 30")))</f>
        <v/>
      </c>
      <c r="R1171" s="54">
        <f>IF(AND(G1171&lt;=0,J1171&gt;0),"Out of stock now",IF(G1171&gt;=N1171,"Covered to Nov 30",IF(G1171+H1171&gt;=N1171,"Needs inbound in time","Short even with inbound")))</f>
        <v/>
      </c>
      <c r="S1171" s="57" t="n">
        <v>0.214</v>
      </c>
      <c r="T1171" s="59">
        <f>IF(S1171="","",S1171*34+S1171*L1171*12)</f>
        <v/>
      </c>
    </row>
    <row r="1172">
      <c r="A1172" s="54" t="inlineStr">
        <is>
          <t>US SL Cooling 4pc</t>
        </is>
      </c>
      <c r="B1172" s="54" t="inlineStr">
        <is>
          <t>US</t>
        </is>
      </c>
      <c r="C1172" s="54" t="inlineStr">
        <is>
          <t>B0F7LZCWQW</t>
        </is>
      </c>
      <c r="D1172" s="54" t="inlineStr">
        <is>
          <t>SL-COOLING-SHEET-KING-SAGE-GREEN</t>
        </is>
      </c>
      <c r="E1172" s="54" t="inlineStr">
        <is>
          <t>King</t>
        </is>
      </c>
      <c r="F1172" s="54" t="inlineStr">
        <is>
          <t>Sage Green</t>
        </is>
      </c>
      <c r="G1172" s="55" t="n">
        <v>0</v>
      </c>
      <c r="H1172" s="55" t="n">
        <v>102</v>
      </c>
      <c r="I1172" s="56" t="inlineStr">
        <is>
          <t>FBA19RS1HC4F shipped: 24; FBA19RRY6QFT shipped: 12; FBA19RS0N5K2 shipped: 6; FBA19RRYCGHJ shipped: 36; FBA19RRY5FBL shipped: 24</t>
        </is>
      </c>
      <c r="J1172" s="57" t="n">
        <v>0.13</v>
      </c>
      <c r="K1172" s="56" t="inlineStr">
        <is>
          <t>account data velocity</t>
        </is>
      </c>
      <c r="L1172" s="58" t="n">
        <v>1.1586</v>
      </c>
      <c r="M1172" s="56" t="inlineStr">
        <is>
          <t>own BFCM 2025 lift (account data)</t>
        </is>
      </c>
      <c r="N1172" s="59">
        <f>J1172*34+J1172*L1172*12</f>
        <v/>
      </c>
      <c r="O1172" s="59">
        <f>MAX(0,N1172-G1172-H1172)</f>
        <v/>
      </c>
      <c r="P1172" s="60">
        <f>IF(J1172=0,"",IF(G1172&lt;J1172*34,DATE(2026,10,15)+G1172/J1172,IF(G1172&lt;N1172,DATE(2026,11,18)+(G1172-J1172*34)/(J1172*L1172),"after Nov 30")))</f>
        <v/>
      </c>
      <c r="Q1172" s="60">
        <f>IF(J1172=0,"",IF(G1172+H1172&lt;J1172*34,DATE(2026,10,15)+(G1172+H1172)/J1172,IF(G1172+H1172&lt;N1172,DATE(2026,11,18)+(G1172+H1172-J1172*34)/(J1172*L1172),"after Nov 30")))</f>
        <v/>
      </c>
      <c r="R1172" s="54">
        <f>IF(AND(G1172&lt;=0,J1172&gt;0),"Out of stock now",IF(G1172&gt;=N1172,"Covered to Nov 30",IF(G1172+H1172&gt;=N1172,"Needs inbound in time","Short even with inbound")))</f>
        <v/>
      </c>
      <c r="S1172" s="57" t="n">
        <v>0</v>
      </c>
      <c r="T1172" s="59">
        <f>IF(S1172="","",S1172*34+S1172*L1172*12)</f>
        <v/>
      </c>
    </row>
    <row r="1173">
      <c r="A1173" s="54" t="inlineStr">
        <is>
          <t>US SL Cooling 4pc</t>
        </is>
      </c>
      <c r="B1173" s="54" t="inlineStr">
        <is>
          <t>US</t>
        </is>
      </c>
      <c r="C1173" s="54" t="inlineStr">
        <is>
          <t>B0F7LYVZMY</t>
        </is>
      </c>
      <c r="D1173" s="54" t="inlineStr">
        <is>
          <t>SL-COOLING-SHEET-TWIN-NAVY-BLUE</t>
        </is>
      </c>
      <c r="E1173" s="54" t="inlineStr">
        <is>
          <t>Twin</t>
        </is>
      </c>
      <c r="F1173" s="54" t="inlineStr">
        <is>
          <t>Navy Blue</t>
        </is>
      </c>
      <c r="G1173" s="55" t="n">
        <v>11</v>
      </c>
      <c r="H1173" s="55" t="n">
        <v>0</v>
      </c>
      <c r="I1173" s="56" t="n"/>
      <c r="J1173" s="57" t="n">
        <v>0.09</v>
      </c>
      <c r="K1173" s="56" t="inlineStr">
        <is>
          <t>account data velocity</t>
        </is>
      </c>
      <c r="L1173" s="58" t="n">
        <v>1.1586</v>
      </c>
      <c r="M1173" s="56" t="inlineStr">
        <is>
          <t>own BFCM 2025 lift (account data)</t>
        </is>
      </c>
      <c r="N1173" s="59">
        <f>J1173*34+J1173*L1173*12</f>
        <v/>
      </c>
      <c r="O1173" s="59">
        <f>MAX(0,N1173-G1173-H1173)</f>
        <v/>
      </c>
      <c r="P1173" s="60">
        <f>IF(J1173=0,"",IF(G1173&lt;J1173*34,DATE(2026,10,15)+G1173/J1173,IF(G1173&lt;N1173,DATE(2026,11,18)+(G1173-J1173*34)/(J1173*L1173),"after Nov 30")))</f>
        <v/>
      </c>
      <c r="Q1173" s="60">
        <f>IF(J1173=0,"",IF(G1173+H1173&lt;J1173*34,DATE(2026,10,15)+(G1173+H1173)/J1173,IF(G1173+H1173&lt;N1173,DATE(2026,11,18)+(G1173+H1173-J1173*34)/(J1173*L1173),"after Nov 30")))</f>
        <v/>
      </c>
      <c r="R1173" s="54">
        <f>IF(AND(G1173&lt;=0,J1173&gt;0),"Out of stock now",IF(G1173&gt;=N1173,"Covered to Nov 30",IF(G1173+H1173&gt;=N1173,"Needs inbound in time","Short even with inbound")))</f>
        <v/>
      </c>
      <c r="S1173" s="57" t="n">
        <v>0.286</v>
      </c>
      <c r="T1173" s="59">
        <f>IF(S1173="","",S1173*34+S1173*L1173*12)</f>
        <v/>
      </c>
    </row>
    <row r="1174">
      <c r="A1174" s="54" t="inlineStr">
        <is>
          <t>US SL Cooling 4pc</t>
        </is>
      </c>
      <c r="B1174" s="54" t="inlineStr">
        <is>
          <t>US</t>
        </is>
      </c>
      <c r="C1174" s="54" t="inlineStr">
        <is>
          <t>B0F7LWK8S4</t>
        </is>
      </c>
      <c r="D1174" s="54" t="inlineStr">
        <is>
          <t>SL-COOLING-SHEET-CAL-KING-COOL-GREY</t>
        </is>
      </c>
      <c r="E1174" s="54" t="inlineStr">
        <is>
          <t>Cal King</t>
        </is>
      </c>
      <c r="F1174" s="54" t="inlineStr">
        <is>
          <t>Cool Grey</t>
        </is>
      </c>
      <c r="G1174" s="55" t="n">
        <v>38</v>
      </c>
      <c r="H1174" s="55" t="n">
        <v>0</v>
      </c>
      <c r="I1174" s="56" t="n"/>
      <c r="J1174" s="57" t="n">
        <v>0.09</v>
      </c>
      <c r="K1174" s="56" t="inlineStr">
        <is>
          <t>account data velocity</t>
        </is>
      </c>
      <c r="L1174" s="58" t="n">
        <v>1.1586</v>
      </c>
      <c r="M1174" s="56" t="inlineStr">
        <is>
          <t>own BFCM 2025 lift (account data)</t>
        </is>
      </c>
      <c r="N1174" s="59">
        <f>J1174*34+J1174*L1174*12</f>
        <v/>
      </c>
      <c r="O1174" s="59">
        <f>MAX(0,N1174-G1174-H1174)</f>
        <v/>
      </c>
      <c r="P1174" s="60">
        <f>IF(J1174=0,"",IF(G1174&lt;J1174*34,DATE(2026,10,15)+G1174/J1174,IF(G1174&lt;N1174,DATE(2026,11,18)+(G1174-J1174*34)/(J1174*L1174),"after Nov 30")))</f>
        <v/>
      </c>
      <c r="Q1174" s="60">
        <f>IF(J1174=0,"",IF(G1174+H1174&lt;J1174*34,DATE(2026,10,15)+(G1174+H1174)/J1174,IF(G1174+H1174&lt;N1174,DATE(2026,11,18)+(G1174+H1174-J1174*34)/(J1174*L1174),"after Nov 30")))</f>
        <v/>
      </c>
      <c r="R1174" s="54">
        <f>IF(AND(G1174&lt;=0,J1174&gt;0),"Out of stock now",IF(G1174&gt;=N1174,"Covered to Nov 30",IF(G1174+H1174&gt;=N1174,"Needs inbound in time","Short even with inbound")))</f>
        <v/>
      </c>
      <c r="S1174" s="57" t="n">
        <v>0.107</v>
      </c>
      <c r="T1174" s="59">
        <f>IF(S1174="","",S1174*34+S1174*L1174*12)</f>
        <v/>
      </c>
    </row>
    <row r="1175">
      <c r="A1175" s="54" t="inlineStr">
        <is>
          <t>US SL Cooling 4pc</t>
        </is>
      </c>
      <c r="B1175" s="54" t="inlineStr">
        <is>
          <t>US</t>
        </is>
      </c>
      <c r="C1175" s="54" t="inlineStr">
        <is>
          <t>B0F7LWG82H</t>
        </is>
      </c>
      <c r="D1175" s="54" t="inlineStr">
        <is>
          <t>SL-COOLING-SHEET-FULL-REGAL-PURPLE</t>
        </is>
      </c>
      <c r="E1175" s="54" t="inlineStr">
        <is>
          <t>Full</t>
        </is>
      </c>
      <c r="F1175" s="54" t="inlineStr">
        <is>
          <t>Regal Purple</t>
        </is>
      </c>
      <c r="G1175" s="55" t="n">
        <v>38</v>
      </c>
      <c r="H1175" s="55" t="n">
        <v>30</v>
      </c>
      <c r="I1175" s="56" t="inlineStr">
        <is>
          <t>FBA19RS1HC4F shipped: 6; FBA19RRY6QFT shipped: 6; FBA19RRYCGHJ shipped: 6; FBA19RRY5FBL shipped: 12</t>
        </is>
      </c>
      <c r="J1175" s="57" t="n">
        <v>0.08</v>
      </c>
      <c r="K1175" s="56" t="inlineStr">
        <is>
          <t>account data velocity</t>
        </is>
      </c>
      <c r="L1175" s="58" t="n">
        <v>1.1586</v>
      </c>
      <c r="M1175" s="56" t="inlineStr">
        <is>
          <t>own BFCM 2025 lift (account data)</t>
        </is>
      </c>
      <c r="N1175" s="59">
        <f>J1175*34+J1175*L1175*12</f>
        <v/>
      </c>
      <c r="O1175" s="59">
        <f>MAX(0,N1175-G1175-H1175)</f>
        <v/>
      </c>
      <c r="P1175" s="60">
        <f>IF(J1175=0,"",IF(G1175&lt;J1175*34,DATE(2026,10,15)+G1175/J1175,IF(G1175&lt;N1175,DATE(2026,11,18)+(G1175-J1175*34)/(J1175*L1175),"after Nov 30")))</f>
        <v/>
      </c>
      <c r="Q1175" s="60">
        <f>IF(J1175=0,"",IF(G1175+H1175&lt;J1175*34,DATE(2026,10,15)+(G1175+H1175)/J1175,IF(G1175+H1175&lt;N1175,DATE(2026,11,18)+(G1175+H1175-J1175*34)/(J1175*L1175),"after Nov 30")))</f>
        <v/>
      </c>
      <c r="R1175" s="54">
        <f>IF(AND(G1175&lt;=0,J1175&gt;0),"Out of stock now",IF(G1175&gt;=N1175,"Covered to Nov 30",IF(G1175+H1175&gt;=N1175,"Needs inbound in time","Short even with inbound")))</f>
        <v/>
      </c>
      <c r="S1175" s="57" t="n">
        <v>0.143</v>
      </c>
      <c r="T1175" s="59">
        <f>IF(S1175="","",S1175*34+S1175*L1175*12)</f>
        <v/>
      </c>
    </row>
    <row r="1176">
      <c r="A1176" s="54" t="inlineStr">
        <is>
          <t>US SL Cooling 4pc</t>
        </is>
      </c>
      <c r="B1176" s="54" t="inlineStr">
        <is>
          <t>US</t>
        </is>
      </c>
      <c r="C1176" s="54" t="inlineStr">
        <is>
          <t>B0F7LYFSJS</t>
        </is>
      </c>
      <c r="D1176" s="54" t="inlineStr">
        <is>
          <t>SL-COOLING-SHEET-TWIN-WHITE</t>
        </is>
      </c>
      <c r="E1176" s="54" t="inlineStr">
        <is>
          <t>Twin</t>
        </is>
      </c>
      <c r="F1176" s="54" t="inlineStr">
        <is>
          <t>White</t>
        </is>
      </c>
      <c r="G1176" s="55" t="n">
        <v>10</v>
      </c>
      <c r="H1176" s="55" t="n">
        <v>0</v>
      </c>
      <c r="I1176" s="56" t="n"/>
      <c r="J1176" s="57" t="n">
        <v>0.08</v>
      </c>
      <c r="K1176" s="56" t="inlineStr">
        <is>
          <t>account data velocity</t>
        </is>
      </c>
      <c r="L1176" s="58" t="n">
        <v>1.1586</v>
      </c>
      <c r="M1176" s="56" t="inlineStr">
        <is>
          <t>own BFCM 2025 lift (account data)</t>
        </is>
      </c>
      <c r="N1176" s="59">
        <f>J1176*34+J1176*L1176*12</f>
        <v/>
      </c>
      <c r="O1176" s="59">
        <f>MAX(0,N1176-G1176-H1176)</f>
        <v/>
      </c>
      <c r="P1176" s="60">
        <f>IF(J1176=0,"",IF(G1176&lt;J1176*34,DATE(2026,10,15)+G1176/J1176,IF(G1176&lt;N1176,DATE(2026,11,18)+(G1176-J1176*34)/(J1176*L1176),"after Nov 30")))</f>
        <v/>
      </c>
      <c r="Q1176" s="60">
        <f>IF(J1176=0,"",IF(G1176+H1176&lt;J1176*34,DATE(2026,10,15)+(G1176+H1176)/J1176,IF(G1176+H1176&lt;N1176,DATE(2026,11,18)+(G1176+H1176-J1176*34)/(J1176*L1176),"after Nov 30")))</f>
        <v/>
      </c>
      <c r="R1176" s="54">
        <f>IF(AND(G1176&lt;=0,J1176&gt;0),"Out of stock now",IF(G1176&gt;=N1176,"Covered to Nov 30",IF(G1176+H1176&gt;=N1176,"Needs inbound in time","Short even with inbound")))</f>
        <v/>
      </c>
      <c r="S1176" s="57" t="n">
        <v>0.07099999999999999</v>
      </c>
      <c r="T1176" s="59">
        <f>IF(S1176="","",S1176*34+S1176*L1176*12)</f>
        <v/>
      </c>
    </row>
    <row r="1177">
      <c r="A1177" s="54" t="inlineStr">
        <is>
          <t>US SL Cooling 4pc</t>
        </is>
      </c>
      <c r="B1177" s="54" t="inlineStr">
        <is>
          <t>US</t>
        </is>
      </c>
      <c r="C1177" s="54" t="inlineStr">
        <is>
          <t>B0F7LYBQYF</t>
        </is>
      </c>
      <c r="D1177" s="54" t="inlineStr">
        <is>
          <t>SL-COOLING-SHEET-FULL-BEIGE</t>
        </is>
      </c>
      <c r="E1177" s="54" t="inlineStr">
        <is>
          <t>Full</t>
        </is>
      </c>
      <c r="F1177" s="54" t="inlineStr">
        <is>
          <t>Beige</t>
        </is>
      </c>
      <c r="G1177" s="55" t="n">
        <v>80</v>
      </c>
      <c r="H1177" s="55" t="n">
        <v>0</v>
      </c>
      <c r="I1177" s="56" t="n"/>
      <c r="J1177" s="57" t="n">
        <v>0.07000000000000001</v>
      </c>
      <c r="K1177" s="56" t="inlineStr">
        <is>
          <t>account data velocity</t>
        </is>
      </c>
      <c r="L1177" s="58" t="n">
        <v>1.1586</v>
      </c>
      <c r="M1177" s="56" t="inlineStr">
        <is>
          <t>own BFCM 2025 lift (account data)</t>
        </is>
      </c>
      <c r="N1177" s="59">
        <f>J1177*34+J1177*L1177*12</f>
        <v/>
      </c>
      <c r="O1177" s="59">
        <f>MAX(0,N1177-G1177-H1177)</f>
        <v/>
      </c>
      <c r="P1177" s="60">
        <f>IF(J1177=0,"",IF(G1177&lt;J1177*34,DATE(2026,10,15)+G1177/J1177,IF(G1177&lt;N1177,DATE(2026,11,18)+(G1177-J1177*34)/(J1177*L1177),"after Nov 30")))</f>
        <v/>
      </c>
      <c r="Q1177" s="60">
        <f>IF(J1177=0,"",IF(G1177+H1177&lt;J1177*34,DATE(2026,10,15)+(G1177+H1177)/J1177,IF(G1177+H1177&lt;N1177,DATE(2026,11,18)+(G1177+H1177-J1177*34)/(J1177*L1177),"after Nov 30")))</f>
        <v/>
      </c>
      <c r="R1177" s="54">
        <f>IF(AND(G1177&lt;=0,J1177&gt;0),"Out of stock now",IF(G1177&gt;=N1177,"Covered to Nov 30",IF(G1177+H1177&gt;=N1177,"Needs inbound in time","Short even with inbound")))</f>
        <v/>
      </c>
      <c r="S1177" s="57" t="n">
        <v>0.036</v>
      </c>
      <c r="T1177" s="59">
        <f>IF(S1177="","",S1177*34+S1177*L1177*12)</f>
        <v/>
      </c>
    </row>
    <row r="1178">
      <c r="A1178" s="54" t="inlineStr">
        <is>
          <t>US SL Cooling 4pc</t>
        </is>
      </c>
      <c r="B1178" s="54" t="inlineStr">
        <is>
          <t>US</t>
        </is>
      </c>
      <c r="C1178" s="54" t="inlineStr">
        <is>
          <t>B0F7LZ3ZJQ</t>
        </is>
      </c>
      <c r="D1178" s="54" t="inlineStr">
        <is>
          <t>SL-COOLING-SHEET-TWIN-LIGHT-PINK</t>
        </is>
      </c>
      <c r="E1178" s="54" t="inlineStr">
        <is>
          <t>Twin</t>
        </is>
      </c>
      <c r="F1178" s="54" t="inlineStr">
        <is>
          <t>Light Pink</t>
        </is>
      </c>
      <c r="G1178" s="55" t="n">
        <v>0</v>
      </c>
      <c r="H1178" s="55" t="n">
        <v>72</v>
      </c>
      <c r="I1178" s="56" t="inlineStr">
        <is>
          <t>FBA19STZ9LHZ ready to ship: 6; FBA19STRJMC3 ready to ship: 6; FBA19SV47PX1 ready to ship: 6; FBA19SV1CLVT ready to ship: 6; FBA19STYQSF4 ready to ship: 6; FBA19RS1HC4F shipped: 6; FBA19RRY6QFT shipped: 6; FBA19RS0N5K2 shipped: 6; FBA19RRYCGHJ shipped: 12; FBA19RRY5FBL shipped: 12</t>
        </is>
      </c>
      <c r="J1178" s="57" t="n">
        <v>0.07000000000000001</v>
      </c>
      <c r="K1178" s="56" t="inlineStr">
        <is>
          <t>account data velocity</t>
        </is>
      </c>
      <c r="L1178" s="58" t="n">
        <v>1.1586</v>
      </c>
      <c r="M1178" s="56" t="inlineStr">
        <is>
          <t>own BFCM 2025 lift (account data)</t>
        </is>
      </c>
      <c r="N1178" s="59">
        <f>J1178*34+J1178*L1178*12</f>
        <v/>
      </c>
      <c r="O1178" s="59">
        <f>MAX(0,N1178-G1178-H1178)</f>
        <v/>
      </c>
      <c r="P1178" s="60">
        <f>IF(J1178=0,"",IF(G1178&lt;J1178*34,DATE(2026,10,15)+G1178/J1178,IF(G1178&lt;N1178,DATE(2026,11,18)+(G1178-J1178*34)/(J1178*L1178),"after Nov 30")))</f>
        <v/>
      </c>
      <c r="Q1178" s="60">
        <f>IF(J1178=0,"",IF(G1178+H1178&lt;J1178*34,DATE(2026,10,15)+(G1178+H1178)/J1178,IF(G1178+H1178&lt;N1178,DATE(2026,11,18)+(G1178+H1178-J1178*34)/(J1178*L1178),"after Nov 30")))</f>
        <v/>
      </c>
      <c r="R1178" s="54">
        <f>IF(AND(G1178&lt;=0,J1178&gt;0),"Out of stock now",IF(G1178&gt;=N1178,"Covered to Nov 30",IF(G1178+H1178&gt;=N1178,"Needs inbound in time","Short even with inbound")))</f>
        <v/>
      </c>
      <c r="S1178" s="57" t="n">
        <v>0.036</v>
      </c>
      <c r="T1178" s="59">
        <f>IF(S1178="","",S1178*34+S1178*L1178*12)</f>
        <v/>
      </c>
    </row>
    <row r="1179">
      <c r="A1179" s="54" t="inlineStr">
        <is>
          <t>US SL Cooling 4pc</t>
        </is>
      </c>
      <c r="B1179" s="54" t="inlineStr">
        <is>
          <t>US</t>
        </is>
      </c>
      <c r="C1179" s="54" t="inlineStr">
        <is>
          <t>B0F7LXNSQK</t>
        </is>
      </c>
      <c r="D1179" s="54" t="inlineStr">
        <is>
          <t>SL-COOLING-SHEET-FULL-MIDNIGHT-BLACK</t>
        </is>
      </c>
      <c r="E1179" s="54" t="inlineStr">
        <is>
          <t>Full</t>
        </is>
      </c>
      <c r="F1179" s="54" t="inlineStr">
        <is>
          <t>Midnight Black</t>
        </is>
      </c>
      <c r="G1179" s="55" t="n">
        <v>0</v>
      </c>
      <c r="H1179" s="55" t="n">
        <v>36</v>
      </c>
      <c r="I1179" s="56" t="inlineStr">
        <is>
          <t>FBA19RS1HC4F shipped: 6; FBA19RRY6QFT shipped: 6; FBA19RS0N5K2 shipped: 6; FBA19RRYCGHJ shipped: 6; FBA19RRY5FBL shipped: 12</t>
        </is>
      </c>
      <c r="J1179" s="57" t="n">
        <v>0.05</v>
      </c>
      <c r="K1179" s="56" t="inlineStr">
        <is>
          <t>account data velocity</t>
        </is>
      </c>
      <c r="L1179" s="58" t="n">
        <v>1.1586</v>
      </c>
      <c r="M1179" s="56" t="inlineStr">
        <is>
          <t>own BFCM 2025 lift (account data)</t>
        </is>
      </c>
      <c r="N1179" s="59">
        <f>J1179*34+J1179*L1179*12</f>
        <v/>
      </c>
      <c r="O1179" s="59">
        <f>MAX(0,N1179-G1179-H1179)</f>
        <v/>
      </c>
      <c r="P1179" s="60">
        <f>IF(J1179=0,"",IF(G1179&lt;J1179*34,DATE(2026,10,15)+G1179/J1179,IF(G1179&lt;N1179,DATE(2026,11,18)+(G1179-J1179*34)/(J1179*L1179),"after Nov 30")))</f>
        <v/>
      </c>
      <c r="Q1179" s="60">
        <f>IF(J1179=0,"",IF(G1179+H1179&lt;J1179*34,DATE(2026,10,15)+(G1179+H1179)/J1179,IF(G1179+H1179&lt;N1179,DATE(2026,11,18)+(G1179+H1179-J1179*34)/(J1179*L1179),"after Nov 30")))</f>
        <v/>
      </c>
      <c r="R1179" s="54">
        <f>IF(AND(G1179&lt;=0,J1179&gt;0),"Out of stock now",IF(G1179&gt;=N1179,"Covered to Nov 30",IF(G1179+H1179&gt;=N1179,"Needs inbound in time","Short even with inbound")))</f>
        <v/>
      </c>
      <c r="S1179" s="57" t="n">
        <v>0.07099999999999999</v>
      </c>
      <c r="T1179" s="59">
        <f>IF(S1179="","",S1179*34+S1179*L1179*12)</f>
        <v/>
      </c>
    </row>
    <row r="1180">
      <c r="A1180" s="54" t="inlineStr">
        <is>
          <t>US SL Cooling 4pc</t>
        </is>
      </c>
      <c r="B1180" s="54" t="inlineStr">
        <is>
          <t>US</t>
        </is>
      </c>
      <c r="C1180" s="54" t="inlineStr">
        <is>
          <t>B0F7LXFGLX</t>
        </is>
      </c>
      <c r="D1180" s="54" t="inlineStr">
        <is>
          <t>SL-COOLING-SHEET-CAL-KING-BEIGE</t>
        </is>
      </c>
      <c r="E1180" s="54" t="inlineStr">
        <is>
          <t>Cal King</t>
        </is>
      </c>
      <c r="F1180" s="54" t="inlineStr">
        <is>
          <t>Beige</t>
        </is>
      </c>
      <c r="G1180" s="55" t="n">
        <v>1</v>
      </c>
      <c r="H1180" s="55" t="n">
        <v>48</v>
      </c>
      <c r="I1180" s="56" t="inlineStr">
        <is>
          <t>FBA19RS1HC4F shipped: 12; FBA19RRY6QFT shipped: 6; FBA19RS0N5K2 shipped: 6; FBA19RRYCGHJ shipped: 12; FBA19RRY5FBL shipped: 12</t>
        </is>
      </c>
      <c r="J1180" s="57" t="n">
        <v>0.04</v>
      </c>
      <c r="K1180" s="56" t="inlineStr">
        <is>
          <t>account data velocity</t>
        </is>
      </c>
      <c r="L1180" s="58" t="n">
        <v>1.1586</v>
      </c>
      <c r="M1180" s="56" t="inlineStr">
        <is>
          <t>own BFCM 2025 lift (account data)</t>
        </is>
      </c>
      <c r="N1180" s="59">
        <f>J1180*34+J1180*L1180*12</f>
        <v/>
      </c>
      <c r="O1180" s="59">
        <f>MAX(0,N1180-G1180-H1180)</f>
        <v/>
      </c>
      <c r="P1180" s="60">
        <f>IF(J1180=0,"",IF(G1180&lt;J1180*34,DATE(2026,10,15)+G1180/J1180,IF(G1180&lt;N1180,DATE(2026,11,18)+(G1180-J1180*34)/(J1180*L1180),"after Nov 30")))</f>
        <v/>
      </c>
      <c r="Q1180" s="60">
        <f>IF(J1180=0,"",IF(G1180+H1180&lt;J1180*34,DATE(2026,10,15)+(G1180+H1180)/J1180,IF(G1180+H1180&lt;N1180,DATE(2026,11,18)+(G1180+H1180-J1180*34)/(J1180*L1180),"after Nov 30")))</f>
        <v/>
      </c>
      <c r="R1180" s="54">
        <f>IF(AND(G1180&lt;=0,J1180&gt;0),"Out of stock now",IF(G1180&gt;=N1180,"Covered to Nov 30",IF(G1180+H1180&gt;=N1180,"Needs inbound in time","Short even with inbound")))</f>
        <v/>
      </c>
      <c r="S1180" s="57" t="n">
        <v>0.036</v>
      </c>
      <c r="T1180" s="59">
        <f>IF(S1180="","",S1180*34+S1180*L1180*12)</f>
        <v/>
      </c>
    </row>
    <row r="1181">
      <c r="A1181" s="54" t="inlineStr">
        <is>
          <t>US SL Cooling 4pc</t>
        </is>
      </c>
      <c r="B1181" s="54" t="inlineStr">
        <is>
          <t>US</t>
        </is>
      </c>
      <c r="C1181" s="54" t="inlineStr">
        <is>
          <t>B0F7LZ3ZQJ</t>
        </is>
      </c>
      <c r="D1181" s="54" t="inlineStr">
        <is>
          <t>SL-COOLING-SHEET-TWIN-LIGHT-GREY</t>
        </is>
      </c>
      <c r="E1181" s="54" t="inlineStr">
        <is>
          <t>Twin</t>
        </is>
      </c>
      <c r="F1181" s="54" t="inlineStr">
        <is>
          <t>Light Grey</t>
        </is>
      </c>
      <c r="G1181" s="55" t="n">
        <v>0</v>
      </c>
      <c r="H1181" s="55" t="n">
        <v>0</v>
      </c>
      <c r="I1181" s="56" t="n"/>
      <c r="J1181" s="57" t="n">
        <v>0.04</v>
      </c>
      <c r="K1181" s="56" t="inlineStr">
        <is>
          <t>account data velocity</t>
        </is>
      </c>
      <c r="L1181" s="58" t="n">
        <v>1.1586</v>
      </c>
      <c r="M1181" s="56" t="inlineStr">
        <is>
          <t>own BFCM 2025 lift (account data)</t>
        </is>
      </c>
      <c r="N1181" s="59">
        <f>J1181*34+J1181*L1181*12</f>
        <v/>
      </c>
      <c r="O1181" s="59">
        <f>MAX(0,N1181-G1181-H1181)</f>
        <v/>
      </c>
      <c r="P1181" s="60">
        <f>IF(J1181=0,"",IF(G1181&lt;J1181*34,DATE(2026,10,15)+G1181/J1181,IF(G1181&lt;N1181,DATE(2026,11,18)+(G1181-J1181*34)/(J1181*L1181),"after Nov 30")))</f>
        <v/>
      </c>
      <c r="Q1181" s="60">
        <f>IF(J1181=0,"",IF(G1181+H1181&lt;J1181*34,DATE(2026,10,15)+(G1181+H1181)/J1181,IF(G1181+H1181&lt;N1181,DATE(2026,11,18)+(G1181+H1181-J1181*34)/(J1181*L1181),"after Nov 30")))</f>
        <v/>
      </c>
      <c r="R1181" s="54">
        <f>IF(AND(G1181&lt;=0,J1181&gt;0),"Out of stock now",IF(G1181&gt;=N1181,"Covered to Nov 30",IF(G1181+H1181&gt;=N1181,"Needs inbound in time","Short even with inbound")))</f>
        <v/>
      </c>
      <c r="S1181" s="57" t="n">
        <v>0</v>
      </c>
      <c r="T1181" s="59">
        <f>IF(S1181="","",S1181*34+S1181*L1181*12)</f>
        <v/>
      </c>
    </row>
    <row r="1182">
      <c r="A1182" s="54" t="inlineStr">
        <is>
          <t>US SL Cooling 4pc</t>
        </is>
      </c>
      <c r="B1182" s="54" t="inlineStr">
        <is>
          <t>US</t>
        </is>
      </c>
      <c r="C1182" s="54" t="inlineStr">
        <is>
          <t>B0F7LX9P4H</t>
        </is>
      </c>
      <c r="D1182" s="54" t="inlineStr">
        <is>
          <t>SL-COOLING-SHEET-FULL-SAGE-GREEN</t>
        </is>
      </c>
      <c r="E1182" s="54" t="inlineStr">
        <is>
          <t>Full</t>
        </is>
      </c>
      <c r="F1182" s="54" t="inlineStr">
        <is>
          <t>Sage Green</t>
        </is>
      </c>
      <c r="G1182" s="55" t="n">
        <v>68</v>
      </c>
      <c r="H1182" s="55" t="n">
        <v>0</v>
      </c>
      <c r="I1182" s="56" t="n"/>
      <c r="J1182" s="57" t="n">
        <v>0.03</v>
      </c>
      <c r="K1182" s="56" t="inlineStr">
        <is>
          <t>account data velocity</t>
        </is>
      </c>
      <c r="L1182" s="58" t="n">
        <v>1.1586</v>
      </c>
      <c r="M1182" s="56" t="inlineStr">
        <is>
          <t>own BFCM 2025 lift (account data)</t>
        </is>
      </c>
      <c r="N1182" s="59">
        <f>J1182*34+J1182*L1182*12</f>
        <v/>
      </c>
      <c r="O1182" s="59">
        <f>MAX(0,N1182-G1182-H1182)</f>
        <v/>
      </c>
      <c r="P1182" s="60">
        <f>IF(J1182=0,"",IF(G1182&lt;J1182*34,DATE(2026,10,15)+G1182/J1182,IF(G1182&lt;N1182,DATE(2026,11,18)+(G1182-J1182*34)/(J1182*L1182),"after Nov 30")))</f>
        <v/>
      </c>
      <c r="Q1182" s="60">
        <f>IF(J1182=0,"",IF(G1182+H1182&lt;J1182*34,DATE(2026,10,15)+(G1182+H1182)/J1182,IF(G1182+H1182&lt;N1182,DATE(2026,11,18)+(G1182+H1182-J1182*34)/(J1182*L1182),"after Nov 30")))</f>
        <v/>
      </c>
      <c r="R1182" s="54">
        <f>IF(AND(G1182&lt;=0,J1182&gt;0),"Out of stock now",IF(G1182&gt;=N1182,"Covered to Nov 30",IF(G1182+H1182&gt;=N1182,"Needs inbound in time","Short even with inbound")))</f>
        <v/>
      </c>
      <c r="S1182" s="57" t="n">
        <v>0.107</v>
      </c>
      <c r="T1182" s="59">
        <f>IF(S1182="","",S1182*34+S1182*L1182*12)</f>
        <v/>
      </c>
    </row>
    <row r="1183">
      <c r="A1183" s="54" t="inlineStr">
        <is>
          <t>US SL Cooling 4pc</t>
        </is>
      </c>
      <c r="B1183" s="54" t="inlineStr">
        <is>
          <t>US</t>
        </is>
      </c>
      <c r="C1183" s="54" t="inlineStr">
        <is>
          <t>B0F7M1ZY15</t>
        </is>
      </c>
      <c r="D1183" s="54" t="inlineStr">
        <is>
          <t>SL-COOLING-SHEET-TWIN-CREAM</t>
        </is>
      </c>
      <c r="E1183" s="54" t="inlineStr">
        <is>
          <t>Twin</t>
        </is>
      </c>
      <c r="F1183" s="54" t="inlineStr">
        <is>
          <t>Cream</t>
        </is>
      </c>
      <c r="G1183" s="55" t="n">
        <v>35</v>
      </c>
      <c r="H1183" s="55" t="n">
        <v>0</v>
      </c>
      <c r="I1183" s="56" t="n"/>
      <c r="J1183" s="57" t="n">
        <v>0.03</v>
      </c>
      <c r="K1183" s="56" t="inlineStr">
        <is>
          <t>account data velocity</t>
        </is>
      </c>
      <c r="L1183" s="58" t="n">
        <v>1.1586</v>
      </c>
      <c r="M1183" s="56" t="inlineStr">
        <is>
          <t>own BFCM 2025 lift (account data)</t>
        </is>
      </c>
      <c r="N1183" s="59">
        <f>J1183*34+J1183*L1183*12</f>
        <v/>
      </c>
      <c r="O1183" s="59">
        <f>MAX(0,N1183-G1183-H1183)</f>
        <v/>
      </c>
      <c r="P1183" s="60">
        <f>IF(J1183=0,"",IF(G1183&lt;J1183*34,DATE(2026,10,15)+G1183/J1183,IF(G1183&lt;N1183,DATE(2026,11,18)+(G1183-J1183*34)/(J1183*L1183),"after Nov 30")))</f>
        <v/>
      </c>
      <c r="Q1183" s="60">
        <f>IF(J1183=0,"",IF(G1183+H1183&lt;J1183*34,DATE(2026,10,15)+(G1183+H1183)/J1183,IF(G1183+H1183&lt;N1183,DATE(2026,11,18)+(G1183+H1183-J1183*34)/(J1183*L1183),"after Nov 30")))</f>
        <v/>
      </c>
      <c r="R1183" s="54">
        <f>IF(AND(G1183&lt;=0,J1183&gt;0),"Out of stock now",IF(G1183&gt;=N1183,"Covered to Nov 30",IF(G1183+H1183&gt;=N1183,"Needs inbound in time","Short even with inbound")))</f>
        <v/>
      </c>
      <c r="S1183" s="57" t="n">
        <v>0.036</v>
      </c>
      <c r="T1183" s="59">
        <f>IF(S1183="","",S1183*34+S1183*L1183*12)</f>
        <v/>
      </c>
    </row>
    <row r="1184">
      <c r="A1184" s="54" t="inlineStr">
        <is>
          <t>US SL Cooling 4pc</t>
        </is>
      </c>
      <c r="B1184" s="54" t="inlineStr">
        <is>
          <t>US</t>
        </is>
      </c>
      <c r="C1184" s="54" t="inlineStr">
        <is>
          <t>B0F7LWTN5R</t>
        </is>
      </c>
      <c r="D1184" s="54" t="inlineStr">
        <is>
          <t>SL-COOLING-SHEET-CAL-KING-CREAM</t>
        </is>
      </c>
      <c r="E1184" s="54" t="inlineStr">
        <is>
          <t>Cal King</t>
        </is>
      </c>
      <c r="F1184" s="54" t="inlineStr">
        <is>
          <t>Cream</t>
        </is>
      </c>
      <c r="G1184" s="55" t="n">
        <v>0</v>
      </c>
      <c r="H1184" s="55" t="n">
        <v>30</v>
      </c>
      <c r="I1184" s="56" t="inlineStr">
        <is>
          <t>FBA19STZ9LHZ ready to ship: 6; FBA19STRJMC3 ready to ship: 6; FBA19SV47PX1 ready to ship: 6; FBA19SV1CLVT ready to ship: 6; FBA19STYQSF4 ready to ship: 6</t>
        </is>
      </c>
      <c r="J1184" s="57" t="n">
        <v>0</v>
      </c>
      <c r="K1184" s="56" t="inlineStr">
        <is>
          <t>account data velocity</t>
        </is>
      </c>
      <c r="L1184" s="58" t="n">
        <v>1.1586</v>
      </c>
      <c r="M1184" s="56" t="inlineStr">
        <is>
          <t>own BFCM 2025 lift (account data)</t>
        </is>
      </c>
      <c r="N1184" s="59">
        <f>J1184*34+J1184*L1184*12</f>
        <v/>
      </c>
      <c r="O1184" s="59">
        <f>MAX(0,N1184-G1184-H1184)</f>
        <v/>
      </c>
      <c r="P1184" s="60">
        <f>IF(J1184=0,"",IF(G1184&lt;J1184*34,DATE(2026,10,15)+G1184/J1184,IF(G1184&lt;N1184,DATE(2026,11,18)+(G1184-J1184*34)/(J1184*L1184),"after Nov 30")))</f>
        <v/>
      </c>
      <c r="Q1184" s="60">
        <f>IF(J1184=0,"",IF(G1184+H1184&lt;J1184*34,DATE(2026,10,15)+(G1184+H1184)/J1184,IF(G1184+H1184&lt;N1184,DATE(2026,11,18)+(G1184+H1184-J1184*34)/(J1184*L1184),"after Nov 30")))</f>
        <v/>
      </c>
      <c r="R1184" s="54">
        <f>IF(AND(G1184&lt;=0,J1184&gt;0),"Out of stock now",IF(G1184&gt;=N1184,"Covered to Nov 30",IF(G1184+H1184&gt;=N1184,"Needs inbound in time","Short even with inbound")))</f>
        <v/>
      </c>
      <c r="S1184" s="57" t="n"/>
      <c r="T1184" s="59">
        <f>IF(S1184="","",S1184*34+S1184*L1184*12)</f>
        <v/>
      </c>
    </row>
    <row r="1185">
      <c r="A1185" s="54" t="inlineStr">
        <is>
          <t>US SL Cooling 4pc</t>
        </is>
      </c>
      <c r="B1185" s="54" t="inlineStr">
        <is>
          <t>US</t>
        </is>
      </c>
      <c r="C1185" s="54" t="inlineStr">
        <is>
          <t>B0F7LX3RH5</t>
        </is>
      </c>
      <c r="D1185" s="54" t="inlineStr">
        <is>
          <t>SL-COOLING-SHEET-CAL-KING-LIGHT-BLUE</t>
        </is>
      </c>
      <c r="E1185" s="54" t="inlineStr">
        <is>
          <t>Cal King</t>
        </is>
      </c>
      <c r="F1185" s="54" t="inlineStr">
        <is>
          <t>Light Blue</t>
        </is>
      </c>
      <c r="G1185" s="55" t="n">
        <v>0</v>
      </c>
      <c r="H1185" s="55" t="n">
        <v>42</v>
      </c>
      <c r="I1185" s="56" t="inlineStr">
        <is>
          <t>FBA19RS1HC4F shipped: 12; FBA19RRY6QFT shipped: 6; FBA19RS0N5K2 shipped: 6; FBA19RRYCGHJ shipped: 6; FBA19RRY5FBL shipped: 12</t>
        </is>
      </c>
      <c r="J1185" s="57" t="n">
        <v>0</v>
      </c>
      <c r="K1185" s="56" t="inlineStr">
        <is>
          <t>account data velocity</t>
        </is>
      </c>
      <c r="L1185" s="58" t="n">
        <v>1.1586</v>
      </c>
      <c r="M1185" s="56" t="inlineStr">
        <is>
          <t>own BFCM 2025 lift (account data)</t>
        </is>
      </c>
      <c r="N1185" s="59">
        <f>J1185*34+J1185*L1185*12</f>
        <v/>
      </c>
      <c r="O1185" s="59">
        <f>MAX(0,N1185-G1185-H1185)</f>
        <v/>
      </c>
      <c r="P1185" s="60">
        <f>IF(J1185=0,"",IF(G1185&lt;J1185*34,DATE(2026,10,15)+G1185/J1185,IF(G1185&lt;N1185,DATE(2026,11,18)+(G1185-J1185*34)/(J1185*L1185),"after Nov 30")))</f>
        <v/>
      </c>
      <c r="Q1185" s="60">
        <f>IF(J1185=0,"",IF(G1185+H1185&lt;J1185*34,DATE(2026,10,15)+(G1185+H1185)/J1185,IF(G1185+H1185&lt;N1185,DATE(2026,11,18)+(G1185+H1185-J1185*34)/(J1185*L1185),"after Nov 30")))</f>
        <v/>
      </c>
      <c r="R1185" s="54">
        <f>IF(AND(G1185&lt;=0,J1185&gt;0),"Out of stock now",IF(G1185&gt;=N1185,"Covered to Nov 30",IF(G1185+H1185&gt;=N1185,"Needs inbound in time","Short even with inbound")))</f>
        <v/>
      </c>
      <c r="S1185" s="57" t="n"/>
      <c r="T1185" s="59">
        <f>IF(S1185="","",S1185*34+S1185*L1185*12)</f>
        <v/>
      </c>
    </row>
    <row r="1186">
      <c r="A1186" s="54" t="inlineStr">
        <is>
          <t>US SL Cooling 4pc</t>
        </is>
      </c>
      <c r="B1186" s="54" t="inlineStr">
        <is>
          <t>US</t>
        </is>
      </c>
      <c r="C1186" s="54" t="inlineStr">
        <is>
          <t>B0F7M1847R</t>
        </is>
      </c>
      <c r="D1186" s="54" t="inlineStr">
        <is>
          <t>SL-COOLING-SHEET-CAL-KING-LIGHT-GREY</t>
        </is>
      </c>
      <c r="E1186" s="54" t="inlineStr">
        <is>
          <t>Cal King</t>
        </is>
      </c>
      <c r="F1186" s="54" t="inlineStr">
        <is>
          <t>Light Grey</t>
        </is>
      </c>
      <c r="G1186" s="55" t="n">
        <v>0</v>
      </c>
      <c r="H1186" s="55" t="n">
        <v>30</v>
      </c>
      <c r="I1186" s="56" t="inlineStr">
        <is>
          <t>FBA19STZ9LHZ ready to ship: 6; FBA19STRJMC3 ready to ship: 6; FBA19SV47PX1 ready to ship: 6; FBA19SV1CLVT ready to ship: 6; FBA19STYQSF4 ready to ship: 6</t>
        </is>
      </c>
      <c r="J1186" s="57" t="n">
        <v>0</v>
      </c>
      <c r="K1186" s="56" t="inlineStr">
        <is>
          <t>account data velocity</t>
        </is>
      </c>
      <c r="L1186" s="58" t="n">
        <v>1.1586</v>
      </c>
      <c r="M1186" s="56" t="inlineStr">
        <is>
          <t>own BFCM 2025 lift (account data)</t>
        </is>
      </c>
      <c r="N1186" s="59">
        <f>J1186*34+J1186*L1186*12</f>
        <v/>
      </c>
      <c r="O1186" s="59">
        <f>MAX(0,N1186-G1186-H1186)</f>
        <v/>
      </c>
      <c r="P1186" s="60">
        <f>IF(J1186=0,"",IF(G1186&lt;J1186*34,DATE(2026,10,15)+G1186/J1186,IF(G1186&lt;N1186,DATE(2026,11,18)+(G1186-J1186*34)/(J1186*L1186),"after Nov 30")))</f>
        <v/>
      </c>
      <c r="Q1186" s="60">
        <f>IF(J1186=0,"",IF(G1186+H1186&lt;J1186*34,DATE(2026,10,15)+(G1186+H1186)/J1186,IF(G1186+H1186&lt;N1186,DATE(2026,11,18)+(G1186+H1186-J1186*34)/(J1186*L1186),"after Nov 30")))</f>
        <v/>
      </c>
      <c r="R1186" s="54">
        <f>IF(AND(G1186&lt;=0,J1186&gt;0),"Out of stock now",IF(G1186&gt;=N1186,"Covered to Nov 30",IF(G1186+H1186&gt;=N1186,"Needs inbound in time","Short even with inbound")))</f>
        <v/>
      </c>
      <c r="S1186" s="57" t="n"/>
      <c r="T1186" s="59">
        <f>IF(S1186="","",S1186*34+S1186*L1186*12)</f>
        <v/>
      </c>
    </row>
    <row r="1187">
      <c r="A1187" s="54" t="inlineStr">
        <is>
          <t>US SL Cooling 4pc</t>
        </is>
      </c>
      <c r="B1187" s="54" t="inlineStr">
        <is>
          <t>US</t>
        </is>
      </c>
      <c r="C1187" s="54" t="inlineStr">
        <is>
          <t>B0F7LZLX1T</t>
        </is>
      </c>
      <c r="D1187" s="54" t="inlineStr">
        <is>
          <t>SL-COOLING-SHEET-CAL-KING-LIGHT-PINK</t>
        </is>
      </c>
      <c r="E1187" s="54" t="inlineStr">
        <is>
          <t>Cal King</t>
        </is>
      </c>
      <c r="F1187" s="54" t="inlineStr">
        <is>
          <t>Light Pink</t>
        </is>
      </c>
      <c r="G1187" s="55" t="n">
        <v>0</v>
      </c>
      <c r="H1187" s="55" t="n">
        <v>30</v>
      </c>
      <c r="I1187" s="56" t="inlineStr">
        <is>
          <t>FBA19STZ9LHZ ready to ship: 6; FBA19STRJMC3 ready to ship: 6; FBA19SV47PX1 ready to ship: 6; FBA19SV1CLVT ready to ship: 6; FBA19STYQSF4 ready to ship: 6</t>
        </is>
      </c>
      <c r="J1187" s="57" t="n">
        <v>0</v>
      </c>
      <c r="K1187" s="56" t="inlineStr">
        <is>
          <t>account data velocity</t>
        </is>
      </c>
      <c r="L1187" s="58" t="n">
        <v>1.1586</v>
      </c>
      <c r="M1187" s="56" t="inlineStr">
        <is>
          <t>own BFCM 2025 lift (account data)</t>
        </is>
      </c>
      <c r="N1187" s="59">
        <f>J1187*34+J1187*L1187*12</f>
        <v/>
      </c>
      <c r="O1187" s="59">
        <f>MAX(0,N1187-G1187-H1187)</f>
        <v/>
      </c>
      <c r="P1187" s="60">
        <f>IF(J1187=0,"",IF(G1187&lt;J1187*34,DATE(2026,10,15)+G1187/J1187,IF(G1187&lt;N1187,DATE(2026,11,18)+(G1187-J1187*34)/(J1187*L1187),"after Nov 30")))</f>
        <v/>
      </c>
      <c r="Q1187" s="60">
        <f>IF(J1187=0,"",IF(G1187+H1187&lt;J1187*34,DATE(2026,10,15)+(G1187+H1187)/J1187,IF(G1187+H1187&lt;N1187,DATE(2026,11,18)+(G1187+H1187-J1187*34)/(J1187*L1187),"after Nov 30")))</f>
        <v/>
      </c>
      <c r="R1187" s="54">
        <f>IF(AND(G1187&lt;=0,J1187&gt;0),"Out of stock now",IF(G1187&gt;=N1187,"Covered to Nov 30",IF(G1187+H1187&gt;=N1187,"Needs inbound in time","Short even with inbound")))</f>
        <v/>
      </c>
      <c r="S1187" s="57" t="n"/>
      <c r="T1187" s="59">
        <f>IF(S1187="","",S1187*34+S1187*L1187*12)</f>
        <v/>
      </c>
    </row>
    <row r="1188">
      <c r="A1188" s="54" t="inlineStr">
        <is>
          <t>US SL Cooling 4pc</t>
        </is>
      </c>
      <c r="B1188" s="54" t="inlineStr">
        <is>
          <t>US</t>
        </is>
      </c>
      <c r="C1188" s="54" t="inlineStr">
        <is>
          <t>B0F7LWSXSC</t>
        </is>
      </c>
      <c r="D1188" s="54" t="inlineStr">
        <is>
          <t>SL-COOLING-SHEET-CAL-KING-SAGE-GREEN</t>
        </is>
      </c>
      <c r="E1188" s="54" t="inlineStr">
        <is>
          <t>Cal King</t>
        </is>
      </c>
      <c r="F1188" s="54" t="inlineStr">
        <is>
          <t>Sage Green</t>
        </is>
      </c>
      <c r="G1188" s="55" t="n">
        <v>0</v>
      </c>
      <c r="H1188" s="55" t="n">
        <v>36</v>
      </c>
      <c r="I1188" s="56" t="inlineStr">
        <is>
          <t>FBA19RS1HC4F shipped: 12; FBA19RRY6QFT shipped: 6; FBA19RS0N5K2 shipped: 6; FBA19RRYCGHJ shipped: 6; FBA19RRY5FBL shipped: 6</t>
        </is>
      </c>
      <c r="J1188" s="57" t="n">
        <v>0</v>
      </c>
      <c r="K1188" s="56" t="inlineStr">
        <is>
          <t>account data velocity</t>
        </is>
      </c>
      <c r="L1188" s="58" t="n">
        <v>1.1586</v>
      </c>
      <c r="M1188" s="56" t="inlineStr">
        <is>
          <t>own BFCM 2025 lift (account data)</t>
        </is>
      </c>
      <c r="N1188" s="59">
        <f>J1188*34+J1188*L1188*12</f>
        <v/>
      </c>
      <c r="O1188" s="59">
        <f>MAX(0,N1188-G1188-H1188)</f>
        <v/>
      </c>
      <c r="P1188" s="60">
        <f>IF(J1188=0,"",IF(G1188&lt;J1188*34,DATE(2026,10,15)+G1188/J1188,IF(G1188&lt;N1188,DATE(2026,11,18)+(G1188-J1188*34)/(J1188*L1188),"after Nov 30")))</f>
        <v/>
      </c>
      <c r="Q1188" s="60">
        <f>IF(J1188=0,"",IF(G1188+H1188&lt;J1188*34,DATE(2026,10,15)+(G1188+H1188)/J1188,IF(G1188+H1188&lt;N1188,DATE(2026,11,18)+(G1188+H1188-J1188*34)/(J1188*L1188),"after Nov 30")))</f>
        <v/>
      </c>
      <c r="R1188" s="54">
        <f>IF(AND(G1188&lt;=0,J1188&gt;0),"Out of stock now",IF(G1188&gt;=N1188,"Covered to Nov 30",IF(G1188+H1188&gt;=N1188,"Needs inbound in time","Short even with inbound")))</f>
        <v/>
      </c>
      <c r="S1188" s="57" t="n"/>
      <c r="T1188" s="59">
        <f>IF(S1188="","",S1188*34+S1188*L1188*12)</f>
        <v/>
      </c>
    </row>
    <row r="1189">
      <c r="A1189" s="54" t="inlineStr">
        <is>
          <t>US SL Cooling 4pc</t>
        </is>
      </c>
      <c r="B1189" s="54" t="inlineStr">
        <is>
          <t>US</t>
        </is>
      </c>
      <c r="C1189" s="54" t="inlineStr">
        <is>
          <t>B0F7LX3RH7</t>
        </is>
      </c>
      <c r="D1189" s="54" t="inlineStr">
        <is>
          <t>SL-COOLING-SHEET-FULL-CREAM</t>
        </is>
      </c>
      <c r="E1189" s="54" t="inlineStr">
        <is>
          <t>Full</t>
        </is>
      </c>
      <c r="F1189" s="54" t="inlineStr">
        <is>
          <t>Cream</t>
        </is>
      </c>
      <c r="G1189" s="55" t="n">
        <v>19</v>
      </c>
      <c r="H1189" s="55" t="n">
        <v>0</v>
      </c>
      <c r="I1189" s="56" t="n"/>
      <c r="J1189" s="57" t="n">
        <v>0</v>
      </c>
      <c r="K1189" s="56" t="inlineStr">
        <is>
          <t>account data velocity</t>
        </is>
      </c>
      <c r="L1189" s="58" t="n">
        <v>1.1586</v>
      </c>
      <c r="M1189" s="56" t="inlineStr">
        <is>
          <t>own BFCM 2025 lift (account data)</t>
        </is>
      </c>
      <c r="N1189" s="59">
        <f>J1189*34+J1189*L1189*12</f>
        <v/>
      </c>
      <c r="O1189" s="59">
        <f>MAX(0,N1189-G1189-H1189)</f>
        <v/>
      </c>
      <c r="P1189" s="60">
        <f>IF(J1189=0,"",IF(G1189&lt;J1189*34,DATE(2026,10,15)+G1189/J1189,IF(G1189&lt;N1189,DATE(2026,11,18)+(G1189-J1189*34)/(J1189*L1189),"after Nov 30")))</f>
        <v/>
      </c>
      <c r="Q1189" s="60">
        <f>IF(J1189=0,"",IF(G1189+H1189&lt;J1189*34,DATE(2026,10,15)+(G1189+H1189)/J1189,IF(G1189+H1189&lt;N1189,DATE(2026,11,18)+(G1189+H1189-J1189*34)/(J1189*L1189),"after Nov 30")))</f>
        <v/>
      </c>
      <c r="R1189" s="54">
        <f>IF(AND(G1189&lt;=0,J1189&gt;0),"Out of stock now",IF(G1189&gt;=N1189,"Covered to Nov 30",IF(G1189+H1189&gt;=N1189,"Needs inbound in time","Short even with inbound")))</f>
        <v/>
      </c>
      <c r="S1189" s="57" t="n">
        <v>0</v>
      </c>
      <c r="T1189" s="59">
        <f>IF(S1189="","",S1189*34+S1189*L1189*12)</f>
        <v/>
      </c>
    </row>
    <row r="1190">
      <c r="A1190" s="54" t="inlineStr">
        <is>
          <t>US SL Cooling 4pc</t>
        </is>
      </c>
      <c r="B1190" s="54" t="inlineStr">
        <is>
          <t>US</t>
        </is>
      </c>
      <c r="C1190" s="54" t="inlineStr">
        <is>
          <t>B0F7LZMK4N</t>
        </is>
      </c>
      <c r="D1190" s="54" t="inlineStr">
        <is>
          <t>SL-COOLING-SHEET-KING-BEIGE</t>
        </is>
      </c>
      <c r="E1190" s="54" t="inlineStr">
        <is>
          <t>King</t>
        </is>
      </c>
      <c r="F1190" s="54" t="inlineStr">
        <is>
          <t>Beige</t>
        </is>
      </c>
      <c r="G1190" s="55" t="n">
        <v>0</v>
      </c>
      <c r="H1190" s="55" t="n">
        <v>192</v>
      </c>
      <c r="I1190" s="56" t="inlineStr">
        <is>
          <t>FBA19STZ9LHZ ready to ship: 18; FBA19STRJMC3 ready to ship: 12; FBA19SV47PX1 ready to ship: 18; FBA19SV1CLVT ready to ship: 18; FBA19STYQSF4 ready to ship: 6; FBA19RS1HC4F shipped: 30; FBA19RRY6QFT shipped: 24; FBA19RS0N5K2 shipped: 12; FBA19RRYCGHJ shipped: 30; FBA19RRY5FBL shipped: 24</t>
        </is>
      </c>
      <c r="J1190" s="57" t="n">
        <v>0</v>
      </c>
      <c r="K1190" s="56" t="inlineStr">
        <is>
          <t>account data velocity</t>
        </is>
      </c>
      <c r="L1190" s="58" t="n">
        <v>1.1586</v>
      </c>
      <c r="M1190" s="56" t="inlineStr">
        <is>
          <t>own BFCM 2025 lift (account data)</t>
        </is>
      </c>
      <c r="N1190" s="59">
        <f>J1190*34+J1190*L1190*12</f>
        <v/>
      </c>
      <c r="O1190" s="59">
        <f>MAX(0,N1190-G1190-H1190)</f>
        <v/>
      </c>
      <c r="P1190" s="60">
        <f>IF(J1190=0,"",IF(G1190&lt;J1190*34,DATE(2026,10,15)+G1190/J1190,IF(G1190&lt;N1190,DATE(2026,11,18)+(G1190-J1190*34)/(J1190*L1190),"after Nov 30")))</f>
        <v/>
      </c>
      <c r="Q1190" s="60">
        <f>IF(J1190=0,"",IF(G1190+H1190&lt;J1190*34,DATE(2026,10,15)+(G1190+H1190)/J1190,IF(G1190+H1190&lt;N1190,DATE(2026,11,18)+(G1190+H1190-J1190*34)/(J1190*L1190),"after Nov 30")))</f>
        <v/>
      </c>
      <c r="R1190" s="54">
        <f>IF(AND(G1190&lt;=0,J1190&gt;0),"Out of stock now",IF(G1190&gt;=N1190,"Covered to Nov 30",IF(G1190+H1190&gt;=N1190,"Needs inbound in time","Short even with inbound")))</f>
        <v/>
      </c>
      <c r="S1190" s="57" t="n"/>
      <c r="T1190" s="59">
        <f>IF(S1190="","",S1190*34+S1190*L1190*12)</f>
        <v/>
      </c>
    </row>
    <row r="1191">
      <c r="A1191" s="54" t="inlineStr">
        <is>
          <t>US SL Cooling 4pc</t>
        </is>
      </c>
      <c r="B1191" s="54" t="inlineStr">
        <is>
          <t>US</t>
        </is>
      </c>
      <c r="C1191" s="54" t="inlineStr">
        <is>
          <t>B0HKNJ736G</t>
        </is>
      </c>
      <c r="D1191" s="54" t="inlineStr">
        <is>
          <t>SL-COOLING-SHEET-4PCS-KING-COOL-GREY</t>
        </is>
      </c>
      <c r="E1191" s="54" t="inlineStr">
        <is>
          <t>King</t>
        </is>
      </c>
      <c r="F1191" s="54" t="inlineStr">
        <is>
          <t>Cool Grey</t>
        </is>
      </c>
      <c r="G1191" s="55" t="n">
        <v>0</v>
      </c>
      <c r="H1191" s="55" t="n">
        <v>216</v>
      </c>
      <c r="I1191" s="56" t="inlineStr">
        <is>
          <t>FBA19RS1HC4F shipped: 42; FBA19RRY6QFT shipped: 54; FBA19RS0N5K2 shipped: 30; FBA19RRYCGHJ shipped: 42; FBA19RRY5FBL shipped: 48</t>
        </is>
      </c>
      <c r="J1191" s="57" t="n">
        <v>0</v>
      </c>
      <c r="K1191" s="56" t="inlineStr">
        <is>
          <t>account data velocity</t>
        </is>
      </c>
      <c r="L1191" s="58" t="n">
        <v>1.1586</v>
      </c>
      <c r="M1191" s="56" t="inlineStr">
        <is>
          <t>own BFCM 2025 lift (account data)</t>
        </is>
      </c>
      <c r="N1191" s="59">
        <f>J1191*34+J1191*L1191*12</f>
        <v/>
      </c>
      <c r="O1191" s="59">
        <f>MAX(0,N1191-G1191-H1191)</f>
        <v/>
      </c>
      <c r="P1191" s="60">
        <f>IF(J1191=0,"",IF(G1191&lt;J1191*34,DATE(2026,10,15)+G1191/J1191,IF(G1191&lt;N1191,DATE(2026,11,18)+(G1191-J1191*34)/(J1191*L1191),"after Nov 30")))</f>
        <v/>
      </c>
      <c r="Q1191" s="60">
        <f>IF(J1191=0,"",IF(G1191+H1191&lt;J1191*34,DATE(2026,10,15)+(G1191+H1191)/J1191,IF(G1191+H1191&lt;N1191,DATE(2026,11,18)+(G1191+H1191-J1191*34)/(J1191*L1191),"after Nov 30")))</f>
        <v/>
      </c>
      <c r="R1191" s="54">
        <f>IF(AND(G1191&lt;=0,J1191&gt;0),"Out of stock now",IF(G1191&gt;=N1191,"Covered to Nov 30",IF(G1191+H1191&gt;=N1191,"Needs inbound in time","Short even with inbound")))</f>
        <v/>
      </c>
      <c r="S1191" s="57" t="n"/>
      <c r="T1191" s="59">
        <f>IF(S1191="","",S1191*34+S1191*L1191*12)</f>
        <v/>
      </c>
    </row>
    <row r="1192">
      <c r="A1192" s="54" t="inlineStr">
        <is>
          <t>US SL Cooling 4pc</t>
        </is>
      </c>
      <c r="B1192" s="54" t="inlineStr">
        <is>
          <t>US</t>
        </is>
      </c>
      <c r="C1192" s="54" t="inlineStr">
        <is>
          <t>B0HKN34G76</t>
        </is>
      </c>
      <c r="D1192" s="54" t="inlineStr">
        <is>
          <t>SL-COOLING-SHEET-4PCS-QUEEN-COOL-GREY</t>
        </is>
      </c>
      <c r="E1192" s="54" t="inlineStr">
        <is>
          <t>Queen</t>
        </is>
      </c>
      <c r="F1192" s="54" t="inlineStr">
        <is>
          <t>Cool Grey</t>
        </is>
      </c>
      <c r="G1192" s="55" t="n">
        <v>0</v>
      </c>
      <c r="H1192" s="55" t="n">
        <v>390</v>
      </c>
      <c r="I1192" s="56" t="inlineStr">
        <is>
          <t>FBA19RS1HC4F shipped: 72; FBA19RRY6QFT shipped: 96; FBA19RS0N5K2 shipped: 54; FBA19RRYCGHJ shipped: 78; FBA19RRY5FBL shipped: 90</t>
        </is>
      </c>
      <c r="J1192" s="57" t="n">
        <v>0</v>
      </c>
      <c r="K1192" s="56" t="inlineStr">
        <is>
          <t>account data velocity</t>
        </is>
      </c>
      <c r="L1192" s="58" t="n">
        <v>1.1586</v>
      </c>
      <c r="M1192" s="56" t="inlineStr">
        <is>
          <t>own BFCM 2025 lift (account data)</t>
        </is>
      </c>
      <c r="N1192" s="59">
        <f>J1192*34+J1192*L1192*12</f>
        <v/>
      </c>
      <c r="O1192" s="59">
        <f>MAX(0,N1192-G1192-H1192)</f>
        <v/>
      </c>
      <c r="P1192" s="60">
        <f>IF(J1192=0,"",IF(G1192&lt;J1192*34,DATE(2026,10,15)+G1192/J1192,IF(G1192&lt;N1192,DATE(2026,11,18)+(G1192-J1192*34)/(J1192*L1192),"after Nov 30")))</f>
        <v/>
      </c>
      <c r="Q1192" s="60">
        <f>IF(J1192=0,"",IF(G1192+H1192&lt;J1192*34,DATE(2026,10,15)+(G1192+H1192)/J1192,IF(G1192+H1192&lt;N1192,DATE(2026,11,18)+(G1192+H1192-J1192*34)/(J1192*L1192),"after Nov 30")))</f>
        <v/>
      </c>
      <c r="R1192" s="54">
        <f>IF(AND(G1192&lt;=0,J1192&gt;0),"Out of stock now",IF(G1192&gt;=N1192,"Covered to Nov 30",IF(G1192+H1192&gt;=N1192,"Needs inbound in time","Short even with inbound")))</f>
        <v/>
      </c>
      <c r="S1192" s="57" t="n"/>
      <c r="T1192" s="59">
        <f>IF(S1192="","",S1192*34+S1192*L1192*12)</f>
        <v/>
      </c>
    </row>
    <row r="1193">
      <c r="A1193" s="54" t="inlineStr">
        <is>
          <t>US SL Cooling 4pc</t>
        </is>
      </c>
      <c r="B1193" s="54" t="inlineStr">
        <is>
          <t>US</t>
        </is>
      </c>
      <c r="C1193" s="54" t="inlineStr">
        <is>
          <t>B0F7LXP5ZF</t>
        </is>
      </c>
      <c r="D1193" s="54" t="inlineStr">
        <is>
          <t>SL-COOLING-SHEET-TWIN-MIDNIGHT-BLACK</t>
        </is>
      </c>
      <c r="E1193" s="54" t="inlineStr">
        <is>
          <t>Twin</t>
        </is>
      </c>
      <c r="F1193" s="54" t="inlineStr">
        <is>
          <t>Midnight Black</t>
        </is>
      </c>
      <c r="G1193" s="55" t="n">
        <v>0</v>
      </c>
      <c r="H1193" s="55" t="n">
        <v>42</v>
      </c>
      <c r="I1193" s="56" t="inlineStr">
        <is>
          <t>FBA19RS1HC4F shipped: 6; FBA19RRY6QFT shipped: 12; FBA19RS0N5K2 shipped: 6; FBA19RRYCGHJ shipped: 6; FBA19RRY5FBL shipped: 12</t>
        </is>
      </c>
      <c r="J1193" s="57" t="n">
        <v>0</v>
      </c>
      <c r="K1193" s="56" t="inlineStr">
        <is>
          <t>account data velocity</t>
        </is>
      </c>
      <c r="L1193" s="58" t="n">
        <v>1.1586</v>
      </c>
      <c r="M1193" s="56" t="inlineStr">
        <is>
          <t>own BFCM 2025 lift (account data)</t>
        </is>
      </c>
      <c r="N1193" s="59">
        <f>J1193*34+J1193*L1193*12</f>
        <v/>
      </c>
      <c r="O1193" s="59">
        <f>MAX(0,N1193-G1193-H1193)</f>
        <v/>
      </c>
      <c r="P1193" s="60">
        <f>IF(J1193=0,"",IF(G1193&lt;J1193*34,DATE(2026,10,15)+G1193/J1193,IF(G1193&lt;N1193,DATE(2026,11,18)+(G1193-J1193*34)/(J1193*L1193),"after Nov 30")))</f>
        <v/>
      </c>
      <c r="Q1193" s="60">
        <f>IF(J1193=0,"",IF(G1193+H1193&lt;J1193*34,DATE(2026,10,15)+(G1193+H1193)/J1193,IF(G1193+H1193&lt;N1193,DATE(2026,11,18)+(G1193+H1193-J1193*34)/(J1193*L1193),"after Nov 30")))</f>
        <v/>
      </c>
      <c r="R1193" s="54">
        <f>IF(AND(G1193&lt;=0,J1193&gt;0),"Out of stock now",IF(G1193&gt;=N1193,"Covered to Nov 30",IF(G1193+H1193&gt;=N1193,"Needs inbound in time","Short even with inbound")))</f>
        <v/>
      </c>
      <c r="S1193" s="57" t="n"/>
      <c r="T1193" s="59">
        <f>IF(S1193="","",S1193*34+S1193*L1193*12)</f>
        <v/>
      </c>
    </row>
    <row r="1194">
      <c r="A1194" s="54" t="inlineStr">
        <is>
          <t>US SL Cooling 4pc</t>
        </is>
      </c>
      <c r="B1194" s="54" t="inlineStr">
        <is>
          <t>US</t>
        </is>
      </c>
      <c r="C1194" s="54" t="inlineStr">
        <is>
          <t>B0F7LXNNGZ</t>
        </is>
      </c>
      <c r="D1194" s="54" t="inlineStr">
        <is>
          <t>SL-COOLING-SHEET-TWIN-REGAL-PURPLE</t>
        </is>
      </c>
      <c r="E1194" s="54" t="inlineStr">
        <is>
          <t>Twin</t>
        </is>
      </c>
      <c r="F1194" s="54" t="inlineStr">
        <is>
          <t>Regal Purple</t>
        </is>
      </c>
      <c r="G1194" s="55" t="n">
        <v>0</v>
      </c>
      <c r="H1194" s="55" t="n">
        <v>30</v>
      </c>
      <c r="I1194" s="56" t="inlineStr">
        <is>
          <t>FBA19RS1HC4F shipped: 6; FBA19RRY6QFT shipped: 6; FBA19RS0N5K2 shipped: 6; FBA19RRYCGHJ shipped: 6; FBA19RRY5FBL shipped: 6</t>
        </is>
      </c>
      <c r="J1194" s="57" t="n">
        <v>0</v>
      </c>
      <c r="K1194" s="56" t="inlineStr">
        <is>
          <t>account data velocity</t>
        </is>
      </c>
      <c r="L1194" s="58" t="n">
        <v>1.1586</v>
      </c>
      <c r="M1194" s="56" t="inlineStr">
        <is>
          <t>own BFCM 2025 lift (account data)</t>
        </is>
      </c>
      <c r="N1194" s="59">
        <f>J1194*34+J1194*L1194*12</f>
        <v/>
      </c>
      <c r="O1194" s="59">
        <f>MAX(0,N1194-G1194-H1194)</f>
        <v/>
      </c>
      <c r="P1194" s="60">
        <f>IF(J1194=0,"",IF(G1194&lt;J1194*34,DATE(2026,10,15)+G1194/J1194,IF(G1194&lt;N1194,DATE(2026,11,18)+(G1194-J1194*34)/(J1194*L1194),"after Nov 30")))</f>
        <v/>
      </c>
      <c r="Q1194" s="60">
        <f>IF(J1194=0,"",IF(G1194+H1194&lt;J1194*34,DATE(2026,10,15)+(G1194+H1194)/J1194,IF(G1194+H1194&lt;N1194,DATE(2026,11,18)+(G1194+H1194-J1194*34)/(J1194*L1194),"after Nov 30")))</f>
        <v/>
      </c>
      <c r="R1194" s="54">
        <f>IF(AND(G1194&lt;=0,J1194&gt;0),"Out of stock now",IF(G1194&gt;=N1194,"Covered to Nov 30",IF(G1194+H1194&gt;=N1194,"Needs inbound in time","Short even with inbound")))</f>
        <v/>
      </c>
      <c r="S1194" s="57" t="n"/>
      <c r="T1194" s="59">
        <f>IF(S1194="","",S1194*34+S1194*L1194*12)</f>
        <v/>
      </c>
    </row>
    <row r="1195">
      <c r="A1195" s="54" t="inlineStr">
        <is>
          <t>US SL Cooling 4pc</t>
        </is>
      </c>
      <c r="B1195" s="54" t="inlineStr">
        <is>
          <t>US</t>
        </is>
      </c>
      <c r="C1195" s="54" t="inlineStr">
        <is>
          <t>B0F7LWY93Q</t>
        </is>
      </c>
      <c r="D1195" s="54" t="inlineStr">
        <is>
          <t>SL-COOLING-SHEET-TWIN-SAGE-GREEN</t>
        </is>
      </c>
      <c r="E1195" s="54" t="inlineStr">
        <is>
          <t>Twin</t>
        </is>
      </c>
      <c r="F1195" s="54" t="inlineStr">
        <is>
          <t>Sage Green</t>
        </is>
      </c>
      <c r="G1195" s="55" t="n">
        <v>0</v>
      </c>
      <c r="H1195" s="55" t="n">
        <v>30</v>
      </c>
      <c r="I1195" s="56" t="inlineStr">
        <is>
          <t>FBA19RS1HC4F shipped: 6; FBA19RRY6QFT shipped: 6; FBA19RS0N5K2 shipped: 6; FBA19RRYCGHJ shipped: 6; FBA19RRY5FBL shipped: 6</t>
        </is>
      </c>
      <c r="J1195" s="57" t="n">
        <v>0</v>
      </c>
      <c r="K1195" s="56" t="inlineStr">
        <is>
          <t>account data velocity</t>
        </is>
      </c>
      <c r="L1195" s="58" t="n">
        <v>1.1586</v>
      </c>
      <c r="M1195" s="56" t="inlineStr">
        <is>
          <t>own BFCM 2025 lift (account data)</t>
        </is>
      </c>
      <c r="N1195" s="59">
        <f>J1195*34+J1195*L1195*12</f>
        <v/>
      </c>
      <c r="O1195" s="59">
        <f>MAX(0,N1195-G1195-H1195)</f>
        <v/>
      </c>
      <c r="P1195" s="60">
        <f>IF(J1195=0,"",IF(G1195&lt;J1195*34,DATE(2026,10,15)+G1195/J1195,IF(G1195&lt;N1195,DATE(2026,11,18)+(G1195-J1195*34)/(J1195*L1195),"after Nov 30")))</f>
        <v/>
      </c>
      <c r="Q1195" s="60">
        <f>IF(J1195=0,"",IF(G1195+H1195&lt;J1195*34,DATE(2026,10,15)+(G1195+H1195)/J1195,IF(G1195+H1195&lt;N1195,DATE(2026,11,18)+(G1195+H1195-J1195*34)/(J1195*L1195),"after Nov 30")))</f>
        <v/>
      </c>
      <c r="R1195" s="54">
        <f>IF(AND(G1195&lt;=0,J1195&gt;0),"Out of stock now",IF(G1195&gt;=N1195,"Covered to Nov 30",IF(G1195+H1195&gt;=N1195,"Needs inbound in time","Short even with inbound")))</f>
        <v/>
      </c>
      <c r="S1195" s="57" t="n"/>
      <c r="T1195" s="59">
        <f>IF(S1195="","",S1195*34+S1195*L1195*12)</f>
        <v/>
      </c>
    </row>
    <row r="1196">
      <c r="A1196" s="54" t="inlineStr">
        <is>
          <t>US CL Cooling Sheets</t>
        </is>
      </c>
      <c r="B1196" s="54" t="inlineStr">
        <is>
          <t>US</t>
        </is>
      </c>
      <c r="C1196" s="54" t="inlineStr">
        <is>
          <t>B0H6K8W1VH</t>
        </is>
      </c>
      <c r="D1196" s="54" t="inlineStr">
        <is>
          <t>CL-COOLING-SHEET-QUEEN-LIGHT-BLUE</t>
        </is>
      </c>
      <c r="E1196" s="54" t="inlineStr">
        <is>
          <t>Queen</t>
        </is>
      </c>
      <c r="F1196" s="54" t="inlineStr">
        <is>
          <t>Light Blue</t>
        </is>
      </c>
      <c r="G1196" s="55" t="n">
        <v>157</v>
      </c>
      <c r="H1196" s="55" t="n">
        <v>0</v>
      </c>
      <c r="I1196" s="56" t="n"/>
      <c r="J1196" s="57" t="n">
        <v>0.92</v>
      </c>
      <c r="K1196" s="56" t="inlineStr">
        <is>
          <t>account data velocity</t>
        </is>
      </c>
      <c r="L1196" s="58" t="n">
        <v>2.7396</v>
      </c>
      <c r="M1196" s="56" t="inlineStr">
        <is>
          <t>ASSUMED: account BFCM 2025 lift (US); product's own 2025 lift not available</t>
        </is>
      </c>
      <c r="N1196" s="59">
        <f>J1196*34+J1196*L1196*12</f>
        <v/>
      </c>
      <c r="O1196" s="59">
        <f>MAX(0,N1196-G1196-H1196)</f>
        <v/>
      </c>
      <c r="P1196" s="60">
        <f>IF(J1196=0,"",IF(G1196&lt;J1196*34,DATE(2026,10,15)+G1196/J1196,IF(G1196&lt;N1196,DATE(2026,11,18)+(G1196-J1196*34)/(J1196*L1196),"after Nov 30")))</f>
        <v/>
      </c>
      <c r="Q1196" s="60">
        <f>IF(J1196=0,"",IF(G1196+H1196&lt;J1196*34,DATE(2026,10,15)+(G1196+H1196)/J1196,IF(G1196+H1196&lt;N1196,DATE(2026,11,18)+(G1196+H1196-J1196*34)/(J1196*L1196),"after Nov 30")))</f>
        <v/>
      </c>
      <c r="R1196" s="54">
        <f>IF(AND(G1196&lt;=0,J1196&gt;0),"Out of stock now",IF(G1196&gt;=N1196,"Covered to Nov 30",IF(G1196+H1196&gt;=N1196,"Needs inbound in time","Short even with inbound")))</f>
        <v/>
      </c>
      <c r="S1196" s="57" t="n">
        <v>0</v>
      </c>
      <c r="T1196" s="59">
        <f>IF(S1196="","",S1196*34+S1196*L1196*12)</f>
        <v/>
      </c>
    </row>
    <row r="1197">
      <c r="A1197" s="54" t="inlineStr">
        <is>
          <t>US CL Cooling Sheets</t>
        </is>
      </c>
      <c r="B1197" s="54" t="inlineStr">
        <is>
          <t>US</t>
        </is>
      </c>
      <c r="C1197" s="54" t="inlineStr">
        <is>
          <t>B0H6JXBD3K</t>
        </is>
      </c>
      <c r="D1197" s="54" t="inlineStr">
        <is>
          <t>CL-COOLING-SHEET-KING-GRAPHITE</t>
        </is>
      </c>
      <c r="E1197" s="54" t="inlineStr">
        <is>
          <t>King</t>
        </is>
      </c>
      <c r="F1197" s="54" t="inlineStr">
        <is>
          <t>Graphite</t>
        </is>
      </c>
      <c r="G1197" s="55" t="n">
        <v>189</v>
      </c>
      <c r="H1197" s="55" t="n">
        <v>0</v>
      </c>
      <c r="I1197" s="56" t="n"/>
      <c r="J1197" s="57" t="n">
        <v>0.87</v>
      </c>
      <c r="K1197" s="56" t="inlineStr">
        <is>
          <t>account data velocity</t>
        </is>
      </c>
      <c r="L1197" s="58" t="n">
        <v>2.7396</v>
      </c>
      <c r="M1197" s="56" t="inlineStr">
        <is>
          <t>ASSUMED: account BFCM 2025 lift (US); product's own 2025 lift not available</t>
        </is>
      </c>
      <c r="N1197" s="59">
        <f>J1197*34+J1197*L1197*12</f>
        <v/>
      </c>
      <c r="O1197" s="59">
        <f>MAX(0,N1197-G1197-H1197)</f>
        <v/>
      </c>
      <c r="P1197" s="60">
        <f>IF(J1197=0,"",IF(G1197&lt;J1197*34,DATE(2026,10,15)+G1197/J1197,IF(G1197&lt;N1197,DATE(2026,11,18)+(G1197-J1197*34)/(J1197*L1197),"after Nov 30")))</f>
        <v/>
      </c>
      <c r="Q1197" s="60">
        <f>IF(J1197=0,"",IF(G1197+H1197&lt;J1197*34,DATE(2026,10,15)+(G1197+H1197)/J1197,IF(G1197+H1197&lt;N1197,DATE(2026,11,18)+(G1197+H1197-J1197*34)/(J1197*L1197),"after Nov 30")))</f>
        <v/>
      </c>
      <c r="R1197" s="54">
        <f>IF(AND(G1197&lt;=0,J1197&gt;0),"Out of stock now",IF(G1197&gt;=N1197,"Covered to Nov 30",IF(G1197+H1197&gt;=N1197,"Needs inbound in time","Short even with inbound")))</f>
        <v/>
      </c>
      <c r="S1197" s="57" t="n">
        <v>0</v>
      </c>
      <c r="T1197" s="59">
        <f>IF(S1197="","",S1197*34+S1197*L1197*12)</f>
        <v/>
      </c>
    </row>
    <row r="1198">
      <c r="A1198" s="54" t="inlineStr">
        <is>
          <t>US CL Cooling Sheets</t>
        </is>
      </c>
      <c r="B1198" s="54" t="inlineStr">
        <is>
          <t>US</t>
        </is>
      </c>
      <c r="C1198" s="54" t="inlineStr">
        <is>
          <t>B0H6K5JM82</t>
        </is>
      </c>
      <c r="D1198" s="54" t="inlineStr">
        <is>
          <t>CL-COOLING-SHEET-KING-MIDNIGHT-BLACK</t>
        </is>
      </c>
      <c r="E1198" s="54" t="inlineStr">
        <is>
          <t>King</t>
        </is>
      </c>
      <c r="F1198" s="54" t="inlineStr">
        <is>
          <t>Midnight Black</t>
        </is>
      </c>
      <c r="G1198" s="55" t="n">
        <v>82</v>
      </c>
      <c r="H1198" s="55" t="n">
        <v>1</v>
      </c>
      <c r="I1198" s="56" t="inlineStr">
        <is>
          <t>FBA19LG08Q1X receiving: 1</t>
        </is>
      </c>
      <c r="J1198" s="57" t="n">
        <v>0.66</v>
      </c>
      <c r="K1198" s="56" t="inlineStr">
        <is>
          <t>account data velocity</t>
        </is>
      </c>
      <c r="L1198" s="58" t="n">
        <v>2.7396</v>
      </c>
      <c r="M1198" s="56" t="inlineStr">
        <is>
          <t>ASSUMED: account BFCM 2025 lift (US); product's own 2025 lift not available</t>
        </is>
      </c>
      <c r="N1198" s="59">
        <f>J1198*34+J1198*L1198*12</f>
        <v/>
      </c>
      <c r="O1198" s="59">
        <f>MAX(0,N1198-G1198-H1198)</f>
        <v/>
      </c>
      <c r="P1198" s="60">
        <f>IF(J1198=0,"",IF(G1198&lt;J1198*34,DATE(2026,10,15)+G1198/J1198,IF(G1198&lt;N1198,DATE(2026,11,18)+(G1198-J1198*34)/(J1198*L1198),"after Nov 30")))</f>
        <v/>
      </c>
      <c r="Q1198" s="60">
        <f>IF(J1198=0,"",IF(G1198+H1198&lt;J1198*34,DATE(2026,10,15)+(G1198+H1198)/J1198,IF(G1198+H1198&lt;N1198,DATE(2026,11,18)+(G1198+H1198-J1198*34)/(J1198*L1198),"after Nov 30")))</f>
        <v/>
      </c>
      <c r="R1198" s="54">
        <f>IF(AND(G1198&lt;=0,J1198&gt;0),"Out of stock now",IF(G1198&gt;=N1198,"Covered to Nov 30",IF(G1198+H1198&gt;=N1198,"Needs inbound in time","Short even with inbound")))</f>
        <v/>
      </c>
      <c r="S1198" s="57" t="n">
        <v>0</v>
      </c>
      <c r="T1198" s="59">
        <f>IF(S1198="","",S1198*34+S1198*L1198*12)</f>
        <v/>
      </c>
    </row>
    <row r="1199">
      <c r="A1199" s="54" t="inlineStr">
        <is>
          <t>US CL Cooling Sheets</t>
        </is>
      </c>
      <c r="B1199" s="54" t="inlineStr">
        <is>
          <t>US</t>
        </is>
      </c>
      <c r="C1199" s="54" t="inlineStr">
        <is>
          <t>B0H6KBLW87</t>
        </is>
      </c>
      <c r="D1199" s="54" t="inlineStr">
        <is>
          <t>CL-COOLING-SHEET-FULL-MIDNIGHT-BLACK</t>
        </is>
      </c>
      <c r="E1199" s="54" t="inlineStr">
        <is>
          <t>Full</t>
        </is>
      </c>
      <c r="F1199" s="54" t="inlineStr">
        <is>
          <t>Midnight Black</t>
        </is>
      </c>
      <c r="G1199" s="55" t="n">
        <v>81</v>
      </c>
      <c r="H1199" s="55" t="n">
        <v>0</v>
      </c>
      <c r="I1199" s="56" t="n"/>
      <c r="J1199" s="57" t="n">
        <v>0.65</v>
      </c>
      <c r="K1199" s="56" t="inlineStr">
        <is>
          <t>account data velocity</t>
        </is>
      </c>
      <c r="L1199" s="58" t="n">
        <v>2.7396</v>
      </c>
      <c r="M1199" s="56" t="inlineStr">
        <is>
          <t>ASSUMED: account BFCM 2025 lift (US); product's own 2025 lift not available</t>
        </is>
      </c>
      <c r="N1199" s="59">
        <f>J1199*34+J1199*L1199*12</f>
        <v/>
      </c>
      <c r="O1199" s="59">
        <f>MAX(0,N1199-G1199-H1199)</f>
        <v/>
      </c>
      <c r="P1199" s="60">
        <f>IF(J1199=0,"",IF(G1199&lt;J1199*34,DATE(2026,10,15)+G1199/J1199,IF(G1199&lt;N1199,DATE(2026,11,18)+(G1199-J1199*34)/(J1199*L1199),"after Nov 30")))</f>
        <v/>
      </c>
      <c r="Q1199" s="60">
        <f>IF(J1199=0,"",IF(G1199+H1199&lt;J1199*34,DATE(2026,10,15)+(G1199+H1199)/J1199,IF(G1199+H1199&lt;N1199,DATE(2026,11,18)+(G1199+H1199-J1199*34)/(J1199*L1199),"after Nov 30")))</f>
        <v/>
      </c>
      <c r="R1199" s="54">
        <f>IF(AND(G1199&lt;=0,J1199&gt;0),"Out of stock now",IF(G1199&gt;=N1199,"Covered to Nov 30",IF(G1199+H1199&gt;=N1199,"Needs inbound in time","Short even with inbound")))</f>
        <v/>
      </c>
      <c r="S1199" s="57" t="n">
        <v>0</v>
      </c>
      <c r="T1199" s="59">
        <f>IF(S1199="","",S1199*34+S1199*L1199*12)</f>
        <v/>
      </c>
    </row>
    <row r="1200">
      <c r="A1200" s="54" t="inlineStr">
        <is>
          <t>US CL Cooling Sheets</t>
        </is>
      </c>
      <c r="B1200" s="54" t="inlineStr">
        <is>
          <t>US</t>
        </is>
      </c>
      <c r="C1200" s="54" t="inlineStr">
        <is>
          <t>B0H6KBLZ6X</t>
        </is>
      </c>
      <c r="D1200" s="54" t="inlineStr">
        <is>
          <t>CL-COOLING-SHEET-KING-BEIGE</t>
        </is>
      </c>
      <c r="E1200" s="54" t="inlineStr">
        <is>
          <t>King</t>
        </is>
      </c>
      <c r="F1200" s="54" t="inlineStr">
        <is>
          <t>Beige</t>
        </is>
      </c>
      <c r="G1200" s="55" t="n">
        <v>27</v>
      </c>
      <c r="H1200" s="55" t="n">
        <v>0</v>
      </c>
      <c r="I1200" s="56" t="n"/>
      <c r="J1200" s="57" t="n">
        <v>0.48</v>
      </c>
      <c r="K1200" s="56" t="inlineStr">
        <is>
          <t>account data velocity</t>
        </is>
      </c>
      <c r="L1200" s="58" t="n">
        <v>2.7396</v>
      </c>
      <c r="M1200" s="56" t="inlineStr">
        <is>
          <t>ASSUMED: account BFCM 2025 lift (US); product's own 2025 lift not available</t>
        </is>
      </c>
      <c r="N1200" s="59">
        <f>J1200*34+J1200*L1200*12</f>
        <v/>
      </c>
      <c r="O1200" s="59">
        <f>MAX(0,N1200-G1200-H1200)</f>
        <v/>
      </c>
      <c r="P1200" s="60">
        <f>IF(J1200=0,"",IF(G1200&lt;J1200*34,DATE(2026,10,15)+G1200/J1200,IF(G1200&lt;N1200,DATE(2026,11,18)+(G1200-J1200*34)/(J1200*L1200),"after Nov 30")))</f>
        <v/>
      </c>
      <c r="Q1200" s="60">
        <f>IF(J1200=0,"",IF(G1200+H1200&lt;J1200*34,DATE(2026,10,15)+(G1200+H1200)/J1200,IF(G1200+H1200&lt;N1200,DATE(2026,11,18)+(G1200+H1200-J1200*34)/(J1200*L1200),"after Nov 30")))</f>
        <v/>
      </c>
      <c r="R1200" s="54">
        <f>IF(AND(G1200&lt;=0,J1200&gt;0),"Out of stock now",IF(G1200&gt;=N1200,"Covered to Nov 30",IF(G1200+H1200&gt;=N1200,"Needs inbound in time","Short even with inbound")))</f>
        <v/>
      </c>
      <c r="S1200" s="57" t="n">
        <v>0</v>
      </c>
      <c r="T1200" s="59">
        <f>IF(S1200="","",S1200*34+S1200*L1200*12)</f>
        <v/>
      </c>
    </row>
    <row r="1201">
      <c r="A1201" s="54" t="inlineStr">
        <is>
          <t>US CL Cooling Sheets</t>
        </is>
      </c>
      <c r="B1201" s="54" t="inlineStr">
        <is>
          <t>US</t>
        </is>
      </c>
      <c r="C1201" s="54" t="inlineStr">
        <is>
          <t>B0H6K4BKT8</t>
        </is>
      </c>
      <c r="D1201" s="54" t="inlineStr">
        <is>
          <t>CL-COOLING-SHEET-QUEEN-BEIGE</t>
        </is>
      </c>
      <c r="E1201" s="54" t="inlineStr">
        <is>
          <t>Queen</t>
        </is>
      </c>
      <c r="F1201" s="54" t="inlineStr">
        <is>
          <t>Beige</t>
        </is>
      </c>
      <c r="G1201" s="55" t="n">
        <v>131</v>
      </c>
      <c r="H1201" s="55" t="n">
        <v>0</v>
      </c>
      <c r="I1201" s="56" t="n"/>
      <c r="J1201" s="57" t="n">
        <v>0.47</v>
      </c>
      <c r="K1201" s="56" t="inlineStr">
        <is>
          <t>account data velocity</t>
        </is>
      </c>
      <c r="L1201" s="58" t="n">
        <v>2.7396</v>
      </c>
      <c r="M1201" s="56" t="inlineStr">
        <is>
          <t>ASSUMED: account BFCM 2025 lift (US); product's own 2025 lift not available</t>
        </is>
      </c>
      <c r="N1201" s="59">
        <f>J1201*34+J1201*L1201*12</f>
        <v/>
      </c>
      <c r="O1201" s="59">
        <f>MAX(0,N1201-G1201-H1201)</f>
        <v/>
      </c>
      <c r="P1201" s="60">
        <f>IF(J1201=0,"",IF(G1201&lt;J1201*34,DATE(2026,10,15)+G1201/J1201,IF(G1201&lt;N1201,DATE(2026,11,18)+(G1201-J1201*34)/(J1201*L1201),"after Nov 30")))</f>
        <v/>
      </c>
      <c r="Q1201" s="60">
        <f>IF(J1201=0,"",IF(G1201+H1201&lt;J1201*34,DATE(2026,10,15)+(G1201+H1201)/J1201,IF(G1201+H1201&lt;N1201,DATE(2026,11,18)+(G1201+H1201-J1201*34)/(J1201*L1201),"after Nov 30")))</f>
        <v/>
      </c>
      <c r="R1201" s="54">
        <f>IF(AND(G1201&lt;=0,J1201&gt;0),"Out of stock now",IF(G1201&gt;=N1201,"Covered to Nov 30",IF(G1201+H1201&gt;=N1201,"Needs inbound in time","Short even with inbound")))</f>
        <v/>
      </c>
      <c r="S1201" s="57" t="n">
        <v>0</v>
      </c>
      <c r="T1201" s="59">
        <f>IF(S1201="","",S1201*34+S1201*L1201*12)</f>
        <v/>
      </c>
    </row>
    <row r="1202">
      <c r="A1202" s="54" t="inlineStr">
        <is>
          <t>US CL Cooling Sheets</t>
        </is>
      </c>
      <c r="B1202" s="54" t="inlineStr">
        <is>
          <t>US</t>
        </is>
      </c>
      <c r="C1202" s="54" t="inlineStr">
        <is>
          <t>B0H6K77BRL</t>
        </is>
      </c>
      <c r="D1202" s="54" t="inlineStr">
        <is>
          <t>CL-COOLING-SHEET-KING-COOL-GREY</t>
        </is>
      </c>
      <c r="E1202" s="54" t="inlineStr">
        <is>
          <t>King</t>
        </is>
      </c>
      <c r="F1202" s="54" t="inlineStr">
        <is>
          <t>Cool Grey</t>
        </is>
      </c>
      <c r="G1202" s="55" t="n">
        <v>164</v>
      </c>
      <c r="H1202" s="55" t="n">
        <v>2</v>
      </c>
      <c r="I1202" s="56" t="inlineStr">
        <is>
          <t>FBA19LG08Q1X receiving: 2</t>
        </is>
      </c>
      <c r="J1202" s="57" t="n">
        <v>0.44</v>
      </c>
      <c r="K1202" s="56" t="inlineStr">
        <is>
          <t>account data velocity</t>
        </is>
      </c>
      <c r="L1202" s="58" t="n">
        <v>2.7396</v>
      </c>
      <c r="M1202" s="56" t="inlineStr">
        <is>
          <t>ASSUMED: account BFCM 2025 lift (US); product's own 2025 lift not available</t>
        </is>
      </c>
      <c r="N1202" s="59">
        <f>J1202*34+J1202*L1202*12</f>
        <v/>
      </c>
      <c r="O1202" s="59">
        <f>MAX(0,N1202-G1202-H1202)</f>
        <v/>
      </c>
      <c r="P1202" s="60">
        <f>IF(J1202=0,"",IF(G1202&lt;J1202*34,DATE(2026,10,15)+G1202/J1202,IF(G1202&lt;N1202,DATE(2026,11,18)+(G1202-J1202*34)/(J1202*L1202),"after Nov 30")))</f>
        <v/>
      </c>
      <c r="Q1202" s="60">
        <f>IF(J1202=0,"",IF(G1202+H1202&lt;J1202*34,DATE(2026,10,15)+(G1202+H1202)/J1202,IF(G1202+H1202&lt;N1202,DATE(2026,11,18)+(G1202+H1202-J1202*34)/(J1202*L1202),"after Nov 30")))</f>
        <v/>
      </c>
      <c r="R1202" s="54">
        <f>IF(AND(G1202&lt;=0,J1202&gt;0),"Out of stock now",IF(G1202&gt;=N1202,"Covered to Nov 30",IF(G1202+H1202&gt;=N1202,"Needs inbound in time","Short even with inbound")))</f>
        <v/>
      </c>
      <c r="S1202" s="57" t="n">
        <v>0</v>
      </c>
      <c r="T1202" s="59">
        <f>IF(S1202="","",S1202*34+S1202*L1202*12)</f>
        <v/>
      </c>
    </row>
    <row r="1203">
      <c r="A1203" s="54" t="inlineStr">
        <is>
          <t>US CL Cooling Sheets</t>
        </is>
      </c>
      <c r="B1203" s="54" t="inlineStr">
        <is>
          <t>US</t>
        </is>
      </c>
      <c r="C1203" s="54" t="inlineStr">
        <is>
          <t>B0H6K5MXPD</t>
        </is>
      </c>
      <c r="D1203" s="54" t="inlineStr">
        <is>
          <t>CL-COOLING-SHEET-QUEEN-WHITE</t>
        </is>
      </c>
      <c r="E1203" s="54" t="inlineStr">
        <is>
          <t>Queen</t>
        </is>
      </c>
      <c r="F1203" s="54" t="inlineStr">
        <is>
          <t>White</t>
        </is>
      </c>
      <c r="G1203" s="55" t="n">
        <v>197</v>
      </c>
      <c r="H1203" s="55" t="n">
        <v>0</v>
      </c>
      <c r="I1203" s="56" t="n"/>
      <c r="J1203" s="57" t="n">
        <v>0.44</v>
      </c>
      <c r="K1203" s="56" t="inlineStr">
        <is>
          <t>account data velocity</t>
        </is>
      </c>
      <c r="L1203" s="58" t="n">
        <v>2.7396</v>
      </c>
      <c r="M1203" s="56" t="inlineStr">
        <is>
          <t>ASSUMED: account BFCM 2025 lift (US); product's own 2025 lift not available</t>
        </is>
      </c>
      <c r="N1203" s="59">
        <f>J1203*34+J1203*L1203*12</f>
        <v/>
      </c>
      <c r="O1203" s="59">
        <f>MAX(0,N1203-G1203-H1203)</f>
        <v/>
      </c>
      <c r="P1203" s="60">
        <f>IF(J1203=0,"",IF(G1203&lt;J1203*34,DATE(2026,10,15)+G1203/J1203,IF(G1203&lt;N1203,DATE(2026,11,18)+(G1203-J1203*34)/(J1203*L1203),"after Nov 30")))</f>
        <v/>
      </c>
      <c r="Q1203" s="60">
        <f>IF(J1203=0,"",IF(G1203+H1203&lt;J1203*34,DATE(2026,10,15)+(G1203+H1203)/J1203,IF(G1203+H1203&lt;N1203,DATE(2026,11,18)+(G1203+H1203-J1203*34)/(J1203*L1203),"after Nov 30")))</f>
        <v/>
      </c>
      <c r="R1203" s="54">
        <f>IF(AND(G1203&lt;=0,J1203&gt;0),"Out of stock now",IF(G1203&gt;=N1203,"Covered to Nov 30",IF(G1203+H1203&gt;=N1203,"Needs inbound in time","Short even with inbound")))</f>
        <v/>
      </c>
      <c r="S1203" s="57" t="n">
        <v>0</v>
      </c>
      <c r="T1203" s="59">
        <f>IF(S1203="","",S1203*34+S1203*L1203*12)</f>
        <v/>
      </c>
    </row>
    <row r="1204">
      <c r="A1204" s="54" t="inlineStr">
        <is>
          <t>US CL Cooling Sheets</t>
        </is>
      </c>
      <c r="B1204" s="54" t="inlineStr">
        <is>
          <t>US</t>
        </is>
      </c>
      <c r="C1204" s="54" t="inlineStr">
        <is>
          <t>B0H6K1TJWV</t>
        </is>
      </c>
      <c r="D1204" s="54" t="inlineStr">
        <is>
          <t>CL-COOLING-SHEET-TWIN-GRAPHITE</t>
        </is>
      </c>
      <c r="E1204" s="54" t="inlineStr">
        <is>
          <t>Twin</t>
        </is>
      </c>
      <c r="F1204" s="54" t="inlineStr">
        <is>
          <t>Graphite</t>
        </is>
      </c>
      <c r="G1204" s="55" t="n">
        <v>50</v>
      </c>
      <c r="H1204" s="55" t="n">
        <v>0</v>
      </c>
      <c r="I1204" s="56" t="n"/>
      <c r="J1204" s="57" t="n">
        <v>0.43</v>
      </c>
      <c r="K1204" s="56" t="inlineStr">
        <is>
          <t>account data velocity</t>
        </is>
      </c>
      <c r="L1204" s="58" t="n">
        <v>2.7396</v>
      </c>
      <c r="M1204" s="56" t="inlineStr">
        <is>
          <t>ASSUMED: account BFCM 2025 lift (US); product's own 2025 lift not available</t>
        </is>
      </c>
      <c r="N1204" s="59">
        <f>J1204*34+J1204*L1204*12</f>
        <v/>
      </c>
      <c r="O1204" s="59">
        <f>MAX(0,N1204-G1204-H1204)</f>
        <v/>
      </c>
      <c r="P1204" s="60">
        <f>IF(J1204=0,"",IF(G1204&lt;J1204*34,DATE(2026,10,15)+G1204/J1204,IF(G1204&lt;N1204,DATE(2026,11,18)+(G1204-J1204*34)/(J1204*L1204),"after Nov 30")))</f>
        <v/>
      </c>
      <c r="Q1204" s="60">
        <f>IF(J1204=0,"",IF(G1204+H1204&lt;J1204*34,DATE(2026,10,15)+(G1204+H1204)/J1204,IF(G1204+H1204&lt;N1204,DATE(2026,11,18)+(G1204+H1204-J1204*34)/(J1204*L1204),"after Nov 30")))</f>
        <v/>
      </c>
      <c r="R1204" s="54">
        <f>IF(AND(G1204&lt;=0,J1204&gt;0),"Out of stock now",IF(G1204&gt;=N1204,"Covered to Nov 30",IF(G1204+H1204&gt;=N1204,"Needs inbound in time","Short even with inbound")))</f>
        <v/>
      </c>
      <c r="S1204" s="57" t="n">
        <v>0</v>
      </c>
      <c r="T1204" s="59">
        <f>IF(S1204="","",S1204*34+S1204*L1204*12)</f>
        <v/>
      </c>
    </row>
    <row r="1205">
      <c r="A1205" s="54" t="inlineStr">
        <is>
          <t>US CL Cooling Sheets</t>
        </is>
      </c>
      <c r="B1205" s="54" t="inlineStr">
        <is>
          <t>US</t>
        </is>
      </c>
      <c r="C1205" s="54" t="inlineStr">
        <is>
          <t>B0H6JWNCK3</t>
        </is>
      </c>
      <c r="D1205" s="54" t="inlineStr">
        <is>
          <t>CL-COOLING-SHEET-QUEEN-COOL-GREY</t>
        </is>
      </c>
      <c r="E1205" s="54" t="inlineStr">
        <is>
          <t>Queen</t>
        </is>
      </c>
      <c r="F1205" s="54" t="inlineStr">
        <is>
          <t>Cool Grey</t>
        </is>
      </c>
      <c r="G1205" s="55" t="n">
        <v>295</v>
      </c>
      <c r="H1205" s="55" t="n">
        <v>0</v>
      </c>
      <c r="I1205" s="56" t="n"/>
      <c r="J1205" s="57" t="n">
        <v>0.39</v>
      </c>
      <c r="K1205" s="56" t="inlineStr">
        <is>
          <t>account data velocity</t>
        </is>
      </c>
      <c r="L1205" s="58" t="n">
        <v>2.7396</v>
      </c>
      <c r="M1205" s="56" t="inlineStr">
        <is>
          <t>ASSUMED: account BFCM 2025 lift (US); product's own 2025 lift not available</t>
        </is>
      </c>
      <c r="N1205" s="59">
        <f>J1205*34+J1205*L1205*12</f>
        <v/>
      </c>
      <c r="O1205" s="59">
        <f>MAX(0,N1205-G1205-H1205)</f>
        <v/>
      </c>
      <c r="P1205" s="60">
        <f>IF(J1205=0,"",IF(G1205&lt;J1205*34,DATE(2026,10,15)+G1205/J1205,IF(G1205&lt;N1205,DATE(2026,11,18)+(G1205-J1205*34)/(J1205*L1205),"after Nov 30")))</f>
        <v/>
      </c>
      <c r="Q1205" s="60">
        <f>IF(J1205=0,"",IF(G1205+H1205&lt;J1205*34,DATE(2026,10,15)+(G1205+H1205)/J1205,IF(G1205+H1205&lt;N1205,DATE(2026,11,18)+(G1205+H1205-J1205*34)/(J1205*L1205),"after Nov 30")))</f>
        <v/>
      </c>
      <c r="R1205" s="54">
        <f>IF(AND(G1205&lt;=0,J1205&gt;0),"Out of stock now",IF(G1205&gt;=N1205,"Covered to Nov 30",IF(G1205+H1205&gt;=N1205,"Needs inbound in time","Short even with inbound")))</f>
        <v/>
      </c>
      <c r="S1205" s="57" t="n">
        <v>0.393</v>
      </c>
      <c r="T1205" s="59">
        <f>IF(S1205="","",S1205*34+S1205*L1205*12)</f>
        <v/>
      </c>
    </row>
    <row r="1206">
      <c r="A1206" s="54" t="inlineStr">
        <is>
          <t>US CL Cooling Sheets</t>
        </is>
      </c>
      <c r="B1206" s="54" t="inlineStr">
        <is>
          <t>US</t>
        </is>
      </c>
      <c r="C1206" s="54" t="inlineStr">
        <is>
          <t>B0H6JWKFXF</t>
        </is>
      </c>
      <c r="D1206" s="54" t="inlineStr">
        <is>
          <t>CL-COOLING-SHEET-KING-CREAM</t>
        </is>
      </c>
      <c r="E1206" s="54" t="inlineStr">
        <is>
          <t>King</t>
        </is>
      </c>
      <c r="F1206" s="54" t="inlineStr">
        <is>
          <t>Cream</t>
        </is>
      </c>
      <c r="G1206" s="55" t="n">
        <v>93</v>
      </c>
      <c r="H1206" s="55" t="n">
        <v>0</v>
      </c>
      <c r="I1206" s="56" t="n"/>
      <c r="J1206" s="57" t="n">
        <v>0.27</v>
      </c>
      <c r="K1206" s="56" t="inlineStr">
        <is>
          <t>account data velocity</t>
        </is>
      </c>
      <c r="L1206" s="58" t="n">
        <v>2.7396</v>
      </c>
      <c r="M1206" s="56" t="inlineStr">
        <is>
          <t>ASSUMED: account BFCM 2025 lift (US); product's own 2025 lift not available</t>
        </is>
      </c>
      <c r="N1206" s="59">
        <f>J1206*34+J1206*L1206*12</f>
        <v/>
      </c>
      <c r="O1206" s="59">
        <f>MAX(0,N1206-G1206-H1206)</f>
        <v/>
      </c>
      <c r="P1206" s="60">
        <f>IF(J1206=0,"",IF(G1206&lt;J1206*34,DATE(2026,10,15)+G1206/J1206,IF(G1206&lt;N1206,DATE(2026,11,18)+(G1206-J1206*34)/(J1206*L1206),"after Nov 30")))</f>
        <v/>
      </c>
      <c r="Q1206" s="60">
        <f>IF(J1206=0,"",IF(G1206+H1206&lt;J1206*34,DATE(2026,10,15)+(G1206+H1206)/J1206,IF(G1206+H1206&lt;N1206,DATE(2026,11,18)+(G1206+H1206-J1206*34)/(J1206*L1206),"after Nov 30")))</f>
        <v/>
      </c>
      <c r="R1206" s="54">
        <f>IF(AND(G1206&lt;=0,J1206&gt;0),"Out of stock now",IF(G1206&gt;=N1206,"Covered to Nov 30",IF(G1206+H1206&gt;=N1206,"Needs inbound in time","Short even with inbound")))</f>
        <v/>
      </c>
      <c r="S1206" s="57" t="n"/>
      <c r="T1206" s="59">
        <f>IF(S1206="","",S1206*34+S1206*L1206*12)</f>
        <v/>
      </c>
    </row>
    <row r="1207">
      <c r="A1207" s="54" t="inlineStr">
        <is>
          <t>US CL Cooling Sheets</t>
        </is>
      </c>
      <c r="B1207" s="54" t="inlineStr">
        <is>
          <t>US</t>
        </is>
      </c>
      <c r="C1207" s="54" t="inlineStr">
        <is>
          <t>B0H6K7BNHG</t>
        </is>
      </c>
      <c r="D1207" s="54" t="inlineStr">
        <is>
          <t>CL-COOLING-SHEET-KING-WHITE</t>
        </is>
      </c>
      <c r="E1207" s="54" t="inlineStr">
        <is>
          <t>King</t>
        </is>
      </c>
      <c r="F1207" s="54" t="inlineStr">
        <is>
          <t>White</t>
        </is>
      </c>
      <c r="G1207" s="55" t="n">
        <v>97</v>
      </c>
      <c r="H1207" s="55" t="n">
        <v>3</v>
      </c>
      <c r="I1207" s="56" t="inlineStr">
        <is>
          <t>FBA19LG08Q1X receiving: 3</t>
        </is>
      </c>
      <c r="J1207" s="57" t="n">
        <v>0.27</v>
      </c>
      <c r="K1207" s="56" t="inlineStr">
        <is>
          <t>account data velocity</t>
        </is>
      </c>
      <c r="L1207" s="58" t="n">
        <v>2.7396</v>
      </c>
      <c r="M1207" s="56" t="inlineStr">
        <is>
          <t>ASSUMED: account BFCM 2025 lift (US); product's own 2025 lift not available</t>
        </is>
      </c>
      <c r="N1207" s="59">
        <f>J1207*34+J1207*L1207*12</f>
        <v/>
      </c>
      <c r="O1207" s="59">
        <f>MAX(0,N1207-G1207-H1207)</f>
        <v/>
      </c>
      <c r="P1207" s="60">
        <f>IF(J1207=0,"",IF(G1207&lt;J1207*34,DATE(2026,10,15)+G1207/J1207,IF(G1207&lt;N1207,DATE(2026,11,18)+(G1207-J1207*34)/(J1207*L1207),"after Nov 30")))</f>
        <v/>
      </c>
      <c r="Q1207" s="60">
        <f>IF(J1207=0,"",IF(G1207+H1207&lt;J1207*34,DATE(2026,10,15)+(G1207+H1207)/J1207,IF(G1207+H1207&lt;N1207,DATE(2026,11,18)+(G1207+H1207-J1207*34)/(J1207*L1207),"after Nov 30")))</f>
        <v/>
      </c>
      <c r="R1207" s="54">
        <f>IF(AND(G1207&lt;=0,J1207&gt;0),"Out of stock now",IF(G1207&gt;=N1207,"Covered to Nov 30",IF(G1207+H1207&gt;=N1207,"Needs inbound in time","Short even with inbound")))</f>
        <v/>
      </c>
      <c r="S1207" s="57" t="n">
        <v>0</v>
      </c>
      <c r="T1207" s="59">
        <f>IF(S1207="","",S1207*34+S1207*L1207*12)</f>
        <v/>
      </c>
    </row>
    <row r="1208">
      <c r="A1208" s="54" t="inlineStr">
        <is>
          <t>US CL Cooling Sheets</t>
        </is>
      </c>
      <c r="B1208" s="54" t="inlineStr">
        <is>
          <t>US</t>
        </is>
      </c>
      <c r="C1208" s="54" t="inlineStr">
        <is>
          <t>B0H6K1MKQW</t>
        </is>
      </c>
      <c r="D1208" s="54" t="inlineStr">
        <is>
          <t>CL-COOLING-SHEET-QUEEN-GRAPHITE</t>
        </is>
      </c>
      <c r="E1208" s="54" t="inlineStr">
        <is>
          <t>Queen</t>
        </is>
      </c>
      <c r="F1208" s="54" t="inlineStr">
        <is>
          <t>Graphite</t>
        </is>
      </c>
      <c r="G1208" s="55" t="n">
        <v>397</v>
      </c>
      <c r="H1208" s="55" t="n">
        <v>0</v>
      </c>
      <c r="I1208" s="56" t="n"/>
      <c r="J1208" s="57" t="n">
        <v>0.22</v>
      </c>
      <c r="K1208" s="56" t="inlineStr">
        <is>
          <t>account data velocity</t>
        </is>
      </c>
      <c r="L1208" s="58" t="n">
        <v>2.7396</v>
      </c>
      <c r="M1208" s="56" t="inlineStr">
        <is>
          <t>ASSUMED: account BFCM 2025 lift (US); product's own 2025 lift not available</t>
        </is>
      </c>
      <c r="N1208" s="59">
        <f>J1208*34+J1208*L1208*12</f>
        <v/>
      </c>
      <c r="O1208" s="59">
        <f>MAX(0,N1208-G1208-H1208)</f>
        <v/>
      </c>
      <c r="P1208" s="60">
        <f>IF(J1208=0,"",IF(G1208&lt;J1208*34,DATE(2026,10,15)+G1208/J1208,IF(G1208&lt;N1208,DATE(2026,11,18)+(G1208-J1208*34)/(J1208*L1208),"after Nov 30")))</f>
        <v/>
      </c>
      <c r="Q1208" s="60">
        <f>IF(J1208=0,"",IF(G1208+H1208&lt;J1208*34,DATE(2026,10,15)+(G1208+H1208)/J1208,IF(G1208+H1208&lt;N1208,DATE(2026,11,18)+(G1208+H1208-J1208*34)/(J1208*L1208),"after Nov 30")))</f>
        <v/>
      </c>
      <c r="R1208" s="54">
        <f>IF(AND(G1208&lt;=0,J1208&gt;0),"Out of stock now",IF(G1208&gt;=N1208,"Covered to Nov 30",IF(G1208+H1208&gt;=N1208,"Needs inbound in time","Short even with inbound")))</f>
        <v/>
      </c>
      <c r="S1208" s="57" t="n">
        <v>1.071</v>
      </c>
      <c r="T1208" s="59">
        <f>IF(S1208="","",S1208*34+S1208*L1208*12)</f>
        <v/>
      </c>
    </row>
    <row r="1209">
      <c r="A1209" s="54" t="inlineStr">
        <is>
          <t>US CL Cooling Sheets</t>
        </is>
      </c>
      <c r="B1209" s="54" t="inlineStr">
        <is>
          <t>US</t>
        </is>
      </c>
      <c r="C1209" s="54" t="inlineStr">
        <is>
          <t>B0H6K4KPGJ</t>
        </is>
      </c>
      <c r="D1209" s="54" t="inlineStr">
        <is>
          <t>CL-COOLING-SHEET-FULL-COOL-GREY</t>
        </is>
      </c>
      <c r="E1209" s="54" t="inlineStr">
        <is>
          <t>Full</t>
        </is>
      </c>
      <c r="F1209" s="54" t="inlineStr">
        <is>
          <t>Cool Grey</t>
        </is>
      </c>
      <c r="G1209" s="55" t="n">
        <v>89</v>
      </c>
      <c r="H1209" s="55" t="n">
        <v>0</v>
      </c>
      <c r="I1209" s="56" t="n"/>
      <c r="J1209" s="57" t="n">
        <v>0.22</v>
      </c>
      <c r="K1209" s="56" t="inlineStr">
        <is>
          <t>account data velocity</t>
        </is>
      </c>
      <c r="L1209" s="58" t="n">
        <v>2.7396</v>
      </c>
      <c r="M1209" s="56" t="inlineStr">
        <is>
          <t>ASSUMED: account BFCM 2025 lift (US); product's own 2025 lift not available</t>
        </is>
      </c>
      <c r="N1209" s="59">
        <f>J1209*34+J1209*L1209*12</f>
        <v/>
      </c>
      <c r="O1209" s="59">
        <f>MAX(0,N1209-G1209-H1209)</f>
        <v/>
      </c>
      <c r="P1209" s="60">
        <f>IF(J1209=0,"",IF(G1209&lt;J1209*34,DATE(2026,10,15)+G1209/J1209,IF(G1209&lt;N1209,DATE(2026,11,18)+(G1209-J1209*34)/(J1209*L1209),"after Nov 30")))</f>
        <v/>
      </c>
      <c r="Q1209" s="60">
        <f>IF(J1209=0,"",IF(G1209+H1209&lt;J1209*34,DATE(2026,10,15)+(G1209+H1209)/J1209,IF(G1209+H1209&lt;N1209,DATE(2026,11,18)+(G1209+H1209-J1209*34)/(J1209*L1209),"after Nov 30")))</f>
        <v/>
      </c>
      <c r="R1209" s="54">
        <f>IF(AND(G1209&lt;=0,J1209&gt;0),"Out of stock now",IF(G1209&gt;=N1209,"Covered to Nov 30",IF(G1209+H1209&gt;=N1209,"Needs inbound in time","Short even with inbound")))</f>
        <v/>
      </c>
      <c r="S1209" s="57" t="n">
        <v>0</v>
      </c>
      <c r="T1209" s="59">
        <f>IF(S1209="","",S1209*34+S1209*L1209*12)</f>
        <v/>
      </c>
    </row>
    <row r="1210">
      <c r="A1210" s="54" t="inlineStr">
        <is>
          <t>US CL Cooling Sheets</t>
        </is>
      </c>
      <c r="B1210" s="54" t="inlineStr">
        <is>
          <t>US</t>
        </is>
      </c>
      <c r="C1210" s="54" t="inlineStr">
        <is>
          <t>B0H6K2ZKTZ</t>
        </is>
      </c>
      <c r="D1210" s="54" t="inlineStr">
        <is>
          <t>CL-COOLING-SHEET-FULL-SAGE-GREEN</t>
        </is>
      </c>
      <c r="E1210" s="54" t="inlineStr">
        <is>
          <t>Full</t>
        </is>
      </c>
      <c r="F1210" s="54" t="inlineStr">
        <is>
          <t>Sage Green</t>
        </is>
      </c>
      <c r="G1210" s="55" t="n">
        <v>24</v>
      </c>
      <c r="H1210" s="55" t="n">
        <v>0</v>
      </c>
      <c r="I1210" s="56" t="n"/>
      <c r="J1210" s="57" t="n">
        <v>0.22</v>
      </c>
      <c r="K1210" s="56" t="inlineStr">
        <is>
          <t>account data velocity</t>
        </is>
      </c>
      <c r="L1210" s="58" t="n">
        <v>2.7396</v>
      </c>
      <c r="M1210" s="56" t="inlineStr">
        <is>
          <t>ASSUMED: account BFCM 2025 lift (US); product's own 2025 lift not available</t>
        </is>
      </c>
      <c r="N1210" s="59">
        <f>J1210*34+J1210*L1210*12</f>
        <v/>
      </c>
      <c r="O1210" s="59">
        <f>MAX(0,N1210-G1210-H1210)</f>
        <v/>
      </c>
      <c r="P1210" s="60">
        <f>IF(J1210=0,"",IF(G1210&lt;J1210*34,DATE(2026,10,15)+G1210/J1210,IF(G1210&lt;N1210,DATE(2026,11,18)+(G1210-J1210*34)/(J1210*L1210),"after Nov 30")))</f>
        <v/>
      </c>
      <c r="Q1210" s="60">
        <f>IF(J1210=0,"",IF(G1210+H1210&lt;J1210*34,DATE(2026,10,15)+(G1210+H1210)/J1210,IF(G1210+H1210&lt;N1210,DATE(2026,11,18)+(G1210+H1210-J1210*34)/(J1210*L1210),"after Nov 30")))</f>
        <v/>
      </c>
      <c r="R1210" s="54">
        <f>IF(AND(G1210&lt;=0,J1210&gt;0),"Out of stock now",IF(G1210&gt;=N1210,"Covered to Nov 30",IF(G1210+H1210&gt;=N1210,"Needs inbound in time","Short even with inbound")))</f>
        <v/>
      </c>
      <c r="S1210" s="57" t="n">
        <v>0</v>
      </c>
      <c r="T1210" s="59">
        <f>IF(S1210="","",S1210*34+S1210*L1210*12)</f>
        <v/>
      </c>
    </row>
    <row r="1211">
      <c r="A1211" s="54" t="inlineStr">
        <is>
          <t>US CL Cooling Sheets</t>
        </is>
      </c>
      <c r="B1211" s="54" t="inlineStr">
        <is>
          <t>US</t>
        </is>
      </c>
      <c r="C1211" s="54" t="inlineStr">
        <is>
          <t>B0H6K78BHY</t>
        </is>
      </c>
      <c r="D1211" s="54" t="inlineStr">
        <is>
          <t>CL-COOLING-SHEET-KING-NAVY-BLUE</t>
        </is>
      </c>
      <c r="E1211" s="54" t="inlineStr">
        <is>
          <t>King</t>
        </is>
      </c>
      <c r="F1211" s="54" t="inlineStr">
        <is>
          <t>Navy Blue</t>
        </is>
      </c>
      <c r="G1211" s="55" t="n">
        <v>120</v>
      </c>
      <c r="H1211" s="55" t="n">
        <v>0</v>
      </c>
      <c r="I1211" s="56" t="n"/>
      <c r="J1211" s="57" t="n">
        <v>0.22</v>
      </c>
      <c r="K1211" s="56" t="inlineStr">
        <is>
          <t>account data velocity</t>
        </is>
      </c>
      <c r="L1211" s="58" t="n">
        <v>2.7396</v>
      </c>
      <c r="M1211" s="56" t="inlineStr">
        <is>
          <t>ASSUMED: account BFCM 2025 lift (US); product's own 2025 lift not available</t>
        </is>
      </c>
      <c r="N1211" s="59">
        <f>J1211*34+J1211*L1211*12</f>
        <v/>
      </c>
      <c r="O1211" s="59">
        <f>MAX(0,N1211-G1211-H1211)</f>
        <v/>
      </c>
      <c r="P1211" s="60">
        <f>IF(J1211=0,"",IF(G1211&lt;J1211*34,DATE(2026,10,15)+G1211/J1211,IF(G1211&lt;N1211,DATE(2026,11,18)+(G1211-J1211*34)/(J1211*L1211),"after Nov 30")))</f>
        <v/>
      </c>
      <c r="Q1211" s="60">
        <f>IF(J1211=0,"",IF(G1211+H1211&lt;J1211*34,DATE(2026,10,15)+(G1211+H1211)/J1211,IF(G1211+H1211&lt;N1211,DATE(2026,11,18)+(G1211+H1211-J1211*34)/(J1211*L1211),"after Nov 30")))</f>
        <v/>
      </c>
      <c r="R1211" s="54">
        <f>IF(AND(G1211&lt;=0,J1211&gt;0),"Out of stock now",IF(G1211&gt;=N1211,"Covered to Nov 30",IF(G1211+H1211&gt;=N1211,"Needs inbound in time","Short even with inbound")))</f>
        <v/>
      </c>
      <c r="S1211" s="57" t="n">
        <v>0</v>
      </c>
      <c r="T1211" s="59">
        <f>IF(S1211="","",S1211*34+S1211*L1211*12)</f>
        <v/>
      </c>
    </row>
    <row r="1212">
      <c r="A1212" s="54" t="inlineStr">
        <is>
          <t>US CL Cooling Sheets</t>
        </is>
      </c>
      <c r="B1212" s="54" t="inlineStr">
        <is>
          <t>US</t>
        </is>
      </c>
      <c r="C1212" s="54" t="inlineStr">
        <is>
          <t>B0H6JZT4XF</t>
        </is>
      </c>
      <c r="D1212" s="54" t="inlineStr">
        <is>
          <t>CL-COOLING-SHEET-KING-REGAL-PURPLE</t>
        </is>
      </c>
      <c r="E1212" s="54" t="inlineStr">
        <is>
          <t>King</t>
        </is>
      </c>
      <c r="F1212" s="54" t="inlineStr">
        <is>
          <t>Regal Purple</t>
        </is>
      </c>
      <c r="G1212" s="55" t="n">
        <v>47</v>
      </c>
      <c r="H1212" s="55" t="n">
        <v>0</v>
      </c>
      <c r="I1212" s="56" t="n"/>
      <c r="J1212" s="57" t="n">
        <v>0.22</v>
      </c>
      <c r="K1212" s="56" t="inlineStr">
        <is>
          <t>account data velocity</t>
        </is>
      </c>
      <c r="L1212" s="58" t="n">
        <v>2.7396</v>
      </c>
      <c r="M1212" s="56" t="inlineStr">
        <is>
          <t>ASSUMED: account BFCM 2025 lift (US); product's own 2025 lift not available</t>
        </is>
      </c>
      <c r="N1212" s="59">
        <f>J1212*34+J1212*L1212*12</f>
        <v/>
      </c>
      <c r="O1212" s="59">
        <f>MAX(0,N1212-G1212-H1212)</f>
        <v/>
      </c>
      <c r="P1212" s="60">
        <f>IF(J1212=0,"",IF(G1212&lt;J1212*34,DATE(2026,10,15)+G1212/J1212,IF(G1212&lt;N1212,DATE(2026,11,18)+(G1212-J1212*34)/(J1212*L1212),"after Nov 30")))</f>
        <v/>
      </c>
      <c r="Q1212" s="60">
        <f>IF(J1212=0,"",IF(G1212+H1212&lt;J1212*34,DATE(2026,10,15)+(G1212+H1212)/J1212,IF(G1212+H1212&lt;N1212,DATE(2026,11,18)+(G1212+H1212-J1212*34)/(J1212*L1212),"after Nov 30")))</f>
        <v/>
      </c>
      <c r="R1212" s="54">
        <f>IF(AND(G1212&lt;=0,J1212&gt;0),"Out of stock now",IF(G1212&gt;=N1212,"Covered to Nov 30",IF(G1212+H1212&gt;=N1212,"Needs inbound in time","Short even with inbound")))</f>
        <v/>
      </c>
      <c r="S1212" s="57" t="n">
        <v>0</v>
      </c>
      <c r="T1212" s="59">
        <f>IF(S1212="","",S1212*34+S1212*L1212*12)</f>
        <v/>
      </c>
    </row>
    <row r="1213">
      <c r="A1213" s="54" t="inlineStr">
        <is>
          <t>US CL Cooling Sheets</t>
        </is>
      </c>
      <c r="B1213" s="54" t="inlineStr">
        <is>
          <t>US</t>
        </is>
      </c>
      <c r="C1213" s="54" t="inlineStr">
        <is>
          <t>B0H6K55LHF</t>
        </is>
      </c>
      <c r="D1213" s="54" t="inlineStr">
        <is>
          <t>CL-COOLING-SHEET-QUEEN-LIGHT-GREY</t>
        </is>
      </c>
      <c r="E1213" s="54" t="inlineStr">
        <is>
          <t>Queen</t>
        </is>
      </c>
      <c r="F1213" s="54" t="inlineStr">
        <is>
          <t>Light Grey</t>
        </is>
      </c>
      <c r="G1213" s="55" t="n">
        <v>77</v>
      </c>
      <c r="H1213" s="55" t="n">
        <v>6</v>
      </c>
      <c r="I1213" s="56" t="inlineStr">
        <is>
          <t>FBA19LFZW0KV receiving: 6</t>
        </is>
      </c>
      <c r="J1213" s="57" t="n">
        <v>0.22</v>
      </c>
      <c r="K1213" s="56" t="inlineStr">
        <is>
          <t>account data velocity</t>
        </is>
      </c>
      <c r="L1213" s="58" t="n">
        <v>2.7396</v>
      </c>
      <c r="M1213" s="56" t="inlineStr">
        <is>
          <t>ASSUMED: account BFCM 2025 lift (US); product's own 2025 lift not available</t>
        </is>
      </c>
      <c r="N1213" s="59">
        <f>J1213*34+J1213*L1213*12</f>
        <v/>
      </c>
      <c r="O1213" s="59">
        <f>MAX(0,N1213-G1213-H1213)</f>
        <v/>
      </c>
      <c r="P1213" s="60">
        <f>IF(J1213=0,"",IF(G1213&lt;J1213*34,DATE(2026,10,15)+G1213/J1213,IF(G1213&lt;N1213,DATE(2026,11,18)+(G1213-J1213*34)/(J1213*L1213),"after Nov 30")))</f>
        <v/>
      </c>
      <c r="Q1213" s="60">
        <f>IF(J1213=0,"",IF(G1213+H1213&lt;J1213*34,DATE(2026,10,15)+(G1213+H1213)/J1213,IF(G1213+H1213&lt;N1213,DATE(2026,11,18)+(G1213+H1213-J1213*34)/(J1213*L1213),"after Nov 30")))</f>
        <v/>
      </c>
      <c r="R1213" s="54">
        <f>IF(AND(G1213&lt;=0,J1213&gt;0),"Out of stock now",IF(G1213&gt;=N1213,"Covered to Nov 30",IF(G1213+H1213&gt;=N1213,"Needs inbound in time","Short even with inbound")))</f>
        <v/>
      </c>
      <c r="S1213" s="57" t="n">
        <v>0</v>
      </c>
      <c r="T1213" s="59">
        <f>IF(S1213="","",S1213*34+S1213*L1213*12)</f>
        <v/>
      </c>
    </row>
    <row r="1214">
      <c r="A1214" s="54" t="inlineStr">
        <is>
          <t>US CL Cooling Sheets</t>
        </is>
      </c>
      <c r="B1214" s="54" t="inlineStr">
        <is>
          <t>US</t>
        </is>
      </c>
      <c r="C1214" s="54" t="inlineStr">
        <is>
          <t>B0H6K2MXND</t>
        </is>
      </c>
      <c r="D1214" s="54" t="inlineStr">
        <is>
          <t>CL-COOLING-SHEET-QUEEN-LIGHT-PINK</t>
        </is>
      </c>
      <c r="E1214" s="54" t="inlineStr">
        <is>
          <t>Queen</t>
        </is>
      </c>
      <c r="F1214" s="54" t="inlineStr">
        <is>
          <t>Light Pink</t>
        </is>
      </c>
      <c r="G1214" s="55" t="n">
        <v>72</v>
      </c>
      <c r="H1214" s="55" t="n">
        <v>0</v>
      </c>
      <c r="I1214" s="56" t="n"/>
      <c r="J1214" s="57" t="n">
        <v>0.22</v>
      </c>
      <c r="K1214" s="56" t="inlineStr">
        <is>
          <t>account data velocity</t>
        </is>
      </c>
      <c r="L1214" s="58" t="n">
        <v>2.7396</v>
      </c>
      <c r="M1214" s="56" t="inlineStr">
        <is>
          <t>ASSUMED: account BFCM 2025 lift (US); product's own 2025 lift not available</t>
        </is>
      </c>
      <c r="N1214" s="59">
        <f>J1214*34+J1214*L1214*12</f>
        <v/>
      </c>
      <c r="O1214" s="59">
        <f>MAX(0,N1214-G1214-H1214)</f>
        <v/>
      </c>
      <c r="P1214" s="60">
        <f>IF(J1214=0,"",IF(G1214&lt;J1214*34,DATE(2026,10,15)+G1214/J1214,IF(G1214&lt;N1214,DATE(2026,11,18)+(G1214-J1214*34)/(J1214*L1214),"after Nov 30")))</f>
        <v/>
      </c>
      <c r="Q1214" s="60">
        <f>IF(J1214=0,"",IF(G1214+H1214&lt;J1214*34,DATE(2026,10,15)+(G1214+H1214)/J1214,IF(G1214+H1214&lt;N1214,DATE(2026,11,18)+(G1214+H1214-J1214*34)/(J1214*L1214),"after Nov 30")))</f>
        <v/>
      </c>
      <c r="R1214" s="54">
        <f>IF(AND(G1214&lt;=0,J1214&gt;0),"Out of stock now",IF(G1214&gt;=N1214,"Covered to Nov 30",IF(G1214+H1214&gt;=N1214,"Needs inbound in time","Short even with inbound")))</f>
        <v/>
      </c>
      <c r="S1214" s="57" t="n"/>
      <c r="T1214" s="59">
        <f>IF(S1214="","",S1214*34+S1214*L1214*12)</f>
        <v/>
      </c>
    </row>
    <row r="1215">
      <c r="A1215" s="54" t="inlineStr">
        <is>
          <t>US CL Cooling Sheets</t>
        </is>
      </c>
      <c r="B1215" s="54" t="inlineStr">
        <is>
          <t>US</t>
        </is>
      </c>
      <c r="C1215" s="54" t="inlineStr">
        <is>
          <t>B0H6JXLFX6</t>
        </is>
      </c>
      <c r="D1215" s="54" t="inlineStr">
        <is>
          <t>CL-COOLING-SHEET-QUEEN-MIDNIGHT-BLACK</t>
        </is>
      </c>
      <c r="E1215" s="54" t="inlineStr">
        <is>
          <t>Queen</t>
        </is>
      </c>
      <c r="F1215" s="54" t="inlineStr">
        <is>
          <t>Midnight Black</t>
        </is>
      </c>
      <c r="G1215" s="55" t="n">
        <v>126</v>
      </c>
      <c r="H1215" s="55" t="n">
        <v>0</v>
      </c>
      <c r="I1215" s="56" t="n"/>
      <c r="J1215" s="57" t="n">
        <v>0.22</v>
      </c>
      <c r="K1215" s="56" t="inlineStr">
        <is>
          <t>account data velocity</t>
        </is>
      </c>
      <c r="L1215" s="58" t="n">
        <v>2.7396</v>
      </c>
      <c r="M1215" s="56" t="inlineStr">
        <is>
          <t>ASSUMED: account BFCM 2025 lift (US); product's own 2025 lift not available</t>
        </is>
      </c>
      <c r="N1215" s="59">
        <f>J1215*34+J1215*L1215*12</f>
        <v/>
      </c>
      <c r="O1215" s="59">
        <f>MAX(0,N1215-G1215-H1215)</f>
        <v/>
      </c>
      <c r="P1215" s="60">
        <f>IF(J1215=0,"",IF(G1215&lt;J1215*34,DATE(2026,10,15)+G1215/J1215,IF(G1215&lt;N1215,DATE(2026,11,18)+(G1215-J1215*34)/(J1215*L1215),"after Nov 30")))</f>
        <v/>
      </c>
      <c r="Q1215" s="60">
        <f>IF(J1215=0,"",IF(G1215+H1215&lt;J1215*34,DATE(2026,10,15)+(G1215+H1215)/J1215,IF(G1215+H1215&lt;N1215,DATE(2026,11,18)+(G1215+H1215-J1215*34)/(J1215*L1215),"after Nov 30")))</f>
        <v/>
      </c>
      <c r="R1215" s="54">
        <f>IF(AND(G1215&lt;=0,J1215&gt;0),"Out of stock now",IF(G1215&gt;=N1215,"Covered to Nov 30",IF(G1215+H1215&gt;=N1215,"Needs inbound in time","Short even with inbound")))</f>
        <v/>
      </c>
      <c r="S1215" s="57" t="n">
        <v>0</v>
      </c>
      <c r="T1215" s="59">
        <f>IF(S1215="","",S1215*34+S1215*L1215*12)</f>
        <v/>
      </c>
    </row>
    <row r="1216">
      <c r="A1216" s="54" t="inlineStr">
        <is>
          <t>US CL Cooling Sheets</t>
        </is>
      </c>
      <c r="B1216" s="54" t="inlineStr">
        <is>
          <t>US</t>
        </is>
      </c>
      <c r="C1216" s="54" t="inlineStr">
        <is>
          <t>B0H6K7PWRL</t>
        </is>
      </c>
      <c r="D1216" s="54" t="inlineStr">
        <is>
          <t>CL-COOLING-SHEET-QUEEN-NAVY-BLUE</t>
        </is>
      </c>
      <c r="E1216" s="54" t="inlineStr">
        <is>
          <t>Queen</t>
        </is>
      </c>
      <c r="F1216" s="54" t="inlineStr">
        <is>
          <t>Navy Blue</t>
        </is>
      </c>
      <c r="G1216" s="55" t="n">
        <v>144</v>
      </c>
      <c r="H1216" s="55" t="n">
        <v>0</v>
      </c>
      <c r="I1216" s="56" t="n"/>
      <c r="J1216" s="57" t="n">
        <v>0.22</v>
      </c>
      <c r="K1216" s="56" t="inlineStr">
        <is>
          <t>account data velocity</t>
        </is>
      </c>
      <c r="L1216" s="58" t="n">
        <v>2.7396</v>
      </c>
      <c r="M1216" s="56" t="inlineStr">
        <is>
          <t>ASSUMED: account BFCM 2025 lift (US); product's own 2025 lift not available</t>
        </is>
      </c>
      <c r="N1216" s="59">
        <f>J1216*34+J1216*L1216*12</f>
        <v/>
      </c>
      <c r="O1216" s="59">
        <f>MAX(0,N1216-G1216-H1216)</f>
        <v/>
      </c>
      <c r="P1216" s="60">
        <f>IF(J1216=0,"",IF(G1216&lt;J1216*34,DATE(2026,10,15)+G1216/J1216,IF(G1216&lt;N1216,DATE(2026,11,18)+(G1216-J1216*34)/(J1216*L1216),"after Nov 30")))</f>
        <v/>
      </c>
      <c r="Q1216" s="60">
        <f>IF(J1216=0,"",IF(G1216+H1216&lt;J1216*34,DATE(2026,10,15)+(G1216+H1216)/J1216,IF(G1216+H1216&lt;N1216,DATE(2026,11,18)+(G1216+H1216-J1216*34)/(J1216*L1216),"after Nov 30")))</f>
        <v/>
      </c>
      <c r="R1216" s="54">
        <f>IF(AND(G1216&lt;=0,J1216&gt;0),"Out of stock now",IF(G1216&gt;=N1216,"Covered to Nov 30",IF(G1216+H1216&gt;=N1216,"Needs inbound in time","Short even with inbound")))</f>
        <v/>
      </c>
      <c r="S1216" s="57" t="n"/>
      <c r="T1216" s="59">
        <f>IF(S1216="","",S1216*34+S1216*L1216*12)</f>
        <v/>
      </c>
    </row>
    <row r="1217">
      <c r="A1217" s="54" t="inlineStr">
        <is>
          <t>US CL Cooling Sheets</t>
        </is>
      </c>
      <c r="B1217" s="54" t="inlineStr">
        <is>
          <t>US</t>
        </is>
      </c>
      <c r="C1217" s="54" t="inlineStr">
        <is>
          <t>B0H6JW1KL2</t>
        </is>
      </c>
      <c r="D1217" s="54" t="inlineStr">
        <is>
          <t>CL-COOLING-SHEET-QUEEN-REGAL-PURPLE</t>
        </is>
      </c>
      <c r="E1217" s="54" t="inlineStr">
        <is>
          <t>Queen</t>
        </is>
      </c>
      <c r="F1217" s="54" t="inlineStr">
        <is>
          <t>Regal Purple</t>
        </is>
      </c>
      <c r="G1217" s="55" t="n">
        <v>89</v>
      </c>
      <c r="H1217" s="55" t="n">
        <v>0</v>
      </c>
      <c r="I1217" s="56" t="n"/>
      <c r="J1217" s="57" t="n">
        <v>0.22</v>
      </c>
      <c r="K1217" s="56" t="inlineStr">
        <is>
          <t>account data velocity</t>
        </is>
      </c>
      <c r="L1217" s="58" t="n">
        <v>2.7396</v>
      </c>
      <c r="M1217" s="56" t="inlineStr">
        <is>
          <t>ASSUMED: account BFCM 2025 lift (US); product's own 2025 lift not available</t>
        </is>
      </c>
      <c r="N1217" s="59">
        <f>J1217*34+J1217*L1217*12</f>
        <v/>
      </c>
      <c r="O1217" s="59">
        <f>MAX(0,N1217-G1217-H1217)</f>
        <v/>
      </c>
      <c r="P1217" s="60">
        <f>IF(J1217=0,"",IF(G1217&lt;J1217*34,DATE(2026,10,15)+G1217/J1217,IF(G1217&lt;N1217,DATE(2026,11,18)+(G1217-J1217*34)/(J1217*L1217),"after Nov 30")))</f>
        <v/>
      </c>
      <c r="Q1217" s="60">
        <f>IF(J1217=0,"",IF(G1217+H1217&lt;J1217*34,DATE(2026,10,15)+(G1217+H1217)/J1217,IF(G1217+H1217&lt;N1217,DATE(2026,11,18)+(G1217+H1217-J1217*34)/(J1217*L1217),"after Nov 30")))</f>
        <v/>
      </c>
      <c r="R1217" s="54">
        <f>IF(AND(G1217&lt;=0,J1217&gt;0),"Out of stock now",IF(G1217&gt;=N1217,"Covered to Nov 30",IF(G1217+H1217&gt;=N1217,"Needs inbound in time","Short even with inbound")))</f>
        <v/>
      </c>
      <c r="S1217" s="57" t="n">
        <v>0</v>
      </c>
      <c r="T1217" s="59">
        <f>IF(S1217="","",S1217*34+S1217*L1217*12)</f>
        <v/>
      </c>
    </row>
    <row r="1218">
      <c r="A1218" s="54" t="inlineStr">
        <is>
          <t>US CL Cooling Sheets</t>
        </is>
      </c>
      <c r="B1218" s="54" t="inlineStr">
        <is>
          <t>US</t>
        </is>
      </c>
      <c r="C1218" s="54" t="inlineStr">
        <is>
          <t>B0H6K79KGF</t>
        </is>
      </c>
      <c r="D1218" s="54" t="inlineStr">
        <is>
          <t>CL-COOLING-SHEET-KING-SAGE-GREEN</t>
        </is>
      </c>
      <c r="E1218" s="54" t="inlineStr">
        <is>
          <t>King</t>
        </is>
      </c>
      <c r="F1218" s="54" t="inlineStr">
        <is>
          <t>Sage Green</t>
        </is>
      </c>
      <c r="G1218" s="55" t="n">
        <v>52</v>
      </c>
      <c r="H1218" s="55" t="n">
        <v>0</v>
      </c>
      <c r="I1218" s="56" t="n"/>
      <c r="J1218" s="57" t="n">
        <v>0.06</v>
      </c>
      <c r="K1218" s="56" t="inlineStr">
        <is>
          <t>account data velocity</t>
        </is>
      </c>
      <c r="L1218" s="58" t="n">
        <v>2.7396</v>
      </c>
      <c r="M1218" s="56" t="inlineStr">
        <is>
          <t>ASSUMED: account BFCM 2025 lift (US); product's own 2025 lift not available</t>
        </is>
      </c>
      <c r="N1218" s="59">
        <f>J1218*34+J1218*L1218*12</f>
        <v/>
      </c>
      <c r="O1218" s="59">
        <f>MAX(0,N1218-G1218-H1218)</f>
        <v/>
      </c>
      <c r="P1218" s="60">
        <f>IF(J1218=0,"",IF(G1218&lt;J1218*34,DATE(2026,10,15)+G1218/J1218,IF(G1218&lt;N1218,DATE(2026,11,18)+(G1218-J1218*34)/(J1218*L1218),"after Nov 30")))</f>
        <v/>
      </c>
      <c r="Q1218" s="60">
        <f>IF(J1218=0,"",IF(G1218+H1218&lt;J1218*34,DATE(2026,10,15)+(G1218+H1218)/J1218,IF(G1218+H1218&lt;N1218,DATE(2026,11,18)+(G1218+H1218-J1218*34)/(J1218*L1218),"after Nov 30")))</f>
        <v/>
      </c>
      <c r="R1218" s="54">
        <f>IF(AND(G1218&lt;=0,J1218&gt;0),"Out of stock now",IF(G1218&gt;=N1218,"Covered to Nov 30",IF(G1218+H1218&gt;=N1218,"Needs inbound in time","Short even with inbound")))</f>
        <v/>
      </c>
      <c r="S1218" s="57" t="n">
        <v>0</v>
      </c>
      <c r="T1218" s="59">
        <f>IF(S1218="","",S1218*34+S1218*L1218*12)</f>
        <v/>
      </c>
    </row>
    <row r="1219">
      <c r="A1219" s="54" t="inlineStr">
        <is>
          <t>US CL Cooling Sheets</t>
        </is>
      </c>
      <c r="B1219" s="54" t="inlineStr">
        <is>
          <t>US</t>
        </is>
      </c>
      <c r="C1219" s="54" t="inlineStr">
        <is>
          <t>B0H6K1VFZ5</t>
        </is>
      </c>
      <c r="D1219" s="54" t="inlineStr">
        <is>
          <t>CL-COOLING-SHEET-FULL-LIGHT-PINK</t>
        </is>
      </c>
      <c r="E1219" s="54" t="inlineStr">
        <is>
          <t>Full</t>
        </is>
      </c>
      <c r="F1219" s="54" t="inlineStr">
        <is>
          <t>Light Pink</t>
        </is>
      </c>
      <c r="G1219" s="55" t="n">
        <v>23</v>
      </c>
      <c r="H1219" s="55" t="n">
        <v>0</v>
      </c>
      <c r="I1219" s="56" t="n"/>
      <c r="J1219" s="57" t="n">
        <v>0.05</v>
      </c>
      <c r="K1219" s="56" t="inlineStr">
        <is>
          <t>account data velocity</t>
        </is>
      </c>
      <c r="L1219" s="58" t="n">
        <v>2.7396</v>
      </c>
      <c r="M1219" s="56" t="inlineStr">
        <is>
          <t>ASSUMED: account BFCM 2025 lift (US); product's own 2025 lift not available</t>
        </is>
      </c>
      <c r="N1219" s="59">
        <f>J1219*34+J1219*L1219*12</f>
        <v/>
      </c>
      <c r="O1219" s="59">
        <f>MAX(0,N1219-G1219-H1219)</f>
        <v/>
      </c>
      <c r="P1219" s="60">
        <f>IF(J1219=0,"",IF(G1219&lt;J1219*34,DATE(2026,10,15)+G1219/J1219,IF(G1219&lt;N1219,DATE(2026,11,18)+(G1219-J1219*34)/(J1219*L1219),"after Nov 30")))</f>
        <v/>
      </c>
      <c r="Q1219" s="60">
        <f>IF(J1219=0,"",IF(G1219+H1219&lt;J1219*34,DATE(2026,10,15)+(G1219+H1219)/J1219,IF(G1219+H1219&lt;N1219,DATE(2026,11,18)+(G1219+H1219-J1219*34)/(J1219*L1219),"after Nov 30")))</f>
        <v/>
      </c>
      <c r="R1219" s="54">
        <f>IF(AND(G1219&lt;=0,J1219&gt;0),"Out of stock now",IF(G1219&gt;=N1219,"Covered to Nov 30",IF(G1219+H1219&gt;=N1219,"Needs inbound in time","Short even with inbound")))</f>
        <v/>
      </c>
      <c r="S1219" s="57" t="n">
        <v>0.036</v>
      </c>
      <c r="T1219" s="59">
        <f>IF(S1219="","",S1219*34+S1219*L1219*12)</f>
        <v/>
      </c>
    </row>
    <row r="1220">
      <c r="A1220" s="54" t="inlineStr">
        <is>
          <t>US CL Cooling Sheets</t>
        </is>
      </c>
      <c r="B1220" s="54" t="inlineStr">
        <is>
          <t>US</t>
        </is>
      </c>
      <c r="C1220" s="54" t="inlineStr">
        <is>
          <t>B0H6JYRJHC</t>
        </is>
      </c>
      <c r="D1220" s="54" t="inlineStr">
        <is>
          <t>CL-COOLING-SHEET-CAL-KING-LIGHT-PINK</t>
        </is>
      </c>
      <c r="E1220" s="54" t="inlineStr">
        <is>
          <t>California King</t>
        </is>
      </c>
      <c r="F1220" s="54" t="inlineStr">
        <is>
          <t>Light Pink</t>
        </is>
      </c>
      <c r="G1220" s="55" t="n">
        <v>29</v>
      </c>
      <c r="H1220" s="55" t="n">
        <v>0</v>
      </c>
      <c r="I1220" s="56" t="n"/>
      <c r="J1220" s="57" t="n">
        <v>0.05</v>
      </c>
      <c r="K1220" s="56" t="inlineStr">
        <is>
          <t>account data velocity</t>
        </is>
      </c>
      <c r="L1220" s="58" t="n">
        <v>2.7396</v>
      </c>
      <c r="M1220" s="56" t="inlineStr">
        <is>
          <t>ASSUMED: account BFCM 2025 lift (US); product's own 2025 lift not available</t>
        </is>
      </c>
      <c r="N1220" s="59">
        <f>J1220*34+J1220*L1220*12</f>
        <v/>
      </c>
      <c r="O1220" s="59">
        <f>MAX(0,N1220-G1220-H1220)</f>
        <v/>
      </c>
      <c r="P1220" s="60">
        <f>IF(J1220=0,"",IF(G1220&lt;J1220*34,DATE(2026,10,15)+G1220/J1220,IF(G1220&lt;N1220,DATE(2026,11,18)+(G1220-J1220*34)/(J1220*L1220),"after Nov 30")))</f>
        <v/>
      </c>
      <c r="Q1220" s="60">
        <f>IF(J1220=0,"",IF(G1220+H1220&lt;J1220*34,DATE(2026,10,15)+(G1220+H1220)/J1220,IF(G1220+H1220&lt;N1220,DATE(2026,11,18)+(G1220+H1220-J1220*34)/(J1220*L1220),"after Nov 30")))</f>
        <v/>
      </c>
      <c r="R1220" s="54">
        <f>IF(AND(G1220&lt;=0,J1220&gt;0),"Out of stock now",IF(G1220&gt;=N1220,"Covered to Nov 30",IF(G1220+H1220&gt;=N1220,"Needs inbound in time","Short even with inbound")))</f>
        <v/>
      </c>
      <c r="S1220" s="57" t="n">
        <v>0</v>
      </c>
      <c r="T1220" s="59">
        <f>IF(S1220="","",S1220*34+S1220*L1220*12)</f>
        <v/>
      </c>
    </row>
    <row r="1221">
      <c r="A1221" s="54" t="inlineStr">
        <is>
          <t>US CL Cooling Sheets</t>
        </is>
      </c>
      <c r="B1221" s="54" t="inlineStr">
        <is>
          <t>US</t>
        </is>
      </c>
      <c r="C1221" s="54" t="inlineStr">
        <is>
          <t>B0H6JZVSG3</t>
        </is>
      </c>
      <c r="D1221" s="54" t="inlineStr">
        <is>
          <t>CL-COOLING-SHEET-QUEEN-SAGE-GREEN</t>
        </is>
      </c>
      <c r="E1221" s="54" t="inlineStr">
        <is>
          <t>Queen</t>
        </is>
      </c>
      <c r="F1221" s="54" t="inlineStr">
        <is>
          <t>Sage Green</t>
        </is>
      </c>
      <c r="G1221" s="55" t="n">
        <v>71</v>
      </c>
      <c r="H1221" s="55" t="n">
        <v>6</v>
      </c>
      <c r="I1221" s="56" t="inlineStr">
        <is>
          <t>FBA19LG08Q1X receiving: 6</t>
        </is>
      </c>
      <c r="J1221" s="57" t="n">
        <v>0.05</v>
      </c>
      <c r="K1221" s="56" t="inlineStr">
        <is>
          <t>account data velocity</t>
        </is>
      </c>
      <c r="L1221" s="58" t="n">
        <v>2.7396</v>
      </c>
      <c r="M1221" s="56" t="inlineStr">
        <is>
          <t>ASSUMED: account BFCM 2025 lift (US); product's own 2025 lift not available</t>
        </is>
      </c>
      <c r="N1221" s="59">
        <f>J1221*34+J1221*L1221*12</f>
        <v/>
      </c>
      <c r="O1221" s="59">
        <f>MAX(0,N1221-G1221-H1221)</f>
        <v/>
      </c>
      <c r="P1221" s="60">
        <f>IF(J1221=0,"",IF(G1221&lt;J1221*34,DATE(2026,10,15)+G1221/J1221,IF(G1221&lt;N1221,DATE(2026,11,18)+(G1221-J1221*34)/(J1221*L1221),"after Nov 30")))</f>
        <v/>
      </c>
      <c r="Q1221" s="60">
        <f>IF(J1221=0,"",IF(G1221+H1221&lt;J1221*34,DATE(2026,10,15)+(G1221+H1221)/J1221,IF(G1221+H1221&lt;N1221,DATE(2026,11,18)+(G1221+H1221-J1221*34)/(J1221*L1221),"after Nov 30")))</f>
        <v/>
      </c>
      <c r="R1221" s="54">
        <f>IF(AND(G1221&lt;=0,J1221&gt;0),"Out of stock now",IF(G1221&gt;=N1221,"Covered to Nov 30",IF(G1221+H1221&gt;=N1221,"Needs inbound in time","Short even with inbound")))</f>
        <v/>
      </c>
      <c r="S1221" s="57" t="n">
        <v>0</v>
      </c>
      <c r="T1221" s="59">
        <f>IF(S1221="","",S1221*34+S1221*L1221*12)</f>
        <v/>
      </c>
    </row>
    <row r="1222">
      <c r="A1222" s="54" t="inlineStr">
        <is>
          <t>US CL Cooling Sheets</t>
        </is>
      </c>
      <c r="B1222" s="54" t="inlineStr">
        <is>
          <t>US</t>
        </is>
      </c>
      <c r="C1222" s="54" t="inlineStr">
        <is>
          <t>B0H6K2WQHQ</t>
        </is>
      </c>
      <c r="D1222" s="54" t="inlineStr">
        <is>
          <t>CL-COOLING-SHEET-TWIN-MIDNIGHT-BLACK</t>
        </is>
      </c>
      <c r="E1222" s="54" t="inlineStr">
        <is>
          <t>Twin</t>
        </is>
      </c>
      <c r="F1222" s="54" t="inlineStr">
        <is>
          <t>Midnight Black</t>
        </is>
      </c>
      <c r="G1222" s="55" t="n">
        <v>29</v>
      </c>
      <c r="H1222" s="55" t="n">
        <v>0</v>
      </c>
      <c r="I1222" s="56" t="n"/>
      <c r="J1222" s="57" t="n">
        <v>0.01</v>
      </c>
      <c r="K1222" s="56" t="inlineStr">
        <is>
          <t>account data velocity</t>
        </is>
      </c>
      <c r="L1222" s="58" t="n">
        <v>2.7396</v>
      </c>
      <c r="M1222" s="56" t="inlineStr">
        <is>
          <t>ASSUMED: account BFCM 2025 lift (US); product's own 2025 lift not available</t>
        </is>
      </c>
      <c r="N1222" s="59">
        <f>J1222*34+J1222*L1222*12</f>
        <v/>
      </c>
      <c r="O1222" s="59">
        <f>MAX(0,N1222-G1222-H1222)</f>
        <v/>
      </c>
      <c r="P1222" s="60">
        <f>IF(J1222=0,"",IF(G1222&lt;J1222*34,DATE(2026,10,15)+G1222/J1222,IF(G1222&lt;N1222,DATE(2026,11,18)+(G1222-J1222*34)/(J1222*L1222),"after Nov 30")))</f>
        <v/>
      </c>
      <c r="Q1222" s="60">
        <f>IF(J1222=0,"",IF(G1222+H1222&lt;J1222*34,DATE(2026,10,15)+(G1222+H1222)/J1222,IF(G1222+H1222&lt;N1222,DATE(2026,11,18)+(G1222+H1222-J1222*34)/(J1222*L1222),"after Nov 30")))</f>
        <v/>
      </c>
      <c r="R1222" s="54">
        <f>IF(AND(G1222&lt;=0,J1222&gt;0),"Out of stock now",IF(G1222&gt;=N1222,"Covered to Nov 30",IF(G1222+H1222&gt;=N1222,"Needs inbound in time","Short even with inbound")))</f>
        <v/>
      </c>
      <c r="S1222" s="57" t="n"/>
      <c r="T1222" s="59">
        <f>IF(S1222="","",S1222*34+S1222*L1222*12)</f>
        <v/>
      </c>
    </row>
    <row r="1223">
      <c r="A1223" s="54" t="inlineStr">
        <is>
          <t>US CL Cooling Sheets</t>
        </is>
      </c>
      <c r="B1223" s="54" t="inlineStr">
        <is>
          <t>US</t>
        </is>
      </c>
      <c r="C1223" s="54" t="inlineStr">
        <is>
          <t>B0H6K5RPX6</t>
        </is>
      </c>
      <c r="D1223" s="54" t="inlineStr">
        <is>
          <t>CL-COOLING-SHEET-CAL-KING-BEIGE</t>
        </is>
      </c>
      <c r="E1223" s="54" t="inlineStr">
        <is>
          <t>California King</t>
        </is>
      </c>
      <c r="F1223" s="54" t="inlineStr">
        <is>
          <t>Beige</t>
        </is>
      </c>
      <c r="G1223" s="55" t="n">
        <v>30</v>
      </c>
      <c r="H1223" s="55" t="n">
        <v>0</v>
      </c>
      <c r="I1223" s="56" t="n"/>
      <c r="J1223" s="57" t="n">
        <v>0</v>
      </c>
      <c r="K1223" s="56" t="inlineStr">
        <is>
          <t>account data velocity</t>
        </is>
      </c>
      <c r="L1223" s="58" t="n">
        <v>2.7396</v>
      </c>
      <c r="M1223" s="56" t="inlineStr">
        <is>
          <t>ASSUMED: account BFCM 2025 lift (US); product's own 2025 lift not available</t>
        </is>
      </c>
      <c r="N1223" s="59">
        <f>J1223*34+J1223*L1223*12</f>
        <v/>
      </c>
      <c r="O1223" s="59">
        <f>MAX(0,N1223-G1223-H1223)</f>
        <v/>
      </c>
      <c r="P1223" s="60">
        <f>IF(J1223=0,"",IF(G1223&lt;J1223*34,DATE(2026,10,15)+G1223/J1223,IF(G1223&lt;N1223,DATE(2026,11,18)+(G1223-J1223*34)/(J1223*L1223),"after Nov 30")))</f>
        <v/>
      </c>
      <c r="Q1223" s="60">
        <f>IF(J1223=0,"",IF(G1223+H1223&lt;J1223*34,DATE(2026,10,15)+(G1223+H1223)/J1223,IF(G1223+H1223&lt;N1223,DATE(2026,11,18)+(G1223+H1223-J1223*34)/(J1223*L1223),"after Nov 30")))</f>
        <v/>
      </c>
      <c r="R1223" s="54">
        <f>IF(AND(G1223&lt;=0,J1223&gt;0),"Out of stock now",IF(G1223&gt;=N1223,"Covered to Nov 30",IF(G1223+H1223&gt;=N1223,"Needs inbound in time","Short even with inbound")))</f>
        <v/>
      </c>
      <c r="S1223" s="57" t="n">
        <v>0</v>
      </c>
      <c r="T1223" s="59">
        <f>IF(S1223="","",S1223*34+S1223*L1223*12)</f>
        <v/>
      </c>
    </row>
    <row r="1224">
      <c r="A1224" s="54" t="inlineStr">
        <is>
          <t>US CL Cooling Sheets</t>
        </is>
      </c>
      <c r="B1224" s="54" t="inlineStr">
        <is>
          <t>US</t>
        </is>
      </c>
      <c r="C1224" s="54" t="inlineStr">
        <is>
          <t>B0H6JWSSY9</t>
        </is>
      </c>
      <c r="D1224" s="54" t="inlineStr">
        <is>
          <t>CL-COOLING-SHEET-CAL-KING-COOL-GREY</t>
        </is>
      </c>
      <c r="E1224" s="54" t="inlineStr">
        <is>
          <t>California King</t>
        </is>
      </c>
      <c r="F1224" s="54" t="inlineStr">
        <is>
          <t>Cool Grey</t>
        </is>
      </c>
      <c r="G1224" s="55" t="n">
        <v>30</v>
      </c>
      <c r="H1224" s="55" t="n">
        <v>0</v>
      </c>
      <c r="I1224" s="56" t="n"/>
      <c r="J1224" s="57" t="n">
        <v>0</v>
      </c>
      <c r="K1224" s="56" t="inlineStr">
        <is>
          <t>account data velocity</t>
        </is>
      </c>
      <c r="L1224" s="58" t="n">
        <v>2.7396</v>
      </c>
      <c r="M1224" s="56" t="inlineStr">
        <is>
          <t>ASSUMED: account BFCM 2025 lift (US); product's own 2025 lift not available</t>
        </is>
      </c>
      <c r="N1224" s="59">
        <f>J1224*34+J1224*L1224*12</f>
        <v/>
      </c>
      <c r="O1224" s="59">
        <f>MAX(0,N1224-G1224-H1224)</f>
        <v/>
      </c>
      <c r="P1224" s="60">
        <f>IF(J1224=0,"",IF(G1224&lt;J1224*34,DATE(2026,10,15)+G1224/J1224,IF(G1224&lt;N1224,DATE(2026,11,18)+(G1224-J1224*34)/(J1224*L1224),"after Nov 30")))</f>
        <v/>
      </c>
      <c r="Q1224" s="60">
        <f>IF(J1224=0,"",IF(G1224+H1224&lt;J1224*34,DATE(2026,10,15)+(G1224+H1224)/J1224,IF(G1224+H1224&lt;N1224,DATE(2026,11,18)+(G1224+H1224-J1224*34)/(J1224*L1224),"after Nov 30")))</f>
        <v/>
      </c>
      <c r="R1224" s="54">
        <f>IF(AND(G1224&lt;=0,J1224&gt;0),"Out of stock now",IF(G1224&gt;=N1224,"Covered to Nov 30",IF(G1224+H1224&gt;=N1224,"Needs inbound in time","Short even with inbound")))</f>
        <v/>
      </c>
      <c r="S1224" s="57" t="n">
        <v>0</v>
      </c>
      <c r="T1224" s="59">
        <f>IF(S1224="","",S1224*34+S1224*L1224*12)</f>
        <v/>
      </c>
    </row>
    <row r="1225">
      <c r="A1225" s="54" t="inlineStr">
        <is>
          <t>US CL Cooling Sheets</t>
        </is>
      </c>
      <c r="B1225" s="54" t="inlineStr">
        <is>
          <t>US</t>
        </is>
      </c>
      <c r="C1225" s="54" t="inlineStr">
        <is>
          <t>B0H6JXJHJK</t>
        </is>
      </c>
      <c r="D1225" s="54" t="inlineStr">
        <is>
          <t>CL-COOLING-SHEET-CAL-KING-CREAM</t>
        </is>
      </c>
      <c r="E1225" s="54" t="inlineStr">
        <is>
          <t>California King</t>
        </is>
      </c>
      <c r="F1225" s="54" t="inlineStr">
        <is>
          <t>Cream</t>
        </is>
      </c>
      <c r="G1225" s="55" t="n">
        <v>24</v>
      </c>
      <c r="H1225" s="55" t="n">
        <v>0</v>
      </c>
      <c r="I1225" s="56" t="n"/>
      <c r="J1225" s="57" t="n">
        <v>0</v>
      </c>
      <c r="K1225" s="56" t="inlineStr">
        <is>
          <t>account data velocity</t>
        </is>
      </c>
      <c r="L1225" s="58" t="n">
        <v>2.7396</v>
      </c>
      <c r="M1225" s="56" t="inlineStr">
        <is>
          <t>ASSUMED: account BFCM 2025 lift (US); product's own 2025 lift not available</t>
        </is>
      </c>
      <c r="N1225" s="59">
        <f>J1225*34+J1225*L1225*12</f>
        <v/>
      </c>
      <c r="O1225" s="59">
        <f>MAX(0,N1225-G1225-H1225)</f>
        <v/>
      </c>
      <c r="P1225" s="60">
        <f>IF(J1225=0,"",IF(G1225&lt;J1225*34,DATE(2026,10,15)+G1225/J1225,IF(G1225&lt;N1225,DATE(2026,11,18)+(G1225-J1225*34)/(J1225*L1225),"after Nov 30")))</f>
        <v/>
      </c>
      <c r="Q1225" s="60">
        <f>IF(J1225=0,"",IF(G1225+H1225&lt;J1225*34,DATE(2026,10,15)+(G1225+H1225)/J1225,IF(G1225+H1225&lt;N1225,DATE(2026,11,18)+(G1225+H1225-J1225*34)/(J1225*L1225),"after Nov 30")))</f>
        <v/>
      </c>
      <c r="R1225" s="54">
        <f>IF(AND(G1225&lt;=0,J1225&gt;0),"Out of stock now",IF(G1225&gt;=N1225,"Covered to Nov 30",IF(G1225+H1225&gt;=N1225,"Needs inbound in time","Short even with inbound")))</f>
        <v/>
      </c>
      <c r="S1225" s="57" t="n"/>
      <c r="T1225" s="59">
        <f>IF(S1225="","",S1225*34+S1225*L1225*12)</f>
        <v/>
      </c>
    </row>
    <row r="1226">
      <c r="A1226" s="54" t="inlineStr">
        <is>
          <t>US CL Cooling Sheets</t>
        </is>
      </c>
      <c r="B1226" s="54" t="inlineStr">
        <is>
          <t>US</t>
        </is>
      </c>
      <c r="C1226" s="54" t="inlineStr">
        <is>
          <t>B0H6JV73R5</t>
        </is>
      </c>
      <c r="D1226" s="54" t="inlineStr">
        <is>
          <t>CL-COOLING-SHEET-CAL-KING-GRAPHITE</t>
        </is>
      </c>
      <c r="E1226" s="54" t="inlineStr">
        <is>
          <t>California King</t>
        </is>
      </c>
      <c r="F1226" s="54" t="inlineStr">
        <is>
          <t>Graphite</t>
        </is>
      </c>
      <c r="G1226" s="55" t="n">
        <v>66</v>
      </c>
      <c r="H1226" s="55" t="n">
        <v>0</v>
      </c>
      <c r="I1226" s="56" t="n"/>
      <c r="J1226" s="57" t="n">
        <v>0</v>
      </c>
      <c r="K1226" s="56" t="inlineStr">
        <is>
          <t>account data velocity</t>
        </is>
      </c>
      <c r="L1226" s="58" t="n">
        <v>2.7396</v>
      </c>
      <c r="M1226" s="56" t="inlineStr">
        <is>
          <t>ASSUMED: account BFCM 2025 lift (US); product's own 2025 lift not available</t>
        </is>
      </c>
      <c r="N1226" s="59">
        <f>J1226*34+J1226*L1226*12</f>
        <v/>
      </c>
      <c r="O1226" s="59">
        <f>MAX(0,N1226-G1226-H1226)</f>
        <v/>
      </c>
      <c r="P1226" s="60">
        <f>IF(J1226=0,"",IF(G1226&lt;J1226*34,DATE(2026,10,15)+G1226/J1226,IF(G1226&lt;N1226,DATE(2026,11,18)+(G1226-J1226*34)/(J1226*L1226),"after Nov 30")))</f>
        <v/>
      </c>
      <c r="Q1226" s="60">
        <f>IF(J1226=0,"",IF(G1226+H1226&lt;J1226*34,DATE(2026,10,15)+(G1226+H1226)/J1226,IF(G1226+H1226&lt;N1226,DATE(2026,11,18)+(G1226+H1226-J1226*34)/(J1226*L1226),"after Nov 30")))</f>
        <v/>
      </c>
      <c r="R1226" s="54">
        <f>IF(AND(G1226&lt;=0,J1226&gt;0),"Out of stock now",IF(G1226&gt;=N1226,"Covered to Nov 30",IF(G1226+H1226&gt;=N1226,"Needs inbound in time","Short even with inbound")))</f>
        <v/>
      </c>
      <c r="S1226" s="57" t="n"/>
      <c r="T1226" s="59">
        <f>IF(S1226="","",S1226*34+S1226*L1226*12)</f>
        <v/>
      </c>
    </row>
    <row r="1227">
      <c r="A1227" s="54" t="inlineStr">
        <is>
          <t>US CL Cooling Sheets</t>
        </is>
      </c>
      <c r="B1227" s="54" t="inlineStr">
        <is>
          <t>US</t>
        </is>
      </c>
      <c r="C1227" s="54" t="inlineStr">
        <is>
          <t>B0H6K58NNT</t>
        </is>
      </c>
      <c r="D1227" s="54" t="inlineStr">
        <is>
          <t>CL-COOLING-SHEET-CAL-KING-LIGHT-BLUE</t>
        </is>
      </c>
      <c r="E1227" s="54" t="inlineStr">
        <is>
          <t>California King</t>
        </is>
      </c>
      <c r="F1227" s="54" t="inlineStr">
        <is>
          <t>Light Blue</t>
        </is>
      </c>
      <c r="G1227" s="55" t="n">
        <v>24</v>
      </c>
      <c r="H1227" s="55" t="n">
        <v>0</v>
      </c>
      <c r="I1227" s="56" t="n"/>
      <c r="J1227" s="57" t="n">
        <v>0</v>
      </c>
      <c r="K1227" s="56" t="inlineStr">
        <is>
          <t>account data velocity</t>
        </is>
      </c>
      <c r="L1227" s="58" t="n">
        <v>2.7396</v>
      </c>
      <c r="M1227" s="56" t="inlineStr">
        <is>
          <t>ASSUMED: account BFCM 2025 lift (US); product's own 2025 lift not available</t>
        </is>
      </c>
      <c r="N1227" s="59">
        <f>J1227*34+J1227*L1227*12</f>
        <v/>
      </c>
      <c r="O1227" s="59">
        <f>MAX(0,N1227-G1227-H1227)</f>
        <v/>
      </c>
      <c r="P1227" s="60">
        <f>IF(J1227=0,"",IF(G1227&lt;J1227*34,DATE(2026,10,15)+G1227/J1227,IF(G1227&lt;N1227,DATE(2026,11,18)+(G1227-J1227*34)/(J1227*L1227),"after Nov 30")))</f>
        <v/>
      </c>
      <c r="Q1227" s="60">
        <f>IF(J1227=0,"",IF(G1227+H1227&lt;J1227*34,DATE(2026,10,15)+(G1227+H1227)/J1227,IF(G1227+H1227&lt;N1227,DATE(2026,11,18)+(G1227+H1227-J1227*34)/(J1227*L1227),"after Nov 30")))</f>
        <v/>
      </c>
      <c r="R1227" s="54">
        <f>IF(AND(G1227&lt;=0,J1227&gt;0),"Out of stock now",IF(G1227&gt;=N1227,"Covered to Nov 30",IF(G1227+H1227&gt;=N1227,"Needs inbound in time","Short even with inbound")))</f>
        <v/>
      </c>
      <c r="S1227" s="57" t="n"/>
      <c r="T1227" s="59">
        <f>IF(S1227="","",S1227*34+S1227*L1227*12)</f>
        <v/>
      </c>
    </row>
    <row r="1228">
      <c r="A1228" s="54" t="inlineStr">
        <is>
          <t>US CL Cooling Sheets</t>
        </is>
      </c>
      <c r="B1228" s="54" t="inlineStr">
        <is>
          <t>US</t>
        </is>
      </c>
      <c r="C1228" s="54" t="inlineStr">
        <is>
          <t>B0H6K5DRLZ</t>
        </is>
      </c>
      <c r="D1228" s="54" t="inlineStr">
        <is>
          <t>CL-COOLING-SHEET-CAL-KING-LIGHT-GREY</t>
        </is>
      </c>
      <c r="E1228" s="54" t="inlineStr">
        <is>
          <t>California King</t>
        </is>
      </c>
      <c r="F1228" s="54" t="inlineStr">
        <is>
          <t>Light Grey</t>
        </is>
      </c>
      <c r="G1228" s="55" t="n">
        <v>29</v>
      </c>
      <c r="H1228" s="55" t="n">
        <v>0</v>
      </c>
      <c r="I1228" s="56" t="n"/>
      <c r="J1228" s="57" t="n">
        <v>0</v>
      </c>
      <c r="K1228" s="56" t="inlineStr">
        <is>
          <t>account data velocity</t>
        </is>
      </c>
      <c r="L1228" s="58" t="n">
        <v>2.7396</v>
      </c>
      <c r="M1228" s="56" t="inlineStr">
        <is>
          <t>ASSUMED: account BFCM 2025 lift (US); product's own 2025 lift not available</t>
        </is>
      </c>
      <c r="N1228" s="59">
        <f>J1228*34+J1228*L1228*12</f>
        <v/>
      </c>
      <c r="O1228" s="59">
        <f>MAX(0,N1228-G1228-H1228)</f>
        <v/>
      </c>
      <c r="P1228" s="60">
        <f>IF(J1228=0,"",IF(G1228&lt;J1228*34,DATE(2026,10,15)+G1228/J1228,IF(G1228&lt;N1228,DATE(2026,11,18)+(G1228-J1228*34)/(J1228*L1228),"after Nov 30")))</f>
        <v/>
      </c>
      <c r="Q1228" s="60">
        <f>IF(J1228=0,"",IF(G1228+H1228&lt;J1228*34,DATE(2026,10,15)+(G1228+H1228)/J1228,IF(G1228+H1228&lt;N1228,DATE(2026,11,18)+(G1228+H1228-J1228*34)/(J1228*L1228),"after Nov 30")))</f>
        <v/>
      </c>
      <c r="R1228" s="54">
        <f>IF(AND(G1228&lt;=0,J1228&gt;0),"Out of stock now",IF(G1228&gt;=N1228,"Covered to Nov 30",IF(G1228+H1228&gt;=N1228,"Needs inbound in time","Short even with inbound")))</f>
        <v/>
      </c>
      <c r="S1228" s="57" t="n">
        <v>0</v>
      </c>
      <c r="T1228" s="59">
        <f>IF(S1228="","",S1228*34+S1228*L1228*12)</f>
        <v/>
      </c>
    </row>
    <row r="1229">
      <c r="A1229" s="54" t="inlineStr">
        <is>
          <t>US CL Cooling Sheets</t>
        </is>
      </c>
      <c r="B1229" s="54" t="inlineStr">
        <is>
          <t>US</t>
        </is>
      </c>
      <c r="C1229" s="54" t="inlineStr">
        <is>
          <t>B0H6JZG4W5</t>
        </is>
      </c>
      <c r="D1229" s="54" t="inlineStr">
        <is>
          <t>CL-COOLING-SHEET-CAL-KING-MIDNIGHT-BLACK</t>
        </is>
      </c>
      <c r="E1229" s="54" t="inlineStr">
        <is>
          <t>California King</t>
        </is>
      </c>
      <c r="F1229" s="54" t="inlineStr">
        <is>
          <t>Midnight Black</t>
        </is>
      </c>
      <c r="G1229" s="55" t="n">
        <v>42</v>
      </c>
      <c r="H1229" s="55" t="n">
        <v>0</v>
      </c>
      <c r="I1229" s="56" t="n"/>
      <c r="J1229" s="57" t="n">
        <v>0</v>
      </c>
      <c r="K1229" s="56" t="inlineStr">
        <is>
          <t>account data velocity</t>
        </is>
      </c>
      <c r="L1229" s="58" t="n">
        <v>2.7396</v>
      </c>
      <c r="M1229" s="56" t="inlineStr">
        <is>
          <t>ASSUMED: account BFCM 2025 lift (US); product's own 2025 lift not available</t>
        </is>
      </c>
      <c r="N1229" s="59">
        <f>J1229*34+J1229*L1229*12</f>
        <v/>
      </c>
      <c r="O1229" s="59">
        <f>MAX(0,N1229-G1229-H1229)</f>
        <v/>
      </c>
      <c r="P1229" s="60">
        <f>IF(J1229=0,"",IF(G1229&lt;J1229*34,DATE(2026,10,15)+G1229/J1229,IF(G1229&lt;N1229,DATE(2026,11,18)+(G1229-J1229*34)/(J1229*L1229),"after Nov 30")))</f>
        <v/>
      </c>
      <c r="Q1229" s="60">
        <f>IF(J1229=0,"",IF(G1229+H1229&lt;J1229*34,DATE(2026,10,15)+(G1229+H1229)/J1229,IF(G1229+H1229&lt;N1229,DATE(2026,11,18)+(G1229+H1229-J1229*34)/(J1229*L1229),"after Nov 30")))</f>
        <v/>
      </c>
      <c r="R1229" s="54">
        <f>IF(AND(G1229&lt;=0,J1229&gt;0),"Out of stock now",IF(G1229&gt;=N1229,"Covered to Nov 30",IF(G1229+H1229&gt;=N1229,"Needs inbound in time","Short even with inbound")))</f>
        <v/>
      </c>
      <c r="S1229" s="57" t="n">
        <v>0</v>
      </c>
      <c r="T1229" s="59">
        <f>IF(S1229="","",S1229*34+S1229*L1229*12)</f>
        <v/>
      </c>
    </row>
    <row r="1230">
      <c r="A1230" s="54" t="inlineStr">
        <is>
          <t>US CL Cooling Sheets</t>
        </is>
      </c>
      <c r="B1230" s="54" t="inlineStr">
        <is>
          <t>US</t>
        </is>
      </c>
      <c r="C1230" s="54" t="inlineStr">
        <is>
          <t>B0H6K6KLFY</t>
        </is>
      </c>
      <c r="D1230" s="54" t="inlineStr">
        <is>
          <t>CL-COOLING-SHEET-CAL-KING-NAVY-BLUE</t>
        </is>
      </c>
      <c r="E1230" s="54" t="inlineStr">
        <is>
          <t>California King</t>
        </is>
      </c>
      <c r="F1230" s="54" t="inlineStr">
        <is>
          <t>Navy Blue</t>
        </is>
      </c>
      <c r="G1230" s="55" t="n">
        <v>30</v>
      </c>
      <c r="H1230" s="55" t="n">
        <v>0</v>
      </c>
      <c r="I1230" s="56" t="n"/>
      <c r="J1230" s="57" t="n">
        <v>0</v>
      </c>
      <c r="K1230" s="56" t="inlineStr">
        <is>
          <t>account data velocity</t>
        </is>
      </c>
      <c r="L1230" s="58" t="n">
        <v>2.7396</v>
      </c>
      <c r="M1230" s="56" t="inlineStr">
        <is>
          <t>ASSUMED: account BFCM 2025 lift (US); product's own 2025 lift not available</t>
        </is>
      </c>
      <c r="N1230" s="59">
        <f>J1230*34+J1230*L1230*12</f>
        <v/>
      </c>
      <c r="O1230" s="59">
        <f>MAX(0,N1230-G1230-H1230)</f>
        <v/>
      </c>
      <c r="P1230" s="60">
        <f>IF(J1230=0,"",IF(G1230&lt;J1230*34,DATE(2026,10,15)+G1230/J1230,IF(G1230&lt;N1230,DATE(2026,11,18)+(G1230-J1230*34)/(J1230*L1230),"after Nov 30")))</f>
        <v/>
      </c>
      <c r="Q1230" s="60">
        <f>IF(J1230=0,"",IF(G1230+H1230&lt;J1230*34,DATE(2026,10,15)+(G1230+H1230)/J1230,IF(G1230+H1230&lt;N1230,DATE(2026,11,18)+(G1230+H1230-J1230*34)/(J1230*L1230),"after Nov 30")))</f>
        <v/>
      </c>
      <c r="R1230" s="54">
        <f>IF(AND(G1230&lt;=0,J1230&gt;0),"Out of stock now",IF(G1230&gt;=N1230,"Covered to Nov 30",IF(G1230+H1230&gt;=N1230,"Needs inbound in time","Short even with inbound")))</f>
        <v/>
      </c>
      <c r="S1230" s="57" t="n"/>
      <c r="T1230" s="59">
        <f>IF(S1230="","",S1230*34+S1230*L1230*12)</f>
        <v/>
      </c>
    </row>
    <row r="1231">
      <c r="A1231" s="54" t="inlineStr">
        <is>
          <t>US CL Cooling Sheets</t>
        </is>
      </c>
      <c r="B1231" s="54" t="inlineStr">
        <is>
          <t>US</t>
        </is>
      </c>
      <c r="C1231" s="54" t="inlineStr">
        <is>
          <t>B0H6JXKJJQ</t>
        </is>
      </c>
      <c r="D1231" s="54" t="inlineStr">
        <is>
          <t>CL-COOLING-SHEET-CAL-KING-REGAL-PURPLE</t>
        </is>
      </c>
      <c r="E1231" s="54" t="inlineStr">
        <is>
          <t>California King</t>
        </is>
      </c>
      <c r="F1231" s="54" t="inlineStr">
        <is>
          <t>Regal Purple</t>
        </is>
      </c>
      <c r="G1231" s="55" t="n">
        <v>30</v>
      </c>
      <c r="H1231" s="55" t="n">
        <v>0</v>
      </c>
      <c r="I1231" s="56" t="n"/>
      <c r="J1231" s="57" t="n">
        <v>0</v>
      </c>
      <c r="K1231" s="56" t="inlineStr">
        <is>
          <t>account data velocity</t>
        </is>
      </c>
      <c r="L1231" s="58" t="n">
        <v>2.7396</v>
      </c>
      <c r="M1231" s="56" t="inlineStr">
        <is>
          <t>ASSUMED: account BFCM 2025 lift (US); product's own 2025 lift not available</t>
        </is>
      </c>
      <c r="N1231" s="59">
        <f>J1231*34+J1231*L1231*12</f>
        <v/>
      </c>
      <c r="O1231" s="59">
        <f>MAX(0,N1231-G1231-H1231)</f>
        <v/>
      </c>
      <c r="P1231" s="60">
        <f>IF(J1231=0,"",IF(G1231&lt;J1231*34,DATE(2026,10,15)+G1231/J1231,IF(G1231&lt;N1231,DATE(2026,11,18)+(G1231-J1231*34)/(J1231*L1231),"after Nov 30")))</f>
        <v/>
      </c>
      <c r="Q1231" s="60">
        <f>IF(J1231=0,"",IF(G1231+H1231&lt;J1231*34,DATE(2026,10,15)+(G1231+H1231)/J1231,IF(G1231+H1231&lt;N1231,DATE(2026,11,18)+(G1231+H1231-J1231*34)/(J1231*L1231),"after Nov 30")))</f>
        <v/>
      </c>
      <c r="R1231" s="54">
        <f>IF(AND(G1231&lt;=0,J1231&gt;0),"Out of stock now",IF(G1231&gt;=N1231,"Covered to Nov 30",IF(G1231+H1231&gt;=N1231,"Needs inbound in time","Short even with inbound")))</f>
        <v/>
      </c>
      <c r="S1231" s="57" t="n">
        <v>0</v>
      </c>
      <c r="T1231" s="59">
        <f>IF(S1231="","",S1231*34+S1231*L1231*12)</f>
        <v/>
      </c>
    </row>
    <row r="1232">
      <c r="A1232" s="54" t="inlineStr">
        <is>
          <t>US CL Cooling Sheets</t>
        </is>
      </c>
      <c r="B1232" s="54" t="inlineStr">
        <is>
          <t>US</t>
        </is>
      </c>
      <c r="C1232" s="54" t="inlineStr">
        <is>
          <t>B0H6K39KQX</t>
        </is>
      </c>
      <c r="D1232" s="54" t="inlineStr">
        <is>
          <t>CL-COOLING-SHEET-CAL-KING-SAGE-GREEN</t>
        </is>
      </c>
      <c r="E1232" s="54" t="inlineStr">
        <is>
          <t>California King</t>
        </is>
      </c>
      <c r="F1232" s="54" t="inlineStr">
        <is>
          <t>Sage Green</t>
        </is>
      </c>
      <c r="G1232" s="55" t="n">
        <v>30</v>
      </c>
      <c r="H1232" s="55" t="n">
        <v>0</v>
      </c>
      <c r="I1232" s="56" t="n"/>
      <c r="J1232" s="57" t="n">
        <v>0</v>
      </c>
      <c r="K1232" s="56" t="inlineStr">
        <is>
          <t>account data velocity</t>
        </is>
      </c>
      <c r="L1232" s="58" t="n">
        <v>2.7396</v>
      </c>
      <c r="M1232" s="56" t="inlineStr">
        <is>
          <t>ASSUMED: account BFCM 2025 lift (US); product's own 2025 lift not available</t>
        </is>
      </c>
      <c r="N1232" s="59">
        <f>J1232*34+J1232*L1232*12</f>
        <v/>
      </c>
      <c r="O1232" s="59">
        <f>MAX(0,N1232-G1232-H1232)</f>
        <v/>
      </c>
      <c r="P1232" s="60">
        <f>IF(J1232=0,"",IF(G1232&lt;J1232*34,DATE(2026,10,15)+G1232/J1232,IF(G1232&lt;N1232,DATE(2026,11,18)+(G1232-J1232*34)/(J1232*L1232),"after Nov 30")))</f>
        <v/>
      </c>
      <c r="Q1232" s="60">
        <f>IF(J1232=0,"",IF(G1232+H1232&lt;J1232*34,DATE(2026,10,15)+(G1232+H1232)/J1232,IF(G1232+H1232&lt;N1232,DATE(2026,11,18)+(G1232+H1232-J1232*34)/(J1232*L1232),"after Nov 30")))</f>
        <v/>
      </c>
      <c r="R1232" s="54">
        <f>IF(AND(G1232&lt;=0,J1232&gt;0),"Out of stock now",IF(G1232&gt;=N1232,"Covered to Nov 30",IF(G1232+H1232&gt;=N1232,"Needs inbound in time","Short even with inbound")))</f>
        <v/>
      </c>
      <c r="S1232" s="57" t="n">
        <v>0</v>
      </c>
      <c r="T1232" s="59">
        <f>IF(S1232="","",S1232*34+S1232*L1232*12)</f>
        <v/>
      </c>
    </row>
    <row r="1233">
      <c r="A1233" s="54" t="inlineStr">
        <is>
          <t>US CL Cooling Sheets</t>
        </is>
      </c>
      <c r="B1233" s="54" t="inlineStr">
        <is>
          <t>US</t>
        </is>
      </c>
      <c r="C1233" s="54" t="inlineStr">
        <is>
          <t>B0H6JYWQYR</t>
        </is>
      </c>
      <c r="D1233" s="54" t="inlineStr">
        <is>
          <t>CL-COOLING-SHEET-CAL-KING-WHITE</t>
        </is>
      </c>
      <c r="E1233" s="54" t="inlineStr">
        <is>
          <t>California King</t>
        </is>
      </c>
      <c r="F1233" s="54" t="inlineStr">
        <is>
          <t>White</t>
        </is>
      </c>
      <c r="G1233" s="55" t="n">
        <v>42</v>
      </c>
      <c r="H1233" s="55" t="n">
        <v>0</v>
      </c>
      <c r="I1233" s="56" t="n"/>
      <c r="J1233" s="57" t="n">
        <v>0</v>
      </c>
      <c r="K1233" s="56" t="inlineStr">
        <is>
          <t>account data velocity</t>
        </is>
      </c>
      <c r="L1233" s="58" t="n">
        <v>2.7396</v>
      </c>
      <c r="M1233" s="56" t="inlineStr">
        <is>
          <t>ASSUMED: account BFCM 2025 lift (US); product's own 2025 lift not available</t>
        </is>
      </c>
      <c r="N1233" s="59">
        <f>J1233*34+J1233*L1233*12</f>
        <v/>
      </c>
      <c r="O1233" s="59">
        <f>MAX(0,N1233-G1233-H1233)</f>
        <v/>
      </c>
      <c r="P1233" s="60">
        <f>IF(J1233=0,"",IF(G1233&lt;J1233*34,DATE(2026,10,15)+G1233/J1233,IF(G1233&lt;N1233,DATE(2026,11,18)+(G1233-J1233*34)/(J1233*L1233),"after Nov 30")))</f>
        <v/>
      </c>
      <c r="Q1233" s="60">
        <f>IF(J1233=0,"",IF(G1233+H1233&lt;J1233*34,DATE(2026,10,15)+(G1233+H1233)/J1233,IF(G1233+H1233&lt;N1233,DATE(2026,11,18)+(G1233+H1233-J1233*34)/(J1233*L1233),"after Nov 30")))</f>
        <v/>
      </c>
      <c r="R1233" s="54">
        <f>IF(AND(G1233&lt;=0,J1233&gt;0),"Out of stock now",IF(G1233&gt;=N1233,"Covered to Nov 30",IF(G1233+H1233&gt;=N1233,"Needs inbound in time","Short even with inbound")))</f>
        <v/>
      </c>
      <c r="S1233" s="57" t="n">
        <v>0</v>
      </c>
      <c r="T1233" s="59">
        <f>IF(S1233="","",S1233*34+S1233*L1233*12)</f>
        <v/>
      </c>
    </row>
    <row r="1234">
      <c r="A1234" s="54" t="inlineStr">
        <is>
          <t>US CL Cooling Sheets</t>
        </is>
      </c>
      <c r="B1234" s="54" t="inlineStr">
        <is>
          <t>US</t>
        </is>
      </c>
      <c r="C1234" s="54" t="inlineStr">
        <is>
          <t>B0H6JWJ4X2</t>
        </is>
      </c>
      <c r="D1234" s="54" t="inlineStr">
        <is>
          <t>CL-COOLING-SHEET-FULL-BEIGE</t>
        </is>
      </c>
      <c r="E1234" s="54" t="inlineStr">
        <is>
          <t>Full</t>
        </is>
      </c>
      <c r="F1234" s="54" t="inlineStr">
        <is>
          <t>Beige</t>
        </is>
      </c>
      <c r="G1234" s="55" t="n">
        <v>30</v>
      </c>
      <c r="H1234" s="55" t="n">
        <v>0</v>
      </c>
      <c r="I1234" s="56" t="n"/>
      <c r="J1234" s="57" t="n">
        <v>0</v>
      </c>
      <c r="K1234" s="56" t="inlineStr">
        <is>
          <t>account data velocity</t>
        </is>
      </c>
      <c r="L1234" s="58" t="n">
        <v>2.7396</v>
      </c>
      <c r="M1234" s="56" t="inlineStr">
        <is>
          <t>ASSUMED: account BFCM 2025 lift (US); product's own 2025 lift not available</t>
        </is>
      </c>
      <c r="N1234" s="59">
        <f>J1234*34+J1234*L1234*12</f>
        <v/>
      </c>
      <c r="O1234" s="59">
        <f>MAX(0,N1234-G1234-H1234)</f>
        <v/>
      </c>
      <c r="P1234" s="60">
        <f>IF(J1234=0,"",IF(G1234&lt;J1234*34,DATE(2026,10,15)+G1234/J1234,IF(G1234&lt;N1234,DATE(2026,11,18)+(G1234-J1234*34)/(J1234*L1234),"after Nov 30")))</f>
        <v/>
      </c>
      <c r="Q1234" s="60">
        <f>IF(J1234=0,"",IF(G1234+H1234&lt;J1234*34,DATE(2026,10,15)+(G1234+H1234)/J1234,IF(G1234+H1234&lt;N1234,DATE(2026,11,18)+(G1234+H1234-J1234*34)/(J1234*L1234),"after Nov 30")))</f>
        <v/>
      </c>
      <c r="R1234" s="54">
        <f>IF(AND(G1234&lt;=0,J1234&gt;0),"Out of stock now",IF(G1234&gt;=N1234,"Covered to Nov 30",IF(G1234+H1234&gt;=N1234,"Needs inbound in time","Short even with inbound")))</f>
        <v/>
      </c>
      <c r="S1234" s="57" t="n"/>
      <c r="T1234" s="59">
        <f>IF(S1234="","",S1234*34+S1234*L1234*12)</f>
        <v/>
      </c>
    </row>
    <row r="1235">
      <c r="A1235" s="54" t="inlineStr">
        <is>
          <t>US CL Cooling Sheets</t>
        </is>
      </c>
      <c r="B1235" s="54" t="inlineStr">
        <is>
          <t>US</t>
        </is>
      </c>
      <c r="C1235" s="54" t="inlineStr">
        <is>
          <t>B0H6K8FXL7</t>
        </is>
      </c>
      <c r="D1235" s="54" t="inlineStr">
        <is>
          <t>CL-COOLING-SHEET-FULL-CREAM</t>
        </is>
      </c>
      <c r="E1235" s="54" t="inlineStr">
        <is>
          <t>Full</t>
        </is>
      </c>
      <c r="F1235" s="54" t="inlineStr">
        <is>
          <t>Cream</t>
        </is>
      </c>
      <c r="G1235" s="55" t="n">
        <v>30</v>
      </c>
      <c r="H1235" s="55" t="n">
        <v>0</v>
      </c>
      <c r="I1235" s="56" t="n"/>
      <c r="J1235" s="57" t="n">
        <v>0</v>
      </c>
      <c r="K1235" s="56" t="inlineStr">
        <is>
          <t>account data velocity</t>
        </is>
      </c>
      <c r="L1235" s="58" t="n">
        <v>2.7396</v>
      </c>
      <c r="M1235" s="56" t="inlineStr">
        <is>
          <t>ASSUMED: account BFCM 2025 lift (US); product's own 2025 lift not available</t>
        </is>
      </c>
      <c r="N1235" s="59">
        <f>J1235*34+J1235*L1235*12</f>
        <v/>
      </c>
      <c r="O1235" s="59">
        <f>MAX(0,N1235-G1235-H1235)</f>
        <v/>
      </c>
      <c r="P1235" s="60">
        <f>IF(J1235=0,"",IF(G1235&lt;J1235*34,DATE(2026,10,15)+G1235/J1235,IF(G1235&lt;N1235,DATE(2026,11,18)+(G1235-J1235*34)/(J1235*L1235),"after Nov 30")))</f>
        <v/>
      </c>
      <c r="Q1235" s="60">
        <f>IF(J1235=0,"",IF(G1235+H1235&lt;J1235*34,DATE(2026,10,15)+(G1235+H1235)/J1235,IF(G1235+H1235&lt;N1235,DATE(2026,11,18)+(G1235+H1235-J1235*34)/(J1235*L1235),"after Nov 30")))</f>
        <v/>
      </c>
      <c r="R1235" s="54">
        <f>IF(AND(G1235&lt;=0,J1235&gt;0),"Out of stock now",IF(G1235&gt;=N1235,"Covered to Nov 30",IF(G1235+H1235&gt;=N1235,"Needs inbound in time","Short even with inbound")))</f>
        <v/>
      </c>
      <c r="S1235" s="57" t="n"/>
      <c r="T1235" s="59">
        <f>IF(S1235="","",S1235*34+S1235*L1235*12)</f>
        <v/>
      </c>
    </row>
    <row r="1236">
      <c r="A1236" s="54" t="inlineStr">
        <is>
          <t>US CL Cooling Sheets</t>
        </is>
      </c>
      <c r="B1236" s="54" t="inlineStr">
        <is>
          <t>US</t>
        </is>
      </c>
      <c r="C1236" s="54" t="inlineStr">
        <is>
          <t>B0H6K1C7N1</t>
        </is>
      </c>
      <c r="D1236" s="54" t="inlineStr">
        <is>
          <t>CL-COOLING-SHEET-FULL-GRAPHITE</t>
        </is>
      </c>
      <c r="E1236" s="54" t="inlineStr">
        <is>
          <t>Full</t>
        </is>
      </c>
      <c r="F1236" s="54" t="inlineStr">
        <is>
          <t>Graphite</t>
        </is>
      </c>
      <c r="G1236" s="55" t="n">
        <v>72</v>
      </c>
      <c r="H1236" s="55" t="n">
        <v>0</v>
      </c>
      <c r="I1236" s="56" t="n"/>
      <c r="J1236" s="57" t="n">
        <v>0</v>
      </c>
      <c r="K1236" s="56" t="inlineStr">
        <is>
          <t>account data velocity</t>
        </is>
      </c>
      <c r="L1236" s="58" t="n">
        <v>2.7396</v>
      </c>
      <c r="M1236" s="56" t="inlineStr">
        <is>
          <t>ASSUMED: account BFCM 2025 lift (US); product's own 2025 lift not available</t>
        </is>
      </c>
      <c r="N1236" s="59">
        <f>J1236*34+J1236*L1236*12</f>
        <v/>
      </c>
      <c r="O1236" s="59">
        <f>MAX(0,N1236-G1236-H1236)</f>
        <v/>
      </c>
      <c r="P1236" s="60">
        <f>IF(J1236=0,"",IF(G1236&lt;J1236*34,DATE(2026,10,15)+G1236/J1236,IF(G1236&lt;N1236,DATE(2026,11,18)+(G1236-J1236*34)/(J1236*L1236),"after Nov 30")))</f>
        <v/>
      </c>
      <c r="Q1236" s="60">
        <f>IF(J1236=0,"",IF(G1236+H1236&lt;J1236*34,DATE(2026,10,15)+(G1236+H1236)/J1236,IF(G1236+H1236&lt;N1236,DATE(2026,11,18)+(G1236+H1236-J1236*34)/(J1236*L1236),"after Nov 30")))</f>
        <v/>
      </c>
      <c r="R1236" s="54">
        <f>IF(AND(G1236&lt;=0,J1236&gt;0),"Out of stock now",IF(G1236&gt;=N1236,"Covered to Nov 30",IF(G1236+H1236&gt;=N1236,"Needs inbound in time","Short even with inbound")))</f>
        <v/>
      </c>
      <c r="S1236" s="57" t="n">
        <v>0</v>
      </c>
      <c r="T1236" s="59">
        <f>IF(S1236="","",S1236*34+S1236*L1236*12)</f>
        <v/>
      </c>
    </row>
    <row r="1237">
      <c r="A1237" s="54" t="inlineStr">
        <is>
          <t>US CL Cooling Sheets</t>
        </is>
      </c>
      <c r="B1237" s="54" t="inlineStr">
        <is>
          <t>US</t>
        </is>
      </c>
      <c r="C1237" s="54" t="inlineStr">
        <is>
          <t>B0H6K5J4F2</t>
        </is>
      </c>
      <c r="D1237" s="54" t="inlineStr">
        <is>
          <t>CL-COOLING-SHEET-FULL-LIGHT-BLUE</t>
        </is>
      </c>
      <c r="E1237" s="54" t="inlineStr">
        <is>
          <t>Full</t>
        </is>
      </c>
      <c r="F1237" s="54" t="inlineStr">
        <is>
          <t>Light Blue</t>
        </is>
      </c>
      <c r="G1237" s="55" t="n">
        <v>72</v>
      </c>
      <c r="H1237" s="55" t="n">
        <v>0</v>
      </c>
      <c r="I1237" s="56" t="n"/>
      <c r="J1237" s="57" t="n">
        <v>0</v>
      </c>
      <c r="K1237" s="56" t="inlineStr">
        <is>
          <t>account data velocity</t>
        </is>
      </c>
      <c r="L1237" s="58" t="n">
        <v>2.7396</v>
      </c>
      <c r="M1237" s="56" t="inlineStr">
        <is>
          <t>ASSUMED: account BFCM 2025 lift (US); product's own 2025 lift not available</t>
        </is>
      </c>
      <c r="N1237" s="59">
        <f>J1237*34+J1237*L1237*12</f>
        <v/>
      </c>
      <c r="O1237" s="59">
        <f>MAX(0,N1237-G1237-H1237)</f>
        <v/>
      </c>
      <c r="P1237" s="60">
        <f>IF(J1237=0,"",IF(G1237&lt;J1237*34,DATE(2026,10,15)+G1237/J1237,IF(G1237&lt;N1237,DATE(2026,11,18)+(G1237-J1237*34)/(J1237*L1237),"after Nov 30")))</f>
        <v/>
      </c>
      <c r="Q1237" s="60">
        <f>IF(J1237=0,"",IF(G1237+H1237&lt;J1237*34,DATE(2026,10,15)+(G1237+H1237)/J1237,IF(G1237+H1237&lt;N1237,DATE(2026,11,18)+(G1237+H1237-J1237*34)/(J1237*L1237),"after Nov 30")))</f>
        <v/>
      </c>
      <c r="R1237" s="54">
        <f>IF(AND(G1237&lt;=0,J1237&gt;0),"Out of stock now",IF(G1237&gt;=N1237,"Covered to Nov 30",IF(G1237+H1237&gt;=N1237,"Needs inbound in time","Short even with inbound")))</f>
        <v/>
      </c>
      <c r="S1237" s="57" t="n">
        <v>0</v>
      </c>
      <c r="T1237" s="59">
        <f>IF(S1237="","",S1237*34+S1237*L1237*12)</f>
        <v/>
      </c>
    </row>
    <row r="1238">
      <c r="A1238" s="54" t="inlineStr">
        <is>
          <t>US CL Cooling Sheets</t>
        </is>
      </c>
      <c r="B1238" s="54" t="inlineStr">
        <is>
          <t>US</t>
        </is>
      </c>
      <c r="C1238" s="54" t="inlineStr">
        <is>
          <t>B0H6K2W7HC</t>
        </is>
      </c>
      <c r="D1238" s="54" t="inlineStr">
        <is>
          <t>CL-COOLING-SHEET-FULL-LIGHT-GREY</t>
        </is>
      </c>
      <c r="E1238" s="54" t="inlineStr">
        <is>
          <t>Full</t>
        </is>
      </c>
      <c r="F1238" s="54" t="inlineStr">
        <is>
          <t>Light Grey</t>
        </is>
      </c>
      <c r="G1238" s="55" t="n">
        <v>36</v>
      </c>
      <c r="H1238" s="55" t="n">
        <v>0</v>
      </c>
      <c r="I1238" s="56" t="n"/>
      <c r="J1238" s="57" t="n">
        <v>0</v>
      </c>
      <c r="K1238" s="56" t="inlineStr">
        <is>
          <t>account data velocity</t>
        </is>
      </c>
      <c r="L1238" s="58" t="n">
        <v>2.7396</v>
      </c>
      <c r="M1238" s="56" t="inlineStr">
        <is>
          <t>ASSUMED: account BFCM 2025 lift (US); product's own 2025 lift not available</t>
        </is>
      </c>
      <c r="N1238" s="59">
        <f>J1238*34+J1238*L1238*12</f>
        <v/>
      </c>
      <c r="O1238" s="59">
        <f>MAX(0,N1238-G1238-H1238)</f>
        <v/>
      </c>
      <c r="P1238" s="60">
        <f>IF(J1238=0,"",IF(G1238&lt;J1238*34,DATE(2026,10,15)+G1238/J1238,IF(G1238&lt;N1238,DATE(2026,11,18)+(G1238-J1238*34)/(J1238*L1238),"after Nov 30")))</f>
        <v/>
      </c>
      <c r="Q1238" s="60">
        <f>IF(J1238=0,"",IF(G1238+H1238&lt;J1238*34,DATE(2026,10,15)+(G1238+H1238)/J1238,IF(G1238+H1238&lt;N1238,DATE(2026,11,18)+(G1238+H1238-J1238*34)/(J1238*L1238),"after Nov 30")))</f>
        <v/>
      </c>
      <c r="R1238" s="54">
        <f>IF(AND(G1238&lt;=0,J1238&gt;0),"Out of stock now",IF(G1238&gt;=N1238,"Covered to Nov 30",IF(G1238+H1238&gt;=N1238,"Needs inbound in time","Short even with inbound")))</f>
        <v/>
      </c>
      <c r="S1238" s="57" t="n">
        <v>0</v>
      </c>
      <c r="T1238" s="59">
        <f>IF(S1238="","",S1238*34+S1238*L1238*12)</f>
        <v/>
      </c>
    </row>
    <row r="1239">
      <c r="A1239" s="54" t="inlineStr">
        <is>
          <t>US CL Cooling Sheets</t>
        </is>
      </c>
      <c r="B1239" s="54" t="inlineStr">
        <is>
          <t>US</t>
        </is>
      </c>
      <c r="C1239" s="54" t="inlineStr">
        <is>
          <t>B0H6K57TQN</t>
        </is>
      </c>
      <c r="D1239" s="54" t="inlineStr">
        <is>
          <t>CL-COOLING-SHEET-FULL-NAVY-BLUE</t>
        </is>
      </c>
      <c r="E1239" s="54" t="inlineStr">
        <is>
          <t>Full</t>
        </is>
      </c>
      <c r="F1239" s="54" t="inlineStr">
        <is>
          <t>Navy Blue</t>
        </is>
      </c>
      <c r="G1239" s="55" t="n">
        <v>42</v>
      </c>
      <c r="H1239" s="55" t="n">
        <v>0</v>
      </c>
      <c r="I1239" s="56" t="n"/>
      <c r="J1239" s="57" t="n">
        <v>0</v>
      </c>
      <c r="K1239" s="56" t="inlineStr">
        <is>
          <t>account data velocity</t>
        </is>
      </c>
      <c r="L1239" s="58" t="n">
        <v>2.7396</v>
      </c>
      <c r="M1239" s="56" t="inlineStr">
        <is>
          <t>ASSUMED: account BFCM 2025 lift (US); product's own 2025 lift not available</t>
        </is>
      </c>
      <c r="N1239" s="59">
        <f>J1239*34+J1239*L1239*12</f>
        <v/>
      </c>
      <c r="O1239" s="59">
        <f>MAX(0,N1239-G1239-H1239)</f>
        <v/>
      </c>
      <c r="P1239" s="60">
        <f>IF(J1239=0,"",IF(G1239&lt;J1239*34,DATE(2026,10,15)+G1239/J1239,IF(G1239&lt;N1239,DATE(2026,11,18)+(G1239-J1239*34)/(J1239*L1239),"after Nov 30")))</f>
        <v/>
      </c>
      <c r="Q1239" s="60">
        <f>IF(J1239=0,"",IF(G1239+H1239&lt;J1239*34,DATE(2026,10,15)+(G1239+H1239)/J1239,IF(G1239+H1239&lt;N1239,DATE(2026,11,18)+(G1239+H1239-J1239*34)/(J1239*L1239),"after Nov 30")))</f>
        <v/>
      </c>
      <c r="R1239" s="54">
        <f>IF(AND(G1239&lt;=0,J1239&gt;0),"Out of stock now",IF(G1239&gt;=N1239,"Covered to Nov 30",IF(G1239+H1239&gt;=N1239,"Needs inbound in time","Short even with inbound")))</f>
        <v/>
      </c>
      <c r="S1239" s="57" t="n"/>
      <c r="T1239" s="59">
        <f>IF(S1239="","",S1239*34+S1239*L1239*12)</f>
        <v/>
      </c>
    </row>
    <row r="1240">
      <c r="A1240" s="54" t="inlineStr">
        <is>
          <t>US CL Cooling Sheets</t>
        </is>
      </c>
      <c r="B1240" s="54" t="inlineStr">
        <is>
          <t>US</t>
        </is>
      </c>
      <c r="C1240" s="54" t="inlineStr">
        <is>
          <t>B0H6K4DQHY</t>
        </is>
      </c>
      <c r="D1240" s="54" t="inlineStr">
        <is>
          <t>CL-COOLING-SHEET-FULL-REGAL-PURPLE</t>
        </is>
      </c>
      <c r="E1240" s="54" t="inlineStr">
        <is>
          <t>Full</t>
        </is>
      </c>
      <c r="F1240" s="54" t="inlineStr">
        <is>
          <t>Regal Purple</t>
        </is>
      </c>
      <c r="G1240" s="55" t="n">
        <v>30</v>
      </c>
      <c r="H1240" s="55" t="n">
        <v>0</v>
      </c>
      <c r="I1240" s="56" t="n"/>
      <c r="J1240" s="57" t="n">
        <v>0</v>
      </c>
      <c r="K1240" s="56" t="inlineStr">
        <is>
          <t>account data velocity</t>
        </is>
      </c>
      <c r="L1240" s="58" t="n">
        <v>2.7396</v>
      </c>
      <c r="M1240" s="56" t="inlineStr">
        <is>
          <t>ASSUMED: account BFCM 2025 lift (US); product's own 2025 lift not available</t>
        </is>
      </c>
      <c r="N1240" s="59">
        <f>J1240*34+J1240*L1240*12</f>
        <v/>
      </c>
      <c r="O1240" s="59">
        <f>MAX(0,N1240-G1240-H1240)</f>
        <v/>
      </c>
      <c r="P1240" s="60">
        <f>IF(J1240=0,"",IF(G1240&lt;J1240*34,DATE(2026,10,15)+G1240/J1240,IF(G1240&lt;N1240,DATE(2026,11,18)+(G1240-J1240*34)/(J1240*L1240),"after Nov 30")))</f>
        <v/>
      </c>
      <c r="Q1240" s="60">
        <f>IF(J1240=0,"",IF(G1240+H1240&lt;J1240*34,DATE(2026,10,15)+(G1240+H1240)/J1240,IF(G1240+H1240&lt;N1240,DATE(2026,11,18)+(G1240+H1240-J1240*34)/(J1240*L1240),"after Nov 30")))</f>
        <v/>
      </c>
      <c r="R1240" s="54">
        <f>IF(AND(G1240&lt;=0,J1240&gt;0),"Out of stock now",IF(G1240&gt;=N1240,"Covered to Nov 30",IF(G1240+H1240&gt;=N1240,"Needs inbound in time","Short even with inbound")))</f>
        <v/>
      </c>
      <c r="S1240" s="57" t="n"/>
      <c r="T1240" s="59">
        <f>IF(S1240="","",S1240*34+S1240*L1240*12)</f>
        <v/>
      </c>
    </row>
    <row r="1241">
      <c r="A1241" s="54" t="inlineStr">
        <is>
          <t>US CL Cooling Sheets</t>
        </is>
      </c>
      <c r="B1241" s="54" t="inlineStr">
        <is>
          <t>US</t>
        </is>
      </c>
      <c r="C1241" s="54" t="inlineStr">
        <is>
          <t>B0H6JZ1QQH</t>
        </is>
      </c>
      <c r="D1241" s="54" t="inlineStr">
        <is>
          <t>CL-COOLING-SHEET-FULL-WHITE</t>
        </is>
      </c>
      <c r="E1241" s="54" t="inlineStr">
        <is>
          <t>Full</t>
        </is>
      </c>
      <c r="F1241" s="54" t="inlineStr">
        <is>
          <t>White</t>
        </is>
      </c>
      <c r="G1241" s="55" t="n">
        <v>60</v>
      </c>
      <c r="H1241" s="55" t="n">
        <v>0</v>
      </c>
      <c r="I1241" s="56" t="n"/>
      <c r="J1241" s="57" t="n">
        <v>0</v>
      </c>
      <c r="K1241" s="56" t="inlineStr">
        <is>
          <t>account data velocity</t>
        </is>
      </c>
      <c r="L1241" s="58" t="n">
        <v>2.7396</v>
      </c>
      <c r="M1241" s="56" t="inlineStr">
        <is>
          <t>ASSUMED: account BFCM 2025 lift (US); product's own 2025 lift not available</t>
        </is>
      </c>
      <c r="N1241" s="59">
        <f>J1241*34+J1241*L1241*12</f>
        <v/>
      </c>
      <c r="O1241" s="59">
        <f>MAX(0,N1241-G1241-H1241)</f>
        <v/>
      </c>
      <c r="P1241" s="60">
        <f>IF(J1241=0,"",IF(G1241&lt;J1241*34,DATE(2026,10,15)+G1241/J1241,IF(G1241&lt;N1241,DATE(2026,11,18)+(G1241-J1241*34)/(J1241*L1241),"after Nov 30")))</f>
        <v/>
      </c>
      <c r="Q1241" s="60">
        <f>IF(J1241=0,"",IF(G1241+H1241&lt;J1241*34,DATE(2026,10,15)+(G1241+H1241)/J1241,IF(G1241+H1241&lt;N1241,DATE(2026,11,18)+(G1241+H1241-J1241*34)/(J1241*L1241),"after Nov 30")))</f>
        <v/>
      </c>
      <c r="R1241" s="54">
        <f>IF(AND(G1241&lt;=0,J1241&gt;0),"Out of stock now",IF(G1241&gt;=N1241,"Covered to Nov 30",IF(G1241+H1241&gt;=N1241,"Needs inbound in time","Short even with inbound")))</f>
        <v/>
      </c>
      <c r="S1241" s="57" t="n">
        <v>0</v>
      </c>
      <c r="T1241" s="59">
        <f>IF(S1241="","",S1241*34+S1241*L1241*12)</f>
        <v/>
      </c>
    </row>
    <row r="1242">
      <c r="A1242" s="54" t="inlineStr">
        <is>
          <t>US CL Cooling Sheets</t>
        </is>
      </c>
      <c r="B1242" s="54" t="inlineStr">
        <is>
          <t>US</t>
        </is>
      </c>
      <c r="C1242" s="54" t="inlineStr">
        <is>
          <t>B0H6JYX655</t>
        </is>
      </c>
      <c r="D1242" s="54" t="inlineStr">
        <is>
          <t>CL-COOLING-SHEET-KING-LIGHT-BLUE</t>
        </is>
      </c>
      <c r="E1242" s="54" t="inlineStr">
        <is>
          <t>King</t>
        </is>
      </c>
      <c r="F1242" s="54" t="inlineStr">
        <is>
          <t>Light Blue</t>
        </is>
      </c>
      <c r="G1242" s="55" t="n">
        <v>66</v>
      </c>
      <c r="H1242" s="55" t="n">
        <v>0</v>
      </c>
      <c r="I1242" s="56" t="n"/>
      <c r="J1242" s="57" t="n">
        <v>0</v>
      </c>
      <c r="K1242" s="56" t="inlineStr">
        <is>
          <t>account data velocity</t>
        </is>
      </c>
      <c r="L1242" s="58" t="n">
        <v>2.7396</v>
      </c>
      <c r="M1242" s="56" t="inlineStr">
        <is>
          <t>ASSUMED: account BFCM 2025 lift (US); product's own 2025 lift not available</t>
        </is>
      </c>
      <c r="N1242" s="59">
        <f>J1242*34+J1242*L1242*12</f>
        <v/>
      </c>
      <c r="O1242" s="59">
        <f>MAX(0,N1242-G1242-H1242)</f>
        <v/>
      </c>
      <c r="P1242" s="60">
        <f>IF(J1242=0,"",IF(G1242&lt;J1242*34,DATE(2026,10,15)+G1242/J1242,IF(G1242&lt;N1242,DATE(2026,11,18)+(G1242-J1242*34)/(J1242*L1242),"after Nov 30")))</f>
        <v/>
      </c>
      <c r="Q1242" s="60">
        <f>IF(J1242=0,"",IF(G1242+H1242&lt;J1242*34,DATE(2026,10,15)+(G1242+H1242)/J1242,IF(G1242+H1242&lt;N1242,DATE(2026,11,18)+(G1242+H1242-J1242*34)/(J1242*L1242),"after Nov 30")))</f>
        <v/>
      </c>
      <c r="R1242" s="54">
        <f>IF(AND(G1242&lt;=0,J1242&gt;0),"Out of stock now",IF(G1242&gt;=N1242,"Covered to Nov 30",IF(G1242+H1242&gt;=N1242,"Needs inbound in time","Short even with inbound")))</f>
        <v/>
      </c>
      <c r="S1242" s="57" t="n">
        <v>0</v>
      </c>
      <c r="T1242" s="59">
        <f>IF(S1242="","",S1242*34+S1242*L1242*12)</f>
        <v/>
      </c>
    </row>
    <row r="1243">
      <c r="A1243" s="54" t="inlineStr">
        <is>
          <t>US CL Cooling Sheets</t>
        </is>
      </c>
      <c r="B1243" s="54" t="inlineStr">
        <is>
          <t>US</t>
        </is>
      </c>
      <c r="C1243" s="54" t="inlineStr">
        <is>
          <t>B0H6K3X9SH</t>
        </is>
      </c>
      <c r="D1243" s="54" t="inlineStr">
        <is>
          <t>CL-COOLING-SHEET-KING-LIGHT-GREY</t>
        </is>
      </c>
      <c r="E1243" s="54" t="inlineStr">
        <is>
          <t>King</t>
        </is>
      </c>
      <c r="F1243" s="54" t="inlineStr">
        <is>
          <t>Light Grey</t>
        </is>
      </c>
      <c r="G1243" s="55" t="n">
        <v>66</v>
      </c>
      <c r="H1243" s="55" t="n">
        <v>0</v>
      </c>
      <c r="I1243" s="56" t="n"/>
      <c r="J1243" s="57" t="n">
        <v>0</v>
      </c>
      <c r="K1243" s="56" t="inlineStr">
        <is>
          <t>account data velocity</t>
        </is>
      </c>
      <c r="L1243" s="58" t="n">
        <v>2.7396</v>
      </c>
      <c r="M1243" s="56" t="inlineStr">
        <is>
          <t>ASSUMED: account BFCM 2025 lift (US); product's own 2025 lift not available</t>
        </is>
      </c>
      <c r="N1243" s="59">
        <f>J1243*34+J1243*L1243*12</f>
        <v/>
      </c>
      <c r="O1243" s="59">
        <f>MAX(0,N1243-G1243-H1243)</f>
        <v/>
      </c>
      <c r="P1243" s="60">
        <f>IF(J1243=0,"",IF(G1243&lt;J1243*34,DATE(2026,10,15)+G1243/J1243,IF(G1243&lt;N1243,DATE(2026,11,18)+(G1243-J1243*34)/(J1243*L1243),"after Nov 30")))</f>
        <v/>
      </c>
      <c r="Q1243" s="60">
        <f>IF(J1243=0,"",IF(G1243+H1243&lt;J1243*34,DATE(2026,10,15)+(G1243+H1243)/J1243,IF(G1243+H1243&lt;N1243,DATE(2026,11,18)+(G1243+H1243-J1243*34)/(J1243*L1243),"after Nov 30")))</f>
        <v/>
      </c>
      <c r="R1243" s="54">
        <f>IF(AND(G1243&lt;=0,J1243&gt;0),"Out of stock now",IF(G1243&gt;=N1243,"Covered to Nov 30",IF(G1243+H1243&gt;=N1243,"Needs inbound in time","Short even with inbound")))</f>
        <v/>
      </c>
      <c r="S1243" s="57" t="n"/>
      <c r="T1243" s="59">
        <f>IF(S1243="","",S1243*34+S1243*L1243*12)</f>
        <v/>
      </c>
    </row>
    <row r="1244">
      <c r="A1244" s="54" t="inlineStr">
        <is>
          <t>US CL Cooling Sheets</t>
        </is>
      </c>
      <c r="B1244" s="54" t="inlineStr">
        <is>
          <t>US</t>
        </is>
      </c>
      <c r="C1244" s="54" t="inlineStr">
        <is>
          <t>B0H6K7DXNY</t>
        </is>
      </c>
      <c r="D1244" s="54" t="inlineStr">
        <is>
          <t>CL-COOLING-SHEET-KING-LIGHT-PINK</t>
        </is>
      </c>
      <c r="E1244" s="54" t="inlineStr">
        <is>
          <t>King</t>
        </is>
      </c>
      <c r="F1244" s="54" t="inlineStr">
        <is>
          <t>Light Pink</t>
        </is>
      </c>
      <c r="G1244" s="55" t="n">
        <v>54</v>
      </c>
      <c r="H1244" s="55" t="n">
        <v>0</v>
      </c>
      <c r="I1244" s="56" t="n"/>
      <c r="J1244" s="57" t="n">
        <v>0</v>
      </c>
      <c r="K1244" s="56" t="inlineStr">
        <is>
          <t>account data velocity</t>
        </is>
      </c>
      <c r="L1244" s="58" t="n">
        <v>2.7396</v>
      </c>
      <c r="M1244" s="56" t="inlineStr">
        <is>
          <t>ASSUMED: account BFCM 2025 lift (US); product's own 2025 lift not available</t>
        </is>
      </c>
      <c r="N1244" s="59">
        <f>J1244*34+J1244*L1244*12</f>
        <v/>
      </c>
      <c r="O1244" s="59">
        <f>MAX(0,N1244-G1244-H1244)</f>
        <v/>
      </c>
      <c r="P1244" s="60">
        <f>IF(J1244=0,"",IF(G1244&lt;J1244*34,DATE(2026,10,15)+G1244/J1244,IF(G1244&lt;N1244,DATE(2026,11,18)+(G1244-J1244*34)/(J1244*L1244),"after Nov 30")))</f>
        <v/>
      </c>
      <c r="Q1244" s="60">
        <f>IF(J1244=0,"",IF(G1244+H1244&lt;J1244*34,DATE(2026,10,15)+(G1244+H1244)/J1244,IF(G1244+H1244&lt;N1244,DATE(2026,11,18)+(G1244+H1244-J1244*34)/(J1244*L1244),"after Nov 30")))</f>
        <v/>
      </c>
      <c r="R1244" s="54">
        <f>IF(AND(G1244&lt;=0,J1244&gt;0),"Out of stock now",IF(G1244&gt;=N1244,"Covered to Nov 30",IF(G1244+H1244&gt;=N1244,"Needs inbound in time","Short even with inbound")))</f>
        <v/>
      </c>
      <c r="S1244" s="57" t="n">
        <v>0</v>
      </c>
      <c r="T1244" s="59">
        <f>IF(S1244="","",S1244*34+S1244*L1244*12)</f>
        <v/>
      </c>
    </row>
    <row r="1245">
      <c r="A1245" s="54" t="inlineStr">
        <is>
          <t>US CL Cooling Sheets</t>
        </is>
      </c>
      <c r="B1245" s="54" t="inlineStr">
        <is>
          <t>US</t>
        </is>
      </c>
      <c r="C1245" s="54" t="inlineStr">
        <is>
          <t>B0H6K1XRBF</t>
        </is>
      </c>
      <c r="D1245" s="54" t="inlineStr">
        <is>
          <t>CL-COOLING-SHEET-QUEEN-CREAM</t>
        </is>
      </c>
      <c r="E1245" s="54" t="inlineStr">
        <is>
          <t>Queen</t>
        </is>
      </c>
      <c r="F1245" s="54" t="inlineStr">
        <is>
          <t>Cream</t>
        </is>
      </c>
      <c r="G1245" s="55" t="n">
        <v>54</v>
      </c>
      <c r="H1245" s="55" t="n">
        <v>0</v>
      </c>
      <c r="I1245" s="56" t="n"/>
      <c r="J1245" s="57" t="n">
        <v>0</v>
      </c>
      <c r="K1245" s="56" t="inlineStr">
        <is>
          <t>account data velocity</t>
        </is>
      </c>
      <c r="L1245" s="58" t="n">
        <v>2.7396</v>
      </c>
      <c r="M1245" s="56" t="inlineStr">
        <is>
          <t>ASSUMED: account BFCM 2025 lift (US); product's own 2025 lift not available</t>
        </is>
      </c>
      <c r="N1245" s="59">
        <f>J1245*34+J1245*L1245*12</f>
        <v/>
      </c>
      <c r="O1245" s="59">
        <f>MAX(0,N1245-G1245-H1245)</f>
        <v/>
      </c>
      <c r="P1245" s="60">
        <f>IF(J1245=0,"",IF(G1245&lt;J1245*34,DATE(2026,10,15)+G1245/J1245,IF(G1245&lt;N1245,DATE(2026,11,18)+(G1245-J1245*34)/(J1245*L1245),"after Nov 30")))</f>
        <v/>
      </c>
      <c r="Q1245" s="60">
        <f>IF(J1245=0,"",IF(G1245+H1245&lt;J1245*34,DATE(2026,10,15)+(G1245+H1245)/J1245,IF(G1245+H1245&lt;N1245,DATE(2026,11,18)+(G1245+H1245-J1245*34)/(J1245*L1245),"after Nov 30")))</f>
        <v/>
      </c>
      <c r="R1245" s="54">
        <f>IF(AND(G1245&lt;=0,J1245&gt;0),"Out of stock now",IF(G1245&gt;=N1245,"Covered to Nov 30",IF(G1245+H1245&gt;=N1245,"Needs inbound in time","Short even with inbound")))</f>
        <v/>
      </c>
      <c r="S1245" s="57" t="n"/>
      <c r="T1245" s="59">
        <f>IF(S1245="","",S1245*34+S1245*L1245*12)</f>
        <v/>
      </c>
    </row>
    <row r="1246">
      <c r="A1246" s="54" t="inlineStr">
        <is>
          <t>US CL Cooling Sheets</t>
        </is>
      </c>
      <c r="B1246" s="54" t="inlineStr">
        <is>
          <t>US</t>
        </is>
      </c>
      <c r="C1246" s="54" t="inlineStr">
        <is>
          <t>B0H6K7NVS4</t>
        </is>
      </c>
      <c r="D1246" s="54" t="inlineStr">
        <is>
          <t>CL-COOLING-SHEET-TWIN-BEIGE</t>
        </is>
      </c>
      <c r="E1246" s="54" t="inlineStr">
        <is>
          <t>Twin</t>
        </is>
      </c>
      <c r="F1246" s="54" t="inlineStr">
        <is>
          <t>Beige</t>
        </is>
      </c>
      <c r="G1246" s="55" t="n">
        <v>28</v>
      </c>
      <c r="H1246" s="55" t="n">
        <v>0</v>
      </c>
      <c r="I1246" s="56" t="n"/>
      <c r="J1246" s="57" t="n">
        <v>0</v>
      </c>
      <c r="K1246" s="56" t="inlineStr">
        <is>
          <t>account data velocity</t>
        </is>
      </c>
      <c r="L1246" s="58" t="n">
        <v>2.7396</v>
      </c>
      <c r="M1246" s="56" t="inlineStr">
        <is>
          <t>ASSUMED: account BFCM 2025 lift (US); product's own 2025 lift not available</t>
        </is>
      </c>
      <c r="N1246" s="59">
        <f>J1246*34+J1246*L1246*12</f>
        <v/>
      </c>
      <c r="O1246" s="59">
        <f>MAX(0,N1246-G1246-H1246)</f>
        <v/>
      </c>
      <c r="P1246" s="60">
        <f>IF(J1246=0,"",IF(G1246&lt;J1246*34,DATE(2026,10,15)+G1246/J1246,IF(G1246&lt;N1246,DATE(2026,11,18)+(G1246-J1246*34)/(J1246*L1246),"after Nov 30")))</f>
        <v/>
      </c>
      <c r="Q1246" s="60">
        <f>IF(J1246=0,"",IF(G1246+H1246&lt;J1246*34,DATE(2026,10,15)+(G1246+H1246)/J1246,IF(G1246+H1246&lt;N1246,DATE(2026,11,18)+(G1246+H1246-J1246*34)/(J1246*L1246),"after Nov 30")))</f>
        <v/>
      </c>
      <c r="R1246" s="54">
        <f>IF(AND(G1246&lt;=0,J1246&gt;0),"Out of stock now",IF(G1246&gt;=N1246,"Covered to Nov 30",IF(G1246+H1246&gt;=N1246,"Needs inbound in time","Short even with inbound")))</f>
        <v/>
      </c>
      <c r="S1246" s="57" t="n">
        <v>0</v>
      </c>
      <c r="T1246" s="59">
        <f>IF(S1246="","",S1246*34+S1246*L1246*12)</f>
        <v/>
      </c>
    </row>
    <row r="1247">
      <c r="A1247" s="54" t="inlineStr">
        <is>
          <t>US CL Cooling Sheets</t>
        </is>
      </c>
      <c r="B1247" s="54" t="inlineStr">
        <is>
          <t>US</t>
        </is>
      </c>
      <c r="C1247" s="54" t="inlineStr">
        <is>
          <t>B0H6K2GPYY</t>
        </is>
      </c>
      <c r="D1247" s="54" t="inlineStr">
        <is>
          <t>CL-COOLING-SHEET-TWIN-COOL-GREY</t>
        </is>
      </c>
      <c r="E1247" s="54" t="inlineStr">
        <is>
          <t>Twin</t>
        </is>
      </c>
      <c r="F1247" s="54" t="inlineStr">
        <is>
          <t>Cool Grey</t>
        </is>
      </c>
      <c r="G1247" s="55" t="n">
        <v>30</v>
      </c>
      <c r="H1247" s="55" t="n">
        <v>0</v>
      </c>
      <c r="I1247" s="56" t="n"/>
      <c r="J1247" s="57" t="n">
        <v>0</v>
      </c>
      <c r="K1247" s="56" t="inlineStr">
        <is>
          <t>account data velocity</t>
        </is>
      </c>
      <c r="L1247" s="58" t="n">
        <v>2.7396</v>
      </c>
      <c r="M1247" s="56" t="inlineStr">
        <is>
          <t>ASSUMED: account BFCM 2025 lift (US); product's own 2025 lift not available</t>
        </is>
      </c>
      <c r="N1247" s="59">
        <f>J1247*34+J1247*L1247*12</f>
        <v/>
      </c>
      <c r="O1247" s="59">
        <f>MAX(0,N1247-G1247-H1247)</f>
        <v/>
      </c>
      <c r="P1247" s="60">
        <f>IF(J1247=0,"",IF(G1247&lt;J1247*34,DATE(2026,10,15)+G1247/J1247,IF(G1247&lt;N1247,DATE(2026,11,18)+(G1247-J1247*34)/(J1247*L1247),"after Nov 30")))</f>
        <v/>
      </c>
      <c r="Q1247" s="60">
        <f>IF(J1247=0,"",IF(G1247+H1247&lt;J1247*34,DATE(2026,10,15)+(G1247+H1247)/J1247,IF(G1247+H1247&lt;N1247,DATE(2026,11,18)+(G1247+H1247-J1247*34)/(J1247*L1247),"after Nov 30")))</f>
        <v/>
      </c>
      <c r="R1247" s="54">
        <f>IF(AND(G1247&lt;=0,J1247&gt;0),"Out of stock now",IF(G1247&gt;=N1247,"Covered to Nov 30",IF(G1247+H1247&gt;=N1247,"Needs inbound in time","Short even with inbound")))</f>
        <v/>
      </c>
      <c r="S1247" s="57" t="n"/>
      <c r="T1247" s="59">
        <f>IF(S1247="","",S1247*34+S1247*L1247*12)</f>
        <v/>
      </c>
    </row>
    <row r="1248">
      <c r="A1248" s="54" t="inlineStr">
        <is>
          <t>US CL Cooling Sheets</t>
        </is>
      </c>
      <c r="B1248" s="54" t="inlineStr">
        <is>
          <t>US</t>
        </is>
      </c>
      <c r="C1248" s="54" t="inlineStr">
        <is>
          <t>B0H6JZ632R</t>
        </is>
      </c>
      <c r="D1248" s="54" t="inlineStr">
        <is>
          <t>CL-COOLING-SHEET-TWIN-CREAM</t>
        </is>
      </c>
      <c r="E1248" s="54" t="inlineStr">
        <is>
          <t>Twin</t>
        </is>
      </c>
      <c r="F1248" s="54" t="inlineStr">
        <is>
          <t>Cream</t>
        </is>
      </c>
      <c r="G1248" s="55" t="n">
        <v>30</v>
      </c>
      <c r="H1248" s="55" t="n">
        <v>0</v>
      </c>
      <c r="I1248" s="56" t="n"/>
      <c r="J1248" s="57" t="n">
        <v>0</v>
      </c>
      <c r="K1248" s="56" t="inlineStr">
        <is>
          <t>account data velocity</t>
        </is>
      </c>
      <c r="L1248" s="58" t="n">
        <v>2.7396</v>
      </c>
      <c r="M1248" s="56" t="inlineStr">
        <is>
          <t>ASSUMED: account BFCM 2025 lift (US); product's own 2025 lift not available</t>
        </is>
      </c>
      <c r="N1248" s="59">
        <f>J1248*34+J1248*L1248*12</f>
        <v/>
      </c>
      <c r="O1248" s="59">
        <f>MAX(0,N1248-G1248-H1248)</f>
        <v/>
      </c>
      <c r="P1248" s="60">
        <f>IF(J1248=0,"",IF(G1248&lt;J1248*34,DATE(2026,10,15)+G1248/J1248,IF(G1248&lt;N1248,DATE(2026,11,18)+(G1248-J1248*34)/(J1248*L1248),"after Nov 30")))</f>
        <v/>
      </c>
      <c r="Q1248" s="60">
        <f>IF(J1248=0,"",IF(G1248+H1248&lt;J1248*34,DATE(2026,10,15)+(G1248+H1248)/J1248,IF(G1248+H1248&lt;N1248,DATE(2026,11,18)+(G1248+H1248-J1248*34)/(J1248*L1248),"after Nov 30")))</f>
        <v/>
      </c>
      <c r="R1248" s="54">
        <f>IF(AND(G1248&lt;=0,J1248&gt;0),"Out of stock now",IF(G1248&gt;=N1248,"Covered to Nov 30",IF(G1248+H1248&gt;=N1248,"Needs inbound in time","Short even with inbound")))</f>
        <v/>
      </c>
      <c r="S1248" s="57" t="n"/>
      <c r="T1248" s="59">
        <f>IF(S1248="","",S1248*34+S1248*L1248*12)</f>
        <v/>
      </c>
    </row>
    <row r="1249">
      <c r="A1249" s="54" t="inlineStr">
        <is>
          <t>US CL Cooling Sheets</t>
        </is>
      </c>
      <c r="B1249" s="54" t="inlineStr">
        <is>
          <t>US</t>
        </is>
      </c>
      <c r="C1249" s="54" t="inlineStr">
        <is>
          <t>B0H6JY5YZ5</t>
        </is>
      </c>
      <c r="D1249" s="54" t="inlineStr">
        <is>
          <t>CL-COOLING-SHEET-TWIN-LIGHT-BLUE</t>
        </is>
      </c>
      <c r="E1249" s="54" t="inlineStr">
        <is>
          <t>Twin</t>
        </is>
      </c>
      <c r="F1249" s="54" t="inlineStr">
        <is>
          <t>Light Blue</t>
        </is>
      </c>
      <c r="G1249" s="55" t="n">
        <v>30</v>
      </c>
      <c r="H1249" s="55" t="n">
        <v>0</v>
      </c>
      <c r="I1249" s="56" t="n"/>
      <c r="J1249" s="57" t="n">
        <v>0</v>
      </c>
      <c r="K1249" s="56" t="inlineStr">
        <is>
          <t>account data velocity</t>
        </is>
      </c>
      <c r="L1249" s="58" t="n">
        <v>2.7396</v>
      </c>
      <c r="M1249" s="56" t="inlineStr">
        <is>
          <t>ASSUMED: account BFCM 2025 lift (US); product's own 2025 lift not available</t>
        </is>
      </c>
      <c r="N1249" s="59">
        <f>J1249*34+J1249*L1249*12</f>
        <v/>
      </c>
      <c r="O1249" s="59">
        <f>MAX(0,N1249-G1249-H1249)</f>
        <v/>
      </c>
      <c r="P1249" s="60">
        <f>IF(J1249=0,"",IF(G1249&lt;J1249*34,DATE(2026,10,15)+G1249/J1249,IF(G1249&lt;N1249,DATE(2026,11,18)+(G1249-J1249*34)/(J1249*L1249),"after Nov 30")))</f>
        <v/>
      </c>
      <c r="Q1249" s="60">
        <f>IF(J1249=0,"",IF(G1249+H1249&lt;J1249*34,DATE(2026,10,15)+(G1249+H1249)/J1249,IF(G1249+H1249&lt;N1249,DATE(2026,11,18)+(G1249+H1249-J1249*34)/(J1249*L1249),"after Nov 30")))</f>
        <v/>
      </c>
      <c r="R1249" s="54">
        <f>IF(AND(G1249&lt;=0,J1249&gt;0),"Out of stock now",IF(G1249&gt;=N1249,"Covered to Nov 30",IF(G1249+H1249&gt;=N1249,"Needs inbound in time","Short even with inbound")))</f>
        <v/>
      </c>
      <c r="S1249" s="57" t="n"/>
      <c r="T1249" s="59">
        <f>IF(S1249="","",S1249*34+S1249*L1249*12)</f>
        <v/>
      </c>
    </row>
    <row r="1250">
      <c r="A1250" s="54" t="inlineStr">
        <is>
          <t>US CL Cooling Sheets</t>
        </is>
      </c>
      <c r="B1250" s="54" t="inlineStr">
        <is>
          <t>US</t>
        </is>
      </c>
      <c r="C1250" s="54" t="inlineStr">
        <is>
          <t>B0H6K375NT</t>
        </is>
      </c>
      <c r="D1250" s="54" t="inlineStr">
        <is>
          <t>CL-COOLING-SHEET-TWIN-LIGHT-GREY</t>
        </is>
      </c>
      <c r="E1250" s="54" t="inlineStr">
        <is>
          <t>Twin</t>
        </is>
      </c>
      <c r="F1250" s="54" t="inlineStr">
        <is>
          <t>Light Grey</t>
        </is>
      </c>
      <c r="G1250" s="55" t="n">
        <v>24</v>
      </c>
      <c r="H1250" s="55" t="n">
        <v>0</v>
      </c>
      <c r="I1250" s="56" t="n"/>
      <c r="J1250" s="57" t="n">
        <v>0</v>
      </c>
      <c r="K1250" s="56" t="inlineStr">
        <is>
          <t>account data velocity</t>
        </is>
      </c>
      <c r="L1250" s="58" t="n">
        <v>2.7396</v>
      </c>
      <c r="M1250" s="56" t="inlineStr">
        <is>
          <t>ASSUMED: account BFCM 2025 lift (US); product's own 2025 lift not available</t>
        </is>
      </c>
      <c r="N1250" s="59">
        <f>J1250*34+J1250*L1250*12</f>
        <v/>
      </c>
      <c r="O1250" s="59">
        <f>MAX(0,N1250-G1250-H1250)</f>
        <v/>
      </c>
      <c r="P1250" s="60">
        <f>IF(J1250=0,"",IF(G1250&lt;J1250*34,DATE(2026,10,15)+G1250/J1250,IF(G1250&lt;N1250,DATE(2026,11,18)+(G1250-J1250*34)/(J1250*L1250),"after Nov 30")))</f>
        <v/>
      </c>
      <c r="Q1250" s="60">
        <f>IF(J1250=0,"",IF(G1250+H1250&lt;J1250*34,DATE(2026,10,15)+(G1250+H1250)/J1250,IF(G1250+H1250&lt;N1250,DATE(2026,11,18)+(G1250+H1250-J1250*34)/(J1250*L1250),"after Nov 30")))</f>
        <v/>
      </c>
      <c r="R1250" s="54">
        <f>IF(AND(G1250&lt;=0,J1250&gt;0),"Out of stock now",IF(G1250&gt;=N1250,"Covered to Nov 30",IF(G1250+H1250&gt;=N1250,"Needs inbound in time","Short even with inbound")))</f>
        <v/>
      </c>
      <c r="S1250" s="57" t="n"/>
      <c r="T1250" s="59">
        <f>IF(S1250="","",S1250*34+S1250*L1250*12)</f>
        <v/>
      </c>
    </row>
    <row r="1251">
      <c r="A1251" s="54" t="inlineStr">
        <is>
          <t>US CL Cooling Sheets</t>
        </is>
      </c>
      <c r="B1251" s="54" t="inlineStr">
        <is>
          <t>US</t>
        </is>
      </c>
      <c r="C1251" s="54" t="inlineStr">
        <is>
          <t>B0H6K9M7WN</t>
        </is>
      </c>
      <c r="D1251" s="54" t="inlineStr">
        <is>
          <t>CL-COOLING-SHEET-TWIN-LIGHT-PINK</t>
        </is>
      </c>
      <c r="E1251" s="54" t="inlineStr">
        <is>
          <t>Twin</t>
        </is>
      </c>
      <c r="F1251" s="54" t="inlineStr">
        <is>
          <t>Light Pink</t>
        </is>
      </c>
      <c r="G1251" s="55" t="n">
        <v>24</v>
      </c>
      <c r="H1251" s="55" t="n">
        <v>0</v>
      </c>
      <c r="I1251" s="56" t="n"/>
      <c r="J1251" s="57" t="n">
        <v>0</v>
      </c>
      <c r="K1251" s="56" t="inlineStr">
        <is>
          <t>account data velocity</t>
        </is>
      </c>
      <c r="L1251" s="58" t="n">
        <v>2.7396</v>
      </c>
      <c r="M1251" s="56" t="inlineStr">
        <is>
          <t>ASSUMED: account BFCM 2025 lift (US); product's own 2025 lift not available</t>
        </is>
      </c>
      <c r="N1251" s="59">
        <f>J1251*34+J1251*L1251*12</f>
        <v/>
      </c>
      <c r="O1251" s="59">
        <f>MAX(0,N1251-G1251-H1251)</f>
        <v/>
      </c>
      <c r="P1251" s="60">
        <f>IF(J1251=0,"",IF(G1251&lt;J1251*34,DATE(2026,10,15)+G1251/J1251,IF(G1251&lt;N1251,DATE(2026,11,18)+(G1251-J1251*34)/(J1251*L1251),"after Nov 30")))</f>
        <v/>
      </c>
      <c r="Q1251" s="60">
        <f>IF(J1251=0,"",IF(G1251+H1251&lt;J1251*34,DATE(2026,10,15)+(G1251+H1251)/J1251,IF(G1251+H1251&lt;N1251,DATE(2026,11,18)+(G1251+H1251-J1251*34)/(J1251*L1251),"after Nov 30")))</f>
        <v/>
      </c>
      <c r="R1251" s="54">
        <f>IF(AND(G1251&lt;=0,J1251&gt;0),"Out of stock now",IF(G1251&gt;=N1251,"Covered to Nov 30",IF(G1251+H1251&gt;=N1251,"Needs inbound in time","Short even with inbound")))</f>
        <v/>
      </c>
      <c r="S1251" s="57" t="n"/>
      <c r="T1251" s="59">
        <f>IF(S1251="","",S1251*34+S1251*L1251*12)</f>
        <v/>
      </c>
    </row>
    <row r="1252">
      <c r="A1252" s="54" t="inlineStr">
        <is>
          <t>US CL Cooling Sheets</t>
        </is>
      </c>
      <c r="B1252" s="54" t="inlineStr">
        <is>
          <t>US</t>
        </is>
      </c>
      <c r="C1252" s="54" t="inlineStr">
        <is>
          <t>B0H6K777C2</t>
        </is>
      </c>
      <c r="D1252" s="54" t="inlineStr">
        <is>
          <t>CL-COOLING-SHEET-TWIN-NAVY-BLUE</t>
        </is>
      </c>
      <c r="E1252" s="54" t="inlineStr">
        <is>
          <t>Twin</t>
        </is>
      </c>
      <c r="F1252" s="54" t="inlineStr">
        <is>
          <t>Navy Blue</t>
        </is>
      </c>
      <c r="G1252" s="55" t="n">
        <v>35</v>
      </c>
      <c r="H1252" s="55" t="n">
        <v>1</v>
      </c>
      <c r="I1252" s="56" t="inlineStr">
        <is>
          <t>FBA19LG2R10F receiving: 1</t>
        </is>
      </c>
      <c r="J1252" s="57" t="n">
        <v>0</v>
      </c>
      <c r="K1252" s="56" t="inlineStr">
        <is>
          <t>account data velocity</t>
        </is>
      </c>
      <c r="L1252" s="58" t="n">
        <v>2.7396</v>
      </c>
      <c r="M1252" s="56" t="inlineStr">
        <is>
          <t>ASSUMED: account BFCM 2025 lift (US); product's own 2025 lift not available</t>
        </is>
      </c>
      <c r="N1252" s="59">
        <f>J1252*34+J1252*L1252*12</f>
        <v/>
      </c>
      <c r="O1252" s="59">
        <f>MAX(0,N1252-G1252-H1252)</f>
        <v/>
      </c>
      <c r="P1252" s="60">
        <f>IF(J1252=0,"",IF(G1252&lt;J1252*34,DATE(2026,10,15)+G1252/J1252,IF(G1252&lt;N1252,DATE(2026,11,18)+(G1252-J1252*34)/(J1252*L1252),"after Nov 30")))</f>
        <v/>
      </c>
      <c r="Q1252" s="60">
        <f>IF(J1252=0,"",IF(G1252+H1252&lt;J1252*34,DATE(2026,10,15)+(G1252+H1252)/J1252,IF(G1252+H1252&lt;N1252,DATE(2026,11,18)+(G1252+H1252-J1252*34)/(J1252*L1252),"after Nov 30")))</f>
        <v/>
      </c>
      <c r="R1252" s="54">
        <f>IF(AND(G1252&lt;=0,J1252&gt;0),"Out of stock now",IF(G1252&gt;=N1252,"Covered to Nov 30",IF(G1252+H1252&gt;=N1252,"Needs inbound in time","Short even with inbound")))</f>
        <v/>
      </c>
      <c r="S1252" s="57" t="n">
        <v>0</v>
      </c>
      <c r="T1252" s="59">
        <f>IF(S1252="","",S1252*34+S1252*L1252*12)</f>
        <v/>
      </c>
    </row>
    <row r="1253">
      <c r="A1253" s="54" t="inlineStr">
        <is>
          <t>US CL Cooling Sheets</t>
        </is>
      </c>
      <c r="B1253" s="54" t="inlineStr">
        <is>
          <t>US</t>
        </is>
      </c>
      <c r="C1253" s="54" t="inlineStr">
        <is>
          <t>B0H6JVZNYN</t>
        </is>
      </c>
      <c r="D1253" s="54" t="inlineStr">
        <is>
          <t>CL-COOLING-SHEET-TWIN-REGAL-PURPLE</t>
        </is>
      </c>
      <c r="E1253" s="54" t="inlineStr">
        <is>
          <t>Twin</t>
        </is>
      </c>
      <c r="F1253" s="54" t="inlineStr">
        <is>
          <t>Regal Purple</t>
        </is>
      </c>
      <c r="G1253" s="55" t="n">
        <v>29</v>
      </c>
      <c r="H1253" s="55" t="n">
        <v>1</v>
      </c>
      <c r="I1253" s="56" t="inlineStr">
        <is>
          <t>FBA19LFZW0KV receiving: 1</t>
        </is>
      </c>
      <c r="J1253" s="57" t="n">
        <v>0</v>
      </c>
      <c r="K1253" s="56" t="inlineStr">
        <is>
          <t>account data velocity</t>
        </is>
      </c>
      <c r="L1253" s="58" t="n">
        <v>2.7396</v>
      </c>
      <c r="M1253" s="56" t="inlineStr">
        <is>
          <t>ASSUMED: account BFCM 2025 lift (US); product's own 2025 lift not available</t>
        </is>
      </c>
      <c r="N1253" s="59">
        <f>J1253*34+J1253*L1253*12</f>
        <v/>
      </c>
      <c r="O1253" s="59">
        <f>MAX(0,N1253-G1253-H1253)</f>
        <v/>
      </c>
      <c r="P1253" s="60">
        <f>IF(J1253=0,"",IF(G1253&lt;J1253*34,DATE(2026,10,15)+G1253/J1253,IF(G1253&lt;N1253,DATE(2026,11,18)+(G1253-J1253*34)/(J1253*L1253),"after Nov 30")))</f>
        <v/>
      </c>
      <c r="Q1253" s="60">
        <f>IF(J1253=0,"",IF(G1253+H1253&lt;J1253*34,DATE(2026,10,15)+(G1253+H1253)/J1253,IF(G1253+H1253&lt;N1253,DATE(2026,11,18)+(G1253+H1253-J1253*34)/(J1253*L1253),"after Nov 30")))</f>
        <v/>
      </c>
      <c r="R1253" s="54">
        <f>IF(AND(G1253&lt;=0,J1253&gt;0),"Out of stock now",IF(G1253&gt;=N1253,"Covered to Nov 30",IF(G1253+H1253&gt;=N1253,"Needs inbound in time","Short even with inbound")))</f>
        <v/>
      </c>
      <c r="S1253" s="57" t="n"/>
      <c r="T1253" s="59">
        <f>IF(S1253="","",S1253*34+S1253*L1253*12)</f>
        <v/>
      </c>
    </row>
    <row r="1254">
      <c r="A1254" s="54" t="inlineStr">
        <is>
          <t>US CL Cooling Sheets</t>
        </is>
      </c>
      <c r="B1254" s="54" t="inlineStr">
        <is>
          <t>US</t>
        </is>
      </c>
      <c r="C1254" s="54" t="inlineStr">
        <is>
          <t>B0H6K7PWRM</t>
        </is>
      </c>
      <c r="D1254" s="54" t="inlineStr">
        <is>
          <t>CL-COOLING-SHEET-TWIN-SAGE-GREEN</t>
        </is>
      </c>
      <c r="E1254" s="54" t="inlineStr">
        <is>
          <t>Twin</t>
        </is>
      </c>
      <c r="F1254" s="54" t="inlineStr">
        <is>
          <t>Sage Green</t>
        </is>
      </c>
      <c r="G1254" s="55" t="n">
        <v>36</v>
      </c>
      <c r="H1254" s="55" t="n">
        <v>0</v>
      </c>
      <c r="I1254" s="56" t="n"/>
      <c r="J1254" s="57" t="n">
        <v>0</v>
      </c>
      <c r="K1254" s="56" t="inlineStr">
        <is>
          <t>account data velocity</t>
        </is>
      </c>
      <c r="L1254" s="58" t="n">
        <v>2.7396</v>
      </c>
      <c r="M1254" s="56" t="inlineStr">
        <is>
          <t>ASSUMED: account BFCM 2025 lift (US); product's own 2025 lift not available</t>
        </is>
      </c>
      <c r="N1254" s="59">
        <f>J1254*34+J1254*L1254*12</f>
        <v/>
      </c>
      <c r="O1254" s="59">
        <f>MAX(0,N1254-G1254-H1254)</f>
        <v/>
      </c>
      <c r="P1254" s="60">
        <f>IF(J1254=0,"",IF(G1254&lt;J1254*34,DATE(2026,10,15)+G1254/J1254,IF(G1254&lt;N1254,DATE(2026,11,18)+(G1254-J1254*34)/(J1254*L1254),"after Nov 30")))</f>
        <v/>
      </c>
      <c r="Q1254" s="60">
        <f>IF(J1254=0,"",IF(G1254+H1254&lt;J1254*34,DATE(2026,10,15)+(G1254+H1254)/J1254,IF(G1254+H1254&lt;N1254,DATE(2026,11,18)+(G1254+H1254-J1254*34)/(J1254*L1254),"after Nov 30")))</f>
        <v/>
      </c>
      <c r="R1254" s="54">
        <f>IF(AND(G1254&lt;=0,J1254&gt;0),"Out of stock now",IF(G1254&gt;=N1254,"Covered to Nov 30",IF(G1254+H1254&gt;=N1254,"Needs inbound in time","Short even with inbound")))</f>
        <v/>
      </c>
      <c r="S1254" s="57" t="n"/>
      <c r="T1254" s="59">
        <f>IF(S1254="","",S1254*34+S1254*L1254*12)</f>
        <v/>
      </c>
    </row>
    <row r="1255">
      <c r="A1255" s="54" t="inlineStr">
        <is>
          <t>US CL Cooling Sheets</t>
        </is>
      </c>
      <c r="B1255" s="54" t="inlineStr">
        <is>
          <t>US</t>
        </is>
      </c>
      <c r="C1255" s="54" t="inlineStr">
        <is>
          <t>B0H6K85JXL</t>
        </is>
      </c>
      <c r="D1255" s="54" t="inlineStr">
        <is>
          <t>CL-COOLING-SHEET-TWIN-WHITE</t>
        </is>
      </c>
      <c r="E1255" s="54" t="inlineStr">
        <is>
          <t>Twin</t>
        </is>
      </c>
      <c r="F1255" s="54" t="inlineStr">
        <is>
          <t>White</t>
        </is>
      </c>
      <c r="G1255" s="55" t="n">
        <v>54</v>
      </c>
      <c r="H1255" s="55" t="n">
        <v>0</v>
      </c>
      <c r="I1255" s="56" t="n"/>
      <c r="J1255" s="57" t="n">
        <v>0</v>
      </c>
      <c r="K1255" s="56" t="inlineStr">
        <is>
          <t>account data velocity</t>
        </is>
      </c>
      <c r="L1255" s="58" t="n">
        <v>2.7396</v>
      </c>
      <c r="M1255" s="56" t="inlineStr">
        <is>
          <t>ASSUMED: account BFCM 2025 lift (US); product's own 2025 lift not available</t>
        </is>
      </c>
      <c r="N1255" s="59">
        <f>J1255*34+J1255*L1255*12</f>
        <v/>
      </c>
      <c r="O1255" s="59">
        <f>MAX(0,N1255-G1255-H1255)</f>
        <v/>
      </c>
      <c r="P1255" s="60">
        <f>IF(J1255=0,"",IF(G1255&lt;J1255*34,DATE(2026,10,15)+G1255/J1255,IF(G1255&lt;N1255,DATE(2026,11,18)+(G1255-J1255*34)/(J1255*L1255),"after Nov 30")))</f>
        <v/>
      </c>
      <c r="Q1255" s="60">
        <f>IF(J1255=0,"",IF(G1255+H1255&lt;J1255*34,DATE(2026,10,15)+(G1255+H1255)/J1255,IF(G1255+H1255&lt;N1255,DATE(2026,11,18)+(G1255+H1255-J1255*34)/(J1255*L1255),"after Nov 30")))</f>
        <v/>
      </c>
      <c r="R1255" s="54">
        <f>IF(AND(G1255&lt;=0,J1255&gt;0),"Out of stock now",IF(G1255&gt;=N1255,"Covered to Nov 30",IF(G1255+H1255&gt;=N1255,"Needs inbound in time","Short even with inbound")))</f>
        <v/>
      </c>
      <c r="S1255" s="57" t="n">
        <v>0</v>
      </c>
      <c r="T1255" s="59">
        <f>IF(S1255="","",S1255*34+S1255*L1255*12)</f>
        <v/>
      </c>
    </row>
    <row r="1256">
      <c r="A1256" s="54" t="inlineStr">
        <is>
          <t>US CL Pillowcases</t>
        </is>
      </c>
      <c r="B1256" s="54" t="inlineStr">
        <is>
          <t>US</t>
        </is>
      </c>
      <c r="C1256" s="54" t="inlineStr">
        <is>
          <t>B0H5WV9RBQ</t>
        </is>
      </c>
      <c r="D1256" s="54" t="inlineStr">
        <is>
          <t>CL-CLG-PC-LIGHT-GREY-QUEEN-2PCS</t>
        </is>
      </c>
      <c r="E1256" s="54" t="inlineStr">
        <is>
          <t>Queen</t>
        </is>
      </c>
      <c r="F1256" s="54" t="inlineStr">
        <is>
          <t>Light Grey</t>
        </is>
      </c>
      <c r="G1256" s="55" t="n">
        <v>205</v>
      </c>
      <c r="H1256" s="55" t="n">
        <v>0</v>
      </c>
      <c r="I1256" s="56" t="n"/>
      <c r="J1256" s="57" t="n">
        <v>7.75</v>
      </c>
      <c r="K1256" s="56" t="inlineStr">
        <is>
          <t>account data velocity</t>
        </is>
      </c>
      <c r="L1256" s="58" t="n">
        <v>2.7396</v>
      </c>
      <c r="M1256" s="56" t="inlineStr">
        <is>
          <t>ASSUMED: account BFCM 2025 lift (US); product's own 2025 lift not available</t>
        </is>
      </c>
      <c r="N1256" s="59">
        <f>J1256*34+J1256*L1256*12</f>
        <v/>
      </c>
      <c r="O1256" s="59">
        <f>MAX(0,N1256-G1256-H1256)</f>
        <v/>
      </c>
      <c r="P1256" s="60">
        <f>IF(J1256=0,"",IF(G1256&lt;J1256*34,DATE(2026,10,15)+G1256/J1256,IF(G1256&lt;N1256,DATE(2026,11,18)+(G1256-J1256*34)/(J1256*L1256),"after Nov 30")))</f>
        <v/>
      </c>
      <c r="Q1256" s="60">
        <f>IF(J1256=0,"",IF(G1256+H1256&lt;J1256*34,DATE(2026,10,15)+(G1256+H1256)/J1256,IF(G1256+H1256&lt;N1256,DATE(2026,11,18)+(G1256+H1256-J1256*34)/(J1256*L1256),"after Nov 30")))</f>
        <v/>
      </c>
      <c r="R1256" s="54">
        <f>IF(AND(G1256&lt;=0,J1256&gt;0),"Out of stock now",IF(G1256&gt;=N1256,"Covered to Nov 30",IF(G1256+H1256&gt;=N1256,"Needs inbound in time","Short even with inbound")))</f>
        <v/>
      </c>
      <c r="S1256" s="57" t="n">
        <v>1.393</v>
      </c>
      <c r="T1256" s="59">
        <f>IF(S1256="","",S1256*34+S1256*L1256*12)</f>
        <v/>
      </c>
    </row>
    <row r="1257">
      <c r="A1257" s="54" t="inlineStr">
        <is>
          <t>US CL Pillowcases</t>
        </is>
      </c>
      <c r="B1257" s="54" t="inlineStr">
        <is>
          <t>US</t>
        </is>
      </c>
      <c r="C1257" s="54" t="inlineStr">
        <is>
          <t>B0H5WWMPNN</t>
        </is>
      </c>
      <c r="D1257" s="54" t="inlineStr">
        <is>
          <t>CL-CLG-PC-WHITE-QUEEN-2PCS</t>
        </is>
      </c>
      <c r="E1257" s="54" t="inlineStr">
        <is>
          <t>Queen</t>
        </is>
      </c>
      <c r="F1257" s="54" t="inlineStr">
        <is>
          <t>White</t>
        </is>
      </c>
      <c r="G1257" s="55" t="n">
        <v>204</v>
      </c>
      <c r="H1257" s="55" t="n">
        <v>0</v>
      </c>
      <c r="I1257" s="56" t="n"/>
      <c r="J1257" s="57" t="n">
        <v>7.66</v>
      </c>
      <c r="K1257" s="56" t="inlineStr">
        <is>
          <t>account data velocity</t>
        </is>
      </c>
      <c r="L1257" s="58" t="n">
        <v>2.7396</v>
      </c>
      <c r="M1257" s="56" t="inlineStr">
        <is>
          <t>ASSUMED: account BFCM 2025 lift (US); product's own 2025 lift not available</t>
        </is>
      </c>
      <c r="N1257" s="59">
        <f>J1257*34+J1257*L1257*12</f>
        <v/>
      </c>
      <c r="O1257" s="59">
        <f>MAX(0,N1257-G1257-H1257)</f>
        <v/>
      </c>
      <c r="P1257" s="60">
        <f>IF(J1257=0,"",IF(G1257&lt;J1257*34,DATE(2026,10,15)+G1257/J1257,IF(G1257&lt;N1257,DATE(2026,11,18)+(G1257-J1257*34)/(J1257*L1257),"after Nov 30")))</f>
        <v/>
      </c>
      <c r="Q1257" s="60">
        <f>IF(J1257=0,"",IF(G1257+H1257&lt;J1257*34,DATE(2026,10,15)+(G1257+H1257)/J1257,IF(G1257+H1257&lt;N1257,DATE(2026,11,18)+(G1257+H1257-J1257*34)/(J1257*L1257),"after Nov 30")))</f>
        <v/>
      </c>
      <c r="R1257" s="54">
        <f>IF(AND(G1257&lt;=0,J1257&gt;0),"Out of stock now",IF(G1257&gt;=N1257,"Covered to Nov 30",IF(G1257+H1257&gt;=N1257,"Needs inbound in time","Short even with inbound")))</f>
        <v/>
      </c>
      <c r="S1257" s="57" t="n">
        <v>1.214</v>
      </c>
      <c r="T1257" s="59">
        <f>IF(S1257="","",S1257*34+S1257*L1257*12)</f>
        <v/>
      </c>
    </row>
    <row r="1258">
      <c r="A1258" s="54" t="inlineStr">
        <is>
          <t>US CL Pillowcases</t>
        </is>
      </c>
      <c r="B1258" s="54" t="inlineStr">
        <is>
          <t>US</t>
        </is>
      </c>
      <c r="C1258" s="54" t="inlineStr">
        <is>
          <t>B0H5XBSQ71</t>
        </is>
      </c>
      <c r="D1258" s="54" t="inlineStr">
        <is>
          <t>CL-CLG-PC-WHITE-STANDARD-2PCS</t>
        </is>
      </c>
      <c r="E1258" s="54" t="inlineStr">
        <is>
          <t>Standard</t>
        </is>
      </c>
      <c r="F1258" s="54" t="inlineStr">
        <is>
          <t>White</t>
        </is>
      </c>
      <c r="G1258" s="55" t="n">
        <v>218</v>
      </c>
      <c r="H1258" s="55" t="n">
        <v>0</v>
      </c>
      <c r="I1258" s="56" t="n"/>
      <c r="J1258" s="57" t="n">
        <v>6.4</v>
      </c>
      <c r="K1258" s="56" t="inlineStr">
        <is>
          <t>account data velocity</t>
        </is>
      </c>
      <c r="L1258" s="58" t="n">
        <v>2.7396</v>
      </c>
      <c r="M1258" s="56" t="inlineStr">
        <is>
          <t>ASSUMED: account BFCM 2025 lift (US); product's own 2025 lift not available</t>
        </is>
      </c>
      <c r="N1258" s="59">
        <f>J1258*34+J1258*L1258*12</f>
        <v/>
      </c>
      <c r="O1258" s="59">
        <f>MAX(0,N1258-G1258-H1258)</f>
        <v/>
      </c>
      <c r="P1258" s="60">
        <f>IF(J1258=0,"",IF(G1258&lt;J1258*34,DATE(2026,10,15)+G1258/J1258,IF(G1258&lt;N1258,DATE(2026,11,18)+(G1258-J1258*34)/(J1258*L1258),"after Nov 30")))</f>
        <v/>
      </c>
      <c r="Q1258" s="60">
        <f>IF(J1258=0,"",IF(G1258+H1258&lt;J1258*34,DATE(2026,10,15)+(G1258+H1258)/J1258,IF(G1258+H1258&lt;N1258,DATE(2026,11,18)+(G1258+H1258-J1258*34)/(J1258*L1258),"after Nov 30")))</f>
        <v/>
      </c>
      <c r="R1258" s="54">
        <f>IF(AND(G1258&lt;=0,J1258&gt;0),"Out of stock now",IF(G1258&gt;=N1258,"Covered to Nov 30",IF(G1258+H1258&gt;=N1258,"Needs inbound in time","Short even with inbound")))</f>
        <v/>
      </c>
      <c r="S1258" s="57" t="n">
        <v>1.286</v>
      </c>
      <c r="T1258" s="59">
        <f>IF(S1258="","",S1258*34+S1258*L1258*12)</f>
        <v/>
      </c>
    </row>
    <row r="1259">
      <c r="A1259" s="54" t="inlineStr">
        <is>
          <t>US CL Pillowcases</t>
        </is>
      </c>
      <c r="B1259" s="54" t="inlineStr">
        <is>
          <t>US</t>
        </is>
      </c>
      <c r="C1259" s="54" t="inlineStr">
        <is>
          <t>B0H5X5VGDP</t>
        </is>
      </c>
      <c r="D1259" s="54" t="inlineStr">
        <is>
          <t>CL-CLG-PC-DARK-GREY-QUEEN-2PCS</t>
        </is>
      </c>
      <c r="E1259" s="54" t="inlineStr">
        <is>
          <t>Queen</t>
        </is>
      </c>
      <c r="F1259" s="54" t="inlineStr">
        <is>
          <t>Dark Grey</t>
        </is>
      </c>
      <c r="G1259" s="55" t="n">
        <v>421</v>
      </c>
      <c r="H1259" s="55" t="n">
        <v>0</v>
      </c>
      <c r="I1259" s="56" t="n"/>
      <c r="J1259" s="57" t="n">
        <v>5.01</v>
      </c>
      <c r="K1259" s="56" t="inlineStr">
        <is>
          <t>account data velocity</t>
        </is>
      </c>
      <c r="L1259" s="58" t="n">
        <v>2.7396</v>
      </c>
      <c r="M1259" s="56" t="inlineStr">
        <is>
          <t>ASSUMED: account BFCM 2025 lift (US); product's own 2025 lift not available</t>
        </is>
      </c>
      <c r="N1259" s="59">
        <f>J1259*34+J1259*L1259*12</f>
        <v/>
      </c>
      <c r="O1259" s="59">
        <f>MAX(0,N1259-G1259-H1259)</f>
        <v/>
      </c>
      <c r="P1259" s="60">
        <f>IF(J1259=0,"",IF(G1259&lt;J1259*34,DATE(2026,10,15)+G1259/J1259,IF(G1259&lt;N1259,DATE(2026,11,18)+(G1259-J1259*34)/(J1259*L1259),"after Nov 30")))</f>
        <v/>
      </c>
      <c r="Q1259" s="60">
        <f>IF(J1259=0,"",IF(G1259+H1259&lt;J1259*34,DATE(2026,10,15)+(G1259+H1259)/J1259,IF(G1259+H1259&lt;N1259,DATE(2026,11,18)+(G1259+H1259-J1259*34)/(J1259*L1259),"after Nov 30")))</f>
        <v/>
      </c>
      <c r="R1259" s="54">
        <f>IF(AND(G1259&lt;=0,J1259&gt;0),"Out of stock now",IF(G1259&gt;=N1259,"Covered to Nov 30",IF(G1259+H1259&gt;=N1259,"Needs inbound in time","Short even with inbound")))</f>
        <v/>
      </c>
      <c r="S1259" s="57" t="n">
        <v>1.179</v>
      </c>
      <c r="T1259" s="59">
        <f>IF(S1259="","",S1259*34+S1259*L1259*12)</f>
        <v/>
      </c>
    </row>
    <row r="1260">
      <c r="A1260" s="54" t="inlineStr">
        <is>
          <t>US CL Pillowcases</t>
        </is>
      </c>
      <c r="B1260" s="54" t="inlineStr">
        <is>
          <t>US</t>
        </is>
      </c>
      <c r="C1260" s="54" t="inlineStr">
        <is>
          <t>B0H5X91BWJ</t>
        </is>
      </c>
      <c r="D1260" s="54" t="inlineStr">
        <is>
          <t>CL-CLG-PC-WHITE-KING-2PCS</t>
        </is>
      </c>
      <c r="E1260" s="54" t="inlineStr">
        <is>
          <t>King</t>
        </is>
      </c>
      <c r="F1260" s="54" t="inlineStr">
        <is>
          <t>White</t>
        </is>
      </c>
      <c r="G1260" s="55" t="n">
        <v>223</v>
      </c>
      <c r="H1260" s="55" t="n">
        <v>0</v>
      </c>
      <c r="I1260" s="56" t="n"/>
      <c r="J1260" s="57" t="n">
        <v>4.55</v>
      </c>
      <c r="K1260" s="56" t="inlineStr">
        <is>
          <t>account data velocity</t>
        </is>
      </c>
      <c r="L1260" s="58" t="n">
        <v>2.7396</v>
      </c>
      <c r="M1260" s="56" t="inlineStr">
        <is>
          <t>ASSUMED: account BFCM 2025 lift (US); product's own 2025 lift not available</t>
        </is>
      </c>
      <c r="N1260" s="59">
        <f>J1260*34+J1260*L1260*12</f>
        <v/>
      </c>
      <c r="O1260" s="59">
        <f>MAX(0,N1260-G1260-H1260)</f>
        <v/>
      </c>
      <c r="P1260" s="60">
        <f>IF(J1260=0,"",IF(G1260&lt;J1260*34,DATE(2026,10,15)+G1260/J1260,IF(G1260&lt;N1260,DATE(2026,11,18)+(G1260-J1260*34)/(J1260*L1260),"after Nov 30")))</f>
        <v/>
      </c>
      <c r="Q1260" s="60">
        <f>IF(J1260=0,"",IF(G1260+H1260&lt;J1260*34,DATE(2026,10,15)+(G1260+H1260)/J1260,IF(G1260+H1260&lt;N1260,DATE(2026,11,18)+(G1260+H1260-J1260*34)/(J1260*L1260),"after Nov 30")))</f>
        <v/>
      </c>
      <c r="R1260" s="54">
        <f>IF(AND(G1260&lt;=0,J1260&gt;0),"Out of stock now",IF(G1260&gt;=N1260,"Covered to Nov 30",IF(G1260+H1260&gt;=N1260,"Needs inbound in time","Short even with inbound")))</f>
        <v/>
      </c>
      <c r="S1260" s="57" t="n">
        <v>0.5</v>
      </c>
      <c r="T1260" s="59">
        <f>IF(S1260="","",S1260*34+S1260*L1260*12)</f>
        <v/>
      </c>
    </row>
    <row r="1261">
      <c r="A1261" s="54" t="inlineStr">
        <is>
          <t>US CL Pillowcases</t>
        </is>
      </c>
      <c r="B1261" s="54" t="inlineStr">
        <is>
          <t>US</t>
        </is>
      </c>
      <c r="C1261" s="54" t="inlineStr">
        <is>
          <t>B0H5X4DPJP</t>
        </is>
      </c>
      <c r="D1261" s="54" t="inlineStr">
        <is>
          <t>CL-CLG-PC-DARK-GREY-KING-2PCS</t>
        </is>
      </c>
      <c r="E1261" s="54" t="inlineStr">
        <is>
          <t>King</t>
        </is>
      </c>
      <c r="F1261" s="54" t="inlineStr">
        <is>
          <t>Dark Grey</t>
        </is>
      </c>
      <c r="G1261" s="55" t="n">
        <v>136</v>
      </c>
      <c r="H1261" s="55" t="n">
        <v>0</v>
      </c>
      <c r="I1261" s="56" t="n"/>
      <c r="J1261" s="57" t="n">
        <v>4.01</v>
      </c>
      <c r="K1261" s="56" t="inlineStr">
        <is>
          <t>account data velocity</t>
        </is>
      </c>
      <c r="L1261" s="58" t="n">
        <v>2.7396</v>
      </c>
      <c r="M1261" s="56" t="inlineStr">
        <is>
          <t>ASSUMED: account BFCM 2025 lift (US); product's own 2025 lift not available</t>
        </is>
      </c>
      <c r="N1261" s="59">
        <f>J1261*34+J1261*L1261*12</f>
        <v/>
      </c>
      <c r="O1261" s="59">
        <f>MAX(0,N1261-G1261-H1261)</f>
        <v/>
      </c>
      <c r="P1261" s="60">
        <f>IF(J1261=0,"",IF(G1261&lt;J1261*34,DATE(2026,10,15)+G1261/J1261,IF(G1261&lt;N1261,DATE(2026,11,18)+(G1261-J1261*34)/(J1261*L1261),"after Nov 30")))</f>
        <v/>
      </c>
      <c r="Q1261" s="60">
        <f>IF(J1261=0,"",IF(G1261+H1261&lt;J1261*34,DATE(2026,10,15)+(G1261+H1261)/J1261,IF(G1261+H1261&lt;N1261,DATE(2026,11,18)+(G1261+H1261-J1261*34)/(J1261*L1261),"after Nov 30")))</f>
        <v/>
      </c>
      <c r="R1261" s="54">
        <f>IF(AND(G1261&lt;=0,J1261&gt;0),"Out of stock now",IF(G1261&gt;=N1261,"Covered to Nov 30",IF(G1261+H1261&gt;=N1261,"Needs inbound in time","Short even with inbound")))</f>
        <v/>
      </c>
      <c r="S1261" s="57" t="n">
        <v>1.107</v>
      </c>
      <c r="T1261" s="59">
        <f>IF(S1261="","",S1261*34+S1261*L1261*12)</f>
        <v/>
      </c>
    </row>
    <row r="1262">
      <c r="A1262" s="54" t="inlineStr">
        <is>
          <t>US CL Pillowcases</t>
        </is>
      </c>
      <c r="B1262" s="54" t="inlineStr">
        <is>
          <t>US</t>
        </is>
      </c>
      <c r="C1262" s="54" t="inlineStr">
        <is>
          <t>B0H5X6W132</t>
        </is>
      </c>
      <c r="D1262" s="54" t="inlineStr">
        <is>
          <t>CL-CLG-PC-LIGHT-GREY-KING-2PCS</t>
        </is>
      </c>
      <c r="E1262" s="54" t="inlineStr">
        <is>
          <t>King</t>
        </is>
      </c>
      <c r="F1262" s="54" t="inlineStr">
        <is>
          <t>Light Grey</t>
        </is>
      </c>
      <c r="G1262" s="55" t="n">
        <v>229</v>
      </c>
      <c r="H1262" s="55" t="n">
        <v>0</v>
      </c>
      <c r="I1262" s="56" t="n"/>
      <c r="J1262" s="57" t="n">
        <v>3.52</v>
      </c>
      <c r="K1262" s="56" t="inlineStr">
        <is>
          <t>account data velocity</t>
        </is>
      </c>
      <c r="L1262" s="58" t="n">
        <v>2.7396</v>
      </c>
      <c r="M1262" s="56" t="inlineStr">
        <is>
          <t>ASSUMED: account BFCM 2025 lift (US); product's own 2025 lift not available</t>
        </is>
      </c>
      <c r="N1262" s="59">
        <f>J1262*34+J1262*L1262*12</f>
        <v/>
      </c>
      <c r="O1262" s="59">
        <f>MAX(0,N1262-G1262-H1262)</f>
        <v/>
      </c>
      <c r="P1262" s="60">
        <f>IF(J1262=0,"",IF(G1262&lt;J1262*34,DATE(2026,10,15)+G1262/J1262,IF(G1262&lt;N1262,DATE(2026,11,18)+(G1262-J1262*34)/(J1262*L1262),"after Nov 30")))</f>
        <v/>
      </c>
      <c r="Q1262" s="60">
        <f>IF(J1262=0,"",IF(G1262+H1262&lt;J1262*34,DATE(2026,10,15)+(G1262+H1262)/J1262,IF(G1262+H1262&lt;N1262,DATE(2026,11,18)+(G1262+H1262-J1262*34)/(J1262*L1262),"after Nov 30")))</f>
        <v/>
      </c>
      <c r="R1262" s="54">
        <f>IF(AND(G1262&lt;=0,J1262&gt;0),"Out of stock now",IF(G1262&gt;=N1262,"Covered to Nov 30",IF(G1262+H1262&gt;=N1262,"Needs inbound in time","Short even with inbound")))</f>
        <v/>
      </c>
      <c r="S1262" s="57" t="n">
        <v>0.714</v>
      </c>
      <c r="T1262" s="59">
        <f>IF(S1262="","",S1262*34+S1262*L1262*12)</f>
        <v/>
      </c>
    </row>
    <row r="1263">
      <c r="A1263" s="54" t="inlineStr">
        <is>
          <t>US CL Pillowcases</t>
        </is>
      </c>
      <c r="B1263" s="54" t="inlineStr">
        <is>
          <t>US</t>
        </is>
      </c>
      <c r="C1263" s="54" t="inlineStr">
        <is>
          <t>B0H5WWD96B</t>
        </is>
      </c>
      <c r="D1263" s="54" t="inlineStr">
        <is>
          <t>CL-CLG-PC-BLUE-STANDARD-2PCS</t>
        </is>
      </c>
      <c r="E1263" s="54" t="inlineStr">
        <is>
          <t>Standard</t>
        </is>
      </c>
      <c r="F1263" s="54" t="inlineStr">
        <is>
          <t>Blue</t>
        </is>
      </c>
      <c r="G1263" s="55" t="n">
        <v>245</v>
      </c>
      <c r="H1263" s="55" t="n">
        <v>0</v>
      </c>
      <c r="I1263" s="56" t="n"/>
      <c r="J1263" s="57" t="n">
        <v>2.88</v>
      </c>
      <c r="K1263" s="56" t="inlineStr">
        <is>
          <t>account data velocity</t>
        </is>
      </c>
      <c r="L1263" s="58" t="n">
        <v>2.7396</v>
      </c>
      <c r="M1263" s="56" t="inlineStr">
        <is>
          <t>ASSUMED: account BFCM 2025 lift (US); product's own 2025 lift not available</t>
        </is>
      </c>
      <c r="N1263" s="59">
        <f>J1263*34+J1263*L1263*12</f>
        <v/>
      </c>
      <c r="O1263" s="59">
        <f>MAX(0,N1263-G1263-H1263)</f>
        <v/>
      </c>
      <c r="P1263" s="60">
        <f>IF(J1263=0,"",IF(G1263&lt;J1263*34,DATE(2026,10,15)+G1263/J1263,IF(G1263&lt;N1263,DATE(2026,11,18)+(G1263-J1263*34)/(J1263*L1263),"after Nov 30")))</f>
        <v/>
      </c>
      <c r="Q1263" s="60">
        <f>IF(J1263=0,"",IF(G1263+H1263&lt;J1263*34,DATE(2026,10,15)+(G1263+H1263)/J1263,IF(G1263+H1263&lt;N1263,DATE(2026,11,18)+(G1263+H1263-J1263*34)/(J1263*L1263),"after Nov 30")))</f>
        <v/>
      </c>
      <c r="R1263" s="54">
        <f>IF(AND(G1263&lt;=0,J1263&gt;0),"Out of stock now",IF(G1263&gt;=N1263,"Covered to Nov 30",IF(G1263+H1263&gt;=N1263,"Needs inbound in time","Short even with inbound")))</f>
        <v/>
      </c>
      <c r="S1263" s="57" t="n">
        <v>1.107</v>
      </c>
      <c r="T1263" s="59">
        <f>IF(S1263="","",S1263*34+S1263*L1263*12)</f>
        <v/>
      </c>
    </row>
    <row r="1264">
      <c r="A1264" s="54" t="inlineStr">
        <is>
          <t>US CL Pillowcases</t>
        </is>
      </c>
      <c r="B1264" s="54" t="inlineStr">
        <is>
          <t>US</t>
        </is>
      </c>
      <c r="C1264" s="54" t="inlineStr">
        <is>
          <t>B0H5WYZTKX</t>
        </is>
      </c>
      <c r="D1264" s="54" t="inlineStr">
        <is>
          <t>CL-CLG-PC-LIGHT-GREY-STANDARD-2PCS</t>
        </is>
      </c>
      <c r="E1264" s="54" t="inlineStr">
        <is>
          <t>Standard</t>
        </is>
      </c>
      <c r="F1264" s="54" t="inlineStr">
        <is>
          <t>Light Grey</t>
        </is>
      </c>
      <c r="G1264" s="55" t="n">
        <v>259</v>
      </c>
      <c r="H1264" s="55" t="n">
        <v>0</v>
      </c>
      <c r="I1264" s="56" t="n"/>
      <c r="J1264" s="57" t="n">
        <v>2.62</v>
      </c>
      <c r="K1264" s="56" t="inlineStr">
        <is>
          <t>account data velocity</t>
        </is>
      </c>
      <c r="L1264" s="58" t="n">
        <v>2.7396</v>
      </c>
      <c r="M1264" s="56" t="inlineStr">
        <is>
          <t>ASSUMED: account BFCM 2025 lift (US); product's own 2025 lift not available</t>
        </is>
      </c>
      <c r="N1264" s="59">
        <f>J1264*34+J1264*L1264*12</f>
        <v/>
      </c>
      <c r="O1264" s="59">
        <f>MAX(0,N1264-G1264-H1264)</f>
        <v/>
      </c>
      <c r="P1264" s="60">
        <f>IF(J1264=0,"",IF(G1264&lt;J1264*34,DATE(2026,10,15)+G1264/J1264,IF(G1264&lt;N1264,DATE(2026,11,18)+(G1264-J1264*34)/(J1264*L1264),"after Nov 30")))</f>
        <v/>
      </c>
      <c r="Q1264" s="60">
        <f>IF(J1264=0,"",IF(G1264+H1264&lt;J1264*34,DATE(2026,10,15)+(G1264+H1264)/J1264,IF(G1264+H1264&lt;N1264,DATE(2026,11,18)+(G1264+H1264-J1264*34)/(J1264*L1264),"after Nov 30")))</f>
        <v/>
      </c>
      <c r="R1264" s="54">
        <f>IF(AND(G1264&lt;=0,J1264&gt;0),"Out of stock now",IF(G1264&gt;=N1264,"Covered to Nov 30",IF(G1264+H1264&gt;=N1264,"Needs inbound in time","Short even with inbound")))</f>
        <v/>
      </c>
      <c r="S1264" s="57" t="n">
        <v>0.429</v>
      </c>
      <c r="T1264" s="59">
        <f>IF(S1264="","",S1264*34+S1264*L1264*12)</f>
        <v/>
      </c>
    </row>
    <row r="1265">
      <c r="A1265" s="54" t="inlineStr">
        <is>
          <t>US CL Pillowcases</t>
        </is>
      </c>
      <c r="B1265" s="54" t="inlineStr">
        <is>
          <t>US</t>
        </is>
      </c>
      <c r="C1265" s="54" t="inlineStr">
        <is>
          <t>B0H5WQT8YF</t>
        </is>
      </c>
      <c r="D1265" s="54" t="inlineStr">
        <is>
          <t>CL-CLG-PC-DARK-GREY-STANDARD-2PCS</t>
        </is>
      </c>
      <c r="E1265" s="54" t="inlineStr">
        <is>
          <t>Standard</t>
        </is>
      </c>
      <c r="F1265" s="54" t="inlineStr">
        <is>
          <t>Dark Grey</t>
        </is>
      </c>
      <c r="G1265" s="55" t="n">
        <v>127</v>
      </c>
      <c r="H1265" s="55" t="n">
        <v>0</v>
      </c>
      <c r="I1265" s="56" t="n"/>
      <c r="J1265" s="57" t="n">
        <v>1.92</v>
      </c>
      <c r="K1265" s="56" t="inlineStr">
        <is>
          <t>account data velocity</t>
        </is>
      </c>
      <c r="L1265" s="58" t="n">
        <v>2.7396</v>
      </c>
      <c r="M1265" s="56" t="inlineStr">
        <is>
          <t>ASSUMED: account BFCM 2025 lift (US); product's own 2025 lift not available</t>
        </is>
      </c>
      <c r="N1265" s="59">
        <f>J1265*34+J1265*L1265*12</f>
        <v/>
      </c>
      <c r="O1265" s="59">
        <f>MAX(0,N1265-G1265-H1265)</f>
        <v/>
      </c>
      <c r="P1265" s="60">
        <f>IF(J1265=0,"",IF(G1265&lt;J1265*34,DATE(2026,10,15)+G1265/J1265,IF(G1265&lt;N1265,DATE(2026,11,18)+(G1265-J1265*34)/(J1265*L1265),"after Nov 30")))</f>
        <v/>
      </c>
      <c r="Q1265" s="60">
        <f>IF(J1265=0,"",IF(G1265+H1265&lt;J1265*34,DATE(2026,10,15)+(G1265+H1265)/J1265,IF(G1265+H1265&lt;N1265,DATE(2026,11,18)+(G1265+H1265-J1265*34)/(J1265*L1265),"after Nov 30")))</f>
        <v/>
      </c>
      <c r="R1265" s="54">
        <f>IF(AND(G1265&lt;=0,J1265&gt;0),"Out of stock now",IF(G1265&gt;=N1265,"Covered to Nov 30",IF(G1265+H1265&gt;=N1265,"Needs inbound in time","Short even with inbound")))</f>
        <v/>
      </c>
      <c r="S1265" s="57" t="n">
        <v>1</v>
      </c>
      <c r="T1265" s="59">
        <f>IF(S1265="","",S1265*34+S1265*L1265*12)</f>
        <v/>
      </c>
    </row>
    <row r="1266">
      <c r="A1266" s="54" t="inlineStr">
        <is>
          <t>US CL Pillowcases</t>
        </is>
      </c>
      <c r="B1266" s="54" t="inlineStr">
        <is>
          <t>US</t>
        </is>
      </c>
      <c r="C1266" s="54" t="inlineStr">
        <is>
          <t>B0H5X3L7M3</t>
        </is>
      </c>
      <c r="D1266" s="54" t="inlineStr">
        <is>
          <t>CL-CLG-PC-BLUE-KING-2PCS</t>
        </is>
      </c>
      <c r="E1266" s="54" t="inlineStr">
        <is>
          <t>King</t>
        </is>
      </c>
      <c r="F1266" s="54" t="inlineStr">
        <is>
          <t>Blue</t>
        </is>
      </c>
      <c r="G1266" s="55" t="n">
        <v>223</v>
      </c>
      <c r="H1266" s="55" t="n">
        <v>0</v>
      </c>
      <c r="I1266" s="56" t="n"/>
      <c r="J1266" s="57" t="n">
        <v>1.58</v>
      </c>
      <c r="K1266" s="56" t="inlineStr">
        <is>
          <t>account data velocity</t>
        </is>
      </c>
      <c r="L1266" s="58" t="n">
        <v>2.7396</v>
      </c>
      <c r="M1266" s="56" t="inlineStr">
        <is>
          <t>ASSUMED: account BFCM 2025 lift (US); product's own 2025 lift not available</t>
        </is>
      </c>
      <c r="N1266" s="59">
        <f>J1266*34+J1266*L1266*12</f>
        <v/>
      </c>
      <c r="O1266" s="59">
        <f>MAX(0,N1266-G1266-H1266)</f>
        <v/>
      </c>
      <c r="P1266" s="60">
        <f>IF(J1266=0,"",IF(G1266&lt;J1266*34,DATE(2026,10,15)+G1266/J1266,IF(G1266&lt;N1266,DATE(2026,11,18)+(G1266-J1266*34)/(J1266*L1266),"after Nov 30")))</f>
        <v/>
      </c>
      <c r="Q1266" s="60">
        <f>IF(J1266=0,"",IF(G1266+H1266&lt;J1266*34,DATE(2026,10,15)+(G1266+H1266)/J1266,IF(G1266+H1266&lt;N1266,DATE(2026,11,18)+(G1266+H1266-J1266*34)/(J1266*L1266),"after Nov 30")))</f>
        <v/>
      </c>
      <c r="R1266" s="54">
        <f>IF(AND(G1266&lt;=0,J1266&gt;0),"Out of stock now",IF(G1266&gt;=N1266,"Covered to Nov 30",IF(G1266+H1266&gt;=N1266,"Needs inbound in time","Short even with inbound")))</f>
        <v/>
      </c>
      <c r="S1266" s="57" t="n">
        <v>0.429</v>
      </c>
      <c r="T1266" s="59">
        <f>IF(S1266="","",S1266*34+S1266*L1266*12)</f>
        <v/>
      </c>
    </row>
    <row r="1267">
      <c r="A1267" s="54" t="inlineStr">
        <is>
          <t>US CL Pillowcases</t>
        </is>
      </c>
      <c r="B1267" s="54" t="inlineStr">
        <is>
          <t>US</t>
        </is>
      </c>
      <c r="C1267" s="54" t="inlineStr">
        <is>
          <t>B0H5WY7C39</t>
        </is>
      </c>
      <c r="D1267" s="54" t="inlineStr">
        <is>
          <t>CL-CLG-PC-BLUE-QUEEN-2PCS</t>
        </is>
      </c>
      <c r="E1267" s="54" t="inlineStr">
        <is>
          <t>Queen</t>
        </is>
      </c>
      <c r="F1267" s="54" t="inlineStr">
        <is>
          <t>Blue</t>
        </is>
      </c>
      <c r="G1267" s="55" t="n">
        <v>247</v>
      </c>
      <c r="H1267" s="55" t="n">
        <v>0</v>
      </c>
      <c r="I1267" s="56" t="n"/>
      <c r="J1267" s="57" t="n">
        <v>1.56</v>
      </c>
      <c r="K1267" s="56" t="inlineStr">
        <is>
          <t>account data velocity</t>
        </is>
      </c>
      <c r="L1267" s="58" t="n">
        <v>2.7396</v>
      </c>
      <c r="M1267" s="56" t="inlineStr">
        <is>
          <t>ASSUMED: account BFCM 2025 lift (US); product's own 2025 lift not available</t>
        </is>
      </c>
      <c r="N1267" s="59">
        <f>J1267*34+J1267*L1267*12</f>
        <v/>
      </c>
      <c r="O1267" s="59">
        <f>MAX(0,N1267-G1267-H1267)</f>
        <v/>
      </c>
      <c r="P1267" s="60">
        <f>IF(J1267=0,"",IF(G1267&lt;J1267*34,DATE(2026,10,15)+G1267/J1267,IF(G1267&lt;N1267,DATE(2026,11,18)+(G1267-J1267*34)/(J1267*L1267),"after Nov 30")))</f>
        <v/>
      </c>
      <c r="Q1267" s="60">
        <f>IF(J1267=0,"",IF(G1267+H1267&lt;J1267*34,DATE(2026,10,15)+(G1267+H1267)/J1267,IF(G1267+H1267&lt;N1267,DATE(2026,11,18)+(G1267+H1267-J1267*34)/(J1267*L1267),"after Nov 30")))</f>
        <v/>
      </c>
      <c r="R1267" s="54">
        <f>IF(AND(G1267&lt;=0,J1267&gt;0),"Out of stock now",IF(G1267&gt;=N1267,"Covered to Nov 30",IF(G1267+H1267&gt;=N1267,"Needs inbound in time","Short even with inbound")))</f>
        <v/>
      </c>
      <c r="S1267" s="57" t="n">
        <v>0.714</v>
      </c>
      <c r="T1267" s="59">
        <f>IF(S1267="","",S1267*34+S1267*L1267*12)</f>
        <v/>
      </c>
    </row>
    <row r="1268">
      <c r="A1268" s="54" t="inlineStr">
        <is>
          <t>US SL Cooling Pillowcase</t>
        </is>
      </c>
      <c r="B1268" s="54" t="inlineStr">
        <is>
          <t>US</t>
        </is>
      </c>
      <c r="C1268" s="54" t="inlineStr">
        <is>
          <t>B0F7LKTKKS</t>
        </is>
      </c>
      <c r="D1268" s="54" t="inlineStr">
        <is>
          <t>SL-CLG-PC-WHITE-QUEEN-2PCS</t>
        </is>
      </c>
      <c r="E1268" s="54" t="inlineStr">
        <is>
          <t>Queen</t>
        </is>
      </c>
      <c r="F1268" s="54" t="inlineStr">
        <is>
          <t>White</t>
        </is>
      </c>
      <c r="G1268" s="55" t="n">
        <v>101</v>
      </c>
      <c r="H1268" s="55" t="n">
        <v>0</v>
      </c>
      <c r="I1268" s="56" t="n"/>
      <c r="J1268" s="57" t="n">
        <v>1</v>
      </c>
      <c r="K1268" s="56" t="inlineStr">
        <is>
          <t>account data velocity</t>
        </is>
      </c>
      <c r="L1268" s="58" t="n">
        <v>2.7396</v>
      </c>
      <c r="M1268" s="56" t="inlineStr">
        <is>
          <t>ASSUMED: account BFCM 2025 lift (US); product's own 2025 lift not reliable</t>
        </is>
      </c>
      <c r="N1268" s="59">
        <f>J1268*34+J1268*L1268*12</f>
        <v/>
      </c>
      <c r="O1268" s="59">
        <f>MAX(0,N1268-G1268-H1268)</f>
        <v/>
      </c>
      <c r="P1268" s="60">
        <f>IF(J1268=0,"",IF(G1268&lt;J1268*34,DATE(2026,10,15)+G1268/J1268,IF(G1268&lt;N1268,DATE(2026,11,18)+(G1268-J1268*34)/(J1268*L1268),"after Nov 30")))</f>
        <v/>
      </c>
      <c r="Q1268" s="60">
        <f>IF(J1268=0,"",IF(G1268+H1268&lt;J1268*34,DATE(2026,10,15)+(G1268+H1268)/J1268,IF(G1268+H1268&lt;N1268,DATE(2026,11,18)+(G1268+H1268-J1268*34)/(J1268*L1268),"after Nov 30")))</f>
        <v/>
      </c>
      <c r="R1268" s="54">
        <f>IF(AND(G1268&lt;=0,J1268&gt;0),"Out of stock now",IF(G1268&gt;=N1268,"Covered to Nov 30",IF(G1268+H1268&gt;=N1268,"Needs inbound in time","Short even with inbound")))</f>
        <v/>
      </c>
      <c r="S1268" s="57" t="n">
        <v>0.571</v>
      </c>
      <c r="T1268" s="59">
        <f>IF(S1268="","",S1268*34+S1268*L1268*12)</f>
        <v/>
      </c>
    </row>
    <row r="1269">
      <c r="A1269" s="54" t="inlineStr">
        <is>
          <t>US SL Cooling Pillowcase</t>
        </is>
      </c>
      <c r="B1269" s="54" t="inlineStr">
        <is>
          <t>US</t>
        </is>
      </c>
      <c r="C1269" s="54" t="inlineStr">
        <is>
          <t>B0F7LM5KWC</t>
        </is>
      </c>
      <c r="D1269" s="54" t="inlineStr">
        <is>
          <t>SL-CLG-PC-LIGHT-GREY-KING-2PCS</t>
        </is>
      </c>
      <c r="E1269" s="54" t="inlineStr">
        <is>
          <t>King</t>
        </is>
      </c>
      <c r="F1269" s="54" t="inlineStr">
        <is>
          <t>Light Grey</t>
        </is>
      </c>
      <c r="G1269" s="55" t="n">
        <v>84</v>
      </c>
      <c r="H1269" s="55" t="n">
        <v>0</v>
      </c>
      <c r="I1269" s="56" t="n"/>
      <c r="J1269" s="57" t="n">
        <v>0.48</v>
      </c>
      <c r="K1269" s="56" t="inlineStr">
        <is>
          <t>account data velocity</t>
        </is>
      </c>
      <c r="L1269" s="58" t="n">
        <v>2.7396</v>
      </c>
      <c r="M1269" s="56" t="inlineStr">
        <is>
          <t>ASSUMED: account BFCM 2025 lift (US); product's own 2025 lift not reliable</t>
        </is>
      </c>
      <c r="N1269" s="59">
        <f>J1269*34+J1269*L1269*12</f>
        <v/>
      </c>
      <c r="O1269" s="59">
        <f>MAX(0,N1269-G1269-H1269)</f>
        <v/>
      </c>
      <c r="P1269" s="60">
        <f>IF(J1269=0,"",IF(G1269&lt;J1269*34,DATE(2026,10,15)+G1269/J1269,IF(G1269&lt;N1269,DATE(2026,11,18)+(G1269-J1269*34)/(J1269*L1269),"after Nov 30")))</f>
        <v/>
      </c>
      <c r="Q1269" s="60">
        <f>IF(J1269=0,"",IF(G1269+H1269&lt;J1269*34,DATE(2026,10,15)+(G1269+H1269)/J1269,IF(G1269+H1269&lt;N1269,DATE(2026,11,18)+(G1269+H1269-J1269*34)/(J1269*L1269),"after Nov 30")))</f>
        <v/>
      </c>
      <c r="R1269" s="54">
        <f>IF(AND(G1269&lt;=0,J1269&gt;0),"Out of stock now",IF(G1269&gt;=N1269,"Covered to Nov 30",IF(G1269+H1269&gt;=N1269,"Needs inbound in time","Short even with inbound")))</f>
        <v/>
      </c>
      <c r="S1269" s="57" t="n">
        <v>0.643</v>
      </c>
      <c r="T1269" s="59">
        <f>IF(S1269="","",S1269*34+S1269*L1269*12)</f>
        <v/>
      </c>
    </row>
    <row r="1270">
      <c r="A1270" s="54" t="inlineStr">
        <is>
          <t>US SL Cooling Pillowcase</t>
        </is>
      </c>
      <c r="B1270" s="54" t="inlineStr">
        <is>
          <t>US</t>
        </is>
      </c>
      <c r="C1270" s="54" t="inlineStr">
        <is>
          <t>B0F7LJS3N2</t>
        </is>
      </c>
      <c r="D1270" s="54" t="inlineStr">
        <is>
          <t>SL-CLG-PC-BLUE-QUEEN-2PCS</t>
        </is>
      </c>
      <c r="E1270" s="54" t="inlineStr">
        <is>
          <t>Queen</t>
        </is>
      </c>
      <c r="F1270" s="54" t="inlineStr">
        <is>
          <t>Blue</t>
        </is>
      </c>
      <c r="G1270" s="55" t="n">
        <v>0</v>
      </c>
      <c r="H1270" s="55" t="n">
        <v>64</v>
      </c>
      <c r="I1270" s="56" t="inlineStr">
        <is>
          <t>FBA19NP2BSG0 in transit: 64</t>
        </is>
      </c>
      <c r="J1270" s="57" t="n">
        <v>0.44</v>
      </c>
      <c r="K1270" s="56" t="inlineStr">
        <is>
          <t>account data velocity</t>
        </is>
      </c>
      <c r="L1270" s="58" t="n">
        <v>2.7396</v>
      </c>
      <c r="M1270" s="56" t="inlineStr">
        <is>
          <t>ASSUMED: account BFCM 2025 lift (US); product's own 2025 lift not reliable</t>
        </is>
      </c>
      <c r="N1270" s="59">
        <f>J1270*34+J1270*L1270*12</f>
        <v/>
      </c>
      <c r="O1270" s="59">
        <f>MAX(0,N1270-G1270-H1270)</f>
        <v/>
      </c>
      <c r="P1270" s="60">
        <f>IF(J1270=0,"",IF(G1270&lt;J1270*34,DATE(2026,10,15)+G1270/J1270,IF(G1270&lt;N1270,DATE(2026,11,18)+(G1270-J1270*34)/(J1270*L1270),"after Nov 30")))</f>
        <v/>
      </c>
      <c r="Q1270" s="60">
        <f>IF(J1270=0,"",IF(G1270+H1270&lt;J1270*34,DATE(2026,10,15)+(G1270+H1270)/J1270,IF(G1270+H1270&lt;N1270,DATE(2026,11,18)+(G1270+H1270-J1270*34)/(J1270*L1270),"after Nov 30")))</f>
        <v/>
      </c>
      <c r="R1270" s="54">
        <f>IF(AND(G1270&lt;=0,J1270&gt;0),"Out of stock now",IF(G1270&gt;=N1270,"Covered to Nov 30",IF(G1270+H1270&gt;=N1270,"Needs inbound in time","Short even with inbound")))</f>
        <v/>
      </c>
      <c r="S1270" s="57" t="n">
        <v>0.429</v>
      </c>
      <c r="T1270" s="59">
        <f>IF(S1270="","",S1270*34+S1270*L1270*12)</f>
        <v/>
      </c>
    </row>
    <row r="1271">
      <c r="A1271" s="54" t="inlineStr">
        <is>
          <t>US SL Cooling Pillowcase</t>
        </is>
      </c>
      <c r="B1271" s="54" t="inlineStr">
        <is>
          <t>US</t>
        </is>
      </c>
      <c r="C1271" s="54" t="inlineStr">
        <is>
          <t>B0F7LLMXSR</t>
        </is>
      </c>
      <c r="D1271" s="54" t="inlineStr">
        <is>
          <t>SL-CLG-PC-BLUE-KING-2PCS</t>
        </is>
      </c>
      <c r="E1271" s="54" t="inlineStr">
        <is>
          <t>King</t>
        </is>
      </c>
      <c r="F1271" s="54" t="inlineStr">
        <is>
          <t>Blue</t>
        </is>
      </c>
      <c r="G1271" s="55" t="n">
        <v>75</v>
      </c>
      <c r="H1271" s="55" t="n">
        <v>0</v>
      </c>
      <c r="I1271" s="56" t="n"/>
      <c r="J1271" s="57" t="n">
        <v>0.28</v>
      </c>
      <c r="K1271" s="56" t="inlineStr">
        <is>
          <t>account data velocity</t>
        </is>
      </c>
      <c r="L1271" s="58" t="n">
        <v>2.7396</v>
      </c>
      <c r="M1271" s="56" t="inlineStr">
        <is>
          <t>ASSUMED: account BFCM 2025 lift (US); product's own 2025 lift not reliable</t>
        </is>
      </c>
      <c r="N1271" s="59">
        <f>J1271*34+J1271*L1271*12</f>
        <v/>
      </c>
      <c r="O1271" s="59">
        <f>MAX(0,N1271-G1271-H1271)</f>
        <v/>
      </c>
      <c r="P1271" s="60">
        <f>IF(J1271=0,"",IF(G1271&lt;J1271*34,DATE(2026,10,15)+G1271/J1271,IF(G1271&lt;N1271,DATE(2026,11,18)+(G1271-J1271*34)/(J1271*L1271),"after Nov 30")))</f>
        <v/>
      </c>
      <c r="Q1271" s="60">
        <f>IF(J1271=0,"",IF(G1271+H1271&lt;J1271*34,DATE(2026,10,15)+(G1271+H1271)/J1271,IF(G1271+H1271&lt;N1271,DATE(2026,11,18)+(G1271+H1271-J1271*34)/(J1271*L1271),"after Nov 30")))</f>
        <v/>
      </c>
      <c r="R1271" s="54">
        <f>IF(AND(G1271&lt;=0,J1271&gt;0),"Out of stock now",IF(G1271&gt;=N1271,"Covered to Nov 30",IF(G1271+H1271&gt;=N1271,"Needs inbound in time","Short even with inbound")))</f>
        <v/>
      </c>
      <c r="S1271" s="57" t="n">
        <v>0.143</v>
      </c>
      <c r="T1271" s="59">
        <f>IF(S1271="","",S1271*34+S1271*L1271*12)</f>
        <v/>
      </c>
    </row>
    <row r="1272">
      <c r="A1272" s="54" t="inlineStr">
        <is>
          <t>US SL Cooling Pillowcase</t>
        </is>
      </c>
      <c r="B1272" s="54" t="inlineStr">
        <is>
          <t>US</t>
        </is>
      </c>
      <c r="C1272" s="54" t="inlineStr">
        <is>
          <t>B0F7LHWD2N</t>
        </is>
      </c>
      <c r="D1272" s="54" t="inlineStr">
        <is>
          <t>SL-CLG-PC-BLUE-STANDARD-2PCS</t>
        </is>
      </c>
      <c r="E1272" s="54" t="inlineStr">
        <is>
          <t>Standard</t>
        </is>
      </c>
      <c r="F1272" s="54" t="inlineStr">
        <is>
          <t>Blue</t>
        </is>
      </c>
      <c r="G1272" s="55" t="n">
        <v>0</v>
      </c>
      <c r="H1272" s="55" t="n">
        <v>96</v>
      </c>
      <c r="I1272" s="56" t="inlineStr">
        <is>
          <t>FBA19NP2BSG0 in transit: 96</t>
        </is>
      </c>
      <c r="J1272" s="57" t="n">
        <v>0.06</v>
      </c>
      <c r="K1272" s="56" t="inlineStr">
        <is>
          <t>account data velocity</t>
        </is>
      </c>
      <c r="L1272" s="58" t="n">
        <v>2.7396</v>
      </c>
      <c r="M1272" s="56" t="inlineStr">
        <is>
          <t>ASSUMED: account BFCM 2025 lift (US); product's own 2025 lift not reliable</t>
        </is>
      </c>
      <c r="N1272" s="59">
        <f>J1272*34+J1272*L1272*12</f>
        <v/>
      </c>
      <c r="O1272" s="59">
        <f>MAX(0,N1272-G1272-H1272)</f>
        <v/>
      </c>
      <c r="P1272" s="60">
        <f>IF(J1272=0,"",IF(G1272&lt;J1272*34,DATE(2026,10,15)+G1272/J1272,IF(G1272&lt;N1272,DATE(2026,11,18)+(G1272-J1272*34)/(J1272*L1272),"after Nov 30")))</f>
        <v/>
      </c>
      <c r="Q1272" s="60">
        <f>IF(J1272=0,"",IF(G1272+H1272&lt;J1272*34,DATE(2026,10,15)+(G1272+H1272)/J1272,IF(G1272+H1272&lt;N1272,DATE(2026,11,18)+(G1272+H1272-J1272*34)/(J1272*L1272),"after Nov 30")))</f>
        <v/>
      </c>
      <c r="R1272" s="54">
        <f>IF(AND(G1272&lt;=0,J1272&gt;0),"Out of stock now",IF(G1272&gt;=N1272,"Covered to Nov 30",IF(G1272+H1272&gt;=N1272,"Needs inbound in time","Short even with inbound")))</f>
        <v/>
      </c>
      <c r="S1272" s="57" t="n">
        <v>0.07099999999999999</v>
      </c>
      <c r="T1272" s="59">
        <f>IF(S1272="","",S1272*34+S1272*L1272*12)</f>
        <v/>
      </c>
    </row>
    <row r="1273">
      <c r="A1273" s="54" t="inlineStr">
        <is>
          <t>US SL Cooling Pillowcase</t>
        </is>
      </c>
      <c r="B1273" s="54" t="inlineStr">
        <is>
          <t>US</t>
        </is>
      </c>
      <c r="C1273" s="54" t="inlineStr">
        <is>
          <t>B0F7LMHRL9</t>
        </is>
      </c>
      <c r="D1273" s="54" t="inlineStr">
        <is>
          <t>SL-CLG-PC-DARK-GREY-QUEEN-2PCS</t>
        </is>
      </c>
      <c r="E1273" s="54" t="inlineStr">
        <is>
          <t>Queen</t>
        </is>
      </c>
      <c r="F1273" s="54" t="inlineStr">
        <is>
          <t>Dark Grey</t>
        </is>
      </c>
      <c r="G1273" s="55" t="n">
        <v>0</v>
      </c>
      <c r="H1273" s="55" t="n">
        <v>192</v>
      </c>
      <c r="I1273" s="56" t="inlineStr">
        <is>
          <t>FBA19NP2BSG0 in transit: 192</t>
        </is>
      </c>
      <c r="J1273" s="57" t="n">
        <v>0.036</v>
      </c>
      <c r="K1273" s="56" t="inlineStr">
        <is>
          <t>units last 28 days / 28 (no account data velocity: out of stock)</t>
        </is>
      </c>
      <c r="L1273" s="58" t="n">
        <v>2.7396</v>
      </c>
      <c r="M1273" s="56" t="inlineStr">
        <is>
          <t>ASSUMED: account BFCM 2025 lift (US); product's own 2025 lift not reliable</t>
        </is>
      </c>
      <c r="N1273" s="59">
        <f>J1273*34+J1273*L1273*12</f>
        <v/>
      </c>
      <c r="O1273" s="59">
        <f>MAX(0,N1273-G1273-H1273)</f>
        <v/>
      </c>
      <c r="P1273" s="60">
        <f>IF(J1273=0,"",IF(G1273&lt;J1273*34,DATE(2026,10,15)+G1273/J1273,IF(G1273&lt;N1273,DATE(2026,11,18)+(G1273-J1273*34)/(J1273*L1273),"after Nov 30")))</f>
        <v/>
      </c>
      <c r="Q1273" s="60">
        <f>IF(J1273=0,"",IF(G1273+H1273&lt;J1273*34,DATE(2026,10,15)+(G1273+H1273)/J1273,IF(G1273+H1273&lt;N1273,DATE(2026,11,18)+(G1273+H1273-J1273*34)/(J1273*L1273),"after Nov 30")))</f>
        <v/>
      </c>
      <c r="R1273" s="54">
        <f>IF(AND(G1273&lt;=0,J1273&gt;0),"Out of stock now",IF(G1273&gt;=N1273,"Covered to Nov 30",IF(G1273+H1273&gt;=N1273,"Needs inbound in time","Short even with inbound")))</f>
        <v/>
      </c>
      <c r="S1273" s="57" t="n">
        <v>0.036</v>
      </c>
      <c r="T1273" s="59">
        <f>IF(S1273="","",S1273*34+S1273*L1273*12)</f>
        <v/>
      </c>
    </row>
    <row r="1274">
      <c r="A1274" s="54" t="inlineStr">
        <is>
          <t>US SL Cooling Pillowcase</t>
        </is>
      </c>
      <c r="B1274" s="54" t="inlineStr">
        <is>
          <t>US</t>
        </is>
      </c>
      <c r="C1274" s="54" t="inlineStr">
        <is>
          <t>B0F7LKSFGB</t>
        </is>
      </c>
      <c r="D1274" s="54" t="inlineStr">
        <is>
          <t>SL-CLG-PC-DARK-GREY-KING-2PCS</t>
        </is>
      </c>
      <c r="E1274" s="54" t="inlineStr">
        <is>
          <t>King</t>
        </is>
      </c>
      <c r="F1274" s="54" t="inlineStr">
        <is>
          <t>Dark Grey</t>
        </is>
      </c>
      <c r="G1274" s="55" t="n">
        <v>0</v>
      </c>
      <c r="H1274" s="55" t="n">
        <v>308</v>
      </c>
      <c r="I1274" s="56" t="inlineStr">
        <is>
          <t>FBA19R4G23HZ shipped: 196; FBA19NP2BSG0 in transit: 112</t>
        </is>
      </c>
      <c r="J1274" s="57" t="n">
        <v>0.03</v>
      </c>
      <c r="K1274" s="56" t="inlineStr">
        <is>
          <t>account data velocity</t>
        </is>
      </c>
      <c r="L1274" s="58" t="n">
        <v>2.7396</v>
      </c>
      <c r="M1274" s="56" t="inlineStr">
        <is>
          <t>ASSUMED: account BFCM 2025 lift (US); product's own 2025 lift not reliable</t>
        </is>
      </c>
      <c r="N1274" s="59">
        <f>J1274*34+J1274*L1274*12</f>
        <v/>
      </c>
      <c r="O1274" s="59">
        <f>MAX(0,N1274-G1274-H1274)</f>
        <v/>
      </c>
      <c r="P1274" s="60">
        <f>IF(J1274=0,"",IF(G1274&lt;J1274*34,DATE(2026,10,15)+G1274/J1274,IF(G1274&lt;N1274,DATE(2026,11,18)+(G1274-J1274*34)/(J1274*L1274),"after Nov 30")))</f>
        <v/>
      </c>
      <c r="Q1274" s="60">
        <f>IF(J1274=0,"",IF(G1274+H1274&lt;J1274*34,DATE(2026,10,15)+(G1274+H1274)/J1274,IF(G1274+H1274&lt;N1274,DATE(2026,11,18)+(G1274+H1274-J1274*34)/(J1274*L1274),"after Nov 30")))</f>
        <v/>
      </c>
      <c r="R1274" s="54">
        <f>IF(AND(G1274&lt;=0,J1274&gt;0),"Out of stock now",IF(G1274&gt;=N1274,"Covered to Nov 30",IF(G1274+H1274&gt;=N1274,"Needs inbound in time","Short even with inbound")))</f>
        <v/>
      </c>
      <c r="S1274" s="57" t="n">
        <v>0.036</v>
      </c>
      <c r="T1274" s="59">
        <f>IF(S1274="","",S1274*34+S1274*L1274*12)</f>
        <v/>
      </c>
    </row>
    <row r="1275">
      <c r="A1275" s="54" t="inlineStr">
        <is>
          <t>US SL Cooling Pillowcase</t>
        </is>
      </c>
      <c r="B1275" s="54" t="inlineStr">
        <is>
          <t>US</t>
        </is>
      </c>
      <c r="C1275" s="54" t="inlineStr">
        <is>
          <t>B0F7LLBQH3</t>
        </is>
      </c>
      <c r="D1275" s="54" t="inlineStr">
        <is>
          <t>SL-CLG-PC-WHITE-KING-2PCS</t>
        </is>
      </c>
      <c r="E1275" s="54" t="inlineStr">
        <is>
          <t>King</t>
        </is>
      </c>
      <c r="F1275" s="54" t="inlineStr">
        <is>
          <t>White</t>
        </is>
      </c>
      <c r="G1275" s="55" t="n">
        <v>0</v>
      </c>
      <c r="H1275" s="55" t="n">
        <v>84</v>
      </c>
      <c r="I1275" s="56" t="inlineStr">
        <is>
          <t>FBA19NP2BSG0 in transit: 84</t>
        </is>
      </c>
      <c r="J1275" s="57" t="n">
        <v>0</v>
      </c>
      <c r="K1275" s="56" t="inlineStr">
        <is>
          <t>account data velocity</t>
        </is>
      </c>
      <c r="L1275" s="58" t="n">
        <v>2.7396</v>
      </c>
      <c r="M1275" s="56" t="inlineStr">
        <is>
          <t>ASSUMED: account BFCM 2025 lift (US); product's own 2025 lift not reliable</t>
        </is>
      </c>
      <c r="N1275" s="59">
        <f>J1275*34+J1275*L1275*12</f>
        <v/>
      </c>
      <c r="O1275" s="59">
        <f>MAX(0,N1275-G1275-H1275)</f>
        <v/>
      </c>
      <c r="P1275" s="60">
        <f>IF(J1275=0,"",IF(G1275&lt;J1275*34,DATE(2026,10,15)+G1275/J1275,IF(G1275&lt;N1275,DATE(2026,11,18)+(G1275-J1275*34)/(J1275*L1275),"after Nov 30")))</f>
        <v/>
      </c>
      <c r="Q1275" s="60">
        <f>IF(J1275=0,"",IF(G1275+H1275&lt;J1275*34,DATE(2026,10,15)+(G1275+H1275)/J1275,IF(G1275+H1275&lt;N1275,DATE(2026,11,18)+(G1275+H1275-J1275*34)/(J1275*L1275),"after Nov 30")))</f>
        <v/>
      </c>
      <c r="R1275" s="54">
        <f>IF(AND(G1275&lt;=0,J1275&gt;0),"Out of stock now",IF(G1275&gt;=N1275,"Covered to Nov 30",IF(G1275+H1275&gt;=N1275,"Needs inbound in time","Short even with inbound")))</f>
        <v/>
      </c>
      <c r="S1275" s="57" t="n"/>
      <c r="T1275" s="59">
        <f>IF(S1275="","",S1275*34+S1275*L1275*12)</f>
        <v/>
      </c>
    </row>
    <row r="1276">
      <c r="A1276" s="54" t="inlineStr">
        <is>
          <t>US SL Cooling Pillowcase</t>
        </is>
      </c>
      <c r="B1276" s="54" t="inlineStr">
        <is>
          <t>US</t>
        </is>
      </c>
      <c r="C1276" s="54" t="inlineStr">
        <is>
          <t>B0F7LJRWB6</t>
        </is>
      </c>
      <c r="D1276" s="54" t="inlineStr">
        <is>
          <t>SL-CLG-PC-LIGHT-GREY-QUEEN-2PCS</t>
        </is>
      </c>
      <c r="E1276" s="54" t="inlineStr">
        <is>
          <t>Queen</t>
        </is>
      </c>
      <c r="F1276" s="54" t="inlineStr">
        <is>
          <t>Light Grey</t>
        </is>
      </c>
      <c r="G1276" s="55" t="n">
        <v>0</v>
      </c>
      <c r="H1276" s="55" t="n">
        <v>160</v>
      </c>
      <c r="I1276" s="56" t="inlineStr">
        <is>
          <t>FBA19R4G23HZ shipped: 96; FBA19NP2BSG0 in transit: 64</t>
        </is>
      </c>
      <c r="J1276" s="57" t="n">
        <v>0</v>
      </c>
      <c r="K1276" s="56" t="inlineStr">
        <is>
          <t>account data velocity</t>
        </is>
      </c>
      <c r="L1276" s="58" t="n">
        <v>2.7396</v>
      </c>
      <c r="M1276" s="56" t="inlineStr">
        <is>
          <t>ASSUMED: account BFCM 2025 lift (US); product's own 2025 lift not reliable</t>
        </is>
      </c>
      <c r="N1276" s="59">
        <f>J1276*34+J1276*L1276*12</f>
        <v/>
      </c>
      <c r="O1276" s="59">
        <f>MAX(0,N1276-G1276-H1276)</f>
        <v/>
      </c>
      <c r="P1276" s="60">
        <f>IF(J1276=0,"",IF(G1276&lt;J1276*34,DATE(2026,10,15)+G1276/J1276,IF(G1276&lt;N1276,DATE(2026,11,18)+(G1276-J1276*34)/(J1276*L1276),"after Nov 30")))</f>
        <v/>
      </c>
      <c r="Q1276" s="60">
        <f>IF(J1276=0,"",IF(G1276+H1276&lt;J1276*34,DATE(2026,10,15)+(G1276+H1276)/J1276,IF(G1276+H1276&lt;N1276,DATE(2026,11,18)+(G1276+H1276-J1276*34)/(J1276*L1276),"after Nov 30")))</f>
        <v/>
      </c>
      <c r="R1276" s="54">
        <f>IF(AND(G1276&lt;=0,J1276&gt;0),"Out of stock now",IF(G1276&gt;=N1276,"Covered to Nov 30",IF(G1276+H1276&gt;=N1276,"Needs inbound in time","Short even with inbound")))</f>
        <v/>
      </c>
      <c r="S1276" s="57" t="n"/>
      <c r="T1276" s="59">
        <f>IF(S1276="","",S1276*34+S1276*L1276*12)</f>
        <v/>
      </c>
    </row>
    <row r="1277">
      <c r="A1277" s="54" t="inlineStr">
        <is>
          <t>US SL Cooling Pillowcase</t>
        </is>
      </c>
      <c r="B1277" s="54" t="inlineStr">
        <is>
          <t>US</t>
        </is>
      </c>
      <c r="C1277" s="54" t="inlineStr">
        <is>
          <t>B0F7LLM71K</t>
        </is>
      </c>
      <c r="D1277" s="54" t="inlineStr">
        <is>
          <t>SL-CLG-PC-LIGHT-GREY-STANDARD-2PCS</t>
        </is>
      </c>
      <c r="E1277" s="54" t="inlineStr">
        <is>
          <t>Standard</t>
        </is>
      </c>
      <c r="F1277" s="54" t="inlineStr">
        <is>
          <t>Light Grey</t>
        </is>
      </c>
      <c r="G1277" s="55" t="n">
        <v>0</v>
      </c>
      <c r="H1277" s="55" t="n">
        <v>192</v>
      </c>
      <c r="I1277" s="56" t="inlineStr">
        <is>
          <t>FBA19R4G23HZ shipped: 160; FBA19NP2BSG0 in transit: 32</t>
        </is>
      </c>
      <c r="J1277" s="57" t="n">
        <v>0</v>
      </c>
      <c r="K1277" s="56" t="inlineStr">
        <is>
          <t>account data velocity</t>
        </is>
      </c>
      <c r="L1277" s="58" t="n">
        <v>2.7396</v>
      </c>
      <c r="M1277" s="56" t="inlineStr">
        <is>
          <t>ASSUMED: account BFCM 2025 lift (US); product's own 2025 lift not reliable</t>
        </is>
      </c>
      <c r="N1277" s="59">
        <f>J1277*34+J1277*L1277*12</f>
        <v/>
      </c>
      <c r="O1277" s="59">
        <f>MAX(0,N1277-G1277-H1277)</f>
        <v/>
      </c>
      <c r="P1277" s="60">
        <f>IF(J1277=0,"",IF(G1277&lt;J1277*34,DATE(2026,10,15)+G1277/J1277,IF(G1277&lt;N1277,DATE(2026,11,18)+(G1277-J1277*34)/(J1277*L1277),"after Nov 30")))</f>
        <v/>
      </c>
      <c r="Q1277" s="60">
        <f>IF(J1277=0,"",IF(G1277+H1277&lt;J1277*34,DATE(2026,10,15)+(G1277+H1277)/J1277,IF(G1277+H1277&lt;N1277,DATE(2026,11,18)+(G1277+H1277-J1277*34)/(J1277*L1277),"after Nov 30")))</f>
        <v/>
      </c>
      <c r="R1277" s="54">
        <f>IF(AND(G1277&lt;=0,J1277&gt;0),"Out of stock now",IF(G1277&gt;=N1277,"Covered to Nov 30",IF(G1277+H1277&gt;=N1277,"Needs inbound in time","Short even with inbound")))</f>
        <v/>
      </c>
      <c r="S1277" s="57" t="n"/>
      <c r="T1277" s="59">
        <f>IF(S1277="","",S1277*34+S1277*L1277*12)</f>
        <v/>
      </c>
    </row>
    <row r="1278">
      <c r="A1278" s="54" t="inlineStr">
        <is>
          <t>US SL Cooling Pillowcase</t>
        </is>
      </c>
      <c r="B1278" s="54" t="inlineStr">
        <is>
          <t>US</t>
        </is>
      </c>
      <c r="C1278" s="54" t="inlineStr">
        <is>
          <t>B0F7LMGHFP</t>
        </is>
      </c>
      <c r="D1278" s="54" t="inlineStr">
        <is>
          <t>SL-CLG-PC-WHITE-STANDARD-2PCS</t>
        </is>
      </c>
      <c r="E1278" s="54" t="inlineStr">
        <is>
          <t>Standard</t>
        </is>
      </c>
      <c r="F1278" s="54" t="inlineStr">
        <is>
          <t>White</t>
        </is>
      </c>
      <c r="G1278" s="55" t="n">
        <v>0</v>
      </c>
      <c r="H1278" s="55" t="n">
        <v>64</v>
      </c>
      <c r="I1278" s="56" t="inlineStr">
        <is>
          <t>FBA19R4G23HZ shipped: 64</t>
        </is>
      </c>
      <c r="J1278" s="57" t="n">
        <v>0</v>
      </c>
      <c r="K1278" s="56" t="inlineStr">
        <is>
          <t>account data velocity</t>
        </is>
      </c>
      <c r="L1278" s="58" t="n">
        <v>2.7396</v>
      </c>
      <c r="M1278" s="56" t="inlineStr">
        <is>
          <t>ASSUMED: account BFCM 2025 lift (US); product's own 2025 lift not reliable</t>
        </is>
      </c>
      <c r="N1278" s="59">
        <f>J1278*34+J1278*L1278*12</f>
        <v/>
      </c>
      <c r="O1278" s="59">
        <f>MAX(0,N1278-G1278-H1278)</f>
        <v/>
      </c>
      <c r="P1278" s="60">
        <f>IF(J1278=0,"",IF(G1278&lt;J1278*34,DATE(2026,10,15)+G1278/J1278,IF(G1278&lt;N1278,DATE(2026,11,18)+(G1278-J1278*34)/(J1278*L1278),"after Nov 30")))</f>
        <v/>
      </c>
      <c r="Q1278" s="60">
        <f>IF(J1278=0,"",IF(G1278+H1278&lt;J1278*34,DATE(2026,10,15)+(G1278+H1278)/J1278,IF(G1278+H1278&lt;N1278,DATE(2026,11,18)+(G1278+H1278-J1278*34)/(J1278*L1278),"after Nov 30")))</f>
        <v/>
      </c>
      <c r="R1278" s="54">
        <f>IF(AND(G1278&lt;=0,J1278&gt;0),"Out of stock now",IF(G1278&gt;=N1278,"Covered to Nov 30",IF(G1278+H1278&gt;=N1278,"Needs inbound in time","Short even with inbound")))</f>
        <v/>
      </c>
      <c r="S1278" s="57" t="n"/>
      <c r="T1278" s="59">
        <f>IF(S1278="","",S1278*34+S1278*L1278*12)</f>
        <v/>
      </c>
    </row>
    <row r="1279">
      <c r="A1279" s="54" t="inlineStr">
        <is>
          <t>US SL Cooling Comforter</t>
        </is>
      </c>
      <c r="B1279" s="54" t="inlineStr">
        <is>
          <t>US</t>
        </is>
      </c>
      <c r="C1279" s="54" t="inlineStr">
        <is>
          <t>B0GHSG5G12</t>
        </is>
      </c>
      <c r="D1279" s="54" t="inlineStr">
        <is>
          <t>SL-CLG-COMF-LIGHT-GREY/DARK-GREY-FULL</t>
        </is>
      </c>
      <c r="E1279" s="54" t="inlineStr">
        <is>
          <t>Full</t>
        </is>
      </c>
      <c r="F1279" s="54" t="inlineStr">
        <is>
          <t>Light Grey &amp; Dark Grey</t>
        </is>
      </c>
      <c r="G1279" s="55" t="n">
        <v>13</v>
      </c>
      <c r="H1279" s="55" t="n">
        <v>0</v>
      </c>
      <c r="I1279" s="56" t="n"/>
      <c r="J1279" s="57" t="n">
        <v>1.13</v>
      </c>
      <c r="K1279" s="56" t="inlineStr">
        <is>
          <t>account data velocity</t>
        </is>
      </c>
      <c r="L1279" s="58" t="n">
        <v>3.3938</v>
      </c>
      <c r="M1279" s="56" t="inlineStr">
        <is>
          <t>own BFCM 2025 lift (account data)</t>
        </is>
      </c>
      <c r="N1279" s="59">
        <f>J1279*34+J1279*L1279*12</f>
        <v/>
      </c>
      <c r="O1279" s="59">
        <f>MAX(0,N1279-G1279-H1279)</f>
        <v/>
      </c>
      <c r="P1279" s="60">
        <f>IF(J1279=0,"",IF(G1279&lt;J1279*34,DATE(2026,10,15)+G1279/J1279,IF(G1279&lt;N1279,DATE(2026,11,18)+(G1279-J1279*34)/(J1279*L1279),"after Nov 30")))</f>
        <v/>
      </c>
      <c r="Q1279" s="60">
        <f>IF(J1279=0,"",IF(G1279+H1279&lt;J1279*34,DATE(2026,10,15)+(G1279+H1279)/J1279,IF(G1279+H1279&lt;N1279,DATE(2026,11,18)+(G1279+H1279-J1279*34)/(J1279*L1279),"after Nov 30")))</f>
        <v/>
      </c>
      <c r="R1279" s="54">
        <f>IF(AND(G1279&lt;=0,J1279&gt;0),"Out of stock now",IF(G1279&gt;=N1279,"Covered to Nov 30",IF(G1279+H1279&gt;=N1279,"Needs inbound in time","Short even with inbound")))</f>
        <v/>
      </c>
      <c r="S1279" s="57" t="n">
        <v>0.179</v>
      </c>
      <c r="T1279" s="59">
        <f>IF(S1279="","",S1279*34+S1279*L1279*12)</f>
        <v/>
      </c>
    </row>
    <row r="1280">
      <c r="A1280" s="54" t="inlineStr">
        <is>
          <t>US SL Cooling Comforter</t>
        </is>
      </c>
      <c r="B1280" s="54" t="inlineStr">
        <is>
          <t>US</t>
        </is>
      </c>
      <c r="C1280" s="54" t="inlineStr">
        <is>
          <t>B0F7M4Q2HQ</t>
        </is>
      </c>
      <c r="D1280" s="54" t="inlineStr">
        <is>
          <t>SL-CLG-COMF-LIGHT-GREY/DARK-GREY-KING</t>
        </is>
      </c>
      <c r="E1280" s="54" t="inlineStr">
        <is>
          <t>King</t>
        </is>
      </c>
      <c r="F1280" s="54" t="inlineStr">
        <is>
          <t>Light Grey &amp; Dark Grey</t>
        </is>
      </c>
      <c r="G1280" s="55" t="n">
        <v>0</v>
      </c>
      <c r="H1280" s="55" t="n">
        <v>0</v>
      </c>
      <c r="I1280" s="56" t="n"/>
      <c r="J1280" s="57" t="n">
        <v>0.86</v>
      </c>
      <c r="K1280" s="56" t="inlineStr">
        <is>
          <t>account data velocity</t>
        </is>
      </c>
      <c r="L1280" s="58" t="n">
        <v>3.3938</v>
      </c>
      <c r="M1280" s="56" t="inlineStr">
        <is>
          <t>own BFCM 2025 lift (account data)</t>
        </is>
      </c>
      <c r="N1280" s="59">
        <f>J1280*34+J1280*L1280*12</f>
        <v/>
      </c>
      <c r="O1280" s="59">
        <f>MAX(0,N1280-G1280-H1280)</f>
        <v/>
      </c>
      <c r="P1280" s="60">
        <f>IF(J1280=0,"",IF(G1280&lt;J1280*34,DATE(2026,10,15)+G1280/J1280,IF(G1280&lt;N1280,DATE(2026,11,18)+(G1280-J1280*34)/(J1280*L1280),"after Nov 30")))</f>
        <v/>
      </c>
      <c r="Q1280" s="60">
        <f>IF(J1280=0,"",IF(G1280+H1280&lt;J1280*34,DATE(2026,10,15)+(G1280+H1280)/J1280,IF(G1280+H1280&lt;N1280,DATE(2026,11,18)+(G1280+H1280-J1280*34)/(J1280*L1280),"after Nov 30")))</f>
        <v/>
      </c>
      <c r="R1280" s="54">
        <f>IF(AND(G1280&lt;=0,J1280&gt;0),"Out of stock now",IF(G1280&gt;=N1280,"Covered to Nov 30",IF(G1280+H1280&gt;=N1280,"Needs inbound in time","Short even with inbound")))</f>
        <v/>
      </c>
      <c r="S1280" s="57" t="n">
        <v>1.214</v>
      </c>
      <c r="T1280" s="59">
        <f>IF(S1280="","",S1280*34+S1280*L1280*12)</f>
        <v/>
      </c>
    </row>
    <row r="1281">
      <c r="A1281" s="54" t="inlineStr">
        <is>
          <t>US SL Cooling Comforter</t>
        </is>
      </c>
      <c r="B1281" s="54" t="inlineStr">
        <is>
          <t>US</t>
        </is>
      </c>
      <c r="C1281" s="54" t="inlineStr">
        <is>
          <t>B0F7M5T8FH</t>
        </is>
      </c>
      <c r="D1281" s="54" t="inlineStr">
        <is>
          <t>SL-CLG-COMF-LIGHT-GREY/DARK-GREY-QUEEN</t>
        </is>
      </c>
      <c r="E1281" s="54" t="inlineStr">
        <is>
          <t>Queen</t>
        </is>
      </c>
      <c r="F1281" s="54" t="inlineStr">
        <is>
          <t>Light Grey &amp; Dark Grey</t>
        </is>
      </c>
      <c r="G1281" s="55" t="n">
        <v>533</v>
      </c>
      <c r="H1281" s="55" t="n">
        <v>133</v>
      </c>
      <c r="I1281" s="56" t="inlineStr">
        <is>
          <t>FBA19STZ9LHZ ready to ship: 28; FBA19STRJMC3 ready to ship: 24; FBA19SV47PX1 ready to ship: 20; FBA19SV1CLVT ready to ship: 20; FBA19STYQSF4 ready to ship: 12; FBA19KFX24C6 delivered: 28; FBA19L31XWPR receiving: 1</t>
        </is>
      </c>
      <c r="J1281" s="57" t="n">
        <v>0.48</v>
      </c>
      <c r="K1281" s="56" t="inlineStr">
        <is>
          <t>account data velocity</t>
        </is>
      </c>
      <c r="L1281" s="58" t="n">
        <v>3.3938</v>
      </c>
      <c r="M1281" s="56" t="inlineStr">
        <is>
          <t>own BFCM 2025 lift (account data)</t>
        </is>
      </c>
      <c r="N1281" s="59">
        <f>J1281*34+J1281*L1281*12</f>
        <v/>
      </c>
      <c r="O1281" s="59">
        <f>MAX(0,N1281-G1281-H1281)</f>
        <v/>
      </c>
      <c r="P1281" s="60">
        <f>IF(J1281=0,"",IF(G1281&lt;J1281*34,DATE(2026,10,15)+G1281/J1281,IF(G1281&lt;N1281,DATE(2026,11,18)+(G1281-J1281*34)/(J1281*L1281),"after Nov 30")))</f>
        <v/>
      </c>
      <c r="Q1281" s="60">
        <f>IF(J1281=0,"",IF(G1281+H1281&lt;J1281*34,DATE(2026,10,15)+(G1281+H1281)/J1281,IF(G1281+H1281&lt;N1281,DATE(2026,11,18)+(G1281+H1281-J1281*34)/(J1281*L1281),"after Nov 30")))</f>
        <v/>
      </c>
      <c r="R1281" s="54">
        <f>IF(AND(G1281&lt;=0,J1281&gt;0),"Out of stock now",IF(G1281&gt;=N1281,"Covered to Nov 30",IF(G1281+H1281&gt;=N1281,"Needs inbound in time","Short even with inbound")))</f>
        <v/>
      </c>
      <c r="S1281" s="57" t="n">
        <v>0.429</v>
      </c>
      <c r="T1281" s="59">
        <f>IF(S1281="","",S1281*34+S1281*L1281*12)</f>
        <v/>
      </c>
    </row>
    <row r="1282">
      <c r="A1282" s="54" t="inlineStr">
        <is>
          <t>US SL Cooling Comforter</t>
        </is>
      </c>
      <c r="B1282" s="54" t="inlineStr">
        <is>
          <t>US</t>
        </is>
      </c>
      <c r="C1282" s="54" t="inlineStr">
        <is>
          <t>B0F7M5L5Q9</t>
        </is>
      </c>
      <c r="D1282" s="54" t="inlineStr">
        <is>
          <t>SL-CLG-COMF-PINK/BEIGE-KING</t>
        </is>
      </c>
      <c r="E1282" s="54" t="inlineStr">
        <is>
          <t>King</t>
        </is>
      </c>
      <c r="F1282" s="54" t="inlineStr">
        <is>
          <t>Pink &amp; Beige</t>
        </is>
      </c>
      <c r="G1282" s="55" t="n">
        <v>24</v>
      </c>
      <c r="H1282" s="55" t="n">
        <v>81</v>
      </c>
      <c r="I1282" s="56" t="inlineStr">
        <is>
          <t>FBA19STZ9LHZ ready to ship: 18; FBA19STRJMC3 ready to ship: 9; FBA19SV47PX1 ready to ship: 24; FBA19SV1CLVT ready to ship: 21; FBA19STYQSF4 ready to ship: 9</t>
        </is>
      </c>
      <c r="J1282" s="57" t="n">
        <v>0.28</v>
      </c>
      <c r="K1282" s="56" t="inlineStr">
        <is>
          <t>account data velocity</t>
        </is>
      </c>
      <c r="L1282" s="58" t="n">
        <v>3.3938</v>
      </c>
      <c r="M1282" s="56" t="inlineStr">
        <is>
          <t>own BFCM 2025 lift (account data)</t>
        </is>
      </c>
      <c r="N1282" s="59">
        <f>J1282*34+J1282*L1282*12</f>
        <v/>
      </c>
      <c r="O1282" s="59">
        <f>MAX(0,N1282-G1282-H1282)</f>
        <v/>
      </c>
      <c r="P1282" s="60">
        <f>IF(J1282=0,"",IF(G1282&lt;J1282*34,DATE(2026,10,15)+G1282/J1282,IF(G1282&lt;N1282,DATE(2026,11,18)+(G1282-J1282*34)/(J1282*L1282),"after Nov 30")))</f>
        <v/>
      </c>
      <c r="Q1282" s="60">
        <f>IF(J1282=0,"",IF(G1282+H1282&lt;J1282*34,DATE(2026,10,15)+(G1282+H1282)/J1282,IF(G1282+H1282&lt;N1282,DATE(2026,11,18)+(G1282+H1282-J1282*34)/(J1282*L1282),"after Nov 30")))</f>
        <v/>
      </c>
      <c r="R1282" s="54">
        <f>IF(AND(G1282&lt;=0,J1282&gt;0),"Out of stock now",IF(G1282&gt;=N1282,"Covered to Nov 30",IF(G1282+H1282&gt;=N1282,"Needs inbound in time","Short even with inbound")))</f>
        <v/>
      </c>
      <c r="S1282" s="57" t="n">
        <v>0.036</v>
      </c>
      <c r="T1282" s="59">
        <f>IF(S1282="","",S1282*34+S1282*L1282*12)</f>
        <v/>
      </c>
    </row>
    <row r="1283">
      <c r="A1283" s="54" t="inlineStr">
        <is>
          <t>US SL Cooling Comforter</t>
        </is>
      </c>
      <c r="B1283" s="54" t="inlineStr">
        <is>
          <t>US</t>
        </is>
      </c>
      <c r="C1283" s="54" t="inlineStr">
        <is>
          <t>B0F7M4N52F</t>
        </is>
      </c>
      <c r="D1283" s="54" t="inlineStr">
        <is>
          <t>SL-CLG-COMF-LIGHT-GREY/DARK-GREY-TWIN</t>
        </is>
      </c>
      <c r="E1283" s="54" t="inlineStr">
        <is>
          <t>Twin</t>
        </is>
      </c>
      <c r="F1283" s="54" t="inlineStr">
        <is>
          <t>Light Grey &amp; Dark Grey</t>
        </is>
      </c>
      <c r="G1283" s="55" t="n">
        <v>16</v>
      </c>
      <c r="H1283" s="55" t="n">
        <v>0</v>
      </c>
      <c r="I1283" s="56" t="n"/>
      <c r="J1283" s="57" t="n">
        <v>0.25</v>
      </c>
      <c r="K1283" s="56" t="inlineStr">
        <is>
          <t>account data velocity</t>
        </is>
      </c>
      <c r="L1283" s="58" t="n">
        <v>3.3938</v>
      </c>
      <c r="M1283" s="56" t="inlineStr">
        <is>
          <t>own BFCM 2025 lift (account data)</t>
        </is>
      </c>
      <c r="N1283" s="59">
        <f>J1283*34+J1283*L1283*12</f>
        <v/>
      </c>
      <c r="O1283" s="59">
        <f>MAX(0,N1283-G1283-H1283)</f>
        <v/>
      </c>
      <c r="P1283" s="60">
        <f>IF(J1283=0,"",IF(G1283&lt;J1283*34,DATE(2026,10,15)+G1283/J1283,IF(G1283&lt;N1283,DATE(2026,11,18)+(G1283-J1283*34)/(J1283*L1283),"after Nov 30")))</f>
        <v/>
      </c>
      <c r="Q1283" s="60">
        <f>IF(J1283=0,"",IF(G1283+H1283&lt;J1283*34,DATE(2026,10,15)+(G1283+H1283)/J1283,IF(G1283+H1283&lt;N1283,DATE(2026,11,18)+(G1283+H1283-J1283*34)/(J1283*L1283),"after Nov 30")))</f>
        <v/>
      </c>
      <c r="R1283" s="54">
        <f>IF(AND(G1283&lt;=0,J1283&gt;0),"Out of stock now",IF(G1283&gt;=N1283,"Covered to Nov 30",IF(G1283+H1283&gt;=N1283,"Needs inbound in time","Short even with inbound")))</f>
        <v/>
      </c>
      <c r="S1283" s="57" t="n">
        <v>0.07099999999999999</v>
      </c>
      <c r="T1283" s="59">
        <f>IF(S1283="","",S1283*34+S1283*L1283*12)</f>
        <v/>
      </c>
    </row>
    <row r="1284">
      <c r="A1284" s="54" t="inlineStr">
        <is>
          <t>US SL Cooling Comforter</t>
        </is>
      </c>
      <c r="B1284" s="54" t="inlineStr">
        <is>
          <t>US</t>
        </is>
      </c>
      <c r="C1284" s="54" t="inlineStr">
        <is>
          <t>B0F7M4CNFT</t>
        </is>
      </c>
      <c r="D1284" s="54" t="inlineStr">
        <is>
          <t>SL-CLG-COMF-BLUE/DARK-GREY-TWIN</t>
        </is>
      </c>
      <c r="E1284" s="54" t="inlineStr">
        <is>
          <t>Twin</t>
        </is>
      </c>
      <c r="F1284" s="54" t="inlineStr">
        <is>
          <t>Blue &amp; Dark Grey</t>
        </is>
      </c>
      <c r="G1284" s="55" t="n">
        <v>7</v>
      </c>
      <c r="H1284" s="55" t="n">
        <v>0</v>
      </c>
      <c r="I1284" s="56" t="n"/>
      <c r="J1284" s="57" t="n">
        <v>0.22</v>
      </c>
      <c r="K1284" s="56" t="inlineStr">
        <is>
          <t>account data velocity</t>
        </is>
      </c>
      <c r="L1284" s="58" t="n">
        <v>3.3938</v>
      </c>
      <c r="M1284" s="56" t="inlineStr">
        <is>
          <t>own BFCM 2025 lift (account data)</t>
        </is>
      </c>
      <c r="N1284" s="59">
        <f>J1284*34+J1284*L1284*12</f>
        <v/>
      </c>
      <c r="O1284" s="59">
        <f>MAX(0,N1284-G1284-H1284)</f>
        <v/>
      </c>
      <c r="P1284" s="60">
        <f>IF(J1284=0,"",IF(G1284&lt;J1284*34,DATE(2026,10,15)+G1284/J1284,IF(G1284&lt;N1284,DATE(2026,11,18)+(G1284-J1284*34)/(J1284*L1284),"after Nov 30")))</f>
        <v/>
      </c>
      <c r="Q1284" s="60">
        <f>IF(J1284=0,"",IF(G1284+H1284&lt;J1284*34,DATE(2026,10,15)+(G1284+H1284)/J1284,IF(G1284+H1284&lt;N1284,DATE(2026,11,18)+(G1284+H1284-J1284*34)/(J1284*L1284),"after Nov 30")))</f>
        <v/>
      </c>
      <c r="R1284" s="54">
        <f>IF(AND(G1284&lt;=0,J1284&gt;0),"Out of stock now",IF(G1284&gt;=N1284,"Covered to Nov 30",IF(G1284+H1284&gt;=N1284,"Needs inbound in time","Short even with inbound")))</f>
        <v/>
      </c>
      <c r="S1284" s="57" t="n">
        <v>0.036</v>
      </c>
      <c r="T1284" s="59">
        <f>IF(S1284="","",S1284*34+S1284*L1284*12)</f>
        <v/>
      </c>
    </row>
    <row r="1285">
      <c r="A1285" s="54" t="inlineStr">
        <is>
          <t>US SL Cooling Comforter</t>
        </is>
      </c>
      <c r="B1285" s="54" t="inlineStr">
        <is>
          <t>US</t>
        </is>
      </c>
      <c r="C1285" s="54" t="inlineStr">
        <is>
          <t>B0F7M56896</t>
        </is>
      </c>
      <c r="D1285" s="54" t="inlineStr">
        <is>
          <t>SL-CLG-COMF-BLUE/DARK-GREY-QUEEN</t>
        </is>
      </c>
      <c r="E1285" s="54" t="inlineStr">
        <is>
          <t>Queen</t>
        </is>
      </c>
      <c r="F1285" s="54" t="inlineStr">
        <is>
          <t>Blue &amp; Dark Grey</t>
        </is>
      </c>
      <c r="G1285" s="55" t="n">
        <v>15</v>
      </c>
      <c r="H1285" s="55" t="n">
        <v>100</v>
      </c>
      <c r="I1285" s="56" t="inlineStr">
        <is>
          <t>FBA19STZ9LHZ ready to ship: 24; FBA19STRJMC3 ready to ship: 20; FBA19SV47PX1 ready to ship: 24; FBA19SV1CLVT ready to ship: 20; FBA19STYQSF4 ready to ship: 12</t>
        </is>
      </c>
      <c r="J1285" s="57" t="n">
        <v>0.17</v>
      </c>
      <c r="K1285" s="56" t="inlineStr">
        <is>
          <t>account data velocity</t>
        </is>
      </c>
      <c r="L1285" s="58" t="n">
        <v>3.3938</v>
      </c>
      <c r="M1285" s="56" t="inlineStr">
        <is>
          <t>own BFCM 2025 lift (account data)</t>
        </is>
      </c>
      <c r="N1285" s="59">
        <f>J1285*34+J1285*L1285*12</f>
        <v/>
      </c>
      <c r="O1285" s="59">
        <f>MAX(0,N1285-G1285-H1285)</f>
        <v/>
      </c>
      <c r="P1285" s="60">
        <f>IF(J1285=0,"",IF(G1285&lt;J1285*34,DATE(2026,10,15)+G1285/J1285,IF(G1285&lt;N1285,DATE(2026,11,18)+(G1285-J1285*34)/(J1285*L1285),"after Nov 30")))</f>
        <v/>
      </c>
      <c r="Q1285" s="60">
        <f>IF(J1285=0,"",IF(G1285+H1285&lt;J1285*34,DATE(2026,10,15)+(G1285+H1285)/J1285,IF(G1285+H1285&lt;N1285,DATE(2026,11,18)+(G1285+H1285-J1285*34)/(J1285*L1285),"after Nov 30")))</f>
        <v/>
      </c>
      <c r="R1285" s="54">
        <f>IF(AND(G1285&lt;=0,J1285&gt;0),"Out of stock now",IF(G1285&gt;=N1285,"Covered to Nov 30",IF(G1285+H1285&gt;=N1285,"Needs inbound in time","Short even with inbound")))</f>
        <v/>
      </c>
      <c r="S1285" s="57" t="n">
        <v>0.179</v>
      </c>
      <c r="T1285" s="59">
        <f>IF(S1285="","",S1285*34+S1285*L1285*12)</f>
        <v/>
      </c>
    </row>
    <row r="1286">
      <c r="A1286" s="54" t="inlineStr">
        <is>
          <t>US SL Cooling Comforter</t>
        </is>
      </c>
      <c r="B1286" s="54" t="inlineStr">
        <is>
          <t>US</t>
        </is>
      </c>
      <c r="C1286" s="54" t="inlineStr">
        <is>
          <t>B0F7M5KWRR</t>
        </is>
      </c>
      <c r="D1286" s="54" t="inlineStr">
        <is>
          <t>SL-CLG-COMF-PINK/BEIGE-QUEEN</t>
        </is>
      </c>
      <c r="E1286" s="54" t="inlineStr">
        <is>
          <t>Queen</t>
        </is>
      </c>
      <c r="F1286" s="54" t="inlineStr">
        <is>
          <t>Pink &amp; Beige</t>
        </is>
      </c>
      <c r="G1286" s="55" t="n">
        <v>23</v>
      </c>
      <c r="H1286" s="55" t="n">
        <v>80</v>
      </c>
      <c r="I1286" s="56" t="inlineStr">
        <is>
          <t>FBA19STZ9LHZ ready to ship: 16; FBA19STRJMC3 ready to ship: 12; FBA19SV47PX1 ready to ship: 28; FBA19SV1CLVT ready to ship: 16; FBA19STYQSF4 ready to ship: 8</t>
        </is>
      </c>
      <c r="J1286" s="57" t="n">
        <v>0.11</v>
      </c>
      <c r="K1286" s="56" t="inlineStr">
        <is>
          <t>account data velocity</t>
        </is>
      </c>
      <c r="L1286" s="58" t="n">
        <v>3.3938</v>
      </c>
      <c r="M1286" s="56" t="inlineStr">
        <is>
          <t>own BFCM 2025 lift (account data)</t>
        </is>
      </c>
      <c r="N1286" s="59">
        <f>J1286*34+J1286*L1286*12</f>
        <v/>
      </c>
      <c r="O1286" s="59">
        <f>MAX(0,N1286-G1286-H1286)</f>
        <v/>
      </c>
      <c r="P1286" s="60">
        <f>IF(J1286=0,"",IF(G1286&lt;J1286*34,DATE(2026,10,15)+G1286/J1286,IF(G1286&lt;N1286,DATE(2026,11,18)+(G1286-J1286*34)/(J1286*L1286),"after Nov 30")))</f>
        <v/>
      </c>
      <c r="Q1286" s="60">
        <f>IF(J1286=0,"",IF(G1286+H1286&lt;J1286*34,DATE(2026,10,15)+(G1286+H1286)/J1286,IF(G1286+H1286&lt;N1286,DATE(2026,11,18)+(G1286+H1286-J1286*34)/(J1286*L1286),"after Nov 30")))</f>
        <v/>
      </c>
      <c r="R1286" s="54">
        <f>IF(AND(G1286&lt;=0,J1286&gt;0),"Out of stock now",IF(G1286&gt;=N1286,"Covered to Nov 30",IF(G1286+H1286&gt;=N1286,"Needs inbound in time","Short even with inbound")))</f>
        <v/>
      </c>
      <c r="S1286" s="57" t="n">
        <v>0.179</v>
      </c>
      <c r="T1286" s="59">
        <f>IF(S1286="","",S1286*34+S1286*L1286*12)</f>
        <v/>
      </c>
    </row>
    <row r="1287">
      <c r="A1287" s="54" t="inlineStr">
        <is>
          <t>US SL Cooling Comforter</t>
        </is>
      </c>
      <c r="B1287" s="54" t="inlineStr">
        <is>
          <t>US</t>
        </is>
      </c>
      <c r="C1287" s="54" t="inlineStr">
        <is>
          <t>B0F7M61RFP</t>
        </is>
      </c>
      <c r="D1287" s="54" t="inlineStr">
        <is>
          <t>SL-CLG-COMF-MINT-GREEN/DARK-GREY-QUEEN</t>
        </is>
      </c>
      <c r="E1287" s="54" t="inlineStr">
        <is>
          <t>Queen</t>
        </is>
      </c>
      <c r="F1287" s="54" t="inlineStr">
        <is>
          <t>Mint Green &amp; Dark Grey</t>
        </is>
      </c>
      <c r="G1287" s="55" t="n">
        <v>0</v>
      </c>
      <c r="H1287" s="55" t="n">
        <v>84</v>
      </c>
      <c r="I1287" s="56" t="inlineStr">
        <is>
          <t>FBA19STZ9LHZ ready to ship: 20; FBA19STRJMC3 ready to ship: 16; FBA19SV47PX1 ready to ship: 20; FBA19SV1CLVT ready to ship: 16; FBA19STYQSF4 ready to ship: 12</t>
        </is>
      </c>
      <c r="J1287" s="57" t="n">
        <v>0.05</v>
      </c>
      <c r="K1287" s="56" t="inlineStr">
        <is>
          <t>account data velocity</t>
        </is>
      </c>
      <c r="L1287" s="58" t="n">
        <v>3.3938</v>
      </c>
      <c r="M1287" s="56" t="inlineStr">
        <is>
          <t>own BFCM 2025 lift (account data)</t>
        </is>
      </c>
      <c r="N1287" s="59">
        <f>J1287*34+J1287*L1287*12</f>
        <v/>
      </c>
      <c r="O1287" s="59">
        <f>MAX(0,N1287-G1287-H1287)</f>
        <v/>
      </c>
      <c r="P1287" s="60">
        <f>IF(J1287=0,"",IF(G1287&lt;J1287*34,DATE(2026,10,15)+G1287/J1287,IF(G1287&lt;N1287,DATE(2026,11,18)+(G1287-J1287*34)/(J1287*L1287),"after Nov 30")))</f>
        <v/>
      </c>
      <c r="Q1287" s="60">
        <f>IF(J1287=0,"",IF(G1287+H1287&lt;J1287*34,DATE(2026,10,15)+(G1287+H1287)/J1287,IF(G1287+H1287&lt;N1287,DATE(2026,11,18)+(G1287+H1287-J1287*34)/(J1287*L1287),"after Nov 30")))</f>
        <v/>
      </c>
      <c r="R1287" s="54">
        <f>IF(AND(G1287&lt;=0,J1287&gt;0),"Out of stock now",IF(G1287&gt;=N1287,"Covered to Nov 30",IF(G1287+H1287&gt;=N1287,"Needs inbound in time","Short even with inbound")))</f>
        <v/>
      </c>
      <c r="S1287" s="57" t="n">
        <v>0.07099999999999999</v>
      </c>
      <c r="T1287" s="59">
        <f>IF(S1287="","",S1287*34+S1287*L1287*12)</f>
        <v/>
      </c>
    </row>
    <row r="1288">
      <c r="A1288" s="54" t="inlineStr">
        <is>
          <t>US SL Cooling Comforter</t>
        </is>
      </c>
      <c r="B1288" s="54" t="inlineStr">
        <is>
          <t>US</t>
        </is>
      </c>
      <c r="C1288" s="54" t="inlineStr">
        <is>
          <t>B0F7M6XS6X</t>
        </is>
      </c>
      <c r="D1288" s="54" t="inlineStr">
        <is>
          <t>SL-CLG-COMF-BLUE/LIGHT-GREY-QUEEN</t>
        </is>
      </c>
      <c r="E1288" s="54" t="inlineStr">
        <is>
          <t>Queen</t>
        </is>
      </c>
      <c r="F1288" s="54" t="inlineStr">
        <is>
          <t>Blue &amp; Light Grey</t>
        </is>
      </c>
      <c r="G1288" s="55" t="n">
        <v>1</v>
      </c>
      <c r="H1288" s="55" t="n">
        <v>116</v>
      </c>
      <c r="I1288" s="56" t="inlineStr">
        <is>
          <t>FBA19STZ9LHZ ready to ship: 28; FBA19STRJMC3 ready to ship: 28; FBA19SV47PX1 ready to ship: 24; FBA19SV1CLVT ready to ship: 20; FBA19STYQSF4 ready to ship: 16</t>
        </is>
      </c>
      <c r="J1288" s="57" t="n">
        <v>0.05</v>
      </c>
      <c r="K1288" s="56" t="inlineStr">
        <is>
          <t>account data velocity</t>
        </is>
      </c>
      <c r="L1288" s="58" t="n">
        <v>3.3938</v>
      </c>
      <c r="M1288" s="56" t="inlineStr">
        <is>
          <t>own BFCM 2025 lift (account data)</t>
        </is>
      </c>
      <c r="N1288" s="59">
        <f>J1288*34+J1288*L1288*12</f>
        <v/>
      </c>
      <c r="O1288" s="59">
        <f>MAX(0,N1288-G1288-H1288)</f>
        <v/>
      </c>
      <c r="P1288" s="60">
        <f>IF(J1288=0,"",IF(G1288&lt;J1288*34,DATE(2026,10,15)+G1288/J1288,IF(G1288&lt;N1288,DATE(2026,11,18)+(G1288-J1288*34)/(J1288*L1288),"after Nov 30")))</f>
        <v/>
      </c>
      <c r="Q1288" s="60">
        <f>IF(J1288=0,"",IF(G1288+H1288&lt;J1288*34,DATE(2026,10,15)+(G1288+H1288)/J1288,IF(G1288+H1288&lt;N1288,DATE(2026,11,18)+(G1288+H1288-J1288*34)/(J1288*L1288),"after Nov 30")))</f>
        <v/>
      </c>
      <c r="R1288" s="54">
        <f>IF(AND(G1288&lt;=0,J1288&gt;0),"Out of stock now",IF(G1288&gt;=N1288,"Covered to Nov 30",IF(G1288+H1288&gt;=N1288,"Needs inbound in time","Short even with inbound")))</f>
        <v/>
      </c>
      <c r="S1288" s="57" t="n">
        <v>0</v>
      </c>
      <c r="T1288" s="59">
        <f>IF(S1288="","",S1288*34+S1288*L1288*12)</f>
        <v/>
      </c>
    </row>
    <row r="1289">
      <c r="A1289" s="54" t="inlineStr">
        <is>
          <t>US SL Cooling Comforter</t>
        </is>
      </c>
      <c r="B1289" s="54" t="inlineStr">
        <is>
          <t>US</t>
        </is>
      </c>
      <c r="C1289" s="54" t="inlineStr">
        <is>
          <t>B0GHSLKMHJ</t>
        </is>
      </c>
      <c r="D1289" s="54" t="inlineStr">
        <is>
          <t>SL-CLG-COMF-BLUE/LIGHT-GREY-FULL</t>
        </is>
      </c>
      <c r="E1289" s="54" t="inlineStr">
        <is>
          <t>Full</t>
        </is>
      </c>
      <c r="F1289" s="54" t="inlineStr">
        <is>
          <t>Blue &amp; Light Grey</t>
        </is>
      </c>
      <c r="G1289" s="55" t="n">
        <v>2</v>
      </c>
      <c r="H1289" s="55" t="n">
        <v>0</v>
      </c>
      <c r="I1289" s="56" t="n"/>
      <c r="J1289" s="57" t="n">
        <v>0.04</v>
      </c>
      <c r="K1289" s="56" t="inlineStr">
        <is>
          <t>account data velocity</t>
        </is>
      </c>
      <c r="L1289" s="58" t="n">
        <v>3.3938</v>
      </c>
      <c r="M1289" s="56" t="inlineStr">
        <is>
          <t>own BFCM 2025 lift (account data)</t>
        </is>
      </c>
      <c r="N1289" s="59">
        <f>J1289*34+J1289*L1289*12</f>
        <v/>
      </c>
      <c r="O1289" s="59">
        <f>MAX(0,N1289-G1289-H1289)</f>
        <v/>
      </c>
      <c r="P1289" s="60">
        <f>IF(J1289=0,"",IF(G1289&lt;J1289*34,DATE(2026,10,15)+G1289/J1289,IF(G1289&lt;N1289,DATE(2026,11,18)+(G1289-J1289*34)/(J1289*L1289),"after Nov 30")))</f>
        <v/>
      </c>
      <c r="Q1289" s="60">
        <f>IF(J1289=0,"",IF(G1289+H1289&lt;J1289*34,DATE(2026,10,15)+(G1289+H1289)/J1289,IF(G1289+H1289&lt;N1289,DATE(2026,11,18)+(G1289+H1289-J1289*34)/(J1289*L1289),"after Nov 30")))</f>
        <v/>
      </c>
      <c r="R1289" s="54">
        <f>IF(AND(G1289&lt;=0,J1289&gt;0),"Out of stock now",IF(G1289&gt;=N1289,"Covered to Nov 30",IF(G1289+H1289&gt;=N1289,"Needs inbound in time","Short even with inbound")))</f>
        <v/>
      </c>
      <c r="S1289" s="57" t="n">
        <v>0.143</v>
      </c>
      <c r="T1289" s="59">
        <f>IF(S1289="","",S1289*34+S1289*L1289*12)</f>
        <v/>
      </c>
    </row>
    <row r="1290">
      <c r="A1290" s="54" t="inlineStr">
        <is>
          <t>US SL Cooling Comforter</t>
        </is>
      </c>
      <c r="B1290" s="54" t="inlineStr">
        <is>
          <t>US</t>
        </is>
      </c>
      <c r="C1290" s="54" t="inlineStr">
        <is>
          <t>B0F7M3DJGP</t>
        </is>
      </c>
      <c r="D1290" s="54" t="inlineStr">
        <is>
          <t>SL-CLG-COMF-MINT-GREEN/DARK-GREY-KING</t>
        </is>
      </c>
      <c r="E1290" s="54" t="inlineStr">
        <is>
          <t>King</t>
        </is>
      </c>
      <c r="F1290" s="54" t="inlineStr">
        <is>
          <t>Mint Green &amp; Dark Grey</t>
        </is>
      </c>
      <c r="G1290" s="55" t="n">
        <v>19</v>
      </c>
      <c r="H1290" s="55" t="n">
        <v>111</v>
      </c>
      <c r="I1290" s="56" t="inlineStr">
        <is>
          <t>FBA19STZ9LHZ ready to ship: 30; FBA19STRJMC3 ready to ship: 21; FBA19SV47PX1 ready to ship: 24; FBA19SV1CLVT ready to ship: 24; FBA19STYQSF4 ready to ship: 12</t>
        </is>
      </c>
      <c r="J1290" s="57" t="n">
        <v>0.04</v>
      </c>
      <c r="K1290" s="56" t="inlineStr">
        <is>
          <t>account data velocity</t>
        </is>
      </c>
      <c r="L1290" s="58" t="n">
        <v>3.3938</v>
      </c>
      <c r="M1290" s="56" t="inlineStr">
        <is>
          <t>own BFCM 2025 lift (account data)</t>
        </is>
      </c>
      <c r="N1290" s="59">
        <f>J1290*34+J1290*L1290*12</f>
        <v/>
      </c>
      <c r="O1290" s="59">
        <f>MAX(0,N1290-G1290-H1290)</f>
        <v/>
      </c>
      <c r="P1290" s="60">
        <f>IF(J1290=0,"",IF(G1290&lt;J1290*34,DATE(2026,10,15)+G1290/J1290,IF(G1290&lt;N1290,DATE(2026,11,18)+(G1290-J1290*34)/(J1290*L1290),"after Nov 30")))</f>
        <v/>
      </c>
      <c r="Q1290" s="60">
        <f>IF(J1290=0,"",IF(G1290+H1290&lt;J1290*34,DATE(2026,10,15)+(G1290+H1290)/J1290,IF(G1290+H1290&lt;N1290,DATE(2026,11,18)+(G1290+H1290-J1290*34)/(J1290*L1290),"after Nov 30")))</f>
        <v/>
      </c>
      <c r="R1290" s="54">
        <f>IF(AND(G1290&lt;=0,J1290&gt;0),"Out of stock now",IF(G1290&gt;=N1290,"Covered to Nov 30",IF(G1290+H1290&gt;=N1290,"Needs inbound in time","Short even with inbound")))</f>
        <v/>
      </c>
      <c r="S1290" s="57" t="n">
        <v>0</v>
      </c>
      <c r="T1290" s="59">
        <f>IF(S1290="","",S1290*34+S1290*L1290*12)</f>
        <v/>
      </c>
    </row>
    <row r="1291">
      <c r="A1291" s="54" t="inlineStr">
        <is>
          <t>US SL Cooling Comforter</t>
        </is>
      </c>
      <c r="B1291" s="54" t="inlineStr">
        <is>
          <t>US</t>
        </is>
      </c>
      <c r="C1291" s="54" t="inlineStr">
        <is>
          <t>B0GHSDK4V9</t>
        </is>
      </c>
      <c r="D1291" s="54" t="inlineStr">
        <is>
          <t>SL-CLG-COMF-PINK/BEIGE-FULL</t>
        </is>
      </c>
      <c r="E1291" s="54" t="inlineStr">
        <is>
          <t>Full</t>
        </is>
      </c>
      <c r="F1291" s="54" t="inlineStr">
        <is>
          <t>Pink &amp; Beige</t>
        </is>
      </c>
      <c r="G1291" s="55" t="n">
        <v>23</v>
      </c>
      <c r="H1291" s="55" t="n">
        <v>0</v>
      </c>
      <c r="I1291" s="56" t="n"/>
      <c r="J1291" s="57" t="n">
        <v>0.03</v>
      </c>
      <c r="K1291" s="56" t="inlineStr">
        <is>
          <t>account data velocity</t>
        </is>
      </c>
      <c r="L1291" s="58" t="n">
        <v>3.3938</v>
      </c>
      <c r="M1291" s="56" t="inlineStr">
        <is>
          <t>own BFCM 2025 lift (account data)</t>
        </is>
      </c>
      <c r="N1291" s="59">
        <f>J1291*34+J1291*L1291*12</f>
        <v/>
      </c>
      <c r="O1291" s="59">
        <f>MAX(0,N1291-G1291-H1291)</f>
        <v/>
      </c>
      <c r="P1291" s="60">
        <f>IF(J1291=0,"",IF(G1291&lt;J1291*34,DATE(2026,10,15)+G1291/J1291,IF(G1291&lt;N1291,DATE(2026,11,18)+(G1291-J1291*34)/(J1291*L1291),"after Nov 30")))</f>
        <v/>
      </c>
      <c r="Q1291" s="60">
        <f>IF(J1291=0,"",IF(G1291+H1291&lt;J1291*34,DATE(2026,10,15)+(G1291+H1291)/J1291,IF(G1291+H1291&lt;N1291,DATE(2026,11,18)+(G1291+H1291-J1291*34)/(J1291*L1291),"after Nov 30")))</f>
        <v/>
      </c>
      <c r="R1291" s="54">
        <f>IF(AND(G1291&lt;=0,J1291&gt;0),"Out of stock now",IF(G1291&gt;=N1291,"Covered to Nov 30",IF(G1291+H1291&gt;=N1291,"Needs inbound in time","Short even with inbound")))</f>
        <v/>
      </c>
      <c r="S1291" s="57" t="n">
        <v>0.07099999999999999</v>
      </c>
      <c r="T1291" s="59">
        <f>IF(S1291="","",S1291*34+S1291*L1291*12)</f>
        <v/>
      </c>
    </row>
    <row r="1292">
      <c r="A1292" s="54" t="inlineStr">
        <is>
          <t>US SL Cooling Comforter</t>
        </is>
      </c>
      <c r="B1292" s="54" t="inlineStr">
        <is>
          <t>US</t>
        </is>
      </c>
      <c r="C1292" s="54" t="inlineStr">
        <is>
          <t>B0F7M32FVR</t>
        </is>
      </c>
      <c r="D1292" s="54" t="inlineStr">
        <is>
          <t>SL-CLG-COMF-PINK/BEIGE-TWIN</t>
        </is>
      </c>
      <c r="E1292" s="54" t="inlineStr">
        <is>
          <t>Twin</t>
        </is>
      </c>
      <c r="F1292" s="54" t="inlineStr">
        <is>
          <t>Pink &amp; Beige</t>
        </is>
      </c>
      <c r="G1292" s="55" t="n">
        <v>58</v>
      </c>
      <c r="H1292" s="55" t="n">
        <v>0</v>
      </c>
      <c r="I1292" s="56" t="n"/>
      <c r="J1292" s="57" t="n">
        <v>0.03</v>
      </c>
      <c r="K1292" s="56" t="inlineStr">
        <is>
          <t>account data velocity</t>
        </is>
      </c>
      <c r="L1292" s="58" t="n">
        <v>3.3938</v>
      </c>
      <c r="M1292" s="56" t="inlineStr">
        <is>
          <t>own BFCM 2025 lift (account data)</t>
        </is>
      </c>
      <c r="N1292" s="59">
        <f>J1292*34+J1292*L1292*12</f>
        <v/>
      </c>
      <c r="O1292" s="59">
        <f>MAX(0,N1292-G1292-H1292)</f>
        <v/>
      </c>
      <c r="P1292" s="60">
        <f>IF(J1292=0,"",IF(G1292&lt;J1292*34,DATE(2026,10,15)+G1292/J1292,IF(G1292&lt;N1292,DATE(2026,11,18)+(G1292-J1292*34)/(J1292*L1292),"after Nov 30")))</f>
        <v/>
      </c>
      <c r="Q1292" s="60">
        <f>IF(J1292=0,"",IF(G1292+H1292&lt;J1292*34,DATE(2026,10,15)+(G1292+H1292)/J1292,IF(G1292+H1292&lt;N1292,DATE(2026,11,18)+(G1292+H1292-J1292*34)/(J1292*L1292),"after Nov 30")))</f>
        <v/>
      </c>
      <c r="R1292" s="54">
        <f>IF(AND(G1292&lt;=0,J1292&gt;0),"Out of stock now",IF(G1292&gt;=N1292,"Covered to Nov 30",IF(G1292+H1292&gt;=N1292,"Needs inbound in time","Short even with inbound")))</f>
        <v/>
      </c>
      <c r="S1292" s="57" t="n">
        <v>0.07099999999999999</v>
      </c>
      <c r="T1292" s="59">
        <f>IF(S1292="","",S1292*34+S1292*L1292*12)</f>
        <v/>
      </c>
    </row>
    <row r="1293">
      <c r="A1293" s="54" t="inlineStr">
        <is>
          <t>US SL Cooling Comforter</t>
        </is>
      </c>
      <c r="B1293" s="54" t="inlineStr">
        <is>
          <t>US</t>
        </is>
      </c>
      <c r="C1293" s="54" t="inlineStr">
        <is>
          <t>B0F7M7C4ZC</t>
        </is>
      </c>
      <c r="D1293" s="54" t="inlineStr">
        <is>
          <t>SL-CLG-COMF-MINT-GREEN/DARK-GREY-TWIN</t>
        </is>
      </c>
      <c r="E1293" s="54" t="inlineStr">
        <is>
          <t>Twin</t>
        </is>
      </c>
      <c r="F1293" s="54" t="inlineStr">
        <is>
          <t>Mint Green &amp; Dark Grey</t>
        </is>
      </c>
      <c r="G1293" s="55" t="n">
        <v>86</v>
      </c>
      <c r="H1293" s="55" t="n">
        <v>0</v>
      </c>
      <c r="I1293" s="56" t="n"/>
      <c r="J1293" s="57" t="n">
        <v>0.02</v>
      </c>
      <c r="K1293" s="56" t="inlineStr">
        <is>
          <t>account data velocity</t>
        </is>
      </c>
      <c r="L1293" s="58" t="n">
        <v>3.3938</v>
      </c>
      <c r="M1293" s="56" t="inlineStr">
        <is>
          <t>own BFCM 2025 lift (account data)</t>
        </is>
      </c>
      <c r="N1293" s="59">
        <f>J1293*34+J1293*L1293*12</f>
        <v/>
      </c>
      <c r="O1293" s="59">
        <f>MAX(0,N1293-G1293-H1293)</f>
        <v/>
      </c>
      <c r="P1293" s="60">
        <f>IF(J1293=0,"",IF(G1293&lt;J1293*34,DATE(2026,10,15)+G1293/J1293,IF(G1293&lt;N1293,DATE(2026,11,18)+(G1293-J1293*34)/(J1293*L1293),"after Nov 30")))</f>
        <v/>
      </c>
      <c r="Q1293" s="60">
        <f>IF(J1293=0,"",IF(G1293+H1293&lt;J1293*34,DATE(2026,10,15)+(G1293+H1293)/J1293,IF(G1293+H1293&lt;N1293,DATE(2026,11,18)+(G1293+H1293-J1293*34)/(J1293*L1293),"after Nov 30")))</f>
        <v/>
      </c>
      <c r="R1293" s="54">
        <f>IF(AND(G1293&lt;=0,J1293&gt;0),"Out of stock now",IF(G1293&gt;=N1293,"Covered to Nov 30",IF(G1293+H1293&gt;=N1293,"Needs inbound in time","Short even with inbound")))</f>
        <v/>
      </c>
      <c r="S1293" s="57" t="n">
        <v>0.036</v>
      </c>
      <c r="T1293" s="59">
        <f>IF(S1293="","",S1293*34+S1293*L1293*12)</f>
        <v/>
      </c>
    </row>
    <row r="1294">
      <c r="A1294" s="54" t="inlineStr">
        <is>
          <t>US SL Cooling Comforter</t>
        </is>
      </c>
      <c r="B1294" s="54" t="inlineStr">
        <is>
          <t>US</t>
        </is>
      </c>
      <c r="C1294" s="54" t="inlineStr">
        <is>
          <t>B0F7M5S7FT</t>
        </is>
      </c>
      <c r="D1294" s="54" t="inlineStr">
        <is>
          <t>SL-CLG-COMF-BLUE/LIGHT-GREY-TWIN</t>
        </is>
      </c>
      <c r="E1294" s="54" t="inlineStr">
        <is>
          <t>Twin</t>
        </is>
      </c>
      <c r="F1294" s="54" t="inlineStr">
        <is>
          <t>Blue &amp; Light Grey</t>
        </is>
      </c>
      <c r="G1294" s="55" t="n">
        <v>40</v>
      </c>
      <c r="H1294" s="55" t="n">
        <v>44</v>
      </c>
      <c r="I1294" s="56" t="inlineStr">
        <is>
          <t>FBA19STZ9LHZ ready to ship: 8; FBA19STRJMC3 ready to ship: 12; FBA19SV47PX1 ready to ship: 8; FBA19SV1CLVT ready to ship: 8; FBA19STYQSF4 ready to ship: 8</t>
        </is>
      </c>
      <c r="J1294" s="57" t="n">
        <v>0.02</v>
      </c>
      <c r="K1294" s="56" t="inlineStr">
        <is>
          <t>account data velocity</t>
        </is>
      </c>
      <c r="L1294" s="58" t="n">
        <v>3.3938</v>
      </c>
      <c r="M1294" s="56" t="inlineStr">
        <is>
          <t>own BFCM 2025 lift (account data)</t>
        </is>
      </c>
      <c r="N1294" s="59">
        <f>J1294*34+J1294*L1294*12</f>
        <v/>
      </c>
      <c r="O1294" s="59">
        <f>MAX(0,N1294-G1294-H1294)</f>
        <v/>
      </c>
      <c r="P1294" s="60">
        <f>IF(J1294=0,"",IF(G1294&lt;J1294*34,DATE(2026,10,15)+G1294/J1294,IF(G1294&lt;N1294,DATE(2026,11,18)+(G1294-J1294*34)/(J1294*L1294),"after Nov 30")))</f>
        <v/>
      </c>
      <c r="Q1294" s="60">
        <f>IF(J1294=0,"",IF(G1294+H1294&lt;J1294*34,DATE(2026,10,15)+(G1294+H1294)/J1294,IF(G1294+H1294&lt;N1294,DATE(2026,11,18)+(G1294+H1294-J1294*34)/(J1294*L1294),"after Nov 30")))</f>
        <v/>
      </c>
      <c r="R1294" s="54">
        <f>IF(AND(G1294&lt;=0,J1294&gt;0),"Out of stock now",IF(G1294&gt;=N1294,"Covered to Nov 30",IF(G1294+H1294&gt;=N1294,"Needs inbound in time","Short even with inbound")))</f>
        <v/>
      </c>
      <c r="S1294" s="57" t="n">
        <v>0</v>
      </c>
      <c r="T1294" s="59">
        <f>IF(S1294="","",S1294*34+S1294*L1294*12)</f>
        <v/>
      </c>
    </row>
    <row r="1295">
      <c r="A1295" s="54" t="inlineStr">
        <is>
          <t>US SL Cooling Comforter</t>
        </is>
      </c>
      <c r="B1295" s="54" t="inlineStr">
        <is>
          <t>US</t>
        </is>
      </c>
      <c r="C1295" s="54" t="inlineStr">
        <is>
          <t>B0GHSTYXM8</t>
        </is>
      </c>
      <c r="D1295" s="54" t="inlineStr">
        <is>
          <t>SL-CLG-COMF-MINT-GREEN/DARK-GREY-FULL</t>
        </is>
      </c>
      <c r="E1295" s="54" t="inlineStr">
        <is>
          <t>Full</t>
        </is>
      </c>
      <c r="F1295" s="54" t="inlineStr">
        <is>
          <t>Mint Green &amp; Dark Grey</t>
        </is>
      </c>
      <c r="G1295" s="55" t="n">
        <v>23</v>
      </c>
      <c r="H1295" s="55" t="n">
        <v>0</v>
      </c>
      <c r="I1295" s="56" t="n"/>
      <c r="J1295" s="57" t="n">
        <v>0.01</v>
      </c>
      <c r="K1295" s="56" t="inlineStr">
        <is>
          <t>account data velocity</t>
        </is>
      </c>
      <c r="L1295" s="58" t="n">
        <v>3.3938</v>
      </c>
      <c r="M1295" s="56" t="inlineStr">
        <is>
          <t>own BFCM 2025 lift (account data)</t>
        </is>
      </c>
      <c r="N1295" s="59">
        <f>J1295*34+J1295*L1295*12</f>
        <v/>
      </c>
      <c r="O1295" s="59">
        <f>MAX(0,N1295-G1295-H1295)</f>
        <v/>
      </c>
      <c r="P1295" s="60">
        <f>IF(J1295=0,"",IF(G1295&lt;J1295*34,DATE(2026,10,15)+G1295/J1295,IF(G1295&lt;N1295,DATE(2026,11,18)+(G1295-J1295*34)/(J1295*L1295),"after Nov 30")))</f>
        <v/>
      </c>
      <c r="Q1295" s="60">
        <f>IF(J1295=0,"",IF(G1295+H1295&lt;J1295*34,DATE(2026,10,15)+(G1295+H1295)/J1295,IF(G1295+H1295&lt;N1295,DATE(2026,11,18)+(G1295+H1295-J1295*34)/(J1295*L1295),"after Nov 30")))</f>
        <v/>
      </c>
      <c r="R1295" s="54">
        <f>IF(AND(G1295&lt;=0,J1295&gt;0),"Out of stock now",IF(G1295&gt;=N1295,"Covered to Nov 30",IF(G1295+H1295&gt;=N1295,"Needs inbound in time","Short even with inbound")))</f>
        <v/>
      </c>
      <c r="S1295" s="57" t="n">
        <v>0.07099999999999999</v>
      </c>
      <c r="T1295" s="59">
        <f>IF(S1295="","",S1295*34+S1295*L1295*12)</f>
        <v/>
      </c>
    </row>
    <row r="1296">
      <c r="A1296" s="54" t="inlineStr">
        <is>
          <t>US SL Cooling Comforter</t>
        </is>
      </c>
      <c r="B1296" s="54" t="inlineStr">
        <is>
          <t>US</t>
        </is>
      </c>
      <c r="C1296" s="54" t="inlineStr">
        <is>
          <t>B0F7M3JPFY</t>
        </is>
      </c>
      <c r="D1296" s="54" t="inlineStr">
        <is>
          <t>SL-CLG-COMF-BLUE/DARK-GREY-KING</t>
        </is>
      </c>
      <c r="E1296" s="54" t="inlineStr">
        <is>
          <t>King</t>
        </is>
      </c>
      <c r="F1296" s="54" t="inlineStr">
        <is>
          <t>Blue &amp; Dark Grey</t>
        </is>
      </c>
      <c r="G1296" s="55" t="n">
        <v>0</v>
      </c>
      <c r="H1296" s="55" t="n">
        <v>243</v>
      </c>
      <c r="I1296" s="56" t="inlineStr">
        <is>
          <t>FBA19STZ9LHZ ready to ship: 57; FBA19STRJMC3 ready to ship: 60; FBA19SV47PX1 ready to ship: 48; FBA19SV1CLVT ready to ship: 45; FBA19STYQSF4 ready to ship: 33</t>
        </is>
      </c>
      <c r="J1296" s="57" t="n">
        <v>0</v>
      </c>
      <c r="K1296" s="56" t="inlineStr">
        <is>
          <t>account data velocity</t>
        </is>
      </c>
      <c r="L1296" s="58" t="n">
        <v>3.3938</v>
      </c>
      <c r="M1296" s="56" t="inlineStr">
        <is>
          <t>own BFCM 2025 lift (account data)</t>
        </is>
      </c>
      <c r="N1296" s="59">
        <f>J1296*34+J1296*L1296*12</f>
        <v/>
      </c>
      <c r="O1296" s="59">
        <f>MAX(0,N1296-G1296-H1296)</f>
        <v/>
      </c>
      <c r="P1296" s="60">
        <f>IF(J1296=0,"",IF(G1296&lt;J1296*34,DATE(2026,10,15)+G1296/J1296,IF(G1296&lt;N1296,DATE(2026,11,18)+(G1296-J1296*34)/(J1296*L1296),"after Nov 30")))</f>
        <v/>
      </c>
      <c r="Q1296" s="60">
        <f>IF(J1296=0,"",IF(G1296+H1296&lt;J1296*34,DATE(2026,10,15)+(G1296+H1296)/J1296,IF(G1296+H1296&lt;N1296,DATE(2026,11,18)+(G1296+H1296-J1296*34)/(J1296*L1296),"after Nov 30")))</f>
        <v/>
      </c>
      <c r="R1296" s="54">
        <f>IF(AND(G1296&lt;=0,J1296&gt;0),"Out of stock now",IF(G1296&gt;=N1296,"Covered to Nov 30",IF(G1296+H1296&gt;=N1296,"Needs inbound in time","Short even with inbound")))</f>
        <v/>
      </c>
      <c r="S1296" s="57" t="n"/>
      <c r="T1296" s="59">
        <f>IF(S1296="","",S1296*34+S1296*L1296*12)</f>
        <v/>
      </c>
    </row>
    <row r="1297">
      <c r="A1297" s="54" t="inlineStr">
        <is>
          <t>US SL Cooling Comforter</t>
        </is>
      </c>
      <c r="B1297" s="54" t="inlineStr">
        <is>
          <t>US</t>
        </is>
      </c>
      <c r="C1297" s="54" t="inlineStr">
        <is>
          <t>B0F7M5WGD8</t>
        </is>
      </c>
      <c r="D1297" s="54" t="inlineStr">
        <is>
          <t>SL-CLG-COMF-BLUE/LIGHT-GREY-KING</t>
        </is>
      </c>
      <c r="E1297" s="54" t="inlineStr">
        <is>
          <t>King</t>
        </is>
      </c>
      <c r="F1297" s="54" t="inlineStr">
        <is>
          <t>Blue &amp; Light Grey</t>
        </is>
      </c>
      <c r="G1297" s="55" t="n">
        <v>0</v>
      </c>
      <c r="H1297" s="55" t="n">
        <v>159</v>
      </c>
      <c r="I1297" s="56" t="inlineStr">
        <is>
          <t>FBA19STZ9LHZ ready to ship: 42; FBA19STRJMC3 ready to ship: 30; FBA19SV47PX1 ready to ship: 42; FBA19SV1CLVT ready to ship: 33; FBA19STYQSF4 ready to ship: 12</t>
        </is>
      </c>
      <c r="J1297" s="57" t="n">
        <v>0</v>
      </c>
      <c r="K1297" s="56" t="inlineStr">
        <is>
          <t>account data velocity</t>
        </is>
      </c>
      <c r="L1297" s="58" t="n">
        <v>3.3938</v>
      </c>
      <c r="M1297" s="56" t="inlineStr">
        <is>
          <t>own BFCM 2025 lift (account data)</t>
        </is>
      </c>
      <c r="N1297" s="59">
        <f>J1297*34+J1297*L1297*12</f>
        <v/>
      </c>
      <c r="O1297" s="59">
        <f>MAX(0,N1297-G1297-H1297)</f>
        <v/>
      </c>
      <c r="P1297" s="60">
        <f>IF(J1297=0,"",IF(G1297&lt;J1297*34,DATE(2026,10,15)+G1297/J1297,IF(G1297&lt;N1297,DATE(2026,11,18)+(G1297-J1297*34)/(J1297*L1297),"after Nov 30")))</f>
        <v/>
      </c>
      <c r="Q1297" s="60">
        <f>IF(J1297=0,"",IF(G1297+H1297&lt;J1297*34,DATE(2026,10,15)+(G1297+H1297)/J1297,IF(G1297+H1297&lt;N1297,DATE(2026,11,18)+(G1297+H1297-J1297*34)/(J1297*L1297),"after Nov 30")))</f>
        <v/>
      </c>
      <c r="R1297" s="54">
        <f>IF(AND(G1297&lt;=0,J1297&gt;0),"Out of stock now",IF(G1297&gt;=N1297,"Covered to Nov 30",IF(G1297+H1297&gt;=N1297,"Needs inbound in time","Short even with inbound")))</f>
        <v/>
      </c>
      <c r="S1297" s="57" t="n">
        <v>0</v>
      </c>
      <c r="T1297" s="59">
        <f>IF(S1297="","",S1297*34+S1297*L1297*12)</f>
        <v/>
      </c>
    </row>
    <row r="1298">
      <c r="A1298" s="54" t="inlineStr">
        <is>
          <t>US SL Cooling Fitted</t>
        </is>
      </c>
      <c r="B1298" s="54" t="inlineStr">
        <is>
          <t>US</t>
        </is>
      </c>
      <c r="C1298" s="54" t="inlineStr">
        <is>
          <t>B0F7M3YQ5R</t>
        </is>
      </c>
      <c r="D1298" s="54" t="inlineStr">
        <is>
          <t>SL-COOLING-FITTED-KING-WHITE</t>
        </is>
      </c>
      <c r="E1298" s="54" t="inlineStr">
        <is>
          <t>King</t>
        </is>
      </c>
      <c r="F1298" s="54" t="inlineStr">
        <is>
          <t>White</t>
        </is>
      </c>
      <c r="G1298" s="55" t="n">
        <v>317</v>
      </c>
      <c r="H1298" s="55" t="n">
        <v>1</v>
      </c>
      <c r="I1298" s="56" t="inlineStr">
        <is>
          <t>FBA19MR798TN receiving: 1</t>
        </is>
      </c>
      <c r="J1298" s="57" t="n">
        <v>4.33</v>
      </c>
      <c r="K1298" s="56" t="inlineStr">
        <is>
          <t>account data velocity</t>
        </is>
      </c>
      <c r="L1298" s="58" t="n">
        <v>0.9828</v>
      </c>
      <c r="M1298" s="56" t="inlineStr">
        <is>
          <t>own BFCM 2025 lift (account data)</t>
        </is>
      </c>
      <c r="N1298" s="59">
        <f>J1298*34+J1298*L1298*12</f>
        <v/>
      </c>
      <c r="O1298" s="59">
        <f>MAX(0,N1298-G1298-H1298)</f>
        <v/>
      </c>
      <c r="P1298" s="60">
        <f>IF(J1298=0,"",IF(G1298&lt;J1298*34,DATE(2026,10,15)+G1298/J1298,IF(G1298&lt;N1298,DATE(2026,11,18)+(G1298-J1298*34)/(J1298*L1298),"after Nov 30")))</f>
        <v/>
      </c>
      <c r="Q1298" s="60">
        <f>IF(J1298=0,"",IF(G1298+H1298&lt;J1298*34,DATE(2026,10,15)+(G1298+H1298)/J1298,IF(G1298+H1298&lt;N1298,DATE(2026,11,18)+(G1298+H1298-J1298*34)/(J1298*L1298),"after Nov 30")))</f>
        <v/>
      </c>
      <c r="R1298" s="54">
        <f>IF(AND(G1298&lt;=0,J1298&gt;0),"Out of stock now",IF(G1298&gt;=N1298,"Covered to Nov 30",IF(G1298+H1298&gt;=N1298,"Needs inbound in time","Short even with inbound")))</f>
        <v/>
      </c>
      <c r="S1298" s="57" t="n">
        <v>2.393</v>
      </c>
      <c r="T1298" s="59">
        <f>IF(S1298="","",S1298*34+S1298*L1298*12)</f>
        <v/>
      </c>
    </row>
    <row r="1299">
      <c r="A1299" s="54" t="inlineStr">
        <is>
          <t>US SL Cooling Fitted</t>
        </is>
      </c>
      <c r="B1299" s="54" t="inlineStr">
        <is>
          <t>US</t>
        </is>
      </c>
      <c r="C1299" s="54" t="inlineStr">
        <is>
          <t>B0F7M5PNCT</t>
        </is>
      </c>
      <c r="D1299" s="54" t="inlineStr">
        <is>
          <t>SL-COOLING-FITTED-QUEEN-WHITE</t>
        </is>
      </c>
      <c r="E1299" s="54" t="inlineStr">
        <is>
          <t>Queen</t>
        </is>
      </c>
      <c r="F1299" s="54" t="inlineStr">
        <is>
          <t>White</t>
        </is>
      </c>
      <c r="G1299" s="55" t="n">
        <v>216</v>
      </c>
      <c r="H1299" s="55" t="n">
        <v>6</v>
      </c>
      <c r="I1299" s="56" t="inlineStr">
        <is>
          <t>FBA19MRB64ZM receiving: 5; FBA19MR9TT8D receiving: 1</t>
        </is>
      </c>
      <c r="J1299" s="57" t="n">
        <v>3.11</v>
      </c>
      <c r="K1299" s="56" t="inlineStr">
        <is>
          <t>account data velocity</t>
        </is>
      </c>
      <c r="L1299" s="58" t="n">
        <v>0.9828</v>
      </c>
      <c r="M1299" s="56" t="inlineStr">
        <is>
          <t>own BFCM 2025 lift (account data)</t>
        </is>
      </c>
      <c r="N1299" s="59">
        <f>J1299*34+J1299*L1299*12</f>
        <v/>
      </c>
      <c r="O1299" s="59">
        <f>MAX(0,N1299-G1299-H1299)</f>
        <v/>
      </c>
      <c r="P1299" s="60">
        <f>IF(J1299=0,"",IF(G1299&lt;J1299*34,DATE(2026,10,15)+G1299/J1299,IF(G1299&lt;N1299,DATE(2026,11,18)+(G1299-J1299*34)/(J1299*L1299),"after Nov 30")))</f>
        <v/>
      </c>
      <c r="Q1299" s="60">
        <f>IF(J1299=0,"",IF(G1299+H1299&lt;J1299*34,DATE(2026,10,15)+(G1299+H1299)/J1299,IF(G1299+H1299&lt;N1299,DATE(2026,11,18)+(G1299+H1299-J1299*34)/(J1299*L1299),"after Nov 30")))</f>
        <v/>
      </c>
      <c r="R1299" s="54">
        <f>IF(AND(G1299&lt;=0,J1299&gt;0),"Out of stock now",IF(G1299&gt;=N1299,"Covered to Nov 30",IF(G1299+H1299&gt;=N1299,"Needs inbound in time","Short even with inbound")))</f>
        <v/>
      </c>
      <c r="S1299" s="57" t="n">
        <v>1.75</v>
      </c>
      <c r="T1299" s="59">
        <f>IF(S1299="","",S1299*34+S1299*L1299*12)</f>
        <v/>
      </c>
    </row>
    <row r="1300">
      <c r="A1300" s="54" t="inlineStr">
        <is>
          <t>US SL Cooling Fitted</t>
        </is>
      </c>
      <c r="B1300" s="54" t="inlineStr">
        <is>
          <t>US</t>
        </is>
      </c>
      <c r="C1300" s="54" t="inlineStr">
        <is>
          <t>B0F7M3184Y</t>
        </is>
      </c>
      <c r="D1300" s="54" t="inlineStr">
        <is>
          <t>SL-COOLING-FITTED-QUEEN-NAVY-BLUE</t>
        </is>
      </c>
      <c r="E1300" s="54" t="inlineStr">
        <is>
          <t>Queen</t>
        </is>
      </c>
      <c r="F1300" s="54" t="inlineStr">
        <is>
          <t>Navy Blue</t>
        </is>
      </c>
      <c r="G1300" s="55" t="n">
        <v>41</v>
      </c>
      <c r="H1300" s="55" t="n">
        <v>0</v>
      </c>
      <c r="I1300" s="56" t="n"/>
      <c r="J1300" s="57" t="n">
        <v>2.21</v>
      </c>
      <c r="K1300" s="56" t="inlineStr">
        <is>
          <t>account data velocity</t>
        </is>
      </c>
      <c r="L1300" s="58" t="n">
        <v>0.9828</v>
      </c>
      <c r="M1300" s="56" t="inlineStr">
        <is>
          <t>own BFCM 2025 lift (account data)</t>
        </is>
      </c>
      <c r="N1300" s="59">
        <f>J1300*34+J1300*L1300*12</f>
        <v/>
      </c>
      <c r="O1300" s="59">
        <f>MAX(0,N1300-G1300-H1300)</f>
        <v/>
      </c>
      <c r="P1300" s="60">
        <f>IF(J1300=0,"",IF(G1300&lt;J1300*34,DATE(2026,10,15)+G1300/J1300,IF(G1300&lt;N1300,DATE(2026,11,18)+(G1300-J1300*34)/(J1300*L1300),"after Nov 30")))</f>
        <v/>
      </c>
      <c r="Q1300" s="60">
        <f>IF(J1300=0,"",IF(G1300+H1300&lt;J1300*34,DATE(2026,10,15)+(G1300+H1300)/J1300,IF(G1300+H1300&lt;N1300,DATE(2026,11,18)+(G1300+H1300-J1300*34)/(J1300*L1300),"after Nov 30")))</f>
        <v/>
      </c>
      <c r="R1300" s="54">
        <f>IF(AND(G1300&lt;=0,J1300&gt;0),"Out of stock now",IF(G1300&gt;=N1300,"Covered to Nov 30",IF(G1300+H1300&gt;=N1300,"Needs inbound in time","Short even with inbound")))</f>
        <v/>
      </c>
      <c r="S1300" s="57" t="n">
        <v>0.357</v>
      </c>
      <c r="T1300" s="59">
        <f>IF(S1300="","",S1300*34+S1300*L1300*12)</f>
        <v/>
      </c>
    </row>
    <row r="1301">
      <c r="A1301" s="54" t="inlineStr">
        <is>
          <t>US SL Cooling Fitted</t>
        </is>
      </c>
      <c r="B1301" s="54" t="inlineStr">
        <is>
          <t>US</t>
        </is>
      </c>
      <c r="C1301" s="54" t="inlineStr">
        <is>
          <t>B0F7M3CF1Q</t>
        </is>
      </c>
      <c r="D1301" s="54" t="inlineStr">
        <is>
          <t>SL-COOLING-FITTED-KING-MIDNIGHT-BLACK</t>
        </is>
      </c>
      <c r="E1301" s="54" t="inlineStr">
        <is>
          <t>King</t>
        </is>
      </c>
      <c r="F1301" s="54" t="inlineStr">
        <is>
          <t>Midnight Black</t>
        </is>
      </c>
      <c r="G1301" s="55" t="n">
        <v>109</v>
      </c>
      <c r="H1301" s="55" t="n">
        <v>36</v>
      </c>
      <c r="I1301" s="56" t="inlineStr">
        <is>
          <t>FBA19N7XSBR9 in transit: 36</t>
        </is>
      </c>
      <c r="J1301" s="57" t="n">
        <v>1.65</v>
      </c>
      <c r="K1301" s="56" t="inlineStr">
        <is>
          <t>account data velocity</t>
        </is>
      </c>
      <c r="L1301" s="58" t="n">
        <v>0.9828</v>
      </c>
      <c r="M1301" s="56" t="inlineStr">
        <is>
          <t>own BFCM 2025 lift (account data)</t>
        </is>
      </c>
      <c r="N1301" s="59">
        <f>J1301*34+J1301*L1301*12</f>
        <v/>
      </c>
      <c r="O1301" s="59">
        <f>MAX(0,N1301-G1301-H1301)</f>
        <v/>
      </c>
      <c r="P1301" s="60">
        <f>IF(J1301=0,"",IF(G1301&lt;J1301*34,DATE(2026,10,15)+G1301/J1301,IF(G1301&lt;N1301,DATE(2026,11,18)+(G1301-J1301*34)/(J1301*L1301),"after Nov 30")))</f>
        <v/>
      </c>
      <c r="Q1301" s="60">
        <f>IF(J1301=0,"",IF(G1301+H1301&lt;J1301*34,DATE(2026,10,15)+(G1301+H1301)/J1301,IF(G1301+H1301&lt;N1301,DATE(2026,11,18)+(G1301+H1301-J1301*34)/(J1301*L1301),"after Nov 30")))</f>
        <v/>
      </c>
      <c r="R1301" s="54">
        <f>IF(AND(G1301&lt;=0,J1301&gt;0),"Out of stock now",IF(G1301&gt;=N1301,"Covered to Nov 30",IF(G1301+H1301&gt;=N1301,"Needs inbound in time","Short even with inbound")))</f>
        <v/>
      </c>
      <c r="S1301" s="57" t="n">
        <v>0.893</v>
      </c>
      <c r="T1301" s="59">
        <f>IF(S1301="","",S1301*34+S1301*L1301*12)</f>
        <v/>
      </c>
    </row>
    <row r="1302">
      <c r="A1302" s="54" t="inlineStr">
        <is>
          <t>US SL Cooling Fitted</t>
        </is>
      </c>
      <c r="B1302" s="54" t="inlineStr">
        <is>
          <t>US</t>
        </is>
      </c>
      <c r="C1302" s="54" t="inlineStr">
        <is>
          <t>B0F7M5SD7Q</t>
        </is>
      </c>
      <c r="D1302" s="54" t="inlineStr">
        <is>
          <t>SL-COOLING-FITTED-KING-COOL-GREY</t>
        </is>
      </c>
      <c r="E1302" s="54" t="inlineStr">
        <is>
          <t>King</t>
        </is>
      </c>
      <c r="F1302" s="54" t="inlineStr">
        <is>
          <t>Cool Grey</t>
        </is>
      </c>
      <c r="G1302" s="55" t="n">
        <v>282</v>
      </c>
      <c r="H1302" s="55" t="n">
        <v>0</v>
      </c>
      <c r="I1302" s="56" t="n"/>
      <c r="J1302" s="57" t="n">
        <v>1.6</v>
      </c>
      <c r="K1302" s="56" t="inlineStr">
        <is>
          <t>account data velocity</t>
        </is>
      </c>
      <c r="L1302" s="58" t="n">
        <v>0.9828</v>
      </c>
      <c r="M1302" s="56" t="inlineStr">
        <is>
          <t>own BFCM 2025 lift (account data)</t>
        </is>
      </c>
      <c r="N1302" s="59">
        <f>J1302*34+J1302*L1302*12</f>
        <v/>
      </c>
      <c r="O1302" s="59">
        <f>MAX(0,N1302-G1302-H1302)</f>
        <v/>
      </c>
      <c r="P1302" s="60">
        <f>IF(J1302=0,"",IF(G1302&lt;J1302*34,DATE(2026,10,15)+G1302/J1302,IF(G1302&lt;N1302,DATE(2026,11,18)+(G1302-J1302*34)/(J1302*L1302),"after Nov 30")))</f>
        <v/>
      </c>
      <c r="Q1302" s="60">
        <f>IF(J1302=0,"",IF(G1302+H1302&lt;J1302*34,DATE(2026,10,15)+(G1302+H1302)/J1302,IF(G1302+H1302&lt;N1302,DATE(2026,11,18)+(G1302+H1302-J1302*34)/(J1302*L1302),"after Nov 30")))</f>
        <v/>
      </c>
      <c r="R1302" s="54">
        <f>IF(AND(G1302&lt;=0,J1302&gt;0),"Out of stock now",IF(G1302&gt;=N1302,"Covered to Nov 30",IF(G1302+H1302&gt;=N1302,"Needs inbound in time","Short even with inbound")))</f>
        <v/>
      </c>
      <c r="S1302" s="57" t="n">
        <v>1.143</v>
      </c>
      <c r="T1302" s="59">
        <f>IF(S1302="","",S1302*34+S1302*L1302*12)</f>
        <v/>
      </c>
    </row>
    <row r="1303">
      <c r="A1303" s="54" t="inlineStr">
        <is>
          <t>US SL Cooling Fitted</t>
        </is>
      </c>
      <c r="B1303" s="54" t="inlineStr">
        <is>
          <t>US</t>
        </is>
      </c>
      <c r="C1303" s="54" t="inlineStr">
        <is>
          <t>B0F7M35CHR</t>
        </is>
      </c>
      <c r="D1303" s="54" t="inlineStr">
        <is>
          <t>SL-COOLING-FITTED-QUEEN-MIDNIGHT-BLACK</t>
        </is>
      </c>
      <c r="E1303" s="54" t="inlineStr">
        <is>
          <t>Queen</t>
        </is>
      </c>
      <c r="F1303" s="54" t="inlineStr">
        <is>
          <t>Midnight Black</t>
        </is>
      </c>
      <c r="G1303" s="55" t="n">
        <v>101</v>
      </c>
      <c r="H1303" s="55" t="n">
        <v>84</v>
      </c>
      <c r="I1303" s="56" t="inlineStr">
        <is>
          <t>FBA19N7WSG18 in transit: 24; FBA19N7RP6W7 in transit: 24; FBA19N7RQF4Q ready to ship: 36</t>
        </is>
      </c>
      <c r="J1303" s="57" t="n">
        <v>1.59</v>
      </c>
      <c r="K1303" s="56" t="inlineStr">
        <is>
          <t>account data velocity</t>
        </is>
      </c>
      <c r="L1303" s="58" t="n">
        <v>0.9828</v>
      </c>
      <c r="M1303" s="56" t="inlineStr">
        <is>
          <t>own BFCM 2025 lift (account data)</t>
        </is>
      </c>
      <c r="N1303" s="59">
        <f>J1303*34+J1303*L1303*12</f>
        <v/>
      </c>
      <c r="O1303" s="59">
        <f>MAX(0,N1303-G1303-H1303)</f>
        <v/>
      </c>
      <c r="P1303" s="60">
        <f>IF(J1303=0,"",IF(G1303&lt;J1303*34,DATE(2026,10,15)+G1303/J1303,IF(G1303&lt;N1303,DATE(2026,11,18)+(G1303-J1303*34)/(J1303*L1303),"after Nov 30")))</f>
        <v/>
      </c>
      <c r="Q1303" s="60">
        <f>IF(J1303=0,"",IF(G1303+H1303&lt;J1303*34,DATE(2026,10,15)+(G1303+H1303)/J1303,IF(G1303+H1303&lt;N1303,DATE(2026,11,18)+(G1303+H1303-J1303*34)/(J1303*L1303),"after Nov 30")))</f>
        <v/>
      </c>
      <c r="R1303" s="54">
        <f>IF(AND(G1303&lt;=0,J1303&gt;0),"Out of stock now",IF(G1303&gt;=N1303,"Covered to Nov 30",IF(G1303+H1303&gt;=N1303,"Needs inbound in time","Short even with inbound")))</f>
        <v/>
      </c>
      <c r="S1303" s="57" t="n">
        <v>0.964</v>
      </c>
      <c r="T1303" s="59">
        <f>IF(S1303="","",S1303*34+S1303*L1303*12)</f>
        <v/>
      </c>
    </row>
    <row r="1304">
      <c r="A1304" s="54" t="inlineStr">
        <is>
          <t>US SL Cooling Fitted</t>
        </is>
      </c>
      <c r="B1304" s="54" t="inlineStr">
        <is>
          <t>US</t>
        </is>
      </c>
      <c r="C1304" s="54" t="inlineStr">
        <is>
          <t>B0F7M87QYF</t>
        </is>
      </c>
      <c r="D1304" s="54" t="inlineStr">
        <is>
          <t>SL-COOLING-FITTED-QUEEN-GRAPHITE</t>
        </is>
      </c>
      <c r="E1304" s="54" t="inlineStr">
        <is>
          <t>Queen</t>
        </is>
      </c>
      <c r="F1304" s="54" t="inlineStr">
        <is>
          <t>Graphite</t>
        </is>
      </c>
      <c r="G1304" s="55" t="n">
        <v>175</v>
      </c>
      <c r="H1304" s="55" t="n">
        <v>60</v>
      </c>
      <c r="I1304" s="56" t="inlineStr">
        <is>
          <t>FBA19P55072C in transit: 24; FBA19N7XSBR9 in transit: 36</t>
        </is>
      </c>
      <c r="J1304" s="57" t="n">
        <v>1.1</v>
      </c>
      <c r="K1304" s="56" t="inlineStr">
        <is>
          <t>account data velocity</t>
        </is>
      </c>
      <c r="L1304" s="58" t="n">
        <v>0.9828</v>
      </c>
      <c r="M1304" s="56" t="inlineStr">
        <is>
          <t>own BFCM 2025 lift (account data)</t>
        </is>
      </c>
      <c r="N1304" s="59">
        <f>J1304*34+J1304*L1304*12</f>
        <v/>
      </c>
      <c r="O1304" s="59">
        <f>MAX(0,N1304-G1304-H1304)</f>
        <v/>
      </c>
      <c r="P1304" s="60">
        <f>IF(J1304=0,"",IF(G1304&lt;J1304*34,DATE(2026,10,15)+G1304/J1304,IF(G1304&lt;N1304,DATE(2026,11,18)+(G1304-J1304*34)/(J1304*L1304),"after Nov 30")))</f>
        <v/>
      </c>
      <c r="Q1304" s="60">
        <f>IF(J1304=0,"",IF(G1304+H1304&lt;J1304*34,DATE(2026,10,15)+(G1304+H1304)/J1304,IF(G1304+H1304&lt;N1304,DATE(2026,11,18)+(G1304+H1304-J1304*34)/(J1304*L1304),"after Nov 30")))</f>
        <v/>
      </c>
      <c r="R1304" s="54">
        <f>IF(AND(G1304&lt;=0,J1304&gt;0),"Out of stock now",IF(G1304&gt;=N1304,"Covered to Nov 30",IF(G1304+H1304&gt;=N1304,"Needs inbound in time","Short even with inbound")))</f>
        <v/>
      </c>
      <c r="S1304" s="57" t="n">
        <v>0.786</v>
      </c>
      <c r="T1304" s="59">
        <f>IF(S1304="","",S1304*34+S1304*L1304*12)</f>
        <v/>
      </c>
    </row>
    <row r="1305">
      <c r="A1305" s="54" t="inlineStr">
        <is>
          <t>US SL Cooling Fitted</t>
        </is>
      </c>
      <c r="B1305" s="54" t="inlineStr">
        <is>
          <t>US</t>
        </is>
      </c>
      <c r="C1305" s="54" t="inlineStr">
        <is>
          <t>B0F7M5TVQF</t>
        </is>
      </c>
      <c r="D1305" s="54" t="inlineStr">
        <is>
          <t>SL-COOLING-FITTED-QUEEN-COOL-GREY</t>
        </is>
      </c>
      <c r="E1305" s="54" t="inlineStr">
        <is>
          <t>Queen</t>
        </is>
      </c>
      <c r="F1305" s="54" t="inlineStr">
        <is>
          <t>Cool Grey</t>
        </is>
      </c>
      <c r="G1305" s="55" t="n">
        <v>173</v>
      </c>
      <c r="H1305" s="55" t="n">
        <v>24</v>
      </c>
      <c r="I1305" s="56" t="inlineStr">
        <is>
          <t>FBA19P55072C in transit: 12; FBA19N7XSBR9 in transit: 12</t>
        </is>
      </c>
      <c r="J1305" s="57" t="n">
        <v>1.05</v>
      </c>
      <c r="K1305" s="56" t="inlineStr">
        <is>
          <t>account data velocity</t>
        </is>
      </c>
      <c r="L1305" s="58" t="n">
        <v>0.9828</v>
      </c>
      <c r="M1305" s="56" t="inlineStr">
        <is>
          <t>own BFCM 2025 lift (account data)</t>
        </is>
      </c>
      <c r="N1305" s="59">
        <f>J1305*34+J1305*L1305*12</f>
        <v/>
      </c>
      <c r="O1305" s="59">
        <f>MAX(0,N1305-G1305-H1305)</f>
        <v/>
      </c>
      <c r="P1305" s="60">
        <f>IF(J1305=0,"",IF(G1305&lt;J1305*34,DATE(2026,10,15)+G1305/J1305,IF(G1305&lt;N1305,DATE(2026,11,18)+(G1305-J1305*34)/(J1305*L1305),"after Nov 30")))</f>
        <v/>
      </c>
      <c r="Q1305" s="60">
        <f>IF(J1305=0,"",IF(G1305+H1305&lt;J1305*34,DATE(2026,10,15)+(G1305+H1305)/J1305,IF(G1305+H1305&lt;N1305,DATE(2026,11,18)+(G1305+H1305-J1305*34)/(J1305*L1305),"after Nov 30")))</f>
        <v/>
      </c>
      <c r="R1305" s="54">
        <f>IF(AND(G1305&lt;=0,J1305&gt;0),"Out of stock now",IF(G1305&gt;=N1305,"Covered to Nov 30",IF(G1305+H1305&gt;=N1305,"Needs inbound in time","Short even with inbound")))</f>
        <v/>
      </c>
      <c r="S1305" s="57" t="n">
        <v>0.429</v>
      </c>
      <c r="T1305" s="59">
        <f>IF(S1305="","",S1305*34+S1305*L1305*12)</f>
        <v/>
      </c>
    </row>
    <row r="1306">
      <c r="A1306" s="54" t="inlineStr">
        <is>
          <t>US SL Cooling Fitted</t>
        </is>
      </c>
      <c r="B1306" s="54" t="inlineStr">
        <is>
          <t>US</t>
        </is>
      </c>
      <c r="C1306" s="54" t="inlineStr">
        <is>
          <t>B0F7M6BCNH</t>
        </is>
      </c>
      <c r="D1306" s="54" t="inlineStr">
        <is>
          <t>SL-COOLING-FITTED-KING-CREAM</t>
        </is>
      </c>
      <c r="E1306" s="54" t="inlineStr">
        <is>
          <t>King</t>
        </is>
      </c>
      <c r="F1306" s="54" t="inlineStr">
        <is>
          <t>Cream</t>
        </is>
      </c>
      <c r="G1306" s="55" t="n">
        <v>47</v>
      </c>
      <c r="H1306" s="55" t="n">
        <v>0</v>
      </c>
      <c r="I1306" s="56" t="n"/>
      <c r="J1306" s="57" t="n">
        <v>0.97</v>
      </c>
      <c r="K1306" s="56" t="inlineStr">
        <is>
          <t>account data velocity</t>
        </is>
      </c>
      <c r="L1306" s="58" t="n">
        <v>0.9828</v>
      </c>
      <c r="M1306" s="56" t="inlineStr">
        <is>
          <t>own BFCM 2025 lift (account data)</t>
        </is>
      </c>
      <c r="N1306" s="59">
        <f>J1306*34+J1306*L1306*12</f>
        <v/>
      </c>
      <c r="O1306" s="59">
        <f>MAX(0,N1306-G1306-H1306)</f>
        <v/>
      </c>
      <c r="P1306" s="60">
        <f>IF(J1306=0,"",IF(G1306&lt;J1306*34,DATE(2026,10,15)+G1306/J1306,IF(G1306&lt;N1306,DATE(2026,11,18)+(G1306-J1306*34)/(J1306*L1306),"after Nov 30")))</f>
        <v/>
      </c>
      <c r="Q1306" s="60">
        <f>IF(J1306=0,"",IF(G1306+H1306&lt;J1306*34,DATE(2026,10,15)+(G1306+H1306)/J1306,IF(G1306+H1306&lt;N1306,DATE(2026,11,18)+(G1306+H1306-J1306*34)/(J1306*L1306),"after Nov 30")))</f>
        <v/>
      </c>
      <c r="R1306" s="54">
        <f>IF(AND(G1306&lt;=0,J1306&gt;0),"Out of stock now",IF(G1306&gt;=N1306,"Covered to Nov 30",IF(G1306+H1306&gt;=N1306,"Needs inbound in time","Short even with inbound")))</f>
        <v/>
      </c>
      <c r="S1306" s="57" t="n">
        <v>0.321</v>
      </c>
      <c r="T1306" s="59">
        <f>IF(S1306="","",S1306*34+S1306*L1306*12)</f>
        <v/>
      </c>
    </row>
    <row r="1307">
      <c r="A1307" s="54" t="inlineStr">
        <is>
          <t>US SL Cooling Fitted</t>
        </is>
      </c>
      <c r="B1307" s="54" t="inlineStr">
        <is>
          <t>US</t>
        </is>
      </c>
      <c r="C1307" s="54" t="inlineStr">
        <is>
          <t>B0F7M6BF7C</t>
        </is>
      </c>
      <c r="D1307" s="54" t="inlineStr">
        <is>
          <t>SL-COOLING-FITTED-KING-LIGHT-GREY</t>
        </is>
      </c>
      <c r="E1307" s="54" t="inlineStr">
        <is>
          <t>King</t>
        </is>
      </c>
      <c r="F1307" s="54" t="inlineStr">
        <is>
          <t>Light Grey</t>
        </is>
      </c>
      <c r="G1307" s="55" t="n">
        <v>125</v>
      </c>
      <c r="H1307" s="55" t="n">
        <v>132</v>
      </c>
      <c r="I1307" s="56" t="inlineStr">
        <is>
          <t>FBA19QLJLR1F shipped: 12; FBA19QLKCVBW shipped: 12; FBA19QLK9CYH shipped: 12; FBA19QLKHC6Q shipped: 12; FBA19QLJ0ZP4 shipped: 12; FBA19N7WSG18 in transit: 12; FBA19N7RP6W7 in transit: 24; FBA19MR798TN receiving: 12; FBA19N7RQF4Q ready to ship: 24</t>
        </is>
      </c>
      <c r="J1307" s="57" t="n">
        <v>0.83</v>
      </c>
      <c r="K1307" s="56" t="inlineStr">
        <is>
          <t>account data velocity</t>
        </is>
      </c>
      <c r="L1307" s="58" t="n">
        <v>0.9828</v>
      </c>
      <c r="M1307" s="56" t="inlineStr">
        <is>
          <t>own BFCM 2025 lift (account data)</t>
        </is>
      </c>
      <c r="N1307" s="59">
        <f>J1307*34+J1307*L1307*12</f>
        <v/>
      </c>
      <c r="O1307" s="59">
        <f>MAX(0,N1307-G1307-H1307)</f>
        <v/>
      </c>
      <c r="P1307" s="60">
        <f>IF(J1307=0,"",IF(G1307&lt;J1307*34,DATE(2026,10,15)+G1307/J1307,IF(G1307&lt;N1307,DATE(2026,11,18)+(G1307-J1307*34)/(J1307*L1307),"after Nov 30")))</f>
        <v/>
      </c>
      <c r="Q1307" s="60">
        <f>IF(J1307=0,"",IF(G1307+H1307&lt;J1307*34,DATE(2026,10,15)+(G1307+H1307)/J1307,IF(G1307+H1307&lt;N1307,DATE(2026,11,18)+(G1307+H1307-J1307*34)/(J1307*L1307),"after Nov 30")))</f>
        <v/>
      </c>
      <c r="R1307" s="54">
        <f>IF(AND(G1307&lt;=0,J1307&gt;0),"Out of stock now",IF(G1307&gt;=N1307,"Covered to Nov 30",IF(G1307+H1307&gt;=N1307,"Needs inbound in time","Short even with inbound")))</f>
        <v/>
      </c>
      <c r="S1307" s="57" t="n">
        <v>1.321</v>
      </c>
      <c r="T1307" s="59">
        <f>IF(S1307="","",S1307*34+S1307*L1307*12)</f>
        <v/>
      </c>
    </row>
    <row r="1308">
      <c r="A1308" s="54" t="inlineStr">
        <is>
          <t>US SL Cooling Fitted</t>
        </is>
      </c>
      <c r="B1308" s="54" t="inlineStr">
        <is>
          <t>US</t>
        </is>
      </c>
      <c r="C1308" s="54" t="inlineStr">
        <is>
          <t>B0F7M6Q25P</t>
        </is>
      </c>
      <c r="D1308" s="54" t="inlineStr">
        <is>
          <t>SL-COOLING-FITTED-KING-SAGE-GREEN</t>
        </is>
      </c>
      <c r="E1308" s="54" t="inlineStr">
        <is>
          <t>King</t>
        </is>
      </c>
      <c r="F1308" s="54" t="inlineStr">
        <is>
          <t>Sage Green</t>
        </is>
      </c>
      <c r="G1308" s="55" t="n">
        <v>53</v>
      </c>
      <c r="H1308" s="55" t="n">
        <v>0</v>
      </c>
      <c r="I1308" s="56" t="n"/>
      <c r="J1308" s="57" t="n">
        <v>0.8100000000000001</v>
      </c>
      <c r="K1308" s="56" t="inlineStr">
        <is>
          <t>account data velocity</t>
        </is>
      </c>
      <c r="L1308" s="58" t="n">
        <v>0.9828</v>
      </c>
      <c r="M1308" s="56" t="inlineStr">
        <is>
          <t>own BFCM 2025 lift (account data)</t>
        </is>
      </c>
      <c r="N1308" s="59">
        <f>J1308*34+J1308*L1308*12</f>
        <v/>
      </c>
      <c r="O1308" s="59">
        <f>MAX(0,N1308-G1308-H1308)</f>
        <v/>
      </c>
      <c r="P1308" s="60">
        <f>IF(J1308=0,"",IF(G1308&lt;J1308*34,DATE(2026,10,15)+G1308/J1308,IF(G1308&lt;N1308,DATE(2026,11,18)+(G1308-J1308*34)/(J1308*L1308),"after Nov 30")))</f>
        <v/>
      </c>
      <c r="Q1308" s="60">
        <f>IF(J1308=0,"",IF(G1308+H1308&lt;J1308*34,DATE(2026,10,15)+(G1308+H1308)/J1308,IF(G1308+H1308&lt;N1308,DATE(2026,11,18)+(G1308+H1308-J1308*34)/(J1308*L1308),"after Nov 30")))</f>
        <v/>
      </c>
      <c r="R1308" s="54">
        <f>IF(AND(G1308&lt;=0,J1308&gt;0),"Out of stock now",IF(G1308&gt;=N1308,"Covered to Nov 30",IF(G1308+H1308&gt;=N1308,"Needs inbound in time","Short even with inbound")))</f>
        <v/>
      </c>
      <c r="S1308" s="57" t="n">
        <v>0.679</v>
      </c>
      <c r="T1308" s="59">
        <f>IF(S1308="","",S1308*34+S1308*L1308*12)</f>
        <v/>
      </c>
    </row>
    <row r="1309">
      <c r="A1309" s="54" t="inlineStr">
        <is>
          <t>US SL Cooling Fitted</t>
        </is>
      </c>
      <c r="B1309" s="54" t="inlineStr">
        <is>
          <t>US</t>
        </is>
      </c>
      <c r="C1309" s="54" t="inlineStr">
        <is>
          <t>B0F7M4DRJN</t>
        </is>
      </c>
      <c r="D1309" s="54" t="inlineStr">
        <is>
          <t>SL-COOLING-FITTED-KING-REGAL-PURPLE</t>
        </is>
      </c>
      <c r="E1309" s="54" t="inlineStr">
        <is>
          <t>King</t>
        </is>
      </c>
      <c r="F1309" s="54" t="inlineStr">
        <is>
          <t>Regal Purple</t>
        </is>
      </c>
      <c r="G1309" s="55" t="n">
        <v>57</v>
      </c>
      <c r="H1309" s="55" t="n">
        <v>0</v>
      </c>
      <c r="I1309" s="56" t="n"/>
      <c r="J1309" s="57" t="n">
        <v>0.8</v>
      </c>
      <c r="K1309" s="56" t="inlineStr">
        <is>
          <t>account data velocity</t>
        </is>
      </c>
      <c r="L1309" s="58" t="n">
        <v>0.9828</v>
      </c>
      <c r="M1309" s="56" t="inlineStr">
        <is>
          <t>own BFCM 2025 lift (account data)</t>
        </is>
      </c>
      <c r="N1309" s="59">
        <f>J1309*34+J1309*L1309*12</f>
        <v/>
      </c>
      <c r="O1309" s="59">
        <f>MAX(0,N1309-G1309-H1309)</f>
        <v/>
      </c>
      <c r="P1309" s="60">
        <f>IF(J1309=0,"",IF(G1309&lt;J1309*34,DATE(2026,10,15)+G1309/J1309,IF(G1309&lt;N1309,DATE(2026,11,18)+(G1309-J1309*34)/(J1309*L1309),"after Nov 30")))</f>
        <v/>
      </c>
      <c r="Q1309" s="60">
        <f>IF(J1309=0,"",IF(G1309+H1309&lt;J1309*34,DATE(2026,10,15)+(G1309+H1309)/J1309,IF(G1309+H1309&lt;N1309,DATE(2026,11,18)+(G1309+H1309-J1309*34)/(J1309*L1309),"after Nov 30")))</f>
        <v/>
      </c>
      <c r="R1309" s="54">
        <f>IF(AND(G1309&lt;=0,J1309&gt;0),"Out of stock now",IF(G1309&gt;=N1309,"Covered to Nov 30",IF(G1309+H1309&gt;=N1309,"Needs inbound in time","Short even with inbound")))</f>
        <v/>
      </c>
      <c r="S1309" s="57" t="n">
        <v>0.357</v>
      </c>
      <c r="T1309" s="59">
        <f>IF(S1309="","",S1309*34+S1309*L1309*12)</f>
        <v/>
      </c>
    </row>
    <row r="1310">
      <c r="A1310" s="54" t="inlineStr">
        <is>
          <t>US SL Cooling Fitted</t>
        </is>
      </c>
      <c r="B1310" s="54" t="inlineStr">
        <is>
          <t>US</t>
        </is>
      </c>
      <c r="C1310" s="54" t="inlineStr">
        <is>
          <t>B0F7M8SJ5Q</t>
        </is>
      </c>
      <c r="D1310" s="54" t="inlineStr">
        <is>
          <t>SL-COOLING-FITTED-KING-BEIGE</t>
        </is>
      </c>
      <c r="E1310" s="54" t="inlineStr">
        <is>
          <t>King</t>
        </is>
      </c>
      <c r="F1310" s="54" t="inlineStr">
        <is>
          <t>Beige</t>
        </is>
      </c>
      <c r="G1310" s="55" t="n">
        <v>80</v>
      </c>
      <c r="H1310" s="55" t="n">
        <v>72</v>
      </c>
      <c r="I1310" s="56" t="inlineStr">
        <is>
          <t>FBA19N7WSG18 in transit: 12; FBA19N7RP6W7 in transit: 36; FBA19N7RQF4Q ready to ship: 24</t>
        </is>
      </c>
      <c r="J1310" s="57" t="n">
        <v>0.68</v>
      </c>
      <c r="K1310" s="56" t="inlineStr">
        <is>
          <t>account data velocity</t>
        </is>
      </c>
      <c r="L1310" s="58" t="n">
        <v>0.9828</v>
      </c>
      <c r="M1310" s="56" t="inlineStr">
        <is>
          <t>own BFCM 2025 lift (account data)</t>
        </is>
      </c>
      <c r="N1310" s="59">
        <f>J1310*34+J1310*L1310*12</f>
        <v/>
      </c>
      <c r="O1310" s="59">
        <f>MAX(0,N1310-G1310-H1310)</f>
        <v/>
      </c>
      <c r="P1310" s="60">
        <f>IF(J1310=0,"",IF(G1310&lt;J1310*34,DATE(2026,10,15)+G1310/J1310,IF(G1310&lt;N1310,DATE(2026,11,18)+(G1310-J1310*34)/(J1310*L1310),"after Nov 30")))</f>
        <v/>
      </c>
      <c r="Q1310" s="60">
        <f>IF(J1310=0,"",IF(G1310+H1310&lt;J1310*34,DATE(2026,10,15)+(G1310+H1310)/J1310,IF(G1310+H1310&lt;N1310,DATE(2026,11,18)+(G1310+H1310-J1310*34)/(J1310*L1310),"after Nov 30")))</f>
        <v/>
      </c>
      <c r="R1310" s="54">
        <f>IF(AND(G1310&lt;=0,J1310&gt;0),"Out of stock now",IF(G1310&gt;=N1310,"Covered to Nov 30",IF(G1310+H1310&gt;=N1310,"Needs inbound in time","Short even with inbound")))</f>
        <v/>
      </c>
      <c r="S1310" s="57" t="n">
        <v>1.107</v>
      </c>
      <c r="T1310" s="59">
        <f>IF(S1310="","",S1310*34+S1310*L1310*12)</f>
        <v/>
      </c>
    </row>
    <row r="1311">
      <c r="A1311" s="54" t="inlineStr">
        <is>
          <t>US SL Cooling Fitted</t>
        </is>
      </c>
      <c r="B1311" s="54" t="inlineStr">
        <is>
          <t>US</t>
        </is>
      </c>
      <c r="C1311" s="54" t="inlineStr">
        <is>
          <t>B0F7M6Q6G8</t>
        </is>
      </c>
      <c r="D1311" s="54" t="inlineStr">
        <is>
          <t>SL-COOLING-FITTED-QUEEN-SAGE-GREEN</t>
        </is>
      </c>
      <c r="E1311" s="54" t="inlineStr">
        <is>
          <t>Queen</t>
        </is>
      </c>
      <c r="F1311" s="54" t="inlineStr">
        <is>
          <t>Sage Green</t>
        </is>
      </c>
      <c r="G1311" s="55" t="n">
        <v>75</v>
      </c>
      <c r="H1311" s="55" t="n">
        <v>0</v>
      </c>
      <c r="I1311" s="56" t="n"/>
      <c r="J1311" s="57" t="n">
        <v>0.51</v>
      </c>
      <c r="K1311" s="56" t="inlineStr">
        <is>
          <t>account data velocity</t>
        </is>
      </c>
      <c r="L1311" s="58" t="n">
        <v>0.9828</v>
      </c>
      <c r="M1311" s="56" t="inlineStr">
        <is>
          <t>own BFCM 2025 lift (account data)</t>
        </is>
      </c>
      <c r="N1311" s="59">
        <f>J1311*34+J1311*L1311*12</f>
        <v/>
      </c>
      <c r="O1311" s="59">
        <f>MAX(0,N1311-G1311-H1311)</f>
        <v/>
      </c>
      <c r="P1311" s="60">
        <f>IF(J1311=0,"",IF(G1311&lt;J1311*34,DATE(2026,10,15)+G1311/J1311,IF(G1311&lt;N1311,DATE(2026,11,18)+(G1311-J1311*34)/(J1311*L1311),"after Nov 30")))</f>
        <v/>
      </c>
      <c r="Q1311" s="60">
        <f>IF(J1311=0,"",IF(G1311+H1311&lt;J1311*34,DATE(2026,10,15)+(G1311+H1311)/J1311,IF(G1311+H1311&lt;N1311,DATE(2026,11,18)+(G1311+H1311-J1311*34)/(J1311*L1311),"after Nov 30")))</f>
        <v/>
      </c>
      <c r="R1311" s="54">
        <f>IF(AND(G1311&lt;=0,J1311&gt;0),"Out of stock now",IF(G1311&gt;=N1311,"Covered to Nov 30",IF(G1311+H1311&gt;=N1311,"Needs inbound in time","Short even with inbound")))</f>
        <v/>
      </c>
      <c r="S1311" s="57" t="n">
        <v>0.714</v>
      </c>
      <c r="T1311" s="59">
        <f>IF(S1311="","",S1311*34+S1311*L1311*12)</f>
        <v/>
      </c>
    </row>
    <row r="1312">
      <c r="A1312" s="54" t="inlineStr">
        <is>
          <t>US SL Cooling Fitted</t>
        </is>
      </c>
      <c r="B1312" s="54" t="inlineStr">
        <is>
          <t>US</t>
        </is>
      </c>
      <c r="C1312" s="54" t="inlineStr">
        <is>
          <t>B0F7M4H352</t>
        </is>
      </c>
      <c r="D1312" s="54" t="inlineStr">
        <is>
          <t>SL-COOLING-FITTED-FULL-COOL-GREY</t>
        </is>
      </c>
      <c r="E1312" s="54" t="inlineStr">
        <is>
          <t>Full</t>
        </is>
      </c>
      <c r="F1312" s="54" t="inlineStr">
        <is>
          <t>Cool Grey</t>
        </is>
      </c>
      <c r="G1312" s="55" t="n">
        <v>95</v>
      </c>
      <c r="H1312" s="55" t="n">
        <v>0</v>
      </c>
      <c r="I1312" s="56" t="n"/>
      <c r="J1312" s="57" t="n">
        <v>0.51</v>
      </c>
      <c r="K1312" s="56" t="inlineStr">
        <is>
          <t>account data velocity</t>
        </is>
      </c>
      <c r="L1312" s="58" t="n">
        <v>0.9828</v>
      </c>
      <c r="M1312" s="56" t="inlineStr">
        <is>
          <t>own BFCM 2025 lift (account data)</t>
        </is>
      </c>
      <c r="N1312" s="59">
        <f>J1312*34+J1312*L1312*12</f>
        <v/>
      </c>
      <c r="O1312" s="59">
        <f>MAX(0,N1312-G1312-H1312)</f>
        <v/>
      </c>
      <c r="P1312" s="60">
        <f>IF(J1312=0,"",IF(G1312&lt;J1312*34,DATE(2026,10,15)+G1312/J1312,IF(G1312&lt;N1312,DATE(2026,11,18)+(G1312-J1312*34)/(J1312*L1312),"after Nov 30")))</f>
        <v/>
      </c>
      <c r="Q1312" s="60">
        <f>IF(J1312=0,"",IF(G1312+H1312&lt;J1312*34,DATE(2026,10,15)+(G1312+H1312)/J1312,IF(G1312+H1312&lt;N1312,DATE(2026,11,18)+(G1312+H1312-J1312*34)/(J1312*L1312),"after Nov 30")))</f>
        <v/>
      </c>
      <c r="R1312" s="54">
        <f>IF(AND(G1312&lt;=0,J1312&gt;0),"Out of stock now",IF(G1312&gt;=N1312,"Covered to Nov 30",IF(G1312+H1312&gt;=N1312,"Needs inbound in time","Short even with inbound")))</f>
        <v/>
      </c>
      <c r="S1312" s="57" t="n">
        <v>0.464</v>
      </c>
      <c r="T1312" s="59">
        <f>IF(S1312="","",S1312*34+S1312*L1312*12)</f>
        <v/>
      </c>
    </row>
    <row r="1313">
      <c r="A1313" s="54" t="inlineStr">
        <is>
          <t>US SL Cooling Fitted</t>
        </is>
      </c>
      <c r="B1313" s="54" t="inlineStr">
        <is>
          <t>US</t>
        </is>
      </c>
      <c r="C1313" s="54" t="inlineStr">
        <is>
          <t>B0F7M55274</t>
        </is>
      </c>
      <c r="D1313" s="54" t="inlineStr">
        <is>
          <t>SL-COOLING-FITTED-QUEEN-CREAM</t>
        </is>
      </c>
      <c r="E1313" s="54" t="inlineStr">
        <is>
          <t>Queen</t>
        </is>
      </c>
      <c r="F1313" s="54" t="inlineStr">
        <is>
          <t>Cream</t>
        </is>
      </c>
      <c r="G1313" s="55" t="n">
        <v>31</v>
      </c>
      <c r="H1313" s="55" t="n">
        <v>36</v>
      </c>
      <c r="I1313" s="56" t="inlineStr">
        <is>
          <t>FBA19N7XSBR9 in transit: 36</t>
        </is>
      </c>
      <c r="J1313" s="57" t="n">
        <v>0.4</v>
      </c>
      <c r="K1313" s="56" t="inlineStr">
        <is>
          <t>account data velocity</t>
        </is>
      </c>
      <c r="L1313" s="58" t="n">
        <v>0.9828</v>
      </c>
      <c r="M1313" s="56" t="inlineStr">
        <is>
          <t>own BFCM 2025 lift (account data)</t>
        </is>
      </c>
      <c r="N1313" s="59">
        <f>J1313*34+J1313*L1313*12</f>
        <v/>
      </c>
      <c r="O1313" s="59">
        <f>MAX(0,N1313-G1313-H1313)</f>
        <v/>
      </c>
      <c r="P1313" s="60">
        <f>IF(J1313=0,"",IF(G1313&lt;J1313*34,DATE(2026,10,15)+G1313/J1313,IF(G1313&lt;N1313,DATE(2026,11,18)+(G1313-J1313*34)/(J1313*L1313),"after Nov 30")))</f>
        <v/>
      </c>
      <c r="Q1313" s="60">
        <f>IF(J1313=0,"",IF(G1313+H1313&lt;J1313*34,DATE(2026,10,15)+(G1313+H1313)/J1313,IF(G1313+H1313&lt;N1313,DATE(2026,11,18)+(G1313+H1313-J1313*34)/(J1313*L1313),"after Nov 30")))</f>
        <v/>
      </c>
      <c r="R1313" s="54">
        <f>IF(AND(G1313&lt;=0,J1313&gt;0),"Out of stock now",IF(G1313&gt;=N1313,"Covered to Nov 30",IF(G1313+H1313&gt;=N1313,"Needs inbound in time","Short even with inbound")))</f>
        <v/>
      </c>
      <c r="S1313" s="57" t="n">
        <v>0.679</v>
      </c>
      <c r="T1313" s="59">
        <f>IF(S1313="","",S1313*34+S1313*L1313*12)</f>
        <v/>
      </c>
    </row>
    <row r="1314">
      <c r="A1314" s="54" t="inlineStr">
        <is>
          <t>US SL Cooling Fitted</t>
        </is>
      </c>
      <c r="B1314" s="54" t="inlineStr">
        <is>
          <t>US</t>
        </is>
      </c>
      <c r="C1314" s="54" t="inlineStr">
        <is>
          <t>B0F7M4WBKD</t>
        </is>
      </c>
      <c r="D1314" s="54" t="inlineStr">
        <is>
          <t>SL-COOLING-FITTED-KING-LIGHT-BLUE</t>
        </is>
      </c>
      <c r="E1314" s="54" t="inlineStr">
        <is>
          <t>King</t>
        </is>
      </c>
      <c r="F1314" s="54" t="inlineStr">
        <is>
          <t>Light Blue</t>
        </is>
      </c>
      <c r="G1314" s="55" t="n">
        <v>46</v>
      </c>
      <c r="H1314" s="55" t="n">
        <v>0</v>
      </c>
      <c r="I1314" s="56" t="n"/>
      <c r="J1314" s="57" t="n">
        <v>0.39</v>
      </c>
      <c r="K1314" s="56" t="inlineStr">
        <is>
          <t>account data velocity</t>
        </is>
      </c>
      <c r="L1314" s="58" t="n">
        <v>0.9828</v>
      </c>
      <c r="M1314" s="56" t="inlineStr">
        <is>
          <t>own BFCM 2025 lift (account data)</t>
        </is>
      </c>
      <c r="N1314" s="59">
        <f>J1314*34+J1314*L1314*12</f>
        <v/>
      </c>
      <c r="O1314" s="59">
        <f>MAX(0,N1314-G1314-H1314)</f>
        <v/>
      </c>
      <c r="P1314" s="60">
        <f>IF(J1314=0,"",IF(G1314&lt;J1314*34,DATE(2026,10,15)+G1314/J1314,IF(G1314&lt;N1314,DATE(2026,11,18)+(G1314-J1314*34)/(J1314*L1314),"after Nov 30")))</f>
        <v/>
      </c>
      <c r="Q1314" s="60">
        <f>IF(J1314=0,"",IF(G1314+H1314&lt;J1314*34,DATE(2026,10,15)+(G1314+H1314)/J1314,IF(G1314+H1314&lt;N1314,DATE(2026,11,18)+(G1314+H1314-J1314*34)/(J1314*L1314),"after Nov 30")))</f>
        <v/>
      </c>
      <c r="R1314" s="54">
        <f>IF(AND(G1314&lt;=0,J1314&gt;0),"Out of stock now",IF(G1314&gt;=N1314,"Covered to Nov 30",IF(G1314+H1314&gt;=N1314,"Needs inbound in time","Short even with inbound")))</f>
        <v/>
      </c>
      <c r="S1314" s="57" t="n">
        <v>0.429</v>
      </c>
      <c r="T1314" s="59">
        <f>IF(S1314="","",S1314*34+S1314*L1314*12)</f>
        <v/>
      </c>
    </row>
    <row r="1315">
      <c r="A1315" s="54" t="inlineStr">
        <is>
          <t>US SL Cooling Fitted</t>
        </is>
      </c>
      <c r="B1315" s="54" t="inlineStr">
        <is>
          <t>US</t>
        </is>
      </c>
      <c r="C1315" s="54" t="inlineStr">
        <is>
          <t>B0F7M4XKZ3</t>
        </is>
      </c>
      <c r="D1315" s="54" t="inlineStr">
        <is>
          <t>SL-COOLING-FITTED-FULL-LIGHT-GREY</t>
        </is>
      </c>
      <c r="E1315" s="54" t="inlineStr">
        <is>
          <t>Full</t>
        </is>
      </c>
      <c r="F1315" s="54" t="inlineStr">
        <is>
          <t>Light Grey</t>
        </is>
      </c>
      <c r="G1315" s="55" t="n">
        <v>27</v>
      </c>
      <c r="H1315" s="55" t="n">
        <v>2</v>
      </c>
      <c r="I1315" s="56" t="inlineStr">
        <is>
          <t>FBA19L31XWPR receiving: 2</t>
        </is>
      </c>
      <c r="J1315" s="57" t="n">
        <v>0.38</v>
      </c>
      <c r="K1315" s="56" t="inlineStr">
        <is>
          <t>account data velocity</t>
        </is>
      </c>
      <c r="L1315" s="58" t="n">
        <v>0.9828</v>
      </c>
      <c r="M1315" s="56" t="inlineStr">
        <is>
          <t>own BFCM 2025 lift (account data)</t>
        </is>
      </c>
      <c r="N1315" s="59">
        <f>J1315*34+J1315*L1315*12</f>
        <v/>
      </c>
      <c r="O1315" s="59">
        <f>MAX(0,N1315-G1315-H1315)</f>
        <v/>
      </c>
      <c r="P1315" s="60">
        <f>IF(J1315=0,"",IF(G1315&lt;J1315*34,DATE(2026,10,15)+G1315/J1315,IF(G1315&lt;N1315,DATE(2026,11,18)+(G1315-J1315*34)/(J1315*L1315),"after Nov 30")))</f>
        <v/>
      </c>
      <c r="Q1315" s="60">
        <f>IF(J1315=0,"",IF(G1315+H1315&lt;J1315*34,DATE(2026,10,15)+(G1315+H1315)/J1315,IF(G1315+H1315&lt;N1315,DATE(2026,11,18)+(G1315+H1315-J1315*34)/(J1315*L1315),"after Nov 30")))</f>
        <v/>
      </c>
      <c r="R1315" s="54">
        <f>IF(AND(G1315&lt;=0,J1315&gt;0),"Out of stock now",IF(G1315&gt;=N1315,"Covered to Nov 30",IF(G1315+H1315&gt;=N1315,"Needs inbound in time","Short even with inbound")))</f>
        <v/>
      </c>
      <c r="S1315" s="57" t="n">
        <v>0.286</v>
      </c>
      <c r="T1315" s="59">
        <f>IF(S1315="","",S1315*34+S1315*L1315*12)</f>
        <v/>
      </c>
    </row>
    <row r="1316">
      <c r="A1316" s="54" t="inlineStr">
        <is>
          <t>US SL Cooling Fitted</t>
        </is>
      </c>
      <c r="B1316" s="54" t="inlineStr">
        <is>
          <t>US</t>
        </is>
      </c>
      <c r="C1316" s="54" t="inlineStr">
        <is>
          <t>B0F7M5V4JC</t>
        </is>
      </c>
      <c r="D1316" s="54" t="inlineStr">
        <is>
          <t>SL-COOLING-FITTED-QUEEN-REGAL-PURPLE</t>
        </is>
      </c>
      <c r="E1316" s="54" t="inlineStr">
        <is>
          <t>Queen</t>
        </is>
      </c>
      <c r="F1316" s="54" t="inlineStr">
        <is>
          <t>Regal Purple</t>
        </is>
      </c>
      <c r="G1316" s="55" t="n">
        <v>32</v>
      </c>
      <c r="H1316" s="55" t="n">
        <v>0</v>
      </c>
      <c r="I1316" s="56" t="n"/>
      <c r="J1316" s="57" t="n">
        <v>0.33</v>
      </c>
      <c r="K1316" s="56" t="inlineStr">
        <is>
          <t>account data velocity</t>
        </is>
      </c>
      <c r="L1316" s="58" t="n">
        <v>0.9828</v>
      </c>
      <c r="M1316" s="56" t="inlineStr">
        <is>
          <t>own BFCM 2025 lift (account data)</t>
        </is>
      </c>
      <c r="N1316" s="59">
        <f>J1316*34+J1316*L1316*12</f>
        <v/>
      </c>
      <c r="O1316" s="59">
        <f>MAX(0,N1316-G1316-H1316)</f>
        <v/>
      </c>
      <c r="P1316" s="60">
        <f>IF(J1316=0,"",IF(G1316&lt;J1316*34,DATE(2026,10,15)+G1316/J1316,IF(G1316&lt;N1316,DATE(2026,11,18)+(G1316-J1316*34)/(J1316*L1316),"after Nov 30")))</f>
        <v/>
      </c>
      <c r="Q1316" s="60">
        <f>IF(J1316=0,"",IF(G1316+H1316&lt;J1316*34,DATE(2026,10,15)+(G1316+H1316)/J1316,IF(G1316+H1316&lt;N1316,DATE(2026,11,18)+(G1316+H1316-J1316*34)/(J1316*L1316),"after Nov 30")))</f>
        <v/>
      </c>
      <c r="R1316" s="54">
        <f>IF(AND(G1316&lt;=0,J1316&gt;0),"Out of stock now",IF(G1316&gt;=N1316,"Covered to Nov 30",IF(G1316+H1316&gt;=N1316,"Needs inbound in time","Short even with inbound")))</f>
        <v/>
      </c>
      <c r="S1316" s="57" t="n">
        <v>0.536</v>
      </c>
      <c r="T1316" s="59">
        <f>IF(S1316="","",S1316*34+S1316*L1316*12)</f>
        <v/>
      </c>
    </row>
    <row r="1317">
      <c r="A1317" s="54" t="inlineStr">
        <is>
          <t>US SL Cooling Fitted</t>
        </is>
      </c>
      <c r="B1317" s="54" t="inlineStr">
        <is>
          <t>US</t>
        </is>
      </c>
      <c r="C1317" s="54" t="inlineStr">
        <is>
          <t>B0F7M61LHQ</t>
        </is>
      </c>
      <c r="D1317" s="54" t="inlineStr">
        <is>
          <t>SL-COOLING-FITTED-KING-COOL-BLUE</t>
        </is>
      </c>
      <c r="E1317" s="54" t="inlineStr">
        <is>
          <t>King</t>
        </is>
      </c>
      <c r="F1317" s="54" t="inlineStr">
        <is>
          <t>Cool Blue</t>
        </is>
      </c>
      <c r="G1317" s="55" t="n">
        <v>12</v>
      </c>
      <c r="H1317" s="55" t="n">
        <v>0</v>
      </c>
      <c r="I1317" s="56" t="n"/>
      <c r="J1317" s="57" t="n">
        <v>0.33</v>
      </c>
      <c r="K1317" s="56" t="inlineStr">
        <is>
          <t>account data velocity</t>
        </is>
      </c>
      <c r="L1317" s="58" t="n">
        <v>0.9828</v>
      </c>
      <c r="M1317" s="56" t="inlineStr">
        <is>
          <t>own BFCM 2025 lift (account data)</t>
        </is>
      </c>
      <c r="N1317" s="59">
        <f>J1317*34+J1317*L1317*12</f>
        <v/>
      </c>
      <c r="O1317" s="59">
        <f>MAX(0,N1317-G1317-H1317)</f>
        <v/>
      </c>
      <c r="P1317" s="60">
        <f>IF(J1317=0,"",IF(G1317&lt;J1317*34,DATE(2026,10,15)+G1317/J1317,IF(G1317&lt;N1317,DATE(2026,11,18)+(G1317-J1317*34)/(J1317*L1317),"after Nov 30")))</f>
        <v/>
      </c>
      <c r="Q1317" s="60">
        <f>IF(J1317=0,"",IF(G1317+H1317&lt;J1317*34,DATE(2026,10,15)+(G1317+H1317)/J1317,IF(G1317+H1317&lt;N1317,DATE(2026,11,18)+(G1317+H1317-J1317*34)/(J1317*L1317),"after Nov 30")))</f>
        <v/>
      </c>
      <c r="R1317" s="54">
        <f>IF(AND(G1317&lt;=0,J1317&gt;0),"Out of stock now",IF(G1317&gt;=N1317,"Covered to Nov 30",IF(G1317+H1317&gt;=N1317,"Needs inbound in time","Short even with inbound")))</f>
        <v/>
      </c>
      <c r="S1317" s="57" t="n">
        <v>0.036</v>
      </c>
      <c r="T1317" s="59">
        <f>IF(S1317="","",S1317*34+S1317*L1317*12)</f>
        <v/>
      </c>
    </row>
    <row r="1318">
      <c r="A1318" s="54" t="inlineStr">
        <is>
          <t>US SL Cooling Fitted</t>
        </is>
      </c>
      <c r="B1318" s="54" t="inlineStr">
        <is>
          <t>US</t>
        </is>
      </c>
      <c r="C1318" s="54" t="inlineStr">
        <is>
          <t>B0F7M4BGMH</t>
        </is>
      </c>
      <c r="D1318" s="54" t="inlineStr">
        <is>
          <t>SL-COOLING-FITTED-FULL-GRAPHITE</t>
        </is>
      </c>
      <c r="E1318" s="54" t="inlineStr">
        <is>
          <t>Full</t>
        </is>
      </c>
      <c r="F1318" s="54" t="inlineStr">
        <is>
          <t>Graphite</t>
        </is>
      </c>
      <c r="G1318" s="55" t="n">
        <v>44</v>
      </c>
      <c r="H1318" s="55" t="n">
        <v>0</v>
      </c>
      <c r="I1318" s="56" t="n"/>
      <c r="J1318" s="57" t="n">
        <v>0.3</v>
      </c>
      <c r="K1318" s="56" t="inlineStr">
        <is>
          <t>account data velocity</t>
        </is>
      </c>
      <c r="L1318" s="58" t="n">
        <v>0.9828</v>
      </c>
      <c r="M1318" s="56" t="inlineStr">
        <is>
          <t>own BFCM 2025 lift (account data)</t>
        </is>
      </c>
      <c r="N1318" s="59">
        <f>J1318*34+J1318*L1318*12</f>
        <v/>
      </c>
      <c r="O1318" s="59">
        <f>MAX(0,N1318-G1318-H1318)</f>
        <v/>
      </c>
      <c r="P1318" s="60">
        <f>IF(J1318=0,"",IF(G1318&lt;J1318*34,DATE(2026,10,15)+G1318/J1318,IF(G1318&lt;N1318,DATE(2026,11,18)+(G1318-J1318*34)/(J1318*L1318),"after Nov 30")))</f>
        <v/>
      </c>
      <c r="Q1318" s="60">
        <f>IF(J1318=0,"",IF(G1318+H1318&lt;J1318*34,DATE(2026,10,15)+(G1318+H1318)/J1318,IF(G1318+H1318&lt;N1318,DATE(2026,11,18)+(G1318+H1318-J1318*34)/(J1318*L1318),"after Nov 30")))</f>
        <v/>
      </c>
      <c r="R1318" s="54">
        <f>IF(AND(G1318&lt;=0,J1318&gt;0),"Out of stock now",IF(G1318&gt;=N1318,"Covered to Nov 30",IF(G1318+H1318&gt;=N1318,"Needs inbound in time","Short even with inbound")))</f>
        <v/>
      </c>
      <c r="S1318" s="57" t="n">
        <v>0.143</v>
      </c>
      <c r="T1318" s="59">
        <f>IF(S1318="","",S1318*34+S1318*L1318*12)</f>
        <v/>
      </c>
    </row>
    <row r="1319">
      <c r="A1319" s="54" t="inlineStr">
        <is>
          <t>US SL Cooling Fitted</t>
        </is>
      </c>
      <c r="B1319" s="54" t="inlineStr">
        <is>
          <t>US</t>
        </is>
      </c>
      <c r="C1319" s="54" t="inlineStr">
        <is>
          <t>B0F7M4VHKW</t>
        </is>
      </c>
      <c r="D1319" s="54" t="inlineStr">
        <is>
          <t>SL-COOLING-FITTED-TWIN-MIDNIGHT-BLACK</t>
        </is>
      </c>
      <c r="E1319" s="54" t="inlineStr">
        <is>
          <t>Twin</t>
        </is>
      </c>
      <c r="F1319" s="54" t="inlineStr">
        <is>
          <t>Midnight Black</t>
        </is>
      </c>
      <c r="G1319" s="55" t="n">
        <v>54</v>
      </c>
      <c r="H1319" s="55" t="n">
        <v>0</v>
      </c>
      <c r="I1319" s="56" t="n"/>
      <c r="J1319" s="57" t="n">
        <v>0.27</v>
      </c>
      <c r="K1319" s="56" t="inlineStr">
        <is>
          <t>account data velocity</t>
        </is>
      </c>
      <c r="L1319" s="58" t="n">
        <v>0.9828</v>
      </c>
      <c r="M1319" s="56" t="inlineStr">
        <is>
          <t>own BFCM 2025 lift (account data)</t>
        </is>
      </c>
      <c r="N1319" s="59">
        <f>J1319*34+J1319*L1319*12</f>
        <v/>
      </c>
      <c r="O1319" s="59">
        <f>MAX(0,N1319-G1319-H1319)</f>
        <v/>
      </c>
      <c r="P1319" s="60">
        <f>IF(J1319=0,"",IF(G1319&lt;J1319*34,DATE(2026,10,15)+G1319/J1319,IF(G1319&lt;N1319,DATE(2026,11,18)+(G1319-J1319*34)/(J1319*L1319),"after Nov 30")))</f>
        <v/>
      </c>
      <c r="Q1319" s="60">
        <f>IF(J1319=0,"",IF(G1319+H1319&lt;J1319*34,DATE(2026,10,15)+(G1319+H1319)/J1319,IF(G1319+H1319&lt;N1319,DATE(2026,11,18)+(G1319+H1319-J1319*34)/(J1319*L1319),"after Nov 30")))</f>
        <v/>
      </c>
      <c r="R1319" s="54">
        <f>IF(AND(G1319&lt;=0,J1319&gt;0),"Out of stock now",IF(G1319&gt;=N1319,"Covered to Nov 30",IF(G1319+H1319&gt;=N1319,"Needs inbound in time","Short even with inbound")))</f>
        <v/>
      </c>
      <c r="S1319" s="57" t="n">
        <v>0.179</v>
      </c>
      <c r="T1319" s="59">
        <f>IF(S1319="","",S1319*34+S1319*L1319*12)</f>
        <v/>
      </c>
    </row>
    <row r="1320">
      <c r="A1320" s="54" t="inlineStr">
        <is>
          <t>US SL Cooling Fitted</t>
        </is>
      </c>
      <c r="B1320" s="54" t="inlineStr">
        <is>
          <t>US</t>
        </is>
      </c>
      <c r="C1320" s="54" t="inlineStr">
        <is>
          <t>B0F7M7Z55J</t>
        </is>
      </c>
      <c r="D1320" s="54" t="inlineStr">
        <is>
          <t>SL-COOLING-FITTED-TWIN-COOL-BLUE</t>
        </is>
      </c>
      <c r="E1320" s="54" t="inlineStr">
        <is>
          <t>Twin</t>
        </is>
      </c>
      <c r="F1320" s="54" t="inlineStr">
        <is>
          <t>Cool Blue</t>
        </is>
      </c>
      <c r="G1320" s="55" t="n">
        <v>21</v>
      </c>
      <c r="H1320" s="55" t="n">
        <v>0</v>
      </c>
      <c r="I1320" s="56" t="n"/>
      <c r="J1320" s="57" t="n">
        <v>0.25</v>
      </c>
      <c r="K1320" s="56" t="inlineStr">
        <is>
          <t>account data velocity</t>
        </is>
      </c>
      <c r="L1320" s="58" t="n">
        <v>0.9828</v>
      </c>
      <c r="M1320" s="56" t="inlineStr">
        <is>
          <t>own BFCM 2025 lift (account data)</t>
        </is>
      </c>
      <c r="N1320" s="59">
        <f>J1320*34+J1320*L1320*12</f>
        <v/>
      </c>
      <c r="O1320" s="59">
        <f>MAX(0,N1320-G1320-H1320)</f>
        <v/>
      </c>
      <c r="P1320" s="60">
        <f>IF(J1320=0,"",IF(G1320&lt;J1320*34,DATE(2026,10,15)+G1320/J1320,IF(G1320&lt;N1320,DATE(2026,11,18)+(G1320-J1320*34)/(J1320*L1320),"after Nov 30")))</f>
        <v/>
      </c>
      <c r="Q1320" s="60">
        <f>IF(J1320=0,"",IF(G1320+H1320&lt;J1320*34,DATE(2026,10,15)+(G1320+H1320)/J1320,IF(G1320+H1320&lt;N1320,DATE(2026,11,18)+(G1320+H1320-J1320*34)/(J1320*L1320),"after Nov 30")))</f>
        <v/>
      </c>
      <c r="R1320" s="54">
        <f>IF(AND(G1320&lt;=0,J1320&gt;0),"Out of stock now",IF(G1320&gt;=N1320,"Covered to Nov 30",IF(G1320+H1320&gt;=N1320,"Needs inbound in time","Short even with inbound")))</f>
        <v/>
      </c>
      <c r="S1320" s="57" t="n">
        <v>0.107</v>
      </c>
      <c r="T1320" s="59">
        <f>IF(S1320="","",S1320*34+S1320*L1320*12)</f>
        <v/>
      </c>
    </row>
    <row r="1321">
      <c r="A1321" s="54" t="inlineStr">
        <is>
          <t>US SL Cooling Fitted</t>
        </is>
      </c>
      <c r="B1321" s="54" t="inlineStr">
        <is>
          <t>US</t>
        </is>
      </c>
      <c r="C1321" s="54" t="inlineStr">
        <is>
          <t>B0F7M77MRJ</t>
        </is>
      </c>
      <c r="D1321" s="54" t="inlineStr">
        <is>
          <t>SL-COOLING-FITTED-TWIN-WHITE</t>
        </is>
      </c>
      <c r="E1321" s="54" t="inlineStr">
        <is>
          <t>Twin</t>
        </is>
      </c>
      <c r="F1321" s="54" t="inlineStr">
        <is>
          <t>White</t>
        </is>
      </c>
      <c r="G1321" s="55" t="n">
        <v>12</v>
      </c>
      <c r="H1321" s="55" t="n">
        <v>60</v>
      </c>
      <c r="I1321" s="56" t="inlineStr">
        <is>
          <t>FBA19QLJLR1F shipped: 12; FBA19QLKCVBW shipped: 12; FBA19QLK9CYH shipped: 12; FBA19QLKHC6Q shipped: 12; FBA19QLJ0ZP4 shipped: 12</t>
        </is>
      </c>
      <c r="J1321" s="57" t="n">
        <v>0.25</v>
      </c>
      <c r="K1321" s="56" t="inlineStr">
        <is>
          <t>account data velocity</t>
        </is>
      </c>
      <c r="L1321" s="58" t="n">
        <v>0.9828</v>
      </c>
      <c r="M1321" s="56" t="inlineStr">
        <is>
          <t>own BFCM 2025 lift (account data)</t>
        </is>
      </c>
      <c r="N1321" s="59">
        <f>J1321*34+J1321*L1321*12</f>
        <v/>
      </c>
      <c r="O1321" s="59">
        <f>MAX(0,N1321-G1321-H1321)</f>
        <v/>
      </c>
      <c r="P1321" s="60">
        <f>IF(J1321=0,"",IF(G1321&lt;J1321*34,DATE(2026,10,15)+G1321/J1321,IF(G1321&lt;N1321,DATE(2026,11,18)+(G1321-J1321*34)/(J1321*L1321),"after Nov 30")))</f>
        <v/>
      </c>
      <c r="Q1321" s="60">
        <f>IF(J1321=0,"",IF(G1321+H1321&lt;J1321*34,DATE(2026,10,15)+(G1321+H1321)/J1321,IF(G1321+H1321&lt;N1321,DATE(2026,11,18)+(G1321+H1321-J1321*34)/(J1321*L1321),"after Nov 30")))</f>
        <v/>
      </c>
      <c r="R1321" s="54">
        <f>IF(AND(G1321&lt;=0,J1321&gt;0),"Out of stock now",IF(G1321&gt;=N1321,"Covered to Nov 30",IF(G1321+H1321&gt;=N1321,"Needs inbound in time","Short even with inbound")))</f>
        <v/>
      </c>
      <c r="S1321" s="57" t="n">
        <v>0</v>
      </c>
      <c r="T1321" s="59">
        <f>IF(S1321="","",S1321*34+S1321*L1321*12)</f>
        <v/>
      </c>
    </row>
    <row r="1322">
      <c r="A1322" s="54" t="inlineStr">
        <is>
          <t>US SL Cooling Fitted</t>
        </is>
      </c>
      <c r="B1322" s="54" t="inlineStr">
        <is>
          <t>US</t>
        </is>
      </c>
      <c r="C1322" s="54" t="inlineStr">
        <is>
          <t>B0F7M728YB</t>
        </is>
      </c>
      <c r="D1322" s="54" t="inlineStr">
        <is>
          <t>SL-COOLING-FITTED-CAL-KING-SAGE-GREEN</t>
        </is>
      </c>
      <c r="E1322" s="54" t="inlineStr">
        <is>
          <t>Cal King</t>
        </is>
      </c>
      <c r="F1322" s="54" t="inlineStr">
        <is>
          <t>Sage Green</t>
        </is>
      </c>
      <c r="G1322" s="55" t="n">
        <v>4</v>
      </c>
      <c r="H1322" s="55" t="n">
        <v>0</v>
      </c>
      <c r="I1322" s="56" t="n"/>
      <c r="J1322" s="57" t="n">
        <v>0.23</v>
      </c>
      <c r="K1322" s="56" t="inlineStr">
        <is>
          <t>account data velocity</t>
        </is>
      </c>
      <c r="L1322" s="58" t="n">
        <v>0.9828</v>
      </c>
      <c r="M1322" s="56" t="inlineStr">
        <is>
          <t>own BFCM 2025 lift (account data)</t>
        </is>
      </c>
      <c r="N1322" s="59">
        <f>J1322*34+J1322*L1322*12</f>
        <v/>
      </c>
      <c r="O1322" s="59">
        <f>MAX(0,N1322-G1322-H1322)</f>
        <v/>
      </c>
      <c r="P1322" s="60">
        <f>IF(J1322=0,"",IF(G1322&lt;J1322*34,DATE(2026,10,15)+G1322/J1322,IF(G1322&lt;N1322,DATE(2026,11,18)+(G1322-J1322*34)/(J1322*L1322),"after Nov 30")))</f>
        <v/>
      </c>
      <c r="Q1322" s="60">
        <f>IF(J1322=0,"",IF(G1322+H1322&lt;J1322*34,DATE(2026,10,15)+(G1322+H1322)/J1322,IF(G1322+H1322&lt;N1322,DATE(2026,11,18)+(G1322+H1322-J1322*34)/(J1322*L1322),"after Nov 30")))</f>
        <v/>
      </c>
      <c r="R1322" s="54">
        <f>IF(AND(G1322&lt;=0,J1322&gt;0),"Out of stock now",IF(G1322&gt;=N1322,"Covered to Nov 30",IF(G1322+H1322&gt;=N1322,"Needs inbound in time","Short even with inbound")))</f>
        <v/>
      </c>
      <c r="S1322" s="57" t="n">
        <v>0.036</v>
      </c>
      <c r="T1322" s="59">
        <f>IF(S1322="","",S1322*34+S1322*L1322*12)</f>
        <v/>
      </c>
    </row>
    <row r="1323">
      <c r="A1323" s="54" t="inlineStr">
        <is>
          <t>US SL Cooling Fitted</t>
        </is>
      </c>
      <c r="B1323" s="54" t="inlineStr">
        <is>
          <t>US</t>
        </is>
      </c>
      <c r="C1323" s="54" t="inlineStr">
        <is>
          <t>B0F7M4HC5F</t>
        </is>
      </c>
      <c r="D1323" s="54" t="inlineStr">
        <is>
          <t>SL-COOLING-FITTED-QUEEN-BEIGE</t>
        </is>
      </c>
      <c r="E1323" s="54" t="inlineStr">
        <is>
          <t>Queen</t>
        </is>
      </c>
      <c r="F1323" s="54" t="inlineStr">
        <is>
          <t>Beige</t>
        </is>
      </c>
      <c r="G1323" s="55" t="n">
        <v>57</v>
      </c>
      <c r="H1323" s="55" t="n">
        <v>0</v>
      </c>
      <c r="I1323" s="56" t="n"/>
      <c r="J1323" s="57" t="n">
        <v>0.19</v>
      </c>
      <c r="K1323" s="56" t="inlineStr">
        <is>
          <t>account data velocity</t>
        </is>
      </c>
      <c r="L1323" s="58" t="n">
        <v>0.9828</v>
      </c>
      <c r="M1323" s="56" t="inlineStr">
        <is>
          <t>own BFCM 2025 lift (account data)</t>
        </is>
      </c>
      <c r="N1323" s="59">
        <f>J1323*34+J1323*L1323*12</f>
        <v/>
      </c>
      <c r="O1323" s="59">
        <f>MAX(0,N1323-G1323-H1323)</f>
        <v/>
      </c>
      <c r="P1323" s="60">
        <f>IF(J1323=0,"",IF(G1323&lt;J1323*34,DATE(2026,10,15)+G1323/J1323,IF(G1323&lt;N1323,DATE(2026,11,18)+(G1323-J1323*34)/(J1323*L1323),"after Nov 30")))</f>
        <v/>
      </c>
      <c r="Q1323" s="60">
        <f>IF(J1323=0,"",IF(G1323+H1323&lt;J1323*34,DATE(2026,10,15)+(G1323+H1323)/J1323,IF(G1323+H1323&lt;N1323,DATE(2026,11,18)+(G1323+H1323-J1323*34)/(J1323*L1323),"after Nov 30")))</f>
        <v/>
      </c>
      <c r="R1323" s="54">
        <f>IF(AND(G1323&lt;=0,J1323&gt;0),"Out of stock now",IF(G1323&gt;=N1323,"Covered to Nov 30",IF(G1323+H1323&gt;=N1323,"Needs inbound in time","Short even with inbound")))</f>
        <v/>
      </c>
      <c r="S1323" s="57" t="n">
        <v>0.464</v>
      </c>
      <c r="T1323" s="59">
        <f>IF(S1323="","",S1323*34+S1323*L1323*12)</f>
        <v/>
      </c>
    </row>
    <row r="1324">
      <c r="A1324" s="54" t="inlineStr">
        <is>
          <t>US SL Cooling Fitted</t>
        </is>
      </c>
      <c r="B1324" s="54" t="inlineStr">
        <is>
          <t>US</t>
        </is>
      </c>
      <c r="C1324" s="54" t="inlineStr">
        <is>
          <t>B0F7M57Q9T</t>
        </is>
      </c>
      <c r="D1324" s="54" t="inlineStr">
        <is>
          <t>SL-COOLING-FITTED-CAL-KING-WHITE</t>
        </is>
      </c>
      <c r="E1324" s="54" t="inlineStr">
        <is>
          <t>Cal King</t>
        </is>
      </c>
      <c r="F1324" s="54" t="inlineStr">
        <is>
          <t>White</t>
        </is>
      </c>
      <c r="G1324" s="55" t="n">
        <v>20</v>
      </c>
      <c r="H1324" s="55" t="n">
        <v>0</v>
      </c>
      <c r="I1324" s="56" t="n"/>
      <c r="J1324" s="57" t="n">
        <v>0.15</v>
      </c>
      <c r="K1324" s="56" t="inlineStr">
        <is>
          <t>account data velocity</t>
        </is>
      </c>
      <c r="L1324" s="58" t="n">
        <v>0.9828</v>
      </c>
      <c r="M1324" s="56" t="inlineStr">
        <is>
          <t>own BFCM 2025 lift (account data)</t>
        </is>
      </c>
      <c r="N1324" s="59">
        <f>J1324*34+J1324*L1324*12</f>
        <v/>
      </c>
      <c r="O1324" s="59">
        <f>MAX(0,N1324-G1324-H1324)</f>
        <v/>
      </c>
      <c r="P1324" s="60">
        <f>IF(J1324=0,"",IF(G1324&lt;J1324*34,DATE(2026,10,15)+G1324/J1324,IF(G1324&lt;N1324,DATE(2026,11,18)+(G1324-J1324*34)/(J1324*L1324),"after Nov 30")))</f>
        <v/>
      </c>
      <c r="Q1324" s="60">
        <f>IF(J1324=0,"",IF(G1324+H1324&lt;J1324*34,DATE(2026,10,15)+(G1324+H1324)/J1324,IF(G1324+H1324&lt;N1324,DATE(2026,11,18)+(G1324+H1324-J1324*34)/(J1324*L1324),"after Nov 30")))</f>
        <v/>
      </c>
      <c r="R1324" s="54">
        <f>IF(AND(G1324&lt;=0,J1324&gt;0),"Out of stock now",IF(G1324&gt;=N1324,"Covered to Nov 30",IF(G1324+H1324&gt;=N1324,"Needs inbound in time","Short even with inbound")))</f>
        <v/>
      </c>
      <c r="S1324" s="57" t="n">
        <v>0.179</v>
      </c>
      <c r="T1324" s="59">
        <f>IF(S1324="","",S1324*34+S1324*L1324*12)</f>
        <v/>
      </c>
    </row>
    <row r="1325">
      <c r="A1325" s="54" t="inlineStr">
        <is>
          <t>US SL Cooling Fitted</t>
        </is>
      </c>
      <c r="B1325" s="54" t="inlineStr">
        <is>
          <t>US</t>
        </is>
      </c>
      <c r="C1325" s="54" t="inlineStr">
        <is>
          <t>B0F7M664QG</t>
        </is>
      </c>
      <c r="D1325" s="54" t="inlineStr">
        <is>
          <t>SL-COOLING-FITTED-FULL-CREAM</t>
        </is>
      </c>
      <c r="E1325" s="54" t="inlineStr">
        <is>
          <t>Full</t>
        </is>
      </c>
      <c r="F1325" s="54" t="inlineStr">
        <is>
          <t>Cream</t>
        </is>
      </c>
      <c r="G1325" s="55" t="n">
        <v>4</v>
      </c>
      <c r="H1325" s="55" t="n">
        <v>0</v>
      </c>
      <c r="I1325" s="56" t="n"/>
      <c r="J1325" s="57" t="n">
        <v>0.14</v>
      </c>
      <c r="K1325" s="56" t="inlineStr">
        <is>
          <t>account data velocity</t>
        </is>
      </c>
      <c r="L1325" s="58" t="n">
        <v>0.9828</v>
      </c>
      <c r="M1325" s="56" t="inlineStr">
        <is>
          <t>own BFCM 2025 lift (account data)</t>
        </is>
      </c>
      <c r="N1325" s="59">
        <f>J1325*34+J1325*L1325*12</f>
        <v/>
      </c>
      <c r="O1325" s="59">
        <f>MAX(0,N1325-G1325-H1325)</f>
        <v/>
      </c>
      <c r="P1325" s="60">
        <f>IF(J1325=0,"",IF(G1325&lt;J1325*34,DATE(2026,10,15)+G1325/J1325,IF(G1325&lt;N1325,DATE(2026,11,18)+(G1325-J1325*34)/(J1325*L1325),"after Nov 30")))</f>
        <v/>
      </c>
      <c r="Q1325" s="60">
        <f>IF(J1325=0,"",IF(G1325+H1325&lt;J1325*34,DATE(2026,10,15)+(G1325+H1325)/J1325,IF(G1325+H1325&lt;N1325,DATE(2026,11,18)+(G1325+H1325-J1325*34)/(J1325*L1325),"after Nov 30")))</f>
        <v/>
      </c>
      <c r="R1325" s="54">
        <f>IF(AND(G1325&lt;=0,J1325&gt;0),"Out of stock now",IF(G1325&gt;=N1325,"Covered to Nov 30",IF(G1325+H1325&gt;=N1325,"Needs inbound in time","Short even with inbound")))</f>
        <v/>
      </c>
      <c r="S1325" s="57" t="n">
        <v>0.107</v>
      </c>
      <c r="T1325" s="59">
        <f>IF(S1325="","",S1325*34+S1325*L1325*12)</f>
        <v/>
      </c>
    </row>
    <row r="1326">
      <c r="A1326" s="54" t="inlineStr">
        <is>
          <t>US SL Cooling Fitted</t>
        </is>
      </c>
      <c r="B1326" s="54" t="inlineStr">
        <is>
          <t>US</t>
        </is>
      </c>
      <c r="C1326" s="54" t="inlineStr">
        <is>
          <t>B0F7M8GRL4</t>
        </is>
      </c>
      <c r="D1326" s="54" t="inlineStr">
        <is>
          <t>SL-COOLING-FITTED-QUEEN-LIGHT-GREY</t>
        </is>
      </c>
      <c r="E1326" s="54" t="inlineStr">
        <is>
          <t>Queen</t>
        </is>
      </c>
      <c r="F1326" s="54" t="inlineStr">
        <is>
          <t>Light Grey</t>
        </is>
      </c>
      <c r="G1326" s="55" t="n">
        <v>75</v>
      </c>
      <c r="H1326" s="55" t="n">
        <v>0</v>
      </c>
      <c r="I1326" s="56" t="n"/>
      <c r="J1326" s="57" t="n">
        <v>0.13</v>
      </c>
      <c r="K1326" s="56" t="inlineStr">
        <is>
          <t>account data velocity</t>
        </is>
      </c>
      <c r="L1326" s="58" t="n">
        <v>0.9828</v>
      </c>
      <c r="M1326" s="56" t="inlineStr">
        <is>
          <t>own BFCM 2025 lift (account data)</t>
        </is>
      </c>
      <c r="N1326" s="59">
        <f>J1326*34+J1326*L1326*12</f>
        <v/>
      </c>
      <c r="O1326" s="59">
        <f>MAX(0,N1326-G1326-H1326)</f>
        <v/>
      </c>
      <c r="P1326" s="60">
        <f>IF(J1326=0,"",IF(G1326&lt;J1326*34,DATE(2026,10,15)+G1326/J1326,IF(G1326&lt;N1326,DATE(2026,11,18)+(G1326-J1326*34)/(J1326*L1326),"after Nov 30")))</f>
        <v/>
      </c>
      <c r="Q1326" s="60">
        <f>IF(J1326=0,"",IF(G1326+H1326&lt;J1326*34,DATE(2026,10,15)+(G1326+H1326)/J1326,IF(G1326+H1326&lt;N1326,DATE(2026,11,18)+(G1326+H1326-J1326*34)/(J1326*L1326),"after Nov 30")))</f>
        <v/>
      </c>
      <c r="R1326" s="54">
        <f>IF(AND(G1326&lt;=0,J1326&gt;0),"Out of stock now",IF(G1326&gt;=N1326,"Covered to Nov 30",IF(G1326+H1326&gt;=N1326,"Needs inbound in time","Short even with inbound")))</f>
        <v/>
      </c>
      <c r="S1326" s="57" t="n">
        <v>0.321</v>
      </c>
      <c r="T1326" s="59">
        <f>IF(S1326="","",S1326*34+S1326*L1326*12)</f>
        <v/>
      </c>
    </row>
    <row r="1327">
      <c r="A1327" s="54" t="inlineStr">
        <is>
          <t>US SL Cooling Fitted</t>
        </is>
      </c>
      <c r="B1327" s="54" t="inlineStr">
        <is>
          <t>US</t>
        </is>
      </c>
      <c r="C1327" s="54" t="inlineStr">
        <is>
          <t>B0F7M7SVHM</t>
        </is>
      </c>
      <c r="D1327" s="54" t="inlineStr">
        <is>
          <t>SL-COOLING-FITTED-CAL-KING-COOL-GREY</t>
        </is>
      </c>
      <c r="E1327" s="54" t="inlineStr">
        <is>
          <t>Cal King</t>
        </is>
      </c>
      <c r="F1327" s="54" t="inlineStr">
        <is>
          <t>Cool Grey</t>
        </is>
      </c>
      <c r="G1327" s="55" t="n">
        <v>62</v>
      </c>
      <c r="H1327" s="55" t="n">
        <v>0</v>
      </c>
      <c r="I1327" s="56" t="n"/>
      <c r="J1327" s="57" t="n">
        <v>0.12</v>
      </c>
      <c r="K1327" s="56" t="inlineStr">
        <is>
          <t>account data velocity</t>
        </is>
      </c>
      <c r="L1327" s="58" t="n">
        <v>0.9828</v>
      </c>
      <c r="M1327" s="56" t="inlineStr">
        <is>
          <t>own BFCM 2025 lift (account data)</t>
        </is>
      </c>
      <c r="N1327" s="59">
        <f>J1327*34+J1327*L1327*12</f>
        <v/>
      </c>
      <c r="O1327" s="59">
        <f>MAX(0,N1327-G1327-H1327)</f>
        <v/>
      </c>
      <c r="P1327" s="60">
        <f>IF(J1327=0,"",IF(G1327&lt;J1327*34,DATE(2026,10,15)+G1327/J1327,IF(G1327&lt;N1327,DATE(2026,11,18)+(G1327-J1327*34)/(J1327*L1327),"after Nov 30")))</f>
        <v/>
      </c>
      <c r="Q1327" s="60">
        <f>IF(J1327=0,"",IF(G1327+H1327&lt;J1327*34,DATE(2026,10,15)+(G1327+H1327)/J1327,IF(G1327+H1327&lt;N1327,DATE(2026,11,18)+(G1327+H1327-J1327*34)/(J1327*L1327),"after Nov 30")))</f>
        <v/>
      </c>
      <c r="R1327" s="54">
        <f>IF(AND(G1327&lt;=0,J1327&gt;0),"Out of stock now",IF(G1327&gt;=N1327,"Covered to Nov 30",IF(G1327+H1327&gt;=N1327,"Needs inbound in time","Short even with inbound")))</f>
        <v/>
      </c>
      <c r="S1327" s="57" t="n">
        <v>0.214</v>
      </c>
      <c r="T1327" s="59">
        <f>IF(S1327="","",S1327*34+S1327*L1327*12)</f>
        <v/>
      </c>
    </row>
    <row r="1328">
      <c r="A1328" s="54" t="inlineStr">
        <is>
          <t>US SL Cooling Fitted</t>
        </is>
      </c>
      <c r="B1328" s="54" t="inlineStr">
        <is>
          <t>US</t>
        </is>
      </c>
      <c r="C1328" s="54" t="inlineStr">
        <is>
          <t>B0F7M6DPPM</t>
        </is>
      </c>
      <c r="D1328" s="54" t="inlineStr">
        <is>
          <t>SL-COOLING-FITTED-FULL-COOL-BLUE</t>
        </is>
      </c>
      <c r="E1328" s="54" t="inlineStr">
        <is>
          <t>Full</t>
        </is>
      </c>
      <c r="F1328" s="54" t="inlineStr">
        <is>
          <t>Cool Blue</t>
        </is>
      </c>
      <c r="G1328" s="55" t="n">
        <v>40</v>
      </c>
      <c r="H1328" s="55" t="n">
        <v>0</v>
      </c>
      <c r="I1328" s="56" t="n"/>
      <c r="J1328" s="57" t="n">
        <v>0.1</v>
      </c>
      <c r="K1328" s="56" t="inlineStr">
        <is>
          <t>account data velocity</t>
        </is>
      </c>
      <c r="L1328" s="58" t="n">
        <v>0.9828</v>
      </c>
      <c r="M1328" s="56" t="inlineStr">
        <is>
          <t>own BFCM 2025 lift (account data)</t>
        </is>
      </c>
      <c r="N1328" s="59">
        <f>J1328*34+J1328*L1328*12</f>
        <v/>
      </c>
      <c r="O1328" s="59">
        <f>MAX(0,N1328-G1328-H1328)</f>
        <v/>
      </c>
      <c r="P1328" s="60">
        <f>IF(J1328=0,"",IF(G1328&lt;J1328*34,DATE(2026,10,15)+G1328/J1328,IF(G1328&lt;N1328,DATE(2026,11,18)+(G1328-J1328*34)/(J1328*L1328),"after Nov 30")))</f>
        <v/>
      </c>
      <c r="Q1328" s="60">
        <f>IF(J1328=0,"",IF(G1328+H1328&lt;J1328*34,DATE(2026,10,15)+(G1328+H1328)/J1328,IF(G1328+H1328&lt;N1328,DATE(2026,11,18)+(G1328+H1328-J1328*34)/(J1328*L1328),"after Nov 30")))</f>
        <v/>
      </c>
      <c r="R1328" s="54">
        <f>IF(AND(G1328&lt;=0,J1328&gt;0),"Out of stock now",IF(G1328&gt;=N1328,"Covered to Nov 30",IF(G1328+H1328&gt;=N1328,"Needs inbound in time","Short even with inbound")))</f>
        <v/>
      </c>
      <c r="S1328" s="57" t="n">
        <v>0.25</v>
      </c>
      <c r="T1328" s="59">
        <f>IF(S1328="","",S1328*34+S1328*L1328*12)</f>
        <v/>
      </c>
    </row>
    <row r="1329">
      <c r="A1329" s="54" t="inlineStr">
        <is>
          <t>US SL Cooling Fitted</t>
        </is>
      </c>
      <c r="B1329" s="54" t="inlineStr">
        <is>
          <t>US</t>
        </is>
      </c>
      <c r="C1329" s="54" t="inlineStr">
        <is>
          <t>B0F7M7LLTQ</t>
        </is>
      </c>
      <c r="D1329" s="54" t="inlineStr">
        <is>
          <t>SL-COOLING-FITTED-CAL-KING-LIGHT-GREY</t>
        </is>
      </c>
      <c r="E1329" s="54" t="inlineStr">
        <is>
          <t>Cal King</t>
        </is>
      </c>
      <c r="F1329" s="54" t="inlineStr">
        <is>
          <t>Light Grey</t>
        </is>
      </c>
      <c r="G1329" s="55" t="n">
        <v>3</v>
      </c>
      <c r="H1329" s="55" t="n">
        <v>0</v>
      </c>
      <c r="I1329" s="56" t="n"/>
      <c r="J1329" s="57" t="n">
        <v>0.08</v>
      </c>
      <c r="K1329" s="56" t="inlineStr">
        <is>
          <t>account data velocity</t>
        </is>
      </c>
      <c r="L1329" s="58" t="n">
        <v>0.9828</v>
      </c>
      <c r="M1329" s="56" t="inlineStr">
        <is>
          <t>own BFCM 2025 lift (account data)</t>
        </is>
      </c>
      <c r="N1329" s="59">
        <f>J1329*34+J1329*L1329*12</f>
        <v/>
      </c>
      <c r="O1329" s="59">
        <f>MAX(0,N1329-G1329-H1329)</f>
        <v/>
      </c>
      <c r="P1329" s="60">
        <f>IF(J1329=0,"",IF(G1329&lt;J1329*34,DATE(2026,10,15)+G1329/J1329,IF(G1329&lt;N1329,DATE(2026,11,18)+(G1329-J1329*34)/(J1329*L1329),"after Nov 30")))</f>
        <v/>
      </c>
      <c r="Q1329" s="60">
        <f>IF(J1329=0,"",IF(G1329+H1329&lt;J1329*34,DATE(2026,10,15)+(G1329+H1329)/J1329,IF(G1329+H1329&lt;N1329,DATE(2026,11,18)+(G1329+H1329-J1329*34)/(J1329*L1329),"after Nov 30")))</f>
        <v/>
      </c>
      <c r="R1329" s="54">
        <f>IF(AND(G1329&lt;=0,J1329&gt;0),"Out of stock now",IF(G1329&gt;=N1329,"Covered to Nov 30",IF(G1329+H1329&gt;=N1329,"Needs inbound in time","Short even with inbound")))</f>
        <v/>
      </c>
      <c r="S1329" s="57" t="n">
        <v>0.143</v>
      </c>
      <c r="T1329" s="59">
        <f>IF(S1329="","",S1329*34+S1329*L1329*12)</f>
        <v/>
      </c>
    </row>
    <row r="1330">
      <c r="A1330" s="54" t="inlineStr">
        <is>
          <t>US SL Cooling Fitted</t>
        </is>
      </c>
      <c r="B1330" s="54" t="inlineStr">
        <is>
          <t>US</t>
        </is>
      </c>
      <c r="C1330" s="54" t="inlineStr">
        <is>
          <t>B0F7M2P88B</t>
        </is>
      </c>
      <c r="D1330" s="54" t="inlineStr">
        <is>
          <t>SL-COOLING-FITTED-CAL-KING-REGAL-PURPLE</t>
        </is>
      </c>
      <c r="E1330" s="54" t="inlineStr">
        <is>
          <t>Cal King</t>
        </is>
      </c>
      <c r="F1330" s="54" t="inlineStr">
        <is>
          <t>Regal Purple</t>
        </is>
      </c>
      <c r="G1330" s="55" t="n">
        <v>1</v>
      </c>
      <c r="H1330" s="55" t="n">
        <v>0</v>
      </c>
      <c r="I1330" s="56" t="n"/>
      <c r="J1330" s="57" t="n">
        <v>0.08</v>
      </c>
      <c r="K1330" s="56" t="inlineStr">
        <is>
          <t>account data velocity</t>
        </is>
      </c>
      <c r="L1330" s="58" t="n">
        <v>0.9828</v>
      </c>
      <c r="M1330" s="56" t="inlineStr">
        <is>
          <t>own BFCM 2025 lift (account data)</t>
        </is>
      </c>
      <c r="N1330" s="59">
        <f>J1330*34+J1330*L1330*12</f>
        <v/>
      </c>
      <c r="O1330" s="59">
        <f>MAX(0,N1330-G1330-H1330)</f>
        <v/>
      </c>
      <c r="P1330" s="60">
        <f>IF(J1330=0,"",IF(G1330&lt;J1330*34,DATE(2026,10,15)+G1330/J1330,IF(G1330&lt;N1330,DATE(2026,11,18)+(G1330-J1330*34)/(J1330*L1330),"after Nov 30")))</f>
        <v/>
      </c>
      <c r="Q1330" s="60">
        <f>IF(J1330=0,"",IF(G1330+H1330&lt;J1330*34,DATE(2026,10,15)+(G1330+H1330)/J1330,IF(G1330+H1330&lt;N1330,DATE(2026,11,18)+(G1330+H1330-J1330*34)/(J1330*L1330),"after Nov 30")))</f>
        <v/>
      </c>
      <c r="R1330" s="54">
        <f>IF(AND(G1330&lt;=0,J1330&gt;0),"Out of stock now",IF(G1330&gt;=N1330,"Covered to Nov 30",IF(G1330+H1330&gt;=N1330,"Needs inbound in time","Short even with inbound")))</f>
        <v/>
      </c>
      <c r="S1330" s="57" t="n">
        <v>0.036</v>
      </c>
      <c r="T1330" s="59">
        <f>IF(S1330="","",S1330*34+S1330*L1330*12)</f>
        <v/>
      </c>
    </row>
    <row r="1331">
      <c r="A1331" s="54" t="inlineStr">
        <is>
          <t>US SL Cooling Fitted</t>
        </is>
      </c>
      <c r="B1331" s="54" t="inlineStr">
        <is>
          <t>US</t>
        </is>
      </c>
      <c r="C1331" s="54" t="inlineStr">
        <is>
          <t>B0F7M5M7G1</t>
        </is>
      </c>
      <c r="D1331" s="54" t="inlineStr">
        <is>
          <t>SL-COOLING-FITTED-KING-NAVY-BLUE</t>
        </is>
      </c>
      <c r="E1331" s="54" t="inlineStr">
        <is>
          <t>King</t>
        </is>
      </c>
      <c r="F1331" s="54" t="inlineStr">
        <is>
          <t>Navy Blue</t>
        </is>
      </c>
      <c r="G1331" s="55" t="n">
        <v>11</v>
      </c>
      <c r="H1331" s="55" t="n">
        <v>228</v>
      </c>
      <c r="I1331" s="56" t="inlineStr">
        <is>
          <t>FBA19RS1HC4F shipped: 36; FBA19RRY6QFT shipped: 36; FBA19RS0N5K2 shipped: 12; FBA19RRYCGHJ shipped: 36; FBA19RRY5FBL shipped: 48; FBA19QLJLR1F shipped: 12; FBA19QLKCVBW shipped: 12; FBA19QLK9CYH shipped: 12; FBA19QLKHC6Q shipped: 12; FBA19QLJ0ZP4 shipped: 12</t>
        </is>
      </c>
      <c r="J1331" s="57" t="n">
        <v>0.08</v>
      </c>
      <c r="K1331" s="56" t="inlineStr">
        <is>
          <t>account data velocity</t>
        </is>
      </c>
      <c r="L1331" s="58" t="n">
        <v>0.9828</v>
      </c>
      <c r="M1331" s="56" t="inlineStr">
        <is>
          <t>own BFCM 2025 lift (account data)</t>
        </is>
      </c>
      <c r="N1331" s="59">
        <f>J1331*34+J1331*L1331*12</f>
        <v/>
      </c>
      <c r="O1331" s="59">
        <f>MAX(0,N1331-G1331-H1331)</f>
        <v/>
      </c>
      <c r="P1331" s="60">
        <f>IF(J1331=0,"",IF(G1331&lt;J1331*34,DATE(2026,10,15)+G1331/J1331,IF(G1331&lt;N1331,DATE(2026,11,18)+(G1331-J1331*34)/(J1331*L1331),"after Nov 30")))</f>
        <v/>
      </c>
      <c r="Q1331" s="60">
        <f>IF(J1331=0,"",IF(G1331+H1331&lt;J1331*34,DATE(2026,10,15)+(G1331+H1331)/J1331,IF(G1331+H1331&lt;N1331,DATE(2026,11,18)+(G1331+H1331-J1331*34)/(J1331*L1331),"after Nov 30")))</f>
        <v/>
      </c>
      <c r="R1331" s="54">
        <f>IF(AND(G1331&lt;=0,J1331&gt;0),"Out of stock now",IF(G1331&gt;=N1331,"Covered to Nov 30",IF(G1331+H1331&gt;=N1331,"Needs inbound in time","Short even with inbound")))</f>
        <v/>
      </c>
      <c r="S1331" s="57" t="n">
        <v>0</v>
      </c>
      <c r="T1331" s="59">
        <f>IF(S1331="","",S1331*34+S1331*L1331*12)</f>
        <v/>
      </c>
    </row>
    <row r="1332">
      <c r="A1332" s="54" t="inlineStr">
        <is>
          <t>US SL Cooling Fitted</t>
        </is>
      </c>
      <c r="B1332" s="54" t="inlineStr">
        <is>
          <t>US</t>
        </is>
      </c>
      <c r="C1332" s="54" t="inlineStr">
        <is>
          <t>B0F7M67GT2</t>
        </is>
      </c>
      <c r="D1332" s="54" t="inlineStr">
        <is>
          <t>SL-COOLING-FITTED-CAL-KING-LIGHT-PINK</t>
        </is>
      </c>
      <c r="E1332" s="54" t="inlineStr">
        <is>
          <t>Cal King</t>
        </is>
      </c>
      <c r="F1332" s="54" t="inlineStr">
        <is>
          <t>Light Pink</t>
        </is>
      </c>
      <c r="G1332" s="55" t="n">
        <v>12</v>
      </c>
      <c r="H1332" s="55" t="n">
        <v>0</v>
      </c>
      <c r="I1332" s="56" t="n"/>
      <c r="J1332" s="57" t="n">
        <v>0.07000000000000001</v>
      </c>
      <c r="K1332" s="56" t="inlineStr">
        <is>
          <t>account data velocity</t>
        </is>
      </c>
      <c r="L1332" s="58" t="n">
        <v>0.9828</v>
      </c>
      <c r="M1332" s="56" t="inlineStr">
        <is>
          <t>own BFCM 2025 lift (account data)</t>
        </is>
      </c>
      <c r="N1332" s="59">
        <f>J1332*34+J1332*L1332*12</f>
        <v/>
      </c>
      <c r="O1332" s="59">
        <f>MAX(0,N1332-G1332-H1332)</f>
        <v/>
      </c>
      <c r="P1332" s="60">
        <f>IF(J1332=0,"",IF(G1332&lt;J1332*34,DATE(2026,10,15)+G1332/J1332,IF(G1332&lt;N1332,DATE(2026,11,18)+(G1332-J1332*34)/(J1332*L1332),"after Nov 30")))</f>
        <v/>
      </c>
      <c r="Q1332" s="60">
        <f>IF(J1332=0,"",IF(G1332+H1332&lt;J1332*34,DATE(2026,10,15)+(G1332+H1332)/J1332,IF(G1332+H1332&lt;N1332,DATE(2026,11,18)+(G1332+H1332-J1332*34)/(J1332*L1332),"after Nov 30")))</f>
        <v/>
      </c>
      <c r="R1332" s="54">
        <f>IF(AND(G1332&lt;=0,J1332&gt;0),"Out of stock now",IF(G1332&gt;=N1332,"Covered to Nov 30",IF(G1332+H1332&gt;=N1332,"Needs inbound in time","Short even with inbound")))</f>
        <v/>
      </c>
      <c r="S1332" s="57" t="n">
        <v>0.107</v>
      </c>
      <c r="T1332" s="59">
        <f>IF(S1332="","",S1332*34+S1332*L1332*12)</f>
        <v/>
      </c>
    </row>
    <row r="1333">
      <c r="A1333" s="54" t="inlineStr">
        <is>
          <t>US SL Cooling Fitted</t>
        </is>
      </c>
      <c r="B1333" s="54" t="inlineStr">
        <is>
          <t>US</t>
        </is>
      </c>
      <c r="C1333" s="54" t="inlineStr">
        <is>
          <t>B0F7M4FY81</t>
        </is>
      </c>
      <c r="D1333" s="54" t="inlineStr">
        <is>
          <t>SL-COOLING-FITTED-CAL-KING-NAVY-BLUE</t>
        </is>
      </c>
      <c r="E1333" s="54" t="inlineStr">
        <is>
          <t>Cal King</t>
        </is>
      </c>
      <c r="F1333" s="54" t="inlineStr">
        <is>
          <t>Navy Blue</t>
        </is>
      </c>
      <c r="G1333" s="55" t="n">
        <v>2</v>
      </c>
      <c r="H1333" s="55" t="n">
        <v>0</v>
      </c>
      <c r="I1333" s="56" t="n"/>
      <c r="J1333" s="57" t="n">
        <v>0.03</v>
      </c>
      <c r="K1333" s="56" t="inlineStr">
        <is>
          <t>account data velocity</t>
        </is>
      </c>
      <c r="L1333" s="58" t="n">
        <v>0.9828</v>
      </c>
      <c r="M1333" s="56" t="inlineStr">
        <is>
          <t>own BFCM 2025 lift (account data)</t>
        </is>
      </c>
      <c r="N1333" s="59">
        <f>J1333*34+J1333*L1333*12</f>
        <v/>
      </c>
      <c r="O1333" s="59">
        <f>MAX(0,N1333-G1333-H1333)</f>
        <v/>
      </c>
      <c r="P1333" s="60">
        <f>IF(J1333=0,"",IF(G1333&lt;J1333*34,DATE(2026,10,15)+G1333/J1333,IF(G1333&lt;N1333,DATE(2026,11,18)+(G1333-J1333*34)/(J1333*L1333),"after Nov 30")))</f>
        <v/>
      </c>
      <c r="Q1333" s="60">
        <f>IF(J1333=0,"",IF(G1333+H1333&lt;J1333*34,DATE(2026,10,15)+(G1333+H1333)/J1333,IF(G1333+H1333&lt;N1333,DATE(2026,11,18)+(G1333+H1333-J1333*34)/(J1333*L1333),"after Nov 30")))</f>
        <v/>
      </c>
      <c r="R1333" s="54">
        <f>IF(AND(G1333&lt;=0,J1333&gt;0),"Out of stock now",IF(G1333&gt;=N1333,"Covered to Nov 30",IF(G1333+H1333&gt;=N1333,"Needs inbound in time","Short even with inbound")))</f>
        <v/>
      </c>
      <c r="S1333" s="57" t="n">
        <v>0.107</v>
      </c>
      <c r="T1333" s="59">
        <f>IF(S1333="","",S1333*34+S1333*L1333*12)</f>
        <v/>
      </c>
    </row>
    <row r="1334">
      <c r="A1334" s="54" t="inlineStr">
        <is>
          <t>US SL Cooling Fitted</t>
        </is>
      </c>
      <c r="B1334" s="54" t="inlineStr">
        <is>
          <t>US</t>
        </is>
      </c>
      <c r="C1334" s="54" t="inlineStr">
        <is>
          <t>B0F7M4HC57</t>
        </is>
      </c>
      <c r="D1334" s="54" t="inlineStr">
        <is>
          <t>SL-COOLING-FITTED-TWIN-COOL-GREY</t>
        </is>
      </c>
      <c r="E1334" s="54" t="inlineStr">
        <is>
          <t>Twin</t>
        </is>
      </c>
      <c r="F1334" s="54" t="inlineStr">
        <is>
          <t>Cool Grey</t>
        </is>
      </c>
      <c r="G1334" s="55" t="n">
        <v>0</v>
      </c>
      <c r="H1334" s="55" t="n">
        <v>144</v>
      </c>
      <c r="I1334" s="56" t="inlineStr">
        <is>
          <t>FBA19RS1HC4F shipped: 12; FBA19RRY6QFT shipped: 24; FBA19RS0N5K2 shipped: 12; FBA19RRYCGHJ shipped: 12; FBA19RRY5FBL shipped: 24; FBA19QLJLR1F shipped: 12; FBA19QLKCVBW shipped: 12; FBA19QLK9CYH shipped: 12; FBA19QLKHC6Q shipped: 12; FBA19QLJ0ZP4 shipped: 12</t>
        </is>
      </c>
      <c r="J1334" s="57" t="n">
        <v>0.03</v>
      </c>
      <c r="K1334" s="56" t="inlineStr">
        <is>
          <t>account data velocity</t>
        </is>
      </c>
      <c r="L1334" s="58" t="n">
        <v>0.9828</v>
      </c>
      <c r="M1334" s="56" t="inlineStr">
        <is>
          <t>own BFCM 2025 lift (account data)</t>
        </is>
      </c>
      <c r="N1334" s="59">
        <f>J1334*34+J1334*L1334*12</f>
        <v/>
      </c>
      <c r="O1334" s="59">
        <f>MAX(0,N1334-G1334-H1334)</f>
        <v/>
      </c>
      <c r="P1334" s="60">
        <f>IF(J1334=0,"",IF(G1334&lt;J1334*34,DATE(2026,10,15)+G1334/J1334,IF(G1334&lt;N1334,DATE(2026,11,18)+(G1334-J1334*34)/(J1334*L1334),"after Nov 30")))</f>
        <v/>
      </c>
      <c r="Q1334" s="60">
        <f>IF(J1334=0,"",IF(G1334+H1334&lt;J1334*34,DATE(2026,10,15)+(G1334+H1334)/J1334,IF(G1334+H1334&lt;N1334,DATE(2026,11,18)+(G1334+H1334-J1334*34)/(J1334*L1334),"after Nov 30")))</f>
        <v/>
      </c>
      <c r="R1334" s="54">
        <f>IF(AND(G1334&lt;=0,J1334&gt;0),"Out of stock now",IF(G1334&gt;=N1334,"Covered to Nov 30",IF(G1334+H1334&gt;=N1334,"Needs inbound in time","Short even with inbound")))</f>
        <v/>
      </c>
      <c r="S1334" s="57" t="n">
        <v>0.036</v>
      </c>
      <c r="T1334" s="59">
        <f>IF(S1334="","",S1334*34+S1334*L1334*12)</f>
        <v/>
      </c>
    </row>
    <row r="1335">
      <c r="A1335" s="54" t="inlineStr">
        <is>
          <t>US SL Cooling Fitted</t>
        </is>
      </c>
      <c r="B1335" s="54" t="inlineStr">
        <is>
          <t>US</t>
        </is>
      </c>
      <c r="C1335" s="54" t="inlineStr">
        <is>
          <t>B0F7M6TPFY</t>
        </is>
      </c>
      <c r="D1335" s="54" t="inlineStr">
        <is>
          <t>SL-COOLING-FITTED-CAL-KING-CREAM</t>
        </is>
      </c>
      <c r="E1335" s="54" t="inlineStr">
        <is>
          <t>Cal King</t>
        </is>
      </c>
      <c r="F1335" s="54" t="inlineStr">
        <is>
          <t>Cream</t>
        </is>
      </c>
      <c r="G1335" s="55" t="n">
        <v>15</v>
      </c>
      <c r="H1335" s="55" t="n">
        <v>0</v>
      </c>
      <c r="I1335" s="56" t="n"/>
      <c r="J1335" s="57" t="n">
        <v>0.02</v>
      </c>
      <c r="K1335" s="56" t="inlineStr">
        <is>
          <t>account data velocity</t>
        </is>
      </c>
      <c r="L1335" s="58" t="n">
        <v>0.9828</v>
      </c>
      <c r="M1335" s="56" t="inlineStr">
        <is>
          <t>own BFCM 2025 lift (account data)</t>
        </is>
      </c>
      <c r="N1335" s="59">
        <f>J1335*34+J1335*L1335*12</f>
        <v/>
      </c>
      <c r="O1335" s="59">
        <f>MAX(0,N1335-G1335-H1335)</f>
        <v/>
      </c>
      <c r="P1335" s="60">
        <f>IF(J1335=0,"",IF(G1335&lt;J1335*34,DATE(2026,10,15)+G1335/J1335,IF(G1335&lt;N1335,DATE(2026,11,18)+(G1335-J1335*34)/(J1335*L1335),"after Nov 30")))</f>
        <v/>
      </c>
      <c r="Q1335" s="60">
        <f>IF(J1335=0,"",IF(G1335+H1335&lt;J1335*34,DATE(2026,10,15)+(G1335+H1335)/J1335,IF(G1335+H1335&lt;N1335,DATE(2026,11,18)+(G1335+H1335-J1335*34)/(J1335*L1335),"after Nov 30")))</f>
        <v/>
      </c>
      <c r="R1335" s="54">
        <f>IF(AND(G1335&lt;=0,J1335&gt;0),"Out of stock now",IF(G1335&gt;=N1335,"Covered to Nov 30",IF(G1335+H1335&gt;=N1335,"Needs inbound in time","Short even with inbound")))</f>
        <v/>
      </c>
      <c r="S1335" s="57" t="n">
        <v>0.107</v>
      </c>
      <c r="T1335" s="59">
        <f>IF(S1335="","",S1335*34+S1335*L1335*12)</f>
        <v/>
      </c>
    </row>
    <row r="1336">
      <c r="A1336" s="54" t="inlineStr">
        <is>
          <t>US SL Cooling Fitted</t>
        </is>
      </c>
      <c r="B1336" s="54" t="inlineStr">
        <is>
          <t>US</t>
        </is>
      </c>
      <c r="C1336" s="54" t="inlineStr">
        <is>
          <t>B0F7M26SWR</t>
        </is>
      </c>
      <c r="D1336" s="54" t="inlineStr">
        <is>
          <t>SL-COOLING-FITTED-FULL-LIGHT-PINK</t>
        </is>
      </c>
      <c r="E1336" s="54" t="inlineStr">
        <is>
          <t>Full</t>
        </is>
      </c>
      <c r="F1336" s="54" t="inlineStr">
        <is>
          <t>Light Pink</t>
        </is>
      </c>
      <c r="G1336" s="55" t="n">
        <v>0</v>
      </c>
      <c r="H1336" s="55" t="n">
        <v>0</v>
      </c>
      <c r="I1336" s="56" t="n"/>
      <c r="J1336" s="57" t="n">
        <v>0.02</v>
      </c>
      <c r="K1336" s="56" t="inlineStr">
        <is>
          <t>account data velocity</t>
        </is>
      </c>
      <c r="L1336" s="58" t="n">
        <v>0.9828</v>
      </c>
      <c r="M1336" s="56" t="inlineStr">
        <is>
          <t>own BFCM 2025 lift (account data)</t>
        </is>
      </c>
      <c r="N1336" s="59">
        <f>J1336*34+J1336*L1336*12</f>
        <v/>
      </c>
      <c r="O1336" s="59">
        <f>MAX(0,N1336-G1336-H1336)</f>
        <v/>
      </c>
      <c r="P1336" s="60">
        <f>IF(J1336=0,"",IF(G1336&lt;J1336*34,DATE(2026,10,15)+G1336/J1336,IF(G1336&lt;N1336,DATE(2026,11,18)+(G1336-J1336*34)/(J1336*L1336),"after Nov 30")))</f>
        <v/>
      </c>
      <c r="Q1336" s="60">
        <f>IF(J1336=0,"",IF(G1336+H1336&lt;J1336*34,DATE(2026,10,15)+(G1336+H1336)/J1336,IF(G1336+H1336&lt;N1336,DATE(2026,11,18)+(G1336+H1336-J1336*34)/(J1336*L1336),"after Nov 30")))</f>
        <v/>
      </c>
      <c r="R1336" s="54">
        <f>IF(AND(G1336&lt;=0,J1336&gt;0),"Out of stock now",IF(G1336&gt;=N1336,"Covered to Nov 30",IF(G1336+H1336&gt;=N1336,"Needs inbound in time","Short even with inbound")))</f>
        <v/>
      </c>
      <c r="S1336" s="57" t="n">
        <v>0.036</v>
      </c>
      <c r="T1336" s="59">
        <f>IF(S1336="","",S1336*34+S1336*L1336*12)</f>
        <v/>
      </c>
    </row>
    <row r="1337">
      <c r="A1337" s="54" t="inlineStr">
        <is>
          <t>US SL Cooling Fitted</t>
        </is>
      </c>
      <c r="B1337" s="54" t="inlineStr">
        <is>
          <t>US</t>
        </is>
      </c>
      <c r="C1337" s="54" t="inlineStr">
        <is>
          <t>B0F7M4VKGL</t>
        </is>
      </c>
      <c r="D1337" s="54" t="inlineStr">
        <is>
          <t>SL-COOLING-FITTED-FULL-REGAL-PURPLE</t>
        </is>
      </c>
      <c r="E1337" s="54" t="inlineStr">
        <is>
          <t>Full</t>
        </is>
      </c>
      <c r="F1337" s="54" t="inlineStr">
        <is>
          <t>Regal Purple</t>
        </is>
      </c>
      <c r="G1337" s="55" t="n">
        <v>0</v>
      </c>
      <c r="H1337" s="55" t="n">
        <v>0</v>
      </c>
      <c r="I1337" s="56" t="n"/>
      <c r="J1337" s="57" t="n">
        <v>0.02</v>
      </c>
      <c r="K1337" s="56" t="inlineStr">
        <is>
          <t>account data velocity</t>
        </is>
      </c>
      <c r="L1337" s="58" t="n">
        <v>0.9828</v>
      </c>
      <c r="M1337" s="56" t="inlineStr">
        <is>
          <t>own BFCM 2025 lift (account data)</t>
        </is>
      </c>
      <c r="N1337" s="59">
        <f>J1337*34+J1337*L1337*12</f>
        <v/>
      </c>
      <c r="O1337" s="59">
        <f>MAX(0,N1337-G1337-H1337)</f>
        <v/>
      </c>
      <c r="P1337" s="60">
        <f>IF(J1337=0,"",IF(G1337&lt;J1337*34,DATE(2026,10,15)+G1337/J1337,IF(G1337&lt;N1337,DATE(2026,11,18)+(G1337-J1337*34)/(J1337*L1337),"after Nov 30")))</f>
        <v/>
      </c>
      <c r="Q1337" s="60">
        <f>IF(J1337=0,"",IF(G1337+H1337&lt;J1337*34,DATE(2026,10,15)+(G1337+H1337)/J1337,IF(G1337+H1337&lt;N1337,DATE(2026,11,18)+(G1337+H1337-J1337*34)/(J1337*L1337),"after Nov 30")))</f>
        <v/>
      </c>
      <c r="R1337" s="54">
        <f>IF(AND(G1337&lt;=0,J1337&gt;0),"Out of stock now",IF(G1337&gt;=N1337,"Covered to Nov 30",IF(G1337+H1337&gt;=N1337,"Needs inbound in time","Short even with inbound")))</f>
        <v/>
      </c>
      <c r="S1337" s="57" t="n">
        <v>0.036</v>
      </c>
      <c r="T1337" s="59">
        <f>IF(S1337="","",S1337*34+S1337*L1337*12)</f>
        <v/>
      </c>
    </row>
    <row r="1338">
      <c r="A1338" s="54" t="inlineStr">
        <is>
          <t>US SL Cooling Fitted</t>
        </is>
      </c>
      <c r="B1338" s="54" t="inlineStr">
        <is>
          <t>US</t>
        </is>
      </c>
      <c r="C1338" s="54" t="inlineStr">
        <is>
          <t>B0F7M5PH28</t>
        </is>
      </c>
      <c r="D1338" s="54" t="inlineStr">
        <is>
          <t>SL-COOLING-FITTED-CAL-KING-COOL-BLUE</t>
        </is>
      </c>
      <c r="E1338" s="54" t="inlineStr">
        <is>
          <t>Cal King</t>
        </is>
      </c>
      <c r="F1338" s="54" t="inlineStr">
        <is>
          <t>Cool Blue</t>
        </is>
      </c>
      <c r="G1338" s="55" t="n">
        <v>28</v>
      </c>
      <c r="H1338" s="55" t="n">
        <v>0</v>
      </c>
      <c r="I1338" s="56" t="n"/>
      <c r="J1338" s="57" t="n">
        <v>0.01</v>
      </c>
      <c r="K1338" s="56" t="inlineStr">
        <is>
          <t>account data velocity</t>
        </is>
      </c>
      <c r="L1338" s="58" t="n">
        <v>0.9828</v>
      </c>
      <c r="M1338" s="56" t="inlineStr">
        <is>
          <t>own BFCM 2025 lift (account data)</t>
        </is>
      </c>
      <c r="N1338" s="59">
        <f>J1338*34+J1338*L1338*12</f>
        <v/>
      </c>
      <c r="O1338" s="59">
        <f>MAX(0,N1338-G1338-H1338)</f>
        <v/>
      </c>
      <c r="P1338" s="60">
        <f>IF(J1338=0,"",IF(G1338&lt;J1338*34,DATE(2026,10,15)+G1338/J1338,IF(G1338&lt;N1338,DATE(2026,11,18)+(G1338-J1338*34)/(J1338*L1338),"after Nov 30")))</f>
        <v/>
      </c>
      <c r="Q1338" s="60">
        <f>IF(J1338=0,"",IF(G1338+H1338&lt;J1338*34,DATE(2026,10,15)+(G1338+H1338)/J1338,IF(G1338+H1338&lt;N1338,DATE(2026,11,18)+(G1338+H1338-J1338*34)/(J1338*L1338),"after Nov 30")))</f>
        <v/>
      </c>
      <c r="R1338" s="54">
        <f>IF(AND(G1338&lt;=0,J1338&gt;0),"Out of stock now",IF(G1338&gt;=N1338,"Covered to Nov 30",IF(G1338+H1338&gt;=N1338,"Needs inbound in time","Short even with inbound")))</f>
        <v/>
      </c>
      <c r="S1338" s="57" t="n">
        <v>0.07099999999999999</v>
      </c>
      <c r="T1338" s="59">
        <f>IF(S1338="","",S1338*34+S1338*L1338*12)</f>
        <v/>
      </c>
    </row>
    <row r="1339">
      <c r="A1339" s="54" t="inlineStr">
        <is>
          <t>US SL Cooling Fitted</t>
        </is>
      </c>
      <c r="B1339" s="54" t="inlineStr">
        <is>
          <t>US</t>
        </is>
      </c>
      <c r="C1339" s="54" t="inlineStr">
        <is>
          <t>B0F7M5393W</t>
        </is>
      </c>
      <c r="D1339" s="54" t="inlineStr">
        <is>
          <t>SL-COOLING-FITTED-CAL-KING-MIDNGHT-BLACK</t>
        </is>
      </c>
      <c r="E1339" s="54" t="inlineStr">
        <is>
          <t>Cal King</t>
        </is>
      </c>
      <c r="F1339" s="54" t="inlineStr">
        <is>
          <t>Midnight Black</t>
        </is>
      </c>
      <c r="G1339" s="55" t="n">
        <v>2</v>
      </c>
      <c r="H1339" s="55" t="n">
        <v>0</v>
      </c>
      <c r="I1339" s="56" t="n"/>
      <c r="J1339" s="57" t="n">
        <v>0.01</v>
      </c>
      <c r="K1339" s="56" t="inlineStr">
        <is>
          <t>account data velocity</t>
        </is>
      </c>
      <c r="L1339" s="58" t="n">
        <v>0.9828</v>
      </c>
      <c r="M1339" s="56" t="inlineStr">
        <is>
          <t>own BFCM 2025 lift (account data)</t>
        </is>
      </c>
      <c r="N1339" s="59">
        <f>J1339*34+J1339*L1339*12</f>
        <v/>
      </c>
      <c r="O1339" s="59">
        <f>MAX(0,N1339-G1339-H1339)</f>
        <v/>
      </c>
      <c r="P1339" s="60">
        <f>IF(J1339=0,"",IF(G1339&lt;J1339*34,DATE(2026,10,15)+G1339/J1339,IF(G1339&lt;N1339,DATE(2026,11,18)+(G1339-J1339*34)/(J1339*L1339),"after Nov 30")))</f>
        <v/>
      </c>
      <c r="Q1339" s="60">
        <f>IF(J1339=0,"",IF(G1339+H1339&lt;J1339*34,DATE(2026,10,15)+(G1339+H1339)/J1339,IF(G1339+H1339&lt;N1339,DATE(2026,11,18)+(G1339+H1339-J1339*34)/(J1339*L1339),"after Nov 30")))</f>
        <v/>
      </c>
      <c r="R1339" s="54">
        <f>IF(AND(G1339&lt;=0,J1339&gt;0),"Out of stock now",IF(G1339&gt;=N1339,"Covered to Nov 30",IF(G1339+H1339&gt;=N1339,"Needs inbound in time","Short even with inbound")))</f>
        <v/>
      </c>
      <c r="S1339" s="57" t="n">
        <v>0</v>
      </c>
      <c r="T1339" s="59">
        <f>IF(S1339="","",S1339*34+S1339*L1339*12)</f>
        <v/>
      </c>
    </row>
    <row r="1340">
      <c r="A1340" s="54" t="inlineStr">
        <is>
          <t>US SL Cooling Fitted</t>
        </is>
      </c>
      <c r="B1340" s="54" t="inlineStr">
        <is>
          <t>US</t>
        </is>
      </c>
      <c r="C1340" s="54" t="inlineStr">
        <is>
          <t>B0F7M35WZY</t>
        </is>
      </c>
      <c r="D1340" s="54" t="inlineStr">
        <is>
          <t>SL-COOLING-FITTED-CAL-KING-LIGHT-BLUE</t>
        </is>
      </c>
      <c r="E1340" s="54" t="inlineStr">
        <is>
          <t>Cal King</t>
        </is>
      </c>
      <c r="F1340" s="54" t="inlineStr">
        <is>
          <t>Light Blue</t>
        </is>
      </c>
      <c r="G1340" s="55" t="n">
        <v>19</v>
      </c>
      <c r="H1340" s="55" t="n">
        <v>0</v>
      </c>
      <c r="I1340" s="56" t="n"/>
      <c r="J1340" s="57" t="n">
        <v>0</v>
      </c>
      <c r="K1340" s="56" t="inlineStr">
        <is>
          <t>account data velocity</t>
        </is>
      </c>
      <c r="L1340" s="58" t="n">
        <v>0.9828</v>
      </c>
      <c r="M1340" s="56" t="inlineStr">
        <is>
          <t>own BFCM 2025 lift (account data)</t>
        </is>
      </c>
      <c r="N1340" s="59">
        <f>J1340*34+J1340*L1340*12</f>
        <v/>
      </c>
      <c r="O1340" s="59">
        <f>MAX(0,N1340-G1340-H1340)</f>
        <v/>
      </c>
      <c r="P1340" s="60">
        <f>IF(J1340=0,"",IF(G1340&lt;J1340*34,DATE(2026,10,15)+G1340/J1340,IF(G1340&lt;N1340,DATE(2026,11,18)+(G1340-J1340*34)/(J1340*L1340),"after Nov 30")))</f>
        <v/>
      </c>
      <c r="Q1340" s="60">
        <f>IF(J1340=0,"",IF(G1340+H1340&lt;J1340*34,DATE(2026,10,15)+(G1340+H1340)/J1340,IF(G1340+H1340&lt;N1340,DATE(2026,11,18)+(G1340+H1340-J1340*34)/(J1340*L1340),"after Nov 30")))</f>
        <v/>
      </c>
      <c r="R1340" s="54">
        <f>IF(AND(G1340&lt;=0,J1340&gt;0),"Out of stock now",IF(G1340&gt;=N1340,"Covered to Nov 30",IF(G1340+H1340&gt;=N1340,"Needs inbound in time","Short even with inbound")))</f>
        <v/>
      </c>
      <c r="S1340" s="57" t="n">
        <v>0</v>
      </c>
      <c r="T1340" s="59">
        <f>IF(S1340="","",S1340*34+S1340*L1340*12)</f>
        <v/>
      </c>
    </row>
    <row r="1341">
      <c r="A1341" s="54" t="inlineStr">
        <is>
          <t>US SL Cooling Fitted</t>
        </is>
      </c>
      <c r="B1341" s="54" t="inlineStr">
        <is>
          <t>US</t>
        </is>
      </c>
      <c r="C1341" s="54" t="inlineStr">
        <is>
          <t>B0F7M34BND</t>
        </is>
      </c>
      <c r="D1341" s="54" t="inlineStr">
        <is>
          <t>SL-COOLING-FITTED-KING-GRAPHITE</t>
        </is>
      </c>
      <c r="E1341" s="54" t="inlineStr">
        <is>
          <t>King</t>
        </is>
      </c>
      <c r="F1341" s="54" t="inlineStr">
        <is>
          <t>Graphite</t>
        </is>
      </c>
      <c r="G1341" s="55" t="n">
        <v>0</v>
      </c>
      <c r="H1341" s="55" t="n">
        <v>216</v>
      </c>
      <c r="I1341" s="56" t="inlineStr">
        <is>
          <t>FBA19RS1HC4F shipped: 36; FBA19RRY6QFT shipped: 60; FBA19RS0N5K2 shipped: 24; FBA19RRYCGHJ shipped: 48; FBA19RRY5FBL shipped: 48</t>
        </is>
      </c>
      <c r="J1341" s="57" t="n">
        <v>0</v>
      </c>
      <c r="K1341" s="56" t="inlineStr">
        <is>
          <t>account data velocity</t>
        </is>
      </c>
      <c r="L1341" s="58" t="n">
        <v>0.9828</v>
      </c>
      <c r="M1341" s="56" t="inlineStr">
        <is>
          <t>own BFCM 2025 lift (account data)</t>
        </is>
      </c>
      <c r="N1341" s="59">
        <f>J1341*34+J1341*L1341*12</f>
        <v/>
      </c>
      <c r="O1341" s="59">
        <f>MAX(0,N1341-G1341-H1341)</f>
        <v/>
      </c>
      <c r="P1341" s="60">
        <f>IF(J1341=0,"",IF(G1341&lt;J1341*34,DATE(2026,10,15)+G1341/J1341,IF(G1341&lt;N1341,DATE(2026,11,18)+(G1341-J1341*34)/(J1341*L1341),"after Nov 30")))</f>
        <v/>
      </c>
      <c r="Q1341" s="60">
        <f>IF(J1341=0,"",IF(G1341+H1341&lt;J1341*34,DATE(2026,10,15)+(G1341+H1341)/J1341,IF(G1341+H1341&lt;N1341,DATE(2026,11,18)+(G1341+H1341-J1341*34)/(J1341*L1341),"after Nov 30")))</f>
        <v/>
      </c>
      <c r="R1341" s="54">
        <f>IF(AND(G1341&lt;=0,J1341&gt;0),"Out of stock now",IF(G1341&gt;=N1341,"Covered to Nov 30",IF(G1341+H1341&gt;=N1341,"Needs inbound in time","Short even with inbound")))</f>
        <v/>
      </c>
      <c r="S1341" s="57" t="n"/>
      <c r="T1341" s="59">
        <f>IF(S1341="","",S1341*34+S1341*L1341*12)</f>
        <v/>
      </c>
    </row>
    <row r="1342">
      <c r="A1342" s="54" t="inlineStr">
        <is>
          <t>US SL Cooling Fitted</t>
        </is>
      </c>
      <c r="B1342" s="54" t="inlineStr">
        <is>
          <t>US</t>
        </is>
      </c>
      <c r="C1342" s="54" t="inlineStr">
        <is>
          <t>B0F7M6WTWR</t>
        </is>
      </c>
      <c r="D1342" s="54" t="inlineStr">
        <is>
          <t>SL-COOLING-FITTED-TWIN-GRAPHITE</t>
        </is>
      </c>
      <c r="E1342" s="54" t="inlineStr">
        <is>
          <t>Twin</t>
        </is>
      </c>
      <c r="F1342" s="54" t="inlineStr">
        <is>
          <t>Graphite</t>
        </is>
      </c>
      <c r="G1342" s="55" t="n">
        <v>0</v>
      </c>
      <c r="H1342" s="55" t="n">
        <v>60</v>
      </c>
      <c r="I1342" s="56" t="inlineStr">
        <is>
          <t>FBA19QLJLR1F shipped: 12; FBA19QLKCVBW shipped: 12; FBA19QLK9CYH shipped: 12; FBA19QLKHC6Q shipped: 12; FBA19QLJ0ZP4 shipped: 12</t>
        </is>
      </c>
      <c r="J1342" s="57" t="n">
        <v>0</v>
      </c>
      <c r="K1342" s="56" t="inlineStr">
        <is>
          <t>account data velocity</t>
        </is>
      </c>
      <c r="L1342" s="58" t="n">
        <v>0.9828</v>
      </c>
      <c r="M1342" s="56" t="inlineStr">
        <is>
          <t>own BFCM 2025 lift (account data)</t>
        </is>
      </c>
      <c r="N1342" s="59">
        <f>J1342*34+J1342*L1342*12</f>
        <v/>
      </c>
      <c r="O1342" s="59">
        <f>MAX(0,N1342-G1342-H1342)</f>
        <v/>
      </c>
      <c r="P1342" s="60">
        <f>IF(J1342=0,"",IF(G1342&lt;J1342*34,DATE(2026,10,15)+G1342/J1342,IF(G1342&lt;N1342,DATE(2026,11,18)+(G1342-J1342*34)/(J1342*L1342),"after Nov 30")))</f>
        <v/>
      </c>
      <c r="Q1342" s="60">
        <f>IF(J1342=0,"",IF(G1342+H1342&lt;J1342*34,DATE(2026,10,15)+(G1342+H1342)/J1342,IF(G1342+H1342&lt;N1342,DATE(2026,11,18)+(G1342+H1342-J1342*34)/(J1342*L1342),"after Nov 30")))</f>
        <v/>
      </c>
      <c r="R1342" s="54">
        <f>IF(AND(G1342&lt;=0,J1342&gt;0),"Out of stock now",IF(G1342&gt;=N1342,"Covered to Nov 30",IF(G1342+H1342&gt;=N1342,"Needs inbound in time","Short even with inbound")))</f>
        <v/>
      </c>
      <c r="S1342" s="57" t="n"/>
      <c r="T1342" s="59">
        <f>IF(S1342="","",S1342*34+S1342*L1342*12)</f>
        <v/>
      </c>
    </row>
    <row r="1343">
      <c r="A1343" s="54" t="inlineStr">
        <is>
          <t>US SL Cooling Fitted</t>
        </is>
      </c>
      <c r="B1343" s="54" t="inlineStr">
        <is>
          <t>US</t>
        </is>
      </c>
      <c r="C1343" s="54" t="inlineStr">
        <is>
          <t>B0F7M5CWG3</t>
        </is>
      </c>
      <c r="D1343" s="54" t="inlineStr">
        <is>
          <t>SL-COOLING-FITTED-TWIN-LIGHT-BLUE</t>
        </is>
      </c>
      <c r="E1343" s="54" t="inlineStr">
        <is>
          <t>Twin</t>
        </is>
      </c>
      <c r="F1343" s="54" t="inlineStr">
        <is>
          <t>Light Blue</t>
        </is>
      </c>
      <c r="G1343" s="55" t="n">
        <v>0</v>
      </c>
      <c r="H1343" s="55" t="n">
        <v>60</v>
      </c>
      <c r="I1343" s="56" t="inlineStr">
        <is>
          <t>FBA19QLJLR1F shipped: 12; FBA19QLKCVBW shipped: 12; FBA19QLK9CYH shipped: 12; FBA19QLKHC6Q shipped: 12; FBA19QLJ0ZP4 shipped: 12</t>
        </is>
      </c>
      <c r="J1343" s="57" t="n">
        <v>0</v>
      </c>
      <c r="K1343" s="56" t="inlineStr">
        <is>
          <t>account data velocity</t>
        </is>
      </c>
      <c r="L1343" s="58" t="n">
        <v>0.9828</v>
      </c>
      <c r="M1343" s="56" t="inlineStr">
        <is>
          <t>own BFCM 2025 lift (account data)</t>
        </is>
      </c>
      <c r="N1343" s="59">
        <f>J1343*34+J1343*L1343*12</f>
        <v/>
      </c>
      <c r="O1343" s="59">
        <f>MAX(0,N1343-G1343-H1343)</f>
        <v/>
      </c>
      <c r="P1343" s="60">
        <f>IF(J1343=0,"",IF(G1343&lt;J1343*34,DATE(2026,10,15)+G1343/J1343,IF(G1343&lt;N1343,DATE(2026,11,18)+(G1343-J1343*34)/(J1343*L1343),"after Nov 30")))</f>
        <v/>
      </c>
      <c r="Q1343" s="60">
        <f>IF(J1343=0,"",IF(G1343+H1343&lt;J1343*34,DATE(2026,10,15)+(G1343+H1343)/J1343,IF(G1343+H1343&lt;N1343,DATE(2026,11,18)+(G1343+H1343-J1343*34)/(J1343*L1343),"after Nov 30")))</f>
        <v/>
      </c>
      <c r="R1343" s="54">
        <f>IF(AND(G1343&lt;=0,J1343&gt;0),"Out of stock now",IF(G1343&gt;=N1343,"Covered to Nov 30",IF(G1343+H1343&gt;=N1343,"Needs inbound in time","Short even with inbound")))</f>
        <v/>
      </c>
      <c r="S1343" s="57" t="n"/>
      <c r="T1343" s="59">
        <f>IF(S1343="","",S1343*34+S1343*L1343*12)</f>
        <v/>
      </c>
    </row>
    <row r="1344">
      <c r="A1344" s="54" t="inlineStr">
        <is>
          <t>US SL Cooling Fitted</t>
        </is>
      </c>
      <c r="B1344" s="54" t="inlineStr">
        <is>
          <t>US</t>
        </is>
      </c>
      <c r="C1344" s="54" t="inlineStr">
        <is>
          <t>B0F7M3YTBN</t>
        </is>
      </c>
      <c r="D1344" s="54" t="inlineStr">
        <is>
          <t>SL-COOLING-FITTED-TWIN-LIGHT-GREY</t>
        </is>
      </c>
      <c r="E1344" s="54" t="inlineStr">
        <is>
          <t>Twin</t>
        </is>
      </c>
      <c r="F1344" s="54" t="inlineStr">
        <is>
          <t>Light Grey</t>
        </is>
      </c>
      <c r="G1344" s="55" t="n">
        <v>0</v>
      </c>
      <c r="H1344" s="55" t="n">
        <v>60</v>
      </c>
      <c r="I1344" s="56" t="inlineStr">
        <is>
          <t>FBA19QLJLR1F shipped: 12; FBA19QLKCVBW shipped: 12; FBA19QLK9CYH shipped: 12; FBA19QLKHC6Q shipped: 12; FBA19QLJ0ZP4 shipped: 12</t>
        </is>
      </c>
      <c r="J1344" s="57" t="n">
        <v>0</v>
      </c>
      <c r="K1344" s="56" t="inlineStr">
        <is>
          <t>account data velocity</t>
        </is>
      </c>
      <c r="L1344" s="58" t="n">
        <v>0.9828</v>
      </c>
      <c r="M1344" s="56" t="inlineStr">
        <is>
          <t>own BFCM 2025 lift (account data)</t>
        </is>
      </c>
      <c r="N1344" s="59">
        <f>J1344*34+J1344*L1344*12</f>
        <v/>
      </c>
      <c r="O1344" s="59">
        <f>MAX(0,N1344-G1344-H1344)</f>
        <v/>
      </c>
      <c r="P1344" s="60">
        <f>IF(J1344=0,"",IF(G1344&lt;J1344*34,DATE(2026,10,15)+G1344/J1344,IF(G1344&lt;N1344,DATE(2026,11,18)+(G1344-J1344*34)/(J1344*L1344),"after Nov 30")))</f>
        <v/>
      </c>
      <c r="Q1344" s="60">
        <f>IF(J1344=0,"",IF(G1344+H1344&lt;J1344*34,DATE(2026,10,15)+(G1344+H1344)/J1344,IF(G1344+H1344&lt;N1344,DATE(2026,11,18)+(G1344+H1344-J1344*34)/(J1344*L1344),"after Nov 30")))</f>
        <v/>
      </c>
      <c r="R1344" s="54">
        <f>IF(AND(G1344&lt;=0,J1344&gt;0),"Out of stock now",IF(G1344&gt;=N1344,"Covered to Nov 30",IF(G1344+H1344&gt;=N1344,"Needs inbound in time","Short even with inbound")))</f>
        <v/>
      </c>
      <c r="S1344" s="57" t="n"/>
      <c r="T1344" s="59">
        <f>IF(S1344="","",S1344*34+S1344*L1344*12)</f>
        <v/>
      </c>
    </row>
    <row r="1345">
      <c r="A1345" s="54" t="inlineStr">
        <is>
          <t>US SL Cooling Fitted</t>
        </is>
      </c>
      <c r="B1345" s="54" t="inlineStr">
        <is>
          <t>US</t>
        </is>
      </c>
      <c r="C1345" s="54" t="inlineStr">
        <is>
          <t>B0F7M5ZRB9</t>
        </is>
      </c>
      <c r="D1345" s="54" t="inlineStr">
        <is>
          <t>SL-COOLING-FITTED-TWIN-LIGHT-PINK</t>
        </is>
      </c>
      <c r="E1345" s="54" t="inlineStr">
        <is>
          <t>Twin</t>
        </is>
      </c>
      <c r="F1345" s="54" t="inlineStr">
        <is>
          <t>Light Pink</t>
        </is>
      </c>
      <c r="G1345" s="55" t="n">
        <v>24</v>
      </c>
      <c r="H1345" s="55" t="n">
        <v>0</v>
      </c>
      <c r="I1345" s="56" t="n"/>
      <c r="J1345" s="57" t="n">
        <v>0</v>
      </c>
      <c r="K1345" s="56" t="inlineStr">
        <is>
          <t>account data velocity</t>
        </is>
      </c>
      <c r="L1345" s="58" t="n">
        <v>0.9828</v>
      </c>
      <c r="M1345" s="56" t="inlineStr">
        <is>
          <t>own BFCM 2025 lift (account data)</t>
        </is>
      </c>
      <c r="N1345" s="59">
        <f>J1345*34+J1345*L1345*12</f>
        <v/>
      </c>
      <c r="O1345" s="59">
        <f>MAX(0,N1345-G1345-H1345)</f>
        <v/>
      </c>
      <c r="P1345" s="60">
        <f>IF(J1345=0,"",IF(G1345&lt;J1345*34,DATE(2026,10,15)+G1345/J1345,IF(G1345&lt;N1345,DATE(2026,11,18)+(G1345-J1345*34)/(J1345*L1345),"after Nov 30")))</f>
        <v/>
      </c>
      <c r="Q1345" s="60">
        <f>IF(J1345=0,"",IF(G1345+H1345&lt;J1345*34,DATE(2026,10,15)+(G1345+H1345)/J1345,IF(G1345+H1345&lt;N1345,DATE(2026,11,18)+(G1345+H1345-J1345*34)/(J1345*L1345),"after Nov 30")))</f>
        <v/>
      </c>
      <c r="R1345" s="54">
        <f>IF(AND(G1345&lt;=0,J1345&gt;0),"Out of stock now",IF(G1345&gt;=N1345,"Covered to Nov 30",IF(G1345+H1345&gt;=N1345,"Needs inbound in time","Short even with inbound")))</f>
        <v/>
      </c>
      <c r="S1345" s="57" t="n">
        <v>0</v>
      </c>
      <c r="T1345" s="59">
        <f>IF(S1345="","",S1345*34+S1345*L1345*12)</f>
        <v/>
      </c>
    </row>
    <row r="1346">
      <c r="A1346" s="54" t="inlineStr">
        <is>
          <t>US SL Cooling Fitted</t>
        </is>
      </c>
      <c r="B1346" s="54" t="inlineStr">
        <is>
          <t>US</t>
        </is>
      </c>
      <c r="C1346" s="54" t="inlineStr">
        <is>
          <t>B0F7M4R2SS</t>
        </is>
      </c>
      <c r="D1346" s="54" t="inlineStr">
        <is>
          <t>SL-COOLING-FITTED-TWIN-NAVY-BLUE</t>
        </is>
      </c>
      <c r="E1346" s="54" t="inlineStr">
        <is>
          <t>Twin</t>
        </is>
      </c>
      <c r="F1346" s="54" t="inlineStr">
        <is>
          <t>Navy Blue</t>
        </is>
      </c>
      <c r="G1346" s="55" t="n">
        <v>0</v>
      </c>
      <c r="H1346" s="55" t="n">
        <v>60</v>
      </c>
      <c r="I1346" s="56" t="inlineStr">
        <is>
          <t>FBA19RS1HC4F shipped: 12; FBA19RRY6QFT shipped: 12; FBA19RS0N5K2 shipped: 12; FBA19RRYCGHJ shipped: 12; FBA19RRY5FBL shipped: 12</t>
        </is>
      </c>
      <c r="J1346" s="57" t="n">
        <v>0</v>
      </c>
      <c r="K1346" s="56" t="inlineStr">
        <is>
          <t>account data velocity</t>
        </is>
      </c>
      <c r="L1346" s="58" t="n">
        <v>0.9828</v>
      </c>
      <c r="M1346" s="56" t="inlineStr">
        <is>
          <t>own BFCM 2025 lift (account data)</t>
        </is>
      </c>
      <c r="N1346" s="59">
        <f>J1346*34+J1346*L1346*12</f>
        <v/>
      </c>
      <c r="O1346" s="59">
        <f>MAX(0,N1346-G1346-H1346)</f>
        <v/>
      </c>
      <c r="P1346" s="60">
        <f>IF(J1346=0,"",IF(G1346&lt;J1346*34,DATE(2026,10,15)+G1346/J1346,IF(G1346&lt;N1346,DATE(2026,11,18)+(G1346-J1346*34)/(J1346*L1346),"after Nov 30")))</f>
        <v/>
      </c>
      <c r="Q1346" s="60">
        <f>IF(J1346=0,"",IF(G1346+H1346&lt;J1346*34,DATE(2026,10,15)+(G1346+H1346)/J1346,IF(G1346+H1346&lt;N1346,DATE(2026,11,18)+(G1346+H1346-J1346*34)/(J1346*L1346),"after Nov 30")))</f>
        <v/>
      </c>
      <c r="R1346" s="54">
        <f>IF(AND(G1346&lt;=0,J1346&gt;0),"Out of stock now",IF(G1346&gt;=N1346,"Covered to Nov 30",IF(G1346+H1346&gt;=N1346,"Needs inbound in time","Short even with inbound")))</f>
        <v/>
      </c>
      <c r="S1346" s="57" t="n"/>
      <c r="T1346" s="59">
        <f>IF(S1346="","",S1346*34+S1346*L1346*12)</f>
        <v/>
      </c>
    </row>
    <row r="1347">
      <c r="A1347" s="54" t="inlineStr">
        <is>
          <t>US SL Cooling Fitted</t>
        </is>
      </c>
      <c r="B1347" s="54" t="inlineStr">
        <is>
          <t>US</t>
        </is>
      </c>
      <c r="C1347" s="54" t="inlineStr">
        <is>
          <t>B0F7M5MGSY</t>
        </is>
      </c>
      <c r="D1347" s="54" t="inlineStr">
        <is>
          <t>SL-COOLING-FITTED-TWIN-REGAL-PURPLE</t>
        </is>
      </c>
      <c r="E1347" s="54" t="inlineStr">
        <is>
          <t>Twin</t>
        </is>
      </c>
      <c r="F1347" s="54" t="inlineStr">
        <is>
          <t>Regal Purple</t>
        </is>
      </c>
      <c r="G1347" s="55" t="n">
        <v>0</v>
      </c>
      <c r="H1347" s="55" t="n">
        <v>60</v>
      </c>
      <c r="I1347" s="56" t="inlineStr">
        <is>
          <t>FBA19RS1HC4F shipped: 12; FBA19RRY6QFT shipped: 12; FBA19RS0N5K2 shipped: 12; FBA19RRYCGHJ shipped: 12; FBA19RRY5FBL shipped: 12</t>
        </is>
      </c>
      <c r="J1347" s="57" t="n">
        <v>0</v>
      </c>
      <c r="K1347" s="56" t="inlineStr">
        <is>
          <t>account data velocity</t>
        </is>
      </c>
      <c r="L1347" s="58" t="n">
        <v>0.9828</v>
      </c>
      <c r="M1347" s="56" t="inlineStr">
        <is>
          <t>own BFCM 2025 lift (account data)</t>
        </is>
      </c>
      <c r="N1347" s="59">
        <f>J1347*34+J1347*L1347*12</f>
        <v/>
      </c>
      <c r="O1347" s="59">
        <f>MAX(0,N1347-G1347-H1347)</f>
        <v/>
      </c>
      <c r="P1347" s="60">
        <f>IF(J1347=0,"",IF(G1347&lt;J1347*34,DATE(2026,10,15)+G1347/J1347,IF(G1347&lt;N1347,DATE(2026,11,18)+(G1347-J1347*34)/(J1347*L1347),"after Nov 30")))</f>
        <v/>
      </c>
      <c r="Q1347" s="60">
        <f>IF(J1347=0,"",IF(G1347+H1347&lt;J1347*34,DATE(2026,10,15)+(G1347+H1347)/J1347,IF(G1347+H1347&lt;N1347,DATE(2026,11,18)+(G1347+H1347-J1347*34)/(J1347*L1347),"after Nov 30")))</f>
        <v/>
      </c>
      <c r="R1347" s="54">
        <f>IF(AND(G1347&lt;=0,J1347&gt;0),"Out of stock now",IF(G1347&gt;=N1347,"Covered to Nov 30",IF(G1347+H1347&gt;=N1347,"Needs inbound in time","Short even with inbound")))</f>
        <v/>
      </c>
      <c r="S1347" s="57" t="n"/>
      <c r="T1347" s="59">
        <f>IF(S1347="","",S1347*34+S1347*L1347*12)</f>
        <v/>
      </c>
    </row>
    <row r="1348">
      <c r="A1348" s="54" t="inlineStr">
        <is>
          <t>US SL Cooling Fitted</t>
        </is>
      </c>
      <c r="B1348" s="54" t="inlineStr">
        <is>
          <t>US</t>
        </is>
      </c>
      <c r="C1348" s="54" t="inlineStr">
        <is>
          <t>B0F7M5DG4X</t>
        </is>
      </c>
      <c r="D1348" s="54" t="inlineStr">
        <is>
          <t>SL-COOLING-FITTED-TWIN-SAGE-GREEN</t>
        </is>
      </c>
      <c r="E1348" s="54" t="inlineStr">
        <is>
          <t>Twin</t>
        </is>
      </c>
      <c r="F1348" s="54" t="inlineStr">
        <is>
          <t>Sage Green</t>
        </is>
      </c>
      <c r="G1348" s="55" t="n">
        <v>0</v>
      </c>
      <c r="H1348" s="55" t="n">
        <v>60</v>
      </c>
      <c r="I1348" s="56" t="inlineStr">
        <is>
          <t>FBA19RS1HC4F shipped: 12; FBA19RRY6QFT shipped: 12; FBA19RS0N5K2 shipped: 12; FBA19RRYCGHJ shipped: 12; FBA19RRY5FBL shipped: 12</t>
        </is>
      </c>
      <c r="J1348" s="57" t="n">
        <v>0</v>
      </c>
      <c r="K1348" s="56" t="inlineStr">
        <is>
          <t>account data velocity</t>
        </is>
      </c>
      <c r="L1348" s="58" t="n">
        <v>0.9828</v>
      </c>
      <c r="M1348" s="56" t="inlineStr">
        <is>
          <t>own BFCM 2025 lift (account data)</t>
        </is>
      </c>
      <c r="N1348" s="59">
        <f>J1348*34+J1348*L1348*12</f>
        <v/>
      </c>
      <c r="O1348" s="59">
        <f>MAX(0,N1348-G1348-H1348)</f>
        <v/>
      </c>
      <c r="P1348" s="60">
        <f>IF(J1348=0,"",IF(G1348&lt;J1348*34,DATE(2026,10,15)+G1348/J1348,IF(G1348&lt;N1348,DATE(2026,11,18)+(G1348-J1348*34)/(J1348*L1348),"after Nov 30")))</f>
        <v/>
      </c>
      <c r="Q1348" s="60">
        <f>IF(J1348=0,"",IF(G1348+H1348&lt;J1348*34,DATE(2026,10,15)+(G1348+H1348)/J1348,IF(G1348+H1348&lt;N1348,DATE(2026,11,18)+(G1348+H1348-J1348*34)/(J1348*L1348),"after Nov 30")))</f>
        <v/>
      </c>
      <c r="R1348" s="54">
        <f>IF(AND(G1348&lt;=0,J1348&gt;0),"Out of stock now",IF(G1348&gt;=N1348,"Covered to Nov 30",IF(G1348+H1348&gt;=N1348,"Needs inbound in time","Short even with inbound")))</f>
        <v/>
      </c>
      <c r="S1348" s="57" t="n"/>
      <c r="T1348" s="59">
        <f>IF(S1348="","",S1348*34+S1348*L1348*12)</f>
        <v/>
      </c>
    </row>
    <row r="1349">
      <c r="A1349" s="54" t="inlineStr">
        <is>
          <t>US SL Quilt Set</t>
        </is>
      </c>
      <c r="B1349" s="54" t="inlineStr">
        <is>
          <t>US</t>
        </is>
      </c>
      <c r="C1349" s="54" t="inlineStr">
        <is>
          <t>B0FGZNP934</t>
        </is>
      </c>
      <c r="D1349" s="54" t="inlineStr">
        <is>
          <t>SL-QUILT-SET-TWIN-LIGHT-GREY</t>
        </is>
      </c>
      <c r="E1349" s="54" t="inlineStr">
        <is>
          <t>Twin</t>
        </is>
      </c>
      <c r="F1349" s="54" t="inlineStr">
        <is>
          <t>Light Grey</t>
        </is>
      </c>
      <c r="G1349" s="55" t="n">
        <v>1</v>
      </c>
      <c r="H1349" s="55" t="n">
        <v>0</v>
      </c>
      <c r="I1349" s="56" t="n"/>
      <c r="J1349" s="57" t="n">
        <v>0.24</v>
      </c>
      <c r="K1349" s="56" t="inlineStr">
        <is>
          <t>account data velocity</t>
        </is>
      </c>
      <c r="L1349" s="58" t="n">
        <v>2.7396</v>
      </c>
      <c r="M1349" s="56" t="inlineStr">
        <is>
          <t>ASSUMED: account BFCM 2025 lift (US); product's own 2025 lift not available</t>
        </is>
      </c>
      <c r="N1349" s="59">
        <f>J1349*34+J1349*L1349*12</f>
        <v/>
      </c>
      <c r="O1349" s="59">
        <f>MAX(0,N1349-G1349-H1349)</f>
        <v/>
      </c>
      <c r="P1349" s="60">
        <f>IF(J1349=0,"",IF(G1349&lt;J1349*34,DATE(2026,10,15)+G1349/J1349,IF(G1349&lt;N1349,DATE(2026,11,18)+(G1349-J1349*34)/(J1349*L1349),"after Nov 30")))</f>
        <v/>
      </c>
      <c r="Q1349" s="60">
        <f>IF(J1349=0,"",IF(G1349+H1349&lt;J1349*34,DATE(2026,10,15)+(G1349+H1349)/J1349,IF(G1349+H1349&lt;N1349,DATE(2026,11,18)+(G1349+H1349-J1349*34)/(J1349*L1349),"after Nov 30")))</f>
        <v/>
      </c>
      <c r="R1349" s="54">
        <f>IF(AND(G1349&lt;=0,J1349&gt;0),"Out of stock now",IF(G1349&gt;=N1349,"Covered to Nov 30",IF(G1349+H1349&gt;=N1349,"Needs inbound in time","Short even with inbound")))</f>
        <v/>
      </c>
      <c r="S1349" s="57" t="n">
        <v>0.143</v>
      </c>
      <c r="T1349" s="59">
        <f>IF(S1349="","",S1349*34+S1349*L1349*12)</f>
        <v/>
      </c>
    </row>
    <row r="1350">
      <c r="A1350" s="54" t="inlineStr">
        <is>
          <t>US SL Quilt Set</t>
        </is>
      </c>
      <c r="B1350" s="54" t="inlineStr">
        <is>
          <t>US</t>
        </is>
      </c>
      <c r="C1350" s="54" t="inlineStr">
        <is>
          <t>B0FGZQ1HTL</t>
        </is>
      </c>
      <c r="D1350" s="54" t="inlineStr">
        <is>
          <t>SL-QUILT-SET-QUEEN-NAVY-BLUE</t>
        </is>
      </c>
      <c r="E1350" s="54" t="inlineStr">
        <is>
          <t>Queen</t>
        </is>
      </c>
      <c r="F1350" s="54" t="inlineStr">
        <is>
          <t>Navy Blue</t>
        </is>
      </c>
      <c r="G1350" s="55" t="n">
        <v>3</v>
      </c>
      <c r="H1350" s="55" t="n">
        <v>0</v>
      </c>
      <c r="I1350" s="56" t="n"/>
      <c r="J1350" s="57" t="n">
        <v>0.12</v>
      </c>
      <c r="K1350" s="56" t="inlineStr">
        <is>
          <t>account data velocity</t>
        </is>
      </c>
      <c r="L1350" s="58" t="n">
        <v>2.7396</v>
      </c>
      <c r="M1350" s="56" t="inlineStr">
        <is>
          <t>ASSUMED: account BFCM 2025 lift (US); product's own 2025 lift not available</t>
        </is>
      </c>
      <c r="N1350" s="59">
        <f>J1350*34+J1350*L1350*12</f>
        <v/>
      </c>
      <c r="O1350" s="59">
        <f>MAX(0,N1350-G1350-H1350)</f>
        <v/>
      </c>
      <c r="P1350" s="60">
        <f>IF(J1350=0,"",IF(G1350&lt;J1350*34,DATE(2026,10,15)+G1350/J1350,IF(G1350&lt;N1350,DATE(2026,11,18)+(G1350-J1350*34)/(J1350*L1350),"after Nov 30")))</f>
        <v/>
      </c>
      <c r="Q1350" s="60">
        <f>IF(J1350=0,"",IF(G1350+H1350&lt;J1350*34,DATE(2026,10,15)+(G1350+H1350)/J1350,IF(G1350+H1350&lt;N1350,DATE(2026,11,18)+(G1350+H1350-J1350*34)/(J1350*L1350),"after Nov 30")))</f>
        <v/>
      </c>
      <c r="R1350" s="54">
        <f>IF(AND(G1350&lt;=0,J1350&gt;0),"Out of stock now",IF(G1350&gt;=N1350,"Covered to Nov 30",IF(G1350+H1350&gt;=N1350,"Needs inbound in time","Short even with inbound")))</f>
        <v/>
      </c>
      <c r="S1350" s="57" t="n">
        <v>0.179</v>
      </c>
      <c r="T1350" s="59">
        <f>IF(S1350="","",S1350*34+S1350*L1350*12)</f>
        <v/>
      </c>
    </row>
    <row r="1351">
      <c r="A1351" s="54" t="inlineStr">
        <is>
          <t>US SL Quilt Set</t>
        </is>
      </c>
      <c r="B1351" s="54" t="inlineStr">
        <is>
          <t>US</t>
        </is>
      </c>
      <c r="C1351" s="54" t="inlineStr">
        <is>
          <t>B0FGZ6PCS1</t>
        </is>
      </c>
      <c r="D1351" s="54" t="inlineStr">
        <is>
          <t>SL-QUILT-SET-KING-LIGHT-GREY</t>
        </is>
      </c>
      <c r="E1351" s="54" t="inlineStr">
        <is>
          <t>King</t>
        </is>
      </c>
      <c r="F1351" s="54" t="inlineStr">
        <is>
          <t>Light Grey</t>
        </is>
      </c>
      <c r="G1351" s="55" t="n">
        <v>0</v>
      </c>
      <c r="H1351" s="55" t="n">
        <v>0</v>
      </c>
      <c r="I1351" s="56" t="n"/>
      <c r="J1351" s="57" t="n">
        <v>0.1</v>
      </c>
      <c r="K1351" s="56" t="inlineStr">
        <is>
          <t>account data velocity</t>
        </is>
      </c>
      <c r="L1351" s="58" t="n">
        <v>2.7396</v>
      </c>
      <c r="M1351" s="56" t="inlineStr">
        <is>
          <t>ASSUMED: account BFCM 2025 lift (US); product's own 2025 lift not available</t>
        </is>
      </c>
      <c r="N1351" s="59">
        <f>J1351*34+J1351*L1351*12</f>
        <v/>
      </c>
      <c r="O1351" s="59">
        <f>MAX(0,N1351-G1351-H1351)</f>
        <v/>
      </c>
      <c r="P1351" s="60">
        <f>IF(J1351=0,"",IF(G1351&lt;J1351*34,DATE(2026,10,15)+G1351/J1351,IF(G1351&lt;N1351,DATE(2026,11,18)+(G1351-J1351*34)/(J1351*L1351),"after Nov 30")))</f>
        <v/>
      </c>
      <c r="Q1351" s="60">
        <f>IF(J1351=0,"",IF(G1351+H1351&lt;J1351*34,DATE(2026,10,15)+(G1351+H1351)/J1351,IF(G1351+H1351&lt;N1351,DATE(2026,11,18)+(G1351+H1351-J1351*34)/(J1351*L1351),"after Nov 30")))</f>
        <v/>
      </c>
      <c r="R1351" s="54">
        <f>IF(AND(G1351&lt;=0,J1351&gt;0),"Out of stock now",IF(G1351&gt;=N1351,"Covered to Nov 30",IF(G1351+H1351&gt;=N1351,"Needs inbound in time","Short even with inbound")))</f>
        <v/>
      </c>
      <c r="S1351" s="57" t="n">
        <v>0.107</v>
      </c>
      <c r="T1351" s="59">
        <f>IF(S1351="","",S1351*34+S1351*L1351*12)</f>
        <v/>
      </c>
    </row>
    <row r="1352">
      <c r="A1352" s="54" t="inlineStr">
        <is>
          <t>US SL Quilt Set</t>
        </is>
      </c>
      <c r="B1352" s="54" t="inlineStr">
        <is>
          <t>US</t>
        </is>
      </c>
      <c r="C1352" s="54" t="inlineStr">
        <is>
          <t>B0FGZXMY7K</t>
        </is>
      </c>
      <c r="D1352" s="54" t="inlineStr">
        <is>
          <t>SL-QUILT-SET-QUEEN-TAUPE</t>
        </is>
      </c>
      <c r="E1352" s="54" t="inlineStr">
        <is>
          <t>Queen</t>
        </is>
      </c>
      <c r="F1352" s="54" t="inlineStr">
        <is>
          <t>Taupe</t>
        </is>
      </c>
      <c r="G1352" s="55" t="n">
        <v>0</v>
      </c>
      <c r="H1352" s="55" t="n">
        <v>0</v>
      </c>
      <c r="I1352" s="56" t="n"/>
      <c r="J1352" s="57" t="n">
        <v>0.1</v>
      </c>
      <c r="K1352" s="56" t="inlineStr">
        <is>
          <t>account data velocity</t>
        </is>
      </c>
      <c r="L1352" s="58" t="n">
        <v>2.7396</v>
      </c>
      <c r="M1352" s="56" t="inlineStr">
        <is>
          <t>ASSUMED: account BFCM 2025 lift (US); product's own 2025 lift not available</t>
        </is>
      </c>
      <c r="N1352" s="59">
        <f>J1352*34+J1352*L1352*12</f>
        <v/>
      </c>
      <c r="O1352" s="59">
        <f>MAX(0,N1352-G1352-H1352)</f>
        <v/>
      </c>
      <c r="P1352" s="60">
        <f>IF(J1352=0,"",IF(G1352&lt;J1352*34,DATE(2026,10,15)+G1352/J1352,IF(G1352&lt;N1352,DATE(2026,11,18)+(G1352-J1352*34)/(J1352*L1352),"after Nov 30")))</f>
        <v/>
      </c>
      <c r="Q1352" s="60">
        <f>IF(J1352=0,"",IF(G1352+H1352&lt;J1352*34,DATE(2026,10,15)+(G1352+H1352)/J1352,IF(G1352+H1352&lt;N1352,DATE(2026,11,18)+(G1352+H1352-J1352*34)/(J1352*L1352),"after Nov 30")))</f>
        <v/>
      </c>
      <c r="R1352" s="54">
        <f>IF(AND(G1352&lt;=0,J1352&gt;0),"Out of stock now",IF(G1352&gt;=N1352,"Covered to Nov 30",IF(G1352+H1352&gt;=N1352,"Needs inbound in time","Short even with inbound")))</f>
        <v/>
      </c>
      <c r="S1352" s="57" t="n">
        <v>0.036</v>
      </c>
      <c r="T1352" s="59">
        <f>IF(S1352="","",S1352*34+S1352*L1352*12)</f>
        <v/>
      </c>
    </row>
    <row r="1353">
      <c r="A1353" s="54" t="inlineStr">
        <is>
          <t>US SL Quilt Set</t>
        </is>
      </c>
      <c r="B1353" s="54" t="inlineStr">
        <is>
          <t>US</t>
        </is>
      </c>
      <c r="C1353" s="54" t="inlineStr">
        <is>
          <t>B0FGZDR11L</t>
        </is>
      </c>
      <c r="D1353" s="54" t="inlineStr">
        <is>
          <t>SL-QUILT-SET-QUEEN-IVORY</t>
        </is>
      </c>
      <c r="E1353" s="54" t="inlineStr">
        <is>
          <t>Queen</t>
        </is>
      </c>
      <c r="F1353" s="54" t="inlineStr">
        <is>
          <t>Ivory</t>
        </is>
      </c>
      <c r="G1353" s="55" t="n">
        <v>1</v>
      </c>
      <c r="H1353" s="55" t="n">
        <v>0</v>
      </c>
      <c r="I1353" s="56" t="n"/>
      <c r="J1353" s="57" t="n">
        <v>0.09</v>
      </c>
      <c r="K1353" s="56" t="inlineStr">
        <is>
          <t>account data velocity</t>
        </is>
      </c>
      <c r="L1353" s="58" t="n">
        <v>2.7396</v>
      </c>
      <c r="M1353" s="56" t="inlineStr">
        <is>
          <t>ASSUMED: account BFCM 2025 lift (US); product's own 2025 lift not available</t>
        </is>
      </c>
      <c r="N1353" s="59">
        <f>J1353*34+J1353*L1353*12</f>
        <v/>
      </c>
      <c r="O1353" s="59">
        <f>MAX(0,N1353-G1353-H1353)</f>
        <v/>
      </c>
      <c r="P1353" s="60">
        <f>IF(J1353=0,"",IF(G1353&lt;J1353*34,DATE(2026,10,15)+G1353/J1353,IF(G1353&lt;N1353,DATE(2026,11,18)+(G1353-J1353*34)/(J1353*L1353),"after Nov 30")))</f>
        <v/>
      </c>
      <c r="Q1353" s="60">
        <f>IF(J1353=0,"",IF(G1353+H1353&lt;J1353*34,DATE(2026,10,15)+(G1353+H1353)/J1353,IF(G1353+H1353&lt;N1353,DATE(2026,11,18)+(G1353+H1353-J1353*34)/(J1353*L1353),"after Nov 30")))</f>
        <v/>
      </c>
      <c r="R1353" s="54">
        <f>IF(AND(G1353&lt;=0,J1353&gt;0),"Out of stock now",IF(G1353&gt;=N1353,"Covered to Nov 30",IF(G1353+H1353&gt;=N1353,"Needs inbound in time","Short even with inbound")))</f>
        <v/>
      </c>
      <c r="S1353" s="57" t="n">
        <v>0.214</v>
      </c>
      <c r="T1353" s="59">
        <f>IF(S1353="","",S1353*34+S1353*L1353*12)</f>
        <v/>
      </c>
    </row>
    <row r="1354">
      <c r="A1354" s="54" t="inlineStr">
        <is>
          <t>US SL Quilt Set</t>
        </is>
      </c>
      <c r="B1354" s="54" t="inlineStr">
        <is>
          <t>US</t>
        </is>
      </c>
      <c r="C1354" s="54" t="inlineStr">
        <is>
          <t>B0FGZQDBY6</t>
        </is>
      </c>
      <c r="D1354" s="54" t="inlineStr">
        <is>
          <t>SL-QUILT-SET-KING-IVORY</t>
        </is>
      </c>
      <c r="E1354" s="54" t="inlineStr">
        <is>
          <t>King</t>
        </is>
      </c>
      <c r="F1354" s="54" t="inlineStr">
        <is>
          <t>Ivory</t>
        </is>
      </c>
      <c r="G1354" s="55" t="n">
        <v>12</v>
      </c>
      <c r="H1354" s="55" t="n">
        <v>0</v>
      </c>
      <c r="I1354" s="56" t="n"/>
      <c r="J1354" s="57" t="n">
        <v>0.09</v>
      </c>
      <c r="K1354" s="56" t="inlineStr">
        <is>
          <t>account data velocity</t>
        </is>
      </c>
      <c r="L1354" s="58" t="n">
        <v>2.7396</v>
      </c>
      <c r="M1354" s="56" t="inlineStr">
        <is>
          <t>ASSUMED: account BFCM 2025 lift (US); product's own 2025 lift not available</t>
        </is>
      </c>
      <c r="N1354" s="59">
        <f>J1354*34+J1354*L1354*12</f>
        <v/>
      </c>
      <c r="O1354" s="59">
        <f>MAX(0,N1354-G1354-H1354)</f>
        <v/>
      </c>
      <c r="P1354" s="60">
        <f>IF(J1354=0,"",IF(G1354&lt;J1354*34,DATE(2026,10,15)+G1354/J1354,IF(G1354&lt;N1354,DATE(2026,11,18)+(G1354-J1354*34)/(J1354*L1354),"after Nov 30")))</f>
        <v/>
      </c>
      <c r="Q1354" s="60">
        <f>IF(J1354=0,"",IF(G1354+H1354&lt;J1354*34,DATE(2026,10,15)+(G1354+H1354)/J1354,IF(G1354+H1354&lt;N1354,DATE(2026,11,18)+(G1354+H1354-J1354*34)/(J1354*L1354),"after Nov 30")))</f>
        <v/>
      </c>
      <c r="R1354" s="54">
        <f>IF(AND(G1354&lt;=0,J1354&gt;0),"Out of stock now",IF(G1354&gt;=N1354,"Covered to Nov 30",IF(G1354+H1354&gt;=N1354,"Needs inbound in time","Short even with inbound")))</f>
        <v/>
      </c>
      <c r="S1354" s="57" t="n">
        <v>0.143</v>
      </c>
      <c r="T1354" s="59">
        <f>IF(S1354="","",S1354*34+S1354*L1354*12)</f>
        <v/>
      </c>
    </row>
    <row r="1355">
      <c r="A1355" s="54" t="inlineStr">
        <is>
          <t>US SL Quilt Set</t>
        </is>
      </c>
      <c r="B1355" s="54" t="inlineStr">
        <is>
          <t>US</t>
        </is>
      </c>
      <c r="C1355" s="54" t="inlineStr">
        <is>
          <t>B0FGZMSDC8</t>
        </is>
      </c>
      <c r="D1355" s="54" t="inlineStr">
        <is>
          <t>SL-QUILT-SET-QUEEN-LIGHT-GREY</t>
        </is>
      </c>
      <c r="E1355" s="54" t="inlineStr">
        <is>
          <t>Queen</t>
        </is>
      </c>
      <c r="F1355" s="54" t="inlineStr">
        <is>
          <t>Light Grey</t>
        </is>
      </c>
      <c r="G1355" s="55" t="n">
        <v>1</v>
      </c>
      <c r="H1355" s="55" t="n">
        <v>0</v>
      </c>
      <c r="I1355" s="56" t="n"/>
      <c r="J1355" s="57" t="n">
        <v>0.07000000000000001</v>
      </c>
      <c r="K1355" s="56" t="inlineStr">
        <is>
          <t>account data velocity</t>
        </is>
      </c>
      <c r="L1355" s="58" t="n">
        <v>2.7396</v>
      </c>
      <c r="M1355" s="56" t="inlineStr">
        <is>
          <t>ASSUMED: account BFCM 2025 lift (US); product's own 2025 lift not available</t>
        </is>
      </c>
      <c r="N1355" s="59">
        <f>J1355*34+J1355*L1355*12</f>
        <v/>
      </c>
      <c r="O1355" s="59">
        <f>MAX(0,N1355-G1355-H1355)</f>
        <v/>
      </c>
      <c r="P1355" s="60">
        <f>IF(J1355=0,"",IF(G1355&lt;J1355*34,DATE(2026,10,15)+G1355/J1355,IF(G1355&lt;N1355,DATE(2026,11,18)+(G1355-J1355*34)/(J1355*L1355),"after Nov 30")))</f>
        <v/>
      </c>
      <c r="Q1355" s="60">
        <f>IF(J1355=0,"",IF(G1355+H1355&lt;J1355*34,DATE(2026,10,15)+(G1355+H1355)/J1355,IF(G1355+H1355&lt;N1355,DATE(2026,11,18)+(G1355+H1355-J1355*34)/(J1355*L1355),"after Nov 30")))</f>
        <v/>
      </c>
      <c r="R1355" s="54">
        <f>IF(AND(G1355&lt;=0,J1355&gt;0),"Out of stock now",IF(G1355&gt;=N1355,"Covered to Nov 30",IF(G1355+H1355&gt;=N1355,"Needs inbound in time","Short even with inbound")))</f>
        <v/>
      </c>
      <c r="S1355" s="57" t="n">
        <v>0.036</v>
      </c>
      <c r="T1355" s="59">
        <f>IF(S1355="","",S1355*34+S1355*L1355*12)</f>
        <v/>
      </c>
    </row>
    <row r="1356">
      <c r="A1356" s="54" t="inlineStr">
        <is>
          <t>US SL Quilt Set</t>
        </is>
      </c>
      <c r="B1356" s="54" t="inlineStr">
        <is>
          <t>US</t>
        </is>
      </c>
      <c r="C1356" s="54" t="inlineStr">
        <is>
          <t>B0FGZH4DM7</t>
        </is>
      </c>
      <c r="D1356" s="54" t="inlineStr">
        <is>
          <t>SL-QUILT-SET-KING-TAUPE</t>
        </is>
      </c>
      <c r="E1356" s="54" t="inlineStr">
        <is>
          <t>King</t>
        </is>
      </c>
      <c r="F1356" s="54" t="inlineStr">
        <is>
          <t>Taupe</t>
        </is>
      </c>
      <c r="G1356" s="55" t="n">
        <v>11</v>
      </c>
      <c r="H1356" s="55" t="n">
        <v>0</v>
      </c>
      <c r="I1356" s="56" t="n"/>
      <c r="J1356" s="57" t="n">
        <v>0.07000000000000001</v>
      </c>
      <c r="K1356" s="56" t="inlineStr">
        <is>
          <t>account data velocity</t>
        </is>
      </c>
      <c r="L1356" s="58" t="n">
        <v>2.7396</v>
      </c>
      <c r="M1356" s="56" t="inlineStr">
        <is>
          <t>ASSUMED: account BFCM 2025 lift (US); product's own 2025 lift not available</t>
        </is>
      </c>
      <c r="N1356" s="59">
        <f>J1356*34+J1356*L1356*12</f>
        <v/>
      </c>
      <c r="O1356" s="59">
        <f>MAX(0,N1356-G1356-H1356)</f>
        <v/>
      </c>
      <c r="P1356" s="60">
        <f>IF(J1356=0,"",IF(G1356&lt;J1356*34,DATE(2026,10,15)+G1356/J1356,IF(G1356&lt;N1356,DATE(2026,11,18)+(G1356-J1356*34)/(J1356*L1356),"after Nov 30")))</f>
        <v/>
      </c>
      <c r="Q1356" s="60">
        <f>IF(J1356=0,"",IF(G1356+H1356&lt;J1356*34,DATE(2026,10,15)+(G1356+H1356)/J1356,IF(G1356+H1356&lt;N1356,DATE(2026,11,18)+(G1356+H1356-J1356*34)/(J1356*L1356),"after Nov 30")))</f>
        <v/>
      </c>
      <c r="R1356" s="54">
        <f>IF(AND(G1356&lt;=0,J1356&gt;0),"Out of stock now",IF(G1356&gt;=N1356,"Covered to Nov 30",IF(G1356+H1356&gt;=N1356,"Needs inbound in time","Short even with inbound")))</f>
        <v/>
      </c>
      <c r="S1356" s="57" t="n">
        <v>0</v>
      </c>
      <c r="T1356" s="59">
        <f>IF(S1356="","",S1356*34+S1356*L1356*12)</f>
        <v/>
      </c>
    </row>
    <row r="1357">
      <c r="A1357" s="54" t="inlineStr">
        <is>
          <t>US SL Quilt Set</t>
        </is>
      </c>
      <c r="B1357" s="54" t="inlineStr">
        <is>
          <t>US</t>
        </is>
      </c>
      <c r="C1357" s="54" t="inlineStr">
        <is>
          <t>B0FGZLXXSJ</t>
        </is>
      </c>
      <c r="D1357" s="54" t="inlineStr">
        <is>
          <t>SL-QUILT-SET-QUEEN-WHITE</t>
        </is>
      </c>
      <c r="E1357" s="54" t="inlineStr">
        <is>
          <t>Queen</t>
        </is>
      </c>
      <c r="F1357" s="54" t="inlineStr">
        <is>
          <t>White</t>
        </is>
      </c>
      <c r="G1357" s="55" t="n">
        <v>2</v>
      </c>
      <c r="H1357" s="55" t="n">
        <v>0</v>
      </c>
      <c r="I1357" s="56" t="n"/>
      <c r="J1357" s="57" t="n">
        <v>0.04</v>
      </c>
      <c r="K1357" s="56" t="inlineStr">
        <is>
          <t>account data velocity</t>
        </is>
      </c>
      <c r="L1357" s="58" t="n">
        <v>2.7396</v>
      </c>
      <c r="M1357" s="56" t="inlineStr">
        <is>
          <t>ASSUMED: account BFCM 2025 lift (US); product's own 2025 lift not available</t>
        </is>
      </c>
      <c r="N1357" s="59">
        <f>J1357*34+J1357*L1357*12</f>
        <v/>
      </c>
      <c r="O1357" s="59">
        <f>MAX(0,N1357-G1357-H1357)</f>
        <v/>
      </c>
      <c r="P1357" s="60">
        <f>IF(J1357=0,"",IF(G1357&lt;J1357*34,DATE(2026,10,15)+G1357/J1357,IF(G1357&lt;N1357,DATE(2026,11,18)+(G1357-J1357*34)/(J1357*L1357),"after Nov 30")))</f>
        <v/>
      </c>
      <c r="Q1357" s="60">
        <f>IF(J1357=0,"",IF(G1357+H1357&lt;J1357*34,DATE(2026,10,15)+(G1357+H1357)/J1357,IF(G1357+H1357&lt;N1357,DATE(2026,11,18)+(G1357+H1357-J1357*34)/(J1357*L1357),"after Nov 30")))</f>
        <v/>
      </c>
      <c r="R1357" s="54">
        <f>IF(AND(G1357&lt;=0,J1357&gt;0),"Out of stock now",IF(G1357&gt;=N1357,"Covered to Nov 30",IF(G1357+H1357&gt;=N1357,"Needs inbound in time","Short even with inbound")))</f>
        <v/>
      </c>
      <c r="S1357" s="57" t="n">
        <v>0.107</v>
      </c>
      <c r="T1357" s="59">
        <f>IF(S1357="","",S1357*34+S1357*L1357*12)</f>
        <v/>
      </c>
    </row>
    <row r="1358">
      <c r="A1358" s="54" t="inlineStr">
        <is>
          <t>US SL Quilt Set</t>
        </is>
      </c>
      <c r="B1358" s="54" t="inlineStr">
        <is>
          <t>US</t>
        </is>
      </c>
      <c r="C1358" s="54" t="inlineStr">
        <is>
          <t>B0FGZZRZML</t>
        </is>
      </c>
      <c r="D1358" s="54" t="inlineStr">
        <is>
          <t>SL-QUILT-SET-QUEEN-SAGE-GREEN</t>
        </is>
      </c>
      <c r="E1358" s="54" t="inlineStr">
        <is>
          <t>Queen</t>
        </is>
      </c>
      <c r="F1358" s="54" t="inlineStr">
        <is>
          <t>Sage Green</t>
        </is>
      </c>
      <c r="G1358" s="55" t="n">
        <v>3</v>
      </c>
      <c r="H1358" s="55" t="n">
        <v>0</v>
      </c>
      <c r="I1358" s="56" t="n"/>
      <c r="J1358" s="57" t="n">
        <v>0.03</v>
      </c>
      <c r="K1358" s="56" t="inlineStr">
        <is>
          <t>account data velocity</t>
        </is>
      </c>
      <c r="L1358" s="58" t="n">
        <v>2.7396</v>
      </c>
      <c r="M1358" s="56" t="inlineStr">
        <is>
          <t>ASSUMED: account BFCM 2025 lift (US); product's own 2025 lift not available</t>
        </is>
      </c>
      <c r="N1358" s="59">
        <f>J1358*34+J1358*L1358*12</f>
        <v/>
      </c>
      <c r="O1358" s="59">
        <f>MAX(0,N1358-G1358-H1358)</f>
        <v/>
      </c>
      <c r="P1358" s="60">
        <f>IF(J1358=0,"",IF(G1358&lt;J1358*34,DATE(2026,10,15)+G1358/J1358,IF(G1358&lt;N1358,DATE(2026,11,18)+(G1358-J1358*34)/(J1358*L1358),"after Nov 30")))</f>
        <v/>
      </c>
      <c r="Q1358" s="60">
        <f>IF(J1358=0,"",IF(G1358+H1358&lt;J1358*34,DATE(2026,10,15)+(G1358+H1358)/J1358,IF(G1358+H1358&lt;N1358,DATE(2026,11,18)+(G1358+H1358-J1358*34)/(J1358*L1358),"after Nov 30")))</f>
        <v/>
      </c>
      <c r="R1358" s="54">
        <f>IF(AND(G1358&lt;=0,J1358&gt;0),"Out of stock now",IF(G1358&gt;=N1358,"Covered to Nov 30",IF(G1358+H1358&gt;=N1358,"Needs inbound in time","Short even with inbound")))</f>
        <v/>
      </c>
      <c r="S1358" s="57" t="n">
        <v>0.07099999999999999</v>
      </c>
      <c r="T1358" s="59">
        <f>IF(S1358="","",S1358*34+S1358*L1358*12)</f>
        <v/>
      </c>
    </row>
    <row r="1359">
      <c r="A1359" s="54" t="inlineStr">
        <is>
          <t>US SL Quilt Set</t>
        </is>
      </c>
      <c r="B1359" s="54" t="inlineStr">
        <is>
          <t>US</t>
        </is>
      </c>
      <c r="C1359" s="54" t="inlineStr">
        <is>
          <t>B0FGZTPZ63</t>
        </is>
      </c>
      <c r="D1359" s="54" t="inlineStr">
        <is>
          <t>SL-QUILT-SET-QUEEN-BLACK</t>
        </is>
      </c>
      <c r="E1359" s="54" t="inlineStr">
        <is>
          <t>Queen</t>
        </is>
      </c>
      <c r="F1359" s="54" t="inlineStr">
        <is>
          <t>Black</t>
        </is>
      </c>
      <c r="G1359" s="55" t="n">
        <v>1</v>
      </c>
      <c r="H1359" s="55" t="n">
        <v>0</v>
      </c>
      <c r="I1359" s="56" t="n"/>
      <c r="J1359" s="57" t="n">
        <v>0.03</v>
      </c>
      <c r="K1359" s="56" t="inlineStr">
        <is>
          <t>account data velocity</t>
        </is>
      </c>
      <c r="L1359" s="58" t="n">
        <v>2.7396</v>
      </c>
      <c r="M1359" s="56" t="inlineStr">
        <is>
          <t>ASSUMED: account BFCM 2025 lift (US); product's own 2025 lift not available</t>
        </is>
      </c>
      <c r="N1359" s="59">
        <f>J1359*34+J1359*L1359*12</f>
        <v/>
      </c>
      <c r="O1359" s="59">
        <f>MAX(0,N1359-G1359-H1359)</f>
        <v/>
      </c>
      <c r="P1359" s="60">
        <f>IF(J1359=0,"",IF(G1359&lt;J1359*34,DATE(2026,10,15)+G1359/J1359,IF(G1359&lt;N1359,DATE(2026,11,18)+(G1359-J1359*34)/(J1359*L1359),"after Nov 30")))</f>
        <v/>
      </c>
      <c r="Q1359" s="60">
        <f>IF(J1359=0,"",IF(G1359+H1359&lt;J1359*34,DATE(2026,10,15)+(G1359+H1359)/J1359,IF(G1359+H1359&lt;N1359,DATE(2026,11,18)+(G1359+H1359-J1359*34)/(J1359*L1359),"after Nov 30")))</f>
        <v/>
      </c>
      <c r="R1359" s="54">
        <f>IF(AND(G1359&lt;=0,J1359&gt;0),"Out of stock now",IF(G1359&gt;=N1359,"Covered to Nov 30",IF(G1359+H1359&gt;=N1359,"Needs inbound in time","Short even with inbound")))</f>
        <v/>
      </c>
      <c r="S1359" s="57" t="n">
        <v>0.036</v>
      </c>
      <c r="T1359" s="59">
        <f>IF(S1359="","",S1359*34+S1359*L1359*12)</f>
        <v/>
      </c>
    </row>
    <row r="1360">
      <c r="A1360" s="54" t="inlineStr">
        <is>
          <t>US SL Quilt Set</t>
        </is>
      </c>
      <c r="B1360" s="54" t="inlineStr">
        <is>
          <t>US</t>
        </is>
      </c>
      <c r="C1360" s="54" t="inlineStr">
        <is>
          <t>B0FGZMRVY7</t>
        </is>
      </c>
      <c r="D1360" s="54" t="inlineStr">
        <is>
          <t>SL-QUILT-SET-KING-NAVY-BLUE</t>
        </is>
      </c>
      <c r="E1360" s="54" t="inlineStr">
        <is>
          <t>King</t>
        </is>
      </c>
      <c r="F1360" s="54" t="inlineStr">
        <is>
          <t>Navy Blue</t>
        </is>
      </c>
      <c r="G1360" s="55" t="n">
        <v>0</v>
      </c>
      <c r="H1360" s="55" t="n">
        <v>0</v>
      </c>
      <c r="I1360" s="56" t="n"/>
      <c r="J1360" s="57" t="n">
        <v>0.03</v>
      </c>
      <c r="K1360" s="56" t="inlineStr">
        <is>
          <t>account data velocity</t>
        </is>
      </c>
      <c r="L1360" s="58" t="n">
        <v>2.7396</v>
      </c>
      <c r="M1360" s="56" t="inlineStr">
        <is>
          <t>ASSUMED: account BFCM 2025 lift (US); product's own 2025 lift not available</t>
        </is>
      </c>
      <c r="N1360" s="59">
        <f>J1360*34+J1360*L1360*12</f>
        <v/>
      </c>
      <c r="O1360" s="59">
        <f>MAX(0,N1360-G1360-H1360)</f>
        <v/>
      </c>
      <c r="P1360" s="60">
        <f>IF(J1360=0,"",IF(G1360&lt;J1360*34,DATE(2026,10,15)+G1360/J1360,IF(G1360&lt;N1360,DATE(2026,11,18)+(G1360-J1360*34)/(J1360*L1360),"after Nov 30")))</f>
        <v/>
      </c>
      <c r="Q1360" s="60">
        <f>IF(J1360=0,"",IF(G1360+H1360&lt;J1360*34,DATE(2026,10,15)+(G1360+H1360)/J1360,IF(G1360+H1360&lt;N1360,DATE(2026,11,18)+(G1360+H1360-J1360*34)/(J1360*L1360),"after Nov 30")))</f>
        <v/>
      </c>
      <c r="R1360" s="54">
        <f>IF(AND(G1360&lt;=0,J1360&gt;0),"Out of stock now",IF(G1360&gt;=N1360,"Covered to Nov 30",IF(G1360+H1360&gt;=N1360,"Needs inbound in time","Short even with inbound")))</f>
        <v/>
      </c>
      <c r="S1360" s="57" t="n">
        <v>0</v>
      </c>
      <c r="T1360" s="59">
        <f>IF(S1360="","",S1360*34+S1360*L1360*12)</f>
        <v/>
      </c>
    </row>
    <row r="1361">
      <c r="A1361" s="54" t="inlineStr">
        <is>
          <t>US SL Quilt Set</t>
        </is>
      </c>
      <c r="B1361" s="54" t="inlineStr">
        <is>
          <t>US</t>
        </is>
      </c>
      <c r="C1361" s="54" t="inlineStr">
        <is>
          <t>B0FGZF19SN</t>
        </is>
      </c>
      <c r="D1361" s="54" t="inlineStr">
        <is>
          <t>SL-QUILT-SET-KING-BLACK</t>
        </is>
      </c>
      <c r="E1361" s="54" t="inlineStr">
        <is>
          <t>King</t>
        </is>
      </c>
      <c r="F1361" s="54" t="inlineStr">
        <is>
          <t>Black</t>
        </is>
      </c>
      <c r="G1361" s="55" t="n">
        <v>0</v>
      </c>
      <c r="H1361" s="55" t="n">
        <v>0</v>
      </c>
      <c r="I1361" s="56" t="n"/>
      <c r="J1361" s="57" t="n">
        <v>0.02</v>
      </c>
      <c r="K1361" s="56" t="inlineStr">
        <is>
          <t>account data velocity</t>
        </is>
      </c>
      <c r="L1361" s="58" t="n">
        <v>2.7396</v>
      </c>
      <c r="M1361" s="56" t="inlineStr">
        <is>
          <t>ASSUMED: account BFCM 2025 lift (US); product's own 2025 lift not available</t>
        </is>
      </c>
      <c r="N1361" s="59">
        <f>J1361*34+J1361*L1361*12</f>
        <v/>
      </c>
      <c r="O1361" s="59">
        <f>MAX(0,N1361-G1361-H1361)</f>
        <v/>
      </c>
      <c r="P1361" s="60">
        <f>IF(J1361=0,"",IF(G1361&lt;J1361*34,DATE(2026,10,15)+G1361/J1361,IF(G1361&lt;N1361,DATE(2026,11,18)+(G1361-J1361*34)/(J1361*L1361),"after Nov 30")))</f>
        <v/>
      </c>
      <c r="Q1361" s="60">
        <f>IF(J1361=0,"",IF(G1361+H1361&lt;J1361*34,DATE(2026,10,15)+(G1361+H1361)/J1361,IF(G1361+H1361&lt;N1361,DATE(2026,11,18)+(G1361+H1361-J1361*34)/(J1361*L1361),"after Nov 30")))</f>
        <v/>
      </c>
      <c r="R1361" s="54">
        <f>IF(AND(G1361&lt;=0,J1361&gt;0),"Out of stock now",IF(G1361&gt;=N1361,"Covered to Nov 30",IF(G1361+H1361&gt;=N1361,"Needs inbound in time","Short even with inbound")))</f>
        <v/>
      </c>
      <c r="S1361" s="57" t="n"/>
      <c r="T1361" s="59">
        <f>IF(S1361="","",S1361*34+S1361*L1361*12)</f>
        <v/>
      </c>
    </row>
    <row r="1362">
      <c r="A1362" s="54" t="inlineStr">
        <is>
          <t>US SL Quilt Set</t>
        </is>
      </c>
      <c r="B1362" s="54" t="inlineStr">
        <is>
          <t>US</t>
        </is>
      </c>
      <c r="C1362" s="54" t="inlineStr">
        <is>
          <t>B0FGZDYS73</t>
        </is>
      </c>
      <c r="D1362" s="54" t="inlineStr">
        <is>
          <t>SL-QUILT-SET-KING-SAGE-GREEN</t>
        </is>
      </c>
      <c r="E1362" s="54" t="inlineStr">
        <is>
          <t>King</t>
        </is>
      </c>
      <c r="F1362" s="54" t="inlineStr">
        <is>
          <t>Sage Green</t>
        </is>
      </c>
      <c r="G1362" s="55" t="n">
        <v>7</v>
      </c>
      <c r="H1362" s="55" t="n">
        <v>0</v>
      </c>
      <c r="I1362" s="56" t="n"/>
      <c r="J1362" s="57" t="n">
        <v>0.01</v>
      </c>
      <c r="K1362" s="56" t="inlineStr">
        <is>
          <t>account data velocity</t>
        </is>
      </c>
      <c r="L1362" s="58" t="n">
        <v>2.7396</v>
      </c>
      <c r="M1362" s="56" t="inlineStr">
        <is>
          <t>ASSUMED: account BFCM 2025 lift (US); product's own 2025 lift not available</t>
        </is>
      </c>
      <c r="N1362" s="59">
        <f>J1362*34+J1362*L1362*12</f>
        <v/>
      </c>
      <c r="O1362" s="59">
        <f>MAX(0,N1362-G1362-H1362)</f>
        <v/>
      </c>
      <c r="P1362" s="60">
        <f>IF(J1362=0,"",IF(G1362&lt;J1362*34,DATE(2026,10,15)+G1362/J1362,IF(G1362&lt;N1362,DATE(2026,11,18)+(G1362-J1362*34)/(J1362*L1362),"after Nov 30")))</f>
        <v/>
      </c>
      <c r="Q1362" s="60">
        <f>IF(J1362=0,"",IF(G1362+H1362&lt;J1362*34,DATE(2026,10,15)+(G1362+H1362)/J1362,IF(G1362+H1362&lt;N1362,DATE(2026,11,18)+(G1362+H1362-J1362*34)/(J1362*L1362),"after Nov 30")))</f>
        <v/>
      </c>
      <c r="R1362" s="54">
        <f>IF(AND(G1362&lt;=0,J1362&gt;0),"Out of stock now",IF(G1362&gt;=N1362,"Covered to Nov 30",IF(G1362+H1362&gt;=N1362,"Needs inbound in time","Short even with inbound")))</f>
        <v/>
      </c>
      <c r="S1362" s="57" t="n">
        <v>0.036</v>
      </c>
      <c r="T1362" s="59">
        <f>IF(S1362="","",S1362*34+S1362*L1362*12)</f>
        <v/>
      </c>
    </row>
    <row r="1363">
      <c r="A1363" s="54" t="inlineStr">
        <is>
          <t>US SL Quilt Set</t>
        </is>
      </c>
      <c r="B1363" s="54" t="inlineStr">
        <is>
          <t>US</t>
        </is>
      </c>
      <c r="C1363" s="54" t="inlineStr">
        <is>
          <t>B0FGZLYL5C</t>
        </is>
      </c>
      <c r="D1363" s="54" t="inlineStr">
        <is>
          <t>SL-QUILT-SET-TWIN-TAUPE</t>
        </is>
      </c>
      <c r="E1363" s="54" t="inlineStr">
        <is>
          <t>Twin</t>
        </is>
      </c>
      <c r="F1363" s="54" t="inlineStr">
        <is>
          <t>Taupe</t>
        </is>
      </c>
      <c r="G1363" s="55" t="n">
        <v>0</v>
      </c>
      <c r="H1363" s="55" t="n">
        <v>0</v>
      </c>
      <c r="I1363" s="56" t="n"/>
      <c r="J1363" s="57" t="n">
        <v>0.01</v>
      </c>
      <c r="K1363" s="56" t="inlineStr">
        <is>
          <t>account data velocity</t>
        </is>
      </c>
      <c r="L1363" s="58" t="n">
        <v>2.7396</v>
      </c>
      <c r="M1363" s="56" t="inlineStr">
        <is>
          <t>ASSUMED: account BFCM 2025 lift (US); product's own 2025 lift not available</t>
        </is>
      </c>
      <c r="N1363" s="59">
        <f>J1363*34+J1363*L1363*12</f>
        <v/>
      </c>
      <c r="O1363" s="59">
        <f>MAX(0,N1363-G1363-H1363)</f>
        <v/>
      </c>
      <c r="P1363" s="60">
        <f>IF(J1363=0,"",IF(G1363&lt;J1363*34,DATE(2026,10,15)+G1363/J1363,IF(G1363&lt;N1363,DATE(2026,11,18)+(G1363-J1363*34)/(J1363*L1363),"after Nov 30")))</f>
        <v/>
      </c>
      <c r="Q1363" s="60">
        <f>IF(J1363=0,"",IF(G1363+H1363&lt;J1363*34,DATE(2026,10,15)+(G1363+H1363)/J1363,IF(G1363+H1363&lt;N1363,DATE(2026,11,18)+(G1363+H1363-J1363*34)/(J1363*L1363),"after Nov 30")))</f>
        <v/>
      </c>
      <c r="R1363" s="54">
        <f>IF(AND(G1363&lt;=0,J1363&gt;0),"Out of stock now",IF(G1363&gt;=N1363,"Covered to Nov 30",IF(G1363+H1363&gt;=N1363,"Needs inbound in time","Short even with inbound")))</f>
        <v/>
      </c>
      <c r="S1363" s="57" t="n">
        <v>0.036</v>
      </c>
      <c r="T1363" s="59">
        <f>IF(S1363="","",S1363*34+S1363*L1363*12)</f>
        <v/>
      </c>
    </row>
    <row r="1364">
      <c r="A1364" s="54" t="inlineStr">
        <is>
          <t>US SL Quilt Set</t>
        </is>
      </c>
      <c r="B1364" s="54" t="inlineStr">
        <is>
          <t>US</t>
        </is>
      </c>
      <c r="C1364" s="54" t="inlineStr">
        <is>
          <t>B0FGZVN26F</t>
        </is>
      </c>
      <c r="D1364" s="54" t="inlineStr">
        <is>
          <t>SL-QUILT-SET-KING-WHITE</t>
        </is>
      </c>
      <c r="E1364" s="54" t="inlineStr">
        <is>
          <t>King</t>
        </is>
      </c>
      <c r="F1364" s="54" t="inlineStr">
        <is>
          <t>White</t>
        </is>
      </c>
      <c r="G1364" s="55" t="n">
        <v>0</v>
      </c>
      <c r="H1364" s="55" t="n">
        <v>0</v>
      </c>
      <c r="I1364" s="56" t="n"/>
      <c r="J1364" s="57" t="n">
        <v>0.01</v>
      </c>
      <c r="K1364" s="56" t="inlineStr">
        <is>
          <t>account data velocity</t>
        </is>
      </c>
      <c r="L1364" s="58" t="n">
        <v>2.7396</v>
      </c>
      <c r="M1364" s="56" t="inlineStr">
        <is>
          <t>ASSUMED: account BFCM 2025 lift (US); product's own 2025 lift not available</t>
        </is>
      </c>
      <c r="N1364" s="59">
        <f>J1364*34+J1364*L1364*12</f>
        <v/>
      </c>
      <c r="O1364" s="59">
        <f>MAX(0,N1364-G1364-H1364)</f>
        <v/>
      </c>
      <c r="P1364" s="60">
        <f>IF(J1364=0,"",IF(G1364&lt;J1364*34,DATE(2026,10,15)+G1364/J1364,IF(G1364&lt;N1364,DATE(2026,11,18)+(G1364-J1364*34)/(J1364*L1364),"after Nov 30")))</f>
        <v/>
      </c>
      <c r="Q1364" s="60">
        <f>IF(J1364=0,"",IF(G1364+H1364&lt;J1364*34,DATE(2026,10,15)+(G1364+H1364)/J1364,IF(G1364+H1364&lt;N1364,DATE(2026,11,18)+(G1364+H1364-J1364*34)/(J1364*L1364),"after Nov 30")))</f>
        <v/>
      </c>
      <c r="R1364" s="54">
        <f>IF(AND(G1364&lt;=0,J1364&gt;0),"Out of stock now",IF(G1364&gt;=N1364,"Covered to Nov 30",IF(G1364+H1364&gt;=N1364,"Needs inbound in time","Short even with inbound")))</f>
        <v/>
      </c>
      <c r="S1364" s="57" t="n">
        <v>0</v>
      </c>
      <c r="T1364" s="59">
        <f>IF(S1364="","",S1364*34+S1364*L1364*12)</f>
        <v/>
      </c>
    </row>
    <row r="1365">
      <c r="A1365" s="54" t="inlineStr">
        <is>
          <t>US SL Quilt Set</t>
        </is>
      </c>
      <c r="B1365" s="54" t="inlineStr">
        <is>
          <t>US</t>
        </is>
      </c>
      <c r="C1365" s="54" t="inlineStr">
        <is>
          <t>B0FGZMX1XV</t>
        </is>
      </c>
      <c r="D1365" s="54" t="inlineStr">
        <is>
          <t>SL-QUILT-SET-TWIN-BLACK</t>
        </is>
      </c>
      <c r="E1365" s="54" t="inlineStr">
        <is>
          <t>Twin</t>
        </is>
      </c>
      <c r="F1365" s="54" t="inlineStr">
        <is>
          <t>Black</t>
        </is>
      </c>
      <c r="G1365" s="55" t="n">
        <v>1</v>
      </c>
      <c r="H1365" s="55" t="n">
        <v>0</v>
      </c>
      <c r="I1365" s="56" t="n"/>
      <c r="J1365" s="57" t="n">
        <v>0</v>
      </c>
      <c r="K1365" s="56" t="inlineStr">
        <is>
          <t>account data velocity</t>
        </is>
      </c>
      <c r="L1365" s="58" t="n">
        <v>2.7396</v>
      </c>
      <c r="M1365" s="56" t="inlineStr">
        <is>
          <t>ASSUMED: account BFCM 2025 lift (US); product's own 2025 lift not available</t>
        </is>
      </c>
      <c r="N1365" s="59">
        <f>J1365*34+J1365*L1365*12</f>
        <v/>
      </c>
      <c r="O1365" s="59">
        <f>MAX(0,N1365-G1365-H1365)</f>
        <v/>
      </c>
      <c r="P1365" s="60">
        <f>IF(J1365=0,"",IF(G1365&lt;J1365*34,DATE(2026,10,15)+G1365/J1365,IF(G1365&lt;N1365,DATE(2026,11,18)+(G1365-J1365*34)/(J1365*L1365),"after Nov 30")))</f>
        <v/>
      </c>
      <c r="Q1365" s="60">
        <f>IF(J1365=0,"",IF(G1365+H1365&lt;J1365*34,DATE(2026,10,15)+(G1365+H1365)/J1365,IF(G1365+H1365&lt;N1365,DATE(2026,11,18)+(G1365+H1365-J1365*34)/(J1365*L1365),"after Nov 30")))</f>
        <v/>
      </c>
      <c r="R1365" s="54">
        <f>IF(AND(G1365&lt;=0,J1365&gt;0),"Out of stock now",IF(G1365&gt;=N1365,"Covered to Nov 30",IF(G1365+H1365&gt;=N1365,"Needs inbound in time","Short even with inbound")))</f>
        <v/>
      </c>
      <c r="S1365" s="57" t="n">
        <v>0</v>
      </c>
      <c r="T1365" s="59">
        <f>IF(S1365="","",S1365*34+S1365*L1365*12)</f>
        <v/>
      </c>
    </row>
    <row r="1366">
      <c r="A1366" s="54" t="inlineStr">
        <is>
          <t>US SL Quilt Set</t>
        </is>
      </c>
      <c r="B1366" s="54" t="inlineStr">
        <is>
          <t>US</t>
        </is>
      </c>
      <c r="C1366" s="54" t="inlineStr">
        <is>
          <t>B0FGZXM8LZ</t>
        </is>
      </c>
      <c r="D1366" s="54" t="inlineStr">
        <is>
          <t>SL-QUILT-SET-TWIN-IVORY</t>
        </is>
      </c>
      <c r="E1366" s="54" t="inlineStr">
        <is>
          <t>Twin</t>
        </is>
      </c>
      <c r="F1366" s="54" t="inlineStr">
        <is>
          <t>Ivory</t>
        </is>
      </c>
      <c r="G1366" s="55" t="n">
        <v>2</v>
      </c>
      <c r="H1366" s="55" t="n">
        <v>0</v>
      </c>
      <c r="I1366" s="56" t="n"/>
      <c r="J1366" s="57" t="n">
        <v>0</v>
      </c>
      <c r="K1366" s="56" t="inlineStr">
        <is>
          <t>account data velocity</t>
        </is>
      </c>
      <c r="L1366" s="58" t="n">
        <v>2.7396</v>
      </c>
      <c r="M1366" s="56" t="inlineStr">
        <is>
          <t>ASSUMED: account BFCM 2025 lift (US); product's own 2025 lift not available</t>
        </is>
      </c>
      <c r="N1366" s="59">
        <f>J1366*34+J1366*L1366*12</f>
        <v/>
      </c>
      <c r="O1366" s="59">
        <f>MAX(0,N1366-G1366-H1366)</f>
        <v/>
      </c>
      <c r="P1366" s="60">
        <f>IF(J1366=0,"",IF(G1366&lt;J1366*34,DATE(2026,10,15)+G1366/J1366,IF(G1366&lt;N1366,DATE(2026,11,18)+(G1366-J1366*34)/(J1366*L1366),"after Nov 30")))</f>
        <v/>
      </c>
      <c r="Q1366" s="60">
        <f>IF(J1366=0,"",IF(G1366+H1366&lt;J1366*34,DATE(2026,10,15)+(G1366+H1366)/J1366,IF(G1366+H1366&lt;N1366,DATE(2026,11,18)+(G1366+H1366-J1366*34)/(J1366*L1366),"after Nov 30")))</f>
        <v/>
      </c>
      <c r="R1366" s="54">
        <f>IF(AND(G1366&lt;=0,J1366&gt;0),"Out of stock now",IF(G1366&gt;=N1366,"Covered to Nov 30",IF(G1366+H1366&gt;=N1366,"Needs inbound in time","Short even with inbound")))</f>
        <v/>
      </c>
      <c r="S1366" s="57" t="n">
        <v>0</v>
      </c>
      <c r="T1366" s="59">
        <f>IF(S1366="","",S1366*34+S1366*L1366*12)</f>
        <v/>
      </c>
    </row>
    <row r="1367">
      <c r="A1367" s="54" t="inlineStr">
        <is>
          <t>US DC Linen Curtains</t>
        </is>
      </c>
      <c r="B1367" s="54" t="inlineStr">
        <is>
          <t>US</t>
        </is>
      </c>
      <c r="C1367" s="54" t="inlineStr">
        <is>
          <t>B0F6366HKN</t>
        </is>
      </c>
      <c r="D1367" s="54" t="inlineStr">
        <is>
          <t>LINEN-CURTAIN-52x72-LIGHT-GREY-2-PCS</t>
        </is>
      </c>
      <c r="E1367" s="54" t="inlineStr">
        <is>
          <t>52x72</t>
        </is>
      </c>
      <c r="F1367" s="54" t="inlineStr">
        <is>
          <t>Light Grey</t>
        </is>
      </c>
      <c r="G1367" s="55" t="n">
        <v>25</v>
      </c>
      <c r="H1367" s="55" t="n">
        <v>0</v>
      </c>
      <c r="I1367" s="56" t="n"/>
      <c r="J1367" s="57" t="n">
        <v>0.47</v>
      </c>
      <c r="K1367" s="56" t="inlineStr">
        <is>
          <t>account data velocity</t>
        </is>
      </c>
      <c r="L1367" s="58" t="n">
        <v>2.7396</v>
      </c>
      <c r="M1367" s="56" t="inlineStr">
        <is>
          <t>ASSUMED: account BFCM 2025 lift (US); product's own 2025 lift not available</t>
        </is>
      </c>
      <c r="N1367" s="59">
        <f>J1367*34+J1367*L1367*12</f>
        <v/>
      </c>
      <c r="O1367" s="59">
        <f>MAX(0,N1367-G1367-H1367)</f>
        <v/>
      </c>
      <c r="P1367" s="60">
        <f>IF(J1367=0,"",IF(G1367&lt;J1367*34,DATE(2026,10,15)+G1367/J1367,IF(G1367&lt;N1367,DATE(2026,11,18)+(G1367-J1367*34)/(J1367*L1367),"after Nov 30")))</f>
        <v/>
      </c>
      <c r="Q1367" s="60">
        <f>IF(J1367=0,"",IF(G1367+H1367&lt;J1367*34,DATE(2026,10,15)+(G1367+H1367)/J1367,IF(G1367+H1367&lt;N1367,DATE(2026,11,18)+(G1367+H1367-J1367*34)/(J1367*L1367),"after Nov 30")))</f>
        <v/>
      </c>
      <c r="R1367" s="54">
        <f>IF(AND(G1367&lt;=0,J1367&gt;0),"Out of stock now",IF(G1367&gt;=N1367,"Covered to Nov 30",IF(G1367+H1367&gt;=N1367,"Needs inbound in time","Short even with inbound")))</f>
        <v/>
      </c>
      <c r="S1367" s="57" t="n">
        <v>0.107</v>
      </c>
      <c r="T1367" s="59">
        <f>IF(S1367="","",S1367*34+S1367*L1367*12)</f>
        <v/>
      </c>
    </row>
    <row r="1368">
      <c r="A1368" s="54" t="inlineStr">
        <is>
          <t>US DC Linen Curtains</t>
        </is>
      </c>
      <c r="B1368" s="54" t="inlineStr">
        <is>
          <t>US</t>
        </is>
      </c>
      <c r="C1368" s="54" t="inlineStr">
        <is>
          <t>B0F63BJSHF</t>
        </is>
      </c>
      <c r="D1368" s="54" t="inlineStr">
        <is>
          <t>LINEN-CURTAIN-52x84-LIGHT-GREY-2-PCS</t>
        </is>
      </c>
      <c r="E1368" s="54" t="inlineStr">
        <is>
          <t>52x84</t>
        </is>
      </c>
      <c r="F1368" s="54" t="inlineStr">
        <is>
          <t>Light Grey</t>
        </is>
      </c>
      <c r="G1368" s="55" t="n">
        <v>15</v>
      </c>
      <c r="H1368" s="55" t="n">
        <v>0</v>
      </c>
      <c r="I1368" s="56" t="n"/>
      <c r="J1368" s="57" t="n">
        <v>0.27</v>
      </c>
      <c r="K1368" s="56" t="inlineStr">
        <is>
          <t>account data velocity</t>
        </is>
      </c>
      <c r="L1368" s="58" t="n">
        <v>2.7396</v>
      </c>
      <c r="M1368" s="56" t="inlineStr">
        <is>
          <t>ASSUMED: account BFCM 2025 lift (US); product's own 2025 lift not available</t>
        </is>
      </c>
      <c r="N1368" s="59">
        <f>J1368*34+J1368*L1368*12</f>
        <v/>
      </c>
      <c r="O1368" s="59">
        <f>MAX(0,N1368-G1368-H1368)</f>
        <v/>
      </c>
      <c r="P1368" s="60">
        <f>IF(J1368=0,"",IF(G1368&lt;J1368*34,DATE(2026,10,15)+G1368/J1368,IF(G1368&lt;N1368,DATE(2026,11,18)+(G1368-J1368*34)/(J1368*L1368),"after Nov 30")))</f>
        <v/>
      </c>
      <c r="Q1368" s="60">
        <f>IF(J1368=0,"",IF(G1368+H1368&lt;J1368*34,DATE(2026,10,15)+(G1368+H1368)/J1368,IF(G1368+H1368&lt;N1368,DATE(2026,11,18)+(G1368+H1368-J1368*34)/(J1368*L1368),"after Nov 30")))</f>
        <v/>
      </c>
      <c r="R1368" s="54">
        <f>IF(AND(G1368&lt;=0,J1368&gt;0),"Out of stock now",IF(G1368&gt;=N1368,"Covered to Nov 30",IF(G1368+H1368&gt;=N1368,"Needs inbound in time","Short even with inbound")))</f>
        <v/>
      </c>
      <c r="S1368" s="57" t="n">
        <v>0.07099999999999999</v>
      </c>
      <c r="T1368" s="59">
        <f>IF(S1368="","",S1368*34+S1368*L1368*12)</f>
        <v/>
      </c>
    </row>
    <row r="1369">
      <c r="A1369" s="54" t="inlineStr">
        <is>
          <t>US DC Linen Curtains</t>
        </is>
      </c>
      <c r="B1369" s="54" t="inlineStr">
        <is>
          <t>US</t>
        </is>
      </c>
      <c r="C1369" s="54" t="inlineStr">
        <is>
          <t>B0F63C8VTL</t>
        </is>
      </c>
      <c r="D1369" s="54" t="inlineStr">
        <is>
          <t>LINEN-CURTAIN-52x120-IVORY-2-PCS</t>
        </is>
      </c>
      <c r="E1369" s="54" t="inlineStr">
        <is>
          <t>52x120</t>
        </is>
      </c>
      <c r="F1369" s="54" t="inlineStr">
        <is>
          <t>Ivory</t>
        </is>
      </c>
      <c r="G1369" s="55" t="n">
        <v>15</v>
      </c>
      <c r="H1369" s="55" t="n">
        <v>0</v>
      </c>
      <c r="I1369" s="56" t="n"/>
      <c r="J1369" s="57" t="n">
        <v>0.24</v>
      </c>
      <c r="K1369" s="56" t="inlineStr">
        <is>
          <t>account data velocity</t>
        </is>
      </c>
      <c r="L1369" s="58" t="n">
        <v>2.7396</v>
      </c>
      <c r="M1369" s="56" t="inlineStr">
        <is>
          <t>ASSUMED: account BFCM 2025 lift (US); product's own 2025 lift not available</t>
        </is>
      </c>
      <c r="N1369" s="59">
        <f>J1369*34+J1369*L1369*12</f>
        <v/>
      </c>
      <c r="O1369" s="59">
        <f>MAX(0,N1369-G1369-H1369)</f>
        <v/>
      </c>
      <c r="P1369" s="60">
        <f>IF(J1369=0,"",IF(G1369&lt;J1369*34,DATE(2026,10,15)+G1369/J1369,IF(G1369&lt;N1369,DATE(2026,11,18)+(G1369-J1369*34)/(J1369*L1369),"after Nov 30")))</f>
        <v/>
      </c>
      <c r="Q1369" s="60">
        <f>IF(J1369=0,"",IF(G1369+H1369&lt;J1369*34,DATE(2026,10,15)+(G1369+H1369)/J1369,IF(G1369+H1369&lt;N1369,DATE(2026,11,18)+(G1369+H1369-J1369*34)/(J1369*L1369),"after Nov 30")))</f>
        <v/>
      </c>
      <c r="R1369" s="54">
        <f>IF(AND(G1369&lt;=0,J1369&gt;0),"Out of stock now",IF(G1369&gt;=N1369,"Covered to Nov 30",IF(G1369+H1369&gt;=N1369,"Needs inbound in time","Short even with inbound")))</f>
        <v/>
      </c>
      <c r="S1369" s="57" t="n">
        <v>0.036</v>
      </c>
      <c r="T1369" s="59">
        <f>IF(S1369="","",S1369*34+S1369*L1369*12)</f>
        <v/>
      </c>
    </row>
    <row r="1370">
      <c r="A1370" s="54" t="inlineStr">
        <is>
          <t>US DC Linen Curtains</t>
        </is>
      </c>
      <c r="B1370" s="54" t="inlineStr">
        <is>
          <t>US</t>
        </is>
      </c>
      <c r="C1370" s="54" t="inlineStr">
        <is>
          <t>B0F637SXZQ</t>
        </is>
      </c>
      <c r="D1370" s="54" t="inlineStr">
        <is>
          <t>LINEN-CURTAIN-52x72-LINEN-2-PCS</t>
        </is>
      </c>
      <c r="E1370" s="54" t="inlineStr">
        <is>
          <t>52x72</t>
        </is>
      </c>
      <c r="F1370" s="54" t="inlineStr">
        <is>
          <t>Linen</t>
        </is>
      </c>
      <c r="G1370" s="55" t="n">
        <v>8</v>
      </c>
      <c r="H1370" s="55" t="n">
        <v>0</v>
      </c>
      <c r="I1370" s="56" t="n"/>
      <c r="J1370" s="57" t="n">
        <v>0.23</v>
      </c>
      <c r="K1370" s="56" t="inlineStr">
        <is>
          <t>account data velocity</t>
        </is>
      </c>
      <c r="L1370" s="58" t="n">
        <v>2.7396</v>
      </c>
      <c r="M1370" s="56" t="inlineStr">
        <is>
          <t>ASSUMED: account BFCM 2025 lift (US); product's own 2025 lift not available</t>
        </is>
      </c>
      <c r="N1370" s="59">
        <f>J1370*34+J1370*L1370*12</f>
        <v/>
      </c>
      <c r="O1370" s="59">
        <f>MAX(0,N1370-G1370-H1370)</f>
        <v/>
      </c>
      <c r="P1370" s="60">
        <f>IF(J1370=0,"",IF(G1370&lt;J1370*34,DATE(2026,10,15)+G1370/J1370,IF(G1370&lt;N1370,DATE(2026,11,18)+(G1370-J1370*34)/(J1370*L1370),"after Nov 30")))</f>
        <v/>
      </c>
      <c r="Q1370" s="60">
        <f>IF(J1370=0,"",IF(G1370+H1370&lt;J1370*34,DATE(2026,10,15)+(G1370+H1370)/J1370,IF(G1370+H1370&lt;N1370,DATE(2026,11,18)+(G1370+H1370-J1370*34)/(J1370*L1370),"after Nov 30")))</f>
        <v/>
      </c>
      <c r="R1370" s="54">
        <f>IF(AND(G1370&lt;=0,J1370&gt;0),"Out of stock now",IF(G1370&gt;=N1370,"Covered to Nov 30",IF(G1370+H1370&gt;=N1370,"Needs inbound in time","Short even with inbound")))</f>
        <v/>
      </c>
      <c r="S1370" s="57" t="n">
        <v>0.036</v>
      </c>
      <c r="T1370" s="59">
        <f>IF(S1370="","",S1370*34+S1370*L1370*12)</f>
        <v/>
      </c>
    </row>
    <row r="1371">
      <c r="A1371" s="54" t="inlineStr">
        <is>
          <t>US DC Linen Curtains</t>
        </is>
      </c>
      <c r="B1371" s="54" t="inlineStr">
        <is>
          <t>US</t>
        </is>
      </c>
      <c r="C1371" s="54" t="inlineStr">
        <is>
          <t>B0F63C8HL2</t>
        </is>
      </c>
      <c r="D1371" s="54" t="inlineStr">
        <is>
          <t>LINEN-CURTAIN-52x108-IVORY-2-PCS</t>
        </is>
      </c>
      <c r="E1371" s="54" t="inlineStr">
        <is>
          <t>52x108</t>
        </is>
      </c>
      <c r="F1371" s="54" t="inlineStr">
        <is>
          <t>Ivory</t>
        </is>
      </c>
      <c r="G1371" s="55" t="n">
        <v>17</v>
      </c>
      <c r="H1371" s="55" t="n">
        <v>0</v>
      </c>
      <c r="I1371" s="56" t="n"/>
      <c r="J1371" s="57" t="n">
        <v>0.12</v>
      </c>
      <c r="K1371" s="56" t="inlineStr">
        <is>
          <t>account data velocity</t>
        </is>
      </c>
      <c r="L1371" s="58" t="n">
        <v>2.7396</v>
      </c>
      <c r="M1371" s="56" t="inlineStr">
        <is>
          <t>ASSUMED: account BFCM 2025 lift (US); product's own 2025 lift not available</t>
        </is>
      </c>
      <c r="N1371" s="59">
        <f>J1371*34+J1371*L1371*12</f>
        <v/>
      </c>
      <c r="O1371" s="59">
        <f>MAX(0,N1371-G1371-H1371)</f>
        <v/>
      </c>
      <c r="P1371" s="60">
        <f>IF(J1371=0,"",IF(G1371&lt;J1371*34,DATE(2026,10,15)+G1371/J1371,IF(G1371&lt;N1371,DATE(2026,11,18)+(G1371-J1371*34)/(J1371*L1371),"after Nov 30")))</f>
        <v/>
      </c>
      <c r="Q1371" s="60">
        <f>IF(J1371=0,"",IF(G1371+H1371&lt;J1371*34,DATE(2026,10,15)+(G1371+H1371)/J1371,IF(G1371+H1371&lt;N1371,DATE(2026,11,18)+(G1371+H1371-J1371*34)/(J1371*L1371),"after Nov 30")))</f>
        <v/>
      </c>
      <c r="R1371" s="54">
        <f>IF(AND(G1371&lt;=0,J1371&gt;0),"Out of stock now",IF(G1371&gt;=N1371,"Covered to Nov 30",IF(G1371+H1371&gt;=N1371,"Needs inbound in time","Short even with inbound")))</f>
        <v/>
      </c>
      <c r="S1371" s="57" t="n">
        <v>0.07099999999999999</v>
      </c>
      <c r="T1371" s="59">
        <f>IF(S1371="","",S1371*34+S1371*L1371*12)</f>
        <v/>
      </c>
    </row>
    <row r="1372">
      <c r="A1372" s="54" t="inlineStr">
        <is>
          <t>US DC Linen Curtains</t>
        </is>
      </c>
      <c r="B1372" s="54" t="inlineStr">
        <is>
          <t>US</t>
        </is>
      </c>
      <c r="C1372" s="54" t="inlineStr">
        <is>
          <t>B0F6366Z7N</t>
        </is>
      </c>
      <c r="D1372" s="54" t="inlineStr">
        <is>
          <t>LINEN-CURTAIN-52x96-NATURAL-2-PCS</t>
        </is>
      </c>
      <c r="E1372" s="54" t="inlineStr">
        <is>
          <t>52x96</t>
        </is>
      </c>
      <c r="F1372" s="54" t="inlineStr">
        <is>
          <t>Natural</t>
        </is>
      </c>
      <c r="G1372" s="55" t="n">
        <v>18</v>
      </c>
      <c r="H1372" s="55" t="n">
        <v>0</v>
      </c>
      <c r="I1372" s="56" t="n"/>
      <c r="J1372" s="57" t="n">
        <v>0.07000000000000001</v>
      </c>
      <c r="K1372" s="56" t="inlineStr">
        <is>
          <t>account data velocity</t>
        </is>
      </c>
      <c r="L1372" s="58" t="n">
        <v>2.7396</v>
      </c>
      <c r="M1372" s="56" t="inlineStr">
        <is>
          <t>ASSUMED: account BFCM 2025 lift (US); product's own 2025 lift not available</t>
        </is>
      </c>
      <c r="N1372" s="59">
        <f>J1372*34+J1372*L1372*12</f>
        <v/>
      </c>
      <c r="O1372" s="59">
        <f>MAX(0,N1372-G1372-H1372)</f>
        <v/>
      </c>
      <c r="P1372" s="60">
        <f>IF(J1372=0,"",IF(G1372&lt;J1372*34,DATE(2026,10,15)+G1372/J1372,IF(G1372&lt;N1372,DATE(2026,11,18)+(G1372-J1372*34)/(J1372*L1372),"after Nov 30")))</f>
        <v/>
      </c>
      <c r="Q1372" s="60">
        <f>IF(J1372=0,"",IF(G1372+H1372&lt;J1372*34,DATE(2026,10,15)+(G1372+H1372)/J1372,IF(G1372+H1372&lt;N1372,DATE(2026,11,18)+(G1372+H1372-J1372*34)/(J1372*L1372),"after Nov 30")))</f>
        <v/>
      </c>
      <c r="R1372" s="54">
        <f>IF(AND(G1372&lt;=0,J1372&gt;0),"Out of stock now",IF(G1372&gt;=N1372,"Covered to Nov 30",IF(G1372+H1372&gt;=N1372,"Needs inbound in time","Short even with inbound")))</f>
        <v/>
      </c>
      <c r="S1372" s="57" t="n">
        <v>0.036</v>
      </c>
      <c r="T1372" s="59">
        <f>IF(S1372="","",S1372*34+S1372*L1372*12)</f>
        <v/>
      </c>
    </row>
    <row r="1373">
      <c r="A1373" s="54" t="inlineStr">
        <is>
          <t>US DC Linen Curtains</t>
        </is>
      </c>
      <c r="B1373" s="54" t="inlineStr">
        <is>
          <t>US</t>
        </is>
      </c>
      <c r="C1373" s="54" t="inlineStr">
        <is>
          <t>B0F639CWS1</t>
        </is>
      </c>
      <c r="D1373" s="54" t="inlineStr">
        <is>
          <t>LINEN-CURTAIN-52x84-NATURAL-2-PCS</t>
        </is>
      </c>
      <c r="E1373" s="54" t="inlineStr">
        <is>
          <t>52x84</t>
        </is>
      </c>
      <c r="F1373" s="54" t="inlineStr">
        <is>
          <t>Natural</t>
        </is>
      </c>
      <c r="G1373" s="55" t="n">
        <v>17</v>
      </c>
      <c r="H1373" s="55" t="n">
        <v>0</v>
      </c>
      <c r="I1373" s="56" t="n"/>
      <c r="J1373" s="57" t="n">
        <v>0.05</v>
      </c>
      <c r="K1373" s="56" t="inlineStr">
        <is>
          <t>account data velocity</t>
        </is>
      </c>
      <c r="L1373" s="58" t="n">
        <v>2.7396</v>
      </c>
      <c r="M1373" s="56" t="inlineStr">
        <is>
          <t>ASSUMED: account BFCM 2025 lift (US); product's own 2025 lift not available</t>
        </is>
      </c>
      <c r="N1373" s="59">
        <f>J1373*34+J1373*L1373*12</f>
        <v/>
      </c>
      <c r="O1373" s="59">
        <f>MAX(0,N1373-G1373-H1373)</f>
        <v/>
      </c>
      <c r="P1373" s="60">
        <f>IF(J1373=0,"",IF(G1373&lt;J1373*34,DATE(2026,10,15)+G1373/J1373,IF(G1373&lt;N1373,DATE(2026,11,18)+(G1373-J1373*34)/(J1373*L1373),"after Nov 30")))</f>
        <v/>
      </c>
      <c r="Q1373" s="60">
        <f>IF(J1373=0,"",IF(G1373+H1373&lt;J1373*34,DATE(2026,10,15)+(G1373+H1373)/J1373,IF(G1373+H1373&lt;N1373,DATE(2026,11,18)+(G1373+H1373-J1373*34)/(J1373*L1373),"after Nov 30")))</f>
        <v/>
      </c>
      <c r="R1373" s="54">
        <f>IF(AND(G1373&lt;=0,J1373&gt;0),"Out of stock now",IF(G1373&gt;=N1373,"Covered to Nov 30",IF(G1373+H1373&gt;=N1373,"Needs inbound in time","Short even with inbound")))</f>
        <v/>
      </c>
      <c r="S1373" s="57" t="n">
        <v>0</v>
      </c>
      <c r="T1373" s="59">
        <f>IF(S1373="","",S1373*34+S1373*L1373*12)</f>
        <v/>
      </c>
    </row>
    <row r="1374">
      <c r="A1374" s="54" t="inlineStr">
        <is>
          <t>US DC Linen Curtains</t>
        </is>
      </c>
      <c r="B1374" s="54" t="inlineStr">
        <is>
          <t>US</t>
        </is>
      </c>
      <c r="C1374" s="54" t="inlineStr">
        <is>
          <t>B0F6393JBD</t>
        </is>
      </c>
      <c r="D1374" s="54" t="inlineStr">
        <is>
          <t>LINEN-CURTAIN-52x96-LINEN-2-PCS</t>
        </is>
      </c>
      <c r="E1374" s="54" t="inlineStr">
        <is>
          <t>52x96</t>
        </is>
      </c>
      <c r="F1374" s="54" t="inlineStr">
        <is>
          <t>Linen</t>
        </is>
      </c>
      <c r="G1374" s="55" t="n">
        <v>8</v>
      </c>
      <c r="H1374" s="55" t="n">
        <v>0</v>
      </c>
      <c r="I1374" s="56" t="n"/>
      <c r="J1374" s="57" t="n">
        <v>0.05</v>
      </c>
      <c r="K1374" s="56" t="inlineStr">
        <is>
          <t>account data velocity</t>
        </is>
      </c>
      <c r="L1374" s="58" t="n">
        <v>2.7396</v>
      </c>
      <c r="M1374" s="56" t="inlineStr">
        <is>
          <t>ASSUMED: account BFCM 2025 lift (US); product's own 2025 lift not available</t>
        </is>
      </c>
      <c r="N1374" s="59">
        <f>J1374*34+J1374*L1374*12</f>
        <v/>
      </c>
      <c r="O1374" s="59">
        <f>MAX(0,N1374-G1374-H1374)</f>
        <v/>
      </c>
      <c r="P1374" s="60">
        <f>IF(J1374=0,"",IF(G1374&lt;J1374*34,DATE(2026,10,15)+G1374/J1374,IF(G1374&lt;N1374,DATE(2026,11,18)+(G1374-J1374*34)/(J1374*L1374),"after Nov 30")))</f>
        <v/>
      </c>
      <c r="Q1374" s="60">
        <f>IF(J1374=0,"",IF(G1374+H1374&lt;J1374*34,DATE(2026,10,15)+(G1374+H1374)/J1374,IF(G1374+H1374&lt;N1374,DATE(2026,11,18)+(G1374+H1374-J1374*34)/(J1374*L1374),"after Nov 30")))</f>
        <v/>
      </c>
      <c r="R1374" s="54">
        <f>IF(AND(G1374&lt;=0,J1374&gt;0),"Out of stock now",IF(G1374&gt;=N1374,"Covered to Nov 30",IF(G1374+H1374&gt;=N1374,"Needs inbound in time","Short even with inbound")))</f>
        <v/>
      </c>
      <c r="S1374" s="57" t="n">
        <v>0</v>
      </c>
      <c r="T1374" s="59">
        <f>IF(S1374="","",S1374*34+S1374*L1374*12)</f>
        <v/>
      </c>
    </row>
    <row r="1375">
      <c r="A1375" s="54" t="inlineStr">
        <is>
          <t>US DC Linen Curtains</t>
        </is>
      </c>
      <c r="B1375" s="54" t="inlineStr">
        <is>
          <t>US</t>
        </is>
      </c>
      <c r="C1375" s="54" t="inlineStr">
        <is>
          <t>B0F637WVF9</t>
        </is>
      </c>
      <c r="D1375" s="54" t="inlineStr">
        <is>
          <t>LINEN-CURTAIN-52x72-BEIGE-2-PCS</t>
        </is>
      </c>
      <c r="E1375" s="54" t="inlineStr">
        <is>
          <t>52x72</t>
        </is>
      </c>
      <c r="F1375" s="54" t="inlineStr">
        <is>
          <t>Beige</t>
        </is>
      </c>
      <c r="G1375" s="55" t="n">
        <v>8</v>
      </c>
      <c r="H1375" s="55" t="n">
        <v>0</v>
      </c>
      <c r="I1375" s="56" t="n"/>
      <c r="J1375" s="57" t="n">
        <v>0.04</v>
      </c>
      <c r="K1375" s="56" t="inlineStr">
        <is>
          <t>account data velocity</t>
        </is>
      </c>
      <c r="L1375" s="58" t="n">
        <v>2.7396</v>
      </c>
      <c r="M1375" s="56" t="inlineStr">
        <is>
          <t>ASSUMED: account BFCM 2025 lift (US); product's own 2025 lift not available</t>
        </is>
      </c>
      <c r="N1375" s="59">
        <f>J1375*34+J1375*L1375*12</f>
        <v/>
      </c>
      <c r="O1375" s="59">
        <f>MAX(0,N1375-G1375-H1375)</f>
        <v/>
      </c>
      <c r="P1375" s="60">
        <f>IF(J1375=0,"",IF(G1375&lt;J1375*34,DATE(2026,10,15)+G1375/J1375,IF(G1375&lt;N1375,DATE(2026,11,18)+(G1375-J1375*34)/(J1375*L1375),"after Nov 30")))</f>
        <v/>
      </c>
      <c r="Q1375" s="60">
        <f>IF(J1375=0,"",IF(G1375+H1375&lt;J1375*34,DATE(2026,10,15)+(G1375+H1375)/J1375,IF(G1375+H1375&lt;N1375,DATE(2026,11,18)+(G1375+H1375-J1375*34)/(J1375*L1375),"after Nov 30")))</f>
        <v/>
      </c>
      <c r="R1375" s="54">
        <f>IF(AND(G1375&lt;=0,J1375&gt;0),"Out of stock now",IF(G1375&gt;=N1375,"Covered to Nov 30",IF(G1375+H1375&gt;=N1375,"Needs inbound in time","Short even with inbound")))</f>
        <v/>
      </c>
      <c r="S1375" s="57" t="n">
        <v>0.07099999999999999</v>
      </c>
      <c r="T1375" s="59">
        <f>IF(S1375="","",S1375*34+S1375*L1375*12)</f>
        <v/>
      </c>
    </row>
    <row r="1376">
      <c r="A1376" s="54" t="inlineStr">
        <is>
          <t>US DC Linen Curtains</t>
        </is>
      </c>
      <c r="B1376" s="54" t="inlineStr">
        <is>
          <t>US</t>
        </is>
      </c>
      <c r="C1376" s="54" t="inlineStr">
        <is>
          <t>B0F63C3Z95</t>
        </is>
      </c>
      <c r="D1376" s="54" t="inlineStr">
        <is>
          <t>LINEN-CURTAIN-52x120-NATURAL-2-PCS</t>
        </is>
      </c>
      <c r="E1376" s="54" t="inlineStr">
        <is>
          <t>52x120</t>
        </is>
      </c>
      <c r="F1376" s="54" t="inlineStr">
        <is>
          <t>Natural</t>
        </is>
      </c>
      <c r="G1376" s="55" t="n">
        <v>5</v>
      </c>
      <c r="H1376" s="55" t="n">
        <v>0</v>
      </c>
      <c r="I1376" s="56" t="n"/>
      <c r="J1376" s="57" t="n">
        <v>0.03</v>
      </c>
      <c r="K1376" s="56" t="inlineStr">
        <is>
          <t>account data velocity</t>
        </is>
      </c>
      <c r="L1376" s="58" t="n">
        <v>2.7396</v>
      </c>
      <c r="M1376" s="56" t="inlineStr">
        <is>
          <t>ASSUMED: account BFCM 2025 lift (US); product's own 2025 lift not available</t>
        </is>
      </c>
      <c r="N1376" s="59">
        <f>J1376*34+J1376*L1376*12</f>
        <v/>
      </c>
      <c r="O1376" s="59">
        <f>MAX(0,N1376-G1376-H1376)</f>
        <v/>
      </c>
      <c r="P1376" s="60">
        <f>IF(J1376=0,"",IF(G1376&lt;J1376*34,DATE(2026,10,15)+G1376/J1376,IF(G1376&lt;N1376,DATE(2026,11,18)+(G1376-J1376*34)/(J1376*L1376),"after Nov 30")))</f>
        <v/>
      </c>
      <c r="Q1376" s="60">
        <f>IF(J1376=0,"",IF(G1376+H1376&lt;J1376*34,DATE(2026,10,15)+(G1376+H1376)/J1376,IF(G1376+H1376&lt;N1376,DATE(2026,11,18)+(G1376+H1376-J1376*34)/(J1376*L1376),"after Nov 30")))</f>
        <v/>
      </c>
      <c r="R1376" s="54">
        <f>IF(AND(G1376&lt;=0,J1376&gt;0),"Out of stock now",IF(G1376&gt;=N1376,"Covered to Nov 30",IF(G1376+H1376&gt;=N1376,"Needs inbound in time","Short even with inbound")))</f>
        <v/>
      </c>
      <c r="S1376" s="57" t="n">
        <v>0</v>
      </c>
      <c r="T1376" s="59">
        <f>IF(S1376="","",S1376*34+S1376*L1376*12)</f>
        <v/>
      </c>
    </row>
    <row r="1377">
      <c r="A1377" s="54" t="inlineStr">
        <is>
          <t>US DC Linen Curtains</t>
        </is>
      </c>
      <c r="B1377" s="54" t="inlineStr">
        <is>
          <t>US</t>
        </is>
      </c>
      <c r="C1377" s="54" t="inlineStr">
        <is>
          <t>B0F6353F1D</t>
        </is>
      </c>
      <c r="D1377" s="54" t="inlineStr">
        <is>
          <t>LINEN-CURTAIN-52x84-BEIGE-2-PCS</t>
        </is>
      </c>
      <c r="E1377" s="54" t="inlineStr">
        <is>
          <t>52x84</t>
        </is>
      </c>
      <c r="F1377" s="54" t="inlineStr">
        <is>
          <t>Beige</t>
        </is>
      </c>
      <c r="G1377" s="55" t="n">
        <v>20</v>
      </c>
      <c r="H1377" s="55" t="n">
        <v>0</v>
      </c>
      <c r="I1377" s="56" t="n"/>
      <c r="J1377" s="57" t="n">
        <v>0.03</v>
      </c>
      <c r="K1377" s="56" t="inlineStr">
        <is>
          <t>account data velocity</t>
        </is>
      </c>
      <c r="L1377" s="58" t="n">
        <v>2.7396</v>
      </c>
      <c r="M1377" s="56" t="inlineStr">
        <is>
          <t>ASSUMED: account BFCM 2025 lift (US); product's own 2025 lift not available</t>
        </is>
      </c>
      <c r="N1377" s="59">
        <f>J1377*34+J1377*L1377*12</f>
        <v/>
      </c>
      <c r="O1377" s="59">
        <f>MAX(0,N1377-G1377-H1377)</f>
        <v/>
      </c>
      <c r="P1377" s="60">
        <f>IF(J1377=0,"",IF(G1377&lt;J1377*34,DATE(2026,10,15)+G1377/J1377,IF(G1377&lt;N1377,DATE(2026,11,18)+(G1377-J1377*34)/(J1377*L1377),"after Nov 30")))</f>
        <v/>
      </c>
      <c r="Q1377" s="60">
        <f>IF(J1377=0,"",IF(G1377+H1377&lt;J1377*34,DATE(2026,10,15)+(G1377+H1377)/J1377,IF(G1377+H1377&lt;N1377,DATE(2026,11,18)+(G1377+H1377-J1377*34)/(J1377*L1377),"after Nov 30")))</f>
        <v/>
      </c>
      <c r="R1377" s="54">
        <f>IF(AND(G1377&lt;=0,J1377&gt;0),"Out of stock now",IF(G1377&gt;=N1377,"Covered to Nov 30",IF(G1377+H1377&gt;=N1377,"Needs inbound in time","Short even with inbound")))</f>
        <v/>
      </c>
      <c r="S1377" s="57" t="n">
        <v>0</v>
      </c>
      <c r="T1377" s="59">
        <f>IF(S1377="","",S1377*34+S1377*L1377*12)</f>
        <v/>
      </c>
    </row>
    <row r="1378">
      <c r="A1378" s="54" t="inlineStr">
        <is>
          <t>US DC Linen Curtains</t>
        </is>
      </c>
      <c r="B1378" s="54" t="inlineStr">
        <is>
          <t>US</t>
        </is>
      </c>
      <c r="C1378" s="54" t="inlineStr">
        <is>
          <t>B0F638G1PV</t>
        </is>
      </c>
      <c r="D1378" s="54" t="inlineStr">
        <is>
          <t>LINEN-CURTAIN-52x96-BEIGE-2-PCS</t>
        </is>
      </c>
      <c r="E1378" s="54" t="inlineStr">
        <is>
          <t>52x96</t>
        </is>
      </c>
      <c r="F1378" s="54" t="inlineStr">
        <is>
          <t>Beige</t>
        </is>
      </c>
      <c r="G1378" s="55" t="n">
        <v>22</v>
      </c>
      <c r="H1378" s="55" t="n">
        <v>0</v>
      </c>
      <c r="I1378" s="56" t="n"/>
      <c r="J1378" s="57" t="n">
        <v>0.03</v>
      </c>
      <c r="K1378" s="56" t="inlineStr">
        <is>
          <t>account data velocity</t>
        </is>
      </c>
      <c r="L1378" s="58" t="n">
        <v>2.7396</v>
      </c>
      <c r="M1378" s="56" t="inlineStr">
        <is>
          <t>ASSUMED: account BFCM 2025 lift (US); product's own 2025 lift not available</t>
        </is>
      </c>
      <c r="N1378" s="59">
        <f>J1378*34+J1378*L1378*12</f>
        <v/>
      </c>
      <c r="O1378" s="59">
        <f>MAX(0,N1378-G1378-H1378)</f>
        <v/>
      </c>
      <c r="P1378" s="60">
        <f>IF(J1378=0,"",IF(G1378&lt;J1378*34,DATE(2026,10,15)+G1378/J1378,IF(G1378&lt;N1378,DATE(2026,11,18)+(G1378-J1378*34)/(J1378*L1378),"after Nov 30")))</f>
        <v/>
      </c>
      <c r="Q1378" s="60">
        <f>IF(J1378=0,"",IF(G1378+H1378&lt;J1378*34,DATE(2026,10,15)+(G1378+H1378)/J1378,IF(G1378+H1378&lt;N1378,DATE(2026,11,18)+(G1378+H1378-J1378*34)/(J1378*L1378),"after Nov 30")))</f>
        <v/>
      </c>
      <c r="R1378" s="54">
        <f>IF(AND(G1378&lt;=0,J1378&gt;0),"Out of stock now",IF(G1378&gt;=N1378,"Covered to Nov 30",IF(G1378+H1378&gt;=N1378,"Needs inbound in time","Short even with inbound")))</f>
        <v/>
      </c>
      <c r="S1378" s="57" t="n">
        <v>0</v>
      </c>
      <c r="T1378" s="59">
        <f>IF(S1378="","",S1378*34+S1378*L1378*12)</f>
        <v/>
      </c>
    </row>
    <row r="1379">
      <c r="A1379" s="54" t="inlineStr">
        <is>
          <t>US DC Linen Curtains</t>
        </is>
      </c>
      <c r="B1379" s="54" t="inlineStr">
        <is>
          <t>US</t>
        </is>
      </c>
      <c r="C1379" s="54" t="inlineStr">
        <is>
          <t>B0F6392CDG</t>
        </is>
      </c>
      <c r="D1379" s="54" t="inlineStr">
        <is>
          <t>LINEN-CURTAIN-52x96-IVORY-2-PCS</t>
        </is>
      </c>
      <c r="E1379" s="54" t="inlineStr">
        <is>
          <t>52x96</t>
        </is>
      </c>
      <c r="F1379" s="54" t="inlineStr">
        <is>
          <t>Ivory</t>
        </is>
      </c>
      <c r="G1379" s="55" t="n">
        <v>22</v>
      </c>
      <c r="H1379" s="55" t="n">
        <v>0</v>
      </c>
      <c r="I1379" s="56" t="n"/>
      <c r="J1379" s="57" t="n">
        <v>0.03</v>
      </c>
      <c r="K1379" s="56" t="inlineStr">
        <is>
          <t>account data velocity</t>
        </is>
      </c>
      <c r="L1379" s="58" t="n">
        <v>2.7396</v>
      </c>
      <c r="M1379" s="56" t="inlineStr">
        <is>
          <t>ASSUMED: account BFCM 2025 lift (US); product's own 2025 lift not available</t>
        </is>
      </c>
      <c r="N1379" s="59">
        <f>J1379*34+J1379*L1379*12</f>
        <v/>
      </c>
      <c r="O1379" s="59">
        <f>MAX(0,N1379-G1379-H1379)</f>
        <v/>
      </c>
      <c r="P1379" s="60">
        <f>IF(J1379=0,"",IF(G1379&lt;J1379*34,DATE(2026,10,15)+G1379/J1379,IF(G1379&lt;N1379,DATE(2026,11,18)+(G1379-J1379*34)/(J1379*L1379),"after Nov 30")))</f>
        <v/>
      </c>
      <c r="Q1379" s="60">
        <f>IF(J1379=0,"",IF(G1379+H1379&lt;J1379*34,DATE(2026,10,15)+(G1379+H1379)/J1379,IF(G1379+H1379&lt;N1379,DATE(2026,11,18)+(G1379+H1379-J1379*34)/(J1379*L1379),"after Nov 30")))</f>
        <v/>
      </c>
      <c r="R1379" s="54">
        <f>IF(AND(G1379&lt;=0,J1379&gt;0),"Out of stock now",IF(G1379&gt;=N1379,"Covered to Nov 30",IF(G1379+H1379&gt;=N1379,"Needs inbound in time","Short even with inbound")))</f>
        <v/>
      </c>
      <c r="S1379" s="57" t="n">
        <v>0</v>
      </c>
      <c r="T1379" s="59">
        <f>IF(S1379="","",S1379*34+S1379*L1379*12)</f>
        <v/>
      </c>
    </row>
    <row r="1380">
      <c r="A1380" s="54" t="inlineStr">
        <is>
          <t>US DC Linen Curtains</t>
        </is>
      </c>
      <c r="B1380" s="54" t="inlineStr">
        <is>
          <t>US</t>
        </is>
      </c>
      <c r="C1380" s="54" t="inlineStr">
        <is>
          <t>B0F6371Q67</t>
        </is>
      </c>
      <c r="D1380" s="54" t="inlineStr">
        <is>
          <t>LINEN-CURTAIN-52x108-BEIGE-2-PCS</t>
        </is>
      </c>
      <c r="E1380" s="54" t="inlineStr">
        <is>
          <t>52x108</t>
        </is>
      </c>
      <c r="F1380" s="54" t="inlineStr">
        <is>
          <t>Beige</t>
        </is>
      </c>
      <c r="G1380" s="55" t="n">
        <v>18</v>
      </c>
      <c r="H1380" s="55" t="n">
        <v>0</v>
      </c>
      <c r="I1380" s="56" t="n"/>
      <c r="J1380" s="57" t="n">
        <v>0.02</v>
      </c>
      <c r="K1380" s="56" t="inlineStr">
        <is>
          <t>account data velocity</t>
        </is>
      </c>
      <c r="L1380" s="58" t="n">
        <v>2.7396</v>
      </c>
      <c r="M1380" s="56" t="inlineStr">
        <is>
          <t>ASSUMED: account BFCM 2025 lift (US); product's own 2025 lift not available</t>
        </is>
      </c>
      <c r="N1380" s="59">
        <f>J1380*34+J1380*L1380*12</f>
        <v/>
      </c>
      <c r="O1380" s="59">
        <f>MAX(0,N1380-G1380-H1380)</f>
        <v/>
      </c>
      <c r="P1380" s="60">
        <f>IF(J1380=0,"",IF(G1380&lt;J1380*34,DATE(2026,10,15)+G1380/J1380,IF(G1380&lt;N1380,DATE(2026,11,18)+(G1380-J1380*34)/(J1380*L1380),"after Nov 30")))</f>
        <v/>
      </c>
      <c r="Q1380" s="60">
        <f>IF(J1380=0,"",IF(G1380+H1380&lt;J1380*34,DATE(2026,10,15)+(G1380+H1380)/J1380,IF(G1380+H1380&lt;N1380,DATE(2026,11,18)+(G1380+H1380-J1380*34)/(J1380*L1380),"after Nov 30")))</f>
        <v/>
      </c>
      <c r="R1380" s="54">
        <f>IF(AND(G1380&lt;=0,J1380&gt;0),"Out of stock now",IF(G1380&gt;=N1380,"Covered to Nov 30",IF(G1380+H1380&gt;=N1380,"Needs inbound in time","Short even with inbound")))</f>
        <v/>
      </c>
      <c r="S1380" s="57" t="n">
        <v>0</v>
      </c>
      <c r="T1380" s="59">
        <f>IF(S1380="","",S1380*34+S1380*L1380*12)</f>
        <v/>
      </c>
    </row>
    <row r="1381">
      <c r="A1381" s="54" t="inlineStr">
        <is>
          <t>US DC Linen Curtains</t>
        </is>
      </c>
      <c r="B1381" s="54" t="inlineStr">
        <is>
          <t>US</t>
        </is>
      </c>
      <c r="C1381" s="54" t="inlineStr">
        <is>
          <t>B0F63B4FNY</t>
        </is>
      </c>
      <c r="D1381" s="54" t="inlineStr">
        <is>
          <t>LINEN-CURTAIN-52x108-LINEN-2-PCS</t>
        </is>
      </c>
      <c r="E1381" s="54" t="inlineStr">
        <is>
          <t>52x108</t>
        </is>
      </c>
      <c r="F1381" s="54" t="inlineStr">
        <is>
          <t>Linen</t>
        </is>
      </c>
      <c r="G1381" s="55" t="n">
        <v>12</v>
      </c>
      <c r="H1381" s="55" t="n">
        <v>0</v>
      </c>
      <c r="I1381" s="56" t="n"/>
      <c r="J1381" s="57" t="n">
        <v>0.02</v>
      </c>
      <c r="K1381" s="56" t="inlineStr">
        <is>
          <t>account data velocity</t>
        </is>
      </c>
      <c r="L1381" s="58" t="n">
        <v>2.7396</v>
      </c>
      <c r="M1381" s="56" t="inlineStr">
        <is>
          <t>ASSUMED: account BFCM 2025 lift (US); product's own 2025 lift not available</t>
        </is>
      </c>
      <c r="N1381" s="59">
        <f>J1381*34+J1381*L1381*12</f>
        <v/>
      </c>
      <c r="O1381" s="59">
        <f>MAX(0,N1381-G1381-H1381)</f>
        <v/>
      </c>
      <c r="P1381" s="60">
        <f>IF(J1381=0,"",IF(G1381&lt;J1381*34,DATE(2026,10,15)+G1381/J1381,IF(G1381&lt;N1381,DATE(2026,11,18)+(G1381-J1381*34)/(J1381*L1381),"after Nov 30")))</f>
        <v/>
      </c>
      <c r="Q1381" s="60">
        <f>IF(J1381=0,"",IF(G1381+H1381&lt;J1381*34,DATE(2026,10,15)+(G1381+H1381)/J1381,IF(G1381+H1381&lt;N1381,DATE(2026,11,18)+(G1381+H1381-J1381*34)/(J1381*L1381),"after Nov 30")))</f>
        <v/>
      </c>
      <c r="R1381" s="54">
        <f>IF(AND(G1381&lt;=0,J1381&gt;0),"Out of stock now",IF(G1381&gt;=N1381,"Covered to Nov 30",IF(G1381+H1381&gt;=N1381,"Needs inbound in time","Short even with inbound")))</f>
        <v/>
      </c>
      <c r="S1381" s="57" t="n">
        <v>0</v>
      </c>
      <c r="T1381" s="59">
        <f>IF(S1381="","",S1381*34+S1381*L1381*12)</f>
        <v/>
      </c>
    </row>
    <row r="1382">
      <c r="A1382" s="54" t="inlineStr">
        <is>
          <t>US DC Linen Curtains</t>
        </is>
      </c>
      <c r="B1382" s="54" t="inlineStr">
        <is>
          <t>US</t>
        </is>
      </c>
      <c r="C1382" s="54" t="inlineStr">
        <is>
          <t>B0F639XQ4V</t>
        </is>
      </c>
      <c r="D1382" s="54" t="inlineStr">
        <is>
          <t>LINEN-CURTAIN-52x90-BEIGE-2-PCS</t>
        </is>
      </c>
      <c r="E1382" s="54" t="inlineStr">
        <is>
          <t>52x90</t>
        </is>
      </c>
      <c r="F1382" s="54" t="inlineStr">
        <is>
          <t>Beige</t>
        </is>
      </c>
      <c r="G1382" s="55" t="n">
        <v>14</v>
      </c>
      <c r="H1382" s="55" t="n">
        <v>0</v>
      </c>
      <c r="I1382" s="56" t="n"/>
      <c r="J1382" s="57" t="n">
        <v>0.02</v>
      </c>
      <c r="K1382" s="56" t="inlineStr">
        <is>
          <t>account data velocity</t>
        </is>
      </c>
      <c r="L1382" s="58" t="n">
        <v>2.7396</v>
      </c>
      <c r="M1382" s="56" t="inlineStr">
        <is>
          <t>ASSUMED: account BFCM 2025 lift (US); product's own 2025 lift not available</t>
        </is>
      </c>
      <c r="N1382" s="59">
        <f>J1382*34+J1382*L1382*12</f>
        <v/>
      </c>
      <c r="O1382" s="59">
        <f>MAX(0,N1382-G1382-H1382)</f>
        <v/>
      </c>
      <c r="P1382" s="60">
        <f>IF(J1382=0,"",IF(G1382&lt;J1382*34,DATE(2026,10,15)+G1382/J1382,IF(G1382&lt;N1382,DATE(2026,11,18)+(G1382-J1382*34)/(J1382*L1382),"after Nov 30")))</f>
        <v/>
      </c>
      <c r="Q1382" s="60">
        <f>IF(J1382=0,"",IF(G1382+H1382&lt;J1382*34,DATE(2026,10,15)+(G1382+H1382)/J1382,IF(G1382+H1382&lt;N1382,DATE(2026,11,18)+(G1382+H1382-J1382*34)/(J1382*L1382),"after Nov 30")))</f>
        <v/>
      </c>
      <c r="R1382" s="54">
        <f>IF(AND(G1382&lt;=0,J1382&gt;0),"Out of stock now",IF(G1382&gt;=N1382,"Covered to Nov 30",IF(G1382+H1382&gt;=N1382,"Needs inbound in time","Short even with inbound")))</f>
        <v/>
      </c>
      <c r="S1382" s="57" t="n">
        <v>0</v>
      </c>
      <c r="T1382" s="59">
        <f>IF(S1382="","",S1382*34+S1382*L1382*12)</f>
        <v/>
      </c>
    </row>
    <row r="1383">
      <c r="A1383" s="54" t="inlineStr">
        <is>
          <t>US DC Linen Curtains</t>
        </is>
      </c>
      <c r="B1383" s="54" t="inlineStr">
        <is>
          <t>US</t>
        </is>
      </c>
      <c r="C1383" s="54" t="inlineStr">
        <is>
          <t>B0F639VT23</t>
        </is>
      </c>
      <c r="D1383" s="54" t="inlineStr">
        <is>
          <t>LINEN-CURTAIN-52x90-IVORY-2-PCS</t>
        </is>
      </c>
      <c r="E1383" s="54" t="inlineStr">
        <is>
          <t>52x90</t>
        </is>
      </c>
      <c r="F1383" s="54" t="inlineStr">
        <is>
          <t>Ivory</t>
        </is>
      </c>
      <c r="G1383" s="55" t="n">
        <v>9</v>
      </c>
      <c r="H1383" s="55" t="n">
        <v>0</v>
      </c>
      <c r="I1383" s="56" t="n"/>
      <c r="J1383" s="57" t="n">
        <v>0.02</v>
      </c>
      <c r="K1383" s="56" t="inlineStr">
        <is>
          <t>account data velocity</t>
        </is>
      </c>
      <c r="L1383" s="58" t="n">
        <v>2.7396</v>
      </c>
      <c r="M1383" s="56" t="inlineStr">
        <is>
          <t>ASSUMED: account BFCM 2025 lift (US); product's own 2025 lift not available</t>
        </is>
      </c>
      <c r="N1383" s="59">
        <f>J1383*34+J1383*L1383*12</f>
        <v/>
      </c>
      <c r="O1383" s="59">
        <f>MAX(0,N1383-G1383-H1383)</f>
        <v/>
      </c>
      <c r="P1383" s="60">
        <f>IF(J1383=0,"",IF(G1383&lt;J1383*34,DATE(2026,10,15)+G1383/J1383,IF(G1383&lt;N1383,DATE(2026,11,18)+(G1383-J1383*34)/(J1383*L1383),"after Nov 30")))</f>
        <v/>
      </c>
      <c r="Q1383" s="60">
        <f>IF(J1383=0,"",IF(G1383+H1383&lt;J1383*34,DATE(2026,10,15)+(G1383+H1383)/J1383,IF(G1383+H1383&lt;N1383,DATE(2026,11,18)+(G1383+H1383-J1383*34)/(J1383*L1383),"after Nov 30")))</f>
        <v/>
      </c>
      <c r="R1383" s="54">
        <f>IF(AND(G1383&lt;=0,J1383&gt;0),"Out of stock now",IF(G1383&gt;=N1383,"Covered to Nov 30",IF(G1383+H1383&gt;=N1383,"Needs inbound in time","Short even with inbound")))</f>
        <v/>
      </c>
      <c r="S1383" s="57" t="n">
        <v>0</v>
      </c>
      <c r="T1383" s="59">
        <f>IF(S1383="","",S1383*34+S1383*L1383*12)</f>
        <v/>
      </c>
    </row>
    <row r="1384">
      <c r="A1384" s="54" t="inlineStr">
        <is>
          <t>US DC Linen Curtains</t>
        </is>
      </c>
      <c r="B1384" s="54" t="inlineStr">
        <is>
          <t>US</t>
        </is>
      </c>
      <c r="C1384" s="54" t="inlineStr">
        <is>
          <t>B0F637PJBD</t>
        </is>
      </c>
      <c r="D1384" s="54" t="inlineStr">
        <is>
          <t>LINEN-CURTAIN-52x90-LINEN-2-PCS</t>
        </is>
      </c>
      <c r="E1384" s="54" t="inlineStr">
        <is>
          <t>52x90</t>
        </is>
      </c>
      <c r="F1384" s="54" t="inlineStr">
        <is>
          <t>Linen</t>
        </is>
      </c>
      <c r="G1384" s="55" t="n">
        <v>44</v>
      </c>
      <c r="H1384" s="55" t="n">
        <v>0</v>
      </c>
      <c r="I1384" s="56" t="n"/>
      <c r="J1384" s="57" t="n">
        <v>0.02</v>
      </c>
      <c r="K1384" s="56" t="inlineStr">
        <is>
          <t>account data velocity</t>
        </is>
      </c>
      <c r="L1384" s="58" t="n">
        <v>2.7396</v>
      </c>
      <c r="M1384" s="56" t="inlineStr">
        <is>
          <t>ASSUMED: account BFCM 2025 lift (US); product's own 2025 lift not available</t>
        </is>
      </c>
      <c r="N1384" s="59">
        <f>J1384*34+J1384*L1384*12</f>
        <v/>
      </c>
      <c r="O1384" s="59">
        <f>MAX(0,N1384-G1384-H1384)</f>
        <v/>
      </c>
      <c r="P1384" s="60">
        <f>IF(J1384=0,"",IF(G1384&lt;J1384*34,DATE(2026,10,15)+G1384/J1384,IF(G1384&lt;N1384,DATE(2026,11,18)+(G1384-J1384*34)/(J1384*L1384),"after Nov 30")))</f>
        <v/>
      </c>
      <c r="Q1384" s="60">
        <f>IF(J1384=0,"",IF(G1384+H1384&lt;J1384*34,DATE(2026,10,15)+(G1384+H1384)/J1384,IF(G1384+H1384&lt;N1384,DATE(2026,11,18)+(G1384+H1384-J1384*34)/(J1384*L1384),"after Nov 30")))</f>
        <v/>
      </c>
      <c r="R1384" s="54">
        <f>IF(AND(G1384&lt;=0,J1384&gt;0),"Out of stock now",IF(G1384&gt;=N1384,"Covered to Nov 30",IF(G1384+H1384&gt;=N1384,"Needs inbound in time","Short even with inbound")))</f>
        <v/>
      </c>
      <c r="S1384" s="57" t="n">
        <v>0</v>
      </c>
      <c r="T1384" s="59">
        <f>IF(S1384="","",S1384*34+S1384*L1384*12)</f>
        <v/>
      </c>
    </row>
    <row r="1385">
      <c r="A1385" s="54" t="inlineStr">
        <is>
          <t>US DC Linen Curtains</t>
        </is>
      </c>
      <c r="B1385" s="54" t="inlineStr">
        <is>
          <t>US</t>
        </is>
      </c>
      <c r="C1385" s="54" t="inlineStr">
        <is>
          <t>B0F637MQF8</t>
        </is>
      </c>
      <c r="D1385" s="54" t="inlineStr">
        <is>
          <t>LINEN-CURTAIN-52x108-LIGHT-BEIGE-2-PCS</t>
        </is>
      </c>
      <c r="E1385" s="54" t="inlineStr">
        <is>
          <t>52x108</t>
        </is>
      </c>
      <c r="F1385" s="54" t="inlineStr">
        <is>
          <t>Light Beige</t>
        </is>
      </c>
      <c r="G1385" s="55" t="n">
        <v>6</v>
      </c>
      <c r="H1385" s="55" t="n">
        <v>0</v>
      </c>
      <c r="I1385" s="56" t="n"/>
      <c r="J1385" s="57" t="n">
        <v>0.01</v>
      </c>
      <c r="K1385" s="56" t="inlineStr">
        <is>
          <t>account data velocity</t>
        </is>
      </c>
      <c r="L1385" s="58" t="n">
        <v>2.7396</v>
      </c>
      <c r="M1385" s="56" t="inlineStr">
        <is>
          <t>ASSUMED: account BFCM 2025 lift (US); product's own 2025 lift not available</t>
        </is>
      </c>
      <c r="N1385" s="59">
        <f>J1385*34+J1385*L1385*12</f>
        <v/>
      </c>
      <c r="O1385" s="59">
        <f>MAX(0,N1385-G1385-H1385)</f>
        <v/>
      </c>
      <c r="P1385" s="60">
        <f>IF(J1385=0,"",IF(G1385&lt;J1385*34,DATE(2026,10,15)+G1385/J1385,IF(G1385&lt;N1385,DATE(2026,11,18)+(G1385-J1385*34)/(J1385*L1385),"after Nov 30")))</f>
        <v/>
      </c>
      <c r="Q1385" s="60">
        <f>IF(J1385=0,"",IF(G1385+H1385&lt;J1385*34,DATE(2026,10,15)+(G1385+H1385)/J1385,IF(G1385+H1385&lt;N1385,DATE(2026,11,18)+(G1385+H1385-J1385*34)/(J1385*L1385),"after Nov 30")))</f>
        <v/>
      </c>
      <c r="R1385" s="54">
        <f>IF(AND(G1385&lt;=0,J1385&gt;0),"Out of stock now",IF(G1385&gt;=N1385,"Covered to Nov 30",IF(G1385+H1385&gt;=N1385,"Needs inbound in time","Short even with inbound")))</f>
        <v/>
      </c>
      <c r="S1385" s="57" t="n">
        <v>0</v>
      </c>
      <c r="T1385" s="59">
        <f>IF(S1385="","",S1385*34+S1385*L1385*12)</f>
        <v/>
      </c>
    </row>
    <row r="1386">
      <c r="A1386" s="54" t="inlineStr">
        <is>
          <t>US DC Linen Curtains</t>
        </is>
      </c>
      <c r="B1386" s="54" t="inlineStr">
        <is>
          <t>US</t>
        </is>
      </c>
      <c r="C1386" s="54" t="inlineStr">
        <is>
          <t>B0F63BLDMG</t>
        </is>
      </c>
      <c r="D1386" s="54" t="inlineStr">
        <is>
          <t>LINEN-CURTAIN-52x108-LIGHT-GREY-2-PCS</t>
        </is>
      </c>
      <c r="E1386" s="54" t="inlineStr">
        <is>
          <t>52x108</t>
        </is>
      </c>
      <c r="F1386" s="54" t="inlineStr">
        <is>
          <t>Light Grey</t>
        </is>
      </c>
      <c r="G1386" s="55" t="n">
        <v>17</v>
      </c>
      <c r="H1386" s="55" t="n">
        <v>0</v>
      </c>
      <c r="I1386" s="56" t="n"/>
      <c r="J1386" s="57" t="n">
        <v>0.01</v>
      </c>
      <c r="K1386" s="56" t="inlineStr">
        <is>
          <t>account data velocity</t>
        </is>
      </c>
      <c r="L1386" s="58" t="n">
        <v>2.7396</v>
      </c>
      <c r="M1386" s="56" t="inlineStr">
        <is>
          <t>ASSUMED: account BFCM 2025 lift (US); product's own 2025 lift not available</t>
        </is>
      </c>
      <c r="N1386" s="59">
        <f>J1386*34+J1386*L1386*12</f>
        <v/>
      </c>
      <c r="O1386" s="59">
        <f>MAX(0,N1386-G1386-H1386)</f>
        <v/>
      </c>
      <c r="P1386" s="60">
        <f>IF(J1386=0,"",IF(G1386&lt;J1386*34,DATE(2026,10,15)+G1386/J1386,IF(G1386&lt;N1386,DATE(2026,11,18)+(G1386-J1386*34)/(J1386*L1386),"after Nov 30")))</f>
        <v/>
      </c>
      <c r="Q1386" s="60">
        <f>IF(J1386=0,"",IF(G1386+H1386&lt;J1386*34,DATE(2026,10,15)+(G1386+H1386)/J1386,IF(G1386+H1386&lt;N1386,DATE(2026,11,18)+(G1386+H1386-J1386*34)/(J1386*L1386),"after Nov 30")))</f>
        <v/>
      </c>
      <c r="R1386" s="54">
        <f>IF(AND(G1386&lt;=0,J1386&gt;0),"Out of stock now",IF(G1386&gt;=N1386,"Covered to Nov 30",IF(G1386+H1386&gt;=N1386,"Needs inbound in time","Short even with inbound")))</f>
        <v/>
      </c>
      <c r="S1386" s="57" t="n">
        <v>0</v>
      </c>
      <c r="T1386" s="59">
        <f>IF(S1386="","",S1386*34+S1386*L1386*12)</f>
        <v/>
      </c>
    </row>
    <row r="1387">
      <c r="A1387" s="54" t="inlineStr">
        <is>
          <t>US DC Linen Curtains</t>
        </is>
      </c>
      <c r="B1387" s="54" t="inlineStr">
        <is>
          <t>US</t>
        </is>
      </c>
      <c r="C1387" s="54" t="inlineStr">
        <is>
          <t>B0F634C911</t>
        </is>
      </c>
      <c r="D1387" s="54" t="inlineStr">
        <is>
          <t>LINEN-CURTAIN-52x120-BEIGE-2-PCS</t>
        </is>
      </c>
      <c r="E1387" s="54" t="inlineStr">
        <is>
          <t>52x120</t>
        </is>
      </c>
      <c r="F1387" s="54" t="inlineStr">
        <is>
          <t>Beige</t>
        </is>
      </c>
      <c r="G1387" s="55" t="n">
        <v>23</v>
      </c>
      <c r="H1387" s="55" t="n">
        <v>0</v>
      </c>
      <c r="I1387" s="56" t="n"/>
      <c r="J1387" s="57" t="n">
        <v>0.01</v>
      </c>
      <c r="K1387" s="56" t="inlineStr">
        <is>
          <t>account data velocity</t>
        </is>
      </c>
      <c r="L1387" s="58" t="n">
        <v>2.7396</v>
      </c>
      <c r="M1387" s="56" t="inlineStr">
        <is>
          <t>ASSUMED: account BFCM 2025 lift (US); product's own 2025 lift not available</t>
        </is>
      </c>
      <c r="N1387" s="59">
        <f>J1387*34+J1387*L1387*12</f>
        <v/>
      </c>
      <c r="O1387" s="59">
        <f>MAX(0,N1387-G1387-H1387)</f>
        <v/>
      </c>
      <c r="P1387" s="60">
        <f>IF(J1387=0,"",IF(G1387&lt;J1387*34,DATE(2026,10,15)+G1387/J1387,IF(G1387&lt;N1387,DATE(2026,11,18)+(G1387-J1387*34)/(J1387*L1387),"after Nov 30")))</f>
        <v/>
      </c>
      <c r="Q1387" s="60">
        <f>IF(J1387=0,"",IF(G1387+H1387&lt;J1387*34,DATE(2026,10,15)+(G1387+H1387)/J1387,IF(G1387+H1387&lt;N1387,DATE(2026,11,18)+(G1387+H1387-J1387*34)/(J1387*L1387),"after Nov 30")))</f>
        <v/>
      </c>
      <c r="R1387" s="54">
        <f>IF(AND(G1387&lt;=0,J1387&gt;0),"Out of stock now",IF(G1387&gt;=N1387,"Covered to Nov 30",IF(G1387+H1387&gt;=N1387,"Needs inbound in time","Short even with inbound")))</f>
        <v/>
      </c>
      <c r="S1387" s="57" t="n">
        <v>0</v>
      </c>
      <c r="T1387" s="59">
        <f>IF(S1387="","",S1387*34+S1387*L1387*12)</f>
        <v/>
      </c>
    </row>
    <row r="1388">
      <c r="A1388" s="54" t="inlineStr">
        <is>
          <t>US DC Linen Curtains</t>
        </is>
      </c>
      <c r="B1388" s="54" t="inlineStr">
        <is>
          <t>US</t>
        </is>
      </c>
      <c r="C1388" s="54" t="inlineStr">
        <is>
          <t>B0F6367NPF</t>
        </is>
      </c>
      <c r="D1388" s="54" t="inlineStr">
        <is>
          <t>LINEN-CURTAIN-52x120-LIGHT-BEIGE-2-PCS</t>
        </is>
      </c>
      <c r="E1388" s="54" t="inlineStr">
        <is>
          <t>52x120</t>
        </is>
      </c>
      <c r="F1388" s="54" t="inlineStr">
        <is>
          <t>Light Beige</t>
        </is>
      </c>
      <c r="G1388" s="55" t="n">
        <v>7</v>
      </c>
      <c r="H1388" s="55" t="n">
        <v>0</v>
      </c>
      <c r="I1388" s="56" t="n"/>
      <c r="J1388" s="57" t="n">
        <v>0.01</v>
      </c>
      <c r="K1388" s="56" t="inlineStr">
        <is>
          <t>account data velocity</t>
        </is>
      </c>
      <c r="L1388" s="58" t="n">
        <v>2.7396</v>
      </c>
      <c r="M1388" s="56" t="inlineStr">
        <is>
          <t>ASSUMED: account BFCM 2025 lift (US); product's own 2025 lift not available</t>
        </is>
      </c>
      <c r="N1388" s="59">
        <f>J1388*34+J1388*L1388*12</f>
        <v/>
      </c>
      <c r="O1388" s="59">
        <f>MAX(0,N1388-G1388-H1388)</f>
        <v/>
      </c>
      <c r="P1388" s="60">
        <f>IF(J1388=0,"",IF(G1388&lt;J1388*34,DATE(2026,10,15)+G1388/J1388,IF(G1388&lt;N1388,DATE(2026,11,18)+(G1388-J1388*34)/(J1388*L1388),"after Nov 30")))</f>
        <v/>
      </c>
      <c r="Q1388" s="60">
        <f>IF(J1388=0,"",IF(G1388+H1388&lt;J1388*34,DATE(2026,10,15)+(G1388+H1388)/J1388,IF(G1388+H1388&lt;N1388,DATE(2026,11,18)+(G1388+H1388-J1388*34)/(J1388*L1388),"after Nov 30")))</f>
        <v/>
      </c>
      <c r="R1388" s="54">
        <f>IF(AND(G1388&lt;=0,J1388&gt;0),"Out of stock now",IF(G1388&gt;=N1388,"Covered to Nov 30",IF(G1388+H1388&gt;=N1388,"Needs inbound in time","Short even with inbound")))</f>
        <v/>
      </c>
      <c r="S1388" s="57" t="n">
        <v>0</v>
      </c>
      <c r="T1388" s="59">
        <f>IF(S1388="","",S1388*34+S1388*L1388*12)</f>
        <v/>
      </c>
    </row>
    <row r="1389">
      <c r="A1389" s="54" t="inlineStr">
        <is>
          <t>US DC Linen Curtains</t>
        </is>
      </c>
      <c r="B1389" s="54" t="inlineStr">
        <is>
          <t>US</t>
        </is>
      </c>
      <c r="C1389" s="54" t="inlineStr">
        <is>
          <t>B0F639STF9</t>
        </is>
      </c>
      <c r="D1389" s="54" t="inlineStr">
        <is>
          <t>LINEN-CURTAIN-52x120-LIGHT-GREY-2-PCS</t>
        </is>
      </c>
      <c r="E1389" s="54" t="inlineStr">
        <is>
          <t>52x120</t>
        </is>
      </c>
      <c r="F1389" s="54" t="inlineStr">
        <is>
          <t>Light Grey</t>
        </is>
      </c>
      <c r="G1389" s="55" t="n">
        <v>44</v>
      </c>
      <c r="H1389" s="55" t="n">
        <v>0</v>
      </c>
      <c r="I1389" s="56" t="n"/>
      <c r="J1389" s="57" t="n">
        <v>0.01</v>
      </c>
      <c r="K1389" s="56" t="inlineStr">
        <is>
          <t>account data velocity</t>
        </is>
      </c>
      <c r="L1389" s="58" t="n">
        <v>2.7396</v>
      </c>
      <c r="M1389" s="56" t="inlineStr">
        <is>
          <t>ASSUMED: account BFCM 2025 lift (US); product's own 2025 lift not available</t>
        </is>
      </c>
      <c r="N1389" s="59">
        <f>J1389*34+J1389*L1389*12</f>
        <v/>
      </c>
      <c r="O1389" s="59">
        <f>MAX(0,N1389-G1389-H1389)</f>
        <v/>
      </c>
      <c r="P1389" s="60">
        <f>IF(J1389=0,"",IF(G1389&lt;J1389*34,DATE(2026,10,15)+G1389/J1389,IF(G1389&lt;N1389,DATE(2026,11,18)+(G1389-J1389*34)/(J1389*L1389),"after Nov 30")))</f>
        <v/>
      </c>
      <c r="Q1389" s="60">
        <f>IF(J1389=0,"",IF(G1389+H1389&lt;J1389*34,DATE(2026,10,15)+(G1389+H1389)/J1389,IF(G1389+H1389&lt;N1389,DATE(2026,11,18)+(G1389+H1389-J1389*34)/(J1389*L1389),"after Nov 30")))</f>
        <v/>
      </c>
      <c r="R1389" s="54">
        <f>IF(AND(G1389&lt;=0,J1389&gt;0),"Out of stock now",IF(G1389&gt;=N1389,"Covered to Nov 30",IF(G1389+H1389&gt;=N1389,"Needs inbound in time","Short even with inbound")))</f>
        <v/>
      </c>
      <c r="S1389" s="57" t="n">
        <v>0</v>
      </c>
      <c r="T1389" s="59">
        <f>IF(S1389="","",S1389*34+S1389*L1389*12)</f>
        <v/>
      </c>
    </row>
    <row r="1390">
      <c r="A1390" s="54" t="inlineStr">
        <is>
          <t>US DC Linen Curtains</t>
        </is>
      </c>
      <c r="B1390" s="54" t="inlineStr">
        <is>
          <t>US</t>
        </is>
      </c>
      <c r="C1390" s="54" t="inlineStr">
        <is>
          <t>B0F63DDNWT</t>
        </is>
      </c>
      <c r="D1390" s="54" t="inlineStr">
        <is>
          <t>LINEN-CURTAIN-52x63-LIGHT-BEIGE-2-PCS</t>
        </is>
      </c>
      <c r="E1390" s="54" t="inlineStr">
        <is>
          <t>52x63</t>
        </is>
      </c>
      <c r="F1390" s="54" t="inlineStr">
        <is>
          <t>Light Beige</t>
        </is>
      </c>
      <c r="G1390" s="55" t="n">
        <v>23</v>
      </c>
      <c r="H1390" s="55" t="n">
        <v>0</v>
      </c>
      <c r="I1390" s="56" t="n"/>
      <c r="J1390" s="57" t="n">
        <v>0.01</v>
      </c>
      <c r="K1390" s="56" t="inlineStr">
        <is>
          <t>account data velocity</t>
        </is>
      </c>
      <c r="L1390" s="58" t="n">
        <v>2.7396</v>
      </c>
      <c r="M1390" s="56" t="inlineStr">
        <is>
          <t>ASSUMED: account BFCM 2025 lift (US); product's own 2025 lift not available</t>
        </is>
      </c>
      <c r="N1390" s="59">
        <f>J1390*34+J1390*L1390*12</f>
        <v/>
      </c>
      <c r="O1390" s="59">
        <f>MAX(0,N1390-G1390-H1390)</f>
        <v/>
      </c>
      <c r="P1390" s="60">
        <f>IF(J1390=0,"",IF(G1390&lt;J1390*34,DATE(2026,10,15)+G1390/J1390,IF(G1390&lt;N1390,DATE(2026,11,18)+(G1390-J1390*34)/(J1390*L1390),"after Nov 30")))</f>
        <v/>
      </c>
      <c r="Q1390" s="60">
        <f>IF(J1390=0,"",IF(G1390+H1390&lt;J1390*34,DATE(2026,10,15)+(G1390+H1390)/J1390,IF(G1390+H1390&lt;N1390,DATE(2026,11,18)+(G1390+H1390-J1390*34)/(J1390*L1390),"after Nov 30")))</f>
        <v/>
      </c>
      <c r="R1390" s="54">
        <f>IF(AND(G1390&lt;=0,J1390&gt;0),"Out of stock now",IF(G1390&gt;=N1390,"Covered to Nov 30",IF(G1390+H1390&gt;=N1390,"Needs inbound in time","Short even with inbound")))</f>
        <v/>
      </c>
      <c r="S1390" s="57" t="n">
        <v>0</v>
      </c>
      <c r="T1390" s="59">
        <f>IF(S1390="","",S1390*34+S1390*L1390*12)</f>
        <v/>
      </c>
    </row>
    <row r="1391">
      <c r="A1391" s="54" t="inlineStr">
        <is>
          <t>US DC Linen Curtains</t>
        </is>
      </c>
      <c r="B1391" s="54" t="inlineStr">
        <is>
          <t>US</t>
        </is>
      </c>
      <c r="C1391" s="54" t="inlineStr">
        <is>
          <t>B0F63C8CD8</t>
        </is>
      </c>
      <c r="D1391" s="54" t="inlineStr">
        <is>
          <t>LINEN-CURTAIN-52x72-IVORY-2-PCS</t>
        </is>
      </c>
      <c r="E1391" s="54" t="inlineStr">
        <is>
          <t>52x72</t>
        </is>
      </c>
      <c r="F1391" s="54" t="inlineStr">
        <is>
          <t>Ivory</t>
        </is>
      </c>
      <c r="G1391" s="55" t="n">
        <v>6</v>
      </c>
      <c r="H1391" s="55" t="n">
        <v>0</v>
      </c>
      <c r="I1391" s="56" t="n"/>
      <c r="J1391" s="57" t="n">
        <v>0.01</v>
      </c>
      <c r="K1391" s="56" t="inlineStr">
        <is>
          <t>account data velocity</t>
        </is>
      </c>
      <c r="L1391" s="58" t="n">
        <v>2.7396</v>
      </c>
      <c r="M1391" s="56" t="inlineStr">
        <is>
          <t>ASSUMED: account BFCM 2025 lift (US); product's own 2025 lift not available</t>
        </is>
      </c>
      <c r="N1391" s="59">
        <f>J1391*34+J1391*L1391*12</f>
        <v/>
      </c>
      <c r="O1391" s="59">
        <f>MAX(0,N1391-G1391-H1391)</f>
        <v/>
      </c>
      <c r="P1391" s="60">
        <f>IF(J1391=0,"",IF(G1391&lt;J1391*34,DATE(2026,10,15)+G1391/J1391,IF(G1391&lt;N1391,DATE(2026,11,18)+(G1391-J1391*34)/(J1391*L1391),"after Nov 30")))</f>
        <v/>
      </c>
      <c r="Q1391" s="60">
        <f>IF(J1391=0,"",IF(G1391+H1391&lt;J1391*34,DATE(2026,10,15)+(G1391+H1391)/J1391,IF(G1391+H1391&lt;N1391,DATE(2026,11,18)+(G1391+H1391-J1391*34)/(J1391*L1391),"after Nov 30")))</f>
        <v/>
      </c>
      <c r="R1391" s="54">
        <f>IF(AND(G1391&lt;=0,J1391&gt;0),"Out of stock now",IF(G1391&gt;=N1391,"Covered to Nov 30",IF(G1391+H1391&gt;=N1391,"Needs inbound in time","Short even with inbound")))</f>
        <v/>
      </c>
      <c r="S1391" s="57" t="n">
        <v>0</v>
      </c>
      <c r="T1391" s="59">
        <f>IF(S1391="","",S1391*34+S1391*L1391*12)</f>
        <v/>
      </c>
    </row>
    <row r="1392">
      <c r="A1392" s="54" t="inlineStr">
        <is>
          <t>US DC Linen Curtains</t>
        </is>
      </c>
      <c r="B1392" s="54" t="inlineStr">
        <is>
          <t>US</t>
        </is>
      </c>
      <c r="C1392" s="54" t="inlineStr">
        <is>
          <t>B0F637Y2S7</t>
        </is>
      </c>
      <c r="D1392" s="54" t="inlineStr">
        <is>
          <t>LINEN-CURTAIN-52x72-NATURAL-2-PCS</t>
        </is>
      </c>
      <c r="E1392" s="54" t="inlineStr">
        <is>
          <t>52x72</t>
        </is>
      </c>
      <c r="F1392" s="54" t="inlineStr">
        <is>
          <t>Natural</t>
        </is>
      </c>
      <c r="G1392" s="55" t="n">
        <v>17</v>
      </c>
      <c r="H1392" s="55" t="n">
        <v>0</v>
      </c>
      <c r="I1392" s="56" t="n"/>
      <c r="J1392" s="57" t="n">
        <v>0.01</v>
      </c>
      <c r="K1392" s="56" t="inlineStr">
        <is>
          <t>account data velocity</t>
        </is>
      </c>
      <c r="L1392" s="58" t="n">
        <v>2.7396</v>
      </c>
      <c r="M1392" s="56" t="inlineStr">
        <is>
          <t>ASSUMED: account BFCM 2025 lift (US); product's own 2025 lift not available</t>
        </is>
      </c>
      <c r="N1392" s="59">
        <f>J1392*34+J1392*L1392*12</f>
        <v/>
      </c>
      <c r="O1392" s="59">
        <f>MAX(0,N1392-G1392-H1392)</f>
        <v/>
      </c>
      <c r="P1392" s="60">
        <f>IF(J1392=0,"",IF(G1392&lt;J1392*34,DATE(2026,10,15)+G1392/J1392,IF(G1392&lt;N1392,DATE(2026,11,18)+(G1392-J1392*34)/(J1392*L1392),"after Nov 30")))</f>
        <v/>
      </c>
      <c r="Q1392" s="60">
        <f>IF(J1392=0,"",IF(G1392+H1392&lt;J1392*34,DATE(2026,10,15)+(G1392+H1392)/J1392,IF(G1392+H1392&lt;N1392,DATE(2026,11,18)+(G1392+H1392-J1392*34)/(J1392*L1392),"after Nov 30")))</f>
        <v/>
      </c>
      <c r="R1392" s="54">
        <f>IF(AND(G1392&lt;=0,J1392&gt;0),"Out of stock now",IF(G1392&gt;=N1392,"Covered to Nov 30",IF(G1392+H1392&gt;=N1392,"Needs inbound in time","Short even with inbound")))</f>
        <v/>
      </c>
      <c r="S1392" s="57" t="n">
        <v>0</v>
      </c>
      <c r="T1392" s="59">
        <f>IF(S1392="","",S1392*34+S1392*L1392*12)</f>
        <v/>
      </c>
    </row>
    <row r="1393">
      <c r="A1393" s="54" t="inlineStr">
        <is>
          <t>US DC Linen Curtains</t>
        </is>
      </c>
      <c r="B1393" s="54" t="inlineStr">
        <is>
          <t>US</t>
        </is>
      </c>
      <c r="C1393" s="54" t="inlineStr">
        <is>
          <t>B0F639V3CW</t>
        </is>
      </c>
      <c r="D1393" s="54" t="inlineStr">
        <is>
          <t>LINEN-CURTAIN-52x84-IVORY-2-PCS</t>
        </is>
      </c>
      <c r="E1393" s="54" t="inlineStr">
        <is>
          <t>52x84</t>
        </is>
      </c>
      <c r="F1393" s="54" t="inlineStr">
        <is>
          <t>Ivory</t>
        </is>
      </c>
      <c r="G1393" s="55" t="n">
        <v>16</v>
      </c>
      <c r="H1393" s="55" t="n">
        <v>0</v>
      </c>
      <c r="I1393" s="56" t="n"/>
      <c r="J1393" s="57" t="n">
        <v>0.01</v>
      </c>
      <c r="K1393" s="56" t="inlineStr">
        <is>
          <t>account data velocity</t>
        </is>
      </c>
      <c r="L1393" s="58" t="n">
        <v>2.7396</v>
      </c>
      <c r="M1393" s="56" t="inlineStr">
        <is>
          <t>ASSUMED: account BFCM 2025 lift (US); product's own 2025 lift not available</t>
        </is>
      </c>
      <c r="N1393" s="59">
        <f>J1393*34+J1393*L1393*12</f>
        <v/>
      </c>
      <c r="O1393" s="59">
        <f>MAX(0,N1393-G1393-H1393)</f>
        <v/>
      </c>
      <c r="P1393" s="60">
        <f>IF(J1393=0,"",IF(G1393&lt;J1393*34,DATE(2026,10,15)+G1393/J1393,IF(G1393&lt;N1393,DATE(2026,11,18)+(G1393-J1393*34)/(J1393*L1393),"after Nov 30")))</f>
        <v/>
      </c>
      <c r="Q1393" s="60">
        <f>IF(J1393=0,"",IF(G1393+H1393&lt;J1393*34,DATE(2026,10,15)+(G1393+H1393)/J1393,IF(G1393+H1393&lt;N1393,DATE(2026,11,18)+(G1393+H1393-J1393*34)/(J1393*L1393),"after Nov 30")))</f>
        <v/>
      </c>
      <c r="R1393" s="54">
        <f>IF(AND(G1393&lt;=0,J1393&gt;0),"Out of stock now",IF(G1393&gt;=N1393,"Covered to Nov 30",IF(G1393+H1393&gt;=N1393,"Needs inbound in time","Short even with inbound")))</f>
        <v/>
      </c>
      <c r="S1393" s="57" t="n">
        <v>0</v>
      </c>
      <c r="T1393" s="59">
        <f>IF(S1393="","",S1393*34+S1393*L1393*12)</f>
        <v/>
      </c>
    </row>
    <row r="1394">
      <c r="A1394" s="54" t="inlineStr">
        <is>
          <t>US DC Linen Curtains</t>
        </is>
      </c>
      <c r="B1394" s="54" t="inlineStr">
        <is>
          <t>US</t>
        </is>
      </c>
      <c r="C1394" s="54" t="inlineStr">
        <is>
          <t>B0F63B2LN7</t>
        </is>
      </c>
      <c r="D1394" s="54" t="inlineStr">
        <is>
          <t>LINEN-CURTAIN-52x84-LIGHT-BEIGE-2-PCS</t>
        </is>
      </c>
      <c r="E1394" s="54" t="inlineStr">
        <is>
          <t>52x84</t>
        </is>
      </c>
      <c r="F1394" s="54" t="inlineStr">
        <is>
          <t>Light Beige</t>
        </is>
      </c>
      <c r="G1394" s="55" t="n">
        <v>0</v>
      </c>
      <c r="H1394" s="55" t="n">
        <v>0</v>
      </c>
      <c r="I1394" s="56" t="n"/>
      <c r="J1394" s="57" t="n">
        <v>0.01</v>
      </c>
      <c r="K1394" s="56" t="inlineStr">
        <is>
          <t>account data velocity</t>
        </is>
      </c>
      <c r="L1394" s="58" t="n">
        <v>2.7396</v>
      </c>
      <c r="M1394" s="56" t="inlineStr">
        <is>
          <t>ASSUMED: account BFCM 2025 lift (US); product's own 2025 lift not available</t>
        </is>
      </c>
      <c r="N1394" s="59">
        <f>J1394*34+J1394*L1394*12</f>
        <v/>
      </c>
      <c r="O1394" s="59">
        <f>MAX(0,N1394-G1394-H1394)</f>
        <v/>
      </c>
      <c r="P1394" s="60">
        <f>IF(J1394=0,"",IF(G1394&lt;J1394*34,DATE(2026,10,15)+G1394/J1394,IF(G1394&lt;N1394,DATE(2026,11,18)+(G1394-J1394*34)/(J1394*L1394),"after Nov 30")))</f>
        <v/>
      </c>
      <c r="Q1394" s="60">
        <f>IF(J1394=0,"",IF(G1394+H1394&lt;J1394*34,DATE(2026,10,15)+(G1394+H1394)/J1394,IF(G1394+H1394&lt;N1394,DATE(2026,11,18)+(G1394+H1394-J1394*34)/(J1394*L1394),"after Nov 30")))</f>
        <v/>
      </c>
      <c r="R1394" s="54">
        <f>IF(AND(G1394&lt;=0,J1394&gt;0),"Out of stock now",IF(G1394&gt;=N1394,"Covered to Nov 30",IF(G1394+H1394&gt;=N1394,"Needs inbound in time","Short even with inbound")))</f>
        <v/>
      </c>
      <c r="S1394" s="57" t="n">
        <v>0</v>
      </c>
      <c r="T1394" s="59">
        <f>IF(S1394="","",S1394*34+S1394*L1394*12)</f>
        <v/>
      </c>
    </row>
    <row r="1395">
      <c r="A1395" s="54" t="inlineStr">
        <is>
          <t>US DC Linen Curtains</t>
        </is>
      </c>
      <c r="B1395" s="54" t="inlineStr">
        <is>
          <t>US</t>
        </is>
      </c>
      <c r="C1395" s="54" t="inlineStr">
        <is>
          <t>B0F634PV4T</t>
        </is>
      </c>
      <c r="D1395" s="54" t="inlineStr">
        <is>
          <t>LINEN-CURTAIN-52x84-LINEN-2-PCS</t>
        </is>
      </c>
      <c r="E1395" s="54" t="inlineStr">
        <is>
          <t>52x84</t>
        </is>
      </c>
      <c r="F1395" s="54" t="inlineStr">
        <is>
          <t>Linen</t>
        </is>
      </c>
      <c r="G1395" s="55" t="n">
        <v>11</v>
      </c>
      <c r="H1395" s="55" t="n">
        <v>0</v>
      </c>
      <c r="I1395" s="56" t="n"/>
      <c r="J1395" s="57" t="n">
        <v>0.01</v>
      </c>
      <c r="K1395" s="56" t="inlineStr">
        <is>
          <t>account data velocity</t>
        </is>
      </c>
      <c r="L1395" s="58" t="n">
        <v>2.7396</v>
      </c>
      <c r="M1395" s="56" t="inlineStr">
        <is>
          <t>ASSUMED: account BFCM 2025 lift (US); product's own 2025 lift not available</t>
        </is>
      </c>
      <c r="N1395" s="59">
        <f>J1395*34+J1395*L1395*12</f>
        <v/>
      </c>
      <c r="O1395" s="59">
        <f>MAX(0,N1395-G1395-H1395)</f>
        <v/>
      </c>
      <c r="P1395" s="60">
        <f>IF(J1395=0,"",IF(G1395&lt;J1395*34,DATE(2026,10,15)+G1395/J1395,IF(G1395&lt;N1395,DATE(2026,11,18)+(G1395-J1395*34)/(J1395*L1395),"after Nov 30")))</f>
        <v/>
      </c>
      <c r="Q1395" s="60">
        <f>IF(J1395=0,"",IF(G1395+H1395&lt;J1395*34,DATE(2026,10,15)+(G1395+H1395)/J1395,IF(G1395+H1395&lt;N1395,DATE(2026,11,18)+(G1395+H1395-J1395*34)/(J1395*L1395),"after Nov 30")))</f>
        <v/>
      </c>
      <c r="R1395" s="54">
        <f>IF(AND(G1395&lt;=0,J1395&gt;0),"Out of stock now",IF(G1395&gt;=N1395,"Covered to Nov 30",IF(G1395+H1395&gt;=N1395,"Needs inbound in time","Short even with inbound")))</f>
        <v/>
      </c>
      <c r="S1395" s="57" t="n">
        <v>0</v>
      </c>
      <c r="T1395" s="59">
        <f>IF(S1395="","",S1395*34+S1395*L1395*12)</f>
        <v/>
      </c>
    </row>
    <row r="1396">
      <c r="A1396" s="54" t="inlineStr">
        <is>
          <t>US DC Linen Curtains</t>
        </is>
      </c>
      <c r="B1396" s="54" t="inlineStr">
        <is>
          <t>US</t>
        </is>
      </c>
      <c r="C1396" s="54" t="inlineStr">
        <is>
          <t>B0F6399NW2</t>
        </is>
      </c>
      <c r="D1396" s="54" t="inlineStr">
        <is>
          <t>LINEN-CURTAIN-52x90-LIGHT-BEIGE-2-PCS</t>
        </is>
      </c>
      <c r="E1396" s="54" t="inlineStr">
        <is>
          <t>52x90</t>
        </is>
      </c>
      <c r="F1396" s="54" t="inlineStr">
        <is>
          <t>Light Beige</t>
        </is>
      </c>
      <c r="G1396" s="55" t="n">
        <v>11</v>
      </c>
      <c r="H1396" s="55" t="n">
        <v>0</v>
      </c>
      <c r="I1396" s="56" t="n"/>
      <c r="J1396" s="57" t="n">
        <v>0.01</v>
      </c>
      <c r="K1396" s="56" t="inlineStr">
        <is>
          <t>account data velocity</t>
        </is>
      </c>
      <c r="L1396" s="58" t="n">
        <v>2.7396</v>
      </c>
      <c r="M1396" s="56" t="inlineStr">
        <is>
          <t>ASSUMED: account BFCM 2025 lift (US); product's own 2025 lift not available</t>
        </is>
      </c>
      <c r="N1396" s="59">
        <f>J1396*34+J1396*L1396*12</f>
        <v/>
      </c>
      <c r="O1396" s="59">
        <f>MAX(0,N1396-G1396-H1396)</f>
        <v/>
      </c>
      <c r="P1396" s="60">
        <f>IF(J1396=0,"",IF(G1396&lt;J1396*34,DATE(2026,10,15)+G1396/J1396,IF(G1396&lt;N1396,DATE(2026,11,18)+(G1396-J1396*34)/(J1396*L1396),"after Nov 30")))</f>
        <v/>
      </c>
      <c r="Q1396" s="60">
        <f>IF(J1396=0,"",IF(G1396+H1396&lt;J1396*34,DATE(2026,10,15)+(G1396+H1396)/J1396,IF(G1396+H1396&lt;N1396,DATE(2026,11,18)+(G1396+H1396-J1396*34)/(J1396*L1396),"after Nov 30")))</f>
        <v/>
      </c>
      <c r="R1396" s="54">
        <f>IF(AND(G1396&lt;=0,J1396&gt;0),"Out of stock now",IF(G1396&gt;=N1396,"Covered to Nov 30",IF(G1396+H1396&gt;=N1396,"Needs inbound in time","Short even with inbound")))</f>
        <v/>
      </c>
      <c r="S1396" s="57" t="n">
        <v>0</v>
      </c>
      <c r="T1396" s="59">
        <f>IF(S1396="","",S1396*34+S1396*L1396*12)</f>
        <v/>
      </c>
    </row>
    <row r="1397">
      <c r="A1397" s="54" t="inlineStr">
        <is>
          <t>US DC Linen Curtains</t>
        </is>
      </c>
      <c r="B1397" s="54" t="inlineStr">
        <is>
          <t>US</t>
        </is>
      </c>
      <c r="C1397" s="54" t="inlineStr">
        <is>
          <t>B0F639T5K2</t>
        </is>
      </c>
      <c r="D1397" s="54" t="inlineStr">
        <is>
          <t>LINEN-CURTAIN-52x90-NATURAL-2-PCS</t>
        </is>
      </c>
      <c r="E1397" s="54" t="inlineStr">
        <is>
          <t>52x90</t>
        </is>
      </c>
      <c r="F1397" s="54" t="inlineStr">
        <is>
          <t>Natural</t>
        </is>
      </c>
      <c r="G1397" s="55" t="n">
        <v>11</v>
      </c>
      <c r="H1397" s="55" t="n">
        <v>0</v>
      </c>
      <c r="I1397" s="56" t="n"/>
      <c r="J1397" s="57" t="n">
        <v>0.01</v>
      </c>
      <c r="K1397" s="56" t="inlineStr">
        <is>
          <t>account data velocity</t>
        </is>
      </c>
      <c r="L1397" s="58" t="n">
        <v>2.7396</v>
      </c>
      <c r="M1397" s="56" t="inlineStr">
        <is>
          <t>ASSUMED: account BFCM 2025 lift (US); product's own 2025 lift not available</t>
        </is>
      </c>
      <c r="N1397" s="59">
        <f>J1397*34+J1397*L1397*12</f>
        <v/>
      </c>
      <c r="O1397" s="59">
        <f>MAX(0,N1397-G1397-H1397)</f>
        <v/>
      </c>
      <c r="P1397" s="60">
        <f>IF(J1397=0,"",IF(G1397&lt;J1397*34,DATE(2026,10,15)+G1397/J1397,IF(G1397&lt;N1397,DATE(2026,11,18)+(G1397-J1397*34)/(J1397*L1397),"after Nov 30")))</f>
        <v/>
      </c>
      <c r="Q1397" s="60">
        <f>IF(J1397=0,"",IF(G1397+H1397&lt;J1397*34,DATE(2026,10,15)+(G1397+H1397)/J1397,IF(G1397+H1397&lt;N1397,DATE(2026,11,18)+(G1397+H1397-J1397*34)/(J1397*L1397),"after Nov 30")))</f>
        <v/>
      </c>
      <c r="R1397" s="54">
        <f>IF(AND(G1397&lt;=0,J1397&gt;0),"Out of stock now",IF(G1397&gt;=N1397,"Covered to Nov 30",IF(G1397+H1397&gt;=N1397,"Needs inbound in time","Short even with inbound")))</f>
        <v/>
      </c>
      <c r="S1397" s="57" t="n">
        <v>0</v>
      </c>
      <c r="T1397" s="59">
        <f>IF(S1397="","",S1397*34+S1397*L1397*12)</f>
        <v/>
      </c>
    </row>
    <row r="1398">
      <c r="A1398" s="54" t="inlineStr">
        <is>
          <t>US DC Linen Curtains</t>
        </is>
      </c>
      <c r="B1398" s="54" t="inlineStr">
        <is>
          <t>US</t>
        </is>
      </c>
      <c r="C1398" s="54" t="inlineStr">
        <is>
          <t>B0F638T9NF</t>
        </is>
      </c>
      <c r="D1398" s="54" t="inlineStr">
        <is>
          <t>LINEN-CURTAIN-52x96-LIGHT-GREY-2-PCS</t>
        </is>
      </c>
      <c r="E1398" s="54" t="inlineStr">
        <is>
          <t>52x96</t>
        </is>
      </c>
      <c r="F1398" s="54" t="inlineStr">
        <is>
          <t>Light Grey</t>
        </is>
      </c>
      <c r="G1398" s="55" t="n">
        <v>24</v>
      </c>
      <c r="H1398" s="55" t="n">
        <v>0</v>
      </c>
      <c r="I1398" s="56" t="n"/>
      <c r="J1398" s="57" t="n">
        <v>0.01</v>
      </c>
      <c r="K1398" s="56" t="inlineStr">
        <is>
          <t>account data velocity</t>
        </is>
      </c>
      <c r="L1398" s="58" t="n">
        <v>2.7396</v>
      </c>
      <c r="M1398" s="56" t="inlineStr">
        <is>
          <t>ASSUMED: account BFCM 2025 lift (US); product's own 2025 lift not available</t>
        </is>
      </c>
      <c r="N1398" s="59">
        <f>J1398*34+J1398*L1398*12</f>
        <v/>
      </c>
      <c r="O1398" s="59">
        <f>MAX(0,N1398-G1398-H1398)</f>
        <v/>
      </c>
      <c r="P1398" s="60">
        <f>IF(J1398=0,"",IF(G1398&lt;J1398*34,DATE(2026,10,15)+G1398/J1398,IF(G1398&lt;N1398,DATE(2026,11,18)+(G1398-J1398*34)/(J1398*L1398),"after Nov 30")))</f>
        <v/>
      </c>
      <c r="Q1398" s="60">
        <f>IF(J1398=0,"",IF(G1398+H1398&lt;J1398*34,DATE(2026,10,15)+(G1398+H1398)/J1398,IF(G1398+H1398&lt;N1398,DATE(2026,11,18)+(G1398+H1398-J1398*34)/(J1398*L1398),"after Nov 30")))</f>
        <v/>
      </c>
      <c r="R1398" s="54">
        <f>IF(AND(G1398&lt;=0,J1398&gt;0),"Out of stock now",IF(G1398&gt;=N1398,"Covered to Nov 30",IF(G1398+H1398&gt;=N1398,"Needs inbound in time","Short even with inbound")))</f>
        <v/>
      </c>
      <c r="S1398" s="57" t="n">
        <v>0</v>
      </c>
      <c r="T1398" s="59">
        <f>IF(S1398="","",S1398*34+S1398*L1398*12)</f>
        <v/>
      </c>
    </row>
    <row r="1399">
      <c r="A1399" s="54" t="inlineStr">
        <is>
          <t>US DC Linen Curtains</t>
        </is>
      </c>
      <c r="B1399" s="54" t="inlineStr">
        <is>
          <t>US</t>
        </is>
      </c>
      <c r="C1399" s="54" t="inlineStr">
        <is>
          <t>B0F639N2R5</t>
        </is>
      </c>
      <c r="D1399" s="54" t="inlineStr">
        <is>
          <t>LINEN-CURTAIN-52x120-LINEN-2-PCS</t>
        </is>
      </c>
      <c r="E1399" s="54" t="inlineStr">
        <is>
          <t>52x120</t>
        </is>
      </c>
      <c r="F1399" s="54" t="inlineStr">
        <is>
          <t>Linen</t>
        </is>
      </c>
      <c r="G1399" s="55" t="n">
        <v>47</v>
      </c>
      <c r="H1399" s="55" t="n">
        <v>0</v>
      </c>
      <c r="I1399" s="56" t="n"/>
      <c r="J1399" s="57" t="n">
        <v>0</v>
      </c>
      <c r="K1399" s="56" t="inlineStr">
        <is>
          <t>account data velocity</t>
        </is>
      </c>
      <c r="L1399" s="58" t="n">
        <v>2.7396</v>
      </c>
      <c r="M1399" s="56" t="inlineStr">
        <is>
          <t>ASSUMED: account BFCM 2025 lift (US); product's own 2025 lift not available</t>
        </is>
      </c>
      <c r="N1399" s="59">
        <f>J1399*34+J1399*L1399*12</f>
        <v/>
      </c>
      <c r="O1399" s="59">
        <f>MAX(0,N1399-G1399-H1399)</f>
        <v/>
      </c>
      <c r="P1399" s="60">
        <f>IF(J1399=0,"",IF(G1399&lt;J1399*34,DATE(2026,10,15)+G1399/J1399,IF(G1399&lt;N1399,DATE(2026,11,18)+(G1399-J1399*34)/(J1399*L1399),"after Nov 30")))</f>
        <v/>
      </c>
      <c r="Q1399" s="60">
        <f>IF(J1399=0,"",IF(G1399+H1399&lt;J1399*34,DATE(2026,10,15)+(G1399+H1399)/J1399,IF(G1399+H1399&lt;N1399,DATE(2026,11,18)+(G1399+H1399-J1399*34)/(J1399*L1399),"after Nov 30")))</f>
        <v/>
      </c>
      <c r="R1399" s="54">
        <f>IF(AND(G1399&lt;=0,J1399&gt;0),"Out of stock now",IF(G1399&gt;=N1399,"Covered to Nov 30",IF(G1399+H1399&gt;=N1399,"Needs inbound in time","Short even with inbound")))</f>
        <v/>
      </c>
      <c r="S1399" s="57" t="n">
        <v>0</v>
      </c>
      <c r="T1399" s="59">
        <f>IF(S1399="","",S1399*34+S1399*L1399*12)</f>
        <v/>
      </c>
    </row>
    <row r="1400">
      <c r="A1400" s="54" t="inlineStr">
        <is>
          <t>US DC Linen Curtains</t>
        </is>
      </c>
      <c r="B1400" s="54" t="inlineStr">
        <is>
          <t>US</t>
        </is>
      </c>
      <c r="C1400" s="54" t="inlineStr">
        <is>
          <t>B0F639KHTY</t>
        </is>
      </c>
      <c r="D1400" s="54" t="inlineStr">
        <is>
          <t>LINEN-CURTAIN-52x63-LIGHT-GREY-2-PCS</t>
        </is>
      </c>
      <c r="E1400" s="54" t="inlineStr">
        <is>
          <t>52x63</t>
        </is>
      </c>
      <c r="F1400" s="54" t="inlineStr">
        <is>
          <t>Light Grey</t>
        </is>
      </c>
      <c r="G1400" s="55" t="n">
        <v>6</v>
      </c>
      <c r="H1400" s="55" t="n">
        <v>0</v>
      </c>
      <c r="I1400" s="56" t="n"/>
      <c r="J1400" s="57" t="n">
        <v>0</v>
      </c>
      <c r="K1400" s="56" t="inlineStr">
        <is>
          <t>account data velocity</t>
        </is>
      </c>
      <c r="L1400" s="58" t="n">
        <v>2.7396</v>
      </c>
      <c r="M1400" s="56" t="inlineStr">
        <is>
          <t>ASSUMED: account BFCM 2025 lift (US); product's own 2025 lift not available</t>
        </is>
      </c>
      <c r="N1400" s="59">
        <f>J1400*34+J1400*L1400*12</f>
        <v/>
      </c>
      <c r="O1400" s="59">
        <f>MAX(0,N1400-G1400-H1400)</f>
        <v/>
      </c>
      <c r="P1400" s="60">
        <f>IF(J1400=0,"",IF(G1400&lt;J1400*34,DATE(2026,10,15)+G1400/J1400,IF(G1400&lt;N1400,DATE(2026,11,18)+(G1400-J1400*34)/(J1400*L1400),"after Nov 30")))</f>
        <v/>
      </c>
      <c r="Q1400" s="60">
        <f>IF(J1400=0,"",IF(G1400+H1400&lt;J1400*34,DATE(2026,10,15)+(G1400+H1400)/J1400,IF(G1400+H1400&lt;N1400,DATE(2026,11,18)+(G1400+H1400-J1400*34)/(J1400*L1400),"after Nov 30")))</f>
        <v/>
      </c>
      <c r="R1400" s="54">
        <f>IF(AND(G1400&lt;=0,J1400&gt;0),"Out of stock now",IF(G1400&gt;=N1400,"Covered to Nov 30",IF(G1400+H1400&gt;=N1400,"Needs inbound in time","Short even with inbound")))</f>
        <v/>
      </c>
      <c r="S1400" s="57" t="n">
        <v>0</v>
      </c>
      <c r="T1400" s="59">
        <f>IF(S1400="","",S1400*34+S1400*L1400*12)</f>
        <v/>
      </c>
    </row>
    <row r="1401">
      <c r="A1401" s="54" t="inlineStr">
        <is>
          <t>US DC Linen Curtains</t>
        </is>
      </c>
      <c r="B1401" s="54" t="inlineStr">
        <is>
          <t>US</t>
        </is>
      </c>
      <c r="C1401" s="54" t="inlineStr">
        <is>
          <t>B0F6381MZ1</t>
        </is>
      </c>
      <c r="D1401" s="54" t="inlineStr">
        <is>
          <t>LINEN-CURTAIN-52x63-LINEN-2-PCS</t>
        </is>
      </c>
      <c r="E1401" s="54" t="inlineStr">
        <is>
          <t>52x63</t>
        </is>
      </c>
      <c r="F1401" s="54" t="inlineStr">
        <is>
          <t>Linen</t>
        </is>
      </c>
      <c r="G1401" s="55" t="n">
        <v>1</v>
      </c>
      <c r="H1401" s="55" t="n">
        <v>0</v>
      </c>
      <c r="I1401" s="56" t="n"/>
      <c r="J1401" s="57" t="n">
        <v>0</v>
      </c>
      <c r="K1401" s="56" t="inlineStr">
        <is>
          <t>account data velocity</t>
        </is>
      </c>
      <c r="L1401" s="58" t="n">
        <v>2.7396</v>
      </c>
      <c r="M1401" s="56" t="inlineStr">
        <is>
          <t>ASSUMED: account BFCM 2025 lift (US); product's own 2025 lift not available</t>
        </is>
      </c>
      <c r="N1401" s="59">
        <f>J1401*34+J1401*L1401*12</f>
        <v/>
      </c>
      <c r="O1401" s="59">
        <f>MAX(0,N1401-G1401-H1401)</f>
        <v/>
      </c>
      <c r="P1401" s="60">
        <f>IF(J1401=0,"",IF(G1401&lt;J1401*34,DATE(2026,10,15)+G1401/J1401,IF(G1401&lt;N1401,DATE(2026,11,18)+(G1401-J1401*34)/(J1401*L1401),"after Nov 30")))</f>
        <v/>
      </c>
      <c r="Q1401" s="60">
        <f>IF(J1401=0,"",IF(G1401+H1401&lt;J1401*34,DATE(2026,10,15)+(G1401+H1401)/J1401,IF(G1401+H1401&lt;N1401,DATE(2026,11,18)+(G1401+H1401-J1401*34)/(J1401*L1401),"after Nov 30")))</f>
        <v/>
      </c>
      <c r="R1401" s="54">
        <f>IF(AND(G1401&lt;=0,J1401&gt;0),"Out of stock now",IF(G1401&gt;=N1401,"Covered to Nov 30",IF(G1401+H1401&gt;=N1401,"Needs inbound in time","Short even with inbound")))</f>
        <v/>
      </c>
      <c r="S1401" s="57" t="n">
        <v>0</v>
      </c>
      <c r="T1401" s="59">
        <f>IF(S1401="","",S1401*34+S1401*L1401*12)</f>
        <v/>
      </c>
    </row>
    <row r="1402">
      <c r="A1402" s="54" t="inlineStr">
        <is>
          <t>US DC Linen Curtains</t>
        </is>
      </c>
      <c r="B1402" s="54" t="inlineStr">
        <is>
          <t>US</t>
        </is>
      </c>
      <c r="C1402" s="54" t="inlineStr">
        <is>
          <t>B0F638RWQV</t>
        </is>
      </c>
      <c r="D1402" s="54" t="inlineStr">
        <is>
          <t>LINEN-CURTAIN-52x72-LIGHT-BEIGE-2-PCS</t>
        </is>
      </c>
      <c r="E1402" s="54" t="inlineStr">
        <is>
          <t>52x72</t>
        </is>
      </c>
      <c r="F1402" s="54" t="inlineStr">
        <is>
          <t>Light Beige</t>
        </is>
      </c>
      <c r="G1402" s="55" t="n">
        <v>17</v>
      </c>
      <c r="H1402" s="55" t="n">
        <v>0</v>
      </c>
      <c r="I1402" s="56" t="n"/>
      <c r="J1402" s="57" t="n">
        <v>0</v>
      </c>
      <c r="K1402" s="56" t="inlineStr">
        <is>
          <t>account data velocity</t>
        </is>
      </c>
      <c r="L1402" s="58" t="n">
        <v>2.7396</v>
      </c>
      <c r="M1402" s="56" t="inlineStr">
        <is>
          <t>ASSUMED: account BFCM 2025 lift (US); product's own 2025 lift not available</t>
        </is>
      </c>
      <c r="N1402" s="59">
        <f>J1402*34+J1402*L1402*12</f>
        <v/>
      </c>
      <c r="O1402" s="59">
        <f>MAX(0,N1402-G1402-H1402)</f>
        <v/>
      </c>
      <c r="P1402" s="60">
        <f>IF(J1402=0,"",IF(G1402&lt;J1402*34,DATE(2026,10,15)+G1402/J1402,IF(G1402&lt;N1402,DATE(2026,11,18)+(G1402-J1402*34)/(J1402*L1402),"after Nov 30")))</f>
        <v/>
      </c>
      <c r="Q1402" s="60">
        <f>IF(J1402=0,"",IF(G1402+H1402&lt;J1402*34,DATE(2026,10,15)+(G1402+H1402)/J1402,IF(G1402+H1402&lt;N1402,DATE(2026,11,18)+(G1402+H1402-J1402*34)/(J1402*L1402),"after Nov 30")))</f>
        <v/>
      </c>
      <c r="R1402" s="54">
        <f>IF(AND(G1402&lt;=0,J1402&gt;0),"Out of stock now",IF(G1402&gt;=N1402,"Covered to Nov 30",IF(G1402+H1402&gt;=N1402,"Needs inbound in time","Short even with inbound")))</f>
        <v/>
      </c>
      <c r="S1402" s="57" t="n">
        <v>0</v>
      </c>
      <c r="T1402" s="59">
        <f>IF(S1402="","",S1402*34+S1402*L1402*12)</f>
        <v/>
      </c>
    </row>
    <row r="1403">
      <c r="A1403" s="54" t="inlineStr">
        <is>
          <t>US DC Linen Curtains</t>
        </is>
      </c>
      <c r="B1403" s="54" t="inlineStr">
        <is>
          <t>US</t>
        </is>
      </c>
      <c r="C1403" s="54" t="inlineStr">
        <is>
          <t>B0F63B8T3H</t>
        </is>
      </c>
      <c r="D1403" s="54" t="inlineStr">
        <is>
          <t>LINEN-CURTAIN-52x90-LIGHT-GREY-2-PCS</t>
        </is>
      </c>
      <c r="E1403" s="54" t="inlineStr">
        <is>
          <t>52x90</t>
        </is>
      </c>
      <c r="F1403" s="54" t="inlineStr">
        <is>
          <t>Light Grey</t>
        </is>
      </c>
      <c r="G1403" s="55" t="n">
        <v>21</v>
      </c>
      <c r="H1403" s="55" t="n">
        <v>0</v>
      </c>
      <c r="I1403" s="56" t="n"/>
      <c r="J1403" s="57" t="n">
        <v>0</v>
      </c>
      <c r="K1403" s="56" t="inlineStr">
        <is>
          <t>account data velocity</t>
        </is>
      </c>
      <c r="L1403" s="58" t="n">
        <v>2.7396</v>
      </c>
      <c r="M1403" s="56" t="inlineStr">
        <is>
          <t>ASSUMED: account BFCM 2025 lift (US); product's own 2025 lift not available</t>
        </is>
      </c>
      <c r="N1403" s="59">
        <f>J1403*34+J1403*L1403*12</f>
        <v/>
      </c>
      <c r="O1403" s="59">
        <f>MAX(0,N1403-G1403-H1403)</f>
        <v/>
      </c>
      <c r="P1403" s="60">
        <f>IF(J1403=0,"",IF(G1403&lt;J1403*34,DATE(2026,10,15)+G1403/J1403,IF(G1403&lt;N1403,DATE(2026,11,18)+(G1403-J1403*34)/(J1403*L1403),"after Nov 30")))</f>
        <v/>
      </c>
      <c r="Q1403" s="60">
        <f>IF(J1403=0,"",IF(G1403+H1403&lt;J1403*34,DATE(2026,10,15)+(G1403+H1403)/J1403,IF(G1403+H1403&lt;N1403,DATE(2026,11,18)+(G1403+H1403-J1403*34)/(J1403*L1403),"after Nov 30")))</f>
        <v/>
      </c>
      <c r="R1403" s="54">
        <f>IF(AND(G1403&lt;=0,J1403&gt;0),"Out of stock now",IF(G1403&gt;=N1403,"Covered to Nov 30",IF(G1403+H1403&gt;=N1403,"Needs inbound in time","Short even with inbound")))</f>
        <v/>
      </c>
      <c r="S1403" s="57" t="n">
        <v>0</v>
      </c>
      <c r="T1403" s="59">
        <f>IF(S1403="","",S1403*34+S1403*L1403*12)</f>
        <v/>
      </c>
    </row>
    <row r="1404">
      <c r="A1404" s="54" t="inlineStr">
        <is>
          <t>US DC Linen Curtains</t>
        </is>
      </c>
      <c r="B1404" s="54" t="inlineStr">
        <is>
          <t>US</t>
        </is>
      </c>
      <c r="C1404" s="54" t="inlineStr">
        <is>
          <t>B0F639YZ3D</t>
        </is>
      </c>
      <c r="D1404" s="54" t="inlineStr">
        <is>
          <t>LINEN-CURTAIN-52x96-LIGHT-BEIGE-2-PCS</t>
        </is>
      </c>
      <c r="E1404" s="54" t="inlineStr">
        <is>
          <t>52x96</t>
        </is>
      </c>
      <c r="F1404" s="54" t="inlineStr">
        <is>
          <t>Light Beige</t>
        </is>
      </c>
      <c r="G1404" s="55" t="n">
        <v>16</v>
      </c>
      <c r="H1404" s="55" t="n">
        <v>0</v>
      </c>
      <c r="I1404" s="56" t="n"/>
      <c r="J1404" s="57" t="n">
        <v>0</v>
      </c>
      <c r="K1404" s="56" t="inlineStr">
        <is>
          <t>account data velocity</t>
        </is>
      </c>
      <c r="L1404" s="58" t="n">
        <v>2.7396</v>
      </c>
      <c r="M1404" s="56" t="inlineStr">
        <is>
          <t>ASSUMED: account BFCM 2025 lift (US); product's own 2025 lift not available</t>
        </is>
      </c>
      <c r="N1404" s="59">
        <f>J1404*34+J1404*L1404*12</f>
        <v/>
      </c>
      <c r="O1404" s="59">
        <f>MAX(0,N1404-G1404-H1404)</f>
        <v/>
      </c>
      <c r="P1404" s="60">
        <f>IF(J1404=0,"",IF(G1404&lt;J1404*34,DATE(2026,10,15)+G1404/J1404,IF(G1404&lt;N1404,DATE(2026,11,18)+(G1404-J1404*34)/(J1404*L1404),"after Nov 30")))</f>
        <v/>
      </c>
      <c r="Q1404" s="60">
        <f>IF(J1404=0,"",IF(G1404+H1404&lt;J1404*34,DATE(2026,10,15)+(G1404+H1404)/J1404,IF(G1404+H1404&lt;N1404,DATE(2026,11,18)+(G1404+H1404-J1404*34)/(J1404*L1404),"after Nov 30")))</f>
        <v/>
      </c>
      <c r="R1404" s="54">
        <f>IF(AND(G1404&lt;=0,J1404&gt;0),"Out of stock now",IF(G1404&gt;=N1404,"Covered to Nov 30",IF(G1404+H1404&gt;=N1404,"Needs inbound in time","Short even with inbound")))</f>
        <v/>
      </c>
      <c r="S1404" s="57" t="n">
        <v>0</v>
      </c>
      <c r="T1404" s="59">
        <f>IF(S1404="","",S1404*34+S1404*L1404*12)</f>
        <v/>
      </c>
    </row>
    <row r="1405">
      <c r="A1405" s="54" t="inlineStr">
        <is>
          <t>US DC Beach Towel</t>
        </is>
      </c>
      <c r="B1405" s="54" t="inlineStr">
        <is>
          <t>US</t>
        </is>
      </c>
      <c r="C1405" s="54" t="inlineStr">
        <is>
          <t>B0DQ92K585</t>
        </is>
      </c>
      <c r="D1405" s="54" t="inlineStr">
        <is>
          <t>BEACH-TOWEL-PT-WAVE-GRAY</t>
        </is>
      </c>
      <c r="E1405" s="54" t="inlineStr">
        <is>
          <t>39" x 73"</t>
        </is>
      </c>
      <c r="F1405" s="54" t="inlineStr">
        <is>
          <t>Gray</t>
        </is>
      </c>
      <c r="G1405" s="55" t="n">
        <v>25</v>
      </c>
      <c r="H1405" s="55" t="n">
        <v>0</v>
      </c>
      <c r="I1405" s="56" t="n"/>
      <c r="J1405" s="57" t="n">
        <v>0.22</v>
      </c>
      <c r="K1405" s="56" t="inlineStr">
        <is>
          <t>account data velocity</t>
        </is>
      </c>
      <c r="L1405" s="58" t="n">
        <v>2.7396</v>
      </c>
      <c r="M1405" s="56" t="inlineStr">
        <is>
          <t>ASSUMED: account BFCM 2025 lift (US); product's own 2025 lift not available</t>
        </is>
      </c>
      <c r="N1405" s="59">
        <f>J1405*34+J1405*L1405*12</f>
        <v/>
      </c>
      <c r="O1405" s="59">
        <f>MAX(0,N1405-G1405-H1405)</f>
        <v/>
      </c>
      <c r="P1405" s="60">
        <f>IF(J1405=0,"",IF(G1405&lt;J1405*34,DATE(2026,10,15)+G1405/J1405,IF(G1405&lt;N1405,DATE(2026,11,18)+(G1405-J1405*34)/(J1405*L1405),"after Nov 30")))</f>
        <v/>
      </c>
      <c r="Q1405" s="60">
        <f>IF(J1405=0,"",IF(G1405+H1405&lt;J1405*34,DATE(2026,10,15)+(G1405+H1405)/J1405,IF(G1405+H1405&lt;N1405,DATE(2026,11,18)+(G1405+H1405-J1405*34)/(J1405*L1405),"after Nov 30")))</f>
        <v/>
      </c>
      <c r="R1405" s="54">
        <f>IF(AND(G1405&lt;=0,J1405&gt;0),"Out of stock now",IF(G1405&gt;=N1405,"Covered to Nov 30",IF(G1405+H1405&gt;=N1405,"Needs inbound in time","Short even with inbound")))</f>
        <v/>
      </c>
      <c r="S1405" s="57" t="n">
        <v>0.036</v>
      </c>
      <c r="T1405" s="59">
        <f>IF(S1405="","",S1405*34+S1405*L1405*12)</f>
        <v/>
      </c>
    </row>
    <row r="1406">
      <c r="A1406" s="54" t="inlineStr">
        <is>
          <t>US DC Beach Towel</t>
        </is>
      </c>
      <c r="B1406" s="54" t="inlineStr">
        <is>
          <t>US</t>
        </is>
      </c>
      <c r="C1406" s="54" t="inlineStr">
        <is>
          <t>B0DQ97GSMF</t>
        </is>
      </c>
      <c r="D1406" s="54" t="inlineStr">
        <is>
          <t>BEACH-TOWEL-PT-WAVE-CYAN</t>
        </is>
      </c>
      <c r="E1406" s="54" t="inlineStr">
        <is>
          <t>39" x 73"</t>
        </is>
      </c>
      <c r="F1406" s="54" t="inlineStr">
        <is>
          <t>Cyan</t>
        </is>
      </c>
      <c r="G1406" s="55" t="n">
        <v>38</v>
      </c>
      <c r="H1406" s="55" t="n">
        <v>0</v>
      </c>
      <c r="I1406" s="56" t="n"/>
      <c r="J1406" s="57" t="n">
        <v>0.01</v>
      </c>
      <c r="K1406" s="56" t="inlineStr">
        <is>
          <t>account data velocity</t>
        </is>
      </c>
      <c r="L1406" s="58" t="n">
        <v>2.7396</v>
      </c>
      <c r="M1406" s="56" t="inlineStr">
        <is>
          <t>ASSUMED: account BFCM 2025 lift (US); product's own 2025 lift not available</t>
        </is>
      </c>
      <c r="N1406" s="59">
        <f>J1406*34+J1406*L1406*12</f>
        <v/>
      </c>
      <c r="O1406" s="59">
        <f>MAX(0,N1406-G1406-H1406)</f>
        <v/>
      </c>
      <c r="P1406" s="60">
        <f>IF(J1406=0,"",IF(G1406&lt;J1406*34,DATE(2026,10,15)+G1406/J1406,IF(G1406&lt;N1406,DATE(2026,11,18)+(G1406-J1406*34)/(J1406*L1406),"after Nov 30")))</f>
        <v/>
      </c>
      <c r="Q1406" s="60">
        <f>IF(J1406=0,"",IF(G1406+H1406&lt;J1406*34,DATE(2026,10,15)+(G1406+H1406)/J1406,IF(G1406+H1406&lt;N1406,DATE(2026,11,18)+(G1406+H1406-J1406*34)/(J1406*L1406),"after Nov 30")))</f>
        <v/>
      </c>
      <c r="R1406" s="54">
        <f>IF(AND(G1406&lt;=0,J1406&gt;0),"Out of stock now",IF(G1406&gt;=N1406,"Covered to Nov 30",IF(G1406+H1406&gt;=N1406,"Needs inbound in time","Short even with inbound")))</f>
        <v/>
      </c>
      <c r="S1406" s="57" t="n">
        <v>0.036</v>
      </c>
      <c r="T1406" s="59">
        <f>IF(S1406="","",S1406*34+S1406*L1406*12)</f>
        <v/>
      </c>
    </row>
    <row r="1407">
      <c r="A1407" s="54" t="inlineStr">
        <is>
          <t>US DC Beach Towel</t>
        </is>
      </c>
      <c r="B1407" s="54" t="inlineStr">
        <is>
          <t>US</t>
        </is>
      </c>
      <c r="C1407" s="54" t="inlineStr">
        <is>
          <t>B0DQ8NHCYM</t>
        </is>
      </c>
      <c r="D1407" s="54" t="inlineStr">
        <is>
          <t>BEACH-TOWEL-PT-DIAMOND-CYAN</t>
        </is>
      </c>
      <c r="E1407" s="54" t="inlineStr">
        <is>
          <t>39" x 73"</t>
        </is>
      </c>
      <c r="F1407" s="54" t="inlineStr">
        <is>
          <t>Cyan</t>
        </is>
      </c>
      <c r="G1407" s="55" t="n">
        <v>19</v>
      </c>
      <c r="H1407" s="55" t="n">
        <v>0</v>
      </c>
      <c r="I1407" s="56" t="n"/>
      <c r="J1407" s="57" t="n">
        <v>0</v>
      </c>
      <c r="K1407" s="56" t="inlineStr">
        <is>
          <t>account data velocity</t>
        </is>
      </c>
      <c r="L1407" s="58" t="n">
        <v>2.7396</v>
      </c>
      <c r="M1407" s="56" t="inlineStr">
        <is>
          <t>ASSUMED: account BFCM 2025 lift (US); product's own 2025 lift not available</t>
        </is>
      </c>
      <c r="N1407" s="59">
        <f>J1407*34+J1407*L1407*12</f>
        <v/>
      </c>
      <c r="O1407" s="59">
        <f>MAX(0,N1407-G1407-H1407)</f>
        <v/>
      </c>
      <c r="P1407" s="60">
        <f>IF(J1407=0,"",IF(G1407&lt;J1407*34,DATE(2026,10,15)+G1407/J1407,IF(G1407&lt;N1407,DATE(2026,11,18)+(G1407-J1407*34)/(J1407*L1407),"after Nov 30")))</f>
        <v/>
      </c>
      <c r="Q1407" s="60">
        <f>IF(J1407=0,"",IF(G1407+H1407&lt;J1407*34,DATE(2026,10,15)+(G1407+H1407)/J1407,IF(G1407+H1407&lt;N1407,DATE(2026,11,18)+(G1407+H1407-J1407*34)/(J1407*L1407),"after Nov 30")))</f>
        <v/>
      </c>
      <c r="R1407" s="54">
        <f>IF(AND(G1407&lt;=0,J1407&gt;0),"Out of stock now",IF(G1407&gt;=N1407,"Covered to Nov 30",IF(G1407+H1407&gt;=N1407,"Needs inbound in time","Short even with inbound")))</f>
        <v/>
      </c>
      <c r="S1407" s="57" t="n">
        <v>0</v>
      </c>
      <c r="T1407" s="59">
        <f>IF(S1407="","",S1407*34+S1407*L1407*12)</f>
        <v/>
      </c>
    </row>
    <row r="1408">
      <c r="A1408" s="54" t="inlineStr">
        <is>
          <t>US DC Beach Towel</t>
        </is>
      </c>
      <c r="B1408" s="54" t="inlineStr">
        <is>
          <t>US</t>
        </is>
      </c>
      <c r="C1408" s="54" t="inlineStr">
        <is>
          <t>B0DQ95SWCM</t>
        </is>
      </c>
      <c r="D1408" s="54" t="inlineStr">
        <is>
          <t>BEACH-TOWEL-PT-DIAMOND-GRAY</t>
        </is>
      </c>
      <c r="E1408" s="54" t="inlineStr">
        <is>
          <t>39" x 73"</t>
        </is>
      </c>
      <c r="F1408" s="54" t="inlineStr">
        <is>
          <t>Gray</t>
        </is>
      </c>
      <c r="G1408" s="55" t="n">
        <v>52</v>
      </c>
      <c r="H1408" s="55" t="n">
        <v>0</v>
      </c>
      <c r="I1408" s="56" t="n"/>
      <c r="J1408" s="57" t="n">
        <v>0</v>
      </c>
      <c r="K1408" s="56" t="inlineStr">
        <is>
          <t>account data velocity</t>
        </is>
      </c>
      <c r="L1408" s="58" t="n">
        <v>2.7396</v>
      </c>
      <c r="M1408" s="56" t="inlineStr">
        <is>
          <t>ASSUMED: account BFCM 2025 lift (US); product's own 2025 lift not available</t>
        </is>
      </c>
      <c r="N1408" s="59">
        <f>J1408*34+J1408*L1408*12</f>
        <v/>
      </c>
      <c r="O1408" s="59">
        <f>MAX(0,N1408-G1408-H1408)</f>
        <v/>
      </c>
      <c r="P1408" s="60">
        <f>IF(J1408=0,"",IF(G1408&lt;J1408*34,DATE(2026,10,15)+G1408/J1408,IF(G1408&lt;N1408,DATE(2026,11,18)+(G1408-J1408*34)/(J1408*L1408),"after Nov 30")))</f>
        <v/>
      </c>
      <c r="Q1408" s="60">
        <f>IF(J1408=0,"",IF(G1408+H1408&lt;J1408*34,DATE(2026,10,15)+(G1408+H1408)/J1408,IF(G1408+H1408&lt;N1408,DATE(2026,11,18)+(G1408+H1408-J1408*34)/(J1408*L1408),"after Nov 30")))</f>
        <v/>
      </c>
      <c r="R1408" s="54">
        <f>IF(AND(G1408&lt;=0,J1408&gt;0),"Out of stock now",IF(G1408&gt;=N1408,"Covered to Nov 30",IF(G1408+H1408&gt;=N1408,"Needs inbound in time","Short even with inbound")))</f>
        <v/>
      </c>
      <c r="S1408" s="57" t="n">
        <v>0</v>
      </c>
      <c r="T1408" s="59">
        <f>IF(S1408="","",S1408*34+S1408*L1408*12)</f>
        <v/>
      </c>
    </row>
    <row r="1409">
      <c r="A1409" s="54" t="inlineStr">
        <is>
          <t>US DC Welcome Sign</t>
        </is>
      </c>
      <c r="B1409" s="54" t="inlineStr">
        <is>
          <t>US</t>
        </is>
      </c>
      <c r="C1409" s="54" t="inlineStr">
        <is>
          <t>B0DQ83G9MC</t>
        </is>
      </c>
      <c r="D1409" s="54" t="inlineStr">
        <is>
          <t>WELCOME-SIGN-FRONT-PORCH-BLACK</t>
        </is>
      </c>
      <c r="E1409" s="54" t="inlineStr">
        <is>
          <t>One Size</t>
        </is>
      </c>
      <c r="F1409" s="54" t="inlineStr">
        <is>
          <t>Black</t>
        </is>
      </c>
      <c r="G1409" s="55" t="n">
        <v>2</v>
      </c>
      <c r="H1409" s="55" t="n">
        <v>0</v>
      </c>
      <c r="I1409" s="56" t="n"/>
      <c r="J1409" s="57" t="n">
        <v>0.01</v>
      </c>
      <c r="K1409" s="56" t="inlineStr">
        <is>
          <t>account data velocity</t>
        </is>
      </c>
      <c r="L1409" s="58" t="n">
        <v>2.7396</v>
      </c>
      <c r="M1409" s="56" t="inlineStr">
        <is>
          <t>ASSUMED: account BFCM 2025 lift (US); product's own 2025 lift not available</t>
        </is>
      </c>
      <c r="N1409" s="59">
        <f>J1409*34+J1409*L1409*12</f>
        <v/>
      </c>
      <c r="O1409" s="59">
        <f>MAX(0,N1409-G1409-H1409)</f>
        <v/>
      </c>
      <c r="P1409" s="60">
        <f>IF(J1409=0,"",IF(G1409&lt;J1409*34,DATE(2026,10,15)+G1409/J1409,IF(G1409&lt;N1409,DATE(2026,11,18)+(G1409-J1409*34)/(J1409*L1409),"after Nov 30")))</f>
        <v/>
      </c>
      <c r="Q1409" s="60">
        <f>IF(J1409=0,"",IF(G1409+H1409&lt;J1409*34,DATE(2026,10,15)+(G1409+H1409)/J1409,IF(G1409+H1409&lt;N1409,DATE(2026,11,18)+(G1409+H1409-J1409*34)/(J1409*L1409),"after Nov 30")))</f>
        <v/>
      </c>
      <c r="R1409" s="54">
        <f>IF(AND(G1409&lt;=0,J1409&gt;0),"Out of stock now",IF(G1409&gt;=N1409,"Covered to Nov 30",IF(G1409+H1409&gt;=N1409,"Needs inbound in time","Short even with inbound")))</f>
        <v/>
      </c>
      <c r="S1409" s="57" t="n">
        <v>0.036</v>
      </c>
      <c r="T1409" s="59">
        <f>IF(S1409="","",S1409*34+S1409*L1409*12)</f>
        <v/>
      </c>
    </row>
    <row r="1410">
      <c r="A1410" s="54" t="inlineStr">
        <is>
          <t>US DC Welcome Sign</t>
        </is>
      </c>
      <c r="B1410" s="54" t="inlineStr">
        <is>
          <t>US</t>
        </is>
      </c>
      <c r="C1410" s="54" t="inlineStr">
        <is>
          <t>B0DQ84FD76</t>
        </is>
      </c>
      <c r="D1410" s="54" t="inlineStr">
        <is>
          <t>WELCOME-SIGN-FRONT-PORCH-BROWN</t>
        </is>
      </c>
      <c r="E1410" s="54" t="inlineStr">
        <is>
          <t>One Size</t>
        </is>
      </c>
      <c r="F1410" s="54" t="inlineStr">
        <is>
          <t>Brown</t>
        </is>
      </c>
      <c r="G1410" s="55" t="n">
        <v>0</v>
      </c>
      <c r="H1410" s="55" t="n">
        <v>0</v>
      </c>
      <c r="I1410" s="56" t="n"/>
      <c r="J1410" s="57" t="n">
        <v>0.01</v>
      </c>
      <c r="K1410" s="56" t="inlineStr">
        <is>
          <t>account data velocity</t>
        </is>
      </c>
      <c r="L1410" s="58" t="n">
        <v>2.7396</v>
      </c>
      <c r="M1410" s="56" t="inlineStr">
        <is>
          <t>ASSUMED: account BFCM 2025 lift (US); product's own 2025 lift not available</t>
        </is>
      </c>
      <c r="N1410" s="59">
        <f>J1410*34+J1410*L1410*12</f>
        <v/>
      </c>
      <c r="O1410" s="59">
        <f>MAX(0,N1410-G1410-H1410)</f>
        <v/>
      </c>
      <c r="P1410" s="60">
        <f>IF(J1410=0,"",IF(G1410&lt;J1410*34,DATE(2026,10,15)+G1410/J1410,IF(G1410&lt;N1410,DATE(2026,11,18)+(G1410-J1410*34)/(J1410*L1410),"after Nov 30")))</f>
        <v/>
      </c>
      <c r="Q1410" s="60">
        <f>IF(J1410=0,"",IF(G1410+H1410&lt;J1410*34,DATE(2026,10,15)+(G1410+H1410)/J1410,IF(G1410+H1410&lt;N1410,DATE(2026,11,18)+(G1410+H1410-J1410*34)/(J1410*L1410),"after Nov 30")))</f>
        <v/>
      </c>
      <c r="R1410" s="54">
        <f>IF(AND(G1410&lt;=0,J1410&gt;0),"Out of stock now",IF(G1410&gt;=N1410,"Covered to Nov 30",IF(G1410+H1410&gt;=N1410,"Needs inbound in time","Short even with inbound")))</f>
        <v/>
      </c>
      <c r="S1410" s="57" t="n">
        <v>0.036</v>
      </c>
      <c r="T1410" s="59">
        <f>IF(S1410="","",S1410*34+S1410*L1410*12)</f>
        <v/>
      </c>
    </row>
    <row r="1411">
      <c r="A1411" s="54" t="inlineStr">
        <is>
          <t>US DC Welcome Sign</t>
        </is>
      </c>
      <c r="B1411" s="54" t="inlineStr">
        <is>
          <t>US</t>
        </is>
      </c>
      <c r="C1411" s="54" t="inlineStr">
        <is>
          <t>B0DQ84NH4D</t>
        </is>
      </c>
      <c r="D1411" s="54" t="inlineStr">
        <is>
          <t>WELCOME-SIGN-FRONT-PORCH-MODERN-BLACK</t>
        </is>
      </c>
      <c r="E1411" s="54" t="inlineStr">
        <is>
          <t>One Size</t>
        </is>
      </c>
      <c r="F1411" s="54" t="inlineStr">
        <is>
          <t>Modern Black</t>
        </is>
      </c>
      <c r="G1411" s="55" t="n">
        <v>19</v>
      </c>
      <c r="H1411" s="55" t="n">
        <v>0</v>
      </c>
      <c r="I1411" s="56" t="n"/>
      <c r="J1411" s="57" t="n">
        <v>0</v>
      </c>
      <c r="K1411" s="56" t="inlineStr">
        <is>
          <t>account data velocity</t>
        </is>
      </c>
      <c r="L1411" s="58" t="n">
        <v>2.7396</v>
      </c>
      <c r="M1411" s="56" t="inlineStr">
        <is>
          <t>ASSUMED: account BFCM 2025 lift (US); product's own 2025 lift not available</t>
        </is>
      </c>
      <c r="N1411" s="59">
        <f>J1411*34+J1411*L1411*12</f>
        <v/>
      </c>
      <c r="O1411" s="59">
        <f>MAX(0,N1411-G1411-H1411)</f>
        <v/>
      </c>
      <c r="P1411" s="60">
        <f>IF(J1411=0,"",IF(G1411&lt;J1411*34,DATE(2026,10,15)+G1411/J1411,IF(G1411&lt;N1411,DATE(2026,11,18)+(G1411-J1411*34)/(J1411*L1411),"after Nov 30")))</f>
        <v/>
      </c>
      <c r="Q1411" s="60">
        <f>IF(J1411=0,"",IF(G1411+H1411&lt;J1411*34,DATE(2026,10,15)+(G1411+H1411)/J1411,IF(G1411+H1411&lt;N1411,DATE(2026,11,18)+(G1411+H1411-J1411*34)/(J1411*L1411),"after Nov 30")))</f>
        <v/>
      </c>
      <c r="R1411" s="54">
        <f>IF(AND(G1411&lt;=0,J1411&gt;0),"Out of stock now",IF(G1411&gt;=N1411,"Covered to Nov 30",IF(G1411+H1411&gt;=N1411,"Needs inbound in time","Short even with inbound")))</f>
        <v/>
      </c>
      <c r="S1411" s="57" t="n">
        <v>0</v>
      </c>
      <c r="T1411" s="59">
        <f>IF(S1411="","",S1411*34+S1411*L1411*12)</f>
        <v/>
      </c>
    </row>
    <row r="1412">
      <c r="A1412" s="54" t="inlineStr">
        <is>
          <t>US DC Welcome Sign</t>
        </is>
      </c>
      <c r="B1412" s="54" t="inlineStr">
        <is>
          <t>US</t>
        </is>
      </c>
      <c r="C1412" s="54" t="inlineStr">
        <is>
          <t>B0DQ81GKN2</t>
        </is>
      </c>
      <c r="D1412" s="54" t="inlineStr">
        <is>
          <t>WELCOME-SIGN-FRONT-PORCH-SADDLE-BROWN</t>
        </is>
      </c>
      <c r="E1412" s="54" t="inlineStr">
        <is>
          <t>One Size</t>
        </is>
      </c>
      <c r="F1412" s="54" t="inlineStr">
        <is>
          <t>Saddle Brown</t>
        </is>
      </c>
      <c r="G1412" s="55" t="n">
        <v>1</v>
      </c>
      <c r="H1412" s="55" t="n">
        <v>0</v>
      </c>
      <c r="I1412" s="56" t="n"/>
      <c r="J1412" s="57" t="n">
        <v>0</v>
      </c>
      <c r="K1412" s="56" t="inlineStr">
        <is>
          <t>account data velocity</t>
        </is>
      </c>
      <c r="L1412" s="58" t="n">
        <v>2.7396</v>
      </c>
      <c r="M1412" s="56" t="inlineStr">
        <is>
          <t>ASSUMED: account BFCM 2025 lift (US); product's own 2025 lift not available</t>
        </is>
      </c>
      <c r="N1412" s="59">
        <f>J1412*34+J1412*L1412*12</f>
        <v/>
      </c>
      <c r="O1412" s="59">
        <f>MAX(0,N1412-G1412-H1412)</f>
        <v/>
      </c>
      <c r="P1412" s="60">
        <f>IF(J1412=0,"",IF(G1412&lt;J1412*34,DATE(2026,10,15)+G1412/J1412,IF(G1412&lt;N1412,DATE(2026,11,18)+(G1412-J1412*34)/(J1412*L1412),"after Nov 30")))</f>
        <v/>
      </c>
      <c r="Q1412" s="60">
        <f>IF(J1412=0,"",IF(G1412+H1412&lt;J1412*34,DATE(2026,10,15)+(G1412+H1412)/J1412,IF(G1412+H1412&lt;N1412,DATE(2026,11,18)+(G1412+H1412-J1412*34)/(J1412*L1412),"after Nov 30")))</f>
        <v/>
      </c>
      <c r="R1412" s="54">
        <f>IF(AND(G1412&lt;=0,J1412&gt;0),"Out of stock now",IF(G1412&gt;=N1412,"Covered to Nov 30",IF(G1412+H1412&gt;=N1412,"Needs inbound in time","Short even with inbound")))</f>
        <v/>
      </c>
      <c r="S1412" s="57" t="n">
        <v>0</v>
      </c>
      <c r="T1412" s="59">
        <f>IF(S1412="","",S1412*34+S1412*L1412*12)</f>
        <v/>
      </c>
    </row>
    <row r="1413">
      <c r="A1413" s="54" t="inlineStr">
        <is>
          <t>US DC Chair Cover</t>
        </is>
      </c>
      <c r="B1413" s="54" t="inlineStr">
        <is>
          <t>US</t>
        </is>
      </c>
      <c r="C1413" s="54" t="inlineStr">
        <is>
          <t>B0CY6TMHVW</t>
        </is>
      </c>
      <c r="D1413" s="54" t="inlineStr">
        <is>
          <t>WATERPROOF-CHAIR-COVER-BEIGE-6PCS</t>
        </is>
      </c>
      <c r="E1413" s="54" t="inlineStr">
        <is>
          <t>Pack of 6</t>
        </is>
      </c>
      <c r="F1413" s="54" t="inlineStr">
        <is>
          <t>Beige</t>
        </is>
      </c>
      <c r="G1413" s="55" t="n">
        <v>27</v>
      </c>
      <c r="H1413" s="55" t="n">
        <v>0</v>
      </c>
      <c r="I1413" s="56" t="n"/>
      <c r="J1413" s="57" t="n">
        <v>0.42</v>
      </c>
      <c r="K1413" s="56" t="inlineStr">
        <is>
          <t>account data velocity</t>
        </is>
      </c>
      <c r="L1413" s="58" t="n">
        <v>2.7396</v>
      </c>
      <c r="M1413" s="56" t="inlineStr">
        <is>
          <t>ASSUMED: account BFCM 2025 lift (US); product's own 2025 lift not reliable</t>
        </is>
      </c>
      <c r="N1413" s="59">
        <f>J1413*34+J1413*L1413*12</f>
        <v/>
      </c>
      <c r="O1413" s="59">
        <f>MAX(0,N1413-G1413-H1413)</f>
        <v/>
      </c>
      <c r="P1413" s="60">
        <f>IF(J1413=0,"",IF(G1413&lt;J1413*34,DATE(2026,10,15)+G1413/J1413,IF(G1413&lt;N1413,DATE(2026,11,18)+(G1413-J1413*34)/(J1413*L1413),"after Nov 30")))</f>
        <v/>
      </c>
      <c r="Q1413" s="60">
        <f>IF(J1413=0,"",IF(G1413+H1413&lt;J1413*34,DATE(2026,10,15)+(G1413+H1413)/J1413,IF(G1413+H1413&lt;N1413,DATE(2026,11,18)+(G1413+H1413-J1413*34)/(J1413*L1413),"after Nov 30")))</f>
        <v/>
      </c>
      <c r="R1413" s="54">
        <f>IF(AND(G1413&lt;=0,J1413&gt;0),"Out of stock now",IF(G1413&gt;=N1413,"Covered to Nov 30",IF(G1413+H1413&gt;=N1413,"Needs inbound in time","Short even with inbound")))</f>
        <v/>
      </c>
      <c r="S1413" s="57" t="n">
        <v>0.321</v>
      </c>
      <c r="T1413" s="59">
        <f>IF(S1413="","",S1413*34+S1413*L1413*12)</f>
        <v/>
      </c>
    </row>
    <row r="1414">
      <c r="A1414" s="54" t="inlineStr">
        <is>
          <t>US DC Chair Cover</t>
        </is>
      </c>
      <c r="B1414" s="54" t="inlineStr">
        <is>
          <t>US</t>
        </is>
      </c>
      <c r="C1414" s="54" t="inlineStr">
        <is>
          <t>B0CY63VCW1</t>
        </is>
      </c>
      <c r="D1414" s="54" t="inlineStr">
        <is>
          <t>WATERPROOF-CHAIR-COVER-CHOCOLATE-6PCS</t>
        </is>
      </c>
      <c r="E1414" s="54" t="inlineStr">
        <is>
          <t>Pack of 6</t>
        </is>
      </c>
      <c r="F1414" s="54" t="inlineStr">
        <is>
          <t>Chocolate</t>
        </is>
      </c>
      <c r="G1414" s="55" t="n">
        <v>24</v>
      </c>
      <c r="H1414" s="55" t="n">
        <v>0</v>
      </c>
      <c r="I1414" s="56" t="n"/>
      <c r="J1414" s="57" t="n">
        <v>0.37</v>
      </c>
      <c r="K1414" s="56" t="inlineStr">
        <is>
          <t>account data velocity</t>
        </is>
      </c>
      <c r="L1414" s="58" t="n">
        <v>2.7396</v>
      </c>
      <c r="M1414" s="56" t="inlineStr">
        <is>
          <t>ASSUMED: account BFCM 2025 lift (US); product's own 2025 lift not reliable</t>
        </is>
      </c>
      <c r="N1414" s="59">
        <f>J1414*34+J1414*L1414*12</f>
        <v/>
      </c>
      <c r="O1414" s="59">
        <f>MAX(0,N1414-G1414-H1414)</f>
        <v/>
      </c>
      <c r="P1414" s="60">
        <f>IF(J1414=0,"",IF(G1414&lt;J1414*34,DATE(2026,10,15)+G1414/J1414,IF(G1414&lt;N1414,DATE(2026,11,18)+(G1414-J1414*34)/(J1414*L1414),"after Nov 30")))</f>
        <v/>
      </c>
      <c r="Q1414" s="60">
        <f>IF(J1414=0,"",IF(G1414+H1414&lt;J1414*34,DATE(2026,10,15)+(G1414+H1414)/J1414,IF(G1414+H1414&lt;N1414,DATE(2026,11,18)+(G1414+H1414-J1414*34)/(J1414*L1414),"after Nov 30")))</f>
        <v/>
      </c>
      <c r="R1414" s="54">
        <f>IF(AND(G1414&lt;=0,J1414&gt;0),"Out of stock now",IF(G1414&gt;=N1414,"Covered to Nov 30",IF(G1414+H1414&gt;=N1414,"Needs inbound in time","Short even with inbound")))</f>
        <v/>
      </c>
      <c r="S1414" s="57" t="n">
        <v>0.357</v>
      </c>
      <c r="T1414" s="59">
        <f>IF(S1414="","",S1414*34+S1414*L1414*12)</f>
        <v/>
      </c>
    </row>
    <row r="1415">
      <c r="A1415" s="54" t="inlineStr">
        <is>
          <t>US DC Chair Cover</t>
        </is>
      </c>
      <c r="B1415" s="54" t="inlineStr">
        <is>
          <t>US</t>
        </is>
      </c>
      <c r="C1415" s="54" t="inlineStr">
        <is>
          <t>B0CY6H5P5T</t>
        </is>
      </c>
      <c r="D1415" s="54" t="inlineStr">
        <is>
          <t>WATERPROOF-CHAIR-COVER-BLACK-6PCS</t>
        </is>
      </c>
      <c r="E1415" s="54" t="inlineStr">
        <is>
          <t>Pack of 6</t>
        </is>
      </c>
      <c r="F1415" s="54" t="inlineStr">
        <is>
          <t>Black</t>
        </is>
      </c>
      <c r="G1415" s="55" t="n">
        <v>47</v>
      </c>
      <c r="H1415" s="55" t="n">
        <v>0</v>
      </c>
      <c r="I1415" s="56" t="n"/>
      <c r="J1415" s="57" t="n">
        <v>0.16</v>
      </c>
      <c r="K1415" s="56" t="inlineStr">
        <is>
          <t>account data velocity</t>
        </is>
      </c>
      <c r="L1415" s="58" t="n">
        <v>2.7396</v>
      </c>
      <c r="M1415" s="56" t="inlineStr">
        <is>
          <t>ASSUMED: account BFCM 2025 lift (US); product's own 2025 lift not reliable</t>
        </is>
      </c>
      <c r="N1415" s="59">
        <f>J1415*34+J1415*L1415*12</f>
        <v/>
      </c>
      <c r="O1415" s="59">
        <f>MAX(0,N1415-G1415-H1415)</f>
        <v/>
      </c>
      <c r="P1415" s="60">
        <f>IF(J1415=0,"",IF(G1415&lt;J1415*34,DATE(2026,10,15)+G1415/J1415,IF(G1415&lt;N1415,DATE(2026,11,18)+(G1415-J1415*34)/(J1415*L1415),"after Nov 30")))</f>
        <v/>
      </c>
      <c r="Q1415" s="60">
        <f>IF(J1415=0,"",IF(G1415+H1415&lt;J1415*34,DATE(2026,10,15)+(G1415+H1415)/J1415,IF(G1415+H1415&lt;N1415,DATE(2026,11,18)+(G1415+H1415-J1415*34)/(J1415*L1415),"after Nov 30")))</f>
        <v/>
      </c>
      <c r="R1415" s="54">
        <f>IF(AND(G1415&lt;=0,J1415&gt;0),"Out of stock now",IF(G1415&gt;=N1415,"Covered to Nov 30",IF(G1415+H1415&gt;=N1415,"Needs inbound in time","Short even with inbound")))</f>
        <v/>
      </c>
      <c r="S1415" s="57" t="n">
        <v>0.07099999999999999</v>
      </c>
      <c r="T1415" s="59">
        <f>IF(S1415="","",S1415*34+S1415*L1415*12)</f>
        <v/>
      </c>
    </row>
    <row r="1416">
      <c r="A1416" s="54" t="inlineStr">
        <is>
          <t>US DC Chair Cover</t>
        </is>
      </c>
      <c r="B1416" s="54" t="inlineStr">
        <is>
          <t>US</t>
        </is>
      </c>
      <c r="C1416" s="54" t="inlineStr">
        <is>
          <t>B0CY6H5CGX</t>
        </is>
      </c>
      <c r="D1416" s="54" t="inlineStr">
        <is>
          <t>WATERPROOF-CHAIR-COVER-WINE-RED-6PCS</t>
        </is>
      </c>
      <c r="E1416" s="54" t="inlineStr">
        <is>
          <t>Pack of 6</t>
        </is>
      </c>
      <c r="F1416" s="54" t="inlineStr">
        <is>
          <t>Wine Red</t>
        </is>
      </c>
      <c r="G1416" s="55" t="n">
        <v>1</v>
      </c>
      <c r="H1416" s="55" t="n">
        <v>0</v>
      </c>
      <c r="I1416" s="56" t="n"/>
      <c r="J1416" s="57" t="n">
        <v>0.16</v>
      </c>
      <c r="K1416" s="56" t="inlineStr">
        <is>
          <t>account data velocity</t>
        </is>
      </c>
      <c r="L1416" s="58" t="n">
        <v>2.7396</v>
      </c>
      <c r="M1416" s="56" t="inlineStr">
        <is>
          <t>ASSUMED: account BFCM 2025 lift (US); product's own 2025 lift not reliable</t>
        </is>
      </c>
      <c r="N1416" s="59">
        <f>J1416*34+J1416*L1416*12</f>
        <v/>
      </c>
      <c r="O1416" s="59">
        <f>MAX(0,N1416-G1416-H1416)</f>
        <v/>
      </c>
      <c r="P1416" s="60">
        <f>IF(J1416=0,"",IF(G1416&lt;J1416*34,DATE(2026,10,15)+G1416/J1416,IF(G1416&lt;N1416,DATE(2026,11,18)+(G1416-J1416*34)/(J1416*L1416),"after Nov 30")))</f>
        <v/>
      </c>
      <c r="Q1416" s="60">
        <f>IF(J1416=0,"",IF(G1416+H1416&lt;J1416*34,DATE(2026,10,15)+(G1416+H1416)/J1416,IF(G1416+H1416&lt;N1416,DATE(2026,11,18)+(G1416+H1416-J1416*34)/(J1416*L1416),"after Nov 30")))</f>
        <v/>
      </c>
      <c r="R1416" s="54">
        <f>IF(AND(G1416&lt;=0,J1416&gt;0),"Out of stock now",IF(G1416&gt;=N1416,"Covered to Nov 30",IF(G1416+H1416&gt;=N1416,"Needs inbound in time","Short even with inbound")))</f>
        <v/>
      </c>
      <c r="S1416" s="57" t="n">
        <v>0.07099999999999999</v>
      </c>
      <c r="T1416" s="59">
        <f>IF(S1416="","",S1416*34+S1416*L1416*12)</f>
        <v/>
      </c>
    </row>
    <row r="1417">
      <c r="A1417" s="54" t="inlineStr">
        <is>
          <t>US DC Chair Cover</t>
        </is>
      </c>
      <c r="B1417" s="54" t="inlineStr">
        <is>
          <t>US</t>
        </is>
      </c>
      <c r="C1417" s="54" t="inlineStr">
        <is>
          <t>B0CY6Q9G59</t>
        </is>
      </c>
      <c r="D1417" s="54" t="inlineStr">
        <is>
          <t>WATERPROOF-CHAIR-COVER-WINE-RED-4PCS</t>
        </is>
      </c>
      <c r="E1417" s="54" t="inlineStr">
        <is>
          <t>Pack of 4</t>
        </is>
      </c>
      <c r="F1417" s="54" t="inlineStr">
        <is>
          <t>Wine Red</t>
        </is>
      </c>
      <c r="G1417" s="55" t="n">
        <v>0</v>
      </c>
      <c r="H1417" s="55" t="n">
        <v>0</v>
      </c>
      <c r="I1417" s="56" t="n"/>
      <c r="J1417" s="57" t="n">
        <v>0.12</v>
      </c>
      <c r="K1417" s="56" t="inlineStr">
        <is>
          <t>account data velocity</t>
        </is>
      </c>
      <c r="L1417" s="58" t="n">
        <v>2.7396</v>
      </c>
      <c r="M1417" s="56" t="inlineStr">
        <is>
          <t>ASSUMED: account BFCM 2025 lift (US); product's own 2025 lift not reliable</t>
        </is>
      </c>
      <c r="N1417" s="59">
        <f>J1417*34+J1417*L1417*12</f>
        <v/>
      </c>
      <c r="O1417" s="59">
        <f>MAX(0,N1417-G1417-H1417)</f>
        <v/>
      </c>
      <c r="P1417" s="60">
        <f>IF(J1417=0,"",IF(G1417&lt;J1417*34,DATE(2026,10,15)+G1417/J1417,IF(G1417&lt;N1417,DATE(2026,11,18)+(G1417-J1417*34)/(J1417*L1417),"after Nov 30")))</f>
        <v/>
      </c>
      <c r="Q1417" s="60">
        <f>IF(J1417=0,"",IF(G1417+H1417&lt;J1417*34,DATE(2026,10,15)+(G1417+H1417)/J1417,IF(G1417+H1417&lt;N1417,DATE(2026,11,18)+(G1417+H1417-J1417*34)/(J1417*L1417),"after Nov 30")))</f>
        <v/>
      </c>
      <c r="R1417" s="54">
        <f>IF(AND(G1417&lt;=0,J1417&gt;0),"Out of stock now",IF(G1417&gt;=N1417,"Covered to Nov 30",IF(G1417+H1417&gt;=N1417,"Needs inbound in time","Short even with inbound")))</f>
        <v/>
      </c>
      <c r="S1417" s="57" t="n">
        <v>0.107</v>
      </c>
      <c r="T1417" s="59">
        <f>IF(S1417="","",S1417*34+S1417*L1417*12)</f>
        <v/>
      </c>
    </row>
    <row r="1418">
      <c r="A1418" s="54" t="inlineStr">
        <is>
          <t>US DC Chair Cover</t>
        </is>
      </c>
      <c r="B1418" s="54" t="inlineStr">
        <is>
          <t>US</t>
        </is>
      </c>
      <c r="C1418" s="54" t="inlineStr">
        <is>
          <t>B0CY6H87BC</t>
        </is>
      </c>
      <c r="D1418" s="54" t="inlineStr">
        <is>
          <t>WATERPROOF-CHAIR-COVER-CHOCOLATE-4PCS</t>
        </is>
      </c>
      <c r="E1418" s="54" t="inlineStr">
        <is>
          <t>Pack of 4</t>
        </is>
      </c>
      <c r="F1418" s="54" t="inlineStr">
        <is>
          <t>Chocolate</t>
        </is>
      </c>
      <c r="G1418" s="55" t="n">
        <v>4</v>
      </c>
      <c r="H1418" s="55" t="n">
        <v>0</v>
      </c>
      <c r="I1418" s="56" t="n"/>
      <c r="J1418" s="57" t="n">
        <v>0.1</v>
      </c>
      <c r="K1418" s="56" t="inlineStr">
        <is>
          <t>account data velocity</t>
        </is>
      </c>
      <c r="L1418" s="58" t="n">
        <v>2.7396</v>
      </c>
      <c r="M1418" s="56" t="inlineStr">
        <is>
          <t>ASSUMED: account BFCM 2025 lift (US); product's own 2025 lift not reliable</t>
        </is>
      </c>
      <c r="N1418" s="59">
        <f>J1418*34+J1418*L1418*12</f>
        <v/>
      </c>
      <c r="O1418" s="59">
        <f>MAX(0,N1418-G1418-H1418)</f>
        <v/>
      </c>
      <c r="P1418" s="60">
        <f>IF(J1418=0,"",IF(G1418&lt;J1418*34,DATE(2026,10,15)+G1418/J1418,IF(G1418&lt;N1418,DATE(2026,11,18)+(G1418-J1418*34)/(J1418*L1418),"after Nov 30")))</f>
        <v/>
      </c>
      <c r="Q1418" s="60">
        <f>IF(J1418=0,"",IF(G1418+H1418&lt;J1418*34,DATE(2026,10,15)+(G1418+H1418)/J1418,IF(G1418+H1418&lt;N1418,DATE(2026,11,18)+(G1418+H1418-J1418*34)/(J1418*L1418),"after Nov 30")))</f>
        <v/>
      </c>
      <c r="R1418" s="54">
        <f>IF(AND(G1418&lt;=0,J1418&gt;0),"Out of stock now",IF(G1418&gt;=N1418,"Covered to Nov 30",IF(G1418+H1418&gt;=N1418,"Needs inbound in time","Short even with inbound")))</f>
        <v/>
      </c>
      <c r="S1418" s="57" t="n">
        <v>0.07099999999999999</v>
      </c>
      <c r="T1418" s="59">
        <f>IF(S1418="","",S1418*34+S1418*L1418*12)</f>
        <v/>
      </c>
    </row>
    <row r="1419">
      <c r="A1419" s="54" t="inlineStr">
        <is>
          <t>US DC Chair Cover</t>
        </is>
      </c>
      <c r="B1419" s="54" t="inlineStr">
        <is>
          <t>US</t>
        </is>
      </c>
      <c r="C1419" s="54" t="inlineStr">
        <is>
          <t>B0CY6MJBWN</t>
        </is>
      </c>
      <c r="D1419" s="54" t="inlineStr">
        <is>
          <t>WATERPROOF-CHAIR-COVER-BLACK-4PCS</t>
        </is>
      </c>
      <c r="E1419" s="54" t="inlineStr">
        <is>
          <t>Pack of 4</t>
        </is>
      </c>
      <c r="F1419" s="54" t="inlineStr">
        <is>
          <t>Black</t>
        </is>
      </c>
      <c r="G1419" s="55" t="n">
        <v>27</v>
      </c>
      <c r="H1419" s="55" t="n">
        <v>0</v>
      </c>
      <c r="I1419" s="56" t="n"/>
      <c r="J1419" s="57" t="n">
        <v>0.06</v>
      </c>
      <c r="K1419" s="56" t="inlineStr">
        <is>
          <t>account data velocity</t>
        </is>
      </c>
      <c r="L1419" s="58" t="n">
        <v>2.7396</v>
      </c>
      <c r="M1419" s="56" t="inlineStr">
        <is>
          <t>ASSUMED: account BFCM 2025 lift (US); product's own 2025 lift not reliable</t>
        </is>
      </c>
      <c r="N1419" s="59">
        <f>J1419*34+J1419*L1419*12</f>
        <v/>
      </c>
      <c r="O1419" s="59">
        <f>MAX(0,N1419-G1419-H1419)</f>
        <v/>
      </c>
      <c r="P1419" s="60">
        <f>IF(J1419=0,"",IF(G1419&lt;J1419*34,DATE(2026,10,15)+G1419/J1419,IF(G1419&lt;N1419,DATE(2026,11,18)+(G1419-J1419*34)/(J1419*L1419),"after Nov 30")))</f>
        <v/>
      </c>
      <c r="Q1419" s="60">
        <f>IF(J1419=0,"",IF(G1419+H1419&lt;J1419*34,DATE(2026,10,15)+(G1419+H1419)/J1419,IF(G1419+H1419&lt;N1419,DATE(2026,11,18)+(G1419+H1419-J1419*34)/(J1419*L1419),"after Nov 30")))</f>
        <v/>
      </c>
      <c r="R1419" s="54">
        <f>IF(AND(G1419&lt;=0,J1419&gt;0),"Out of stock now",IF(G1419&gt;=N1419,"Covered to Nov 30",IF(G1419+H1419&gt;=N1419,"Needs inbound in time","Short even with inbound")))</f>
        <v/>
      </c>
      <c r="S1419" s="57" t="n">
        <v>0.036</v>
      </c>
      <c r="T1419" s="59">
        <f>IF(S1419="","",S1419*34+S1419*L1419*12)</f>
        <v/>
      </c>
    </row>
    <row r="1420">
      <c r="A1420" s="54" t="inlineStr">
        <is>
          <t>US DC Chair Cover</t>
        </is>
      </c>
      <c r="B1420" s="54" t="inlineStr">
        <is>
          <t>US</t>
        </is>
      </c>
      <c r="C1420" s="54" t="inlineStr">
        <is>
          <t>B0CY6QPTVJ</t>
        </is>
      </c>
      <c r="D1420" s="54" t="inlineStr">
        <is>
          <t>WATERPROOF-CHAIR-COVER-BEIGE-4PCS</t>
        </is>
      </c>
      <c r="E1420" s="54" t="inlineStr">
        <is>
          <t>Pack of 4</t>
        </is>
      </c>
      <c r="F1420" s="54" t="inlineStr">
        <is>
          <t>Beige</t>
        </is>
      </c>
      <c r="G1420" s="55" t="n">
        <v>0</v>
      </c>
      <c r="H1420" s="55" t="n">
        <v>0</v>
      </c>
      <c r="I1420" s="56" t="n"/>
      <c r="J1420" s="57" t="n">
        <v>0.04</v>
      </c>
      <c r="K1420" s="56" t="inlineStr">
        <is>
          <t>account data velocity</t>
        </is>
      </c>
      <c r="L1420" s="58" t="n">
        <v>2.7396</v>
      </c>
      <c r="M1420" s="56" t="inlineStr">
        <is>
          <t>ASSUMED: account BFCM 2025 lift (US); product's own 2025 lift not reliable</t>
        </is>
      </c>
      <c r="N1420" s="59">
        <f>J1420*34+J1420*L1420*12</f>
        <v/>
      </c>
      <c r="O1420" s="59">
        <f>MAX(0,N1420-G1420-H1420)</f>
        <v/>
      </c>
      <c r="P1420" s="60">
        <f>IF(J1420=0,"",IF(G1420&lt;J1420*34,DATE(2026,10,15)+G1420/J1420,IF(G1420&lt;N1420,DATE(2026,11,18)+(G1420-J1420*34)/(J1420*L1420),"after Nov 30")))</f>
        <v/>
      </c>
      <c r="Q1420" s="60">
        <f>IF(J1420=0,"",IF(G1420+H1420&lt;J1420*34,DATE(2026,10,15)+(G1420+H1420)/J1420,IF(G1420+H1420&lt;N1420,DATE(2026,11,18)+(G1420+H1420-J1420*34)/(J1420*L1420),"after Nov 30")))</f>
        <v/>
      </c>
      <c r="R1420" s="54">
        <f>IF(AND(G1420&lt;=0,J1420&gt;0),"Out of stock now",IF(G1420&gt;=N1420,"Covered to Nov 30",IF(G1420+H1420&gt;=N1420,"Needs inbound in time","Short even with inbound")))</f>
        <v/>
      </c>
      <c r="S1420" s="57" t="n">
        <v>0.036</v>
      </c>
      <c r="T1420" s="59">
        <f>IF(S1420="","",S1420*34+S1420*L1420*12)</f>
        <v/>
      </c>
    </row>
  </sheetData>
  <autoFilter ref="A37:T1420"/>
  <mergeCells count="1">
    <mergeCell ref="A2:T2"/>
  </mergeCells>
  <conditionalFormatting sqref="R38:R1420">
    <cfRule type="expression" priority="1" dxfId="5">
      <formula>OR(R38="Short even with inbound",R38="Out of stock now")</formula>
    </cfRule>
    <cfRule type="expression" priority="2" dxfId="3">
      <formula>R38="Needs inbound in time"</formula>
    </cfRule>
  </conditionalFormatting>
  <hyperlinks>
    <hyperlink ref="A5" location="'US DC B4'!A1" display="US DC B4"/>
    <hyperlink ref="A6" location="'CA DC B4'!A1" display="CA DC B4"/>
    <hyperlink ref="A7" location="'US DC B6'!A1" display="US DC B6"/>
    <hyperlink ref="A8" location="'CA DC B6'!A1" display="CA DC B6"/>
    <hyperlink ref="A9" location="'US SL B6'!A1" display="US SL B6"/>
    <hyperlink ref="A10" location="'US SL B4'!A1" display="US SL B4"/>
    <hyperlink ref="A11" location="'US DC Bamboo Fitted'!A1" display="US DC Bamboo Fitted"/>
    <hyperlink ref="A12" location="'US DC S4'!A1" display="US DC S4"/>
    <hyperlink ref="A13" location="'CA DC S4'!A1" display="CA DC S4"/>
    <hyperlink ref="A14" location="'US DC S6'!A1" display="US DC S6"/>
    <hyperlink ref="A15" location="'CA DC S6'!A1" display="CA DC S6"/>
    <hyperlink ref="A16" location="'US SSS4'!A1" display="US SSS4"/>
    <hyperlink ref="A17" location="'CA SSS4'!A1" display="CA SSS4"/>
    <hyperlink ref="A18" location="'US DC Satin Fitted'!A1" display="US DC Satin Fitted"/>
    <hyperlink ref="A19" location="'CA DC Satin Fitted'!A1" display="CA DC Satin Fitted"/>
    <hyperlink ref="A20" location="'US DC Silk Pillowcase'!A1" display="US DC Silk Pillowcase"/>
    <hyperlink ref="A21" location="'US SL Mask Contoured'!A1" display="US SL Mask Contoured"/>
    <hyperlink ref="A22" location="'US SL Mask Velcro'!A1" display="US SL Mask Velcro"/>
    <hyperlink ref="A23" location="'US DC Cooling 4pc'!A1" display="US DC Cooling 4pc"/>
    <hyperlink ref="A24" location="'US SL Cooling 4pc'!A1" display="US SL Cooling 4pc"/>
    <hyperlink ref="A25" location="'US CL Cooling Sheets'!A1" display="US CL Cooling Sheets"/>
    <hyperlink ref="A26" location="'US CL Pillowcases'!A1" display="US CL Pillowcases"/>
    <hyperlink ref="A27" location="'US SL Cooling Pillowcase'!A1" display="US SL Cooling Pillowcase"/>
    <hyperlink ref="A28" location="'US SL Cooling Comforter'!A1" display="US SL Cooling Comforter"/>
    <hyperlink ref="A29" location="'US SL Cooling Fitted'!A1" display="US SL Cooling Fitted"/>
    <hyperlink ref="A30" location="'US SL Quilt Set'!A1" display="US SL Quilt Set"/>
    <hyperlink ref="A31" location="'US DC Linen Curtains'!A1" display="US DC Linen Curtains"/>
    <hyperlink ref="A32" location="'US DC Beach Towel'!A1" display="US DC Beach Towel"/>
    <hyperlink ref="A33" location="'US DC Welcome Sign'!A1" display="US DC Welcome Sign"/>
    <hyperlink ref="A34" location="'US DC Chair Cover'!A1" display="US DC Chair Cover"/>
  </hyperlinks>
  <pageMargins left="0.75" right="0.75" top="1" bottom="1" header="0.5" footer="0.5"/>
</worksheet>
</file>

<file path=xl/worksheets/sheet6.xml><?xml version="1.0" encoding="utf-8"?>
<worksheet xmlns="http://schemas.openxmlformats.org/spreadsheetml/2006/main">
  <sheetPr>
    <tabColor rgb="009DC3E6"/>
    <outlinePr summaryBelow="1" summaryRight="1"/>
    <pageSetUpPr/>
  </sheetPr>
  <dimension ref="A1:BK197"/>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Bamboo Sheets 4 Piece · Amazon.com (US) · Bamboo · BFCM role: Hero: rank and profit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(61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_xlfn.IMAGE("https://m.media-amazon.com/images/I/81E9bvs4TYL._AC_SL1500_.jpg")</f>
        <v/>
      </c>
      <c r="C4" s="13" t="inlineStr">
        <is>
          <t>Title</t>
        </is>
      </c>
      <c r="D4" s="14" t="inlineStr">
        <is>
          <t>DECOLURE 100% Viscose from Bamboo Sheets King Size | 4 Pc Cooling Bed Set</t>
        </is>
      </c>
      <c r="K4" s="13" t="inlineStr">
        <is>
          <t>Sizes</t>
        </is>
      </c>
      <c r="L4" s="68" t="inlineStr">
        <is>
          <t>California King, Full, King, Queen, Twin</t>
        </is>
      </c>
      <c r="S4" s="13" t="inlineStr">
        <is>
          <t>Break-even ACoS</t>
        </is>
      </c>
      <c r="T4" s="68" t="inlineStr">
        <is>
          <t>43%</t>
        </is>
      </c>
    </row>
    <row r="5" ht="22" customHeight="1">
      <c r="C5" s="13" t="inlineStr">
        <is>
          <t>Brand</t>
        </is>
      </c>
      <c r="D5" s="68" t="inlineStr">
        <is>
          <t>Decolure</t>
        </is>
      </c>
      <c r="K5" s="13" t="inlineStr">
        <is>
          <t>Colours</t>
        </is>
      </c>
      <c r="L5" s="68" t="inlineStr">
        <is>
          <t>Black, Burgundy, Charcoal, Creme, Grey, Light Blue, Light Grey, Light Olive, Light Pink, Midgrey, Navy Blue, Olive, Purple, Sage Green, Taupe, White</t>
        </is>
      </c>
      <c r="S5" s="13" t="inlineStr">
        <is>
          <t>Units last 28 days</t>
        </is>
      </c>
      <c r="T5" s="68" t="inlineStr">
        <is>
          <t>1,813</t>
        </is>
      </c>
    </row>
    <row r="6" ht="22" customHeight="1">
      <c r="C6" s="13" t="inlineStr">
        <is>
          <t>Marketplace</t>
        </is>
      </c>
      <c r="D6" s="68" t="inlineStr">
        <is>
          <t>Amazon.com (US)</t>
        </is>
      </c>
      <c r="K6" s="13" t="inlineStr">
        <is>
          <t>Price now, best child</t>
        </is>
      </c>
      <c r="L6" s="68" t="inlineStr">
        <is>
          <t>$94.99 (catalog price, 2026-10-13)</t>
        </is>
      </c>
      <c r="S6" s="13" t="inlineStr">
        <is>
          <t>market data product ASIN</t>
        </is>
      </c>
      <c r="T6" s="68" t="inlineStr">
        <is>
          <t>B0BZQ1G5B8 (one of our child ASINs, not the Amazon parent)</t>
        </is>
      </c>
    </row>
    <row r="7" ht="22" customHeight="1">
      <c r="C7" s="13" t="inlineStr">
        <is>
          <t>Parent ASIN (Amazon)</t>
        </is>
      </c>
      <c r="D7" s="68" t="inlineStr">
        <is>
          <t>B0HJCSXJQ6</t>
        </is>
      </c>
      <c r="K7" s="13" t="inlineStr">
        <is>
          <t>Rating / reviews now</t>
        </is>
      </c>
      <c r="L7" s="68" t="inlineStr">
        <is>
          <t>4.5 / 5,972 (catalog price, 2026-10-13)</t>
        </is>
      </c>
    </row>
    <row r="8" ht="22" customHeight="1">
      <c r="C8" s="13" t="inlineStr">
        <is>
          <t>Best-selling child ASIN</t>
        </is>
      </c>
      <c r="D8" s="68" t="inlineStr">
        <is>
          <t>B08KQHRDDG</t>
        </is>
      </c>
      <c r="K8" s="13" t="inlineStr">
        <is>
          <t>Live prices held</t>
        </is>
      </c>
      <c r="L8" s="68" t="inlineStr">
        <is>
          <t>75 of 81 variations</t>
        </is>
      </c>
    </row>
    <row r="9" ht="22" customHeight="1">
      <c r="C9" s="13" t="inlineStr">
        <is>
          <t>Stage</t>
        </is>
      </c>
      <c r="D9" s="68" t="inlineStr">
        <is>
          <t>Re-Launch</t>
        </is>
      </c>
      <c r="K9" s="13" t="inlineStr">
        <is>
          <t>Blended price (market data)</t>
        </is>
      </c>
      <c r="L9" s="68" t="inlineStr">
        <is>
          <t>$80.69 - fee feed as of 2026-03-30, STALE</t>
        </is>
      </c>
    </row>
    <row r="10">
      <c r="C10" s="13" t="inlineStr">
        <is>
          <t>Total variations (SKUs)</t>
        </is>
      </c>
      <c r="D10" s="68" t="n">
        <v>81</v>
      </c>
      <c r="K10" s="13" t="inlineStr">
        <is>
          <t>Contribution / unit</t>
        </is>
      </c>
      <c r="L10" s="68" t="inlineStr">
        <is>
          <t>$34.45</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4.25x</t>
        </is>
      </c>
      <c r="E12" s="70" t="inlineStr">
        <is>
          <t>6.3%</t>
        </is>
      </c>
      <c r="I12" s="70" t="inlineStr">
        <is>
          <t>1.86x</t>
        </is>
      </c>
      <c r="M12" s="70" t="inlineStr">
        <is>
          <t>61</t>
        </is>
      </c>
      <c r="Q12" s="70" t="inlineStr">
        <is>
          <t>38</t>
        </is>
      </c>
      <c r="U12" s="70" t="inlineStr">
        <is>
          <t>2</t>
        </is>
      </c>
    </row>
    <row r="13">
      <c r="A13" s="71" t="inlineStr">
        <is>
          <t>daily sales, BFCM wk vs 30 days before (account data actual)</t>
        </is>
      </c>
      <c r="E13" s="71" t="inlineStr">
        <is>
          <t>vs 11.2%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(81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_xlfn.IMAGE("https://m.media-amazon.com/images/I/81E9bvs4TYL.jpg")</f>
        <v/>
      </c>
      <c r="B18" s="39" t="inlineStr">
        <is>
          <t>B08KQHRDDG</t>
        </is>
      </c>
      <c r="C18" s="39" t="inlineStr">
        <is>
          <t>BAMBOO-KING-WHITE</t>
        </is>
      </c>
      <c r="D18" s="39" t="inlineStr">
        <is>
          <t>DECOLURE 100% Viscose from Bamboo Sheets King Size | 4 Pc Cooling Bed Set</t>
        </is>
      </c>
      <c r="E18" s="39" t="inlineStr">
        <is>
          <t>King</t>
        </is>
      </c>
      <c r="F18" s="39" t="inlineStr">
        <is>
          <t>White</t>
        </is>
      </c>
      <c r="G18" s="73" t="n">
        <v>94.98999999999999</v>
      </c>
      <c r="H18" s="39" t="inlineStr">
        <is>
          <t>catalog price, 2026-10-13</t>
        </is>
      </c>
      <c r="I18" s="74" t="n">
        <v>79.98999999999999</v>
      </c>
      <c r="J18" s="75" t="inlineStr">
        <is>
          <t>2026-03-30</t>
        </is>
      </c>
      <c r="K18" s="40" t="n">
        <v>30.66999999999999</v>
      </c>
      <c r="L18" s="76" t="n">
        <v>0.3834229278659832</v>
      </c>
      <c r="M18" s="77" t="n">
        <v>198</v>
      </c>
      <c r="N18" s="39" t="inlineStr">
        <is>
          <t>Active</t>
        </is>
      </c>
      <c r="O18" s="39" t="inlineStr">
        <is>
          <t>Yes (43%)</t>
        </is>
      </c>
      <c r="P18" s="78" t="n">
        <v>4.5</v>
      </c>
      <c r="Q18" s="77" t="n">
        <v>5972</v>
      </c>
      <c r="R18" s="77" t="n">
        <v>19668</v>
      </c>
      <c r="S18" s="77" t="n">
        <v>214</v>
      </c>
      <c r="T18" s="39" t="n"/>
    </row>
    <row r="19" ht="62" customHeight="1">
      <c r="A19" s="12">
        <f>_xlfn.IMAGE("https://m.media-amazon.com/images/I/81E9bvs4TYL.jpg")</f>
        <v/>
      </c>
      <c r="B19" s="39" t="inlineStr">
        <is>
          <t>B08KQJGM74</t>
        </is>
      </c>
      <c r="C19" s="39" t="inlineStr">
        <is>
          <t>BAMBOO-QUEEN-WHITE</t>
        </is>
      </c>
      <c r="D19" s="39" t="inlineStr">
        <is>
          <t>DECOLURE 100% Viscose from Bamboo Sheets Queen Size | 4 Pc Cooling Bed Set</t>
        </is>
      </c>
      <c r="E19" s="39" t="inlineStr">
        <is>
          <t>Queen</t>
        </is>
      </c>
      <c r="F19" s="39" t="inlineStr">
        <is>
          <t>White</t>
        </is>
      </c>
      <c r="G19" s="73" t="n">
        <v>89.98999999999999</v>
      </c>
      <c r="H19" s="39" t="inlineStr">
        <is>
          <t>catalog price, 2026-10-13</t>
        </is>
      </c>
      <c r="I19" s="74" t="n">
        <v>74.98999999999999</v>
      </c>
      <c r="J19" s="75" t="inlineStr">
        <is>
          <t>2026-03-26</t>
        </is>
      </c>
      <c r="K19" s="40" t="n">
        <v>31.23</v>
      </c>
      <c r="L19" s="76" t="n">
        <v>0.4164555274036538</v>
      </c>
      <c r="M19" s="77" t="n">
        <v>110</v>
      </c>
      <c r="N19" s="39" t="inlineStr">
        <is>
          <t>Active</t>
        </is>
      </c>
      <c r="O19" s="39" t="inlineStr">
        <is>
          <t>Yes (14%)</t>
        </is>
      </c>
      <c r="P19" s="78" t="n">
        <v>4.5</v>
      </c>
      <c r="Q19" s="77" t="n">
        <v>5972</v>
      </c>
      <c r="R19" s="77" t="n">
        <v>19665</v>
      </c>
      <c r="S19" s="77" t="n">
        <v>118</v>
      </c>
      <c r="T19" s="39" t="n"/>
    </row>
    <row r="20" ht="62" customHeight="1">
      <c r="A20" s="12">
        <f>_xlfn.IMAGE("https://m.media-amazon.com/images/I/81Jrmiuxy2L.jpg")</f>
        <v/>
      </c>
      <c r="B20" s="39" t="inlineStr">
        <is>
          <t>B08KQK9WCY</t>
        </is>
      </c>
      <c r="C20" s="39" t="inlineStr">
        <is>
          <t>BAMBOO-KING-NAVYBLUE</t>
        </is>
      </c>
      <c r="D20" s="39" t="inlineStr">
        <is>
          <t>DECOLURE 100% Viscose from Bamboo Sheets King Size | 4 Pc Cooling Bed Set</t>
        </is>
      </c>
      <c r="E20" s="39" t="inlineStr">
        <is>
          <t>King</t>
        </is>
      </c>
      <c r="F20" s="39" t="inlineStr">
        <is>
          <t>Navy Blue</t>
        </is>
      </c>
      <c r="G20" s="73" t="n">
        <v>94.98999999999999</v>
      </c>
      <c r="H20" s="39" t="inlineStr">
        <is>
          <t>catalog price, 2026-10-13</t>
        </is>
      </c>
      <c r="I20" s="74" t="n">
        <v>79.98999999999999</v>
      </c>
      <c r="J20" s="75" t="inlineStr">
        <is>
          <t>2026-03-30</t>
        </is>
      </c>
      <c r="K20" s="40" t="n">
        <v>31.46999999999999</v>
      </c>
      <c r="L20" s="76" t="n">
        <v>0.3934241780222527</v>
      </c>
      <c r="M20" s="77" t="n">
        <v>96</v>
      </c>
      <c r="N20" s="39" t="inlineStr">
        <is>
          <t>Active</t>
        </is>
      </c>
      <c r="O20" s="39" t="inlineStr">
        <is>
          <t>Yes (6%)</t>
        </is>
      </c>
      <c r="P20" s="78" t="n">
        <v>4.5</v>
      </c>
      <c r="Q20" s="77" t="n">
        <v>5972</v>
      </c>
      <c r="R20" s="77" t="n">
        <v>19668</v>
      </c>
      <c r="S20" s="77" t="n">
        <v>82</v>
      </c>
      <c r="T20" s="39" t="n"/>
    </row>
    <row r="21" ht="62" customHeight="1">
      <c r="A21" s="12">
        <f>_xlfn.IMAGE("https://m.media-amazon.com/images/I/81jtUZ9WZqL.jpg")</f>
        <v/>
      </c>
      <c r="B21" s="39" t="inlineStr">
        <is>
          <t>B08KQJ62YC</t>
        </is>
      </c>
      <c r="C21" s="39" t="inlineStr">
        <is>
          <t>BAMBOO-KING-CREME</t>
        </is>
      </c>
      <c r="D21" s="39" t="inlineStr">
        <is>
          <t>DECOLURE 100% Viscose from Bamboo Sheets King Size | 4 Pc Cooling Bed Set</t>
        </is>
      </c>
      <c r="E21" s="39" t="inlineStr">
        <is>
          <t>King</t>
        </is>
      </c>
      <c r="F21" s="39" t="inlineStr">
        <is>
          <t>Creme</t>
        </is>
      </c>
      <c r="G21" s="73" t="n">
        <v>94.98999999999999</v>
      </c>
      <c r="H21" s="39" t="inlineStr">
        <is>
          <t>catalog price, 2026-10-13</t>
        </is>
      </c>
      <c r="I21" s="74" t="n">
        <v>79.98999999999999</v>
      </c>
      <c r="J21" s="75" t="inlineStr">
        <is>
          <t>2026-03-30</t>
        </is>
      </c>
      <c r="K21" s="40" t="n">
        <v>30.56999999999999</v>
      </c>
      <c r="L21" s="76" t="n">
        <v>0.3821727715964495</v>
      </c>
      <c r="M21" s="77" t="n">
        <v>91</v>
      </c>
      <c r="N21" s="39" t="inlineStr">
        <is>
          <t>Active</t>
        </is>
      </c>
      <c r="O21" s="39" t="inlineStr">
        <is>
          <t>Yes (4%)</t>
        </is>
      </c>
      <c r="P21" s="78" t="n">
        <v>4.5</v>
      </c>
      <c r="Q21" s="77" t="n">
        <v>5972</v>
      </c>
      <c r="R21" s="77" t="n">
        <v>19668</v>
      </c>
      <c r="S21" s="77" t="n">
        <v>88</v>
      </c>
      <c r="T21" s="39" t="n"/>
    </row>
    <row r="22" ht="62" customHeight="1">
      <c r="A22" s="12">
        <f>_xlfn.IMAGE("https://m.media-amazon.com/images/I/81Mz595QL2L.jpg")</f>
        <v/>
      </c>
      <c r="B22" s="39" t="inlineStr">
        <is>
          <t>B08KQJ3M9N</t>
        </is>
      </c>
      <c r="C22" s="39" t="inlineStr">
        <is>
          <t>BAMBOO-KING-LIGHTGREY</t>
        </is>
      </c>
      <c r="D22" s="39" t="inlineStr">
        <is>
          <t>DECOLURE 100% Viscose from Bamboo Sheets King Size | 4 Pc Cooling Bed Set</t>
        </is>
      </c>
      <c r="E22" s="39" t="inlineStr">
        <is>
          <t>King</t>
        </is>
      </c>
      <c r="F22" s="39" t="inlineStr">
        <is>
          <t>Light Grey</t>
        </is>
      </c>
      <c r="G22" s="73" t="n">
        <v>94.98999999999999</v>
      </c>
      <c r="H22" s="39" t="inlineStr">
        <is>
          <t>catalog price, 2026-10-13</t>
        </is>
      </c>
      <c r="I22" s="74" t="n">
        <v>84.98999999999999</v>
      </c>
      <c r="J22" s="75" t="inlineStr">
        <is>
          <t>2026-03-30</t>
        </is>
      </c>
      <c r="K22" s="40" t="n">
        <v>34.66</v>
      </c>
      <c r="L22" s="76" t="n">
        <v>0.4078126838451583</v>
      </c>
      <c r="M22" s="77" t="n">
        <v>80</v>
      </c>
      <c r="N22" s="39" t="inlineStr">
        <is>
          <t>Active</t>
        </is>
      </c>
      <c r="O22" s="39" t="n"/>
      <c r="P22" s="78" t="n">
        <v>4.5</v>
      </c>
      <c r="Q22" s="77" t="n">
        <v>5972</v>
      </c>
      <c r="R22" s="77" t="n">
        <v>19665</v>
      </c>
      <c r="S22" s="77" t="n">
        <v>85</v>
      </c>
      <c r="T22" s="39" t="n"/>
    </row>
    <row r="23" ht="62" customHeight="1">
      <c r="A23" s="12">
        <f>_xlfn.IMAGE("https://m.media-amazon.com/images/I/81kW25KnIDL.jpg")</f>
        <v/>
      </c>
      <c r="B23" s="39" t="inlineStr">
        <is>
          <t>B0CRHYYVZQ</t>
        </is>
      </c>
      <c r="C23" s="39" t="inlineStr">
        <is>
          <t>BAMBOO-KING-BURGUNDY-NEW</t>
        </is>
      </c>
      <c r="D23" s="39" t="inlineStr">
        <is>
          <t>DECOLURE 100% Viscose from Bamboo Sheets King Size | 4 Pc Cooling Bed Set</t>
        </is>
      </c>
      <c r="E23" s="39" t="inlineStr">
        <is>
          <t>King</t>
        </is>
      </c>
      <c r="F23" s="39" t="inlineStr">
        <is>
          <t>Burgundy</t>
        </is>
      </c>
      <c r="G23" s="73" t="n">
        <v>103.99</v>
      </c>
      <c r="H23" s="39" t="inlineStr">
        <is>
          <t>catalog price, 2026-10-13</t>
        </is>
      </c>
      <c r="I23" s="74" t="n">
        <v>84.98999999999999</v>
      </c>
      <c r="J23" s="75" t="inlineStr">
        <is>
          <t>2026-03-30</t>
        </is>
      </c>
      <c r="K23" s="40" t="n">
        <v>35.24999999999999</v>
      </c>
      <c r="L23" s="76" t="n">
        <v>0.4147546770208259</v>
      </c>
      <c r="M23" s="77" t="n">
        <v>71</v>
      </c>
      <c r="N23" s="39" t="inlineStr">
        <is>
          <t>Active</t>
        </is>
      </c>
      <c r="O23" s="39" t="n"/>
      <c r="P23" s="78" t="n">
        <v>4.5</v>
      </c>
      <c r="Q23" s="77" t="n">
        <v>5972</v>
      </c>
      <c r="R23" s="77" t="n">
        <v>19668</v>
      </c>
      <c r="S23" s="77" t="n">
        <v>86</v>
      </c>
      <c r="T23" s="39" t="n"/>
    </row>
    <row r="24" ht="62" customHeight="1">
      <c r="A24" s="12">
        <f>_xlfn.IMAGE("https://m.media-amazon.com/images/I/81xihWts51L.jpg")</f>
        <v/>
      </c>
      <c r="B24" s="39" t="inlineStr">
        <is>
          <t>B08KQJRSW6</t>
        </is>
      </c>
      <c r="C24" s="39" t="inlineStr">
        <is>
          <t>BAMBOO-QUEEN-OLIVE</t>
        </is>
      </c>
      <c r="D24" s="39" t="inlineStr">
        <is>
          <t>DECOLURE 100% Viscose from Bamboo Sheets Queen Size | 4 Pc Cooling Bed Set</t>
        </is>
      </c>
      <c r="E24" s="39" t="inlineStr">
        <is>
          <t>Queen</t>
        </is>
      </c>
      <c r="F24" s="39" t="inlineStr">
        <is>
          <t>Olive</t>
        </is>
      </c>
      <c r="G24" s="73" t="n">
        <v>89.98999999999999</v>
      </c>
      <c r="H24" s="39" t="inlineStr">
        <is>
          <t>catalog price, 2026-10-13</t>
        </is>
      </c>
      <c r="I24" s="74" t="n">
        <v>79.98999999999999</v>
      </c>
      <c r="J24" s="75" t="inlineStr">
        <is>
          <t>2026-03-30</t>
        </is>
      </c>
      <c r="K24" s="40" t="n">
        <v>35.17999999999999</v>
      </c>
      <c r="L24" s="76" t="n">
        <v>0.4398049756219527</v>
      </c>
      <c r="M24" s="77" t="n">
        <v>67</v>
      </c>
      <c r="N24" s="39" t="inlineStr">
        <is>
          <t>Active</t>
        </is>
      </c>
      <c r="O24" s="39" t="inlineStr">
        <is>
          <t>Yes (3%)</t>
        </is>
      </c>
      <c r="P24" s="78" t="n">
        <v>4.5</v>
      </c>
      <c r="Q24" s="77" t="n">
        <v>5972</v>
      </c>
      <c r="R24" s="77" t="n">
        <v>19665</v>
      </c>
      <c r="S24" s="77" t="n">
        <v>41</v>
      </c>
      <c r="T24" s="39" t="n"/>
    </row>
    <row r="25" ht="62" customHeight="1">
      <c r="A25" s="12">
        <f>_xlfn.IMAGE("https://m.media-amazon.com/images/I/81Jj2qvOarL.jpg")</f>
        <v/>
      </c>
      <c r="B25" s="39" t="inlineStr">
        <is>
          <t>B08KQKXQLS</t>
        </is>
      </c>
      <c r="C25" s="39" t="inlineStr">
        <is>
          <t>BAMBOO-QUEEN-LIGHTBLUE</t>
        </is>
      </c>
      <c r="D25" s="39" t="inlineStr">
        <is>
          <t>DECOLURE 100% Viscose from Bamboo Sheets Queen Size | 4 Pc Cooling Bed Set</t>
        </is>
      </c>
      <c r="E25" s="39" t="inlineStr">
        <is>
          <t>Queen</t>
        </is>
      </c>
      <c r="F25" s="39" t="inlineStr">
        <is>
          <t>Light Blue</t>
        </is>
      </c>
      <c r="G25" s="73" t="n">
        <v>89.98999999999999</v>
      </c>
      <c r="H25" s="39" t="inlineStr">
        <is>
          <t>catalog price, 2026-10-13</t>
        </is>
      </c>
      <c r="I25" s="74" t="n">
        <v>79.98999999999999</v>
      </c>
      <c r="J25" s="75" t="inlineStr">
        <is>
          <t>2026-03-30</t>
        </is>
      </c>
      <c r="K25" s="40" t="n">
        <v>35.86</v>
      </c>
      <c r="L25" s="76" t="n">
        <v>0.4483060382547819</v>
      </c>
      <c r="M25" s="77" t="n">
        <v>65</v>
      </c>
      <c r="N25" s="39" t="inlineStr">
        <is>
          <t>Active</t>
        </is>
      </c>
      <c r="O25" s="39" t="n"/>
      <c r="P25" s="78" t="n">
        <v>4.5</v>
      </c>
      <c r="Q25" s="77" t="n">
        <v>5972</v>
      </c>
      <c r="R25" s="77" t="n">
        <v>19668</v>
      </c>
      <c r="S25" s="77" t="n">
        <v>71</v>
      </c>
      <c r="T25" s="39" t="n"/>
    </row>
    <row r="26" ht="62" customHeight="1">
      <c r="A26" s="12">
        <f>_xlfn.IMAGE("https://m.media-amazon.com/images/I/81xihWts51L.jpg")</f>
        <v/>
      </c>
      <c r="B26" s="39" t="inlineStr">
        <is>
          <t>B08KQLK2HK</t>
        </is>
      </c>
      <c r="C26" s="39" t="inlineStr">
        <is>
          <t>BAMBOO-KING-OLIVE</t>
        </is>
      </c>
      <c r="D26" s="39" t="inlineStr">
        <is>
          <t>DECOLURE 100% Viscose from Bamboo Sheets King Size | 4 Pc Cooling Bed Set</t>
        </is>
      </c>
      <c r="E26" s="39" t="inlineStr">
        <is>
          <t>King</t>
        </is>
      </c>
      <c r="F26" s="39" t="inlineStr">
        <is>
          <t>Olive</t>
        </is>
      </c>
      <c r="G26" s="73" t="n">
        <v>94.98999999999999</v>
      </c>
      <c r="H26" s="39" t="inlineStr">
        <is>
          <t>catalog price, 2026-10-13</t>
        </is>
      </c>
      <c r="I26" s="74" t="n">
        <v>84.98999999999999</v>
      </c>
      <c r="J26" s="75" t="inlineStr">
        <is>
          <t>2026-03-30</t>
        </is>
      </c>
      <c r="K26" s="40" t="n">
        <v>35.25999999999999</v>
      </c>
      <c r="L26" s="76" t="n">
        <v>0.4148723379221084</v>
      </c>
      <c r="M26" s="77" t="n">
        <v>62</v>
      </c>
      <c r="N26" s="39" t="inlineStr">
        <is>
          <t>Active</t>
        </is>
      </c>
      <c r="O26" s="39" t="n"/>
      <c r="P26" s="78" t="n">
        <v>4.5</v>
      </c>
      <c r="Q26" s="77" t="n">
        <v>5972</v>
      </c>
      <c r="R26" s="77" t="n">
        <v>19668</v>
      </c>
      <c r="S26" s="77" t="n">
        <v>74</v>
      </c>
      <c r="T26" s="39" t="n"/>
    </row>
    <row r="27" ht="62" customHeight="1">
      <c r="A27" s="12">
        <f>_xlfn.IMAGE("https://m.media-amazon.com/images/I/81Jrmiuxy2L.jpg")</f>
        <v/>
      </c>
      <c r="B27" s="39" t="inlineStr">
        <is>
          <t>B08KQKKRNC</t>
        </is>
      </c>
      <c r="C27" s="39" t="inlineStr">
        <is>
          <t>BAMBOO-QUEEN-NAVYBLUE</t>
        </is>
      </c>
      <c r="D27" s="39" t="inlineStr">
        <is>
          <t>DECOLURE 100% Viscose from Bamboo Sheets Queen Size | 4 Pc Cooling Bed Set</t>
        </is>
      </c>
      <c r="E27" s="39" t="inlineStr">
        <is>
          <t>Queen</t>
        </is>
      </c>
      <c r="F27" s="39" t="inlineStr">
        <is>
          <t>Navy Blue</t>
        </is>
      </c>
      <c r="G27" s="73" t="n">
        <v>89.98999999999999</v>
      </c>
      <c r="H27" s="39" t="inlineStr">
        <is>
          <t>catalog price, 2026-10-13</t>
        </is>
      </c>
      <c r="I27" s="74" t="n">
        <v>100.99</v>
      </c>
      <c r="J27" s="75" t="inlineStr">
        <is>
          <t>2026-03-30</t>
        </is>
      </c>
      <c r="K27" s="40" t="n">
        <v>53.73999999999998</v>
      </c>
      <c r="L27" s="76" t="n">
        <v>0.532131894246955</v>
      </c>
      <c r="M27" s="77" t="n">
        <v>61</v>
      </c>
      <c r="N27" s="39" t="inlineStr">
        <is>
          <t>Active</t>
        </is>
      </c>
      <c r="O27" s="39" t="n"/>
      <c r="P27" s="78" t="n">
        <v>4.5</v>
      </c>
      <c r="Q27" s="77" t="n">
        <v>5972</v>
      </c>
      <c r="R27" s="77" t="n">
        <v>19665</v>
      </c>
      <c r="S27" s="77" t="n">
        <v>64</v>
      </c>
      <c r="T27" s="39" t="n"/>
    </row>
    <row r="28" ht="62" customHeight="1">
      <c r="A28" s="12">
        <f>_xlfn.IMAGE("https://m.media-amazon.com/images/I/81Jj2qvOarL.jpg")</f>
        <v/>
      </c>
      <c r="B28" s="39" t="inlineStr">
        <is>
          <t>B08KQL6HKG</t>
        </is>
      </c>
      <c r="C28" s="39" t="inlineStr">
        <is>
          <t>BAMBOO-KING-LIGHTBLUE</t>
        </is>
      </c>
      <c r="D28" s="39" t="inlineStr">
        <is>
          <t>DECOLURE 100% Viscose from Bamboo Sheets King Size | 4 Pc Cooling Bed Set</t>
        </is>
      </c>
      <c r="E28" s="39" t="inlineStr">
        <is>
          <t>King</t>
        </is>
      </c>
      <c r="F28" s="39" t="inlineStr">
        <is>
          <t>Light Blue</t>
        </is>
      </c>
      <c r="G28" s="73" t="n">
        <v>94.98999999999999</v>
      </c>
      <c r="H28" s="39" t="inlineStr">
        <is>
          <t>catalog price, 2026-10-13</t>
        </is>
      </c>
      <c r="I28" s="74" t="n">
        <v>84.98999999999999</v>
      </c>
      <c r="J28" s="75" t="inlineStr">
        <is>
          <t>2026-03-30</t>
        </is>
      </c>
      <c r="K28" s="40" t="n">
        <v>35.73999999999999</v>
      </c>
      <c r="L28" s="76" t="n">
        <v>0.4205200611836686</v>
      </c>
      <c r="M28" s="77" t="n">
        <v>58</v>
      </c>
      <c r="N28" s="39" t="inlineStr">
        <is>
          <t>Active</t>
        </is>
      </c>
      <c r="O28" s="39" t="n"/>
      <c r="P28" s="78" t="n">
        <v>4.5</v>
      </c>
      <c r="Q28" s="77" t="n">
        <v>5972</v>
      </c>
      <c r="R28" s="77" t="n">
        <v>19668</v>
      </c>
      <c r="S28" s="77" t="n">
        <v>68</v>
      </c>
      <c r="T28" s="39" t="n"/>
    </row>
    <row r="29" ht="62" customHeight="1">
      <c r="A29" s="12">
        <f>_xlfn.IMAGE("https://m.media-amazon.com/images/I/81bmbyz5uFL.jpg")</f>
        <v/>
      </c>
      <c r="B29" s="39" t="inlineStr">
        <is>
          <t>B08KQJMZ8Q</t>
        </is>
      </c>
      <c r="C29" s="39" t="inlineStr">
        <is>
          <t>BAMBOO-QUEEN-TAUPE</t>
        </is>
      </c>
      <c r="D29" s="39" t="inlineStr">
        <is>
          <t>DECOLURE 100% Viscose from Bamboo Sheets Queen Size | 4 Pc Cooling Bed Set</t>
        </is>
      </c>
      <c r="E29" s="39" t="inlineStr">
        <is>
          <t>Queen</t>
        </is>
      </c>
      <c r="F29" s="39" t="inlineStr">
        <is>
          <t>Taupe</t>
        </is>
      </c>
      <c r="G29" s="73" t="n">
        <v>89.98999999999999</v>
      </c>
      <c r="H29" s="39" t="inlineStr">
        <is>
          <t>catalog price, 2026-10-13</t>
        </is>
      </c>
      <c r="I29" s="74" t="n">
        <v>74.98999999999999</v>
      </c>
      <c r="J29" s="75" t="inlineStr">
        <is>
          <t>2026-03-30</t>
        </is>
      </c>
      <c r="K29" s="40" t="n">
        <v>32.23</v>
      </c>
      <c r="L29" s="76" t="n">
        <v>0.4297906387518335</v>
      </c>
      <c r="M29" s="77" t="n">
        <v>57</v>
      </c>
      <c r="N29" s="39" t="inlineStr">
        <is>
          <t>Active</t>
        </is>
      </c>
      <c r="O29" s="39" t="n"/>
      <c r="P29" s="78" t="n">
        <v>4.5</v>
      </c>
      <c r="Q29" s="77" t="n">
        <v>5972</v>
      </c>
      <c r="R29" s="77" t="n">
        <v>19665</v>
      </c>
      <c r="S29" s="77" t="n">
        <v>70</v>
      </c>
      <c r="T29" s="39" t="n"/>
    </row>
    <row r="30" ht="62" customHeight="1">
      <c r="A30" s="12">
        <f>_xlfn.IMAGE("https://m.media-amazon.com/images/I/81kW25KnIDL.jpg")</f>
        <v/>
      </c>
      <c r="B30" s="39" t="inlineStr">
        <is>
          <t>B0CRHZ1CK3</t>
        </is>
      </c>
      <c r="C30" s="39" t="inlineStr">
        <is>
          <t>BAMBOO-QUEEN-BURGUNDY-NEW</t>
        </is>
      </c>
      <c r="D30" s="39" t="inlineStr">
        <is>
          <t>DECOLURE 100% Viscose from Bamboo Sheets Queen Size | 4 Pc Cooling Bed Set</t>
        </is>
      </c>
      <c r="E30" s="39" t="inlineStr">
        <is>
          <t>Queen</t>
        </is>
      </c>
      <c r="F30" s="39" t="inlineStr">
        <is>
          <t>Burgundy</t>
        </is>
      </c>
      <c r="G30" s="73" t="n">
        <v>89.98999999999999</v>
      </c>
      <c r="H30" s="39" t="inlineStr">
        <is>
          <t>catalog price, 2026-10-13</t>
        </is>
      </c>
      <c r="I30" s="74" t="n">
        <v>74.98999999999999</v>
      </c>
      <c r="J30" s="75" t="inlineStr">
        <is>
          <t>2026-03-30</t>
        </is>
      </c>
      <c r="K30" s="40" t="n">
        <v>31.28</v>
      </c>
      <c r="L30" s="76" t="n">
        <v>0.4171222829710628</v>
      </c>
      <c r="M30" s="77" t="n">
        <v>51</v>
      </c>
      <c r="N30" s="39" t="inlineStr">
        <is>
          <t>Active</t>
        </is>
      </c>
      <c r="O30" s="39" t="n"/>
      <c r="P30" s="78" t="n">
        <v>4.5</v>
      </c>
      <c r="Q30" s="77" t="n">
        <v>5972</v>
      </c>
      <c r="R30" s="77" t="n">
        <v>19665</v>
      </c>
      <c r="S30" s="77" t="n">
        <v>25</v>
      </c>
      <c r="T30" s="39" t="n"/>
    </row>
    <row r="31" ht="62" customHeight="1">
      <c r="A31" s="12">
        <f>_xlfn.IMAGE("https://m.media-amazon.com/images/I/81aBlh93veL.jpg")</f>
        <v/>
      </c>
      <c r="B31" s="39" t="inlineStr">
        <is>
          <t>B0BZQ18QJB</t>
        </is>
      </c>
      <c r="C31" s="39" t="inlineStr">
        <is>
          <t>BAMBOO-QUEEN-MIDGREY</t>
        </is>
      </c>
      <c r="D31" s="39" t="inlineStr">
        <is>
          <t>DECOLURE 100% Viscose from Bamboo Sheets Queen Size | 4 Pc Cooling Bed Set</t>
        </is>
      </c>
      <c r="E31" s="39" t="inlineStr">
        <is>
          <t>Queen</t>
        </is>
      </c>
      <c r="F31" s="39" t="inlineStr">
        <is>
          <t>Midgrey</t>
        </is>
      </c>
      <c r="G31" s="73" t="n">
        <v>89.98999999999999</v>
      </c>
      <c r="H31" s="39" t="inlineStr">
        <is>
          <t>catalog price, 2026-10-13</t>
        </is>
      </c>
      <c r="I31" s="74" t="n">
        <v>79.98999999999999</v>
      </c>
      <c r="J31" s="75" t="inlineStr">
        <is>
          <t>2026-03-30</t>
        </is>
      </c>
      <c r="K31" s="40" t="n">
        <v>35.81</v>
      </c>
      <c r="L31" s="76" t="n">
        <v>0.4476809601200151</v>
      </c>
      <c r="M31" s="77" t="n">
        <v>48</v>
      </c>
      <c r="N31" s="39" t="inlineStr">
        <is>
          <t>Active</t>
        </is>
      </c>
      <c r="O31" s="39" t="n"/>
      <c r="P31" s="78" t="n">
        <v>4.5</v>
      </c>
      <c r="Q31" s="77" t="n">
        <v>5972</v>
      </c>
      <c r="R31" s="77" t="n">
        <v>19665</v>
      </c>
      <c r="S31" s="77" t="n">
        <v>23</v>
      </c>
      <c r="T31" s="39" t="n"/>
    </row>
    <row r="32" ht="62" customHeight="1">
      <c r="A32" s="12">
        <f>_xlfn.IMAGE("https://m.media-amazon.com/images/I/81mgYawt2DL.jpg")</f>
        <v/>
      </c>
      <c r="B32" s="39" t="inlineStr">
        <is>
          <t>B0BZPZ2L1R</t>
        </is>
      </c>
      <c r="C32" s="39" t="inlineStr">
        <is>
          <t>BAMBOO-KING-BLACK</t>
        </is>
      </c>
      <c r="D32" s="39" t="inlineStr">
        <is>
          <t>DECOLURE 100% Viscose from Bamboo Sheets King Size | 4 Pc Cooling Bed Set</t>
        </is>
      </c>
      <c r="E32" s="39" t="inlineStr">
        <is>
          <t>King</t>
        </is>
      </c>
      <c r="F32" s="39" t="inlineStr">
        <is>
          <t>Black</t>
        </is>
      </c>
      <c r="G32" s="73" t="n">
        <v>94.98999999999999</v>
      </c>
      <c r="H32" s="39" t="inlineStr">
        <is>
          <t>catalog price, 2026-10-13</t>
        </is>
      </c>
      <c r="I32" s="74" t="n">
        <v>84.98999999999999</v>
      </c>
      <c r="J32" s="75" t="inlineStr">
        <is>
          <t>2026-03-30</t>
        </is>
      </c>
      <c r="K32" s="40" t="n">
        <v>34.61999999999999</v>
      </c>
      <c r="L32" s="76" t="n">
        <v>0.4073420402400281</v>
      </c>
      <c r="M32" s="77" t="n">
        <v>47</v>
      </c>
      <c r="N32" s="39" t="inlineStr">
        <is>
          <t>Active</t>
        </is>
      </c>
      <c r="O32" s="39" t="n"/>
      <c r="P32" s="78" t="n">
        <v>4.5</v>
      </c>
      <c r="Q32" s="77" t="n">
        <v>5972</v>
      </c>
      <c r="R32" s="77" t="n">
        <v>19665</v>
      </c>
      <c r="S32" s="77" t="n">
        <v>40</v>
      </c>
      <c r="T32" s="39" t="n"/>
    </row>
    <row r="33" ht="62" customHeight="1">
      <c r="A33" s="12">
        <f>_xlfn.IMAGE("https://m.media-amazon.com/images/I/81jtUZ9WZqL.jpg")</f>
        <v/>
      </c>
      <c r="B33" s="39" t="inlineStr">
        <is>
          <t>B08KQK91X7</t>
        </is>
      </c>
      <c r="C33" s="39" t="inlineStr">
        <is>
          <t>BAMBOO-QUEEN-CREME</t>
        </is>
      </c>
      <c r="D33" s="39" t="inlineStr">
        <is>
          <t>DECOLURE 100% Viscose from Bamboo Sheets Queen Size | 4 Pc Cooling Bed Set</t>
        </is>
      </c>
      <c r="E33" s="39" t="inlineStr">
        <is>
          <t>Queen</t>
        </is>
      </c>
      <c r="F33" s="39" t="inlineStr">
        <is>
          <t>Creme</t>
        </is>
      </c>
      <c r="G33" s="73" t="n">
        <v>89.98999999999999</v>
      </c>
      <c r="H33" s="39" t="inlineStr">
        <is>
          <t>catalog price, 2026-10-13</t>
        </is>
      </c>
      <c r="I33" s="74" t="n">
        <v>79.98999999999999</v>
      </c>
      <c r="J33" s="75" t="inlineStr">
        <is>
          <t>2026-03-30</t>
        </is>
      </c>
      <c r="K33" s="40" t="n">
        <v>35.38</v>
      </c>
      <c r="L33" s="76" t="n">
        <v>0.4423052881610201</v>
      </c>
      <c r="M33" s="77" t="n">
        <v>45</v>
      </c>
      <c r="N33" s="39" t="inlineStr">
        <is>
          <t>Active</t>
        </is>
      </c>
      <c r="O33" s="39" t="n"/>
      <c r="P33" s="78" t="n">
        <v>4.5</v>
      </c>
      <c r="Q33" s="77" t="n">
        <v>5972</v>
      </c>
      <c r="R33" s="77" t="n">
        <v>19665</v>
      </c>
      <c r="S33" s="77" t="n">
        <v>73</v>
      </c>
      <c r="T33" s="39" t="n"/>
    </row>
    <row r="34" ht="62" customHeight="1">
      <c r="A34" s="12">
        <f>_xlfn.IMAGE("https://m.media-amazon.com/images/I/81T+gwobemL.jpg")</f>
        <v/>
      </c>
      <c r="B34" s="39" t="inlineStr">
        <is>
          <t>B0CLKJL9KD</t>
        </is>
      </c>
      <c r="C34" s="39" t="inlineStr">
        <is>
          <t>BAMBOO-QUEEN-SAGE GREEN</t>
        </is>
      </c>
      <c r="D34" s="39" t="inlineStr">
        <is>
          <t>DECOLURE 100% Viscose from Bamboo Sheets Queen Size | 4 Pc Cooling Bed Set</t>
        </is>
      </c>
      <c r="E34" s="39" t="inlineStr">
        <is>
          <t>Queen</t>
        </is>
      </c>
      <c r="F34" s="39" t="inlineStr">
        <is>
          <t>Sage Green</t>
        </is>
      </c>
      <c r="G34" s="73" t="n">
        <v>89.98999999999999</v>
      </c>
      <c r="H34" s="39" t="inlineStr">
        <is>
          <t>catalog price, 2026-10-13</t>
        </is>
      </c>
      <c r="I34" s="40" t="n"/>
      <c r="J34" s="39" t="n"/>
      <c r="K34" s="40" t="n"/>
      <c r="L34" s="76" t="n"/>
      <c r="M34" s="77" t="n">
        <v>30</v>
      </c>
      <c r="N34" s="39" t="inlineStr">
        <is>
          <t>Active</t>
        </is>
      </c>
      <c r="O34" s="39" t="n"/>
      <c r="P34" s="78" t="n">
        <v>4.5</v>
      </c>
      <c r="Q34" s="77" t="n">
        <v>5972</v>
      </c>
      <c r="R34" s="77" t="n">
        <v>19665</v>
      </c>
      <c r="S34" s="77" t="n">
        <v>11</v>
      </c>
      <c r="T34" s="39" t="n"/>
    </row>
    <row r="35" ht="62" customHeight="1">
      <c r="A35" s="12">
        <f>_xlfn.IMAGE("https://m.media-amazon.com/images/I/81nhzUehPUL.jpg")</f>
        <v/>
      </c>
      <c r="B35" s="39" t="inlineStr">
        <is>
          <t>B08KQKBM4Q</t>
        </is>
      </c>
      <c r="C35" s="39" t="inlineStr">
        <is>
          <t>BAMBOO-TWIN-WHITE</t>
        </is>
      </c>
      <c r="D35" s="39" t="inlineStr">
        <is>
          <t>DECOLURE 100% Viscose from Bamboo Sheets Twin Size | 3 Pc Cooling Bed Set</t>
        </is>
      </c>
      <c r="E35" s="39" t="inlineStr">
        <is>
          <t>Twin</t>
        </is>
      </c>
      <c r="F35" s="39" t="inlineStr">
        <is>
          <t>White</t>
        </is>
      </c>
      <c r="G35" s="73" t="n">
        <v>64.98999999999999</v>
      </c>
      <c r="H35" s="39" t="inlineStr">
        <is>
          <t>catalog price, 2026-10-13</t>
        </is>
      </c>
      <c r="I35" s="74" t="n">
        <v>59.99</v>
      </c>
      <c r="J35" s="75" t="inlineStr">
        <is>
          <t>2026-03-30</t>
        </is>
      </c>
      <c r="K35" s="40" t="n">
        <v>25.01</v>
      </c>
      <c r="L35" s="76" t="n">
        <v>0.4169028171361894</v>
      </c>
      <c r="M35" s="77" t="n">
        <v>30</v>
      </c>
      <c r="N35" s="39" t="inlineStr">
        <is>
          <t>Active</t>
        </is>
      </c>
      <c r="O35" s="39" t="n"/>
      <c r="P35" s="78" t="n">
        <v>4.5</v>
      </c>
      <c r="Q35" s="77" t="n">
        <v>5972</v>
      </c>
      <c r="R35" s="77" t="n">
        <v>19665</v>
      </c>
      <c r="S35" s="77" t="n">
        <v>19</v>
      </c>
      <c r="T35" s="39" t="n"/>
    </row>
    <row r="36" ht="62" customHeight="1">
      <c r="A36" s="12">
        <f>_xlfn.IMAGE("https://m.media-amazon.com/images/I/81xihWts51L.jpg")</f>
        <v/>
      </c>
      <c r="B36" s="39" t="inlineStr">
        <is>
          <t>B08KQJTP39</t>
        </is>
      </c>
      <c r="C36" s="39" t="inlineStr">
        <is>
          <t>BAMBOO-FULL-OLIVE</t>
        </is>
      </c>
      <c r="D36" s="39" t="inlineStr">
        <is>
          <t>DECOLURE 100% Viscose from Bamboo Sheets Full Size | 4 Pc Cooling Bed Set</t>
        </is>
      </c>
      <c r="E36" s="39" t="inlineStr">
        <is>
          <t>Full</t>
        </is>
      </c>
      <c r="F36" s="39" t="inlineStr">
        <is>
          <t>Olive</t>
        </is>
      </c>
      <c r="G36" s="73" t="n">
        <v>74.98999999999999</v>
      </c>
      <c r="H36" s="39" t="inlineStr">
        <is>
          <t>catalog price, 2026-10-13</t>
        </is>
      </c>
      <c r="I36" s="74" t="n">
        <v>64.98999999999999</v>
      </c>
      <c r="J36" s="75" t="inlineStr">
        <is>
          <t>2026-03-30</t>
        </is>
      </c>
      <c r="K36" s="40" t="n">
        <v>25.12999999999999</v>
      </c>
      <c r="L36" s="76" t="n">
        <v>0.3866748730573933</v>
      </c>
      <c r="M36" s="77" t="n">
        <v>29</v>
      </c>
      <c r="N36" s="39" t="inlineStr">
        <is>
          <t>Active</t>
        </is>
      </c>
      <c r="O36" s="39" t="n"/>
      <c r="P36" s="78" t="n">
        <v>4.5</v>
      </c>
      <c r="Q36" s="77" t="n">
        <v>5972</v>
      </c>
      <c r="R36" s="77" t="n">
        <v>19668</v>
      </c>
      <c r="S36" s="77" t="n">
        <v>15</v>
      </c>
      <c r="T36" s="39" t="n"/>
    </row>
    <row r="37" ht="62" customHeight="1">
      <c r="A37" s="12">
        <f>_xlfn.IMAGE("https://m.media-amazon.com/images/I/81jAmePDWeL.jpg")</f>
        <v/>
      </c>
      <c r="B37" s="39" t="inlineStr">
        <is>
          <t>B0BZPZP12L</t>
        </is>
      </c>
      <c r="C37" s="39" t="inlineStr">
        <is>
          <t>BAMBOO-KING-LIGHTOLIVE</t>
        </is>
      </c>
      <c r="D37" s="39" t="inlineStr">
        <is>
          <t>DECOLURE 100% Viscose from Bamboo Sheets King Size | 4 Pc Cooling Bed Set</t>
        </is>
      </c>
      <c r="E37" s="39" t="inlineStr">
        <is>
          <t>King</t>
        </is>
      </c>
      <c r="F37" s="39" t="inlineStr">
        <is>
          <t>Light Olive</t>
        </is>
      </c>
      <c r="G37" s="73" t="n">
        <v>94.98999999999999</v>
      </c>
      <c r="H37" s="39" t="inlineStr">
        <is>
          <t>catalog price, 2026-10-13</t>
        </is>
      </c>
      <c r="I37" s="74" t="n">
        <v>110.99</v>
      </c>
      <c r="J37" s="75" t="inlineStr">
        <is>
          <t>2026-03-30</t>
        </is>
      </c>
      <c r="K37" s="40" t="n">
        <v>57.2</v>
      </c>
      <c r="L37" s="76" t="n">
        <v>0.5153617443012884</v>
      </c>
      <c r="M37" s="77" t="n">
        <v>26</v>
      </c>
      <c r="N37" s="39" t="inlineStr">
        <is>
          <t>Active</t>
        </is>
      </c>
      <c r="O37" s="39" t="n"/>
      <c r="P37" s="78" t="n">
        <v>4.5</v>
      </c>
      <c r="Q37" s="77" t="n">
        <v>5972</v>
      </c>
      <c r="R37" s="77" t="n">
        <v>19665</v>
      </c>
      <c r="S37" s="77" t="n">
        <v>5</v>
      </c>
      <c r="T37" s="39" t="n"/>
    </row>
    <row r="38" ht="62" customHeight="1">
      <c r="A38" s="12">
        <f>_xlfn.IMAGE("https://m.media-amazon.com/images/I/81hxPp-zxnL.jpg")</f>
        <v/>
      </c>
      <c r="B38" s="39" t="inlineStr">
        <is>
          <t>B0CLK9QXX3</t>
        </is>
      </c>
      <c r="C38" s="39" t="inlineStr">
        <is>
          <t>BAMBOO-KING-LIGHT PINK</t>
        </is>
      </c>
      <c r="D38" s="39" t="inlineStr">
        <is>
          <t>DECOLURE 100% Viscose from Bamboo Sheets King Size | 4 Pc Cooling Bed Set</t>
        </is>
      </c>
      <c r="E38" s="39" t="inlineStr">
        <is>
          <t>King</t>
        </is>
      </c>
      <c r="F38" s="39" t="inlineStr">
        <is>
          <t>Light Pink</t>
        </is>
      </c>
      <c r="G38" s="73" t="n">
        <v>94.98999999999999</v>
      </c>
      <c r="H38" s="39" t="inlineStr">
        <is>
          <t>catalog price, 2026-10-13</t>
        </is>
      </c>
      <c r="I38" s="74" t="n">
        <v>106.99</v>
      </c>
      <c r="J38" s="75" t="inlineStr">
        <is>
          <t>2026-02-28</t>
        </is>
      </c>
      <c r="K38" s="40" t="n">
        <v>54.10999999999999</v>
      </c>
      <c r="L38" s="76" t="n">
        <v>0.5057482007664267</v>
      </c>
      <c r="M38" s="77" t="n">
        <v>24</v>
      </c>
      <c r="N38" s="39" t="inlineStr">
        <is>
          <t>Active</t>
        </is>
      </c>
      <c r="O38" s="39" t="n"/>
      <c r="P38" s="78" t="n">
        <v>4.5</v>
      </c>
      <c r="Q38" s="77" t="n">
        <v>5972</v>
      </c>
      <c r="R38" s="77" t="n">
        <v>19668</v>
      </c>
      <c r="S38" s="77" t="n">
        <v>10</v>
      </c>
      <c r="T38" s="39" t="n"/>
    </row>
    <row r="39" ht="62" customHeight="1">
      <c r="A39" s="12">
        <f>_xlfn.IMAGE("https://m.media-amazon.com/images/I/81aBlh93veL.jpg")</f>
        <v/>
      </c>
      <c r="B39" s="39" t="inlineStr">
        <is>
          <t>B0BZQ43D7W</t>
        </is>
      </c>
      <c r="C39" s="39" t="inlineStr">
        <is>
          <t>BAMBOO-FULL-MIDGREY</t>
        </is>
      </c>
      <c r="D39" s="39" t="inlineStr">
        <is>
          <t>DECOLURE 100% Viscose from Bamboo Sheets Full Size | 4 Pc Cooling Bed Set</t>
        </is>
      </c>
      <c r="E39" s="39" t="inlineStr">
        <is>
          <t>Full</t>
        </is>
      </c>
      <c r="F39" s="39" t="inlineStr">
        <is>
          <t>Midgrey</t>
        </is>
      </c>
      <c r="G39" s="73" t="n">
        <v>74.98999999999999</v>
      </c>
      <c r="H39" s="39" t="inlineStr">
        <is>
          <t>catalog price, 2026-10-13</t>
        </is>
      </c>
      <c r="I39" s="74" t="n">
        <v>69.98999999999999</v>
      </c>
      <c r="J39" s="75" t="inlineStr">
        <is>
          <t>2026-03-30</t>
        </is>
      </c>
      <c r="K39" s="40" t="n">
        <v>27.67999999999999</v>
      </c>
      <c r="L39" s="76" t="n">
        <v>0.3954850692956136</v>
      </c>
      <c r="M39" s="77" t="n">
        <v>22</v>
      </c>
      <c r="N39" s="39" t="inlineStr">
        <is>
          <t>Active</t>
        </is>
      </c>
      <c r="O39" s="39" t="n"/>
      <c r="P39" s="78" t="n">
        <v>4.5</v>
      </c>
      <c r="Q39" s="77" t="n">
        <v>5972</v>
      </c>
      <c r="R39" s="77" t="n">
        <v>19665</v>
      </c>
      <c r="S39" s="77" t="n">
        <v>12</v>
      </c>
      <c r="T39" s="39" t="n"/>
    </row>
    <row r="40" ht="62" customHeight="1">
      <c r="A40" s="12">
        <f>_xlfn.IMAGE("https://m.media-amazon.com/images/I/81YWxJJr8JL.jpg")</f>
        <v/>
      </c>
      <c r="B40" s="39" t="inlineStr">
        <is>
          <t>B0BZQ1JFM7</t>
        </is>
      </c>
      <c r="C40" s="39" t="inlineStr">
        <is>
          <t>BAMBOO-QUEEN-CHARCOAL</t>
        </is>
      </c>
      <c r="D40" s="39" t="inlineStr">
        <is>
          <t>DECOLURE 100% Viscose from Bamboo Sheets Queen Size | 4 Pc Cooling Bed Set</t>
        </is>
      </c>
      <c r="E40" s="39" t="inlineStr">
        <is>
          <t>Queen</t>
        </is>
      </c>
      <c r="F40" s="39" t="inlineStr">
        <is>
          <t>Charcoal</t>
        </is>
      </c>
      <c r="G40" s="73" t="n">
        <v>89.98999999999999</v>
      </c>
      <c r="H40" s="39" t="inlineStr">
        <is>
          <t>catalog price, 2026-10-13</t>
        </is>
      </c>
      <c r="I40" s="74" t="n">
        <v>79.98999999999999</v>
      </c>
      <c r="J40" s="75" t="inlineStr">
        <is>
          <t>2026-03-22</t>
        </is>
      </c>
      <c r="K40" s="40" t="n">
        <v>34.7</v>
      </c>
      <c r="L40" s="76" t="n">
        <v>0.433804225528191</v>
      </c>
      <c r="M40" s="77" t="n">
        <v>22</v>
      </c>
      <c r="N40" s="39" t="inlineStr">
        <is>
          <t>Active</t>
        </is>
      </c>
      <c r="O40" s="39" t="n"/>
      <c r="P40" s="78" t="n">
        <v>4.5</v>
      </c>
      <c r="Q40" s="77" t="n">
        <v>5972</v>
      </c>
      <c r="R40" s="77" t="n">
        <v>19665</v>
      </c>
      <c r="S40" s="77" t="n">
        <v>7</v>
      </c>
      <c r="T40" s="39" t="n"/>
    </row>
    <row r="41" ht="62" customHeight="1">
      <c r="A41" s="12">
        <f>_xlfn.IMAGE("https://m.media-amazon.com/images/I/81xihWts51L.jpg")</f>
        <v/>
      </c>
      <c r="B41" s="39" t="inlineStr">
        <is>
          <t>B08KQJZHGC</t>
        </is>
      </c>
      <c r="C41" s="39" t="inlineStr">
        <is>
          <t>BAMBOO-CALIFKING-OLIVE</t>
        </is>
      </c>
      <c r="D41" s="39" t="inlineStr">
        <is>
          <t>DECOLURE 100% Viscose from Bamboo Sheets | 4 Pc Cooling Bed Set</t>
        </is>
      </c>
      <c r="E41" s="39" t="inlineStr">
        <is>
          <t>California King</t>
        </is>
      </c>
      <c r="F41" s="39" t="inlineStr">
        <is>
          <t>Olive</t>
        </is>
      </c>
      <c r="G41" s="73" t="n">
        <v>94.98999999999999</v>
      </c>
      <c r="H41" s="39" t="inlineStr">
        <is>
          <t>catalog price, 2026-10-13</t>
        </is>
      </c>
      <c r="I41" s="74" t="n">
        <v>84.98999999999999</v>
      </c>
      <c r="J41" s="75" t="inlineStr">
        <is>
          <t>2026-03-30</t>
        </is>
      </c>
      <c r="K41" s="40" t="n">
        <v>34.91</v>
      </c>
      <c r="L41" s="76" t="n">
        <v>0.4107542063772208</v>
      </c>
      <c r="M41" s="77" t="n">
        <v>19</v>
      </c>
      <c r="N41" s="39" t="inlineStr">
        <is>
          <t>Active</t>
        </is>
      </c>
      <c r="O41" s="39" t="n"/>
      <c r="P41" s="78" t="n">
        <v>4.5</v>
      </c>
      <c r="Q41" s="77" t="n">
        <v>5972</v>
      </c>
      <c r="R41" s="77" t="n">
        <v>19668</v>
      </c>
      <c r="S41" s="77" t="n">
        <v>4</v>
      </c>
      <c r="T41" s="39" t="n"/>
    </row>
    <row r="42" ht="62" customHeight="1">
      <c r="A42" s="12">
        <f>_xlfn.IMAGE("https://m.media-amazon.com/images/I/81bmbyz5uFL.jpg")</f>
        <v/>
      </c>
      <c r="B42" s="39" t="inlineStr">
        <is>
          <t>B08KQJTLZP</t>
        </is>
      </c>
      <c r="C42" s="39" t="inlineStr">
        <is>
          <t>BAMBOO-CALIFKING-TAUPE</t>
        </is>
      </c>
      <c r="D42" s="39" t="inlineStr">
        <is>
          <t>DECOLURE 100% Viscose from Bamboo Sheets | 4 Pc Cooling Bed Set</t>
        </is>
      </c>
      <c r="E42" s="39" t="inlineStr">
        <is>
          <t>California King</t>
        </is>
      </c>
      <c r="F42" s="39" t="inlineStr">
        <is>
          <t>Taupe</t>
        </is>
      </c>
      <c r="G42" s="73" t="n">
        <v>102.99</v>
      </c>
      <c r="H42" s="39" t="inlineStr">
        <is>
          <t>catalog price, 2026-10-13</t>
        </is>
      </c>
      <c r="I42" s="40" t="n"/>
      <c r="J42" s="39" t="n"/>
      <c r="K42" s="40" t="n"/>
      <c r="L42" s="76" t="n"/>
      <c r="M42" s="77" t="n">
        <v>17</v>
      </c>
      <c r="N42" s="39" t="inlineStr">
        <is>
          <t>Active</t>
        </is>
      </c>
      <c r="O42" s="39" t="n"/>
      <c r="P42" s="78" t="n">
        <v>4.5</v>
      </c>
      <c r="Q42" s="77" t="n">
        <v>5972</v>
      </c>
      <c r="R42" s="77" t="n">
        <v>19665</v>
      </c>
      <c r="S42" s="77" t="n">
        <v>7</v>
      </c>
      <c r="T42" s="39" t="n"/>
    </row>
    <row r="43" ht="62" customHeight="1">
      <c r="A43" s="12">
        <f>_xlfn.IMAGE("https://m.media-amazon.com/images/I/81wmkV-8ExL.jpg")</f>
        <v/>
      </c>
      <c r="B43" s="39" t="inlineStr">
        <is>
          <t>B08KQ5VVRV</t>
        </is>
      </c>
      <c r="C43" s="39" t="inlineStr">
        <is>
          <t>BAMBOO-QUEEN-GREY</t>
        </is>
      </c>
      <c r="D43" s="39" t="inlineStr">
        <is>
          <t>DECOLURE 100% Viscose from Bamboo Sheets Queen Size | 4 Pc Cooling Bed Set</t>
        </is>
      </c>
      <c r="E43" s="39" t="inlineStr">
        <is>
          <t>Queen</t>
        </is>
      </c>
      <c r="F43" s="39" t="inlineStr">
        <is>
          <t>Grey</t>
        </is>
      </c>
      <c r="G43" s="73" t="n">
        <v>96.98999999999999</v>
      </c>
      <c r="H43" s="39" t="inlineStr">
        <is>
          <t>catalog price, 2026-10-13</t>
        </is>
      </c>
      <c r="I43" s="74" t="n">
        <v>79.98999999999999</v>
      </c>
      <c r="J43" s="75" t="inlineStr">
        <is>
          <t>2026-03-30</t>
        </is>
      </c>
      <c r="K43" s="40" t="n">
        <v>36.36</v>
      </c>
      <c r="L43" s="76" t="n">
        <v>0.4545568196024503</v>
      </c>
      <c r="M43" s="77" t="n">
        <v>17</v>
      </c>
      <c r="N43" s="39" t="inlineStr">
        <is>
          <t>Active</t>
        </is>
      </c>
      <c r="O43" s="39" t="n"/>
      <c r="P43" s="78" t="n">
        <v>4.5</v>
      </c>
      <c r="Q43" s="77" t="n">
        <v>5972</v>
      </c>
      <c r="R43" s="77" t="n">
        <v>19665</v>
      </c>
      <c r="S43" s="77" t="n">
        <v>9</v>
      </c>
      <c r="T43" s="39" t="n"/>
    </row>
    <row r="44" ht="62" customHeight="1">
      <c r="A44" s="12">
        <f>_xlfn.IMAGE("https://m.media-amazon.com/images/I/81Mz595QL2L.jpg")</f>
        <v/>
      </c>
      <c r="B44" s="39" t="inlineStr">
        <is>
          <t>B08KQJDSVC</t>
        </is>
      </c>
      <c r="C44" s="39" t="inlineStr">
        <is>
          <t>BAMBOO-QUEEN-LIGHTGREY</t>
        </is>
      </c>
      <c r="D44" s="39" t="inlineStr">
        <is>
          <t>DECOLURE 100% Viscose from Bamboo Sheets Queen Size | 4 Pc Cooling Bed Set</t>
        </is>
      </c>
      <c r="E44" s="39" t="inlineStr">
        <is>
          <t>Queen</t>
        </is>
      </c>
      <c r="F44" s="39" t="inlineStr">
        <is>
          <t>Light Grey</t>
        </is>
      </c>
      <c r="G44" s="73" t="n">
        <v>89.98999999999999</v>
      </c>
      <c r="H44" s="39" t="inlineStr">
        <is>
          <t>catalog price, 2026-10-13</t>
        </is>
      </c>
      <c r="I44" s="74" t="n">
        <v>74.98999999999999</v>
      </c>
      <c r="J44" s="75" t="inlineStr">
        <is>
          <t>2026-03-30</t>
        </is>
      </c>
      <c r="K44" s="40" t="n">
        <v>30.62</v>
      </c>
      <c r="L44" s="76" t="n">
        <v>0.4083211094812642</v>
      </c>
      <c r="M44" s="77" t="n">
        <v>16</v>
      </c>
      <c r="N44" s="39" t="inlineStr">
        <is>
          <t>Active</t>
        </is>
      </c>
      <c r="O44" s="39" t="n"/>
      <c r="P44" s="78" t="n">
        <v>4.5</v>
      </c>
      <c r="Q44" s="77" t="n">
        <v>5972</v>
      </c>
      <c r="R44" s="77" t="n">
        <v>19665</v>
      </c>
      <c r="S44" s="77" t="n">
        <v>10</v>
      </c>
      <c r="T44" s="39" t="n"/>
    </row>
    <row r="45" ht="62" customHeight="1">
      <c r="A45" s="12">
        <f>_xlfn.IMAGE("https://m.media-amazon.com/images/I/81mgYawt2DL.jpg")</f>
        <v/>
      </c>
      <c r="B45" s="39" t="inlineStr">
        <is>
          <t>B0BZPYZ1XY</t>
        </is>
      </c>
      <c r="C45" s="39" t="inlineStr">
        <is>
          <t>BAMBOO-FULL-BLACK</t>
        </is>
      </c>
      <c r="D45" s="39" t="inlineStr">
        <is>
          <t>DECOLURE 100% Viscose from Bamboo Sheets Full Size | 4 Pc Cooling Bed Set</t>
        </is>
      </c>
      <c r="E45" s="39" t="inlineStr">
        <is>
          <t>Full</t>
        </is>
      </c>
      <c r="F45" s="39" t="inlineStr">
        <is>
          <t>Black</t>
        </is>
      </c>
      <c r="G45" s="73" t="n">
        <v>74.98999999999999</v>
      </c>
      <c r="H45" s="39" t="inlineStr">
        <is>
          <t>catalog price, 2026-10-13</t>
        </is>
      </c>
      <c r="I45" s="74" t="n">
        <v>69.98999999999999</v>
      </c>
      <c r="J45" s="75" t="inlineStr">
        <is>
          <t>2026-03-30</t>
        </is>
      </c>
      <c r="K45" s="40" t="n">
        <v>28.38</v>
      </c>
      <c r="L45" s="76" t="n">
        <v>0.4054864980711529</v>
      </c>
      <c r="M45" s="77" t="n">
        <v>15</v>
      </c>
      <c r="N45" s="39" t="inlineStr">
        <is>
          <t>Active</t>
        </is>
      </c>
      <c r="O45" s="39" t="n"/>
      <c r="P45" s="78" t="n">
        <v>4.5</v>
      </c>
      <c r="Q45" s="77" t="n">
        <v>5972</v>
      </c>
      <c r="R45" s="77" t="n">
        <v>19668</v>
      </c>
      <c r="S45" s="77" t="n">
        <v>13</v>
      </c>
      <c r="T45" s="39" t="n"/>
    </row>
    <row r="46" ht="62" customHeight="1">
      <c r="A46" s="12">
        <f>_xlfn.IMAGE("https://m.media-amazon.com/images/I/81YWxJJr8JL.jpg")</f>
        <v/>
      </c>
      <c r="B46" s="39" t="inlineStr">
        <is>
          <t>B0BZPZ588L</t>
        </is>
      </c>
      <c r="C46" s="39" t="inlineStr">
        <is>
          <t>BAMBOO-KING-CHARCOAL</t>
        </is>
      </c>
      <c r="D46" s="39" t="inlineStr">
        <is>
          <t>DECOLURE 100% Viscose from Bamboo Sheets King Size | 4 Pc Cooling Bed Set</t>
        </is>
      </c>
      <c r="E46" s="39" t="inlineStr">
        <is>
          <t>King</t>
        </is>
      </c>
      <c r="F46" s="39" t="inlineStr">
        <is>
          <t>Charcoal</t>
        </is>
      </c>
      <c r="G46" s="73" t="n">
        <v>94.98999999999999</v>
      </c>
      <c r="H46" s="39" t="inlineStr">
        <is>
          <t>catalog price, 2026-10-13</t>
        </is>
      </c>
      <c r="I46" s="40" t="n"/>
      <c r="J46" s="39" t="n"/>
      <c r="K46" s="40" t="n"/>
      <c r="L46" s="76" t="n"/>
      <c r="M46" s="77" t="n">
        <v>15</v>
      </c>
      <c r="N46" s="39" t="inlineStr">
        <is>
          <t>Active</t>
        </is>
      </c>
      <c r="O46" s="39" t="n"/>
      <c r="P46" s="78" t="n">
        <v>4.5</v>
      </c>
      <c r="Q46" s="77" t="n">
        <v>5972</v>
      </c>
      <c r="R46" s="77" t="n">
        <v>19665</v>
      </c>
      <c r="S46" s="77" t="n">
        <v>5</v>
      </c>
      <c r="T46" s="39" t="n"/>
    </row>
    <row r="47" ht="62" customHeight="1">
      <c r="A47" s="12">
        <f>_xlfn.IMAGE("https://m.media-amazon.com/images/I/81YWxJJr8JL.jpg")</f>
        <v/>
      </c>
      <c r="B47" s="39" t="inlineStr">
        <is>
          <t>B0BZPZQCBL</t>
        </is>
      </c>
      <c r="C47" s="39" t="inlineStr">
        <is>
          <t>BAMBOO-CALIFKING-CHARCOAL</t>
        </is>
      </c>
      <c r="D47" s="39" t="inlineStr">
        <is>
          <t>DECOLURE 100% Viscose from Bamboo Sheets | 4 Pc Cooling Bed Set</t>
        </is>
      </c>
      <c r="E47" s="39" t="inlineStr">
        <is>
          <t>California King</t>
        </is>
      </c>
      <c r="F47" s="39" t="inlineStr">
        <is>
          <t>Charcoal</t>
        </is>
      </c>
      <c r="G47" s="73" t="n">
        <v>94.98999999999999</v>
      </c>
      <c r="H47" s="39" t="inlineStr">
        <is>
          <t>catalog price, 2026-10-13</t>
        </is>
      </c>
      <c r="I47" s="40" t="n"/>
      <c r="J47" s="39" t="n"/>
      <c r="K47" s="40" t="n"/>
      <c r="L47" s="76" t="n"/>
      <c r="M47" s="77" t="n">
        <v>14</v>
      </c>
      <c r="N47" s="39" t="inlineStr">
        <is>
          <t>Active</t>
        </is>
      </c>
      <c r="O47" s="39" t="n"/>
      <c r="P47" s="78" t="n">
        <v>4.5</v>
      </c>
      <c r="Q47" s="77" t="n">
        <v>5972</v>
      </c>
      <c r="R47" s="77" t="n">
        <v>19665</v>
      </c>
      <c r="S47" s="77" t="n">
        <v>6</v>
      </c>
      <c r="T47" s="39" t="n"/>
    </row>
    <row r="48" ht="62" customHeight="1">
      <c r="A48" s="12">
        <f>_xlfn.IMAGE("https://m.media-amazon.com/images/I/81jtUZ9WZqL.jpg")</f>
        <v/>
      </c>
      <c r="B48" s="39" t="inlineStr">
        <is>
          <t>B08KQLQ7RG</t>
        </is>
      </c>
      <c r="C48" s="39" t="inlineStr">
        <is>
          <t>BAMBOO-CALIFKING-CREME</t>
        </is>
      </c>
      <c r="D48" s="39" t="inlineStr">
        <is>
          <t>DECOLURE 100% Viscose from Bamboo Sheets | 4 Pc Cooling Bed Set</t>
        </is>
      </c>
      <c r="E48" s="39" t="inlineStr">
        <is>
          <t>California King</t>
        </is>
      </c>
      <c r="F48" s="39" t="inlineStr">
        <is>
          <t>Creme</t>
        </is>
      </c>
      <c r="G48" s="73" t="n">
        <v>94.98999999999999</v>
      </c>
      <c r="H48" s="39" t="inlineStr">
        <is>
          <t>catalog price, 2026-10-13</t>
        </is>
      </c>
      <c r="I48" s="74" t="n">
        <v>79.98999999999999</v>
      </c>
      <c r="J48" s="75" t="inlineStr">
        <is>
          <t>2026-02-26</t>
        </is>
      </c>
      <c r="K48" s="40" t="n">
        <v>30.89</v>
      </c>
      <c r="L48" s="76" t="n">
        <v>0.3861732716589574</v>
      </c>
      <c r="M48" s="77" t="n">
        <v>14</v>
      </c>
      <c r="N48" s="39" t="inlineStr">
        <is>
          <t>Active</t>
        </is>
      </c>
      <c r="O48" s="39" t="n"/>
      <c r="P48" s="78" t="n">
        <v>4.5</v>
      </c>
      <c r="Q48" s="77" t="n">
        <v>5972</v>
      </c>
      <c r="R48" s="77" t="n">
        <v>19665</v>
      </c>
      <c r="S48" s="77" t="n">
        <v>4</v>
      </c>
      <c r="T48" s="39" t="n"/>
    </row>
    <row r="49" ht="62" customHeight="1">
      <c r="A49" s="12">
        <f>_xlfn.IMAGE("https://m.media-amazon.com/images/I/81LPiN50m6L.jpg")</f>
        <v/>
      </c>
      <c r="B49" s="39" t="inlineStr">
        <is>
          <t>B0BZQ3ZGNG</t>
        </is>
      </c>
      <c r="C49" s="39" t="inlineStr">
        <is>
          <t>BAMBOO-QUEEN-PURPLE</t>
        </is>
      </c>
      <c r="D49" s="39" t="inlineStr">
        <is>
          <t>DECOLURE 100% Viscose from Bamboo Sheets Queen Size | 4 Pc Cooling Bed Set</t>
        </is>
      </c>
      <c r="E49" s="39" t="inlineStr">
        <is>
          <t>Queen</t>
        </is>
      </c>
      <c r="F49" s="39" t="inlineStr">
        <is>
          <t>Purple</t>
        </is>
      </c>
      <c r="G49" s="73" t="n">
        <v>89.98999999999999</v>
      </c>
      <c r="H49" s="39" t="inlineStr">
        <is>
          <t>catalog price, 2026-10-13</t>
        </is>
      </c>
      <c r="I49" s="74" t="n">
        <v>99.98999999999999</v>
      </c>
      <c r="J49" s="75" t="inlineStr">
        <is>
          <t>2026-03-06</t>
        </is>
      </c>
      <c r="K49" s="40" t="n">
        <v>51.45999999999999</v>
      </c>
      <c r="L49" s="76" t="n">
        <v>0.5146514651465146</v>
      </c>
      <c r="M49" s="77" t="n">
        <v>14</v>
      </c>
      <c r="N49" s="39" t="inlineStr">
        <is>
          <t>Active</t>
        </is>
      </c>
      <c r="O49" s="39" t="n"/>
      <c r="P49" s="78" t="n">
        <v>4.5</v>
      </c>
      <c r="Q49" s="77" t="n">
        <v>5972</v>
      </c>
      <c r="R49" s="77" t="n">
        <v>19665</v>
      </c>
      <c r="S49" s="77" t="n">
        <v>8</v>
      </c>
      <c r="T49" s="39" t="n"/>
    </row>
    <row r="50" ht="62" customHeight="1">
      <c r="A50" s="12">
        <f>_xlfn.IMAGE("https://m.media-amazon.com/images/I/81E9bvs4TYL.jpg")</f>
        <v/>
      </c>
      <c r="B50" s="39" t="inlineStr">
        <is>
          <t>B08KQKQ44M</t>
        </is>
      </c>
      <c r="C50" s="39" t="inlineStr">
        <is>
          <t>BAMBOO-CALIFKING-WHITE</t>
        </is>
      </c>
      <c r="D50" s="39" t="inlineStr">
        <is>
          <t>DECOLURE 100% Viscose from Bamboo Sheets | 4 Pc Cooling Bed Set</t>
        </is>
      </c>
      <c r="E50" s="39" t="inlineStr">
        <is>
          <t>California King</t>
        </is>
      </c>
      <c r="F50" s="39" t="inlineStr">
        <is>
          <t>White</t>
        </is>
      </c>
      <c r="G50" s="73" t="n">
        <v>94.98999999999999</v>
      </c>
      <c r="H50" s="39" t="inlineStr">
        <is>
          <t>catalog price, 2026-10-13</t>
        </is>
      </c>
      <c r="I50" s="40" t="n"/>
      <c r="J50" s="39" t="n"/>
      <c r="K50" s="40" t="n"/>
      <c r="L50" s="76" t="n"/>
      <c r="M50" s="77" t="n">
        <v>13</v>
      </c>
      <c r="N50" s="39" t="inlineStr">
        <is>
          <t>Active</t>
        </is>
      </c>
      <c r="O50" s="39" t="n"/>
      <c r="P50" s="78" t="n">
        <v>4.5</v>
      </c>
      <c r="Q50" s="77" t="n">
        <v>5972</v>
      </c>
      <c r="R50" s="77" t="n">
        <v>19665</v>
      </c>
      <c r="S50" s="77" t="n">
        <v>8</v>
      </c>
      <c r="T50" s="39" t="n"/>
    </row>
    <row r="51" ht="62" customHeight="1">
      <c r="A51" s="12">
        <f>_xlfn.IMAGE("https://m.media-amazon.com/images/I/81jtUZ9WZqL.jpg")</f>
        <v/>
      </c>
      <c r="B51" s="39" t="inlineStr">
        <is>
          <t>B08KQJ3JSW</t>
        </is>
      </c>
      <c r="C51" s="39" t="inlineStr">
        <is>
          <t>BAMBOO-FULL-CREME</t>
        </is>
      </c>
      <c r="D51" s="39" t="inlineStr">
        <is>
          <t>DECOLURE 100% Viscose from Bamboo Sheets Full Size | 4 Pc Cooling Bed Set</t>
        </is>
      </c>
      <c r="E51" s="39" t="inlineStr">
        <is>
          <t>Full</t>
        </is>
      </c>
      <c r="F51" s="39" t="inlineStr">
        <is>
          <t>Creme</t>
        </is>
      </c>
      <c r="G51" s="73" t="n">
        <v>83.98999999999999</v>
      </c>
      <c r="H51" s="39" t="inlineStr">
        <is>
          <t>catalog price, 2026-10-13</t>
        </is>
      </c>
      <c r="I51" s="74" t="n">
        <v>90.98999999999999</v>
      </c>
      <c r="J51" s="75" t="inlineStr">
        <is>
          <t>2026-03-30</t>
        </is>
      </c>
      <c r="K51" s="40" t="n">
        <v>46.41999999999999</v>
      </c>
      <c r="L51" s="76" t="n">
        <v>0.5101659523024508</v>
      </c>
      <c r="M51" s="77" t="n">
        <v>13</v>
      </c>
      <c r="N51" s="39" t="inlineStr">
        <is>
          <t>Active</t>
        </is>
      </c>
      <c r="O51" s="39" t="n"/>
      <c r="P51" s="78" t="n">
        <v>4.5</v>
      </c>
      <c r="Q51" s="77" t="n">
        <v>5972</v>
      </c>
      <c r="R51" s="77" t="n">
        <v>19665</v>
      </c>
      <c r="S51" s="77" t="n">
        <v>12</v>
      </c>
      <c r="T51" s="39" t="n"/>
    </row>
    <row r="52" ht="62" customHeight="1">
      <c r="A52" s="12">
        <f>_xlfn.IMAGE("https://m.media-amazon.com/images/I/81gCPnwH3FL.jpg")</f>
        <v/>
      </c>
      <c r="B52" s="39" t="inlineStr">
        <is>
          <t>B08KQHSWSJ</t>
        </is>
      </c>
      <c r="C52" s="39" t="inlineStr">
        <is>
          <t>BAMBOO-CALIFKING-LIGHTBLUE</t>
        </is>
      </c>
      <c r="D52" s="39" t="inlineStr">
        <is>
          <t>DECOLURE 100% Viscose from Bamboo Sheets | 4 Pc Cooling Bed Set</t>
        </is>
      </c>
      <c r="E52" s="39" t="inlineStr">
        <is>
          <t>California King</t>
        </is>
      </c>
      <c r="F52" s="39" t="inlineStr">
        <is>
          <t>Light Blue</t>
        </is>
      </c>
      <c r="G52" s="40" t="n"/>
      <c r="H52" s="39" t="n"/>
      <c r="I52" s="74" t="n">
        <v>84.98999999999999</v>
      </c>
      <c r="J52" s="75" t="inlineStr">
        <is>
          <t>2026-03-22</t>
        </is>
      </c>
      <c r="K52" s="40" t="n">
        <v>34.37</v>
      </c>
      <c r="L52" s="76" t="n">
        <v>0.4044005177079656</v>
      </c>
      <c r="M52" s="77" t="n">
        <v>12</v>
      </c>
      <c r="N52" s="39" t="inlineStr">
        <is>
          <t>Inactive</t>
        </is>
      </c>
      <c r="O52" s="39" t="n"/>
      <c r="P52" s="78" t="n"/>
      <c r="Q52" s="77" t="n"/>
      <c r="R52" s="77" t="n"/>
      <c r="S52" s="77" t="n"/>
      <c r="T52" s="39" t="n"/>
    </row>
    <row r="53" ht="62" customHeight="1">
      <c r="A53" s="12">
        <f>_xlfn.IMAGE("https://m.media-amazon.com/images/I/81LPiN50m6L._AC_SY355_.jpg")</f>
        <v/>
      </c>
      <c r="B53" s="39" t="inlineStr">
        <is>
          <t>B0BZPY4PXY</t>
        </is>
      </c>
      <c r="C53" s="39" t="inlineStr">
        <is>
          <t>BAMBOO-FULL-PURPLE</t>
        </is>
      </c>
      <c r="D53" s="39" t="inlineStr">
        <is>
          <t>DECOLURE 100% Viscose from Bamboo Sheets Full Size | 4 Pc Cooling Bed Set</t>
        </is>
      </c>
      <c r="E53" s="39" t="inlineStr">
        <is>
          <t>Full</t>
        </is>
      </c>
      <c r="F53" s="39" t="inlineStr">
        <is>
          <t>Purple</t>
        </is>
      </c>
      <c r="G53" s="73" t="n">
        <v>74.98999999999999</v>
      </c>
      <c r="H53" s="39" t="inlineStr">
        <is>
          <t>catalog price, 2026-10-13</t>
        </is>
      </c>
      <c r="I53" s="74" t="n">
        <v>69.98999999999999</v>
      </c>
      <c r="J53" s="75" t="inlineStr">
        <is>
          <t>2026-03-30</t>
        </is>
      </c>
      <c r="K53" s="40" t="n">
        <v>28.93999999999999</v>
      </c>
      <c r="L53" s="76" t="n">
        <v>0.4134876410915844</v>
      </c>
      <c r="M53" s="77" t="n">
        <v>12</v>
      </c>
      <c r="N53" s="39" t="n"/>
      <c r="O53" s="39" t="inlineStr">
        <is>
          <t>Yes (7%)</t>
        </is>
      </c>
      <c r="P53" s="78" t="n">
        <v>4.5</v>
      </c>
      <c r="Q53" s="77" t="n">
        <v>5972</v>
      </c>
      <c r="R53" s="77" t="n">
        <v>19665</v>
      </c>
      <c r="S53" s="77" t="n">
        <v>11</v>
      </c>
      <c r="T53" s="39" t="n"/>
    </row>
    <row r="54" ht="62" customHeight="1">
      <c r="A54" s="12">
        <f>_xlfn.IMAGE("https://m.media-amazon.com/images/I/81gCPnwH3FL.jpg")</f>
        <v/>
      </c>
      <c r="B54" s="39" t="inlineStr">
        <is>
          <t>B08KQJGSW2</t>
        </is>
      </c>
      <c r="C54" s="39" t="inlineStr">
        <is>
          <t>BAMBOO-TWIN-LIGHTBLUE</t>
        </is>
      </c>
      <c r="D54" s="39" t="inlineStr">
        <is>
          <t>DECOLURE 100% Viscose from Bamboo Sheets Twin Size | 3 Pc Cooling Bed Set</t>
        </is>
      </c>
      <c r="E54" s="39" t="inlineStr">
        <is>
          <t>Twin</t>
        </is>
      </c>
      <c r="F54" s="39" t="inlineStr">
        <is>
          <t>Light Blue</t>
        </is>
      </c>
      <c r="G54" s="73" t="n">
        <v>64.98999999999999</v>
      </c>
      <c r="H54" s="39" t="inlineStr">
        <is>
          <t>catalog price, 2026-10-13</t>
        </is>
      </c>
      <c r="I54" s="74" t="n">
        <v>59.99</v>
      </c>
      <c r="J54" s="75" t="inlineStr">
        <is>
          <t>2026-03-30</t>
        </is>
      </c>
      <c r="K54" s="40" t="n">
        <v>25.65</v>
      </c>
      <c r="L54" s="76" t="n">
        <v>0.4275712618769795</v>
      </c>
      <c r="M54" s="77" t="n">
        <v>12</v>
      </c>
      <c r="N54" s="39" t="inlineStr">
        <is>
          <t>Active</t>
        </is>
      </c>
      <c r="O54" s="39" t="n"/>
      <c r="P54" s="78" t="n">
        <v>4.5</v>
      </c>
      <c r="Q54" s="77" t="n">
        <v>5972</v>
      </c>
      <c r="R54" s="77" t="n">
        <v>19665</v>
      </c>
      <c r="S54" s="77" t="n">
        <v>15</v>
      </c>
      <c r="T54" s="39" t="n"/>
    </row>
    <row r="55" ht="62" customHeight="1">
      <c r="A55" s="12">
        <f>_xlfn.IMAGE("https://m.media-amazon.com/images/I/81Dxp2jtVQL.jpg")</f>
        <v/>
      </c>
      <c r="B55" s="39" t="inlineStr">
        <is>
          <t>B08KQJRL41</t>
        </is>
      </c>
      <c r="C55" s="39" t="inlineStr">
        <is>
          <t>BAMBOO-TWIN-NAVYBLUE</t>
        </is>
      </c>
      <c r="D55" s="39" t="inlineStr">
        <is>
          <t>DECOLURE 100% Viscose from Bamboo Sheets Twin Size | 3 Pc Cooling Bed Set</t>
        </is>
      </c>
      <c r="E55" s="39" t="inlineStr">
        <is>
          <t>Twin</t>
        </is>
      </c>
      <c r="F55" s="39" t="inlineStr">
        <is>
          <t>Navy Blue</t>
        </is>
      </c>
      <c r="G55" s="73" t="n">
        <v>64.98999999999999</v>
      </c>
      <c r="H55" s="39" t="inlineStr">
        <is>
          <t>catalog price, 2026-10-13</t>
        </is>
      </c>
      <c r="I55" s="74" t="n">
        <v>59.99</v>
      </c>
      <c r="J55" s="75" t="inlineStr">
        <is>
          <t>2026-03-30</t>
        </is>
      </c>
      <c r="K55" s="40" t="n">
        <v>25.98</v>
      </c>
      <c r="L55" s="76" t="n">
        <v>0.4330721786964495</v>
      </c>
      <c r="M55" s="77" t="n">
        <v>12</v>
      </c>
      <c r="N55" s="39" t="inlineStr">
        <is>
          <t>Active</t>
        </is>
      </c>
      <c r="O55" s="39" t="n"/>
      <c r="P55" s="78" t="n">
        <v>4.5</v>
      </c>
      <c r="Q55" s="77" t="n">
        <v>5972</v>
      </c>
      <c r="R55" s="77" t="n">
        <v>19665</v>
      </c>
      <c r="S55" s="77" t="n">
        <v>17</v>
      </c>
      <c r="T55" s="39" t="n"/>
    </row>
    <row r="56" ht="62" customHeight="1">
      <c r="A56" s="12">
        <f>_xlfn.IMAGE("https://m.media-amazon.com/images/I/81D6WwGAJIL.jpg")</f>
        <v/>
      </c>
      <c r="B56" s="39" t="inlineStr">
        <is>
          <t>B08KQJBFFZ</t>
        </is>
      </c>
      <c r="C56" s="39" t="inlineStr">
        <is>
          <t>BAMBOO-TWIN-TAUPE</t>
        </is>
      </c>
      <c r="D56" s="39" t="inlineStr">
        <is>
          <t>DECOLURE 100% Viscose from Bamboo Sheets Twin Size | 3 Pc Cooling Bed Set</t>
        </is>
      </c>
      <c r="E56" s="39" t="inlineStr">
        <is>
          <t>Twin</t>
        </is>
      </c>
      <c r="F56" s="39" t="inlineStr">
        <is>
          <t>Taupe</t>
        </is>
      </c>
      <c r="G56" s="73" t="n">
        <v>64.98999999999999</v>
      </c>
      <c r="H56" s="39" t="inlineStr">
        <is>
          <t>catalog price, 2026-10-13</t>
        </is>
      </c>
      <c r="I56" s="74" t="n">
        <v>59.99</v>
      </c>
      <c r="J56" s="75" t="inlineStr">
        <is>
          <t>2026-03-30</t>
        </is>
      </c>
      <c r="K56" s="40" t="n">
        <v>25.24</v>
      </c>
      <c r="L56" s="76" t="n">
        <v>0.4207367894649108</v>
      </c>
      <c r="M56" s="77" t="n">
        <v>12</v>
      </c>
      <c r="N56" s="39" t="inlineStr">
        <is>
          <t>Active</t>
        </is>
      </c>
      <c r="O56" s="39" t="n"/>
      <c r="P56" s="78" t="n">
        <v>4.5</v>
      </c>
      <c r="Q56" s="77" t="n">
        <v>5972</v>
      </c>
      <c r="R56" s="77" t="n">
        <v>19668</v>
      </c>
      <c r="S56" s="77" t="n">
        <v>23</v>
      </c>
      <c r="T56" s="39" t="n"/>
    </row>
    <row r="57" ht="62" customHeight="1">
      <c r="A57" s="12">
        <f>_xlfn.IMAGE("https://m.media-amazon.com/images/I/81kW25KnIDL.jpg")</f>
        <v/>
      </c>
      <c r="B57" s="39" t="inlineStr">
        <is>
          <t>B0CRHYHS4X</t>
        </is>
      </c>
      <c r="C57" s="39" t="inlineStr">
        <is>
          <t>BAMBOO-CALIFKING-BURGUNDY-NEW</t>
        </is>
      </c>
      <c r="D57" s="39" t="inlineStr">
        <is>
          <t>DECOLURE 100% Viscose from Bamboo Sheets | 4 Pc Cooling Bed Set</t>
        </is>
      </c>
      <c r="E57" s="39" t="inlineStr">
        <is>
          <t>California King</t>
        </is>
      </c>
      <c r="F57" s="39" t="inlineStr">
        <is>
          <t>Burgundy</t>
        </is>
      </c>
      <c r="G57" s="73" t="n">
        <v>94.98999999999999</v>
      </c>
      <c r="H57" s="39" t="inlineStr">
        <is>
          <t>catalog price, 2026-10-13</t>
        </is>
      </c>
      <c r="I57" s="40" t="n"/>
      <c r="J57" s="39" t="n"/>
      <c r="K57" s="40" t="n"/>
      <c r="L57" s="76" t="n"/>
      <c r="M57" s="77" t="n">
        <v>11</v>
      </c>
      <c r="N57" s="39" t="inlineStr">
        <is>
          <t>Active</t>
        </is>
      </c>
      <c r="O57" s="39" t="n"/>
      <c r="P57" s="78" t="n">
        <v>4.5</v>
      </c>
      <c r="Q57" s="77" t="n">
        <v>5972</v>
      </c>
      <c r="R57" s="77" t="n">
        <v>19668</v>
      </c>
      <c r="S57" s="77" t="n">
        <v>4</v>
      </c>
      <c r="T57" s="39" t="n"/>
    </row>
    <row r="58" ht="62" customHeight="1">
      <c r="A58" s="12">
        <f>_xlfn.IMAGE("https://m.media-amazon.com/images/I/81OoEiBHwdL.jpg")</f>
        <v/>
      </c>
      <c r="B58" s="39" t="inlineStr">
        <is>
          <t>B08KQJHKFJ</t>
        </is>
      </c>
      <c r="C58" s="39" t="inlineStr">
        <is>
          <t>BAMBOO-FULL-LIGHTGREY</t>
        </is>
      </c>
      <c r="D58" s="39" t="inlineStr">
        <is>
          <t>DECOLURE 100% Viscose from Bamboo Sheets Full Size | 4 Pc Cooling Bed Set</t>
        </is>
      </c>
      <c r="E58" s="39" t="inlineStr">
        <is>
          <t>Full</t>
        </is>
      </c>
      <c r="F58" s="39" t="inlineStr">
        <is>
          <t>Light Grey</t>
        </is>
      </c>
      <c r="G58" s="73" t="n">
        <v>69.98999999999999</v>
      </c>
      <c r="H58" s="39" t="inlineStr">
        <is>
          <t>catalog price, 2026-10-13</t>
        </is>
      </c>
      <c r="I58" s="74" t="n">
        <v>81.98999999999999</v>
      </c>
      <c r="J58" s="75" t="inlineStr">
        <is>
          <t>2026-03-30</t>
        </is>
      </c>
      <c r="K58" s="40" t="n">
        <v>39.42</v>
      </c>
      <c r="L58" s="76" t="n">
        <v>0.4807903402854007</v>
      </c>
      <c r="M58" s="77" t="n">
        <v>10</v>
      </c>
      <c r="N58" s="39" t="inlineStr">
        <is>
          <t>Active</t>
        </is>
      </c>
      <c r="O58" s="39" t="n"/>
      <c r="P58" s="78" t="n">
        <v>4.5</v>
      </c>
      <c r="Q58" s="77" t="n">
        <v>5972</v>
      </c>
      <c r="R58" s="77" t="n">
        <v>19665</v>
      </c>
      <c r="S58" s="77" t="n">
        <v>7</v>
      </c>
      <c r="T58" s="39" t="n"/>
    </row>
    <row r="59" ht="62" customHeight="1">
      <c r="A59" s="12">
        <f>_xlfn.IMAGE("https://m.media-amazon.com/images/I/81T+gwobemL.jpg")</f>
        <v/>
      </c>
      <c r="B59" s="39" t="inlineStr">
        <is>
          <t>B0CLKFLJMZ</t>
        </is>
      </c>
      <c r="C59" s="39" t="inlineStr">
        <is>
          <t>BAMBOO-FULL-SAGE GREEN</t>
        </is>
      </c>
      <c r="D59" s="39" t="inlineStr">
        <is>
          <t>DECOLURE 100% Viscose from Bamboo Sheets Full Size | 4 Pc Cooling Bed Set</t>
        </is>
      </c>
      <c r="E59" s="39" t="inlineStr">
        <is>
          <t>Full</t>
        </is>
      </c>
      <c r="F59" s="39" t="inlineStr">
        <is>
          <t>Sage Green</t>
        </is>
      </c>
      <c r="G59" s="73" t="n">
        <v>74.98999999999999</v>
      </c>
      <c r="H59" s="39" t="inlineStr">
        <is>
          <t>catalog price, 2026-10-13</t>
        </is>
      </c>
      <c r="I59" s="74" t="n">
        <v>92.98999999999999</v>
      </c>
      <c r="J59" s="75" t="inlineStr">
        <is>
          <t>2026-03-30</t>
        </is>
      </c>
      <c r="K59" s="40" t="n">
        <v>47.83999999999999</v>
      </c>
      <c r="L59" s="76" t="n">
        <v>0.5144639208517044</v>
      </c>
      <c r="M59" s="77" t="n">
        <v>10</v>
      </c>
      <c r="N59" s="39" t="inlineStr">
        <is>
          <t>Active</t>
        </is>
      </c>
      <c r="O59" s="39" t="n"/>
      <c r="P59" s="78" t="n">
        <v>4.5</v>
      </c>
      <c r="Q59" s="77" t="n">
        <v>5972</v>
      </c>
      <c r="R59" s="77" t="n">
        <v>19668</v>
      </c>
      <c r="S59" s="77" t="n">
        <v>9</v>
      </c>
      <c r="T59" s="39" t="n"/>
    </row>
    <row r="60" ht="62" customHeight="1">
      <c r="A60" s="12">
        <f>_xlfn.IMAGE("https://m.media-amazon.com/images/I/81jAmePDWeL.jpg")</f>
        <v/>
      </c>
      <c r="B60" s="39" t="inlineStr">
        <is>
          <t>B0BZQ19Z44</t>
        </is>
      </c>
      <c r="C60" s="39" t="inlineStr">
        <is>
          <t>BAMBOO-QUEEN-LIGHTOLIVE</t>
        </is>
      </c>
      <c r="D60" s="39" t="inlineStr">
        <is>
          <t>DECOLURE 100% Viscose from Bamboo Sheets Queen Size | 4 Pc Cooling Bed Set</t>
        </is>
      </c>
      <c r="E60" s="39" t="inlineStr">
        <is>
          <t>Queen</t>
        </is>
      </c>
      <c r="F60" s="39" t="inlineStr">
        <is>
          <t>Light Olive</t>
        </is>
      </c>
      <c r="G60" s="73" t="n">
        <v>89.98999999999999</v>
      </c>
      <c r="H60" s="39" t="inlineStr">
        <is>
          <t>catalog price, 2026-10-13</t>
        </is>
      </c>
      <c r="I60" s="74" t="n">
        <v>79.98999999999999</v>
      </c>
      <c r="J60" s="75" t="inlineStr">
        <is>
          <t>2026-03-30</t>
        </is>
      </c>
      <c r="K60" s="40" t="n">
        <v>34.61999999999999</v>
      </c>
      <c r="L60" s="76" t="n">
        <v>0.432804100512564</v>
      </c>
      <c r="M60" s="77" t="n">
        <v>10</v>
      </c>
      <c r="N60" s="39" t="inlineStr">
        <is>
          <t>Active</t>
        </is>
      </c>
      <c r="O60" s="39" t="n"/>
      <c r="P60" s="78" t="n">
        <v>4.5</v>
      </c>
      <c r="Q60" s="77" t="n">
        <v>5972</v>
      </c>
      <c r="R60" s="77" t="n">
        <v>19665</v>
      </c>
      <c r="S60" s="77" t="n">
        <v>9</v>
      </c>
      <c r="T60" s="39" t="n"/>
    </row>
    <row r="61" ht="62" customHeight="1">
      <c r="A61" s="12">
        <f>_xlfn.IMAGE("https://m.media-amazon.com/images/I/81hxPp-zxnL.jpg")</f>
        <v/>
      </c>
      <c r="B61" s="39" t="inlineStr">
        <is>
          <t>B0CLKD23ZH</t>
        </is>
      </c>
      <c r="C61" s="39" t="inlineStr">
        <is>
          <t>BAMBOO-CALIFKING-LIGHT PINK</t>
        </is>
      </c>
      <c r="D61" s="39" t="inlineStr">
        <is>
          <t>DECOLURE 100% Viscose from Bamboo Sheets | 4 Pc Cooling Bed Set</t>
        </is>
      </c>
      <c r="E61" s="39" t="inlineStr">
        <is>
          <t>California King</t>
        </is>
      </c>
      <c r="F61" s="39" t="inlineStr">
        <is>
          <t>Light Pink</t>
        </is>
      </c>
      <c r="G61" s="73" t="n">
        <v>94.98999999999999</v>
      </c>
      <c r="H61" s="39" t="inlineStr">
        <is>
          <t>catalog price, 2026-10-13</t>
        </is>
      </c>
      <c r="I61" s="74" t="n">
        <v>84.98999999999999</v>
      </c>
      <c r="J61" s="75" t="inlineStr">
        <is>
          <t>2026-03-30</t>
        </is>
      </c>
      <c r="K61" s="40" t="n">
        <v>34.20999999999999</v>
      </c>
      <c r="L61" s="76" t="n">
        <v>0.4025179432874456</v>
      </c>
      <c r="M61" s="77" t="n">
        <v>9</v>
      </c>
      <c r="N61" s="39" t="inlineStr">
        <is>
          <t>Active</t>
        </is>
      </c>
      <c r="O61" s="39" t="n"/>
      <c r="P61" s="78" t="n">
        <v>4.5</v>
      </c>
      <c r="Q61" s="77" t="n">
        <v>5972</v>
      </c>
      <c r="R61" s="77" t="n">
        <v>19668</v>
      </c>
      <c r="S61" s="77" t="n">
        <v>6</v>
      </c>
      <c r="T61" s="39" t="n"/>
    </row>
    <row r="62" ht="62" customHeight="1">
      <c r="A62" s="12">
        <f>_xlfn.IMAGE("https://m.media-amazon.com/images/I/81aBlh93veL.jpg")</f>
        <v/>
      </c>
      <c r="B62" s="39" t="inlineStr">
        <is>
          <t>B0BZPY841G</t>
        </is>
      </c>
      <c r="C62" s="39" t="inlineStr">
        <is>
          <t>BAMBOO-CALIFKING-MIDGREY</t>
        </is>
      </c>
      <c r="D62" s="39" t="inlineStr">
        <is>
          <t>DECOLURE 100% Viscose from Bamboo Sheets | 4 Pc Cooling Bed Set</t>
        </is>
      </c>
      <c r="E62" s="39" t="inlineStr">
        <is>
          <t>California King</t>
        </is>
      </c>
      <c r="F62" s="39" t="inlineStr">
        <is>
          <t>Midgrey</t>
        </is>
      </c>
      <c r="G62" s="73" t="n">
        <v>94.98999999999999</v>
      </c>
      <c r="H62" s="39" t="inlineStr">
        <is>
          <t>catalog price, 2026-10-13</t>
        </is>
      </c>
      <c r="I62" s="74" t="n">
        <v>110.99</v>
      </c>
      <c r="J62" s="75" t="inlineStr">
        <is>
          <t>2026-03-30</t>
        </is>
      </c>
      <c r="K62" s="40" t="n">
        <v>57.33000000000001</v>
      </c>
      <c r="L62" s="76" t="n">
        <v>0.5165330209928823</v>
      </c>
      <c r="M62" s="77" t="n">
        <v>9</v>
      </c>
      <c r="N62" s="39" t="inlineStr">
        <is>
          <t>Active</t>
        </is>
      </c>
      <c r="O62" s="39" t="n"/>
      <c r="P62" s="78" t="n">
        <v>4.5</v>
      </c>
      <c r="Q62" s="77" t="n">
        <v>5972</v>
      </c>
      <c r="R62" s="77" t="n">
        <v>19668</v>
      </c>
      <c r="S62" s="77" t="n">
        <v>5</v>
      </c>
      <c r="T62" s="39" t="n"/>
    </row>
    <row r="63" ht="62" customHeight="1">
      <c r="A63" s="12">
        <f>_xlfn.IMAGE("https://m.media-amazon.com/images/I/81F0yDBRKQL.jpg")</f>
        <v/>
      </c>
      <c r="B63" s="39" t="inlineStr">
        <is>
          <t>B0CLKBT95K</t>
        </is>
      </c>
      <c r="C63" s="39" t="inlineStr">
        <is>
          <t>BAMBOO-TWIN-SAGE GREEN</t>
        </is>
      </c>
      <c r="D63" s="39" t="inlineStr">
        <is>
          <t>DECOLURE 100% Viscose from Bamboo Sheets Twin Size | 3 Pc Cooling Bed Set</t>
        </is>
      </c>
      <c r="E63" s="39" t="inlineStr">
        <is>
          <t>Twin</t>
        </is>
      </c>
      <c r="F63" s="39" t="inlineStr">
        <is>
          <t>Sage Green</t>
        </is>
      </c>
      <c r="G63" s="73" t="n">
        <v>64.98999999999999</v>
      </c>
      <c r="H63" s="39" t="inlineStr">
        <is>
          <t>catalog price, 2026-10-13</t>
        </is>
      </c>
      <c r="I63" s="74" t="n">
        <v>59.99</v>
      </c>
      <c r="J63" s="75" t="inlineStr">
        <is>
          <t>2026-03-30</t>
        </is>
      </c>
      <c r="K63" s="40" t="n">
        <v>24.13</v>
      </c>
      <c r="L63" s="76" t="n">
        <v>0.402233705617603</v>
      </c>
      <c r="M63" s="77" t="n">
        <v>9</v>
      </c>
      <c r="N63" s="39" t="inlineStr">
        <is>
          <t>Active</t>
        </is>
      </c>
      <c r="O63" s="39" t="n"/>
      <c r="P63" s="78" t="n">
        <v>4.5</v>
      </c>
      <c r="Q63" s="77" t="n">
        <v>5972</v>
      </c>
      <c r="R63" s="77" t="n">
        <v>19665</v>
      </c>
      <c r="S63" s="77" t="n">
        <v>17</v>
      </c>
      <c r="T63" s="39" t="n"/>
    </row>
    <row r="64" ht="62" customHeight="1">
      <c r="A64" s="12">
        <f>_xlfn.IMAGE("https://m.media-amazon.com/images/I/81wmkV-8ExL.jpg")</f>
        <v/>
      </c>
      <c r="B64" s="39" t="inlineStr">
        <is>
          <t>B08KQJBFFY</t>
        </is>
      </c>
      <c r="C64" s="39" t="inlineStr">
        <is>
          <t>BAMBOO-CALIFKING-GREY</t>
        </is>
      </c>
      <c r="D64" s="39" t="inlineStr">
        <is>
          <t>DECOLURE 100% Viscose from Bamboo Sheets | 4 Pc Cooling Bed Set</t>
        </is>
      </c>
      <c r="E64" s="39" t="inlineStr">
        <is>
          <t>California King</t>
        </is>
      </c>
      <c r="F64" s="39" t="inlineStr">
        <is>
          <t>Grey</t>
        </is>
      </c>
      <c r="G64" s="73" t="n">
        <v>94.98999999999999</v>
      </c>
      <c r="H64" s="39" t="inlineStr">
        <is>
          <t>catalog price, 2026-10-13</t>
        </is>
      </c>
      <c r="I64" s="74" t="n">
        <v>79.98999999999999</v>
      </c>
      <c r="J64" s="75" t="inlineStr">
        <is>
          <t>2026-03-04</t>
        </is>
      </c>
      <c r="K64" s="40" t="n">
        <v>30.93</v>
      </c>
      <c r="L64" s="76" t="n">
        <v>0.3866733341667708</v>
      </c>
      <c r="M64" s="77" t="n">
        <v>8</v>
      </c>
      <c r="N64" s="39" t="inlineStr">
        <is>
          <t>Active</t>
        </is>
      </c>
      <c r="O64" s="39" t="n"/>
      <c r="P64" s="78" t="n">
        <v>4.5</v>
      </c>
      <c r="Q64" s="77" t="n">
        <v>5972</v>
      </c>
      <c r="R64" s="77" t="n">
        <v>19665</v>
      </c>
      <c r="S64" s="77" t="n">
        <v>3</v>
      </c>
      <c r="T64" s="39" t="n"/>
    </row>
    <row r="65" ht="62" customHeight="1">
      <c r="A65" s="12">
        <f>_xlfn.IMAGE("https://m.media-amazon.com/images/I/81wmkV-8ExL.jpg")</f>
        <v/>
      </c>
      <c r="B65" s="39" t="inlineStr">
        <is>
          <t>B08KQJP1K7</t>
        </is>
      </c>
      <c r="C65" s="39" t="inlineStr">
        <is>
          <t>BAMBOO-FULL-GREY</t>
        </is>
      </c>
      <c r="D65" s="39" t="inlineStr">
        <is>
          <t>DECOLURE 100% Viscose from Bamboo Sheets Full Size | 4 Pc Cooling Bed Set</t>
        </is>
      </c>
      <c r="E65" s="39" t="inlineStr">
        <is>
          <t>Full</t>
        </is>
      </c>
      <c r="F65" s="39" t="inlineStr">
        <is>
          <t>Grey</t>
        </is>
      </c>
      <c r="G65" s="73" t="n">
        <v>74.98999999999999</v>
      </c>
      <c r="H65" s="39" t="inlineStr">
        <is>
          <t>catalog price, 2026-10-13</t>
        </is>
      </c>
      <c r="I65" s="40" t="n"/>
      <c r="J65" s="39" t="n"/>
      <c r="K65" s="40" t="n"/>
      <c r="L65" s="76" t="n"/>
      <c r="M65" s="77" t="n">
        <v>8</v>
      </c>
      <c r="N65" s="39" t="inlineStr">
        <is>
          <t>Active</t>
        </is>
      </c>
      <c r="O65" s="39" t="inlineStr">
        <is>
          <t>Yes (4%)</t>
        </is>
      </c>
      <c r="P65" s="78" t="n">
        <v>4.5</v>
      </c>
      <c r="Q65" s="77" t="n">
        <v>5972</v>
      </c>
      <c r="R65" s="77" t="n">
        <v>19665</v>
      </c>
      <c r="S65" s="77" t="n">
        <v>10</v>
      </c>
      <c r="T65" s="39" t="n"/>
    </row>
    <row r="66" ht="62" customHeight="1">
      <c r="A66" s="12">
        <f>_xlfn.IMAGE("https://m.media-amazon.com/images/I/81wmkV-8ExL.jpg")</f>
        <v/>
      </c>
      <c r="B66" s="39" t="inlineStr">
        <is>
          <t>B08KQJQ3C2</t>
        </is>
      </c>
      <c r="C66" s="39" t="inlineStr">
        <is>
          <t>BAMBOO-KING-GREY</t>
        </is>
      </c>
      <c r="D66" s="39" t="inlineStr">
        <is>
          <t>DECOLURE 100% Viscose from Bamboo Sheets King Size | 4 Pc Cooling Bed Set</t>
        </is>
      </c>
      <c r="E66" s="39" t="inlineStr">
        <is>
          <t>King</t>
        </is>
      </c>
      <c r="F66" s="39" t="inlineStr">
        <is>
          <t>Grey</t>
        </is>
      </c>
      <c r="G66" s="73" t="n">
        <v>84.98999999999999</v>
      </c>
      <c r="H66" s="39" t="inlineStr">
        <is>
          <t>catalog price, 2026-10-13</t>
        </is>
      </c>
      <c r="I66" s="74" t="n">
        <v>110.99</v>
      </c>
      <c r="J66" s="75" t="inlineStr">
        <is>
          <t>2026-03-30</t>
        </is>
      </c>
      <c r="K66" s="40" t="n">
        <v>57.99000000000001</v>
      </c>
      <c r="L66" s="76" t="n">
        <v>0.5224795026578972</v>
      </c>
      <c r="M66" s="77" t="n">
        <v>8</v>
      </c>
      <c r="N66" s="39" t="inlineStr">
        <is>
          <t>Active</t>
        </is>
      </c>
      <c r="O66" s="39" t="n"/>
      <c r="P66" s="78" t="n">
        <v>4.5</v>
      </c>
      <c r="Q66" s="77" t="n">
        <v>5972</v>
      </c>
      <c r="R66" s="77" t="n">
        <v>19665</v>
      </c>
      <c r="S66" s="77" t="n">
        <v>15</v>
      </c>
      <c r="T66" s="39" t="n"/>
    </row>
    <row r="67" ht="62" customHeight="1">
      <c r="A67" s="12">
        <f>_xlfn.IMAGE("https://m.media-amazon.com/images/I/81Fhkpx6DdL._AC_SY355_.jpg")</f>
        <v/>
      </c>
      <c r="B67" s="39" t="inlineStr">
        <is>
          <t>B0CRHX3LKM</t>
        </is>
      </c>
      <c r="C67" s="39" t="inlineStr">
        <is>
          <t>BAMBOO-TWIN-BURGUNDY-NEW</t>
        </is>
      </c>
      <c r="D67" s="39" t="inlineStr">
        <is>
          <t>DECOLURE 100% Viscose from Bamboo Sheets Twin Size | 3 Pc Cooling Bed Set</t>
        </is>
      </c>
      <c r="E67" s="39" t="inlineStr">
        <is>
          <t>Twin</t>
        </is>
      </c>
      <c r="F67" s="39" t="inlineStr">
        <is>
          <t>Burgundy</t>
        </is>
      </c>
      <c r="G67" s="73" t="n">
        <v>64.98999999999999</v>
      </c>
      <c r="H67" s="39" t="inlineStr">
        <is>
          <t>catalog price, 2026-10-13</t>
        </is>
      </c>
      <c r="I67" s="74" t="n">
        <v>86.98999999999999</v>
      </c>
      <c r="J67" s="75" t="inlineStr">
        <is>
          <t>2026-03-30</t>
        </is>
      </c>
      <c r="K67" s="40" t="n">
        <v>47.59</v>
      </c>
      <c r="L67" s="76" t="n">
        <v>0.5470743763650995</v>
      </c>
      <c r="M67" s="77" t="n">
        <v>8</v>
      </c>
      <c r="N67" s="39" t="n"/>
      <c r="O67" s="39" t="n"/>
      <c r="P67" s="78" t="n">
        <v>4.5</v>
      </c>
      <c r="Q67" s="77" t="n">
        <v>5972</v>
      </c>
      <c r="R67" s="77" t="n">
        <v>19668</v>
      </c>
      <c r="S67" s="77" t="n">
        <v>19</v>
      </c>
      <c r="T67" s="39" t="n"/>
    </row>
    <row r="68" ht="62" customHeight="1">
      <c r="A68" s="12">
        <f>_xlfn.IMAGE("https://m.media-amazon.com/images/I/81OoEiBHwdL.jpg")</f>
        <v/>
      </c>
      <c r="B68" s="39" t="inlineStr">
        <is>
          <t>B08KQK8Z1J</t>
        </is>
      </c>
      <c r="C68" s="39" t="inlineStr">
        <is>
          <t>BAMBOO-TWIN-LIGHTGREY</t>
        </is>
      </c>
      <c r="D68" s="39" t="inlineStr">
        <is>
          <t>DECOLURE 100% Viscose from Bamboo Sheets Twin Size | 3 Pc Cooling Bed Set</t>
        </is>
      </c>
      <c r="E68" s="39" t="inlineStr">
        <is>
          <t>Twin</t>
        </is>
      </c>
      <c r="F68" s="39" t="inlineStr">
        <is>
          <t>Light Grey</t>
        </is>
      </c>
      <c r="G68" s="73" t="n">
        <v>64.98999999999999</v>
      </c>
      <c r="H68" s="39" t="inlineStr">
        <is>
          <t>catalog price, 2026-10-13</t>
        </is>
      </c>
      <c r="I68" s="74" t="n">
        <v>81.98999999999999</v>
      </c>
      <c r="J68" s="75" t="inlineStr">
        <is>
          <t>2026-03-30</t>
        </is>
      </c>
      <c r="K68" s="40" t="n">
        <v>42.84</v>
      </c>
      <c r="L68" s="76" t="n">
        <v>0.5225027442371022</v>
      </c>
      <c r="M68" s="77" t="n">
        <v>8</v>
      </c>
      <c r="N68" s="39" t="inlineStr">
        <is>
          <t>Active</t>
        </is>
      </c>
      <c r="O68" s="39" t="n"/>
      <c r="P68" s="78" t="n">
        <v>4.5</v>
      </c>
      <c r="Q68" s="77" t="n">
        <v>5972</v>
      </c>
      <c r="R68" s="77" t="n">
        <v>19665</v>
      </c>
      <c r="S68" s="77" t="n">
        <v>16</v>
      </c>
      <c r="T68" s="39" t="n"/>
    </row>
    <row r="69" ht="62" customHeight="1">
      <c r="A69" s="12">
        <f>_xlfn.IMAGE("https://m.media-amazon.com/images/I/810zJsI9KBL.jpg")</f>
        <v/>
      </c>
      <c r="B69" s="39" t="inlineStr">
        <is>
          <t>B0CLKDMGHC</t>
        </is>
      </c>
      <c r="C69" s="39" t="inlineStr">
        <is>
          <t>BAMBOO-TWIN-LIGHT PINK</t>
        </is>
      </c>
      <c r="D69" s="39" t="inlineStr">
        <is>
          <t>DECOLURE 100% Viscose from Bamboo Sheets Twin Size | 3 Pc Cooling Bed Set</t>
        </is>
      </c>
      <c r="E69" s="39" t="inlineStr">
        <is>
          <t>Twin</t>
        </is>
      </c>
      <c r="F69" s="39" t="inlineStr">
        <is>
          <t>Light Pink</t>
        </is>
      </c>
      <c r="G69" s="73" t="n">
        <v>64.98999999999999</v>
      </c>
      <c r="H69" s="39" t="inlineStr">
        <is>
          <t>catalog price, 2026-10-13</t>
        </is>
      </c>
      <c r="I69" s="74" t="n">
        <v>59.99</v>
      </c>
      <c r="J69" s="75" t="inlineStr">
        <is>
          <t>2026-03-30</t>
        </is>
      </c>
      <c r="K69" s="40" t="n">
        <v>25.36</v>
      </c>
      <c r="L69" s="76" t="n">
        <v>0.4227371228538089</v>
      </c>
      <c r="M69" s="77" t="n">
        <v>8</v>
      </c>
      <c r="N69" s="39" t="inlineStr">
        <is>
          <t>Active</t>
        </is>
      </c>
      <c r="O69" s="39" t="n"/>
      <c r="P69" s="78" t="n">
        <v>4.5</v>
      </c>
      <c r="Q69" s="77" t="n">
        <v>5972</v>
      </c>
      <c r="R69" s="77" t="n">
        <v>19665</v>
      </c>
      <c r="S69" s="77" t="n">
        <v>15</v>
      </c>
      <c r="T69" s="39" t="n"/>
    </row>
    <row r="70" ht="62" customHeight="1">
      <c r="A70" s="12">
        <f>_xlfn.IMAGE("https://m.media-amazon.com/images/I/81+SsPmr6TL.jpg")</f>
        <v/>
      </c>
      <c r="B70" s="39" t="inlineStr">
        <is>
          <t>B08KQKKVSX</t>
        </is>
      </c>
      <c r="C70" s="39" t="inlineStr">
        <is>
          <t>BAMBOO-TWIN-OLIVE</t>
        </is>
      </c>
      <c r="D70" s="39" t="inlineStr">
        <is>
          <t>DECOLURE 100% Viscose from Bamboo Sheets Twin Size | 3 Pc Cooling Bed Set</t>
        </is>
      </c>
      <c r="E70" s="39" t="inlineStr">
        <is>
          <t>Twin</t>
        </is>
      </c>
      <c r="F70" s="39" t="inlineStr">
        <is>
          <t>Olive</t>
        </is>
      </c>
      <c r="G70" s="73" t="n">
        <v>64.98999999999999</v>
      </c>
      <c r="H70" s="39" t="inlineStr">
        <is>
          <t>catalog price, 2026-10-13</t>
        </is>
      </c>
      <c r="I70" s="74" t="n">
        <v>59.99</v>
      </c>
      <c r="J70" s="75" t="inlineStr">
        <is>
          <t>2026-03-30</t>
        </is>
      </c>
      <c r="K70" s="40" t="n">
        <v>25.62</v>
      </c>
      <c r="L70" s="76" t="n">
        <v>0.427071178529755</v>
      </c>
      <c r="M70" s="77" t="n">
        <v>8</v>
      </c>
      <c r="N70" s="39" t="inlineStr">
        <is>
          <t>Active</t>
        </is>
      </c>
      <c r="O70" s="39" t="n"/>
      <c r="P70" s="78" t="n">
        <v>4.5</v>
      </c>
      <c r="Q70" s="77" t="n">
        <v>5972</v>
      </c>
      <c r="R70" s="77" t="n">
        <v>19665</v>
      </c>
      <c r="S70" s="77" t="n">
        <v>20</v>
      </c>
      <c r="T70" s="39" t="n"/>
    </row>
    <row r="71" ht="62" customHeight="1">
      <c r="A71" s="12">
        <f>_xlfn.IMAGE("https://m.media-amazon.com/images/I/81tiGTo9hDL.jpg")</f>
        <v/>
      </c>
      <c r="B71" s="39" t="inlineStr">
        <is>
          <t>B0BZQ39BTX</t>
        </is>
      </c>
      <c r="C71" s="39" t="inlineStr">
        <is>
          <t>BAMBOO-TWIN-PURPLE</t>
        </is>
      </c>
      <c r="D71" s="39" t="inlineStr">
        <is>
          <t>DECOLURE 100% Viscose from Bamboo Sheets Twin Size | 3 Pc Cooling Bed Set</t>
        </is>
      </c>
      <c r="E71" s="39" t="inlineStr">
        <is>
          <t>Twin</t>
        </is>
      </c>
      <c r="F71" s="39" t="inlineStr">
        <is>
          <t>Purple</t>
        </is>
      </c>
      <c r="G71" s="73" t="n">
        <v>64.98999999999999</v>
      </c>
      <c r="H71" s="39" t="inlineStr">
        <is>
          <t>catalog price, 2026-10-13</t>
        </is>
      </c>
      <c r="I71" s="74" t="n">
        <v>59.99</v>
      </c>
      <c r="J71" s="75" t="inlineStr">
        <is>
          <t>2026-03-30</t>
        </is>
      </c>
      <c r="K71" s="40" t="n">
        <v>22.35</v>
      </c>
      <c r="L71" s="76" t="n">
        <v>0.3725620936822803</v>
      </c>
      <c r="M71" s="77" t="n">
        <v>7</v>
      </c>
      <c r="N71" s="39" t="inlineStr">
        <is>
          <t>Active</t>
        </is>
      </c>
      <c r="O71" s="39" t="n"/>
      <c r="P71" s="78" t="n">
        <v>4.5</v>
      </c>
      <c r="Q71" s="77" t="n">
        <v>5972</v>
      </c>
      <c r="R71" s="77" t="n">
        <v>19665</v>
      </c>
      <c r="S71" s="77" t="n">
        <v>19</v>
      </c>
      <c r="T71" s="39" t="n"/>
    </row>
    <row r="72" ht="62" customHeight="1">
      <c r="A72" s="12">
        <f>_xlfn.IMAGE("https://m.media-amazon.com/images/I/81URS7+KRYL.jpg")</f>
        <v/>
      </c>
      <c r="B72" s="39" t="inlineStr">
        <is>
          <t>B0BZPZN1GV</t>
        </is>
      </c>
      <c r="C72" s="39" t="inlineStr">
        <is>
          <t>BAMBOO-TWIN-BLACK</t>
        </is>
      </c>
      <c r="D72" s="39" t="inlineStr">
        <is>
          <t>DECOLURE 100% Viscose from Bamboo Sheets Twin Size | 3 Pc Cooling Bed Set</t>
        </is>
      </c>
      <c r="E72" s="39" t="inlineStr">
        <is>
          <t>Twin</t>
        </is>
      </c>
      <c r="F72" s="39" t="inlineStr">
        <is>
          <t>Black</t>
        </is>
      </c>
      <c r="G72" s="73" t="n">
        <v>64.98999999999999</v>
      </c>
      <c r="H72" s="39" t="inlineStr">
        <is>
          <t>catalog price, 2026-10-13</t>
        </is>
      </c>
      <c r="I72" s="74" t="n">
        <v>59.99</v>
      </c>
      <c r="J72" s="75" t="inlineStr">
        <is>
          <t>2026-03-30</t>
        </is>
      </c>
      <c r="K72" s="40" t="n">
        <v>25.33</v>
      </c>
      <c r="L72" s="76" t="n">
        <v>0.4222370395065844</v>
      </c>
      <c r="M72" s="77" t="n">
        <v>6</v>
      </c>
      <c r="N72" s="39" t="inlineStr">
        <is>
          <t>Active</t>
        </is>
      </c>
      <c r="O72" s="39" t="n"/>
      <c r="P72" s="78" t="n">
        <v>4.5</v>
      </c>
      <c r="Q72" s="77" t="n">
        <v>5972</v>
      </c>
      <c r="R72" s="77" t="n">
        <v>19665</v>
      </c>
      <c r="S72" s="77" t="n">
        <v>16</v>
      </c>
      <c r="T72" s="39" t="n"/>
    </row>
    <row r="73" ht="62" customHeight="1">
      <c r="A73" s="12">
        <f>_xlfn.IMAGE("https://m.media-amazon.com/images/I/81tcLn4AhyL._AC_SY355_.jpg")</f>
        <v/>
      </c>
      <c r="B73" s="39" t="inlineStr">
        <is>
          <t>B08KQKJXDK</t>
        </is>
      </c>
      <c r="C73" s="39" t="inlineStr">
        <is>
          <t>BAMBOO-TWIN-GREY</t>
        </is>
      </c>
      <c r="D73" s="39" t="inlineStr">
        <is>
          <t>DECOLURE 100% Viscose from Bamboo Sheets Twin Size | 3 Pc Cooling Bed Set</t>
        </is>
      </c>
      <c r="E73" s="39" t="inlineStr">
        <is>
          <t>Twin</t>
        </is>
      </c>
      <c r="F73" s="39" t="inlineStr">
        <is>
          <t>Grey</t>
        </is>
      </c>
      <c r="G73" s="73" t="n">
        <v>64.98999999999999</v>
      </c>
      <c r="H73" s="39" t="inlineStr">
        <is>
          <t>catalog price, 2026-10-13</t>
        </is>
      </c>
      <c r="I73" s="74" t="n">
        <v>54.99</v>
      </c>
      <c r="J73" s="75" t="inlineStr">
        <is>
          <t>2026-03-30</t>
        </is>
      </c>
      <c r="K73" s="40" t="n">
        <v>19.61</v>
      </c>
      <c r="L73" s="76" t="n">
        <v>0.3566102927805055</v>
      </c>
      <c r="M73" s="77" t="n">
        <v>6</v>
      </c>
      <c r="N73" s="39" t="n"/>
      <c r="O73" s="39" t="n"/>
      <c r="P73" s="78" t="n">
        <v>4.5</v>
      </c>
      <c r="Q73" s="77" t="n">
        <v>5972</v>
      </c>
      <c r="R73" s="77" t="n">
        <v>19665</v>
      </c>
      <c r="S73" s="77" t="n">
        <v>17</v>
      </c>
      <c r="T73" s="39" t="n"/>
    </row>
    <row r="74" ht="62" customHeight="1">
      <c r="A74" s="12">
        <f>_xlfn.IMAGE("https://m.media-amazon.com/images/I/81jAmePDWeL.jpg")</f>
        <v/>
      </c>
      <c r="B74" s="39" t="inlineStr">
        <is>
          <t>B0BZQ19Z47</t>
        </is>
      </c>
      <c r="C74" s="39" t="inlineStr">
        <is>
          <t>BAMBOO-CALIFKING-LIGHTOLIVE</t>
        </is>
      </c>
      <c r="D74" s="39" t="inlineStr">
        <is>
          <t>DECOLURE 100% Viscose from Bamboo Sheets | 4 Pc Cooling Bed Set</t>
        </is>
      </c>
      <c r="E74" s="39" t="inlineStr">
        <is>
          <t>California King</t>
        </is>
      </c>
      <c r="F74" s="39" t="inlineStr">
        <is>
          <t>Light Olive</t>
        </is>
      </c>
      <c r="G74" s="73" t="n">
        <v>94.98999999999999</v>
      </c>
      <c r="H74" s="39" t="inlineStr">
        <is>
          <t>catalog price, 2026-10-13</t>
        </is>
      </c>
      <c r="I74" s="74" t="n">
        <v>84.98999999999999</v>
      </c>
      <c r="J74" s="75" t="inlineStr">
        <is>
          <t>2026-03-30</t>
        </is>
      </c>
      <c r="K74" s="40" t="n">
        <v>33.45999999999999</v>
      </c>
      <c r="L74" s="76" t="n">
        <v>0.3936933756912577</v>
      </c>
      <c r="M74" s="77" t="n">
        <v>5</v>
      </c>
      <c r="N74" s="39" t="inlineStr">
        <is>
          <t>Active</t>
        </is>
      </c>
      <c r="O74" s="39" t="n"/>
      <c r="P74" s="78" t="n">
        <v>4.5</v>
      </c>
      <c r="Q74" s="77" t="n">
        <v>5972</v>
      </c>
      <c r="R74" s="77" t="n">
        <v>19665</v>
      </c>
      <c r="S74" s="77" t="n">
        <v>4</v>
      </c>
      <c r="T74" s="39" t="n"/>
    </row>
    <row r="75" ht="62" customHeight="1">
      <c r="A75" s="12">
        <f>_xlfn.IMAGE("https://m.media-amazon.com/images/I/81iM1GJtuCL.jpg")</f>
        <v/>
      </c>
      <c r="B75" s="39" t="inlineStr">
        <is>
          <t>B0BZQ19QT6</t>
        </is>
      </c>
      <c r="C75" s="39" t="inlineStr">
        <is>
          <t>BAMBOO-FULL-CHARCOAL</t>
        </is>
      </c>
      <c r="D75" s="39" t="inlineStr">
        <is>
          <t>DECOLURE 100% Viscose from Bamboo Sheets Full Size | 4 Pc Cooling Bed Set</t>
        </is>
      </c>
      <c r="E75" s="39" t="inlineStr">
        <is>
          <t>Full</t>
        </is>
      </c>
      <c r="F75" s="39" t="inlineStr">
        <is>
          <t>Charcoal</t>
        </is>
      </c>
      <c r="G75" s="73" t="n">
        <v>74.98999999999999</v>
      </c>
      <c r="H75" s="39" t="inlineStr">
        <is>
          <t>catalog price, 2026-10-13</t>
        </is>
      </c>
      <c r="I75" s="74" t="n">
        <v>69.98999999999999</v>
      </c>
      <c r="J75" s="75" t="inlineStr">
        <is>
          <t>2026-03-30</t>
        </is>
      </c>
      <c r="K75" s="40" t="n">
        <v>28.38</v>
      </c>
      <c r="L75" s="76" t="n">
        <v>0.4054864980711529</v>
      </c>
      <c r="M75" s="77" t="n">
        <v>5</v>
      </c>
      <c r="N75" s="39" t="inlineStr">
        <is>
          <t>Active</t>
        </is>
      </c>
      <c r="O75" s="39" t="n"/>
      <c r="P75" s="78" t="n">
        <v>4.5</v>
      </c>
      <c r="Q75" s="77" t="n">
        <v>5972</v>
      </c>
      <c r="R75" s="77" t="n">
        <v>19665</v>
      </c>
      <c r="S75" s="77" t="n">
        <v>10</v>
      </c>
      <c r="T75" s="39" t="n"/>
    </row>
    <row r="76" ht="62" customHeight="1">
      <c r="A76" s="12">
        <f>_xlfn.IMAGE("https://m.media-amazon.com/images/I/81Jj2qvOarL.jpg")</f>
        <v/>
      </c>
      <c r="B76" s="39" t="inlineStr">
        <is>
          <t>B08KQJYDCR</t>
        </is>
      </c>
      <c r="C76" s="39" t="inlineStr">
        <is>
          <t>BAMBOO-FULL-LIGHTBLUE</t>
        </is>
      </c>
      <c r="D76" s="39" t="inlineStr">
        <is>
          <t>DECOLURE 100% Viscose Derived from Bamboo Sheets Full Size | 4 Pc Bed Set</t>
        </is>
      </c>
      <c r="E76" s="39" t="inlineStr">
        <is>
          <t>Full</t>
        </is>
      </c>
      <c r="F76" s="39" t="inlineStr">
        <is>
          <t>Light Blue</t>
        </is>
      </c>
      <c r="G76" s="73" t="n">
        <v>69.98999999999999</v>
      </c>
      <c r="H76" s="39" t="inlineStr">
        <is>
          <t>catalog price, 2026-10-13</t>
        </is>
      </c>
      <c r="I76" s="74" t="n">
        <v>69.98999999999999</v>
      </c>
      <c r="J76" s="75" t="inlineStr">
        <is>
          <t>2026-03-30</t>
        </is>
      </c>
      <c r="K76" s="40" t="n">
        <v>28.82999999999999</v>
      </c>
      <c r="L76" s="76" t="n">
        <v>0.4119159879982854</v>
      </c>
      <c r="M76" s="77" t="n">
        <v>5</v>
      </c>
      <c r="N76" s="39" t="inlineStr">
        <is>
          <t>Active</t>
        </is>
      </c>
      <c r="O76" s="39" t="n"/>
      <c r="P76" s="78" t="n">
        <v>3.9</v>
      </c>
      <c r="Q76" s="77" t="n">
        <v>61</v>
      </c>
      <c r="R76" s="77" t="n">
        <v>1536373</v>
      </c>
      <c r="S76" s="77" t="n">
        <v>10</v>
      </c>
      <c r="T76" s="79" t="inlineStr">
        <is>
          <t>SEPARATE listing - not in the main review family</t>
        </is>
      </c>
    </row>
    <row r="77" ht="62" customHeight="1">
      <c r="A77" s="12">
        <f>_xlfn.IMAGE("https://m.media-amazon.com/images/I/81b+6M6XcyL.jpg")</f>
        <v/>
      </c>
      <c r="B77" s="39" t="inlineStr">
        <is>
          <t>B0BZQ21K22</t>
        </is>
      </c>
      <c r="C77" s="39" t="inlineStr">
        <is>
          <t>BAMBOO-TWIN-MIDGREY</t>
        </is>
      </c>
      <c r="D77" s="39" t="inlineStr">
        <is>
          <t>DECOLURE 100% Viscose from Bamboo Sheets Twin Size | 3 Pc Cooling Bed Set</t>
        </is>
      </c>
      <c r="E77" s="39" t="inlineStr">
        <is>
          <t>Twin</t>
        </is>
      </c>
      <c r="F77" s="39" t="inlineStr">
        <is>
          <t>Midgrey</t>
        </is>
      </c>
      <c r="G77" s="73" t="n">
        <v>64.98999999999999</v>
      </c>
      <c r="H77" s="39" t="inlineStr">
        <is>
          <t>catalog price, 2026-10-13</t>
        </is>
      </c>
      <c r="I77" s="74" t="n">
        <v>86.98999999999999</v>
      </c>
      <c r="J77" s="75" t="inlineStr">
        <is>
          <t>2026-03-30</t>
        </is>
      </c>
      <c r="K77" s="40" t="n">
        <v>48.2</v>
      </c>
      <c r="L77" s="76" t="n">
        <v>0.5540866766294977</v>
      </c>
      <c r="M77" s="77" t="n">
        <v>5</v>
      </c>
      <c r="N77" s="39" t="inlineStr">
        <is>
          <t>Active</t>
        </is>
      </c>
      <c r="O77" s="39" t="n"/>
      <c r="P77" s="78" t="n">
        <v>4.5</v>
      </c>
      <c r="Q77" s="77" t="n">
        <v>5972</v>
      </c>
      <c r="R77" s="77" t="n">
        <v>19665</v>
      </c>
      <c r="S77" s="77" t="n">
        <v>18</v>
      </c>
      <c r="T77" s="39" t="n"/>
    </row>
    <row r="78" ht="62" customHeight="1">
      <c r="A78" s="12">
        <f>_xlfn.IMAGE("https://m.media-amazon.com/images/I/81mgYawt2DL.jpg")</f>
        <v/>
      </c>
      <c r="B78" s="39" t="inlineStr">
        <is>
          <t>B0BZQ1G5B8</t>
        </is>
      </c>
      <c r="C78" s="39" t="inlineStr">
        <is>
          <t>BAMBOO-CALIFKING-BLACK</t>
        </is>
      </c>
      <c r="D78" s="39" t="inlineStr">
        <is>
          <t>DECOLURE 100% Viscose from Bamboo Sheets | 4 Pc Cooling Bed Set</t>
        </is>
      </c>
      <c r="E78" s="39" t="inlineStr">
        <is>
          <t>California King</t>
        </is>
      </c>
      <c r="F78" s="39" t="inlineStr">
        <is>
          <t>Black</t>
        </is>
      </c>
      <c r="G78" s="73" t="n">
        <v>94.98999999999999</v>
      </c>
      <c r="H78" s="39" t="inlineStr">
        <is>
          <t>catalog price, 2026-10-13</t>
        </is>
      </c>
      <c r="I78" s="40" t="n"/>
      <c r="J78" s="39" t="n"/>
      <c r="K78" s="40" t="n"/>
      <c r="L78" s="76" t="n"/>
      <c r="M78" s="77" t="n">
        <v>4</v>
      </c>
      <c r="N78" s="39" t="inlineStr">
        <is>
          <t>Active</t>
        </is>
      </c>
      <c r="O78" s="39" t="n"/>
      <c r="P78" s="78" t="n">
        <v>4.5</v>
      </c>
      <c r="Q78" s="77" t="n">
        <v>5972</v>
      </c>
      <c r="R78" s="77" t="n">
        <v>19665</v>
      </c>
      <c r="S78" s="77" t="n">
        <v>5</v>
      </c>
      <c r="T78" s="39" t="n"/>
    </row>
    <row r="79" ht="62" customHeight="1">
      <c r="A79" s="12">
        <f>_xlfn.IMAGE("https://m.media-amazon.com/images/I/81Jrmiuxy2L.jpg")</f>
        <v/>
      </c>
      <c r="B79" s="39" t="inlineStr">
        <is>
          <t>B08KQ3C8BX</t>
        </is>
      </c>
      <c r="C79" s="39" t="inlineStr">
        <is>
          <t>BAMBOO-CALIFKING-NAVYBLUE</t>
        </is>
      </c>
      <c r="D79" s="39" t="inlineStr">
        <is>
          <t>DECOLURE 100% Viscose from Bamboo Sheets | 4 Pc Cooling Bed Set</t>
        </is>
      </c>
      <c r="E79" s="39" t="inlineStr">
        <is>
          <t>California King</t>
        </is>
      </c>
      <c r="F79" s="39" t="inlineStr">
        <is>
          <t>Navy Blue</t>
        </is>
      </c>
      <c r="G79" s="73" t="n">
        <v>94.98999999999999</v>
      </c>
      <c r="H79" s="39" t="inlineStr">
        <is>
          <t>catalog price, 2026-10-13</t>
        </is>
      </c>
      <c r="I79" s="74" t="n">
        <v>79.98999999999999</v>
      </c>
      <c r="J79" s="75" t="inlineStr">
        <is>
          <t>2026-03-10</t>
        </is>
      </c>
      <c r="K79" s="40" t="n">
        <v>31.45</v>
      </c>
      <c r="L79" s="76" t="n">
        <v>0.393174146768346</v>
      </c>
      <c r="M79" s="77" t="n">
        <v>4</v>
      </c>
      <c r="N79" s="39" t="inlineStr">
        <is>
          <t>Active</t>
        </is>
      </c>
      <c r="O79" s="39" t="n"/>
      <c r="P79" s="78" t="n">
        <v>4.5</v>
      </c>
      <c r="Q79" s="77" t="n">
        <v>5972</v>
      </c>
      <c r="R79" s="77" t="n">
        <v>19668</v>
      </c>
      <c r="S79" s="77" t="n">
        <v>4</v>
      </c>
      <c r="T79" s="39" t="n"/>
    </row>
    <row r="80" ht="62" customHeight="1">
      <c r="A80" s="12">
        <f>_xlfn.IMAGE("https://m.media-amazon.com/images/I/81jAmePDWeL.jpg")</f>
        <v/>
      </c>
      <c r="B80" s="39" t="inlineStr">
        <is>
          <t>B0BZPZPGDC</t>
        </is>
      </c>
      <c r="C80" s="39" t="inlineStr">
        <is>
          <t>BAMBOO-FULL-LIGHTOLIVE</t>
        </is>
      </c>
      <c r="D80" s="39" t="inlineStr">
        <is>
          <t>DECOLURE 100% Viscose from Bamboo Sheets Full Size | 4 Pc Cooling Bed Set</t>
        </is>
      </c>
      <c r="E80" s="39" t="inlineStr">
        <is>
          <t>Full</t>
        </is>
      </c>
      <c r="F80" s="39" t="inlineStr">
        <is>
          <t>Light Olive</t>
        </is>
      </c>
      <c r="G80" s="73" t="n">
        <v>74.98999999999999</v>
      </c>
      <c r="H80" s="39" t="inlineStr">
        <is>
          <t>catalog price, 2026-10-13</t>
        </is>
      </c>
      <c r="I80" s="74" t="n">
        <v>90.98999999999999</v>
      </c>
      <c r="J80" s="75" t="inlineStr">
        <is>
          <t>2026-03-30</t>
        </is>
      </c>
      <c r="K80" s="40" t="n">
        <v>45.73999999999999</v>
      </c>
      <c r="L80" s="76" t="n">
        <v>0.5026926035828112</v>
      </c>
      <c r="M80" s="77" t="n">
        <v>4</v>
      </c>
      <c r="N80" s="39" t="inlineStr">
        <is>
          <t>Active</t>
        </is>
      </c>
      <c r="O80" s="39" t="n"/>
      <c r="P80" s="78" t="n">
        <v>4.5</v>
      </c>
      <c r="Q80" s="77" t="n">
        <v>5972</v>
      </c>
      <c r="R80" s="77" t="n">
        <v>19665</v>
      </c>
      <c r="S80" s="77" t="n">
        <v>17</v>
      </c>
      <c r="T80" s="39" t="n"/>
    </row>
    <row r="81" ht="62" customHeight="1">
      <c r="A81" s="12">
        <f>_xlfn.IMAGE("https://m.media-amazon.com/images/I/81hxPp-zxnL.jpg")</f>
        <v/>
      </c>
      <c r="B81" s="39" t="inlineStr">
        <is>
          <t>B0CLKDSVCV</t>
        </is>
      </c>
      <c r="C81" s="39" t="inlineStr">
        <is>
          <t>BAMBOO-FULL-LIGHT PINK</t>
        </is>
      </c>
      <c r="D81" s="39" t="inlineStr">
        <is>
          <t>DECOLURE 100% Viscose from Bamboo Sheets Full Size | 4 Pc Cooling Bed Set</t>
        </is>
      </c>
      <c r="E81" s="39" t="inlineStr">
        <is>
          <t>Full</t>
        </is>
      </c>
      <c r="F81" s="39" t="inlineStr">
        <is>
          <t>Light Pink</t>
        </is>
      </c>
      <c r="G81" s="73" t="n">
        <v>55.05</v>
      </c>
      <c r="H81" s="39" t="inlineStr">
        <is>
          <t>catalog price, 2026-10-13</t>
        </is>
      </c>
      <c r="I81" s="74" t="n">
        <v>64.98999999999999</v>
      </c>
      <c r="J81" s="75" t="inlineStr">
        <is>
          <t>2026-03-04</t>
        </is>
      </c>
      <c r="K81" s="40" t="n">
        <v>25.06</v>
      </c>
      <c r="L81" s="76" t="n">
        <v>0.3855977842745038</v>
      </c>
      <c r="M81" s="77" t="n">
        <v>4</v>
      </c>
      <c r="N81" s="39" t="inlineStr">
        <is>
          <t>Active</t>
        </is>
      </c>
      <c r="O81" s="39" t="n"/>
      <c r="P81" s="78" t="n">
        <v>4.5</v>
      </c>
      <c r="Q81" s="77" t="n">
        <v>5972</v>
      </c>
      <c r="R81" s="77" t="n">
        <v>19665</v>
      </c>
      <c r="S81" s="77" t="n">
        <v>24</v>
      </c>
      <c r="T81" s="39" t="n"/>
    </row>
    <row r="82" ht="62" customHeight="1">
      <c r="A82" s="12">
        <f>_xlfn.IMAGE("https://m.media-amazon.com/images/I/81xF6TwRowL._AC_SY355_.jpg")</f>
        <v/>
      </c>
      <c r="B82" s="39" t="inlineStr">
        <is>
          <t>B08KQKS54Q</t>
        </is>
      </c>
      <c r="C82" s="39" t="inlineStr">
        <is>
          <t>BAMBOO-TWIN-CREME</t>
        </is>
      </c>
      <c r="D82" s="39" t="inlineStr">
        <is>
          <t>DECOLURE 100% Viscose from Bamboo Sheets Twin Size | 3 Pc Cooling Bed Set</t>
        </is>
      </c>
      <c r="E82" s="39" t="inlineStr">
        <is>
          <t>Twin</t>
        </is>
      </c>
      <c r="F82" s="39" t="inlineStr">
        <is>
          <t>Creme</t>
        </is>
      </c>
      <c r="G82" s="73" t="n">
        <v>64.98999999999999</v>
      </c>
      <c r="H82" s="39" t="inlineStr">
        <is>
          <t>catalog price, 2026-10-13</t>
        </is>
      </c>
      <c r="I82" s="74" t="n">
        <v>59.99</v>
      </c>
      <c r="J82" s="75" t="inlineStr">
        <is>
          <t>2026-03-30</t>
        </is>
      </c>
      <c r="K82" s="40" t="n">
        <v>24.98</v>
      </c>
      <c r="L82" s="76" t="n">
        <v>0.4164027337889648</v>
      </c>
      <c r="M82" s="77" t="n">
        <v>4</v>
      </c>
      <c r="N82" s="39" t="n"/>
      <c r="O82" s="39" t="n"/>
      <c r="P82" s="78" t="n">
        <v>4.5</v>
      </c>
      <c r="Q82" s="77" t="n">
        <v>5972</v>
      </c>
      <c r="R82" s="77" t="n">
        <v>19665</v>
      </c>
      <c r="S82" s="77" t="n">
        <v>17</v>
      </c>
      <c r="T82" s="39" t="n"/>
    </row>
    <row r="83" ht="62" customHeight="1">
      <c r="A83" s="12">
        <f>_xlfn.IMAGE("https://m.media-amazon.com/images/I/81Mz595QL2L.jpg")</f>
        <v/>
      </c>
      <c r="B83" s="39" t="inlineStr">
        <is>
          <t>B08KQLFRVR</t>
        </is>
      </c>
      <c r="C83" s="39" t="inlineStr">
        <is>
          <t>BAMBOO-CALIFKING-LIGHTGREY</t>
        </is>
      </c>
      <c r="D83" s="39" t="inlineStr">
        <is>
          <t>DECOLURE 100% Viscose from Bamboo Sheets | 4 Pc Cooling Bed Set</t>
        </is>
      </c>
      <c r="E83" s="39" t="inlineStr">
        <is>
          <t>California King</t>
        </is>
      </c>
      <c r="F83" s="39" t="inlineStr">
        <is>
          <t>Light Grey</t>
        </is>
      </c>
      <c r="G83" s="73" t="n">
        <v>94.98999999999999</v>
      </c>
      <c r="H83" s="39" t="inlineStr">
        <is>
          <t>catalog price, 2026-10-13</t>
        </is>
      </c>
      <c r="I83" s="74" t="n">
        <v>79.98999999999999</v>
      </c>
      <c r="J83" s="75" t="inlineStr">
        <is>
          <t>2026-03-04</t>
        </is>
      </c>
      <c r="K83" s="40" t="n">
        <v>30.34999999999999</v>
      </c>
      <c r="L83" s="76" t="n">
        <v>0.3794224278034754</v>
      </c>
      <c r="M83" s="77" t="n">
        <v>3</v>
      </c>
      <c r="N83" s="39" t="inlineStr">
        <is>
          <t>Active</t>
        </is>
      </c>
      <c r="O83" s="39" t="n"/>
      <c r="P83" s="78" t="n">
        <v>4.5</v>
      </c>
      <c r="Q83" s="77" t="n">
        <v>5972</v>
      </c>
      <c r="R83" s="77" t="n">
        <v>19665</v>
      </c>
      <c r="S83" s="77" t="n">
        <v>4</v>
      </c>
      <c r="T83" s="39" t="n"/>
    </row>
    <row r="84" ht="62" customHeight="1">
      <c r="A84" s="12">
        <f>_xlfn.IMAGE("https://m.media-amazon.com/images/I/81LPiN50m6L.jpg")</f>
        <v/>
      </c>
      <c r="B84" s="39" t="inlineStr">
        <is>
          <t>B0BZQ5SDNS</t>
        </is>
      </c>
      <c r="C84" s="39" t="inlineStr">
        <is>
          <t>BAMBOO-CALIFKING-PURPLE</t>
        </is>
      </c>
      <c r="D84" s="39" t="inlineStr">
        <is>
          <t>DECOLURE 100% Viscose from Bamboo Sheets | 4 Pc Cooling Bed Set</t>
        </is>
      </c>
      <c r="E84" s="39" t="inlineStr">
        <is>
          <t>California King</t>
        </is>
      </c>
      <c r="F84" s="39" t="inlineStr">
        <is>
          <t>Purple</t>
        </is>
      </c>
      <c r="G84" s="73" t="n">
        <v>94.98999999999999</v>
      </c>
      <c r="H84" s="39" t="inlineStr">
        <is>
          <t>catalog price, 2026-10-13</t>
        </is>
      </c>
      <c r="I84" s="74" t="n">
        <v>84.98999999999999</v>
      </c>
      <c r="J84" s="75" t="inlineStr">
        <is>
          <t>2026-03-30</t>
        </is>
      </c>
      <c r="K84" s="40" t="n">
        <v>33.48999999999999</v>
      </c>
      <c r="L84" s="76" t="n">
        <v>0.3940463583951053</v>
      </c>
      <c r="M84" s="77" t="n">
        <v>3</v>
      </c>
      <c r="N84" s="39" t="inlineStr">
        <is>
          <t>Active</t>
        </is>
      </c>
      <c r="O84" s="39" t="n"/>
      <c r="P84" s="78" t="n">
        <v>4.5</v>
      </c>
      <c r="Q84" s="77" t="n">
        <v>5972</v>
      </c>
      <c r="R84" s="77" t="n">
        <v>19668</v>
      </c>
      <c r="S84" s="77" t="n">
        <v>3</v>
      </c>
      <c r="T84" s="39" t="n"/>
    </row>
    <row r="85" ht="62" customHeight="1">
      <c r="A85" s="12">
        <f>_xlfn.IMAGE("https://m.media-amazon.com/images/I/81iM1GJtuCL.jpg")</f>
        <v/>
      </c>
      <c r="B85" s="39" t="inlineStr">
        <is>
          <t>B0BZQ228PV</t>
        </is>
      </c>
      <c r="C85" s="39" t="inlineStr">
        <is>
          <t>BAMBOO-TWIN-CHARCOAL</t>
        </is>
      </c>
      <c r="D85" s="39" t="inlineStr">
        <is>
          <t>DECOLURE 100% Viscose from Bamboo Sheets Twin Size | 3 Pc Cooling Bed Set</t>
        </is>
      </c>
      <c r="E85" s="39" t="inlineStr">
        <is>
          <t>Twin</t>
        </is>
      </c>
      <c r="F85" s="39" t="inlineStr">
        <is>
          <t>Charcoal</t>
        </is>
      </c>
      <c r="G85" s="73" t="n">
        <v>64.98999999999999</v>
      </c>
      <c r="H85" s="39" t="inlineStr">
        <is>
          <t>catalog price, 2026-10-13</t>
        </is>
      </c>
      <c r="I85" s="74" t="n">
        <v>54.99</v>
      </c>
      <c r="J85" s="75" t="inlineStr">
        <is>
          <t>2026-03-04</t>
        </is>
      </c>
      <c r="K85" s="40" t="n">
        <v>19.34</v>
      </c>
      <c r="L85" s="76" t="n">
        <v>0.3517003091471176</v>
      </c>
      <c r="M85" s="77" t="n">
        <v>2</v>
      </c>
      <c r="N85" s="39" t="inlineStr">
        <is>
          <t>Active</t>
        </is>
      </c>
      <c r="O85" s="39" t="n"/>
      <c r="P85" s="78" t="n">
        <v>4.5</v>
      </c>
      <c r="Q85" s="77" t="n">
        <v>5972</v>
      </c>
      <c r="R85" s="77" t="n">
        <v>19665</v>
      </c>
      <c r="S85" s="77" t="n">
        <v>13</v>
      </c>
      <c r="T85" s="39" t="n"/>
    </row>
    <row r="86" ht="62" customHeight="1">
      <c r="A86" s="12">
        <f>_xlfn.IMAGE("https://m.media-amazon.com/images/I/81kW25KnIDL.jpg")</f>
        <v/>
      </c>
      <c r="B86" s="39" t="inlineStr">
        <is>
          <t>B0CRHYS5KT</t>
        </is>
      </c>
      <c r="C86" s="39" t="inlineStr">
        <is>
          <t>BAMBOO-FULL-BURGUNDY-NEW</t>
        </is>
      </c>
      <c r="D86" s="39" t="n"/>
      <c r="E86" s="39" t="inlineStr">
        <is>
          <t>Full</t>
        </is>
      </c>
      <c r="F86" s="39" t="inlineStr">
        <is>
          <t>Burgundy</t>
        </is>
      </c>
      <c r="G86" s="40" t="n"/>
      <c r="H86" s="39" t="n"/>
      <c r="I86" s="74" t="n">
        <v>96.98999999999999</v>
      </c>
      <c r="J86" s="75" t="inlineStr">
        <is>
          <t>2026-03-30</t>
        </is>
      </c>
      <c r="K86" s="40" t="n">
        <v>51.41</v>
      </c>
      <c r="L86" s="76" t="n">
        <v>0.5300546448087432</v>
      </c>
      <c r="M86" s="77" t="n">
        <v>1</v>
      </c>
      <c r="N86" s="39" t="n"/>
      <c r="O86" s="39" t="n"/>
      <c r="P86" s="78" t="n"/>
      <c r="Q86" s="77" t="n"/>
      <c r="R86" s="77" t="n"/>
      <c r="S86" s="77" t="n"/>
      <c r="T86" s="39" t="n"/>
    </row>
    <row r="87" ht="62" customHeight="1">
      <c r="A87" s="12">
        <f>_xlfn.IMAGE("https://m.media-amazon.com/images/I/81Jrmiuxy2L._AC_SY355_.jpg")</f>
        <v/>
      </c>
      <c r="B87" s="39" t="inlineStr">
        <is>
          <t>B08KQL2JT8</t>
        </is>
      </c>
      <c r="C87" s="39" t="inlineStr">
        <is>
          <t>BAMBOO-FULL-NAVYBLUE</t>
        </is>
      </c>
      <c r="D87" s="39" t="inlineStr">
        <is>
          <t>DECOLURE 100% Viscose from Bamboo Sheets Full Size | 4 Pc Cooling Bed Set</t>
        </is>
      </c>
      <c r="E87" s="39" t="inlineStr">
        <is>
          <t>Full</t>
        </is>
      </c>
      <c r="F87" s="39" t="inlineStr">
        <is>
          <t>Navy Blue</t>
        </is>
      </c>
      <c r="G87" s="73" t="n">
        <v>69.98999999999999</v>
      </c>
      <c r="H87" s="39" t="inlineStr">
        <is>
          <t>catalog price, 2026-10-13</t>
        </is>
      </c>
      <c r="I87" s="74" t="n">
        <v>69.98999999999999</v>
      </c>
      <c r="J87" s="75" t="inlineStr">
        <is>
          <t>2026-03-30</t>
        </is>
      </c>
      <c r="K87" s="40" t="n">
        <v>28.25999999999999</v>
      </c>
      <c r="L87" s="76" t="n">
        <v>0.4037719674239176</v>
      </c>
      <c r="M87" s="77" t="n">
        <v>1</v>
      </c>
      <c r="N87" s="39" t="n"/>
      <c r="O87" s="39" t="n"/>
      <c r="P87" s="78" t="n">
        <v>4.5</v>
      </c>
      <c r="Q87" s="77" t="n">
        <v>5972</v>
      </c>
      <c r="R87" s="77" t="n">
        <v>19665</v>
      </c>
      <c r="S87" s="77" t="n">
        <v>11</v>
      </c>
      <c r="T87" s="39" t="n"/>
    </row>
    <row r="88" ht="62" customHeight="1">
      <c r="A88" s="12">
        <f>_xlfn.IMAGE("https://m.media-amazon.com/images/I/81bmbyz5uFL.jpg")</f>
        <v/>
      </c>
      <c r="B88" s="39" t="inlineStr">
        <is>
          <t>B08KQJBRKM</t>
        </is>
      </c>
      <c r="C88" s="39" t="inlineStr">
        <is>
          <t>BAMBOO-FULL-TAUPE</t>
        </is>
      </c>
      <c r="D88" s="39" t="n"/>
      <c r="E88" s="39" t="inlineStr">
        <is>
          <t>Full</t>
        </is>
      </c>
      <c r="F88" s="39" t="inlineStr">
        <is>
          <t>Taupe</t>
        </is>
      </c>
      <c r="G88" s="40" t="n"/>
      <c r="H88" s="39" t="n"/>
      <c r="I88" s="74" t="n">
        <v>69.98999999999999</v>
      </c>
      <c r="J88" s="75" t="inlineStr">
        <is>
          <t>2026-03-30</t>
        </is>
      </c>
      <c r="K88" s="40" t="n">
        <v>28.9</v>
      </c>
      <c r="L88" s="76" t="n">
        <v>0.4129161308758394</v>
      </c>
      <c r="M88" s="77" t="n">
        <v>1</v>
      </c>
      <c r="N88" s="39" t="n"/>
      <c r="O88" s="39" t="n"/>
      <c r="P88" s="78" t="n"/>
      <c r="Q88" s="77" t="n"/>
      <c r="R88" s="77" t="n"/>
      <c r="S88" s="77" t="n"/>
      <c r="T88" s="39" t="n"/>
    </row>
    <row r="89" ht="62" customHeight="1">
      <c r="A89" s="12">
        <f>_xlfn.IMAGE("https://m.media-amazon.com/images/I/81T+gwobemL.jpg")</f>
        <v/>
      </c>
      <c r="B89" s="39" t="inlineStr">
        <is>
          <t>B0CLKCDHHS</t>
        </is>
      </c>
      <c r="C89" s="39" t="inlineStr">
        <is>
          <t>BAMBOO-KING-SAGE GREEN</t>
        </is>
      </c>
      <c r="D89" s="39" t="inlineStr">
        <is>
          <t>DECOLURE 100% Viscose from Bamboo Sheets King Size | 4 Pc Cooling Bed Set</t>
        </is>
      </c>
      <c r="E89" s="39" t="inlineStr">
        <is>
          <t>King</t>
        </is>
      </c>
      <c r="F89" s="39" t="inlineStr">
        <is>
          <t>Sage Green</t>
        </is>
      </c>
      <c r="G89" s="73" t="n">
        <v>84.98999999999999</v>
      </c>
      <c r="H89" s="39" t="inlineStr">
        <is>
          <t>catalog price, 2026-10-13</t>
        </is>
      </c>
      <c r="I89" s="74" t="n">
        <v>84.98999999999999</v>
      </c>
      <c r="J89" s="75" t="inlineStr">
        <is>
          <t>2026-03-30</t>
        </is>
      </c>
      <c r="K89" s="40" t="n">
        <v>35.21999999999999</v>
      </c>
      <c r="L89" s="76" t="n">
        <v>0.4144016943169784</v>
      </c>
      <c r="M89" s="77" t="n">
        <v>1</v>
      </c>
      <c r="N89" s="39" t="inlineStr">
        <is>
          <t>Active</t>
        </is>
      </c>
      <c r="O89" s="39" t="n"/>
      <c r="P89" s="78" t="n">
        <v>4.5</v>
      </c>
      <c r="Q89" s="77" t="n">
        <v>5972</v>
      </c>
      <c r="R89" s="77" t="n">
        <v>19668</v>
      </c>
      <c r="S89" s="77" t="n">
        <v>21</v>
      </c>
      <c r="T89" s="39" t="n"/>
    </row>
    <row r="90" ht="62" customHeight="1">
      <c r="A90" s="12">
        <f>_xlfn.IMAGE("https://m.media-amazon.com/images/I/81URS7+KRYL.jpg")</f>
        <v/>
      </c>
      <c r="B90" s="39" t="inlineStr">
        <is>
          <t>B0BZQ1FBJ9</t>
        </is>
      </c>
      <c r="C90" s="39" t="inlineStr">
        <is>
          <t>BAMBOO-QUEEN-BLACK</t>
        </is>
      </c>
      <c r="D90" s="39" t="inlineStr">
        <is>
          <t>DECOLURE 100% Viscose from Bamboo Sheets Queen Size | 4 Pc Cooling Bed Set</t>
        </is>
      </c>
      <c r="E90" s="39" t="inlineStr">
        <is>
          <t>Queen</t>
        </is>
      </c>
      <c r="F90" s="39" t="inlineStr">
        <is>
          <t>Black</t>
        </is>
      </c>
      <c r="G90" s="40" t="n"/>
      <c r="H90" s="39" t="n"/>
      <c r="I90" s="74" t="n">
        <v>74.98999999999999</v>
      </c>
      <c r="J90" s="75" t="inlineStr">
        <is>
          <t>2026-03-04</t>
        </is>
      </c>
      <c r="K90" s="40" t="n">
        <v>31.59</v>
      </c>
      <c r="L90" s="76" t="n">
        <v>0.4212561674889985</v>
      </c>
      <c r="M90" s="77" t="n">
        <v>1</v>
      </c>
      <c r="N90" s="39" t="inlineStr">
        <is>
          <t>Inactive</t>
        </is>
      </c>
      <c r="O90" s="39" t="n"/>
      <c r="P90" s="78" t="n"/>
      <c r="Q90" s="77" t="n"/>
      <c r="R90" s="77" t="n"/>
      <c r="S90" s="77" t="n"/>
      <c r="T90" s="39" t="n"/>
    </row>
    <row r="91" ht="62" customHeight="1">
      <c r="A91" s="12">
        <f>_xlfn.IMAGE("https://m.media-amazon.com/images/I/81F0yDBRKQL.jpg")</f>
        <v/>
      </c>
      <c r="B91" s="39" t="inlineStr">
        <is>
          <t>B0CLKCVLRG</t>
        </is>
      </c>
      <c r="C91" s="39" t="inlineStr">
        <is>
          <t>BAMBOO-CALIFKING-SAGE GREEN</t>
        </is>
      </c>
      <c r="D91" s="39" t="inlineStr">
        <is>
          <t>DECOLURE 100% Viscose from Bamboo Sheets | 4 Pc Cooling Bed Set</t>
        </is>
      </c>
      <c r="E91" s="39" t="inlineStr">
        <is>
          <t>California King</t>
        </is>
      </c>
      <c r="F91" s="39" t="inlineStr">
        <is>
          <t>Sage Green</t>
        </is>
      </c>
      <c r="G91" s="73" t="n">
        <v>84.98999999999999</v>
      </c>
      <c r="H91" s="39" t="inlineStr">
        <is>
          <t>catalog price, 2026-10-13</t>
        </is>
      </c>
      <c r="I91" s="74" t="n">
        <v>84.98999999999999</v>
      </c>
      <c r="J91" s="75" t="inlineStr">
        <is>
          <t>2026-03-30</t>
        </is>
      </c>
      <c r="K91" s="40" t="n">
        <v>33.77</v>
      </c>
      <c r="L91" s="76" t="n">
        <v>0.3973408636310154</v>
      </c>
      <c r="M91" s="77" t="n">
        <v>0</v>
      </c>
      <c r="N91" s="39" t="inlineStr">
        <is>
          <t>Inactive</t>
        </is>
      </c>
      <c r="O91" s="39" t="n"/>
      <c r="P91" s="78" t="n">
        <v>4.5</v>
      </c>
      <c r="Q91" s="77" t="n">
        <v>5972</v>
      </c>
      <c r="R91" s="77" t="n">
        <v>19665</v>
      </c>
      <c r="S91" s="77" t="n">
        <v>0</v>
      </c>
      <c r="T91" s="39" t="n"/>
    </row>
    <row r="92" ht="62" customHeight="1">
      <c r="A92" s="12">
        <f>_xlfn.IMAGE("https://m.media-amazon.com/images/I/81gCPnwH3FL.jpg")</f>
        <v/>
      </c>
      <c r="B92" s="39" t="inlineStr">
        <is>
          <t>B0HJP3MMMJ</t>
        </is>
      </c>
      <c r="C92" s="39" t="inlineStr">
        <is>
          <t>BAMBOO-FULL-4PCS-LIGHTBLUE</t>
        </is>
      </c>
      <c r="D92" s="39" t="inlineStr">
        <is>
          <t>DECOLURE 100% Viscose from Bamboo Sheets Full Size | 4 Pc Cooling Bed Set</t>
        </is>
      </c>
      <c r="E92" s="39" t="inlineStr">
        <is>
          <t>Full</t>
        </is>
      </c>
      <c r="F92" s="39" t="inlineStr">
        <is>
          <t>Light Blue</t>
        </is>
      </c>
      <c r="G92" s="40" t="n"/>
      <c r="H92" s="39" t="n"/>
      <c r="I92" s="40" t="n"/>
      <c r="J92" s="39" t="n"/>
      <c r="K92" s="40" t="n"/>
      <c r="L92" s="76" t="n"/>
      <c r="M92" s="77" t="n"/>
      <c r="N92" s="39" t="inlineStr">
        <is>
          <t>Inactive</t>
        </is>
      </c>
      <c r="O92" s="39" t="n"/>
      <c r="P92" s="78" t="n"/>
      <c r="Q92" s="77" t="n"/>
      <c r="R92" s="77" t="n"/>
      <c r="S92" s="77" t="n"/>
      <c r="T92" s="39" t="n"/>
    </row>
    <row r="93" ht="62" customHeight="1">
      <c r="A93" s="12">
        <f>_xlfn.IMAGE("https://m.media-amazon.com/images/I/81E9bvs4TYL.jpg")</f>
        <v/>
      </c>
      <c r="B93" s="39" t="inlineStr">
        <is>
          <t>B08KQJV49M</t>
        </is>
      </c>
      <c r="C93" s="39" t="inlineStr">
        <is>
          <t>BAMBOO-FULL-WHITE</t>
        </is>
      </c>
      <c r="D93" s="39" t="inlineStr">
        <is>
          <t>DECOLURE 100% Viscose from Bamboo Sheets Full Size | 4 Pc Cooling Bed Set</t>
        </is>
      </c>
      <c r="E93" s="39" t="inlineStr">
        <is>
          <t>Full</t>
        </is>
      </c>
      <c r="F93" s="39" t="inlineStr">
        <is>
          <t>White</t>
        </is>
      </c>
      <c r="G93" s="73" t="n">
        <v>69.98999999999999</v>
      </c>
      <c r="H93" s="39" t="inlineStr">
        <is>
          <t>catalog price, 2026-10-13</t>
        </is>
      </c>
      <c r="I93" s="74" t="n">
        <v>64.98999999999999</v>
      </c>
      <c r="J93" s="75" t="inlineStr">
        <is>
          <t>2026-03-30</t>
        </is>
      </c>
      <c r="K93" s="40" t="n">
        <v>24.60999999999999</v>
      </c>
      <c r="L93" s="76" t="n">
        <v>0.3786736420987843</v>
      </c>
      <c r="M93" s="77" t="n">
        <v>0</v>
      </c>
      <c r="N93" s="39" t="inlineStr">
        <is>
          <t>Active</t>
        </is>
      </c>
      <c r="O93" s="39" t="n"/>
      <c r="P93" s="78" t="n">
        <v>4.5</v>
      </c>
      <c r="Q93" s="77" t="n">
        <v>5972</v>
      </c>
      <c r="R93" s="77" t="n">
        <v>19665</v>
      </c>
      <c r="S93" s="77" t="n">
        <v>0</v>
      </c>
      <c r="T93" s="39" t="n"/>
    </row>
    <row r="94" ht="62" customHeight="1">
      <c r="A94" s="12">
        <f>_xlfn.IMAGE("https://m.media-amazon.com/images/I/81aBlh93veL.jpg")</f>
        <v/>
      </c>
      <c r="B94" s="39" t="inlineStr">
        <is>
          <t>B0BZPVXR69</t>
        </is>
      </c>
      <c r="C94" s="39" t="inlineStr">
        <is>
          <t>BAMBOO-KING-MIDGREY</t>
        </is>
      </c>
      <c r="D94" s="39" t="inlineStr">
        <is>
          <t>DECOLURE 100% Viscose from Bamboo Sheets King Size | 4 Pc Cooling Bed Set</t>
        </is>
      </c>
      <c r="E94" s="39" t="inlineStr">
        <is>
          <t>King</t>
        </is>
      </c>
      <c r="F94" s="39" t="inlineStr">
        <is>
          <t>Midgrey</t>
        </is>
      </c>
      <c r="G94" s="73" t="n">
        <v>84.98999999999999</v>
      </c>
      <c r="H94" s="39" t="inlineStr">
        <is>
          <t>catalog price, 2026-10-13</t>
        </is>
      </c>
      <c r="I94" s="74" t="n">
        <v>84.98999999999999</v>
      </c>
      <c r="J94" s="75" t="inlineStr">
        <is>
          <t>2026-03-30</t>
        </is>
      </c>
      <c r="K94" s="40" t="n">
        <v>34.69999999999999</v>
      </c>
      <c r="L94" s="76" t="n">
        <v>0.4082833274502882</v>
      </c>
      <c r="M94" s="77" t="n">
        <v>0</v>
      </c>
      <c r="N94" s="39" t="inlineStr">
        <is>
          <t>Active</t>
        </is>
      </c>
      <c r="O94" s="39" t="n"/>
      <c r="P94" s="78" t="n">
        <v>4.5</v>
      </c>
      <c r="Q94" s="77" t="n">
        <v>5972</v>
      </c>
      <c r="R94" s="77" t="n">
        <v>19668</v>
      </c>
      <c r="S94" s="77" t="n">
        <v>11</v>
      </c>
      <c r="T94" s="39" t="n"/>
    </row>
    <row r="95" ht="62" customHeight="1">
      <c r="A95" s="12">
        <f>_xlfn.IMAGE("https://m.media-amazon.com/images/I/81LPiN50m6L.jpg")</f>
        <v/>
      </c>
      <c r="B95" s="39" t="inlineStr">
        <is>
          <t>B0BZQ3F8RQ</t>
        </is>
      </c>
      <c r="C95" s="39" t="inlineStr">
        <is>
          <t>BAMBOO-KING-PURPLE</t>
        </is>
      </c>
      <c r="D95" s="39" t="inlineStr">
        <is>
          <t>DECOLURE 100% Viscose from Bamboo Sheets King Size | 4 Pc Cooling Bed Set</t>
        </is>
      </c>
      <c r="E95" s="39" t="inlineStr">
        <is>
          <t>King</t>
        </is>
      </c>
      <c r="F95" s="39" t="inlineStr">
        <is>
          <t>Purple</t>
        </is>
      </c>
      <c r="G95" s="73" t="n">
        <v>84.98999999999999</v>
      </c>
      <c r="H95" s="39" t="inlineStr">
        <is>
          <t>catalog price, 2026-10-13</t>
        </is>
      </c>
      <c r="I95" s="74" t="n">
        <v>84.98999999999999</v>
      </c>
      <c r="J95" s="75" t="inlineStr">
        <is>
          <t>2026-03-30</t>
        </is>
      </c>
      <c r="K95" s="40" t="n">
        <v>35.05</v>
      </c>
      <c r="L95" s="76" t="n">
        <v>0.4124014589951759</v>
      </c>
      <c r="M95" s="77" t="n">
        <v>0</v>
      </c>
      <c r="N95" s="39" t="inlineStr">
        <is>
          <t>Active</t>
        </is>
      </c>
      <c r="O95" s="39" t="n"/>
      <c r="P95" s="78" t="n">
        <v>4.5</v>
      </c>
      <c r="Q95" s="77" t="n">
        <v>5972</v>
      </c>
      <c r="R95" s="77" t="n">
        <v>19665</v>
      </c>
      <c r="S95" s="77" t="n">
        <v>0</v>
      </c>
      <c r="T95" s="39" t="n"/>
    </row>
    <row r="96" ht="62" customHeight="1">
      <c r="A96" s="12">
        <f>_xlfn.IMAGE("https://m.media-amazon.com/images/I/81D6WwGAJIL.jpg")</f>
        <v/>
      </c>
      <c r="B96" s="39" t="inlineStr">
        <is>
          <t>B08KQJ61T7</t>
        </is>
      </c>
      <c r="C96" s="39" t="inlineStr">
        <is>
          <t>BAMBOO-KING-TAUPE</t>
        </is>
      </c>
      <c r="D96" s="39" t="inlineStr">
        <is>
          <t>DECOLURE 100% Viscose from Bamboo Sheets King Size | 4 Pc Cooling Bed Set</t>
        </is>
      </c>
      <c r="E96" s="39" t="inlineStr">
        <is>
          <t>King</t>
        </is>
      </c>
      <c r="F96" s="39" t="inlineStr">
        <is>
          <t>Taupe</t>
        </is>
      </c>
      <c r="G96" s="40" t="n"/>
      <c r="H96" s="39" t="n"/>
      <c r="I96" s="74" t="n">
        <v>79.98999999999999</v>
      </c>
      <c r="J96" s="75" t="inlineStr">
        <is>
          <t>2026-03-30</t>
        </is>
      </c>
      <c r="K96" s="40" t="n">
        <v>31.31</v>
      </c>
      <c r="L96" s="76" t="n">
        <v>0.3914239279909989</v>
      </c>
      <c r="M96" s="77" t="n">
        <v>0</v>
      </c>
      <c r="N96" s="39" t="inlineStr">
        <is>
          <t>Inactive</t>
        </is>
      </c>
      <c r="O96" s="39" t="n"/>
      <c r="P96" s="78" t="n"/>
      <c r="Q96" s="77" t="n"/>
      <c r="R96" s="77" t="n"/>
      <c r="S96" s="77" t="n"/>
      <c r="T96" s="39" t="n"/>
    </row>
    <row r="97" ht="62" customHeight="1">
      <c r="A97" s="12">
        <f>_xlfn.IMAGE("https://m.media-amazon.com/images/I/81hxPp-zxnL.jpg")</f>
        <v/>
      </c>
      <c r="B97" s="39" t="inlineStr">
        <is>
          <t>B0CLKCT674</t>
        </is>
      </c>
      <c r="C97" s="39" t="inlineStr">
        <is>
          <t>BAMBOO-QUEEN-LIGHT PINK</t>
        </is>
      </c>
      <c r="D97" s="39" t="inlineStr">
        <is>
          <t>DECOLURE 100% Viscose from Bamboo Sheets Queen Size | 4 Pc Cooling Bed Set</t>
        </is>
      </c>
      <c r="E97" s="39" t="inlineStr">
        <is>
          <t>Queen</t>
        </is>
      </c>
      <c r="F97" s="39" t="inlineStr">
        <is>
          <t>Light Pink</t>
        </is>
      </c>
      <c r="G97" s="73" t="n">
        <v>79.98999999999999</v>
      </c>
      <c r="H97" s="39" t="inlineStr">
        <is>
          <t>catalog price, 2026-10-13</t>
        </is>
      </c>
      <c r="I97" s="74" t="n">
        <v>79.98999999999999</v>
      </c>
      <c r="J97" s="75" t="inlineStr">
        <is>
          <t>2026-03-30</t>
        </is>
      </c>
      <c r="K97" s="40" t="n">
        <v>34.61999999999999</v>
      </c>
      <c r="L97" s="76" t="n">
        <v>0.432804100512564</v>
      </c>
      <c r="M97" s="77" t="n"/>
      <c r="N97" s="39" t="inlineStr">
        <is>
          <t>Active</t>
        </is>
      </c>
      <c r="O97" s="39" t="n"/>
      <c r="P97" s="78" t="n">
        <v>4.5</v>
      </c>
      <c r="Q97" s="77" t="n">
        <v>5972</v>
      </c>
      <c r="R97" s="77" t="n">
        <v>19665</v>
      </c>
      <c r="S97" s="77" t="n">
        <v>0</v>
      </c>
      <c r="T97" s="39" t="n"/>
    </row>
    <row r="98" ht="62" customHeight="1">
      <c r="A98" s="12">
        <f>_xlfn.IMAGE("https://m.media-amazon.com/images/I/81VPGVLRjlL._AC_SY355_.jpg")</f>
        <v/>
      </c>
      <c r="B98" s="39" t="inlineStr">
        <is>
          <t>B0BZQ3XM7P</t>
        </is>
      </c>
      <c r="C98" s="39" t="inlineStr">
        <is>
          <t>BAMBOO-TWIN-LIGHTOLIVE</t>
        </is>
      </c>
      <c r="D98" s="39" t="inlineStr">
        <is>
          <t>DECOLURE 100% Viscose from Bamboo Sheets Twin Size | 3 Pc Cooling Bed Set</t>
        </is>
      </c>
      <c r="E98" s="39" t="inlineStr">
        <is>
          <t>Twin</t>
        </is>
      </c>
      <c r="F98" s="39" t="inlineStr">
        <is>
          <t>Light Olive</t>
        </is>
      </c>
      <c r="G98" s="73" t="n">
        <v>64.98999999999999</v>
      </c>
      <c r="H98" s="39" t="inlineStr">
        <is>
          <t>catalog price, 2026-10-13</t>
        </is>
      </c>
      <c r="I98" s="74" t="n">
        <v>85.98999999999999</v>
      </c>
      <c r="J98" s="75" t="inlineStr">
        <is>
          <t>2026-03-30</t>
        </is>
      </c>
      <c r="K98" s="40" t="n">
        <v>45.69</v>
      </c>
      <c r="L98" s="76" t="n">
        <v>0.5313408535876265</v>
      </c>
      <c r="M98" s="77" t="n">
        <v>0</v>
      </c>
      <c r="N98" s="39" t="n"/>
      <c r="O98" s="39" t="n"/>
      <c r="P98" s="78" t="n">
        <v>4.5</v>
      </c>
      <c r="Q98" s="77" t="n">
        <v>5972</v>
      </c>
      <c r="R98" s="77" t="n">
        <v>19665</v>
      </c>
      <c r="S98" s="77" t="n">
        <v>17</v>
      </c>
      <c r="T98" s="39" t="n"/>
    </row>
    <row r="99"/>
    <row r="100" ht="22" customHeight="1">
      <c r="A100" s="65" t="inlineStr">
        <is>
          <t>3 ▼</t>
        </is>
      </c>
      <c r="B100" s="66" t="inlineStr">
        <is>
          <t>OUR BFCM 2025 RESULT &amp; EVENT VISIBILITY</t>
        </is>
      </c>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67" t="n"/>
      <c r="AG100" s="67" t="n"/>
      <c r="AH100" s="67" t="n"/>
      <c r="AI100" s="67" t="n"/>
      <c r="AJ100" s="67" t="n"/>
      <c r="AK100" s="67" t="n"/>
      <c r="AL100" s="67" t="n"/>
      <c r="AM100" s="67" t="n"/>
      <c r="AN100" s="67" t="n"/>
      <c r="AO100" s="67" t="n"/>
      <c r="AP100" s="67" t="n"/>
      <c r="AQ100" s="67" t="n"/>
      <c r="AR100" s="67" t="n"/>
      <c r="AS100" s="67" t="n"/>
      <c r="AT100" s="67" t="n"/>
      <c r="AU100" s="67" t="n"/>
      <c r="AV100" s="67" t="n"/>
      <c r="AW100" s="67" t="n"/>
      <c r="AX100" s="67" t="n"/>
      <c r="AY100" s="67" t="n"/>
      <c r="AZ100" s="67" t="n"/>
      <c r="BA100" s="67" t="n"/>
      <c r="BB100" s="67" t="n"/>
      <c r="BC100" s="67" t="n"/>
      <c r="BD100" s="67" t="n"/>
      <c r="BE100" s="67" t="n"/>
      <c r="BF100" s="67" t="n"/>
      <c r="BG100" s="67" t="n"/>
      <c r="BH100" s="67" t="n"/>
      <c r="BI100" s="67" t="n"/>
      <c r="BJ100" s="67" t="n"/>
      <c r="BK100" s="67" t="n"/>
    </row>
    <row r="101">
      <c r="A101" s="80" t="inlineStr">
        <is>
          <t>Window</t>
        </is>
      </c>
      <c r="B101" s="81" t="n"/>
      <c r="C101" s="82" t="n"/>
      <c r="D101" s="80" t="inlineStr">
        <is>
          <t>Ad spend</t>
        </is>
      </c>
      <c r="E101" s="80" t="inlineStr">
        <is>
          <t>Ad sales</t>
        </is>
      </c>
      <c r="F101" s="80" t="inlineStr">
        <is>
          <t>ACoS</t>
        </is>
      </c>
      <c r="G101" s="80" t="inlineStr">
        <is>
          <t>TACoS</t>
        </is>
      </c>
      <c r="H101" s="80" t="inlineStr">
        <is>
          <t>Total sales (derived)</t>
        </is>
      </c>
      <c r="J101" s="80" t="inlineStr">
        <is>
          <t>Ad orders</t>
        </is>
      </c>
      <c r="K101" s="80" t="inlineStr">
        <is>
          <t>CVR</t>
        </is>
      </c>
    </row>
    <row r="102">
      <c r="A102" s="83" t="inlineStr">
        <is>
          <t>Pre-event Oct 21 - Nov 19, 2025 (30d)</t>
        </is>
      </c>
      <c r="B102" s="81" t="n"/>
      <c r="C102" s="82" t="n"/>
      <c r="D102" s="84" t="n">
        <v>22152.31</v>
      </c>
      <c r="E102" s="84" t="n">
        <v>84907.59999999998</v>
      </c>
      <c r="F102" s="85" t="n">
        <v>26.1</v>
      </c>
      <c r="G102" s="85" t="n">
        <v>11.17366872432405</v>
      </c>
      <c r="H102" s="84" t="n">
        <v>198254.58</v>
      </c>
      <c r="J102" s="86" t="n">
        <v>1140</v>
      </c>
      <c r="K102" s="87" t="n">
        <v>13.45</v>
      </c>
    </row>
    <row r="103">
      <c r="A103" s="83" t="inlineStr">
        <is>
          <t>BFCM week Nov 20 - Dec 1, 2025 (12d)</t>
        </is>
      </c>
      <c r="B103" s="81" t="n"/>
      <c r="C103" s="82" t="n"/>
      <c r="D103" s="84" t="n">
        <v>21098.97</v>
      </c>
      <c r="E103" s="84" t="n">
        <v>106756.38</v>
      </c>
      <c r="F103" s="85" t="n">
        <v>19.8</v>
      </c>
      <c r="G103" s="85" t="n">
        <v>6.252858933328141</v>
      </c>
      <c r="H103" s="84" t="n">
        <v>337429.17</v>
      </c>
      <c r="J103" s="86" t="n">
        <v>1543</v>
      </c>
      <c r="K103" s="87" t="n">
        <v>19.31</v>
      </c>
    </row>
    <row r="104">
      <c r="A104" s="83" t="inlineStr">
        <is>
          <t>December 2 - 31, 2025 (30d)</t>
        </is>
      </c>
      <c r="B104" s="81" t="n"/>
      <c r="C104" s="82" t="n"/>
      <c r="D104" s="84" t="n">
        <v>34665.39000000001</v>
      </c>
      <c r="E104" s="84" t="n">
        <v>149699.96</v>
      </c>
      <c r="F104" s="85" t="n">
        <v>23.2</v>
      </c>
      <c r="G104" s="85" t="n">
        <v>9.39173429935213</v>
      </c>
      <c r="H104" s="84" t="n">
        <v>369105.31</v>
      </c>
      <c r="J104" s="86" t="n">
        <v>1916</v>
      </c>
      <c r="K104" s="87" t="n">
        <v>16.43</v>
      </c>
    </row>
    <row r="105"/>
    <row r="106">
      <c r="A106" s="80" t="inlineStr">
        <is>
          <t>Actual sales (account data)</t>
        </is>
      </c>
      <c r="B106" s="81" t="n"/>
      <c r="C106" s="82" t="n"/>
      <c r="D106" s="80" t="inlineStr">
        <is>
          <t>Sales</t>
        </is>
      </c>
      <c r="E106" s="80" t="inlineStr">
        <is>
          <t>Units</t>
        </is>
      </c>
      <c r="F106" s="80" t="inlineStr">
        <is>
          <t>Organic units</t>
        </is>
      </c>
      <c r="G106" s="80" t="inlineStr">
        <is>
          <t>Ad units</t>
        </is>
      </c>
      <c r="H106" s="80" t="inlineStr">
        <is>
          <t>Ad cost</t>
        </is>
      </c>
      <c r="J106" s="80" t="inlineStr">
        <is>
          <t>TACoS (actual)</t>
        </is>
      </c>
      <c r="K106" s="80" t="inlineStr">
        <is>
          <t>Sessions</t>
        </is>
      </c>
      <c r="L106" s="80" t="inlineStr">
        <is>
          <t>Unit session %</t>
        </is>
      </c>
      <c r="M106" s="80" t="inlineStr">
        <is>
          <t>Avg price</t>
        </is>
      </c>
      <c r="N106" s="80" t="inlineStr">
        <is>
          <t>Refunds</t>
        </is>
      </c>
    </row>
    <row r="107">
      <c r="A107" s="83" t="inlineStr">
        <is>
          <t>Pre-event Oct 21 - Nov 19, 2025 (30d)</t>
        </is>
      </c>
      <c r="B107" s="81" t="n"/>
      <c r="C107" s="82" t="n"/>
      <c r="D107" s="84" t="n">
        <v>198254.58</v>
      </c>
      <c r="E107" s="86" t="n">
        <v>2758</v>
      </c>
      <c r="F107" s="86" t="n">
        <v>2569</v>
      </c>
      <c r="G107" s="86" t="n">
        <v>189</v>
      </c>
      <c r="H107" s="84" t="n">
        <v>25868.92</v>
      </c>
      <c r="J107" s="88" t="n">
        <v>0.1304833411666959</v>
      </c>
      <c r="K107" s="86" t="n">
        <v>52332</v>
      </c>
      <c r="L107" s="88" t="n">
        <v>0.05270197966827181</v>
      </c>
      <c r="M107" s="89" t="n">
        <v>71.88345902828137</v>
      </c>
      <c r="N107" s="86" t="n">
        <v>236</v>
      </c>
    </row>
    <row r="108">
      <c r="A108" s="83" t="inlineStr">
        <is>
          <t>BFCM week Nov 20 - Dec 1, 2025 (12d)</t>
        </is>
      </c>
      <c r="B108" s="81" t="n"/>
      <c r="C108" s="82" t="n"/>
      <c r="D108" s="84" t="n">
        <v>337429.17</v>
      </c>
      <c r="E108" s="86" t="n">
        <v>5141</v>
      </c>
      <c r="F108" s="86" t="n">
        <v>4878</v>
      </c>
      <c r="G108" s="86" t="n">
        <v>263</v>
      </c>
      <c r="H108" s="84" t="n">
        <v>23068.34</v>
      </c>
      <c r="J108" s="88" t="n">
        <v>0.06836498456846514</v>
      </c>
      <c r="K108" s="86" t="n">
        <v>84261</v>
      </c>
      <c r="L108" s="88" t="n">
        <v>0.06101280544973356</v>
      </c>
      <c r="M108" s="89" t="n">
        <v>65.63492900213966</v>
      </c>
      <c r="N108" s="86" t="n">
        <v>82</v>
      </c>
    </row>
    <row r="109">
      <c r="A109" s="83" t="inlineStr">
        <is>
          <t>December 2 - 31, 2025 (30d)</t>
        </is>
      </c>
      <c r="B109" s="81" t="n"/>
      <c r="C109" s="82" t="n"/>
      <c r="D109" s="84" t="n">
        <v>369105.31</v>
      </c>
      <c r="E109" s="86" t="n">
        <v>4855</v>
      </c>
      <c r="F109" s="86" t="n">
        <v>4550</v>
      </c>
      <c r="G109" s="86" t="n">
        <v>305</v>
      </c>
      <c r="H109" s="84" t="n">
        <v>36215.06</v>
      </c>
      <c r="J109" s="88" t="n">
        <v>0.09811579248209677</v>
      </c>
      <c r="K109" s="86" t="n">
        <v>69986</v>
      </c>
      <c r="L109" s="88" t="n">
        <v>0.06937101706055497</v>
      </c>
      <c r="M109" s="89" t="n">
        <v>76.02581050463439</v>
      </c>
      <c r="N109" s="86" t="n">
        <v>410</v>
      </c>
    </row>
    <row r="110">
      <c r="A110" s="90" t="inlineStr">
        <is>
          <t>account data, Amazon parent B0HJCSXJQ6 plus any of this product's child ASINs account data lists on their own, UTC days. Lift above uses these actual sales (4.25x; the ad-spend estimate was 4.25x).</t>
        </is>
      </c>
    </row>
    <row r="111" ht="30" customHeight="1">
      <c r="A111" s="91" t="inlineStr">
        <is>
          <t>Deals we ran or scheduled, Nov 1 - Dec 5, 2025 (deal records promotions; scheduled deal price not in the feed. price history price = lowest Buy Box seen during the deal, an observation for the hero child only, not the scheduled deal price): Lightning Deal 11-02 to 11-03 (cancelled, 78 variations); Lightning Deal 11-06 to 11-07 (cancelled, 78 variations); Lightning Deal 11-13 to 11-14 (cancelled, 78 variations); Best Deal 11-20 to 12-02 (ran, 78 variations, 4,890 units; price history lowest Buy Box during it $71.24 on B08KQHRDDG).</t>
        </is>
      </c>
    </row>
    <row r="112" ht="18" customHeight="1">
      <c r="A112" s="92" t="inlineStr">
        <is>
          <t>BFCM 2026 plan: Best Deal 11/19-11/30. Deal price and depth not yet given; not yet visible in Amazon's deal feed.</t>
        </is>
      </c>
    </row>
    <row r="113" ht="30" customHeight="1">
      <c r="A113" s="93" t="inlineStr">
        <is>
          <t>Amazon deal price now: King White B08KQHRDDG: live $94.99, Amazon reference still $79.99 (not reset after the Oct 2 and Oct 9 price rises), Sep 15-28 Best Deal $75.99 inside the BFCM lookback, Oct 16 Lightning Deal max $67.99 (28% below live). On 13 SKUs with a higher reference Amazon still caps the deal at the Sep Best Deal price.</t>
        </is>
      </c>
    </row>
    <row r="114" ht="30" customHeight="1">
      <c r="A114" s="93" t="inlineStr">
        <is>
          <t>Pre-BFCM deal decision: Oct 16 Lightning Deal: cancel approved to keep the BFCM price clean; running it would have pushed the BFCM deal to about $64.59 or lower on King White. 9-day STR test on Cal King Taupe and Full Creme runs to Oct 19. B4 BFCM Best Deal confirmed Nov 19-30.</t>
        </is>
      </c>
    </row>
    <row r="115" ht="30" customHeight="1">
      <c r="A115" s="94" t="inlineStr">
        <is>
          <t>BFCM 2026 stock (account data, Oct 15): 9,323 units at Amazon + 8,578 already sent (no ETA in account data); selling 93.7 a day; need about 7,973 to Nov 30 with a 4.25x BFCM lift (own BFCM 2025 lift (account data)). Variations: 37 covered, 30 need the inbound in time, 7 short even with inbound (182 units), 6 out of stock now. Detail: BFCM Stock tab.</t>
        </is>
      </c>
    </row>
    <row r="116" ht="18" customHeight="1">
      <c r="A116" s="95" t="inlineStr">
        <is>
          <t>ASSUMED 2026 deal prices, until the team's final: B08KQHRDDG today $94.99; $80.74 at 15% off (Nov 19-26) and $75.99 at 20% off (Nov 27-30, Black Friday to Cyber Monday). Rule: team rule agreed Oct 15, 2026. Evidence: our BFCM 2025 deal on B08KQHRDDG (US, price history): $74.99 before, $71.24 during, 5% off; US competitors' median price cut in BFCM 2025: 26% (7 rivals). Amazon may use a lower reference price than today's (it sets it the day before the deal), which would lower the deal price.</t>
        </is>
      </c>
    </row>
    <row r="117" ht="30" customHeight="1">
      <c r="A117" s="91" t="inlineStr">
        <is>
          <t>Our hero child B08KQHRDDG in price history (market data, US): price $74.99 before (median Nov 1-19) → $71.24 in BFCM week (median Nov 20 - Dec 1), 5% lower; lowest $71.24; Best Seller Rank 10,318 → 5,240 (1.97x better). Price is price history's lowest new offer (price history holds no Buy Box series for our own ASINs; we are the only seller).</t>
        </is>
      </c>
    </row>
    <row r="118" ht="40" customHeight="1">
      <c r="A118" s="91" t="inlineStr">
        <is>
          <t>Stock in BFCM week 2025 (FBA inventory snapshots, child-ASIN level, revision 2): 5 of 80 variations hit zero FBA stock on at least one observed day; weighted by today's sales mix that is ~0.9% of variation-days lost. Most important: B0BZQ18QJB 2/9 days; B0BZQ19QT6 3/9 days; B0BZQ1G5B8 6/7 days; B0BZQ1FBJ9 5/9 days. Days with no snapshot (Nov 26-27 and Dec 1, Cyber Monday), inferred from sales that day and the readings either side: 224 of 240 variation-days in stock, 4 out of stock, 8 unknown; 4 sold despite 0 units on both sides (stock arriving that day): B0BZQ18QJB 12-01 (87 sold), B0BZQ1FBJ9 12-01 (6 sold), B0BZQ1G5B8 12-01 (1 sold), B0CLKCT674 12-01 (6 sold). Inferred, not a stock reading.</t>
        </is>
      </c>
    </row>
    <row r="119">
      <c r="A119" s="90" t="inlineStr">
        <is>
          <t>market data visibility for our best child B08KQHRDDG: organic score 92.0 before BFCM 2025 → 127.0 in BFCM week; Prime Day 2026 143.7 → 130.5; Aug-Sep 2026 164.1.</t>
        </is>
      </c>
    </row>
    <row r="120"/>
    <row r="121" ht="22" customHeight="1">
      <c r="A121" s="65" t="inlineStr">
        <is>
          <t>4 ▼</t>
        </is>
      </c>
      <c r="B121" s="66" t="inlineStr">
        <is>
          <t>COMPETITOR LANDSCAPE (61 mapped)</t>
        </is>
      </c>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c r="AC121" s="67" t="n"/>
      <c r="AD121" s="67" t="n"/>
      <c r="AE121" s="67" t="n"/>
      <c r="AF121" s="67" t="n"/>
      <c r="AG121" s="67" t="n"/>
      <c r="AH121" s="67" t="n"/>
      <c r="AI121" s="67" t="n"/>
      <c r="AJ121" s="67" t="n"/>
      <c r="AK121" s="67" t="n"/>
      <c r="AL121" s="67" t="n"/>
      <c r="AM121" s="67" t="n"/>
      <c r="AN121" s="67" t="n"/>
      <c r="AO121" s="67" t="n"/>
      <c r="AP121" s="67" t="n"/>
      <c r="AQ121" s="67" t="n"/>
      <c r="AR121" s="67" t="n"/>
      <c r="AS121" s="67" t="n"/>
      <c r="AT121" s="67" t="n"/>
      <c r="AU121" s="67" t="n"/>
      <c r="AV121" s="67" t="n"/>
      <c r="AW121" s="67" t="n"/>
      <c r="AX121" s="67" t="n"/>
      <c r="AY121" s="67" t="n"/>
      <c r="AZ121" s="67" t="n"/>
      <c r="BA121" s="67" t="n"/>
      <c r="BB121" s="67" t="n"/>
      <c r="BC121" s="67" t="n"/>
      <c r="BD121" s="67" t="n"/>
      <c r="BE121" s="67" t="n"/>
      <c r="BF121" s="67" t="n"/>
      <c r="BG121" s="67" t="n"/>
      <c r="BH121" s="67" t="n"/>
      <c r="BI121" s="67" t="n"/>
      <c r="BJ121" s="67" t="n"/>
      <c r="BK121" s="67" t="n"/>
    </row>
    <row r="122" ht="20" customHeight="1">
      <c r="A122" s="96" t="inlineStr">
        <is>
          <t>▼▼▼</t>
        </is>
      </c>
      <c r="B122" s="97" t="inlineStr">
        <is>
          <t>COMPETITOR DATA BELOW: one row per competitor (53 direct first, then alternative material). Scroll right for listing, search, strikethrough now and BFCM 2025 history (deal type, price, discount, rank change).</t>
        </is>
      </c>
      <c r="C122" s="98" t="n"/>
      <c r="D122" s="98" t="n"/>
      <c r="E122" s="98" t="n"/>
      <c r="F122" s="98" t="n"/>
      <c r="G122" s="98" t="n"/>
      <c r="H122" s="98" t="n"/>
      <c r="I122" s="98" t="n"/>
      <c r="J122" s="98" t="n"/>
      <c r="K122" s="98" t="n"/>
      <c r="L122" s="98" t="n"/>
      <c r="M122" s="98" t="n"/>
      <c r="N122" s="98" t="n"/>
      <c r="O122" s="98" t="n"/>
      <c r="P122" s="98" t="n"/>
      <c r="Q122" s="98" t="n"/>
      <c r="R122" s="98" t="n"/>
      <c r="S122" s="98" t="n"/>
      <c r="T122" s="98" t="n"/>
      <c r="U122" s="98" t="n"/>
      <c r="V122" s="98" t="n"/>
      <c r="W122" s="98" t="n"/>
      <c r="X122" s="98" t="n"/>
      <c r="Y122" s="98" t="n"/>
      <c r="Z122" s="98" t="n"/>
      <c r="AA122" s="98" t="n"/>
      <c r="AB122" s="98" t="n"/>
      <c r="AC122" s="98" t="n"/>
      <c r="AD122" s="98" t="n"/>
      <c r="AE122" s="98" t="n"/>
      <c r="AF122" s="98" t="n"/>
      <c r="AG122" s="98" t="n"/>
      <c r="AH122" s="98" t="n"/>
      <c r="AI122" s="98" t="n"/>
      <c r="AJ122" s="98" t="n"/>
      <c r="AK122" s="98" t="n"/>
      <c r="AL122" s="98" t="n"/>
      <c r="AM122" s="98" t="n"/>
      <c r="AN122" s="98" t="n"/>
      <c r="AO122" s="98" t="n"/>
      <c r="AP122" s="98" t="n"/>
      <c r="AQ122" s="98" t="n"/>
      <c r="AR122" s="98" t="n"/>
      <c r="AS122" s="98" t="n"/>
      <c r="AT122" s="98" t="n"/>
      <c r="AU122" s="98" t="n"/>
      <c r="AV122" s="98" t="n"/>
      <c r="AW122" s="98" t="n"/>
      <c r="AX122" s="98" t="n"/>
      <c r="AY122" s="98" t="n"/>
      <c r="AZ122" s="98" t="n"/>
      <c r="BA122" s="98" t="n"/>
      <c r="BB122" s="98" t="n"/>
      <c r="BC122" s="98" t="n"/>
      <c r="BD122" s="98" t="n"/>
      <c r="BE122" s="98" t="n"/>
      <c r="BF122" s="98" t="n"/>
      <c r="BG122" s="98" t="n"/>
      <c r="BH122" s="98" t="n"/>
      <c r="BI122" s="98" t="n"/>
      <c r="BJ122" s="98" t="n"/>
      <c r="BK122" s="98" t="n"/>
    </row>
    <row r="123">
      <c r="A123" s="99" t="inlineStr">
        <is>
          <t>COMPETITOR</t>
        </is>
      </c>
      <c r="L123" s="100" t="inlineStr">
        <is>
          <t>LISTING - catalog data</t>
        </is>
      </c>
      <c r="M123" s="101" t="inlineStr">
        <is>
          <t>SEARCH STRATEGY - market data search data</t>
        </is>
      </c>
      <c r="N123" s="102" t="inlineStr">
        <is>
          <t>PRICE &amp; SALES - market data snapshot (date per row)</t>
        </is>
      </c>
      <c r="AA123" s="100" t="inlineStr">
        <is>
          <t>LISTING - catalog data</t>
        </is>
      </c>
      <c r="AD123" s="101" t="inlineStr">
        <is>
          <t>SEARCH STRATEGY - market data search data</t>
        </is>
      </c>
      <c r="AU123" s="103" t="inlineStr">
        <is>
          <t>STR NOW - Amazon page check (Oct 13, P1 + P2)</t>
        </is>
      </c>
      <c r="BB123" s="104" t="inlineStr">
        <is>
          <t>BFCM 2025 - price history (P1 filled; yellow = not pulled yet)</t>
        </is>
      </c>
    </row>
    <row r="124" ht="48" customHeight="1">
      <c r="A124" s="26" t="inlineStr">
        <is>
          <t>Image</t>
        </is>
      </c>
      <c r="B124" s="26" t="inlineStr">
        <is>
          <t>Brand</t>
        </is>
      </c>
      <c r="C124" s="26" t="inlineStr">
        <is>
          <t>Product title</t>
        </is>
      </c>
      <c r="D124" s="26" t="inlineStr">
        <is>
          <t>Tier</t>
        </is>
      </c>
      <c r="E124" s="26" t="inlineStr">
        <is>
          <t>Competitor type</t>
        </is>
      </c>
      <c r="F124" s="26" t="inlineStr">
        <is>
          <t>Material</t>
        </is>
      </c>
      <c r="G124" s="26" t="inlineStr">
        <is>
          <t>Why this type</t>
        </is>
      </c>
      <c r="H124" s="26" t="inlineStr">
        <is>
          <t>Parent ASIN</t>
        </is>
      </c>
      <c r="I124" s="26" t="inlineStr">
        <is>
          <t>Tracked child ASIN</t>
        </is>
      </c>
      <c r="J124" s="26" t="inlineStr">
        <is>
          <t>Size</t>
        </is>
      </c>
      <c r="K124" s="26" t="inlineStr">
        <is>
          <t>Colour</t>
        </is>
      </c>
      <c r="L124" s="26" t="inlineStr">
        <is>
          <t>Variations</t>
        </is>
      </c>
      <c r="M124" s="26" t="inlineStr">
        <is>
          <t>Hero child ASINs (share of their visibility)</t>
        </is>
      </c>
      <c r="N124" s="26" t="inlineStr">
        <is>
          <t>Price ($)</t>
        </is>
      </c>
      <c r="O124" s="26" t="inlineStr">
        <is>
          <t>List Price ($)</t>
        </is>
      </c>
      <c r="P124" s="26" t="inlineStr">
        <is>
          <t>List Price % over</t>
        </is>
      </c>
      <c r="Q124" s="26" t="inlineStr">
        <is>
          <t>STR band</t>
        </is>
      </c>
      <c r="R124" s="26" t="inlineStr">
        <is>
          <t>Our price, same size ($)</t>
        </is>
      </c>
      <c r="S124" s="26" t="inlineStr">
        <is>
          <t>Their price vs ours</t>
        </is>
      </c>
      <c r="T124" s="26" t="inlineStr">
        <is>
          <t>Comparison basis</t>
        </is>
      </c>
      <c r="U124" s="26" t="inlineStr">
        <is>
          <t>BSR</t>
        </is>
      </c>
      <c r="V124" s="26" t="inlineStr">
        <is>
          <t>Est weekly units</t>
        </is>
      </c>
      <c r="W124" s="26" t="inlineStr">
        <is>
          <t>Est monthly revenue ($)</t>
        </is>
      </c>
      <c r="X124" s="26" t="inlineStr">
        <is>
          <t>Rating</t>
        </is>
      </c>
      <c r="Y124" s="26" t="inlineStr">
        <is>
          <t>Reviews</t>
        </is>
      </c>
      <c r="Z124" s="26" t="inlineStr">
        <is>
          <t>Snapshot date</t>
        </is>
      </c>
      <c r="AA124" s="26" t="inlineStr">
        <is>
          <t>Listed</t>
        </is>
      </c>
      <c r="AB124" s="26" t="inlineStr">
        <is>
          <t>Fulfil.</t>
        </is>
      </c>
      <c r="AC124" s="26" t="inlineStr">
        <is>
          <t>Seller country</t>
        </is>
      </c>
      <c r="AD124" s="26" t="inlineStr">
        <is>
          <t>search data 7d traffic</t>
        </is>
      </c>
      <c r="AE124" s="26" t="inlineStr">
        <is>
          <t>Keywords ranked</t>
        </is>
      </c>
      <c r="AF124" s="26" t="inlineStr">
        <is>
          <t>Organic share of traffic</t>
        </is>
      </c>
      <c r="AG124" s="26" t="inlineStr">
        <is>
          <t>Ad share of traffic</t>
        </is>
      </c>
      <c r="AH124" s="26" t="inlineStr">
        <is>
          <t>Top keyword</t>
        </is>
      </c>
      <c r="AI124" s="26" t="inlineStr">
        <is>
          <t>SP reach</t>
        </is>
      </c>
      <c r="AJ124" s="26" t="inlineStr">
        <is>
          <t>SB reach</t>
        </is>
      </c>
      <c r="AK124" s="26" t="inlineStr">
        <is>
          <t>SB video reach</t>
        </is>
      </c>
      <c r="AL124" s="26" t="inlineStr">
        <is>
          <t>Amazon's Choice reach</t>
        </is>
      </c>
      <c r="AM124" s="26" t="inlineStr">
        <is>
          <t>Shared keywords</t>
        </is>
      </c>
      <c r="AN124" s="26" t="inlineStr">
        <is>
          <t>We win</t>
        </is>
      </c>
      <c r="AO124" s="26" t="inlineStr">
        <is>
          <t>We lose</t>
        </is>
      </c>
      <c r="AP124" s="26" t="inlineStr">
        <is>
          <t>Their keywords we miss</t>
        </is>
      </c>
      <c r="AQ124" s="26" t="inlineStr">
        <is>
          <t>KWs they advertise, we don't</t>
        </is>
      </c>
      <c r="AR124" s="26" t="inlineStr">
        <is>
          <t>KWs they out-advertise us</t>
        </is>
      </c>
      <c r="AS124" s="26" t="inlineStr">
        <is>
          <t>Prime Day 2026 organic vis lift</t>
        </is>
      </c>
      <c r="AT124" s="26" t="inlineStr">
        <is>
          <t>Organic trend (Aug-Sep vs Q2)</t>
        </is>
      </c>
      <c r="AU124" s="26" t="inlineStr">
        <is>
          <t>STR showing now? (Y/N)</t>
        </is>
      </c>
      <c r="AV124" s="26" t="inlineStr">
        <is>
          <t>STR label</t>
        </is>
      </c>
      <c r="AW124" s="26" t="inlineStr">
        <is>
          <t>Strikethrough price ($)</t>
        </is>
      </c>
      <c r="AX124" s="26" t="inlineStr">
        <is>
          <t>Page price at check ($)</t>
        </is>
      </c>
      <c r="AY124" s="26" t="inlineStr">
        <is>
          <t>Deal / coupon now</t>
        </is>
      </c>
      <c r="AZ124" s="26" t="inlineStr">
        <is>
          <t>Orderable now (Y/N)</t>
        </is>
      </c>
      <c r="BA124" s="26" t="inlineStr">
        <is>
          <t>Checked (ET)</t>
        </is>
      </c>
      <c r="BB124" s="26" t="inlineStr">
        <is>
          <t>BFCM 2025 deal type</t>
        </is>
      </c>
      <c r="BC124" s="26" t="inlineStr">
        <is>
          <t>BFCM 2025 deal dates</t>
        </is>
      </c>
      <c r="BD124" s="26" t="inlineStr">
        <is>
          <t>Pre-event price ($)</t>
        </is>
      </c>
      <c r="BE124" s="26" t="inlineStr">
        <is>
          <t>BFCM 2025 low ($)</t>
        </is>
      </c>
      <c r="BF124" s="26" t="inlineStr">
        <is>
          <t>BFCM 2025 discount</t>
        </is>
      </c>
      <c r="BG124" s="26" t="inlineStr">
        <is>
          <t>BSR pre-event</t>
        </is>
      </c>
      <c r="BH124" s="26" t="inlineStr">
        <is>
          <t>BSR BFCM wk</t>
        </is>
      </c>
      <c r="BI124" s="26" t="inlineStr">
        <is>
          <t>BSR lift (x)</t>
        </is>
      </c>
      <c r="BJ124" s="26" t="inlineStr">
        <is>
          <t>OOS in BFCM? (Y/N)</t>
        </is>
      </c>
      <c r="BK124" s="26" t="inlineStr">
        <is>
          <t>Notes</t>
        </is>
      </c>
    </row>
    <row r="125" ht="62" customHeight="1">
      <c r="A125" s="12">
        <f>_xlfn.IMAGE("https://images-na.ssl-images-amazon.com/images/I/81L2xb5ly6L.jpg")</f>
        <v/>
      </c>
      <c r="B125" s="105" t="inlineStr">
        <is>
          <t>Bedsure</t>
        </is>
      </c>
      <c r="C125" s="39" t="inlineStr">
        <is>
          <t>Bedsure PureWoven 100% Rayon Derived from Bamboo, Queen Sheets, 4 Pieces</t>
        </is>
      </c>
      <c r="D125" s="105" t="inlineStr">
        <is>
          <t>Aspirational</t>
        </is>
      </c>
      <c r="E125" s="106" t="inlineStr">
        <is>
          <t>Direct</t>
        </is>
      </c>
      <c r="F125" s="105" t="inlineStr">
        <is>
          <t>Bamboo viscose</t>
        </is>
      </c>
      <c r="G125" s="39" t="inlineStr">
        <is>
          <t>Same product (sheet set) in the same material family: Bamboo viscose (product page material: Rayon Derived from Bamboo); ours: our listing: viscose from bamboo.</t>
        </is>
      </c>
      <c r="H125" s="107" t="inlineStr">
        <is>
          <t>B0BZ8T5BJ6</t>
        </is>
      </c>
      <c r="I125" s="107" t="inlineStr">
        <is>
          <t>B07YK8VTJV</t>
        </is>
      </c>
      <c r="J125" s="105" t="inlineStr">
        <is>
          <t>Queen</t>
        </is>
      </c>
      <c r="K125" s="105" t="inlineStr">
        <is>
          <t>02 - White</t>
        </is>
      </c>
      <c r="L125" s="108" t="n">
        <v>131</v>
      </c>
      <c r="M125" s="39" t="inlineStr">
        <is>
          <t>B07YKCZHGK (29%), B07YK8VTJV (19%), B07YKCQBBL (14%), B07YKCB6GL (9%), B08CXWHQT2 (6%)</t>
        </is>
      </c>
      <c r="N125" s="109" t="n">
        <v>62.99</v>
      </c>
      <c r="O125" s="109" t="n">
        <v>69.98999999999999</v>
      </c>
      <c r="P125" s="110">
        <f>IF(AND(ISNUMBER(O125),ISNUMBER(N125),N(N125)&gt;0),O125/N125-1,"")</f>
        <v/>
      </c>
      <c r="Q125" s="111">
        <f>IF(P125="","No List Price",IF(P125&lt;=0,"At/below price",IF(P125&lt;=0.12,"&lt;=12% STR zone",IF(P125&lt;=0.25,"12-25%","&gt;25% over"))))</f>
        <v/>
      </c>
      <c r="R125" s="109" t="n">
        <v>89.98999999999999</v>
      </c>
      <c r="S125" s="112">
        <f>IF(AND(ISNUMBER(N125),ISNUMBER(R125),N(R125)&gt;0),N125/R125-1,"")</f>
        <v/>
      </c>
      <c r="T125" s="39" t="inlineStr">
        <is>
          <t>Same size (Queen). Ours live: catalog price, 2026-10-13; 15 children</t>
        </is>
      </c>
      <c r="U125" s="108" t="n">
        <v>256</v>
      </c>
      <c r="V125" s="108" t="n">
        <v>809</v>
      </c>
      <c r="W125" s="113">
        <f>IF(AND(ISNUMBER(N125),ISNUMBER(V125)),N125*V125*52/12,"")</f>
        <v/>
      </c>
      <c r="X125" s="114" t="n">
        <v>4.4</v>
      </c>
      <c r="Y125" s="108" t="n">
        <v>65061</v>
      </c>
      <c r="Z125" s="115" t="n">
        <v>46307</v>
      </c>
      <c r="AA125" s="115" t="n">
        <v>43348</v>
      </c>
      <c r="AB125" s="105" t="inlineStr">
        <is>
          <t>FBA</t>
        </is>
      </c>
      <c r="AC125" s="105" t="inlineStr">
        <is>
          <t>US</t>
        </is>
      </c>
      <c r="AD125" s="108" t="n">
        <v>2166046</v>
      </c>
      <c r="AE125" s="108" t="n">
        <v>6935</v>
      </c>
      <c r="AF125" s="116" t="n">
        <v>0.5902383405984899</v>
      </c>
      <c r="AG125" s="116" t="n">
        <v>0.4097618027040986</v>
      </c>
      <c r="AH125" s="39" t="inlineStr">
        <is>
          <t>bamboo sheets</t>
        </is>
      </c>
      <c r="AI125" s="116" t="n">
        <v>0.9388327856379781</v>
      </c>
      <c r="AJ125" s="116" t="n">
        <v>0.9371818511702891</v>
      </c>
      <c r="AK125" s="116" t="n">
        <v>0.6488394059959945</v>
      </c>
      <c r="AL125" s="116" t="n">
        <v>0.3206907886536112</v>
      </c>
      <c r="AM125" s="108" t="n">
        <v>1620</v>
      </c>
      <c r="AN125" s="108" t="n">
        <v>122</v>
      </c>
      <c r="AO125" s="108" t="n">
        <v>1398</v>
      </c>
      <c r="AP125" s="108" t="n">
        <v>5315</v>
      </c>
      <c r="AQ125" s="108" t="n">
        <v>2984</v>
      </c>
      <c r="AR125" s="108" t="n">
        <v>140</v>
      </c>
      <c r="AS125" s="117" t="n">
        <v>1.066623404715553</v>
      </c>
      <c r="AT125" s="112" t="n">
        <v>-0.05727665706051865</v>
      </c>
      <c r="AU125" s="118" t="inlineStr">
        <is>
          <t>Y</t>
        </is>
      </c>
      <c r="AV125" s="118" t="inlineStr">
        <is>
          <t>List Price</t>
        </is>
      </c>
      <c r="AW125" s="119" t="n">
        <v>69.98999999999999</v>
      </c>
      <c r="AX125" s="119" t="n">
        <v>62.99</v>
      </c>
      <c r="AY125" s="118" t="inlineStr">
        <is>
          <t>none</t>
        </is>
      </c>
      <c r="AZ125" s="118" t="inlineStr">
        <is>
          <t>Y</t>
        </is>
      </c>
      <c r="BA125" s="118" t="inlineStr">
        <is>
          <t>2026-10-13 12:10:35</t>
        </is>
      </c>
      <c r="BB125" s="120" t="inlineStr">
        <is>
          <t>Prime Exclusive Discount</t>
        </is>
      </c>
      <c r="BC125" s="120" t="inlineStr">
        <is>
          <t>11-23 to 12-01</t>
        </is>
      </c>
      <c r="BD125" s="121" t="n">
        <v>66.48999999999999</v>
      </c>
      <c r="BE125" s="121" t="n">
        <v>55.99</v>
      </c>
      <c r="BF125" s="110">
        <f>IF(AND(ISNUMBER(BD125),ISNUMBER(BE125),N(BD125)&gt;0),1-BE125/BD125,"")</f>
        <v/>
      </c>
      <c r="BG125" s="122" t="n">
        <v>156</v>
      </c>
      <c r="BH125" s="122" t="n">
        <v>228</v>
      </c>
      <c r="BI125" s="123">
        <f>IF(AND(ISNUMBER(BG125),ISNUMBER(BH125),N(BH125)&gt;0),BG125/BH125,"")</f>
        <v/>
      </c>
      <c r="BJ125" s="120" t="inlineStr">
        <is>
          <t>N</t>
        </is>
      </c>
      <c r="BK125" s="120" t="inlineStr">
        <is>
          <t>Buy Box RAISED in BFCM week (median $69.99 vs $66.49 before); List Price $78.99</t>
        </is>
      </c>
    </row>
    <row r="126" ht="62" customHeight="1">
      <c r="A126" s="12">
        <f>_xlfn.IMAGE("https://images-na.ssl-images-amazon.com/images/I/91dfner9BkL.jpg")</f>
        <v/>
      </c>
      <c r="B126" s="105" t="inlineStr">
        <is>
          <t>Pure Bamboo</t>
        </is>
      </c>
      <c r="C126" s="39" t="inlineStr">
        <is>
          <t>Pure Bamboo King Sheets, Genuine 100% Organic Viscose Derived from Bamboo Bed Sheet Set, Luxuriously Soft &amp; Cooling, Double Stitching, 2 Year Quality Promise (King, Ivory)</t>
        </is>
      </c>
      <c r="D126" s="105" t="inlineStr">
        <is>
          <t>Aspirational</t>
        </is>
      </c>
      <c r="E126" s="106" t="inlineStr">
        <is>
          <t>Direct</t>
        </is>
      </c>
      <c r="F126" s="105" t="inlineStr">
        <is>
          <t>Bamboo viscose</t>
        </is>
      </c>
      <c r="G126" s="39" t="inlineStr">
        <is>
          <t>Same product (sheet set) in the same material family: Bamboo viscose (title: Pure Bamboo King Sheets, Genuine 100% Organic Viscose Derive); ours: our listing: viscose from bamboo.</t>
        </is>
      </c>
      <c r="H126" s="107" t="inlineStr">
        <is>
          <t>B0CZQ52MTQ</t>
        </is>
      </c>
      <c r="I126" s="107" t="inlineStr">
        <is>
          <t>B07DZTQ4JC</t>
        </is>
      </c>
      <c r="J126" s="105" t="inlineStr">
        <is>
          <t>King</t>
        </is>
      </c>
      <c r="K126" s="105" t="inlineStr">
        <is>
          <t>Ivory</t>
        </is>
      </c>
      <c r="L126" s="108" t="n">
        <v>181</v>
      </c>
      <c r="M126" s="39" t="inlineStr">
        <is>
          <t>B07MZ4GKZH (30%), B079RXWGSD (12%), B07DZTQ4JC (11%), B074CHDX7V (10%), B07DZMB498 (5%)</t>
        </is>
      </c>
      <c r="N126" s="109" t="n">
        <v>109.99</v>
      </c>
      <c r="O126" s="109" t="n"/>
      <c r="P126" s="110">
        <f>IF(AND(ISNUMBER(O126),ISNUMBER(N126),N(N126)&gt;0),O126/N126-1,"")</f>
        <v/>
      </c>
      <c r="Q126" s="111">
        <f>IF(P126="","No List Price",IF(P126&lt;=0,"At/below price",IF(P126&lt;=0.12,"&lt;=12% STR zone",IF(P126&lt;=0.25,"12-25%","&gt;25% over"))))</f>
        <v/>
      </c>
      <c r="R126" s="109" t="n">
        <v>94.98999999999999</v>
      </c>
      <c r="S126" s="112">
        <f>IF(AND(ISNUMBER(N126),ISNUMBER(R126),N(R126)&gt;0),N126/R126-1,"")</f>
        <v/>
      </c>
      <c r="T126" s="39" t="inlineStr">
        <is>
          <t>Same size (King). Ours live: catalog price, 2026-10-13; 15 children</t>
        </is>
      </c>
      <c r="U126" s="108" t="n">
        <v>304</v>
      </c>
      <c r="V126" s="108" t="n">
        <v>809</v>
      </c>
      <c r="W126" s="113">
        <f>IF(AND(ISNUMBER(N126),ISNUMBER(V126)),N126*V126*52/12,"")</f>
        <v/>
      </c>
      <c r="X126" s="114" t="n">
        <v>4.5</v>
      </c>
      <c r="Y126" s="108" t="n">
        <v>21927</v>
      </c>
      <c r="Z126" s="115" t="n">
        <v>46307</v>
      </c>
      <c r="AA126" s="115" t="n">
        <v>43281</v>
      </c>
      <c r="AB126" s="105" t="inlineStr">
        <is>
          <t>FBA</t>
        </is>
      </c>
      <c r="AC126" s="105" t="inlineStr">
        <is>
          <t>US</t>
        </is>
      </c>
      <c r="AD126" s="108" t="n">
        <v>2565055</v>
      </c>
      <c r="AE126" s="108" t="n">
        <v>8283</v>
      </c>
      <c r="AF126" s="116" t="n">
        <v>0.4648594811807159</v>
      </c>
      <c r="AG126" s="116" t="n">
        <v>0.5351407059497737</v>
      </c>
      <c r="AH126" s="39" t="inlineStr">
        <is>
          <t>bamboo sheets</t>
        </is>
      </c>
      <c r="AI126" s="116" t="n">
        <v>0.8806310196077667</v>
      </c>
      <c r="AJ126" s="116" t="n">
        <v>0.8210506207469236</v>
      </c>
      <c r="AK126" s="116" t="n">
        <v>0.8831019217911507</v>
      </c>
      <c r="AL126" s="116" t="n">
        <v>0.2663467255088098</v>
      </c>
      <c r="AM126" s="108" t="n">
        <v>1568</v>
      </c>
      <c r="AN126" s="108" t="n">
        <v>118</v>
      </c>
      <c r="AO126" s="108" t="n">
        <v>1357</v>
      </c>
      <c r="AP126" s="108" t="n">
        <v>6715</v>
      </c>
      <c r="AQ126" s="108" t="n">
        <v>3363</v>
      </c>
      <c r="AR126" s="108" t="n">
        <v>139</v>
      </c>
      <c r="AS126" s="117" t="n">
        <v>1.180104147961932</v>
      </c>
      <c r="AT126" s="112" t="n">
        <v>1.570823710546574</v>
      </c>
      <c r="AU126" s="118" t="inlineStr">
        <is>
          <t>N</t>
        </is>
      </c>
      <c r="AV126" s="118" t="inlineStr">
        <is>
          <t>none</t>
        </is>
      </c>
      <c r="AW126" s="124" t="n"/>
      <c r="AX126" s="119" t="n">
        <v>109.99</v>
      </c>
      <c r="AY126" s="118" t="inlineStr">
        <is>
          <t>none</t>
        </is>
      </c>
      <c r="AZ126" s="118" t="inlineStr">
        <is>
          <t>Y</t>
        </is>
      </c>
      <c r="BA126" s="118" t="inlineStr">
        <is>
          <t>2026-10-13 12:11:16</t>
        </is>
      </c>
      <c r="BB126" s="120" t="inlineStr">
        <is>
          <t>None</t>
        </is>
      </c>
      <c r="BC126" s="125" t="n"/>
      <c r="BD126" s="121" t="n">
        <v>109.99</v>
      </c>
      <c r="BE126" s="121" t="n">
        <v>109.99</v>
      </c>
      <c r="BF126" s="110">
        <f>IF(AND(ISNUMBER(BD126),ISNUMBER(BE126),N(BD126)&gt;0),1-BE126/BD126,"")</f>
        <v/>
      </c>
      <c r="BG126" s="122" t="n">
        <v>287</v>
      </c>
      <c r="BH126" s="122" t="n">
        <v>598</v>
      </c>
      <c r="BI126" s="123">
        <f>IF(AND(ISNUMBER(BG126),ISNUMBER(BH126),N(BH126)&gt;0),BG126/BH126,"")</f>
        <v/>
      </c>
      <c r="BJ126" s="120" t="inlineStr">
        <is>
          <t>N</t>
        </is>
      </c>
      <c r="BK126" s="120" t="inlineStr">
        <is>
          <t>List Price $139.99/$149.99</t>
        </is>
      </c>
    </row>
    <row r="127" ht="62" customHeight="1">
      <c r="A127" s="12">
        <f>_xlfn.IMAGE("https://images-na.ssl-images-amazon.com/images/I/71oEhkRYQ+L.jpg")</f>
        <v/>
      </c>
      <c r="B127" s="105" t="inlineStr">
        <is>
          <t>Hotel Sheets Direct</t>
        </is>
      </c>
      <c r="C127" s="39" t="inlineStr">
        <is>
          <t>Hotel Sheets Direct 4 Piece Bed Sheet Set Queen Size, 100% Viscose Derived from Bamboo Sheets Set with 2 Pillowcases, Cooling &amp; Breathable Luxury Bedding, Moisture-Wicking &amp; Silky Soft Texture, White</t>
        </is>
      </c>
      <c r="D127" s="105" t="inlineStr">
        <is>
          <t>Aspirational</t>
        </is>
      </c>
      <c r="E127" s="106" t="inlineStr">
        <is>
          <t>Direct</t>
        </is>
      </c>
      <c r="F127" s="105" t="inlineStr">
        <is>
          <t>Bamboo viscose</t>
        </is>
      </c>
      <c r="G127" s="39" t="inlineStr">
        <is>
          <t>Same product (sheet set) in the same material family: Bamboo viscose (title: Hotel Sheets Direct 4 Piece Bed Sheet Set Queen Size, 100% V); ours: our listing: viscose from bamboo.</t>
        </is>
      </c>
      <c r="H127" s="107" t="inlineStr">
        <is>
          <t>B0G5N99X9R</t>
        </is>
      </c>
      <c r="I127" s="107" t="inlineStr">
        <is>
          <t>B01N9L2O9P</t>
        </is>
      </c>
      <c r="J127" s="105" t="inlineStr">
        <is>
          <t>Queen</t>
        </is>
      </c>
      <c r="K127" s="105" t="inlineStr">
        <is>
          <t>White</t>
        </is>
      </c>
      <c r="L127" s="108" t="n">
        <v>61</v>
      </c>
      <c r="M127" s="39" t="inlineStr">
        <is>
          <t>B01N9L2O9P (30%), B01N0UB2GO (20%), B072WD91XH (10%), B072WV76WK (6%), B07RJBYJ9L (5%)</t>
        </is>
      </c>
      <c r="N127" s="109" t="n">
        <v>79.98999999999999</v>
      </c>
      <c r="O127" s="109" t="n"/>
      <c r="P127" s="110">
        <f>IF(AND(ISNUMBER(O127),ISNUMBER(N127),N(N127)&gt;0),O127/N127-1,"")</f>
        <v/>
      </c>
      <c r="Q127" s="111">
        <f>IF(P127="","No List Price",IF(P127&lt;=0,"At/below price",IF(P127&lt;=0.12,"&lt;=12% STR zone",IF(P127&lt;=0.25,"12-25%","&gt;25% over"))))</f>
        <v/>
      </c>
      <c r="R127" s="109" t="n">
        <v>89.98999999999999</v>
      </c>
      <c r="S127" s="112">
        <f>IF(AND(ISNUMBER(N127),ISNUMBER(R127),N(R127)&gt;0),N127/R127-1,"")</f>
        <v/>
      </c>
      <c r="T127" s="39" t="inlineStr">
        <is>
          <t>Same size (Queen). Ours live: catalog price, 2026-10-13; 15 children</t>
        </is>
      </c>
      <c r="U127" s="108" t="n">
        <v>2984</v>
      </c>
      <c r="V127" s="108" t="n">
        <v>347</v>
      </c>
      <c r="W127" s="113">
        <f>IF(AND(ISNUMBER(N127),ISNUMBER(V127)),N127*V127*52/12,"")</f>
        <v/>
      </c>
      <c r="X127" s="114" t="n">
        <v>4.4</v>
      </c>
      <c r="Y127" s="108" t="n">
        <v>37179</v>
      </c>
      <c r="Z127" s="115" t="n">
        <v>46307</v>
      </c>
      <c r="AA127" s="115" t="n">
        <v>42729</v>
      </c>
      <c r="AB127" s="105" t="inlineStr">
        <is>
          <t>FBA</t>
        </is>
      </c>
      <c r="AC127" s="105" t="inlineStr">
        <is>
          <t>US</t>
        </is>
      </c>
      <c r="AD127" s="108" t="n">
        <v>451969</v>
      </c>
      <c r="AE127" s="108" t="n">
        <v>4094</v>
      </c>
      <c r="AF127" s="116" t="n">
        <v>0.6071584272372669</v>
      </c>
      <c r="AG127" s="116" t="n">
        <v>0.3928415727627336</v>
      </c>
      <c r="AH127" s="39" t="inlineStr">
        <is>
          <t>hotel</t>
        </is>
      </c>
      <c r="AI127" s="116" t="n">
        <v>0.9036371963563873</v>
      </c>
      <c r="AJ127" s="116" t="n">
        <v>0.4767871247806819</v>
      </c>
      <c r="AK127" s="116" t="n">
        <v>0.1264024745059949</v>
      </c>
      <c r="AL127" s="116" t="n">
        <v>0.3227168234989568</v>
      </c>
      <c r="AM127" s="108" t="n">
        <v>1379</v>
      </c>
      <c r="AN127" s="108" t="n">
        <v>393</v>
      </c>
      <c r="AO127" s="108" t="n">
        <v>807</v>
      </c>
      <c r="AP127" s="108" t="n">
        <v>2715</v>
      </c>
      <c r="AQ127" s="108" t="n">
        <v>706</v>
      </c>
      <c r="AR127" s="108" t="n">
        <v>73</v>
      </c>
      <c r="AS127" s="117" t="n">
        <v>1.799620493358634</v>
      </c>
      <c r="AT127" s="112" t="n">
        <v>0.004829621679635077</v>
      </c>
      <c r="AU127" s="118" t="inlineStr">
        <is>
          <t>N</t>
        </is>
      </c>
      <c r="AV127" s="118" t="inlineStr">
        <is>
          <t>none</t>
        </is>
      </c>
      <c r="AW127" s="124" t="n"/>
      <c r="AX127" s="119" t="n">
        <v>79.98999999999999</v>
      </c>
      <c r="AY127" s="118" t="inlineStr">
        <is>
          <t>none</t>
        </is>
      </c>
      <c r="AZ127" s="118" t="inlineStr">
        <is>
          <t>Y</t>
        </is>
      </c>
      <c r="BA127" s="118" t="inlineStr">
        <is>
          <t>2026-10-13 12:10:54</t>
        </is>
      </c>
      <c r="BB127" s="120" t="inlineStr">
        <is>
          <t>Price cut only</t>
        </is>
      </c>
      <c r="BC127" s="120" t="inlineStr">
        <is>
          <t>11-20 to 12-01</t>
        </is>
      </c>
      <c r="BD127" s="121" t="n">
        <v>72.98999999999999</v>
      </c>
      <c r="BE127" s="121" t="n">
        <v>57.99</v>
      </c>
      <c r="BF127" s="110">
        <f>IF(AND(ISNUMBER(BD127),ISNUMBER(BE127),N(BD127)&gt;0),1-BE127/BD127,"")</f>
        <v/>
      </c>
      <c r="BG127" s="122" t="n">
        <v>3871</v>
      </c>
      <c r="BH127" s="122" t="n">
        <v>1703</v>
      </c>
      <c r="BI127" s="123">
        <f>IF(AND(ISNUMBER(BG127),ISNUMBER(BH127),N(BH127)&gt;0),BG127/BH127,"")</f>
        <v/>
      </c>
      <c r="BJ127" s="120" t="inlineStr">
        <is>
          <t>N</t>
        </is>
      </c>
      <c r="BK127" s="120" t="inlineStr">
        <is>
          <t>Lightning Deal 11-07 to 11-11; Coupon 20% (11-12 to 12-02); List Price $72.99</t>
        </is>
      </c>
    </row>
    <row r="128" ht="62" customHeight="1">
      <c r="A128" s="12">
        <f>_xlfn.IMAGE("https://images-na.ssl-images-amazon.com/images/I/71AudKmD2JL.jpg")</f>
        <v/>
      </c>
      <c r="B128" s="105" t="inlineStr">
        <is>
          <t>Love's cabin</t>
        </is>
      </c>
      <c r="C128" s="39" t="inlineStr">
        <is>
          <t>Love's cabin 4 Piece Queen Sheet Set, 100% Rayon Derived from Bamboo, Cooling &amp; Breathable, Soft Silky Deep Pocket up to 16", Hotel Luxury Bedding for Hot Sleepers, Beige</t>
        </is>
      </c>
      <c r="D128" s="105" t="inlineStr">
        <is>
          <t>Beatable</t>
        </is>
      </c>
      <c r="E128" s="106" t="inlineStr">
        <is>
          <t>Direct</t>
        </is>
      </c>
      <c r="F128" s="105" t="inlineStr">
        <is>
          <t>Bamboo viscose</t>
        </is>
      </c>
      <c r="G128" s="39" t="inlineStr">
        <is>
          <t>Same product (sheet set) in the same material family: Bamboo viscose (title: Love's cabin 4 Piece Queen Sheet Set, 100% Rayon Derived fro); ours: our listing: viscose from bamboo.</t>
        </is>
      </c>
      <c r="H128" s="107" t="inlineStr">
        <is>
          <t>B0DN1GGFL7</t>
        </is>
      </c>
      <c r="I128" s="107" t="inlineStr">
        <is>
          <t>B0DN1DVKH5</t>
        </is>
      </c>
      <c r="J128" s="105" t="inlineStr">
        <is>
          <t>Queen</t>
        </is>
      </c>
      <c r="K128" s="105" t="inlineStr">
        <is>
          <t>Beige</t>
        </is>
      </c>
      <c r="L128" s="108" t="n">
        <v>176</v>
      </c>
      <c r="M128" s="39" t="inlineStr">
        <is>
          <t>B0DN1DVKH5 (43%), B0DN1H6C88 (10%), B0DN1D4YKB (9%), B0DN1H5PQ6 (8%), B0DN1DRRDN (7%)</t>
        </is>
      </c>
      <c r="N128" s="109" t="n">
        <v>37.99</v>
      </c>
      <c r="O128" s="109" t="n">
        <v>44.99</v>
      </c>
      <c r="P128" s="110">
        <f>IF(AND(ISNUMBER(O128),ISNUMBER(N128),N(N128)&gt;0),O128/N128-1,"")</f>
        <v/>
      </c>
      <c r="Q128" s="111">
        <f>IF(P128="","No List Price",IF(P128&lt;=0,"At/below price",IF(P128&lt;=0.12,"&lt;=12% STR zone",IF(P128&lt;=0.25,"12-25%","&gt;25% over"))))</f>
        <v/>
      </c>
      <c r="R128" s="109" t="n">
        <v>89.98999999999999</v>
      </c>
      <c r="S128" s="112">
        <f>IF(AND(ISNUMBER(N128),ISNUMBER(R128),N(R128)&gt;0),N128/R128-1,"")</f>
        <v/>
      </c>
      <c r="T128" s="39" t="inlineStr">
        <is>
          <t>Same size (Queen). Ours live: catalog price, 2026-10-13; 15 children</t>
        </is>
      </c>
      <c r="U128" s="108" t="n">
        <v>501</v>
      </c>
      <c r="V128" s="108" t="n">
        <v>924</v>
      </c>
      <c r="W128" s="113">
        <f>IF(AND(ISNUMBER(N128),ISNUMBER(V128)),N128*V128*52/12,"")</f>
        <v/>
      </c>
      <c r="X128" s="114" t="n">
        <v>4.4</v>
      </c>
      <c r="Y128" s="108" t="n">
        <v>1900</v>
      </c>
      <c r="Z128" s="115" t="n">
        <v>46307</v>
      </c>
      <c r="AA128" s="115" t="n">
        <v>45694</v>
      </c>
      <c r="AB128" s="105" t="inlineStr">
        <is>
          <t>FBA</t>
        </is>
      </c>
      <c r="AC128" s="105" t="inlineStr">
        <is>
          <t>CN</t>
        </is>
      </c>
      <c r="AD128" s="108" t="n">
        <v>906346</v>
      </c>
      <c r="AE128" s="108" t="n">
        <v>4326</v>
      </c>
      <c r="AF128" s="116" t="n">
        <v>0.9184238707954808</v>
      </c>
      <c r="AG128" s="116" t="n">
        <v>0.08157613626584115</v>
      </c>
      <c r="AH128" s="39" t="inlineStr">
        <is>
          <t>bamboo sheets</t>
        </is>
      </c>
      <c r="AI128" s="116" t="n">
        <v>0.888575665364</v>
      </c>
      <c r="AJ128" s="116" t="n">
        <v>0.05086247415446198</v>
      </c>
      <c r="AK128" s="116" t="n"/>
      <c r="AL128" s="116" t="n">
        <v>0.4089034430559632</v>
      </c>
      <c r="AM128" s="108" t="n">
        <v>1410</v>
      </c>
      <c r="AN128" s="108" t="n">
        <v>186</v>
      </c>
      <c r="AO128" s="108" t="n">
        <v>1128</v>
      </c>
      <c r="AP128" s="108" t="n">
        <v>2916</v>
      </c>
      <c r="AQ128" s="108" t="n">
        <v>938</v>
      </c>
      <c r="AR128" s="108" t="n">
        <v>38</v>
      </c>
      <c r="AS128" s="117" t="n">
        <v>0.8953669259384511</v>
      </c>
      <c r="AT128" s="112" t="n">
        <v>0.5388519228600428</v>
      </c>
      <c r="AU128" s="118" t="inlineStr">
        <is>
          <t>Y</t>
        </is>
      </c>
      <c r="AV128" s="118" t="inlineStr">
        <is>
          <t>List Price</t>
        </is>
      </c>
      <c r="AW128" s="119" t="n">
        <v>44.99</v>
      </c>
      <c r="AX128" s="119" t="n">
        <v>37.99</v>
      </c>
      <c r="AY128" s="118" t="inlineStr">
        <is>
          <t>none</t>
        </is>
      </c>
      <c r="AZ128" s="118" t="inlineStr">
        <is>
          <t>Y</t>
        </is>
      </c>
      <c r="BA128" s="118" t="inlineStr">
        <is>
          <t>2026-10-13 12:11:04</t>
        </is>
      </c>
      <c r="BB128" s="120" t="inlineStr">
        <is>
          <t>Prime Exclusive Discount</t>
        </is>
      </c>
      <c r="BC128" s="120" t="inlineStr">
        <is>
          <t>11-03 to 12-05</t>
        </is>
      </c>
      <c r="BD128" s="121" t="n">
        <v>36.99</v>
      </c>
      <c r="BE128" s="121" t="n">
        <v>29.99</v>
      </c>
      <c r="BF128" s="110">
        <f>IF(AND(ISNUMBER(BD128),ISNUMBER(BE128),N(BD128)&gt;0),1-BE128/BD128,"")</f>
        <v/>
      </c>
      <c r="BG128" s="122" t="n">
        <v>32899</v>
      </c>
      <c r="BH128" s="122" t="n">
        <v>33089</v>
      </c>
      <c r="BI128" s="123">
        <f>IF(AND(ISNUMBER(BG128),ISNUMBER(BH128),N(BH128)&gt;0),BG128/BH128,"")</f>
        <v/>
      </c>
      <c r="BJ128" s="120" t="inlineStr">
        <is>
          <t>N</t>
        </is>
      </c>
      <c r="BK128" s="120" t="inlineStr">
        <is>
          <t>Prime Exclusive already running before BFCM week; List Price $49.99</t>
        </is>
      </c>
    </row>
    <row r="129" ht="62" customHeight="1">
      <c r="A129" s="12">
        <f>_xlfn.IMAGE("https://images-na.ssl-images-amazon.com/images/I/61-LBYlR5KL.jpg")</f>
        <v/>
      </c>
      <c r="B129" s="105" t="inlineStr">
        <is>
          <t>KRIMANO</t>
        </is>
      </c>
      <c r="C129" s="39" t="inlineStr">
        <is>
          <t>KRIMANO Bamboo Viscose Sheet Set King Size, Cooling Sheets Bed Set</t>
        </is>
      </c>
      <c r="D129" s="105" t="inlineStr">
        <is>
          <t>Beatable</t>
        </is>
      </c>
      <c r="E129" s="106" t="inlineStr">
        <is>
          <t>Direct</t>
        </is>
      </c>
      <c r="F129" s="105" t="inlineStr">
        <is>
          <t>Bamboo viscose</t>
        </is>
      </c>
      <c r="G129" s="39" t="inlineStr">
        <is>
          <t>Same product (sheet set) in the same material family: Bamboo viscose (product page material: Viscose Derived from Bamboo); ours: our listing: viscose from bamboo.</t>
        </is>
      </c>
      <c r="H129" s="107" t="inlineStr">
        <is>
          <t>B0FT7L9RSX</t>
        </is>
      </c>
      <c r="I129" s="107" t="inlineStr">
        <is>
          <t>B0FT7LZ2CD</t>
        </is>
      </c>
      <c r="J129" s="105" t="inlineStr">
        <is>
          <t>King</t>
        </is>
      </c>
      <c r="K129" s="105" t="inlineStr">
        <is>
          <t>1.navy Blue</t>
        </is>
      </c>
      <c r="L129" s="108" t="n">
        <v>43</v>
      </c>
      <c r="M129" s="39" t="inlineStr">
        <is>
          <t>B0FT7LV7PP (47%), B0FT7LZ2CD (42%)</t>
        </is>
      </c>
      <c r="N129" s="109" t="n">
        <v>79.98999999999999</v>
      </c>
      <c r="O129" s="109" t="n"/>
      <c r="P129" s="110">
        <f>IF(AND(ISNUMBER(O129),ISNUMBER(N129),N(N129)&gt;0),O129/N129-1,"")</f>
        <v/>
      </c>
      <c r="Q129" s="111">
        <f>IF(P129="","No List Price",IF(P129&lt;=0,"At/below price",IF(P129&lt;=0.12,"&lt;=12% STR zone",IF(P129&lt;=0.25,"12-25%","&gt;25% over"))))</f>
        <v/>
      </c>
      <c r="R129" s="109" t="n">
        <v>94.98999999999999</v>
      </c>
      <c r="S129" s="112">
        <f>IF(AND(ISNUMBER(N129),ISNUMBER(R129),N(R129)&gt;0),N129/R129-1,"")</f>
        <v/>
      </c>
      <c r="T129" s="39" t="inlineStr">
        <is>
          <t>Same size (King). Ours live: catalog price, 2026-10-13; 15 children</t>
        </is>
      </c>
      <c r="U129" s="108" t="n">
        <v>5664</v>
      </c>
      <c r="V129" s="108" t="n">
        <v>185</v>
      </c>
      <c r="W129" s="113">
        <f>IF(AND(ISNUMBER(N129),ISNUMBER(V129)),N129*V129*52/12,"")</f>
        <v/>
      </c>
      <c r="X129" s="114" t="n">
        <v>4.5</v>
      </c>
      <c r="Y129" s="108" t="n">
        <v>263</v>
      </c>
      <c r="Z129" s="115" t="n">
        <v>46307</v>
      </c>
      <c r="AA129" s="115" t="n">
        <v>45944</v>
      </c>
      <c r="AB129" s="105" t="inlineStr">
        <is>
          <t>FBA</t>
        </is>
      </c>
      <c r="AC129" s="105" t="inlineStr">
        <is>
          <t>HK</t>
        </is>
      </c>
      <c r="AD129" s="108" t="n">
        <v>334819</v>
      </c>
      <c r="AE129" s="108" t="n">
        <v>2638</v>
      </c>
      <c r="AF129" s="116" t="n">
        <v>0.6137371774003271</v>
      </c>
      <c r="AG129" s="116" t="n">
        <v>0.3862628512718813</v>
      </c>
      <c r="AH129" s="39" t="inlineStr">
        <is>
          <t>bamboo sheets</t>
        </is>
      </c>
      <c r="AI129" s="116" t="n">
        <v>0.9348573408319122</v>
      </c>
      <c r="AJ129" s="116" t="n">
        <v>0.3304382367786775</v>
      </c>
      <c r="AK129" s="116" t="n"/>
      <c r="AL129" s="116" t="n">
        <v>0.007908750698138397</v>
      </c>
      <c r="AM129" s="108" t="n">
        <v>1231</v>
      </c>
      <c r="AN129" s="108" t="n">
        <v>272</v>
      </c>
      <c r="AO129" s="108" t="n">
        <v>705</v>
      </c>
      <c r="AP129" s="108" t="n">
        <v>1407</v>
      </c>
      <c r="AQ129" s="108" t="n">
        <v>294</v>
      </c>
      <c r="AR129" s="108" t="n">
        <v>100</v>
      </c>
      <c r="AS129" s="117" t="n">
        <v>1.312468450277638</v>
      </c>
      <c r="AT129" s="112" t="n">
        <v>0.2565502183406114</v>
      </c>
      <c r="AU129" s="118" t="inlineStr">
        <is>
          <t>N</t>
        </is>
      </c>
      <c r="AV129" s="118" t="inlineStr">
        <is>
          <t>none</t>
        </is>
      </c>
      <c r="AW129" s="124" t="n"/>
      <c r="AX129" s="119" t="n">
        <v>84.98999999999999</v>
      </c>
      <c r="AY129" s="118" t="inlineStr">
        <is>
          <t>none</t>
        </is>
      </c>
      <c r="AZ129" s="118" t="inlineStr">
        <is>
          <t>Y</t>
        </is>
      </c>
      <c r="BA129" s="118" t="inlineStr">
        <is>
          <t>2026-10-13 12:11:00</t>
        </is>
      </c>
      <c r="BB129" s="120" t="inlineStr">
        <is>
          <t>None</t>
        </is>
      </c>
      <c r="BC129" s="125" t="n"/>
      <c r="BD129" s="121" t="n">
        <v>72.98999999999999</v>
      </c>
      <c r="BE129" s="121" t="n">
        <v>72.98999999999999</v>
      </c>
      <c r="BF129" s="110">
        <f>IF(AND(ISNUMBER(BD129),ISNUMBER(BE129),N(BD129)&gt;0),1-BE129/BD129,"")</f>
        <v/>
      </c>
      <c r="BG129" s="122" t="n">
        <v>1190634</v>
      </c>
      <c r="BH129" s="122" t="n">
        <v>628461</v>
      </c>
      <c r="BI129" s="123">
        <f>IF(AND(ISNUMBER(BG129),ISNUMBER(BH129),N(BH129)&gt;0),BG129/BH129,"")</f>
        <v/>
      </c>
      <c r="BJ129" s="120" t="inlineStr">
        <is>
          <t>N</t>
        </is>
      </c>
      <c r="BK129" s="120" t="inlineStr">
        <is>
          <t>List Price $94.89</t>
        </is>
      </c>
    </row>
    <row r="130" ht="62" customHeight="1">
      <c r="A130" s="12">
        <f>_xlfn.IMAGE("https://m.media-amazon.com/images/I/81V9M033qOL._AC_SL1500_.jpg")</f>
        <v/>
      </c>
      <c r="B130" s="105" t="inlineStr">
        <is>
          <t>TRUE BAMBOO</t>
        </is>
      </c>
      <c r="C130" s="39" t="inlineStr">
        <is>
          <t>TRUE BAMBOO Sheets Set King Size - Silky Soft &amp; Cooling - Dark Gray</t>
        </is>
      </c>
      <c r="D130" s="105" t="inlineStr">
        <is>
          <t>Beatable</t>
        </is>
      </c>
      <c r="E130" s="106" t="inlineStr">
        <is>
          <t>Direct</t>
        </is>
      </c>
      <c r="F130" s="105" t="inlineStr">
        <is>
          <t>Bamboo viscose</t>
        </is>
      </c>
      <c r="G130" s="39" t="inlineStr">
        <is>
          <t>Same product (sheet set) in the same material family: Bamboo viscose (product page material: Rayon); ours: our listing: viscose from bamboo.</t>
        </is>
      </c>
      <c r="H130" s="107" t="inlineStr">
        <is>
          <t>B0HHQ97HBL</t>
        </is>
      </c>
      <c r="I130" s="107" t="inlineStr">
        <is>
          <t>B0HD7R5L1D</t>
        </is>
      </c>
      <c r="J130" s="105" t="inlineStr">
        <is>
          <t>Queen</t>
        </is>
      </c>
      <c r="K130" s="105" t="inlineStr">
        <is>
          <t>Dark Gray</t>
        </is>
      </c>
      <c r="L130" s="108" t="n">
        <v>30</v>
      </c>
      <c r="M130" s="39" t="inlineStr">
        <is>
          <t>B0HD7R5L1D (45%), B0H5WYMXJK (28%), B0H7BYKYCD (9%)</t>
        </is>
      </c>
      <c r="N130" s="109" t="n">
        <v>79.98999999999999</v>
      </c>
      <c r="O130" s="109" t="n">
        <v>129.99</v>
      </c>
      <c r="P130" s="110">
        <f>IF(AND(ISNUMBER(O130),ISNUMBER(N130),N(N130)&gt;0),O130/N130-1,"")</f>
        <v/>
      </c>
      <c r="Q130" s="111">
        <f>IF(P130="","No List Price",IF(P130&lt;=0,"At/below price",IF(P130&lt;=0.12,"&lt;=12% STR zone",IF(P130&lt;=0.25,"12-25%","&gt;25% over"))))</f>
        <v/>
      </c>
      <c r="R130" s="109" t="n">
        <v>89.98999999999999</v>
      </c>
      <c r="S130" s="112">
        <f>IF(AND(ISNUMBER(N130),ISNUMBER(R130),N(R130)&gt;0),N130/R130-1,"")</f>
        <v/>
      </c>
      <c r="T130" s="39" t="inlineStr">
        <is>
          <t>Same size (Queen). Ours live: catalog price, 2026-10-13; 15 children</t>
        </is>
      </c>
      <c r="U130" s="108" t="n">
        <v>5934</v>
      </c>
      <c r="V130" s="108" t="n">
        <v>185</v>
      </c>
      <c r="W130" s="113">
        <f>IF(AND(ISNUMBER(N130),ISNUMBER(V130)),N130*V130*52/12,"")</f>
        <v/>
      </c>
      <c r="X130" s="114" t="n">
        <v>4.6</v>
      </c>
      <c r="Y130" s="108" t="n">
        <v>167</v>
      </c>
      <c r="Z130" s="115" t="n">
        <v>46307</v>
      </c>
      <c r="AA130" s="115" t="n"/>
      <c r="AB130" s="105" t="n"/>
      <c r="AC130" s="105" t="n"/>
      <c r="AD130" s="108" t="n">
        <v>557658</v>
      </c>
      <c r="AE130" s="108" t="n">
        <v>2189</v>
      </c>
      <c r="AF130" s="116" t="n">
        <v>0.518044597943542</v>
      </c>
      <c r="AG130" s="116" t="n">
        <v>0.4819554422244464</v>
      </c>
      <c r="AH130" s="39" t="inlineStr">
        <is>
          <t>king size sheets set</t>
        </is>
      </c>
      <c r="AI130" s="116" t="n">
        <v>0.9807695756180311</v>
      </c>
      <c r="AJ130" s="116" t="n">
        <v>0.2157666526795993</v>
      </c>
      <c r="AK130" s="116" t="n"/>
      <c r="AL130" s="116" t="n"/>
      <c r="AM130" s="108" t="n">
        <v>1126</v>
      </c>
      <c r="AN130" s="108" t="n">
        <v>246</v>
      </c>
      <c r="AO130" s="108" t="n">
        <v>667</v>
      </c>
      <c r="AP130" s="108" t="n">
        <v>1063</v>
      </c>
      <c r="AQ130" s="108" t="n">
        <v>661</v>
      </c>
      <c r="AR130" s="108" t="n">
        <v>137</v>
      </c>
      <c r="AS130" s="117" t="n"/>
      <c r="AT130" s="112" t="n"/>
      <c r="AU130" s="118" t="inlineStr">
        <is>
          <t>Y</t>
        </is>
      </c>
      <c r="AV130" s="118" t="inlineStr">
        <is>
          <t>List Price</t>
        </is>
      </c>
      <c r="AW130" s="119" t="n">
        <v>129.99</v>
      </c>
      <c r="AX130" s="119" t="n">
        <v>79.98999999999999</v>
      </c>
      <c r="AY130" s="118" t="inlineStr">
        <is>
          <t>none</t>
        </is>
      </c>
      <c r="AZ130" s="118" t="inlineStr">
        <is>
          <t>Y</t>
        </is>
      </c>
      <c r="BA130" s="118" t="inlineStr">
        <is>
          <t>2026-10-13 12:11:32</t>
        </is>
      </c>
      <c r="BB130" s="120" t="inlineStr">
        <is>
          <t>Not live in 2025</t>
        </is>
      </c>
      <c r="BC130" s="125" t="n"/>
      <c r="BD130" s="124" t="n"/>
      <c r="BE130" s="124" t="n"/>
      <c r="BF130" s="110">
        <f>IF(AND(ISNUMBER(BD130),ISNUMBER(BE130),N(BD130)&gt;0),1-BE130/BD130,"")</f>
        <v/>
      </c>
      <c r="BG130" s="126" t="n"/>
      <c r="BH130" s="126" t="n"/>
      <c r="BI130" s="123">
        <f>IF(AND(ISNUMBER(BG130),ISNUMBER(BH130),N(BH130)&gt;0),BG130/BH130,"")</f>
        <v/>
      </c>
      <c r="BJ130" s="125" t="n"/>
      <c r="BK130" s="125" t="n"/>
    </row>
    <row r="131" ht="62" customHeight="1">
      <c r="A131" s="12">
        <f>_xlfn.IMAGE("https://images-na.ssl-images-amazon.com/images/I/81svKInu7aL.jpg")</f>
        <v/>
      </c>
      <c r="B131" s="105" t="inlineStr">
        <is>
          <t>Bambaw</t>
        </is>
      </c>
      <c r="C131" s="39" t="inlineStr">
        <is>
          <t>Bambaw 100% Viscose Derived from Bamboo Sheets Queen Size Set – 4pcs Cooling Sheet Set, Super Soft Sheets Queen Size, Luxury Bed Sheets, Deep Pocket Fits Up to 16'' Mattresses (Charcoal)</t>
        </is>
      </c>
      <c r="D131" s="105" t="inlineStr">
        <is>
          <t>Beatable</t>
        </is>
      </c>
      <c r="E131" s="106" t="inlineStr">
        <is>
          <t>Direct</t>
        </is>
      </c>
      <c r="F131" s="105" t="inlineStr">
        <is>
          <t>Bamboo viscose</t>
        </is>
      </c>
      <c r="G131" s="39" t="inlineStr">
        <is>
          <t>Same product (sheet set) in the same material family: Bamboo viscose (title: Bambaw 100% Viscose Derived from Bamboo Sheets Queen Size Se); ours: our listing: viscose from bamboo.</t>
        </is>
      </c>
      <c r="H131" s="107" t="inlineStr">
        <is>
          <t>B07K6SYX8L</t>
        </is>
      </c>
      <c r="I131" s="107" t="inlineStr">
        <is>
          <t>B0DR99Q37Y</t>
        </is>
      </c>
      <c r="J131" s="105" t="inlineStr">
        <is>
          <t>Queen</t>
        </is>
      </c>
      <c r="K131" s="105" t="inlineStr">
        <is>
          <t>Charcoal</t>
        </is>
      </c>
      <c r="L131" s="108" t="n">
        <v>104</v>
      </c>
      <c r="M131" s="39" t="inlineStr">
        <is>
          <t>B0DR99Q37Y (55%), B0DR98VW37 (10%), B0F2J1742T (7%), B0DR98HVG3 (5%), B0H3BQSQ1X (5%)</t>
        </is>
      </c>
      <c r="N131" s="109" t="n">
        <v>89.98999999999999</v>
      </c>
      <c r="O131" s="109" t="n"/>
      <c r="P131" s="110">
        <f>IF(AND(ISNUMBER(O131),ISNUMBER(N131),N(N131)&gt;0),O131/N131-1,"")</f>
        <v/>
      </c>
      <c r="Q131" s="111">
        <f>IF(P131="","No List Price",IF(P131&lt;=0,"At/below price",IF(P131&lt;=0.12,"&lt;=12% STR zone",IF(P131&lt;=0.25,"12-25%","&gt;25% over"))))</f>
        <v/>
      </c>
      <c r="R131" s="109" t="n">
        <v>89.98999999999999</v>
      </c>
      <c r="S131" s="112">
        <f>IF(AND(ISNUMBER(N131),ISNUMBER(R131),N(R131)&gt;0),N131/R131-1,"")</f>
        <v/>
      </c>
      <c r="T131" s="39" t="inlineStr">
        <is>
          <t>Same size (Queen). Ours live: catalog price, 2026-10-13; 15 children</t>
        </is>
      </c>
      <c r="U131" s="108" t="n">
        <v>6971</v>
      </c>
      <c r="V131" s="108" t="n">
        <v>104</v>
      </c>
      <c r="W131" s="113">
        <f>IF(AND(ISNUMBER(N131),ISNUMBER(V131)),N131*V131*52/12,"")</f>
        <v/>
      </c>
      <c r="X131" s="114" t="n">
        <v>4.3</v>
      </c>
      <c r="Y131" s="108" t="n">
        <v>2766</v>
      </c>
      <c r="Z131" s="115" t="n">
        <v>46307</v>
      </c>
      <c r="AA131" s="115" t="n">
        <v>45649</v>
      </c>
      <c r="AB131" s="105" t="inlineStr">
        <is>
          <t>FBA</t>
        </is>
      </c>
      <c r="AC131" s="105" t="inlineStr">
        <is>
          <t>BE</t>
        </is>
      </c>
      <c r="AD131" s="108" t="n">
        <v>407949</v>
      </c>
      <c r="AE131" s="108" t="n">
        <v>2137</v>
      </c>
      <c r="AF131" s="116" t="n">
        <v>0.5037485506766772</v>
      </c>
      <c r="AG131" s="116" t="n">
        <v>0.4962515277645003</v>
      </c>
      <c r="AH131" s="39" t="inlineStr">
        <is>
          <t>bamboo sheets</t>
        </is>
      </c>
      <c r="AI131" s="116" t="n">
        <v>0.8267479513370544</v>
      </c>
      <c r="AJ131" s="116" t="n">
        <v>0.000431426477329274</v>
      </c>
      <c r="AK131" s="116" t="n">
        <v>0.3636508485129268</v>
      </c>
      <c r="AL131" s="116" t="n">
        <v>0.003414642516589083</v>
      </c>
      <c r="AM131" s="108" t="n">
        <v>1036</v>
      </c>
      <c r="AN131" s="108" t="n">
        <v>263</v>
      </c>
      <c r="AO131" s="108" t="n">
        <v>666</v>
      </c>
      <c r="AP131" s="108" t="n">
        <v>1101</v>
      </c>
      <c r="AQ131" s="108" t="n">
        <v>402</v>
      </c>
      <c r="AR131" s="108" t="n">
        <v>92</v>
      </c>
      <c r="AS131" s="117" t="n">
        <v>1.374474053295933</v>
      </c>
      <c r="AT131" s="112" t="n">
        <v>1.381825760733639</v>
      </c>
      <c r="AU131" s="118" t="inlineStr">
        <is>
          <t>N</t>
        </is>
      </c>
      <c r="AV131" s="118" t="inlineStr">
        <is>
          <t>none</t>
        </is>
      </c>
      <c r="AW131" s="124" t="n"/>
      <c r="AX131" s="119" t="n">
        <v>89.98999999999999</v>
      </c>
      <c r="AY131" s="118" t="inlineStr">
        <is>
          <t>none</t>
        </is>
      </c>
      <c r="AZ131" s="118" t="inlineStr">
        <is>
          <t>Y</t>
        </is>
      </c>
      <c r="BA131" s="118" t="inlineStr">
        <is>
          <t>2026-10-13 12:10:28</t>
        </is>
      </c>
      <c r="BB131" s="120" t="inlineStr">
        <is>
          <t>None</t>
        </is>
      </c>
      <c r="BC131" s="125" t="n"/>
      <c r="BD131" s="121" t="n">
        <v>89.98999999999999</v>
      </c>
      <c r="BE131" s="121" t="n">
        <v>89.98999999999999</v>
      </c>
      <c r="BF131" s="110">
        <f>IF(AND(ISNUMBER(BD131),ISNUMBER(BE131),N(BD131)&gt;0),1-BE131/BD131,"")</f>
        <v/>
      </c>
      <c r="BG131" s="122" t="n">
        <v>12712</v>
      </c>
      <c r="BH131" s="122" t="n">
        <v>10881</v>
      </c>
      <c r="BI131" s="123">
        <f>IF(AND(ISNUMBER(BG131),ISNUMBER(BH131),N(BH131)&gt;0),BG131/BH131,"")</f>
        <v/>
      </c>
      <c r="BJ131" s="120" t="inlineStr">
        <is>
          <t>N</t>
        </is>
      </c>
      <c r="BK131" s="120" t="inlineStr">
        <is>
          <t>List Price $103.45</t>
        </is>
      </c>
    </row>
    <row r="132" ht="62" customHeight="1">
      <c r="A132" s="12">
        <f>_xlfn.IMAGE("https://images-na.ssl-images-amazon.com/images/I/81suQgVR0GL.jpg")</f>
        <v/>
      </c>
      <c r="B132" s="105" t="inlineStr">
        <is>
          <t>Bedsure</t>
        </is>
      </c>
      <c r="C132" s="39" t="inlineStr">
        <is>
          <t>Bedsure PureWoven Organically Grown Bamboo Viscose Queen Sheet Set, 4PCS</t>
        </is>
      </c>
      <c r="D132" s="105" t="inlineStr">
        <is>
          <t>Beatable</t>
        </is>
      </c>
      <c r="E132" s="106" t="inlineStr">
        <is>
          <t>Direct</t>
        </is>
      </c>
      <c r="F132" s="105" t="inlineStr">
        <is>
          <t>Bamboo viscose</t>
        </is>
      </c>
      <c r="G132" s="39" t="inlineStr">
        <is>
          <t>Same product (sheet set) in the same material family: Bamboo viscose (product page material: Viscose Derived from Bamboo); ours: our listing: viscose from bamboo.</t>
        </is>
      </c>
      <c r="H132" s="107" t="inlineStr">
        <is>
          <t>B0FB8XS4D1</t>
        </is>
      </c>
      <c r="I132" s="107" t="inlineStr">
        <is>
          <t>B0FB8XR43Q</t>
        </is>
      </c>
      <c r="J132" s="105" t="inlineStr">
        <is>
          <t>Queen</t>
        </is>
      </c>
      <c r="K132" s="105" t="inlineStr">
        <is>
          <t>01 - White</t>
        </is>
      </c>
      <c r="L132" s="108" t="n">
        <v>39</v>
      </c>
      <c r="M132" s="39" t="inlineStr">
        <is>
          <t>B0FB8XR43Q (31%), B0FB8ZTD7M (18%), B0GLN6VP9Y (11%), B0FB8YV6C7 (10%), B0FB8Z4GGW (10%)</t>
        </is>
      </c>
      <c r="N132" s="109" t="n">
        <v>89.98999999999999</v>
      </c>
      <c r="O132" s="109" t="n">
        <v>119.99</v>
      </c>
      <c r="P132" s="110">
        <f>IF(AND(ISNUMBER(O132),ISNUMBER(N132),N(N132)&gt;0),O132/N132-1,"")</f>
        <v/>
      </c>
      <c r="Q132" s="111">
        <f>IF(P132="","No List Price",IF(P132&lt;=0,"At/below price",IF(P132&lt;=0.12,"&lt;=12% STR zone",IF(P132&lt;=0.25,"12-25%","&gt;25% over"))))</f>
        <v/>
      </c>
      <c r="R132" s="109" t="n">
        <v>89.98999999999999</v>
      </c>
      <c r="S132" s="112">
        <f>IF(AND(ISNUMBER(N132),ISNUMBER(R132),N(R132)&gt;0),N132/R132-1,"")</f>
        <v/>
      </c>
      <c r="T132" s="39" t="inlineStr">
        <is>
          <t>Same size (Queen). Ours live: catalog price, 2026-10-13; 15 children</t>
        </is>
      </c>
      <c r="U132" s="108" t="n">
        <v>8938</v>
      </c>
      <c r="V132" s="108" t="n">
        <v>104</v>
      </c>
      <c r="W132" s="113">
        <f>IF(AND(ISNUMBER(N132),ISNUMBER(V132)),N132*V132*52/12,"")</f>
        <v/>
      </c>
      <c r="X132" s="114" t="n">
        <v>4.5</v>
      </c>
      <c r="Y132" s="108" t="n">
        <v>588</v>
      </c>
      <c r="Z132" s="115" t="n">
        <v>46307</v>
      </c>
      <c r="AA132" s="115" t="n">
        <v>45936</v>
      </c>
      <c r="AB132" s="105" t="inlineStr">
        <is>
          <t>FBA</t>
        </is>
      </c>
      <c r="AC132" s="105" t="inlineStr">
        <is>
          <t>US</t>
        </is>
      </c>
      <c r="AD132" s="108" t="n">
        <v>840292</v>
      </c>
      <c r="AE132" s="108" t="n">
        <v>3961</v>
      </c>
      <c r="AF132" s="116" t="n">
        <v>0.1404099194089678</v>
      </c>
      <c r="AG132" s="116" t="n">
        <v>0.8595901834124341</v>
      </c>
      <c r="AH132" s="39" t="inlineStr">
        <is>
          <t>bamboo sheets</t>
        </is>
      </c>
      <c r="AI132" s="116" t="n">
        <v>0.9284082199997143</v>
      </c>
      <c r="AJ132" s="116" t="n">
        <v>0.9843340172225845</v>
      </c>
      <c r="AK132" s="116" t="n">
        <v>0.5269953777972419</v>
      </c>
      <c r="AL132" s="116" t="n">
        <v>0.000478405125837209</v>
      </c>
      <c r="AM132" s="108" t="n">
        <v>1306</v>
      </c>
      <c r="AN132" s="108" t="n">
        <v>157</v>
      </c>
      <c r="AO132" s="108" t="n">
        <v>1057</v>
      </c>
      <c r="AP132" s="108" t="n">
        <v>2655</v>
      </c>
      <c r="AQ132" s="108" t="n">
        <v>2055</v>
      </c>
      <c r="AR132" s="108" t="n">
        <v>211</v>
      </c>
      <c r="AS132" s="117" t="n">
        <v>1.764832022873481</v>
      </c>
      <c r="AT132" s="112" t="n">
        <v>-0.09047044632086854</v>
      </c>
      <c r="AU132" s="118" t="inlineStr">
        <is>
          <t>Y</t>
        </is>
      </c>
      <c r="AV132" s="118" t="inlineStr">
        <is>
          <t>List Price</t>
        </is>
      </c>
      <c r="AW132" s="119" t="n">
        <v>119.99</v>
      </c>
      <c r="AX132" s="119" t="n">
        <v>89.98999999999999</v>
      </c>
      <c r="AY132" s="118" t="inlineStr">
        <is>
          <t>none</t>
        </is>
      </c>
      <c r="AZ132" s="118" t="inlineStr">
        <is>
          <t>Y</t>
        </is>
      </c>
      <c r="BA132" s="118" t="inlineStr">
        <is>
          <t>2026-10-13 12:10:38</t>
        </is>
      </c>
      <c r="BB132" s="120" t="inlineStr">
        <is>
          <t>Prime Exclusive Discount</t>
        </is>
      </c>
      <c r="BC132" s="120" t="inlineStr">
        <is>
          <t>11-10 to 12-05</t>
        </is>
      </c>
      <c r="BD132" s="121" t="n">
        <v>99.98999999999999</v>
      </c>
      <c r="BE132" s="121" t="n">
        <v>72.64</v>
      </c>
      <c r="BF132" s="110">
        <f>IF(AND(ISNUMBER(BD132),ISNUMBER(BE132),N(BD132)&gt;0),1-BE132/BD132,"")</f>
        <v/>
      </c>
      <c r="BG132" s="122" t="n">
        <v>53160</v>
      </c>
      <c r="BH132" s="122" t="n">
        <v>53782</v>
      </c>
      <c r="BI132" s="123">
        <f>IF(AND(ISNUMBER(BG132),ISNUMBER(BH132),N(BH132)&gt;0),BG132/BH132,"")</f>
        <v/>
      </c>
      <c r="BJ132" s="120" t="inlineStr">
        <is>
          <t>N</t>
        </is>
      </c>
      <c r="BK132" s="120" t="inlineStr">
        <is>
          <t>Prime Exclusive already running before BFCM week; List Price $114.99</t>
        </is>
      </c>
    </row>
    <row r="133" ht="62" customHeight="1">
      <c r="A133" s="12">
        <f>_xlfn.IMAGE("https://images-na.ssl-images-amazon.com/images/I/71sqxa1EquL.jpg")</f>
        <v/>
      </c>
      <c r="B133" s="105" t="inlineStr">
        <is>
          <t>SONORO KATE</t>
        </is>
      </c>
      <c r="C133" s="39" t="inlineStr">
        <is>
          <t>Bamboo Sheets</t>
        </is>
      </c>
      <c r="D133" s="105" t="inlineStr">
        <is>
          <t>Beatable</t>
        </is>
      </c>
      <c r="E133" s="106" t="inlineStr">
        <is>
          <t>Direct</t>
        </is>
      </c>
      <c r="F133" s="105" t="inlineStr">
        <is>
          <t>Bamboo viscose</t>
        </is>
      </c>
      <c r="G133" s="39" t="inlineStr">
        <is>
          <t>Same product (sheet set) in the same material family: Bamboo viscose (product page material: Viscose Derived From Bamboo); ours: our listing: viscose from bamboo.</t>
        </is>
      </c>
      <c r="H133" s="107" t="inlineStr">
        <is>
          <t>B0F4852T9V</t>
        </is>
      </c>
      <c r="I133" s="107" t="inlineStr">
        <is>
          <t>B0F4873G4H</t>
        </is>
      </c>
      <c r="J133" s="105" t="inlineStr">
        <is>
          <t>King</t>
        </is>
      </c>
      <c r="K133" s="105" t="inlineStr">
        <is>
          <t>Dark Grey</t>
        </is>
      </c>
      <c r="L133" s="108" t="n">
        <v>33</v>
      </c>
      <c r="M133" s="39" t="inlineStr">
        <is>
          <t>B0F486MGJ1 (46%), B0F4873G4H (45%)</t>
        </is>
      </c>
      <c r="N133" s="109" t="n">
        <v>79.98999999999999</v>
      </c>
      <c r="O133" s="109" t="n"/>
      <c r="P133" s="110">
        <f>IF(AND(ISNUMBER(O133),ISNUMBER(N133),N(N133)&gt;0),O133/N133-1,"")</f>
        <v/>
      </c>
      <c r="Q133" s="111">
        <f>IF(P133="","No List Price",IF(P133&lt;=0,"At/below price",IF(P133&lt;=0.12,"&lt;=12% STR zone",IF(P133&lt;=0.25,"12-25%","&gt;25% over"))))</f>
        <v/>
      </c>
      <c r="R133" s="109" t="n">
        <v>94.98999999999999</v>
      </c>
      <c r="S133" s="112">
        <f>IF(AND(ISNUMBER(N133),ISNUMBER(R133),N(R133)&gt;0),N133/R133-1,"")</f>
        <v/>
      </c>
      <c r="T133" s="39" t="inlineStr">
        <is>
          <t>Same size (King). Ours live: catalog price, 2026-10-13; 15 children</t>
        </is>
      </c>
      <c r="U133" s="108" t="n">
        <v>7961</v>
      </c>
      <c r="V133" s="108" t="n">
        <v>104</v>
      </c>
      <c r="W133" s="113">
        <f>IF(AND(ISNUMBER(N133),ISNUMBER(V133)),N133*V133*52/12,"")</f>
        <v/>
      </c>
      <c r="X133" s="114" t="n">
        <v>4.5</v>
      </c>
      <c r="Y133" s="108" t="n">
        <v>3776</v>
      </c>
      <c r="Z133" s="115" t="n">
        <v>46307</v>
      </c>
      <c r="AA133" s="115" t="n"/>
      <c r="AB133" s="105" t="n"/>
      <c r="AC133" s="105" t="n"/>
      <c r="AD133" s="108" t="n">
        <v>185157</v>
      </c>
      <c r="AE133" s="108" t="n">
        <v>1447</v>
      </c>
      <c r="AF133" s="116" t="n">
        <v>0.9776013545261586</v>
      </c>
      <c r="AG133" s="116" t="n">
        <v>0.02239928493116653</v>
      </c>
      <c r="AH133" s="39" t="inlineStr">
        <is>
          <t>bamboo sheets</t>
        </is>
      </c>
      <c r="AI133" s="116" t="n">
        <v>0.4342476924987983</v>
      </c>
      <c r="AJ133" s="116" t="n"/>
      <c r="AK133" s="116" t="n"/>
      <c r="AL133" s="116" t="n">
        <v>0.1639959601851402</v>
      </c>
      <c r="AM133" s="108" t="n">
        <v>770</v>
      </c>
      <c r="AN133" s="108" t="n">
        <v>203</v>
      </c>
      <c r="AO133" s="108" t="n">
        <v>507</v>
      </c>
      <c r="AP133" s="108" t="n">
        <v>677</v>
      </c>
      <c r="AQ133" s="108" t="n">
        <v>80</v>
      </c>
      <c r="AR133" s="108" t="n">
        <v>6</v>
      </c>
      <c r="AS133" s="117" t="n">
        <v>1.314808539478143</v>
      </c>
      <c r="AT133" s="112" t="n">
        <v>0.6186540731995278</v>
      </c>
      <c r="AU133" s="118" t="inlineStr">
        <is>
          <t>N</t>
        </is>
      </c>
      <c r="AV133" s="118" t="inlineStr">
        <is>
          <t>none</t>
        </is>
      </c>
      <c r="AW133" s="124" t="n"/>
      <c r="AX133" s="119" t="n">
        <v>79.98999999999999</v>
      </c>
      <c r="AY133" s="118" t="inlineStr">
        <is>
          <t>coupon $5</t>
        </is>
      </c>
      <c r="AZ133" s="118" t="inlineStr">
        <is>
          <t>Y</t>
        </is>
      </c>
      <c r="BA133" s="118" t="inlineStr">
        <is>
          <t>2026-10-13 12:11:19</t>
        </is>
      </c>
      <c r="BB133" s="120" t="inlineStr">
        <is>
          <t>Prime Exclusive Discount</t>
        </is>
      </c>
      <c r="BC133" s="120" t="inlineStr">
        <is>
          <t>11-20 to 12-01</t>
        </is>
      </c>
      <c r="BD133" s="121" t="n">
        <v>79.98999999999999</v>
      </c>
      <c r="BE133" s="121" t="n">
        <v>63.99</v>
      </c>
      <c r="BF133" s="110">
        <f>IF(AND(ISNUMBER(BD133),ISNUMBER(BE133),N(BD133)&gt;0),1-BE133/BD133,"")</f>
        <v/>
      </c>
      <c r="BG133" s="122" t="n">
        <v>36662</v>
      </c>
      <c r="BH133" s="122" t="n">
        <v>23612</v>
      </c>
      <c r="BI133" s="123">
        <f>IF(AND(ISNUMBER(BG133),ISNUMBER(BH133),N(BH133)&gt;0),BG133/BH133,"")</f>
        <v/>
      </c>
      <c r="BJ133" s="120" t="inlineStr">
        <is>
          <t>N</t>
        </is>
      </c>
      <c r="BK133" s="120" t="inlineStr">
        <is>
          <t>Coupon 15% (11-06 to 11-19); List Price $79.99</t>
        </is>
      </c>
    </row>
    <row r="134" ht="62" customHeight="1">
      <c r="A134" s="12">
        <f>_xlfn.IMAGE("https://images-na.ssl-images-amazon.com/images/I/71Pl57-j67L.jpg")</f>
        <v/>
      </c>
      <c r="B134" s="105" t="inlineStr">
        <is>
          <t>BC BELLA COTERIE</t>
        </is>
      </c>
      <c r="C134" s="39" t="inlineStr">
        <is>
          <t>Bella Coterie Luxury Bamboo Viscose King Size Sheet Set</t>
        </is>
      </c>
      <c r="D134" s="105" t="inlineStr">
        <is>
          <t>Beatable</t>
        </is>
      </c>
      <c r="E134" s="106" t="inlineStr">
        <is>
          <t>Direct</t>
        </is>
      </c>
      <c r="F134" s="105" t="inlineStr">
        <is>
          <t>Bamboo viscose</t>
        </is>
      </c>
      <c r="G134" s="39" t="inlineStr">
        <is>
          <t>Same product (sheet set) in the same material family: Bamboo viscose (product page material: Organically Grown | Viscose Made From Bamboo); ours: our listing: viscose from bamboo.</t>
        </is>
      </c>
      <c r="H134" s="107" t="inlineStr">
        <is>
          <t>B0H29V113N</t>
        </is>
      </c>
      <c r="I134" s="107" t="inlineStr">
        <is>
          <t>B08L86VLZB</t>
        </is>
      </c>
      <c r="J134" s="105" t="inlineStr">
        <is>
          <t>King - 2 Pillowcases</t>
        </is>
      </c>
      <c r="K134" s="105" t="inlineStr">
        <is>
          <t>01 - White</t>
        </is>
      </c>
      <c r="L134" s="108" t="n">
        <v>258</v>
      </c>
      <c r="M134" s="39" t="inlineStr">
        <is>
          <t>B0C979FD5Z (12%), B09JTQMF5C (11%), B08L86VLZB (6%), B08L85SV5Z (5%), B09JV1NG9R (4%)</t>
        </is>
      </c>
      <c r="N134" s="109" t="n">
        <v>154.99</v>
      </c>
      <c r="O134" s="109" t="n"/>
      <c r="P134" s="110">
        <f>IF(AND(ISNUMBER(O134),ISNUMBER(N134),N(N134)&gt;0),O134/N134-1,"")</f>
        <v/>
      </c>
      <c r="Q134" s="111">
        <f>IF(P134="","No List Price",IF(P134&lt;=0,"At/below price",IF(P134&lt;=0.12,"&lt;=12% STR zone",IF(P134&lt;=0.25,"12-25%","&gt;25% over"))))</f>
        <v/>
      </c>
      <c r="R134" s="109" t="n">
        <v>94.98999999999999</v>
      </c>
      <c r="S134" s="112">
        <f>IF(AND(ISNUMBER(N134),ISNUMBER(R134),N(R134)&gt;0),N134/R134-1,"")</f>
        <v/>
      </c>
      <c r="T134" s="39" t="inlineStr">
        <is>
          <t>Same size (King). Ours live: catalog price, 2026-10-13; 15 children</t>
        </is>
      </c>
      <c r="U134" s="108" t="n">
        <v>1358</v>
      </c>
      <c r="V134" s="108" t="n">
        <v>92</v>
      </c>
      <c r="W134" s="113">
        <f>IF(AND(ISNUMBER(N134),ISNUMBER(V134)),N134*V134*52/12,"")</f>
        <v/>
      </c>
      <c r="X134" s="114" t="n">
        <v>4.4</v>
      </c>
      <c r="Y134" s="108" t="n">
        <v>5871</v>
      </c>
      <c r="Z134" s="115" t="n">
        <v>46307</v>
      </c>
      <c r="AA134" s="115" t="n">
        <v>44154</v>
      </c>
      <c r="AB134" s="105" t="inlineStr">
        <is>
          <t>FBA</t>
        </is>
      </c>
      <c r="AC134" s="105" t="inlineStr">
        <is>
          <t>US</t>
        </is>
      </c>
      <c r="AD134" s="108" t="n">
        <v>591713</v>
      </c>
      <c r="AE134" s="108" t="n">
        <v>5504</v>
      </c>
      <c r="AF134" s="116" t="n">
        <v>0.3622702587234016</v>
      </c>
      <c r="AG134" s="116" t="n">
        <v>0.6377298332130611</v>
      </c>
      <c r="AH134" s="39" t="inlineStr">
        <is>
          <t>bamboo sheets</t>
        </is>
      </c>
      <c r="AI134" s="116" t="n">
        <v>0.9808184035165697</v>
      </c>
      <c r="AJ134" s="116" t="n">
        <v>0.5730548424658576</v>
      </c>
      <c r="AK134" s="116" t="n">
        <v>0.5581810776508206</v>
      </c>
      <c r="AL134" s="116" t="n">
        <v>0.03836488297536136</v>
      </c>
      <c r="AM134" s="108" t="n">
        <v>1480</v>
      </c>
      <c r="AN134" s="108" t="n">
        <v>324</v>
      </c>
      <c r="AO134" s="108" t="n">
        <v>996</v>
      </c>
      <c r="AP134" s="108" t="n">
        <v>4024</v>
      </c>
      <c r="AQ134" s="108" t="n">
        <v>2046</v>
      </c>
      <c r="AR134" s="108" t="n">
        <v>149</v>
      </c>
      <c r="AS134" s="117" t="n">
        <v>1.778087279480037</v>
      </c>
      <c r="AT134" s="112" t="n">
        <v>0.3772549019607843</v>
      </c>
      <c r="AU134" s="118" t="inlineStr">
        <is>
          <t>N</t>
        </is>
      </c>
      <c r="AV134" s="118" t="inlineStr">
        <is>
          <t>none</t>
        </is>
      </c>
      <c r="AW134" s="124" t="n"/>
      <c r="AX134" s="119" t="n">
        <v>169.99</v>
      </c>
      <c r="AY134" s="118" t="inlineStr">
        <is>
          <t>none</t>
        </is>
      </c>
      <c r="AZ134" s="118" t="inlineStr">
        <is>
          <t>Y</t>
        </is>
      </c>
      <c r="BA134" s="118" t="inlineStr">
        <is>
          <t>2026-10-13 12:14:18</t>
        </is>
      </c>
      <c r="BB134" s="120" t="inlineStr">
        <is>
          <t>Price cut only</t>
        </is>
      </c>
      <c r="BC134" s="120" t="inlineStr">
        <is>
          <t>11-20 to 12-01</t>
        </is>
      </c>
      <c r="BD134" s="121" t="n">
        <v>134.99</v>
      </c>
      <c r="BE134" s="121" t="n">
        <v>110.5</v>
      </c>
      <c r="BF134" s="110">
        <f>IF(AND(ISNUMBER(BD134),ISNUMBER(BE134),N(BD134)&gt;0),1-BE134/BD134,"")</f>
        <v/>
      </c>
      <c r="BG134" s="122" t="n">
        <v>3072</v>
      </c>
      <c r="BH134" s="122" t="n">
        <v>1155</v>
      </c>
      <c r="BI134" s="123">
        <f>IF(AND(ISNUMBER(BG134),ISNUMBER(BH134),N(BH134)&gt;0),BG134/BH134,"")</f>
        <v/>
      </c>
      <c r="BJ134" s="120" t="inlineStr">
        <is>
          <t>N</t>
        </is>
      </c>
      <c r="BK134" s="120" t="inlineStr">
        <is>
          <t>Coupon 20.00 USD (12-03 to 12-05); List Price $169.99</t>
        </is>
      </c>
    </row>
    <row r="135" ht="62" customHeight="1">
      <c r="A135" s="12">
        <f>_xlfn.IMAGE("https://images-na.ssl-images-amazon.com/images/I/61fbapIObwL.jpg")</f>
        <v/>
      </c>
      <c r="B135" s="105" t="inlineStr">
        <is>
          <t>BAMPURE</t>
        </is>
      </c>
      <c r="C135" s="39" t="inlineStr">
        <is>
          <t>BAMPURE 100% Rayon from Bamboo Sheets King Size - 4pc Cooling King Sheets</t>
        </is>
      </c>
      <c r="D135" s="105" t="inlineStr">
        <is>
          <t>Beatable</t>
        </is>
      </c>
      <c r="E135" s="106" t="inlineStr">
        <is>
          <t>Direct</t>
        </is>
      </c>
      <c r="F135" s="105" t="inlineStr">
        <is>
          <t>Bamboo viscose</t>
        </is>
      </c>
      <c r="G135" s="39" t="inlineStr">
        <is>
          <t>Same product (sheet set) in the same material family: Bamboo viscose (product page material: Viscose Derived from Bamboo); ours: our listing: viscose from bamboo.</t>
        </is>
      </c>
      <c r="H135" s="107" t="inlineStr">
        <is>
          <t>B0HC778XB4</t>
        </is>
      </c>
      <c r="I135" s="107" t="inlineStr">
        <is>
          <t>B07XFP6BY2</t>
        </is>
      </c>
      <c r="J135" s="105" t="inlineStr">
        <is>
          <t>King</t>
        </is>
      </c>
      <c r="K135" s="105" t="inlineStr">
        <is>
          <t>White</t>
        </is>
      </c>
      <c r="L135" s="108" t="n">
        <v>40</v>
      </c>
      <c r="M135" s="39" t="inlineStr">
        <is>
          <t>B07XBJY2JR (65%), B07XFP6BY2 (21%)</t>
        </is>
      </c>
      <c r="N135" s="109" t="n">
        <v>67.98</v>
      </c>
      <c r="O135" s="109" t="n">
        <v>99.98999999999999</v>
      </c>
      <c r="P135" s="110">
        <f>IF(AND(ISNUMBER(O135),ISNUMBER(N135),N(N135)&gt;0),O135/N135-1,"")</f>
        <v/>
      </c>
      <c r="Q135" s="111">
        <f>IF(P135="","No List Price",IF(P135&lt;=0,"At/below price",IF(P135&lt;=0.12,"&lt;=12% STR zone",IF(P135&lt;=0.25,"12-25%","&gt;25% over"))))</f>
        <v/>
      </c>
      <c r="R135" s="109" t="n">
        <v>94.98999999999999</v>
      </c>
      <c r="S135" s="112">
        <f>IF(AND(ISNUMBER(N135),ISNUMBER(R135),N(R135)&gt;0),N135/R135-1,"")</f>
        <v/>
      </c>
      <c r="T135" s="39" t="inlineStr">
        <is>
          <t>Same size (King). Ours live: catalog price, 2026-10-13; 15 children</t>
        </is>
      </c>
      <c r="U135" s="108" t="n">
        <v>14479</v>
      </c>
      <c r="V135" s="108" t="n">
        <v>81</v>
      </c>
      <c r="W135" s="113">
        <f>IF(AND(ISNUMBER(N135),ISNUMBER(V135)),N135*V135*52/12,"")</f>
        <v/>
      </c>
      <c r="X135" s="114" t="n">
        <v>4.4</v>
      </c>
      <c r="Y135" s="108" t="n">
        <v>4095</v>
      </c>
      <c r="Z135" s="115" t="n">
        <v>46307</v>
      </c>
      <c r="AA135" s="115" t="n">
        <v>43776</v>
      </c>
      <c r="AB135" s="105" t="inlineStr">
        <is>
          <t>FBA</t>
        </is>
      </c>
      <c r="AC135" s="105" t="inlineStr">
        <is>
          <t>US</t>
        </is>
      </c>
      <c r="AD135" s="108" t="n">
        <v>67699</v>
      </c>
      <c r="AE135" s="108" t="n">
        <v>1687</v>
      </c>
      <c r="AF135" s="116" t="n">
        <v>0.8589487052984534</v>
      </c>
      <c r="AG135" s="116" t="n">
        <v>0.1410512947015465</v>
      </c>
      <c r="AH135" s="39" t="inlineStr">
        <is>
          <t>bamboo sheets</t>
        </is>
      </c>
      <c r="AI135" s="116" t="n">
        <v>0.9117121375500377</v>
      </c>
      <c r="AJ135" s="116" t="n"/>
      <c r="AK135" s="116" t="n"/>
      <c r="AL135" s="116" t="n"/>
      <c r="AM135" s="108" t="n">
        <v>882</v>
      </c>
      <c r="AN135" s="108" t="n">
        <v>486</v>
      </c>
      <c r="AO135" s="108" t="n">
        <v>217</v>
      </c>
      <c r="AP135" s="108" t="n">
        <v>805</v>
      </c>
      <c r="AQ135" s="108" t="n">
        <v>204</v>
      </c>
      <c r="AR135" s="108" t="n">
        <v>32</v>
      </c>
      <c r="AS135" s="117" t="n">
        <v>1.016706443914081</v>
      </c>
      <c r="AT135" s="112" t="n">
        <v>-0.2868217054263565</v>
      </c>
      <c r="AU135" s="118" t="inlineStr">
        <is>
          <t>Y</t>
        </is>
      </c>
      <c r="AV135" s="118" t="inlineStr">
        <is>
          <t>List Price</t>
        </is>
      </c>
      <c r="AW135" s="119" t="n">
        <v>99.98999999999999</v>
      </c>
      <c r="AX135" s="119" t="n">
        <v>67.98</v>
      </c>
      <c r="AY135" s="118" t="inlineStr">
        <is>
          <t>Limited time deal</t>
        </is>
      </c>
      <c r="AZ135" s="118" t="inlineStr">
        <is>
          <t>Y</t>
        </is>
      </c>
      <c r="BA135" s="118" t="inlineStr">
        <is>
          <t>2026-10-13 12:10:12</t>
        </is>
      </c>
      <c r="BB135" s="120" t="inlineStr">
        <is>
          <t>Prime Exclusive Discount</t>
        </is>
      </c>
      <c r="BC135" s="120" t="inlineStr">
        <is>
          <t>11-22 to 12-01</t>
        </is>
      </c>
      <c r="BD135" s="121" t="n">
        <v>84.98999999999999</v>
      </c>
      <c r="BE135" s="121" t="n">
        <v>79.98999999999999</v>
      </c>
      <c r="BF135" s="110">
        <f>IF(AND(ISNUMBER(BD135),ISNUMBER(BE135),N(BD135)&gt;0),1-BE135/BD135,"")</f>
        <v/>
      </c>
      <c r="BG135" s="122" t="n">
        <v>31768</v>
      </c>
      <c r="BH135" s="122" t="n">
        <v>27833</v>
      </c>
      <c r="BI135" s="123">
        <f>IF(AND(ISNUMBER(BG135),ISNUMBER(BH135),N(BH135)&gt;0),BG135/BH135,"")</f>
        <v/>
      </c>
      <c r="BJ135" s="120" t="inlineStr">
        <is>
          <t>N</t>
        </is>
      </c>
      <c r="BK135" s="120" t="inlineStr">
        <is>
          <t>Coupon 5.00 USD (11-01 to 11-04); Buy Box RAISED in BFCM week (median $99.99 vs $84.99 before); List Price $99.99</t>
        </is>
      </c>
    </row>
    <row r="136" ht="62" customHeight="1">
      <c r="A136" s="12">
        <f>_xlfn.IMAGE("https://m.media-amazon.com/images/I/71F+539t2YL._AC_SL1500_.jpg")</f>
        <v/>
      </c>
      <c r="B136" s="105" t="inlineStr">
        <is>
          <t>BEDELITE</t>
        </is>
      </c>
      <c r="C136" s="39" t="inlineStr">
        <is>
          <t>BEDELITE Bamboo Viscose Sheet Set, Queen Size, 4 Pieces, White</t>
        </is>
      </c>
      <c r="D136" s="105" t="inlineStr">
        <is>
          <t>Beatable</t>
        </is>
      </c>
      <c r="E136" s="106" t="inlineStr">
        <is>
          <t>Direct</t>
        </is>
      </c>
      <c r="F136" s="105" t="inlineStr">
        <is>
          <t>Bamboo viscose</t>
        </is>
      </c>
      <c r="G136" s="39" t="inlineStr">
        <is>
          <t>Same product (sheet set) in the same material family: Bamboo viscose (product page material: Viscose Derived from Bamboo); ours: our listing: viscose from bamboo.</t>
        </is>
      </c>
      <c r="H136" s="107" t="inlineStr">
        <is>
          <t>B0GT98GVQN</t>
        </is>
      </c>
      <c r="I136" s="107" t="inlineStr">
        <is>
          <t>B0GT8Z4X5D</t>
        </is>
      </c>
      <c r="J136" s="105" t="inlineStr">
        <is>
          <t>Queen</t>
        </is>
      </c>
      <c r="K136" s="105" t="inlineStr">
        <is>
          <t>White</t>
        </is>
      </c>
      <c r="L136" s="108" t="n">
        <v>8</v>
      </c>
      <c r="M136" s="39" t="inlineStr">
        <is>
          <t>B0GT8Z4X5D (87%)</t>
        </is>
      </c>
      <c r="N136" s="109" t="n">
        <v>84.98</v>
      </c>
      <c r="O136" s="109" t="n">
        <v>99.89</v>
      </c>
      <c r="P136" s="110">
        <f>IF(AND(ISNUMBER(O136),ISNUMBER(N136),N(N136)&gt;0),O136/N136-1,"")</f>
        <v/>
      </c>
      <c r="Q136" s="111">
        <f>IF(P136="","No List Price",IF(P136&lt;=0,"At/below price",IF(P136&lt;=0.12,"&lt;=12% STR zone",IF(P136&lt;=0.25,"12-25%","&gt;25% over"))))</f>
        <v/>
      </c>
      <c r="R136" s="109" t="n">
        <v>89.98999999999999</v>
      </c>
      <c r="S136" s="112">
        <f>IF(AND(ISNUMBER(N136),ISNUMBER(R136),N(R136)&gt;0),N136/R136-1,"")</f>
        <v/>
      </c>
      <c r="T136" s="39" t="inlineStr">
        <is>
          <t>Same size (Queen). Ours live: catalog price, 2026-10-13; 15 children</t>
        </is>
      </c>
      <c r="U136" s="108" t="n">
        <v>65907</v>
      </c>
      <c r="V136" s="108" t="n">
        <v>81</v>
      </c>
      <c r="W136" s="113">
        <f>IF(AND(ISNUMBER(N136),ISNUMBER(V136)),N136*V136*52/12,"")</f>
        <v/>
      </c>
      <c r="X136" s="114" t="n">
        <v>4.5</v>
      </c>
      <c r="Y136" s="108" t="n">
        <v>113</v>
      </c>
      <c r="Z136" s="115" t="n">
        <v>46307</v>
      </c>
      <c r="AA136" s="115" t="n"/>
      <c r="AB136" s="105" t="n"/>
      <c r="AC136" s="105" t="n"/>
      <c r="AD136" s="108" t="n">
        <v>212120</v>
      </c>
      <c r="AE136" s="108" t="n">
        <v>1732</v>
      </c>
      <c r="AF136" s="116" t="n">
        <v>0.1115827267584386</v>
      </c>
      <c r="AG136" s="116" t="n">
        <v>0.8884172883273614</v>
      </c>
      <c r="AH136" s="39" t="inlineStr">
        <is>
          <t>queen sheets</t>
        </is>
      </c>
      <c r="AI136" s="116" t="n">
        <v>0.8331840467659816</v>
      </c>
      <c r="AJ136" s="116" t="n">
        <v>0.2347161983782765</v>
      </c>
      <c r="AK136" s="116" t="n">
        <v>0.2670893833679049</v>
      </c>
      <c r="AL136" s="116" t="n"/>
      <c r="AM136" s="108" t="n">
        <v>753</v>
      </c>
      <c r="AN136" s="108" t="n">
        <v>265</v>
      </c>
      <c r="AO136" s="108" t="n">
        <v>427</v>
      </c>
      <c r="AP136" s="108" t="n">
        <v>979</v>
      </c>
      <c r="AQ136" s="108" t="n">
        <v>968</v>
      </c>
      <c r="AR136" s="108" t="n">
        <v>93</v>
      </c>
      <c r="AS136" s="117" t="n">
        <v>0.8073654390934845</v>
      </c>
      <c r="AT136" s="112" t="n">
        <v>0.4972677595628416</v>
      </c>
      <c r="AU136" s="118" t="inlineStr">
        <is>
          <t>Y</t>
        </is>
      </c>
      <c r="AV136" s="118" t="inlineStr">
        <is>
          <t>List Price</t>
        </is>
      </c>
      <c r="AW136" s="119" t="n">
        <v>99.89</v>
      </c>
      <c r="AX136" s="119" t="n">
        <v>84.98</v>
      </c>
      <c r="AY136" s="118" t="inlineStr">
        <is>
          <t>Limited time deal</t>
        </is>
      </c>
      <c r="AZ136" s="118" t="inlineStr">
        <is>
          <t>Y</t>
        </is>
      </c>
      <c r="BA136" s="118" t="inlineStr">
        <is>
          <t>2026-10-13 12:10:25</t>
        </is>
      </c>
      <c r="BB136" s="120" t="inlineStr">
        <is>
          <t>Not live in 2025</t>
        </is>
      </c>
      <c r="BC136" s="125" t="n"/>
      <c r="BD136" s="124" t="n"/>
      <c r="BE136" s="124" t="n"/>
      <c r="BF136" s="110">
        <f>IF(AND(ISNUMBER(BD136),ISNUMBER(BE136),N(BD136)&gt;0),1-BE136/BD136,"")</f>
        <v/>
      </c>
      <c r="BG136" s="126" t="n"/>
      <c r="BH136" s="126" t="n"/>
      <c r="BI136" s="123">
        <f>IF(AND(ISNUMBER(BG136),ISNUMBER(BH136),N(BH136)&gt;0),BG136/BH136,"")</f>
        <v/>
      </c>
      <c r="BJ136" s="125" t="n"/>
      <c r="BK136" s="125" t="n"/>
    </row>
    <row r="137" ht="62" customHeight="1">
      <c r="A137" s="12">
        <f>_xlfn.IMAGE("https://images-na.ssl-images-amazon.com/images/I/71HeTCWM4hL.jpg")</f>
        <v/>
      </c>
      <c r="B137" s="105" t="inlineStr">
        <is>
          <t>SONORO KATE</t>
        </is>
      </c>
      <c r="C137" s="39" t="inlineStr">
        <is>
          <t>SONORO KATE 100% Viscose Derived from Bamboo_Sheets Queen Size,4PC</t>
        </is>
      </c>
      <c r="D137" s="105" t="inlineStr">
        <is>
          <t>Beatable</t>
        </is>
      </c>
      <c r="E137" s="106" t="inlineStr">
        <is>
          <t>Direct</t>
        </is>
      </c>
      <c r="F137" s="105" t="inlineStr">
        <is>
          <t>Bamboo viscose</t>
        </is>
      </c>
      <c r="G137" s="39" t="inlineStr">
        <is>
          <t>Same product (sheet set) in the same material family: Bamboo viscose (product page material: Viscose Derived From Bamboo); ours: our listing: viscose from bamboo.</t>
        </is>
      </c>
      <c r="H137" s="107" t="inlineStr">
        <is>
          <t>B0F29FQLFD</t>
        </is>
      </c>
      <c r="I137" s="107" t="inlineStr">
        <is>
          <t>B0F29F1JM5</t>
        </is>
      </c>
      <c r="J137" s="105" t="inlineStr">
        <is>
          <t>Queen</t>
        </is>
      </c>
      <c r="K137" s="105" t="inlineStr">
        <is>
          <t>Dark Grey</t>
        </is>
      </c>
      <c r="L137" s="108" t="n">
        <v>42</v>
      </c>
      <c r="M137" s="39" t="inlineStr">
        <is>
          <t>B0F29F1JM5 (71%), B0F29HFNNS (19%)</t>
        </is>
      </c>
      <c r="N137" s="109" t="n">
        <v>59.99</v>
      </c>
      <c r="O137" s="109" t="n"/>
      <c r="P137" s="110">
        <f>IF(AND(ISNUMBER(O137),ISNUMBER(N137),N(N137)&gt;0),O137/N137-1,"")</f>
        <v/>
      </c>
      <c r="Q137" s="111">
        <f>IF(P137="","No List Price",IF(P137&lt;=0,"At/below price",IF(P137&lt;=0.12,"&lt;=12% STR zone",IF(P137&lt;=0.25,"12-25%","&gt;25% over"))))</f>
        <v/>
      </c>
      <c r="R137" s="109" t="n">
        <v>89.98999999999999</v>
      </c>
      <c r="S137" s="112">
        <f>IF(AND(ISNUMBER(N137),ISNUMBER(R137),N(R137)&gt;0),N137/R137-1,"")</f>
        <v/>
      </c>
      <c r="T137" s="39" t="inlineStr">
        <is>
          <t>Same size (Queen). Ours live: catalog price, 2026-10-13; 15 children</t>
        </is>
      </c>
      <c r="U137" s="108" t="n">
        <v>23979</v>
      </c>
      <c r="V137" s="108" t="n">
        <v>81</v>
      </c>
      <c r="W137" s="113">
        <f>IF(AND(ISNUMBER(N137),ISNUMBER(V137)),N137*V137*52/12,"")</f>
        <v/>
      </c>
      <c r="X137" s="114" t="n">
        <v>4.5</v>
      </c>
      <c r="Y137" s="108" t="n">
        <v>3911</v>
      </c>
      <c r="Z137" s="115" t="n">
        <v>46307</v>
      </c>
      <c r="AA137" s="115" t="n">
        <v>45740</v>
      </c>
      <c r="AB137" s="105" t="inlineStr">
        <is>
          <t>FBA</t>
        </is>
      </c>
      <c r="AC137" s="105" t="inlineStr">
        <is>
          <t>CN</t>
        </is>
      </c>
      <c r="AD137" s="108" t="n">
        <v>114504</v>
      </c>
      <c r="AE137" s="108" t="n">
        <v>947</v>
      </c>
      <c r="AF137" s="116" t="n">
        <v>0.8792897182631171</v>
      </c>
      <c r="AG137" s="116" t="n">
        <v>0.1207102817368825</v>
      </c>
      <c r="AH137" s="39" t="inlineStr">
        <is>
          <t>bamboo sheets</t>
        </is>
      </c>
      <c r="AI137" s="116" t="n">
        <v>0.3106878362327953</v>
      </c>
      <c r="AJ137" s="116" t="n"/>
      <c r="AK137" s="116" t="n"/>
      <c r="AL137" s="116" t="n">
        <v>0.03587647593097185</v>
      </c>
      <c r="AM137" s="108" t="n">
        <v>641</v>
      </c>
      <c r="AN137" s="108" t="n">
        <v>204</v>
      </c>
      <c r="AO137" s="108" t="n">
        <v>382</v>
      </c>
      <c r="AP137" s="108" t="n">
        <v>306</v>
      </c>
      <c r="AQ137" s="108" t="n">
        <v>63</v>
      </c>
      <c r="AR137" s="108" t="n">
        <v>2</v>
      </c>
      <c r="AS137" s="117" t="n">
        <v>1.095271210013908</v>
      </c>
      <c r="AT137" s="112" t="n">
        <v>-0.1040240897892143</v>
      </c>
      <c r="AU137" s="118" t="inlineStr">
        <is>
          <t>N</t>
        </is>
      </c>
      <c r="AV137" s="118" t="inlineStr">
        <is>
          <t>none</t>
        </is>
      </c>
      <c r="AW137" s="124" t="n"/>
      <c r="AX137" s="119" t="n">
        <v>59.99</v>
      </c>
      <c r="AY137" s="118" t="inlineStr">
        <is>
          <t>coupon 15%</t>
        </is>
      </c>
      <c r="AZ137" s="118" t="inlineStr">
        <is>
          <t>Y</t>
        </is>
      </c>
      <c r="BA137" s="118" t="inlineStr">
        <is>
          <t>2026-10-13 12:11:22</t>
        </is>
      </c>
      <c r="BB137" s="120" t="inlineStr">
        <is>
          <t>Prime Exclusive Discount</t>
        </is>
      </c>
      <c r="BC137" s="120" t="inlineStr">
        <is>
          <t>11-20 to 12-01</t>
        </is>
      </c>
      <c r="BD137" s="121" t="n">
        <v>59.99</v>
      </c>
      <c r="BE137" s="121" t="n">
        <v>47.99</v>
      </c>
      <c r="BF137" s="110">
        <f>IF(AND(ISNUMBER(BD137),ISNUMBER(BE137),N(BD137)&gt;0),1-BE137/BD137,"")</f>
        <v/>
      </c>
      <c r="BG137" s="122" t="n">
        <v>22774</v>
      </c>
      <c r="BH137" s="122" t="n">
        <v>19002</v>
      </c>
      <c r="BI137" s="123">
        <f>IF(AND(ISNUMBER(BG137),ISNUMBER(BH137),N(BH137)&gt;0),BG137/BH137,"")</f>
        <v/>
      </c>
      <c r="BJ137" s="120" t="inlineStr">
        <is>
          <t>N</t>
        </is>
      </c>
      <c r="BK137" s="120" t="inlineStr">
        <is>
          <t>Coupon 10% (11-04 to 12-05); List Price $59.99</t>
        </is>
      </c>
    </row>
    <row r="138" ht="62" customHeight="1">
      <c r="A138" s="12">
        <f>_xlfn.IMAGE("https://m.media-amazon.com/images/I/71fKTruZ7YL._AC_SL1500_.jpg")</f>
        <v/>
      </c>
      <c r="B138" s="105" t="inlineStr">
        <is>
          <t>Davmabcjy</t>
        </is>
      </c>
      <c r="C138" s="39" t="inlineStr">
        <is>
          <t>100% Organically Grown Bamboo Viscose King Sheet Set with Pockets on Side</t>
        </is>
      </c>
      <c r="D138" s="105" t="inlineStr">
        <is>
          <t>Beatable</t>
        </is>
      </c>
      <c r="E138" s="106" t="inlineStr">
        <is>
          <t>Direct</t>
        </is>
      </c>
      <c r="F138" s="105" t="inlineStr">
        <is>
          <t>Bamboo viscose</t>
        </is>
      </c>
      <c r="G138" s="39" t="inlineStr">
        <is>
          <t>Same product (sheet set) in the same material family: Bamboo viscose (product page material: Rayon Derived from Bamboo); ours: our listing: viscose from bamboo.</t>
        </is>
      </c>
      <c r="H138" s="107" t="inlineStr">
        <is>
          <t>B0HJZNMQ5G</t>
        </is>
      </c>
      <c r="I138" s="107" t="inlineStr">
        <is>
          <t>B0GXJYQR7H</t>
        </is>
      </c>
      <c r="J138" s="105" t="inlineStr">
        <is>
          <t>King (Deep Fits 16" )</t>
        </is>
      </c>
      <c r="K138" s="105" t="inlineStr">
        <is>
          <t>Dark Grey-side Pockets</t>
        </is>
      </c>
      <c r="L138" s="108" t="n">
        <v>7</v>
      </c>
      <c r="M138" s="39" t="inlineStr">
        <is>
          <t>B0GXJYQR7H (55%), B0GXJPP4YQ (31%)</t>
        </is>
      </c>
      <c r="N138" s="109" t="n">
        <v>59.99</v>
      </c>
      <c r="O138" s="109" t="n"/>
      <c r="P138" s="110">
        <f>IF(AND(ISNUMBER(O138),ISNUMBER(N138),N(N138)&gt;0),O138/N138-1,"")</f>
        <v/>
      </c>
      <c r="Q138" s="111">
        <f>IF(P138="","No List Price",IF(P138&lt;=0,"At/below price",IF(P138&lt;=0.12,"&lt;=12% STR zone",IF(P138&lt;=0.25,"12-25%","&gt;25% over"))))</f>
        <v/>
      </c>
      <c r="R138" s="109" t="n">
        <v>94.98999999999999</v>
      </c>
      <c r="S138" s="112">
        <f>IF(AND(ISNUMBER(N138),ISNUMBER(R138),N(R138)&gt;0),N138/R138-1,"")</f>
        <v/>
      </c>
      <c r="T138" s="39" t="inlineStr">
        <is>
          <t>Same size (King). Ours live: catalog price, 2026-10-13; 15 children</t>
        </is>
      </c>
      <c r="U138" s="108" t="n">
        <v>205508</v>
      </c>
      <c r="V138" s="108" t="n">
        <v>35</v>
      </c>
      <c r="W138" s="113">
        <f>IF(AND(ISNUMBER(N138),ISNUMBER(V138)),N138*V138*52/12,"")</f>
        <v/>
      </c>
      <c r="X138" s="114" t="n">
        <v>4.2</v>
      </c>
      <c r="Y138" s="108" t="n">
        <v>81</v>
      </c>
      <c r="Z138" s="115" t="n">
        <v>46307</v>
      </c>
      <c r="AA138" s="115" t="n"/>
      <c r="AB138" s="105" t="n"/>
      <c r="AC138" s="105" t="n"/>
      <c r="AD138" s="108" t="n">
        <v>75425</v>
      </c>
      <c r="AE138" s="108" t="n">
        <v>1329</v>
      </c>
      <c r="AF138" s="116" t="n">
        <v>0.8470417779250914</v>
      </c>
      <c r="AG138" s="116" t="n">
        <v>0.1529598766987073</v>
      </c>
      <c r="AH138" s="39" t="inlineStr">
        <is>
          <t>bamboo sheets</t>
        </is>
      </c>
      <c r="AI138" s="116" t="n">
        <v>0.4214782896917468</v>
      </c>
      <c r="AJ138" s="116" t="n"/>
      <c r="AK138" s="116" t="n"/>
      <c r="AL138" s="116" t="n">
        <v>0.01059330460722572</v>
      </c>
      <c r="AM138" s="108" t="n">
        <v>651</v>
      </c>
      <c r="AN138" s="108" t="n">
        <v>189</v>
      </c>
      <c r="AO138" s="108" t="n">
        <v>389</v>
      </c>
      <c r="AP138" s="108" t="n">
        <v>678</v>
      </c>
      <c r="AQ138" s="108" t="n">
        <v>293</v>
      </c>
      <c r="AR138" s="108" t="n">
        <v>23</v>
      </c>
      <c r="AS138" s="117" t="n"/>
      <c r="AT138" s="112" t="n"/>
      <c r="AU138" s="118" t="inlineStr">
        <is>
          <t>N</t>
        </is>
      </c>
      <c r="AV138" s="118" t="inlineStr">
        <is>
          <t>none</t>
        </is>
      </c>
      <c r="AW138" s="124" t="n"/>
      <c r="AX138" s="119" t="n">
        <v>59.99</v>
      </c>
      <c r="AY138" s="118" t="inlineStr">
        <is>
          <t>none</t>
        </is>
      </c>
      <c r="AZ138" s="118" t="inlineStr">
        <is>
          <t>Y</t>
        </is>
      </c>
      <c r="BA138" s="118" t="inlineStr">
        <is>
          <t>2026-10-13 12:10:48</t>
        </is>
      </c>
      <c r="BB138" s="120" t="inlineStr">
        <is>
          <t>Not live in 2025</t>
        </is>
      </c>
      <c r="BC138" s="125" t="n"/>
      <c r="BD138" s="124" t="n"/>
      <c r="BE138" s="124" t="n"/>
      <c r="BF138" s="110">
        <f>IF(AND(ISNUMBER(BD138),ISNUMBER(BE138),N(BD138)&gt;0),1-BE138/BD138,"")</f>
        <v/>
      </c>
      <c r="BG138" s="126" t="n"/>
      <c r="BH138" s="126" t="n"/>
      <c r="BI138" s="123">
        <f>IF(AND(ISNUMBER(BG138),ISNUMBER(BH138),N(BH138)&gt;0),BG138/BH138,"")</f>
        <v/>
      </c>
      <c r="BJ138" s="125" t="n"/>
      <c r="BK138" s="125" t="n"/>
    </row>
    <row r="139" ht="62" customHeight="1">
      <c r="A139" s="12">
        <f>_xlfn.IMAGE("https://images-na.ssl-images-amazon.com/images/I/710aWpCd4AL.jpg")</f>
        <v/>
      </c>
      <c r="B139" s="105" t="inlineStr">
        <is>
          <t>DOZ by SIJO</t>
        </is>
      </c>
      <c r="C139" s="39" t="inlineStr">
        <is>
          <t>Bamboo Sheets</t>
        </is>
      </c>
      <c r="D139" s="105" t="inlineStr">
        <is>
          <t>Beatable</t>
        </is>
      </c>
      <c r="E139" s="106" t="inlineStr">
        <is>
          <t>Direct</t>
        </is>
      </c>
      <c r="F139" s="105" t="inlineStr">
        <is>
          <t>Bamboo viscose</t>
        </is>
      </c>
      <c r="G139" s="39" t="inlineStr">
        <is>
          <t>Same product (sheet set) in the same material family: Bamboo viscose (product page material: Rayon); ours: our listing: viscose from bamboo.</t>
        </is>
      </c>
      <c r="H139" s="107" t="inlineStr">
        <is>
          <t>B0DCZGYVZ9</t>
        </is>
      </c>
      <c r="I139" s="107" t="inlineStr">
        <is>
          <t>B0F24TRXCZ</t>
        </is>
      </c>
      <c r="J139" s="105" t="inlineStr">
        <is>
          <t>Queen</t>
        </is>
      </c>
      <c r="K139" s="105" t="inlineStr">
        <is>
          <t>Olive</t>
        </is>
      </c>
      <c r="L139" s="108" t="n">
        <v>131</v>
      </c>
      <c r="M139" s="39" t="inlineStr">
        <is>
          <t>B0B8JLLT45 (39%), B0B8JK78HR (6%), B0CS36MKM9 (5%), B0BRWD6PRK (4%), B0B9T44SJV (4%)</t>
        </is>
      </c>
      <c r="N139" s="109" t="n">
        <v>55</v>
      </c>
      <c r="O139" s="109" t="n"/>
      <c r="P139" s="110">
        <f>IF(AND(ISNUMBER(O139),ISNUMBER(N139),N(N139)&gt;0),O139/N139-1,"")</f>
        <v/>
      </c>
      <c r="Q139" s="111">
        <f>IF(P139="","No List Price",IF(P139&lt;=0,"At/below price",IF(P139&lt;=0.12,"&lt;=12% STR zone",IF(P139&lt;=0.25,"12-25%","&gt;25% over"))))</f>
        <v/>
      </c>
      <c r="R139" s="109" t="n">
        <v>89.98999999999999</v>
      </c>
      <c r="S139" s="112">
        <f>IF(AND(ISNUMBER(N139),ISNUMBER(R139),N(R139)&gt;0),N139/R139-1,"")</f>
        <v/>
      </c>
      <c r="T139" s="39" t="inlineStr">
        <is>
          <t>Same size (Queen). Ours live: catalog price, 2026-10-13; 15 children</t>
        </is>
      </c>
      <c r="U139" s="108" t="n">
        <v>4051</v>
      </c>
      <c r="V139" s="108" t="n">
        <v>35</v>
      </c>
      <c r="W139" s="113">
        <f>IF(AND(ISNUMBER(N139),ISNUMBER(V139)),N139*V139*52/12,"")</f>
        <v/>
      </c>
      <c r="X139" s="114" t="n">
        <v>4.4</v>
      </c>
      <c r="Y139" s="108" t="n">
        <v>1909</v>
      </c>
      <c r="Z139" s="115" t="n">
        <v>46307</v>
      </c>
      <c r="AA139" s="115" t="n"/>
      <c r="AB139" s="105" t="n"/>
      <c r="AC139" s="105" t="n"/>
      <c r="AD139" s="108" t="n">
        <v>171534</v>
      </c>
      <c r="AE139" s="108" t="n">
        <v>2682</v>
      </c>
      <c r="AF139" s="116" t="n">
        <v>0.5544749851341424</v>
      </c>
      <c r="AG139" s="116" t="n">
        <v>0.4455250335210511</v>
      </c>
      <c r="AH139" s="39" t="inlineStr">
        <is>
          <t>bamboo sheets</t>
        </is>
      </c>
      <c r="AI139" s="116" t="n">
        <v>0.8981426422750008</v>
      </c>
      <c r="AJ139" s="116" t="n">
        <v>0.06748516329124256</v>
      </c>
      <c r="AK139" s="116" t="n">
        <v>0.2462310678932456</v>
      </c>
      <c r="AL139" s="116" t="n">
        <v>0.0526193057936036</v>
      </c>
      <c r="AM139" s="108" t="n">
        <v>1151</v>
      </c>
      <c r="AN139" s="108" t="n">
        <v>315</v>
      </c>
      <c r="AO139" s="108" t="n">
        <v>705</v>
      </c>
      <c r="AP139" s="108" t="n">
        <v>1531</v>
      </c>
      <c r="AQ139" s="108" t="n">
        <v>588</v>
      </c>
      <c r="AR139" s="108" t="n">
        <v>82</v>
      </c>
      <c r="AS139" s="117" t="n"/>
      <c r="AT139" s="112" t="n"/>
      <c r="AU139" s="118" t="inlineStr">
        <is>
          <t>N</t>
        </is>
      </c>
      <c r="AV139" s="118" t="inlineStr">
        <is>
          <t>none</t>
        </is>
      </c>
      <c r="AW139" s="124" t="n"/>
      <c r="AX139" s="119" t="n">
        <v>55</v>
      </c>
      <c r="AY139" s="118" t="inlineStr">
        <is>
          <t>none</t>
        </is>
      </c>
      <c r="AZ139" s="118" t="inlineStr">
        <is>
          <t>Y</t>
        </is>
      </c>
      <c r="BA139" s="118" t="inlineStr">
        <is>
          <t>2026-10-13 12:10:45</t>
        </is>
      </c>
      <c r="BB139" s="120" t="inlineStr">
        <is>
          <t>None</t>
        </is>
      </c>
      <c r="BC139" s="125" t="n"/>
      <c r="BD139" s="121" t="n">
        <v>55</v>
      </c>
      <c r="BE139" s="121" t="n">
        <v>55</v>
      </c>
      <c r="BF139" s="110">
        <f>IF(AND(ISNUMBER(BD139),ISNUMBER(BE139),N(BD139)&gt;0),1-BE139/BD139,"")</f>
        <v/>
      </c>
      <c r="BG139" s="122" t="n">
        <v>3634538</v>
      </c>
      <c r="BH139" s="122" t="n">
        <v>3088925</v>
      </c>
      <c r="BI139" s="123">
        <f>IF(AND(ISNUMBER(BG139),ISNUMBER(BH139),N(BH139)&gt;0),BG139/BH139,"")</f>
        <v/>
      </c>
      <c r="BJ139" s="120" t="inlineStr">
        <is>
          <t>N</t>
        </is>
      </c>
      <c r="BK139" s="120" t="inlineStr">
        <is>
          <t>List Price $55.00</t>
        </is>
      </c>
    </row>
    <row r="140" ht="62" customHeight="1">
      <c r="A140" s="12">
        <f>_xlfn.IMAGE("https://images-na.ssl-images-amazon.com/images/I/81EdgN1LRmL.jpg")</f>
        <v/>
      </c>
      <c r="B140" s="105" t="inlineStr">
        <is>
          <t>GOKOTTA</t>
        </is>
      </c>
      <c r="C140" s="39" t="inlineStr">
        <is>
          <t>GOKOTTA King Bamboo Rayon Sheets Set, Silky Soft Cooling Sheets Stay Put</t>
        </is>
      </c>
      <c r="D140" s="105" t="inlineStr">
        <is>
          <t>Beatable</t>
        </is>
      </c>
      <c r="E140" s="106" t="inlineStr">
        <is>
          <t>Direct</t>
        </is>
      </c>
      <c r="F140" s="105" t="inlineStr">
        <is>
          <t>Bamboo viscose</t>
        </is>
      </c>
      <c r="G140" s="39" t="inlineStr">
        <is>
          <t>Same product (sheet set) in the same material family: Bamboo viscose (product page material: Bamboo Rayon); ours: our listing: viscose from bamboo.</t>
        </is>
      </c>
      <c r="H140" s="107" t="inlineStr">
        <is>
          <t>B09WV7RN1V</t>
        </is>
      </c>
      <c r="I140" s="107" t="inlineStr">
        <is>
          <t>B0BR53P7DY</t>
        </is>
      </c>
      <c r="J140" s="105" t="inlineStr">
        <is>
          <t>King - 4 PCS</t>
        </is>
      </c>
      <c r="K140" s="105" t="inlineStr">
        <is>
          <t>00 Bright White</t>
        </is>
      </c>
      <c r="L140" s="108" t="n">
        <v>99</v>
      </c>
      <c r="M140" s="39" t="inlineStr">
        <is>
          <t>B0B6VQC7LD (30%), B0BR53P7DY (17%), B07TYC979L (10%), B0BL77QB6N (9%), B0FW3T96RQ (7%)</t>
        </is>
      </c>
      <c r="N140" s="109" t="n">
        <v>109</v>
      </c>
      <c r="O140" s="109" t="n"/>
      <c r="P140" s="110">
        <f>IF(AND(ISNUMBER(O140),ISNUMBER(N140),N(N140)&gt;0),O140/N140-1,"")</f>
        <v/>
      </c>
      <c r="Q140" s="111">
        <f>IF(P140="","No List Price",IF(P140&lt;=0,"At/below price",IF(P140&lt;=0.12,"&lt;=12% STR zone",IF(P140&lt;=0.25,"12-25%","&gt;25% over"))))</f>
        <v/>
      </c>
      <c r="R140" s="109" t="n">
        <v>94.98999999999999</v>
      </c>
      <c r="S140" s="112">
        <f>IF(AND(ISNUMBER(N140),ISNUMBER(R140),N(R140)&gt;0),N140/R140-1,"")</f>
        <v/>
      </c>
      <c r="T140" s="39" t="inlineStr">
        <is>
          <t>Same size (King). Ours live: catalog price, 2026-10-13; 15 children</t>
        </is>
      </c>
      <c r="U140" s="108" t="n">
        <v>16154</v>
      </c>
      <c r="V140" s="108" t="n">
        <v>35</v>
      </c>
      <c r="W140" s="113">
        <f>IF(AND(ISNUMBER(N140),ISNUMBER(V140)),N140*V140*52/12,"")</f>
        <v/>
      </c>
      <c r="X140" s="114" t="n">
        <v>4.4</v>
      </c>
      <c r="Y140" s="108" t="n">
        <v>3371</v>
      </c>
      <c r="Z140" s="115" t="n">
        <v>46307</v>
      </c>
      <c r="AA140" s="115" t="n">
        <v>44922</v>
      </c>
      <c r="AB140" s="105" t="inlineStr">
        <is>
          <t>FBA</t>
        </is>
      </c>
      <c r="AC140" s="105" t="inlineStr">
        <is>
          <t>TH</t>
        </is>
      </c>
      <c r="AD140" s="108" t="n">
        <v>76017</v>
      </c>
      <c r="AE140" s="108" t="n">
        <v>1577</v>
      </c>
      <c r="AF140" s="116" t="n">
        <v>0.8206756843863878</v>
      </c>
      <c r="AG140" s="116" t="n">
        <v>0.1793245681886948</v>
      </c>
      <c r="AH140" s="39" t="inlineStr">
        <is>
          <t>bamboo sheets</t>
        </is>
      </c>
      <c r="AI140" s="116" t="n">
        <v>0.9048633858215925</v>
      </c>
      <c r="AJ140" s="116" t="n">
        <v>0.08220529618374837</v>
      </c>
      <c r="AK140" s="116" t="n">
        <v>0.8497046713235198</v>
      </c>
      <c r="AL140" s="116" t="n">
        <v>0.03862293960561453</v>
      </c>
      <c r="AM140" s="108" t="n">
        <v>712</v>
      </c>
      <c r="AN140" s="108" t="n">
        <v>370</v>
      </c>
      <c r="AO140" s="108" t="n">
        <v>210</v>
      </c>
      <c r="AP140" s="108" t="n">
        <v>865</v>
      </c>
      <c r="AQ140" s="108" t="n">
        <v>240</v>
      </c>
      <c r="AR140" s="108" t="n">
        <v>51</v>
      </c>
      <c r="AS140" s="117" t="n"/>
      <c r="AT140" s="112" t="n"/>
      <c r="AU140" s="118" t="inlineStr">
        <is>
          <t>N</t>
        </is>
      </c>
      <c r="AV140" s="118" t="inlineStr">
        <is>
          <t>none</t>
        </is>
      </c>
      <c r="AW140" s="124" t="n"/>
      <c r="AX140" s="119" t="n">
        <v>109</v>
      </c>
      <c r="AY140" s="118" t="inlineStr">
        <is>
          <t>none</t>
        </is>
      </c>
      <c r="AZ140" s="118" t="inlineStr">
        <is>
          <t>Y</t>
        </is>
      </c>
      <c r="BA140" s="118" t="inlineStr">
        <is>
          <t>2026-10-13 12:10:51</t>
        </is>
      </c>
      <c r="BB140" s="120" t="inlineStr">
        <is>
          <t>Price cut only</t>
        </is>
      </c>
      <c r="BC140" s="120" t="inlineStr">
        <is>
          <t>11-20 to 12-01</t>
        </is>
      </c>
      <c r="BD140" s="121" t="n">
        <v>105</v>
      </c>
      <c r="BE140" s="121" t="n">
        <v>84</v>
      </c>
      <c r="BF140" s="110">
        <f>IF(AND(ISNUMBER(BD140),ISNUMBER(BE140),N(BD140)&gt;0),1-BE140/BD140,"")</f>
        <v/>
      </c>
      <c r="BG140" s="122" t="n">
        <v>20103</v>
      </c>
      <c r="BH140" s="122" t="n">
        <v>13630</v>
      </c>
      <c r="BI140" s="123">
        <f>IF(AND(ISNUMBER(BG140),ISNUMBER(BH140),N(BH140)&gt;0),BG140/BH140,"")</f>
        <v/>
      </c>
      <c r="BJ140" s="120" t="inlineStr">
        <is>
          <t>N</t>
        </is>
      </c>
      <c r="BK140" s="120" t="inlineStr">
        <is>
          <t>Lightning Deal 11-09 to 11-09; Coupon 10.00 USD, 20.00 USD (11-02 to 11-18); List Price $105.00</t>
        </is>
      </c>
    </row>
    <row r="141" ht="62" customHeight="1">
      <c r="A141" s="12">
        <f>_xlfn.IMAGE("https://images-na.ssl-images-amazon.com/images/I/71rcYip7GcL.jpg")</f>
        <v/>
      </c>
      <c r="B141" s="105" t="inlineStr">
        <is>
          <t>KARISSA MAE</t>
        </is>
      </c>
      <c r="C141" s="39" t="inlineStr">
        <is>
          <t>Cooling Sheets</t>
        </is>
      </c>
      <c r="D141" s="105" t="inlineStr">
        <is>
          <t>Beatable</t>
        </is>
      </c>
      <c r="E141" s="106" t="inlineStr">
        <is>
          <t>Direct</t>
        </is>
      </c>
      <c r="F141" s="105" t="inlineStr">
        <is>
          <t>Bamboo viscose</t>
        </is>
      </c>
      <c r="G141" s="39" t="inlineStr">
        <is>
          <t>Same product (sheet set) in the same material family: Bamboo viscose (product page material: Organically Grown Bamboo Viscose); ours: our listing: viscose from bamboo.</t>
        </is>
      </c>
      <c r="H141" s="107" t="inlineStr">
        <is>
          <t>B0GT172Y8L</t>
        </is>
      </c>
      <c r="I141" s="107" t="inlineStr">
        <is>
          <t>B0G1CSCQTB</t>
        </is>
      </c>
      <c r="J141" s="105" t="inlineStr">
        <is>
          <t>King - 2 Pillowcases</t>
        </is>
      </c>
      <c r="K141" s="105" t="inlineStr">
        <is>
          <t>10 - Mocha</t>
        </is>
      </c>
      <c r="L141" s="108" t="n">
        <v>138</v>
      </c>
      <c r="M141" s="39" t="inlineStr">
        <is>
          <t>B0F9X7MV5B (14%), B0G1CSCQTB (10%), B0F9X8BNQB (7%), B0F9X6KTQW (6%), B0GH24C6XY (6%)</t>
        </is>
      </c>
      <c r="N141" s="109" t="n">
        <v>119.99</v>
      </c>
      <c r="O141" s="109" t="n"/>
      <c r="P141" s="110">
        <f>IF(AND(ISNUMBER(O141),ISNUMBER(N141),N(N141)&gt;0),O141/N141-1,"")</f>
        <v/>
      </c>
      <c r="Q141" s="111">
        <f>IF(P141="","No List Price",IF(P141&lt;=0,"At/below price",IF(P141&lt;=0.12,"&lt;=12% STR zone",IF(P141&lt;=0.25,"12-25%","&gt;25% over"))))</f>
        <v/>
      </c>
      <c r="R141" s="109" t="n">
        <v>94.98999999999999</v>
      </c>
      <c r="S141" s="112">
        <f>IF(AND(ISNUMBER(N141),ISNUMBER(R141),N(R141)&gt;0),N141/R141-1,"")</f>
        <v/>
      </c>
      <c r="T141" s="39" t="inlineStr">
        <is>
          <t>Same size (King). Ours live: catalog price, 2026-10-13; 15 children</t>
        </is>
      </c>
      <c r="U141" s="108" t="n">
        <v>15914</v>
      </c>
      <c r="V141" s="108" t="n">
        <v>35</v>
      </c>
      <c r="W141" s="113">
        <f>IF(AND(ISNUMBER(N141),ISNUMBER(V141)),N141*V141*52/12,"")</f>
        <v/>
      </c>
      <c r="X141" s="114" t="n">
        <v>4.3</v>
      </c>
      <c r="Y141" s="108" t="n">
        <v>474</v>
      </c>
      <c r="Z141" s="115" t="n">
        <v>46307</v>
      </c>
      <c r="AA141" s="115" t="n"/>
      <c r="AB141" s="105" t="n"/>
      <c r="AC141" s="105" t="n"/>
      <c r="AD141" s="108" t="n">
        <v>243610</v>
      </c>
      <c r="AE141" s="108" t="n">
        <v>3715</v>
      </c>
      <c r="AF141" s="116" t="n">
        <v>0.1385290000410493</v>
      </c>
      <c r="AG141" s="116" t="n">
        <v>0.8614710525019491</v>
      </c>
      <c r="AH141" s="39" t="inlineStr">
        <is>
          <t>bamboo sheets</t>
        </is>
      </c>
      <c r="AI141" s="116" t="n">
        <v>0.9938303025327367</v>
      </c>
      <c r="AJ141" s="116" t="n">
        <v>0.0306883953860679</v>
      </c>
      <c r="AK141" s="116" t="n">
        <v>0.01590657197980378</v>
      </c>
      <c r="AL141" s="116" t="n"/>
      <c r="AM141" s="108" t="n">
        <v>1360</v>
      </c>
      <c r="AN141" s="108" t="n">
        <v>540</v>
      </c>
      <c r="AO141" s="108" t="n">
        <v>586</v>
      </c>
      <c r="AP141" s="108" t="n">
        <v>2355</v>
      </c>
      <c r="AQ141" s="108" t="n">
        <v>1381</v>
      </c>
      <c r="AR141" s="108" t="n">
        <v>178</v>
      </c>
      <c r="AS141" s="117" t="n">
        <v>2.102564102564103</v>
      </c>
      <c r="AT141" s="112" t="n">
        <v>-0.8771186440677966</v>
      </c>
      <c r="AU141" s="118" t="inlineStr">
        <is>
          <t>N</t>
        </is>
      </c>
      <c r="AV141" s="118" t="inlineStr">
        <is>
          <t>none</t>
        </is>
      </c>
      <c r="AW141" s="124" t="n"/>
      <c r="AX141" s="119" t="n">
        <v>119.99</v>
      </c>
      <c r="AY141" s="118" t="inlineStr">
        <is>
          <t>none</t>
        </is>
      </c>
      <c r="AZ141" s="118" t="inlineStr">
        <is>
          <t>Y</t>
        </is>
      </c>
      <c r="BA141" s="118" t="inlineStr">
        <is>
          <t>2026-10-13 12:10:57</t>
        </is>
      </c>
      <c r="BB141" s="125" t="n"/>
      <c r="BC141" s="125" t="n"/>
      <c r="BD141" s="124" t="n"/>
      <c r="BE141" s="124" t="n"/>
      <c r="BF141" s="110">
        <f>IF(AND(ISNUMBER(BD141),ISNUMBER(BE141),N(BD141)&gt;0),1-BE141/BD141,"")</f>
        <v/>
      </c>
      <c r="BG141" s="126" t="n"/>
      <c r="BH141" s="126" t="n"/>
      <c r="BI141" s="123">
        <f>IF(AND(ISNUMBER(BG141),ISNUMBER(BH141),N(BH141)&gt;0),BG141/BH141,"")</f>
        <v/>
      </c>
      <c r="BJ141" s="125" t="n"/>
      <c r="BK141" s="120" t="inlineStr">
        <is>
          <t>No Buy Box history in price history for BFCM 2025</t>
        </is>
      </c>
    </row>
    <row r="142" ht="62" customHeight="1">
      <c r="A142" s="12">
        <f>_xlfn.IMAGE("https://m.media-amazon.com/images/I/71sMGbbi-RL._AC_SL1500_.jpg")</f>
        <v/>
      </c>
      <c r="B142" s="105" t="inlineStr">
        <is>
          <t>Bamboo Bay</t>
        </is>
      </c>
      <c r="C142" s="39" t="inlineStr">
        <is>
          <t>Bamboo Bay 4 Piece Queen Size Sheet Set, 100% Viscose Made from Bamboo, Breathab</t>
        </is>
      </c>
      <c r="D142" s="105" t="inlineStr">
        <is>
          <t>Beatable</t>
        </is>
      </c>
      <c r="E142" s="106" t="inlineStr">
        <is>
          <t>Direct</t>
        </is>
      </c>
      <c r="F142" s="105" t="inlineStr">
        <is>
          <t>Bamboo viscose</t>
        </is>
      </c>
      <c r="G142" s="39" t="inlineStr">
        <is>
          <t>Same product (sheet set) in the same material family: Bamboo viscose (product page material: Viscose Made from Bamboo); ours: our listing: viscose from bamboo.</t>
        </is>
      </c>
      <c r="H142" s="107" t="inlineStr">
        <is>
          <t>B0DLD8982V</t>
        </is>
      </c>
      <c r="I142" s="107" t="inlineStr">
        <is>
          <t>B08M9QK14J</t>
        </is>
      </c>
      <c r="J142" s="105" t="inlineStr">
        <is>
          <t>Queen</t>
        </is>
      </c>
      <c r="K142" s="105" t="inlineStr">
        <is>
          <t>01 - White</t>
        </is>
      </c>
      <c r="L142" s="108" t="n">
        <v>20</v>
      </c>
      <c r="M142" s="39" t="inlineStr">
        <is>
          <t>B08M9QK14J (86%)</t>
        </is>
      </c>
      <c r="N142" s="109" t="n">
        <v>89.98</v>
      </c>
      <c r="O142" s="109" t="n"/>
      <c r="P142" s="110">
        <f>IF(AND(ISNUMBER(O142),ISNUMBER(N142),N(N142)&gt;0),O142/N142-1,"")</f>
        <v/>
      </c>
      <c r="Q142" s="111">
        <f>IF(P142="","No List Price",IF(P142&lt;=0,"At/below price",IF(P142&lt;=0.12,"&lt;=12% STR zone",IF(P142&lt;=0.25,"12-25%","&gt;25% over"))))</f>
        <v/>
      </c>
      <c r="R142" s="109" t="n">
        <v>89.98999999999999</v>
      </c>
      <c r="S142" s="112">
        <f>IF(AND(ISNUMBER(N142),ISNUMBER(R142),N(R142)&gt;0),N142/R142-1,"")</f>
        <v/>
      </c>
      <c r="T142" s="39" t="inlineStr">
        <is>
          <t>Same size (Queen). Ours live: catalog price, 2026-10-13; 15 children</t>
        </is>
      </c>
      <c r="U142" s="108" t="n">
        <v>263209</v>
      </c>
      <c r="V142" s="108" t="n">
        <v>18</v>
      </c>
      <c r="W142" s="113">
        <f>IF(AND(ISNUMBER(N142),ISNUMBER(V142)),N142*V142*52/12,"")</f>
        <v/>
      </c>
      <c r="X142" s="114" t="n">
        <v>4.4</v>
      </c>
      <c r="Y142" s="108" t="n">
        <v>739</v>
      </c>
      <c r="Z142" s="115" t="n">
        <v>46307</v>
      </c>
      <c r="AA142" s="115" t="n"/>
      <c r="AB142" s="105" t="n"/>
      <c r="AC142" s="105" t="n"/>
      <c r="AD142" s="108" t="n">
        <v>67928</v>
      </c>
      <c r="AE142" s="108" t="n">
        <v>1037</v>
      </c>
      <c r="AF142" s="116" t="n">
        <v>0.313496176834295</v>
      </c>
      <c r="AG142" s="116" t="n">
        <v>0.6865047653397713</v>
      </c>
      <c r="AH142" s="39" t="inlineStr">
        <is>
          <t>bamboo sheets</t>
        </is>
      </c>
      <c r="AI142" s="116" t="n">
        <v>0.9942144623719232</v>
      </c>
      <c r="AJ142" s="116" t="n"/>
      <c r="AK142" s="116" t="n"/>
      <c r="AL142" s="116" t="n"/>
      <c r="AM142" s="108" t="n">
        <v>520</v>
      </c>
      <c r="AN142" s="108" t="n">
        <v>269</v>
      </c>
      <c r="AO142" s="108" t="n">
        <v>172</v>
      </c>
      <c r="AP142" s="108" t="n">
        <v>517</v>
      </c>
      <c r="AQ142" s="108" t="n">
        <v>320</v>
      </c>
      <c r="AR142" s="108" t="n">
        <v>98</v>
      </c>
      <c r="AS142" s="117" t="n">
        <v>0.7336182336182336</v>
      </c>
      <c r="AT142" s="112" t="n">
        <v>-0.2877906976744186</v>
      </c>
      <c r="AU142" s="118" t="inlineStr">
        <is>
          <t>N</t>
        </is>
      </c>
      <c r="AV142" s="118" t="inlineStr">
        <is>
          <t>none</t>
        </is>
      </c>
      <c r="AW142" s="124" t="n"/>
      <c r="AX142" s="119" t="n">
        <v>89.98</v>
      </c>
      <c r="AY142" s="118" t="inlineStr">
        <is>
          <t>none</t>
        </is>
      </c>
      <c r="AZ142" s="118" t="inlineStr">
        <is>
          <t>Y</t>
        </is>
      </c>
      <c r="BA142" s="118" t="inlineStr">
        <is>
          <t>2026-10-13 12:10:31</t>
        </is>
      </c>
      <c r="BB142" s="120" t="inlineStr">
        <is>
          <t>None</t>
        </is>
      </c>
      <c r="BC142" s="125" t="n"/>
      <c r="BD142" s="121" t="n">
        <v>64.98999999999999</v>
      </c>
      <c r="BE142" s="121" t="n">
        <v>99.98</v>
      </c>
      <c r="BF142" s="110">
        <f>IF(AND(ISNUMBER(BD142),ISNUMBER(BE142),N(BD142)&gt;0),1-BE142/BD142,"")</f>
        <v/>
      </c>
      <c r="BG142" s="122" t="n">
        <v>136345</v>
      </c>
      <c r="BH142" s="122" t="n">
        <v>252933</v>
      </c>
      <c r="BI142" s="123">
        <f>IF(AND(ISNUMBER(BG142),ISNUMBER(BH142),N(BH142)&gt;0),BG142/BH142,"")</f>
        <v/>
      </c>
      <c r="BJ142" s="120" t="inlineStr">
        <is>
          <t>N</t>
        </is>
      </c>
      <c r="BK142" s="120" t="inlineStr">
        <is>
          <t>Buy Box RAISED in BFCM week (median $99.98 vs $64.99 before); List Price $129.98</t>
        </is>
      </c>
    </row>
    <row r="143" ht="62" customHeight="1">
      <c r="A143" s="12">
        <f>_xlfn.IMAGE("https://m.media-amazon.com/images/I/71MnWA4xzHL._AC_SL1500_.jpg")</f>
        <v/>
      </c>
      <c r="B143" s="105" t="inlineStr">
        <is>
          <t>California Design Den</t>
        </is>
      </c>
      <c r="C143" s="39" t="inlineStr">
        <is>
          <t>California Design Den 100% Viscose from Bamboo Sheets Queen, Dark Olive</t>
        </is>
      </c>
      <c r="D143" s="105" t="inlineStr">
        <is>
          <t>Beatable</t>
        </is>
      </c>
      <c r="E143" s="106" t="inlineStr">
        <is>
          <t>Direct</t>
        </is>
      </c>
      <c r="F143" s="105" t="inlineStr">
        <is>
          <t>Bamboo viscose</t>
        </is>
      </c>
      <c r="G143" s="39" t="inlineStr">
        <is>
          <t>Same product (sheet set) in the same material family: Bamboo viscose (product page material: Viscose Derived from Bamboo); ours: our listing: viscose from bamboo.</t>
        </is>
      </c>
      <c r="H143" s="107" t="inlineStr">
        <is>
          <t>B0HFBJPD56</t>
        </is>
      </c>
      <c r="I143" s="107" t="inlineStr">
        <is>
          <t>B0GWHPJ9SD</t>
        </is>
      </c>
      <c r="J143" s="105" t="inlineStr">
        <is>
          <t>Queen</t>
        </is>
      </c>
      <c r="K143" s="105" t="inlineStr">
        <is>
          <t>Bright White</t>
        </is>
      </c>
      <c r="L143" s="108" t="n">
        <v>81</v>
      </c>
      <c r="M143" s="39" t="inlineStr">
        <is>
          <t>B0GWHFGLVL (32%), B0GWHPJ9SD (10%), B0GWHMSZYL (8%), B0GWHGS5BM (5%), B0GWHCHY3Q (5%)</t>
        </is>
      </c>
      <c r="N143" s="109" t="n">
        <v>89.98999999999999</v>
      </c>
      <c r="O143" s="109" t="n"/>
      <c r="P143" s="110">
        <f>IF(AND(ISNUMBER(O143),ISNUMBER(N143),N(N143)&gt;0),O143/N143-1,"")</f>
        <v/>
      </c>
      <c r="Q143" s="111">
        <f>IF(P143="","No List Price",IF(P143&lt;=0,"At/below price",IF(P143&lt;=0.12,"&lt;=12% STR zone",IF(P143&lt;=0.25,"12-25%","&gt;25% over"))))</f>
        <v/>
      </c>
      <c r="R143" s="109" t="n">
        <v>89.98999999999999</v>
      </c>
      <c r="S143" s="112">
        <f>IF(AND(ISNUMBER(N143),ISNUMBER(R143),N(R143)&gt;0),N143/R143-1,"")</f>
        <v/>
      </c>
      <c r="T143" s="39" t="inlineStr">
        <is>
          <t>Same size (Queen). Ours live: catalog price, 2026-10-13; 15 children</t>
        </is>
      </c>
      <c r="U143" s="108" t="n">
        <v>21237</v>
      </c>
      <c r="V143" s="108" t="n">
        <v>18</v>
      </c>
      <c r="W143" s="113">
        <f>IF(AND(ISNUMBER(N143),ISNUMBER(V143)),N143*V143*52/12,"")</f>
        <v/>
      </c>
      <c r="X143" s="114" t="n">
        <v>4.6</v>
      </c>
      <c r="Y143" s="108" t="n">
        <v>76</v>
      </c>
      <c r="Z143" s="115" t="n">
        <v>46307</v>
      </c>
      <c r="AA143" s="115" t="n"/>
      <c r="AB143" s="105" t="n"/>
      <c r="AC143" s="105" t="n"/>
      <c r="AD143" s="108" t="n">
        <v>103642</v>
      </c>
      <c r="AE143" s="108" t="n">
        <v>2019</v>
      </c>
      <c r="AF143" s="116" t="n">
        <v>0.8956907055054905</v>
      </c>
      <c r="AG143" s="116" t="n">
        <v>0.1043093871210513</v>
      </c>
      <c r="AH143" s="39" t="inlineStr">
        <is>
          <t>bamboo sheets</t>
        </is>
      </c>
      <c r="AI143" s="116" t="n">
        <v>0.6944674938731402</v>
      </c>
      <c r="AJ143" s="116" t="n"/>
      <c r="AK143" s="116" t="n"/>
      <c r="AL143" s="116" t="n"/>
      <c r="AM143" s="108" t="n">
        <v>911</v>
      </c>
      <c r="AN143" s="108" t="n">
        <v>288</v>
      </c>
      <c r="AO143" s="108" t="n">
        <v>515</v>
      </c>
      <c r="AP143" s="108" t="n">
        <v>1108</v>
      </c>
      <c r="AQ143" s="108" t="n">
        <v>192</v>
      </c>
      <c r="AR143" s="108" t="n">
        <v>28</v>
      </c>
      <c r="AS143" s="117" t="n"/>
      <c r="AT143" s="112" t="n"/>
      <c r="AU143" s="118" t="inlineStr">
        <is>
          <t>N</t>
        </is>
      </c>
      <c r="AV143" s="118" t="inlineStr">
        <is>
          <t>none</t>
        </is>
      </c>
      <c r="AW143" s="124" t="n"/>
      <c r="AX143" s="119" t="n">
        <v>89.98999999999999</v>
      </c>
      <c r="AY143" s="118" t="inlineStr">
        <is>
          <t>none</t>
        </is>
      </c>
      <c r="AZ143" s="118" t="inlineStr">
        <is>
          <t>Y</t>
        </is>
      </c>
      <c r="BA143" s="118" t="inlineStr">
        <is>
          <t>2026-10-13 12:10:41</t>
        </is>
      </c>
      <c r="BB143" s="120" t="inlineStr">
        <is>
          <t>Not live in 2025</t>
        </is>
      </c>
      <c r="BC143" s="125" t="n"/>
      <c r="BD143" s="124" t="n"/>
      <c r="BE143" s="124" t="n"/>
      <c r="BF143" s="110">
        <f>IF(AND(ISNUMBER(BD143),ISNUMBER(BE143),N(BD143)&gt;0),1-BE143/BD143,"")</f>
        <v/>
      </c>
      <c r="BG143" s="126" t="n"/>
      <c r="BH143" s="126" t="n"/>
      <c r="BI143" s="123">
        <f>IF(AND(ISNUMBER(BG143),ISNUMBER(BH143),N(BH143)&gt;0),BG143/BH143,"")</f>
        <v/>
      </c>
      <c r="BJ143" s="125" t="n"/>
      <c r="BK143" s="125" t="n"/>
    </row>
    <row r="144" ht="62" customHeight="1">
      <c r="A144" s="12">
        <f>_xlfn.IMAGE("https://images-na.ssl-images-amazon.com/images/I/71X+0TBtodL.jpg")</f>
        <v/>
      </c>
      <c r="B144" s="105" t="inlineStr">
        <is>
          <t>TWK</t>
        </is>
      </c>
      <c r="C144" s="39" t="inlineStr">
        <is>
          <t>TWK Real 100% Viscose Derived from Bamboo Sheets Set Queen Size, Cooling &amp; Silky</t>
        </is>
      </c>
      <c r="D144" s="105" t="inlineStr">
        <is>
          <t>Beatable</t>
        </is>
      </c>
      <c r="E144" s="106" t="inlineStr">
        <is>
          <t>Direct</t>
        </is>
      </c>
      <c r="F144" s="105" t="inlineStr">
        <is>
          <t>Bamboo viscose</t>
        </is>
      </c>
      <c r="G144" s="39" t="inlineStr">
        <is>
          <t>Same product (sheet set) in the same material family: Bamboo viscose (product page material: Genuine 100% Viscose Derived from Bamboo); ours: our listing: viscose from bamboo.</t>
        </is>
      </c>
      <c r="H144" s="107" t="inlineStr">
        <is>
          <t>B0HHQG3RSW</t>
        </is>
      </c>
      <c r="I144" s="107" t="inlineStr">
        <is>
          <t>B0G1N8QS55</t>
        </is>
      </c>
      <c r="J144" s="105" t="inlineStr">
        <is>
          <t>Queen</t>
        </is>
      </c>
      <c r="K144" s="105" t="inlineStr">
        <is>
          <t>Sand</t>
        </is>
      </c>
      <c r="L144" s="108" t="n">
        <v>13</v>
      </c>
      <c r="M144" s="39" t="inlineStr">
        <is>
          <t>B0G1N23HZ1 (41%), B0H35S6VLR (32%), B0G1N8QS55 (18%)</t>
        </is>
      </c>
      <c r="N144" s="109" t="n">
        <v>65</v>
      </c>
      <c r="O144" s="109" t="n">
        <v>79</v>
      </c>
      <c r="P144" s="110">
        <f>IF(AND(ISNUMBER(O144),ISNUMBER(N144),N(N144)&gt;0),O144/N144-1,"")</f>
        <v/>
      </c>
      <c r="Q144" s="111">
        <f>IF(P144="","No List Price",IF(P144&lt;=0,"At/below price",IF(P144&lt;=0.12,"&lt;=12% STR zone",IF(P144&lt;=0.25,"12-25%","&gt;25% over"))))</f>
        <v/>
      </c>
      <c r="R144" s="109" t="n">
        <v>89.98999999999999</v>
      </c>
      <c r="S144" s="112">
        <f>IF(AND(ISNUMBER(N144),ISNUMBER(R144),N(R144)&gt;0),N144/R144-1,"")</f>
        <v/>
      </c>
      <c r="T144" s="39" t="inlineStr">
        <is>
          <t>Same size (Queen). Ours live: catalog price, 2026-10-13; 15 children</t>
        </is>
      </c>
      <c r="U144" s="108" t="n">
        <v>196488</v>
      </c>
      <c r="V144" s="108" t="n">
        <v>18</v>
      </c>
      <c r="W144" s="113">
        <f>IF(AND(ISNUMBER(N144),ISNUMBER(V144)),N144*V144*52/12,"")</f>
        <v/>
      </c>
      <c r="X144" s="114" t="n">
        <v>4.9</v>
      </c>
      <c r="Y144" s="108" t="n">
        <v>121</v>
      </c>
      <c r="Z144" s="115" t="n">
        <v>46307</v>
      </c>
      <c r="AA144" s="115" t="n"/>
      <c r="AB144" s="105" t="n"/>
      <c r="AC144" s="105" t="n"/>
      <c r="AD144" s="108" t="n">
        <v>82471</v>
      </c>
      <c r="AE144" s="108" t="n">
        <v>905</v>
      </c>
      <c r="AF144" s="116" t="n">
        <v>0.8861114561482216</v>
      </c>
      <c r="AG144" s="116" t="n">
        <v>0.1138885438517783</v>
      </c>
      <c r="AH144" s="39" t="inlineStr">
        <is>
          <t>bamboo sheets</t>
        </is>
      </c>
      <c r="AI144" s="116" t="n">
        <v>0.5572868038462004</v>
      </c>
      <c r="AJ144" s="116" t="n"/>
      <c r="AK144" s="116" t="n"/>
      <c r="AL144" s="116" t="n"/>
      <c r="AM144" s="108" t="n">
        <v>642</v>
      </c>
      <c r="AN144" s="108" t="n">
        <v>247</v>
      </c>
      <c r="AO144" s="108" t="n">
        <v>326</v>
      </c>
      <c r="AP144" s="108" t="n">
        <v>263</v>
      </c>
      <c r="AQ144" s="108" t="n">
        <v>43</v>
      </c>
      <c r="AR144" s="108" t="n">
        <v>15</v>
      </c>
      <c r="AS144" s="117" t="n"/>
      <c r="AT144" s="112" t="n"/>
      <c r="AU144" s="118" t="inlineStr">
        <is>
          <t>Y</t>
        </is>
      </c>
      <c r="AV144" s="118" t="inlineStr">
        <is>
          <t>Typical price</t>
        </is>
      </c>
      <c r="AW144" s="119" t="n">
        <v>79</v>
      </c>
      <c r="AX144" s="119" t="n">
        <v>65</v>
      </c>
      <c r="AY144" s="118" t="inlineStr">
        <is>
          <t>none</t>
        </is>
      </c>
      <c r="AZ144" s="118" t="inlineStr">
        <is>
          <t>Y</t>
        </is>
      </c>
      <c r="BA144" s="118" t="inlineStr">
        <is>
          <t>2026-10-13 12:11:35</t>
        </is>
      </c>
      <c r="BB144" s="120" t="inlineStr">
        <is>
          <t>Not live in 2025</t>
        </is>
      </c>
      <c r="BC144" s="125" t="n"/>
      <c r="BD144" s="124" t="n"/>
      <c r="BE144" s="124" t="n"/>
      <c r="BF144" s="110">
        <f>IF(AND(ISNUMBER(BD144),ISNUMBER(BE144),N(BD144)&gt;0),1-BE144/BD144,"")</f>
        <v/>
      </c>
      <c r="BG144" s="126" t="n"/>
      <c r="BH144" s="126" t="n"/>
      <c r="BI144" s="123">
        <f>IF(AND(ISNUMBER(BG144),ISNUMBER(BH144),N(BH144)&gt;0),BG144/BH144,"")</f>
        <v/>
      </c>
      <c r="BJ144" s="125" t="n"/>
      <c r="BK144" s="125" t="n"/>
    </row>
    <row r="145" ht="62" customHeight="1">
      <c r="A145" s="12">
        <f>_xlfn.IMAGE("https://m.media-amazon.com/images/I/61A6QLdfwQL._AC_SL1500_.jpg")</f>
        <v/>
      </c>
      <c r="B145" s="105" t="inlineStr">
        <is>
          <t>BAMPURE</t>
        </is>
      </c>
      <c r="C145" s="39" t="inlineStr">
        <is>
          <t>Bamboo Sheets</t>
        </is>
      </c>
      <c r="D145" s="105" t="inlineStr">
        <is>
          <t>Beatable</t>
        </is>
      </c>
      <c r="E145" s="106" t="inlineStr">
        <is>
          <t>Direct</t>
        </is>
      </c>
      <c r="F145" s="105" t="inlineStr">
        <is>
          <t>Bamboo viscose</t>
        </is>
      </c>
      <c r="G145" s="39" t="inlineStr">
        <is>
          <t>Same product (sheet set) in the same material family: Bamboo viscose (product page material: Viscose derived from Bamboo); ours: our listing: viscose from bamboo.</t>
        </is>
      </c>
      <c r="H145" s="107" t="inlineStr">
        <is>
          <t>B07XC2KVM7</t>
        </is>
      </c>
      <c r="I145" s="107" t="inlineStr">
        <is>
          <t>B07XC2KVM7</t>
        </is>
      </c>
      <c r="J145" s="105" t="inlineStr">
        <is>
          <t>Twin - 3 Pieces Set</t>
        </is>
      </c>
      <c r="K145" s="105" t="inlineStr">
        <is>
          <t>White</t>
        </is>
      </c>
      <c r="L145" s="108" t="n"/>
      <c r="M145" s="39" t="inlineStr"/>
      <c r="N145" s="109" t="n">
        <v>37.99</v>
      </c>
      <c r="O145" s="109" t="n"/>
      <c r="P145" s="110">
        <f>IF(AND(ISNUMBER(O145),ISNUMBER(N145),N(N145)&gt;0),O145/N145-1,"")</f>
        <v/>
      </c>
      <c r="Q145" s="111">
        <f>IF(P145="","No List Price",IF(P145&lt;=0,"At/below price",IF(P145&lt;=0.12,"&lt;=12% STR zone",IF(P145&lt;=0.25,"12-25%","&gt;25% over"))))</f>
        <v/>
      </c>
      <c r="R145" s="109" t="n">
        <v>64.98999999999999</v>
      </c>
      <c r="S145" s="112">
        <f>IF(AND(ISNUMBER(N145),ISNUMBER(R145),N(R145)&gt;0),N145/R145-1,"")</f>
        <v/>
      </c>
      <c r="T145" s="39" t="inlineStr">
        <is>
          <t>Same size (Twin). Ours live: catalog price, 2026-10-13; 16 children</t>
        </is>
      </c>
      <c r="U145" s="108" t="n">
        <v>2541068</v>
      </c>
      <c r="V145" s="108" t="n">
        <v>5</v>
      </c>
      <c r="W145" s="113">
        <f>IF(AND(ISNUMBER(N145),ISNUMBER(V145)),N145*V145*52/12,"")</f>
        <v/>
      </c>
      <c r="X145" s="114" t="n">
        <v>4.4</v>
      </c>
      <c r="Y145" s="108" t="n">
        <v>30</v>
      </c>
      <c r="Z145" s="115" t="n">
        <v>46307</v>
      </c>
      <c r="AA145" s="115" t="n"/>
      <c r="AB145" s="105" t="n"/>
      <c r="AC145" s="105" t="n"/>
      <c r="AD145" s="108" t="n"/>
      <c r="AE145" s="108" t="n"/>
      <c r="AF145" s="116" t="n"/>
      <c r="AG145" s="116" t="n"/>
      <c r="AH145" s="39" t="n"/>
      <c r="AI145" s="116" t="n"/>
      <c r="AJ145" s="116" t="n"/>
      <c r="AK145" s="116" t="n"/>
      <c r="AL145" s="116" t="n"/>
      <c r="AM145" s="108" t="n"/>
      <c r="AN145" s="108" t="n"/>
      <c r="AO145" s="108" t="n"/>
      <c r="AP145" s="108" t="n"/>
      <c r="AQ145" s="108" t="n"/>
      <c r="AR145" s="108" t="n"/>
      <c r="AS145" s="117" t="n"/>
      <c r="AT145" s="112" t="n"/>
      <c r="AU145" s="118" t="inlineStr">
        <is>
          <t>N</t>
        </is>
      </c>
      <c r="AV145" s="118" t="inlineStr">
        <is>
          <t>none</t>
        </is>
      </c>
      <c r="AW145" s="124" t="n"/>
      <c r="AX145" s="124" t="n"/>
      <c r="AY145" s="118" t="inlineStr">
        <is>
          <t>none</t>
        </is>
      </c>
      <c r="AZ145" s="118" t="inlineStr">
        <is>
          <t>N</t>
        </is>
      </c>
      <c r="BA145" s="118" t="inlineStr">
        <is>
          <t>2026-10-13 12:10:15</t>
        </is>
      </c>
      <c r="BB145" s="120" t="inlineStr">
        <is>
          <t>None</t>
        </is>
      </c>
      <c r="BC145" s="125" t="n"/>
      <c r="BD145" s="121" t="n">
        <v>69.98999999999999</v>
      </c>
      <c r="BE145" s="121" t="n">
        <v>69.98999999999999</v>
      </c>
      <c r="BF145" s="110">
        <f>IF(AND(ISNUMBER(BD145),ISNUMBER(BE145),N(BD145)&gt;0),1-BE145/BD145,"")</f>
        <v/>
      </c>
      <c r="BG145" s="122" t="n">
        <v>31768</v>
      </c>
      <c r="BH145" s="122" t="n">
        <v>27950</v>
      </c>
      <c r="BI145" s="123">
        <f>IF(AND(ISNUMBER(BG145),ISNUMBER(BH145),N(BH145)&gt;0),BG145/BH145,"")</f>
        <v/>
      </c>
      <c r="BJ145" s="120" t="inlineStr">
        <is>
          <t>N</t>
        </is>
      </c>
      <c r="BK145" s="120" t="inlineStr">
        <is>
          <t>List Price $69.99</t>
        </is>
      </c>
    </row>
    <row r="146" ht="62" customHeight="1">
      <c r="A146" s="12">
        <f>_xlfn.IMAGE("https://m.media-amazon.com/images/I/81BvQVXWCLL._AC_SL1500_.jpg")</f>
        <v/>
      </c>
      <c r="B146" s="105" t="inlineStr">
        <is>
          <t>BC BELLA COTERIE</t>
        </is>
      </c>
      <c r="C146" s="39" t="inlineStr">
        <is>
          <t>4 Piece Bamboo Sheet Set</t>
        </is>
      </c>
      <c r="D146" s="105" t="inlineStr">
        <is>
          <t>Beatable</t>
        </is>
      </c>
      <c r="E146" s="106" t="inlineStr">
        <is>
          <t>Direct</t>
        </is>
      </c>
      <c r="F146" s="105" t="inlineStr">
        <is>
          <t>Bamboo viscose</t>
        </is>
      </c>
      <c r="G146" s="39" t="inlineStr">
        <is>
          <t>Same product (sheet set) in the same material family: Bamboo viscose (product page material: Organically Grown | Viscose Made From Bamboo); ours: our listing: viscose from bamboo.</t>
        </is>
      </c>
      <c r="H146" s="107" t="inlineStr">
        <is>
          <t>B0H29V113N</t>
        </is>
      </c>
      <c r="I146" s="107" t="inlineStr">
        <is>
          <t>B0G674ZDTV</t>
        </is>
      </c>
      <c r="J146" s="105" t="inlineStr">
        <is>
          <t>Queen - 2 Pillowcases</t>
        </is>
      </c>
      <c r="K146" s="105" t="inlineStr">
        <is>
          <t>22 - Striped Dune</t>
        </is>
      </c>
      <c r="L146" s="108" t="n"/>
      <c r="M146" s="39" t="inlineStr"/>
      <c r="N146" s="109" t="n">
        <v>159.99</v>
      </c>
      <c r="O146" s="109" t="n"/>
      <c r="P146" s="110">
        <f>IF(AND(ISNUMBER(O146),ISNUMBER(N146),N(N146)&gt;0),O146/N146-1,"")</f>
        <v/>
      </c>
      <c r="Q146" s="111">
        <f>IF(P146="","No List Price",IF(P146&lt;=0,"At/below price",IF(P146&lt;=0.12,"&lt;=12% STR zone",IF(P146&lt;=0.25,"12-25%","&gt;25% over"))))</f>
        <v/>
      </c>
      <c r="R146" s="109" t="n">
        <v>89.98999999999999</v>
      </c>
      <c r="S146" s="112">
        <f>IF(AND(ISNUMBER(N146),ISNUMBER(R146),N(R146)&gt;0),N146/R146-1,"")</f>
        <v/>
      </c>
      <c r="T146" s="39" t="inlineStr">
        <is>
          <t>Same size (Queen). Ours live: catalog price, 2026-10-13; 15 children</t>
        </is>
      </c>
      <c r="U146" s="108" t="n">
        <v>1577</v>
      </c>
      <c r="V146" s="108" t="n">
        <v>5</v>
      </c>
      <c r="W146" s="113">
        <f>IF(AND(ISNUMBER(N146),ISNUMBER(V146)),N146*V146*52/12,"")</f>
        <v/>
      </c>
      <c r="X146" s="114" t="n">
        <v>4.4</v>
      </c>
      <c r="Y146" s="108" t="n">
        <v>5652</v>
      </c>
      <c r="Z146" s="115" t="n">
        <v>46223</v>
      </c>
      <c r="AA146" s="115" t="n"/>
      <c r="AB146" s="105" t="n"/>
      <c r="AC146" s="105" t="n"/>
      <c r="AD146" s="108" t="n"/>
      <c r="AE146" s="108" t="n"/>
      <c r="AF146" s="116" t="n"/>
      <c r="AG146" s="116" t="n"/>
      <c r="AH146" s="39" t="n"/>
      <c r="AI146" s="116" t="n"/>
      <c r="AJ146" s="116" t="n"/>
      <c r="AK146" s="116" t="n"/>
      <c r="AL146" s="116" t="n"/>
      <c r="AM146" s="108" t="n"/>
      <c r="AN146" s="108" t="n"/>
      <c r="AO146" s="108" t="n"/>
      <c r="AP146" s="108" t="n"/>
      <c r="AQ146" s="108" t="n"/>
      <c r="AR146" s="108" t="n"/>
      <c r="AS146" s="117" t="n"/>
      <c r="AT146" s="112" t="n"/>
      <c r="AU146" s="118" t="inlineStr">
        <is>
          <t>N</t>
        </is>
      </c>
      <c r="AV146" s="118" t="inlineStr">
        <is>
          <t>none</t>
        </is>
      </c>
      <c r="AW146" s="124" t="n"/>
      <c r="AX146" s="119" t="n">
        <v>159.99</v>
      </c>
      <c r="AY146" s="118" t="inlineStr">
        <is>
          <t>none</t>
        </is>
      </c>
      <c r="AZ146" s="118" t="inlineStr">
        <is>
          <t>Y</t>
        </is>
      </c>
      <c r="BA146" s="118" t="inlineStr">
        <is>
          <t>2026-10-13 12:10:21</t>
        </is>
      </c>
      <c r="BB146" s="120" t="inlineStr">
        <is>
          <t>Not live in 2025</t>
        </is>
      </c>
      <c r="BC146" s="125" t="n"/>
      <c r="BD146" s="124" t="n"/>
      <c r="BE146" s="124" t="n"/>
      <c r="BF146" s="110">
        <f>IF(AND(ISNUMBER(BD146),ISNUMBER(BE146),N(BD146)&gt;0),1-BE146/BD146,"")</f>
        <v/>
      </c>
      <c r="BG146" s="126" t="n"/>
      <c r="BH146" s="126" t="n"/>
      <c r="BI146" s="123">
        <f>IF(AND(ISNUMBER(BG146),ISNUMBER(BH146),N(BH146)&gt;0),BG146/BH146,"")</f>
        <v/>
      </c>
      <c r="BJ146" s="125" t="n"/>
      <c r="BK146" s="125" t="n"/>
    </row>
    <row r="147" ht="62" customHeight="1">
      <c r="A147" s="12">
        <f>_xlfn.IMAGE("https://m.media-amazon.com/images/I/71-mwiI1N+L._AC_SL1500_.jpg")</f>
        <v/>
      </c>
      <c r="B147" s="105" t="inlineStr">
        <is>
          <t>Tafts</t>
        </is>
      </c>
      <c r="C147" s="39" t="inlineStr">
        <is>
          <t>Bamboo Sheets Queen Size, 100% Pure Viscose derived from Bamboo Bed Sheet Set, L</t>
        </is>
      </c>
      <c r="D147" s="105" t="inlineStr">
        <is>
          <t>Beatable</t>
        </is>
      </c>
      <c r="E147" s="106" t="inlineStr">
        <is>
          <t>Direct</t>
        </is>
      </c>
      <c r="F147" s="105" t="inlineStr">
        <is>
          <t>Bamboo viscose</t>
        </is>
      </c>
      <c r="G147" s="39" t="inlineStr">
        <is>
          <t>Same product (sheet set) in the same material family: Bamboo viscose (product page material: Viscose derived from Bamboo); ours: our listing: viscose from bamboo.</t>
        </is>
      </c>
      <c r="H147" s="107" t="inlineStr">
        <is>
          <t>B0D34K3FB9</t>
        </is>
      </c>
      <c r="I147" s="107" t="inlineStr">
        <is>
          <t>B07YSVNCVT</t>
        </is>
      </c>
      <c r="J147" s="105" t="inlineStr">
        <is>
          <t>Queen</t>
        </is>
      </c>
      <c r="K147" s="105" t="inlineStr">
        <is>
          <t>Nude Beige</t>
        </is>
      </c>
      <c r="L147" s="108" t="n">
        <v>23</v>
      </c>
      <c r="M147" s="39" t="inlineStr">
        <is>
          <t>B07YSW4HCT (83%)</t>
        </is>
      </c>
      <c r="N147" s="109" t="n">
        <v>104.99</v>
      </c>
      <c r="O147" s="109" t="n"/>
      <c r="P147" s="110">
        <f>IF(AND(ISNUMBER(O147),ISNUMBER(N147),N(N147)&gt;0),O147/N147-1,"")</f>
        <v/>
      </c>
      <c r="Q147" s="111">
        <f>IF(P147="","No List Price",IF(P147&lt;=0,"At/below price",IF(P147&lt;=0.12,"&lt;=12% STR zone",IF(P147&lt;=0.25,"12-25%","&gt;25% over"))))</f>
        <v/>
      </c>
      <c r="R147" s="109" t="n">
        <v>89.98999999999999</v>
      </c>
      <c r="S147" s="112">
        <f>IF(AND(ISNUMBER(N147),ISNUMBER(R147),N(R147)&gt;0),N147/R147-1,"")</f>
        <v/>
      </c>
      <c r="T147" s="39" t="inlineStr">
        <is>
          <t>Same size (Queen). Ours live: catalog price, 2026-10-13; 15 children</t>
        </is>
      </c>
      <c r="U147" s="108" t="n">
        <v>184749</v>
      </c>
      <c r="V147" s="108" t="n">
        <v>5</v>
      </c>
      <c r="W147" s="113">
        <f>IF(AND(ISNUMBER(N147),ISNUMBER(V147)),N147*V147*52/12,"")</f>
        <v/>
      </c>
      <c r="X147" s="114" t="n">
        <v>4.5</v>
      </c>
      <c r="Y147" s="108" t="n">
        <v>3184</v>
      </c>
      <c r="Z147" s="115" t="n">
        <v>46307</v>
      </c>
      <c r="AA147" s="115" t="n"/>
      <c r="AB147" s="105" t="n"/>
      <c r="AC147" s="105" t="n"/>
      <c r="AD147" s="108" t="n">
        <v>11787</v>
      </c>
      <c r="AE147" s="108" t="n">
        <v>302</v>
      </c>
      <c r="AF147" s="116" t="n">
        <v>0.9613189955035204</v>
      </c>
      <c r="AG147" s="116" t="n">
        <v>0.03868100449647917</v>
      </c>
      <c r="AH147" s="39" t="inlineStr">
        <is>
          <t>bamboo sheets</t>
        </is>
      </c>
      <c r="AI147" s="116" t="n">
        <v>0.8949690336811742</v>
      </c>
      <c r="AJ147" s="116" t="n"/>
      <c r="AK147" s="116" t="n"/>
      <c r="AL147" s="116" t="n"/>
      <c r="AM147" s="108" t="n">
        <v>235</v>
      </c>
      <c r="AN147" s="108" t="n">
        <v>163</v>
      </c>
      <c r="AO147" s="108" t="n">
        <v>39</v>
      </c>
      <c r="AP147" s="108" t="n">
        <v>67</v>
      </c>
      <c r="AQ147" s="108" t="n">
        <v>17</v>
      </c>
      <c r="AR147" s="108" t="n">
        <v>6</v>
      </c>
      <c r="AS147" s="117" t="n"/>
      <c r="AT147" s="112" t="n"/>
      <c r="AU147" s="118" t="inlineStr">
        <is>
          <t>N</t>
        </is>
      </c>
      <c r="AV147" s="118" t="inlineStr">
        <is>
          <t>none</t>
        </is>
      </c>
      <c r="AW147" s="124" t="n"/>
      <c r="AX147" s="119" t="n">
        <v>104.99</v>
      </c>
      <c r="AY147" s="118" t="inlineStr">
        <is>
          <t>none</t>
        </is>
      </c>
      <c r="AZ147" s="118" t="inlineStr">
        <is>
          <t>Y</t>
        </is>
      </c>
      <c r="BA147" s="118" t="inlineStr">
        <is>
          <t>2026-10-13 12:14:21</t>
        </is>
      </c>
      <c r="BB147" s="120" t="inlineStr">
        <is>
          <t>Coupon only</t>
        </is>
      </c>
      <c r="BC147" s="120" t="inlineStr">
        <is>
          <t>11-06 to 11-20</t>
        </is>
      </c>
      <c r="BD147" s="121" t="n">
        <v>99.98999999999999</v>
      </c>
      <c r="BE147" s="121" t="n">
        <v>80.73999999999999</v>
      </c>
      <c r="BF147" s="110">
        <f>IF(AND(ISNUMBER(BD147),ISNUMBER(BE147),N(BD147)&gt;0),1-BE147/BD147,"")</f>
        <v/>
      </c>
      <c r="BG147" s="122" t="n">
        <v>127180</v>
      </c>
      <c r="BH147" s="122" t="n">
        <v>98722</v>
      </c>
      <c r="BI147" s="123">
        <f>IF(AND(ISNUMBER(BG147),ISNUMBER(BH147),N(BH147)&gt;0),BG147/BH147,"")</f>
        <v/>
      </c>
      <c r="BJ147" s="120" t="inlineStr">
        <is>
          <t>Y</t>
        </is>
      </c>
      <c r="BK147" s="120" t="inlineStr">
        <is>
          <t>Coupon 20%; List Price $119.99</t>
        </is>
      </c>
    </row>
    <row r="148" ht="62" customHeight="1">
      <c r="A148" s="12">
        <f>_xlfn.IMAGE("https://m.media-amazon.com/images/I/71QUqgRttAL._AC_SL1500_.jpg")</f>
        <v/>
      </c>
      <c r="B148" s="105" t="inlineStr">
        <is>
          <t>TWK</t>
        </is>
      </c>
      <c r="C148" s="39" t="inlineStr">
        <is>
          <t>TWK Real 100% Viscose Derived from Bamboo Sheets Set Queen Size, Cooling &amp; Silky</t>
        </is>
      </c>
      <c r="D148" s="105" t="inlineStr">
        <is>
          <t>Beatable</t>
        </is>
      </c>
      <c r="E148" s="106" t="inlineStr">
        <is>
          <t>Direct</t>
        </is>
      </c>
      <c r="F148" s="105" t="inlineStr">
        <is>
          <t>Bamboo viscose</t>
        </is>
      </c>
      <c r="G148" s="39" t="inlineStr">
        <is>
          <t>Same product (sheet set) in the same material family: Bamboo viscose (product page material: Genuine 100% Viscose Derived from Bamboo); ours: our listing: viscose from bamboo.</t>
        </is>
      </c>
      <c r="H148" s="107" t="inlineStr">
        <is>
          <t>B0HHQG3RSW</t>
        </is>
      </c>
      <c r="I148" s="107" t="inlineStr">
        <is>
          <t>B0HHRR4XGX</t>
        </is>
      </c>
      <c r="J148" s="105" t="inlineStr">
        <is>
          <t>Queen</t>
        </is>
      </c>
      <c r="K148" s="105" t="inlineStr">
        <is>
          <t>White</t>
        </is>
      </c>
      <c r="L148" s="108" t="n">
        <v>1</v>
      </c>
      <c r="M148" s="39" t="inlineStr">
        <is>
          <t>B0HHRR4XGX (100%)</t>
        </is>
      </c>
      <c r="N148" s="109" t="n">
        <v>105</v>
      </c>
      <c r="O148" s="109" t="n"/>
      <c r="P148" s="110">
        <f>IF(AND(ISNUMBER(O148),ISNUMBER(N148),N(N148)&gt;0),O148/N148-1,"")</f>
        <v/>
      </c>
      <c r="Q148" s="111">
        <f>IF(P148="","No List Price",IF(P148&lt;=0,"At/below price",IF(P148&lt;=0.12,"&lt;=12% STR zone",IF(P148&lt;=0.25,"12-25%","&gt;25% over"))))</f>
        <v/>
      </c>
      <c r="R148" s="109" t="n">
        <v>89.98999999999999</v>
      </c>
      <c r="S148" s="112">
        <f>IF(AND(ISNUMBER(N148),ISNUMBER(R148),N(R148)&gt;0),N148/R148-1,"")</f>
        <v/>
      </c>
      <c r="T148" s="39" t="inlineStr">
        <is>
          <t>Same size (Queen). Ours live: catalog price, 2026-10-13; 15 children</t>
        </is>
      </c>
      <c r="U148" s="108" t="n"/>
      <c r="V148" s="108" t="n">
        <v>5</v>
      </c>
      <c r="W148" s="113">
        <f>IF(AND(ISNUMBER(N148),ISNUMBER(V148)),N148*V148*52/12,"")</f>
        <v/>
      </c>
      <c r="X148" s="114" t="n">
        <v>4.5</v>
      </c>
      <c r="Y148" s="108" t="n"/>
      <c r="Z148" s="115" t="n">
        <v>46307</v>
      </c>
      <c r="AA148" s="115" t="n"/>
      <c r="AB148" s="105" t="n"/>
      <c r="AC148" s="105" t="n"/>
      <c r="AD148" s="108" t="n">
        <v>30066</v>
      </c>
      <c r="AE148" s="108" t="n">
        <v>74</v>
      </c>
      <c r="AF148" s="116" t="n">
        <v>1</v>
      </c>
      <c r="AG148" s="116" t="n">
        <v>0</v>
      </c>
      <c r="AH148" s="39" t="inlineStr">
        <is>
          <t>queen sheet set</t>
        </is>
      </c>
      <c r="AI148" s="116" t="n"/>
      <c r="AJ148" s="116" t="n"/>
      <c r="AK148" s="116" t="n"/>
      <c r="AL148" s="116" t="n"/>
      <c r="AM148" s="108" t="n">
        <v>71</v>
      </c>
      <c r="AN148" s="108" t="n">
        <v>54</v>
      </c>
      <c r="AO148" s="108" t="n">
        <v>16</v>
      </c>
      <c r="AP148" s="108" t="n">
        <v>3</v>
      </c>
      <c r="AQ148" s="108" t="n">
        <v>0</v>
      </c>
      <c r="AR148" s="108" t="n">
        <v>0</v>
      </c>
      <c r="AS148" s="117" t="n"/>
      <c r="AT148" s="112" t="n"/>
      <c r="AU148" s="118" t="inlineStr">
        <is>
          <t>N</t>
        </is>
      </c>
      <c r="AV148" s="118" t="inlineStr">
        <is>
          <t>none</t>
        </is>
      </c>
      <c r="AW148" s="124" t="n"/>
      <c r="AX148" s="119" t="n">
        <v>105</v>
      </c>
      <c r="AY148" s="118" t="inlineStr">
        <is>
          <t>none</t>
        </is>
      </c>
      <c r="AZ148" s="118" t="inlineStr">
        <is>
          <t>Y</t>
        </is>
      </c>
      <c r="BA148" s="118" t="inlineStr">
        <is>
          <t>2026-10-13 12:11:39</t>
        </is>
      </c>
      <c r="BB148" s="120" t="inlineStr">
        <is>
          <t>Not live in 2025</t>
        </is>
      </c>
      <c r="BC148" s="125" t="n"/>
      <c r="BD148" s="124" t="n"/>
      <c r="BE148" s="124" t="n"/>
      <c r="BF148" s="110">
        <f>IF(AND(ISNUMBER(BD148),ISNUMBER(BE148),N(BD148)&gt;0),1-BE148/BD148,"")</f>
        <v/>
      </c>
      <c r="BG148" s="126" t="n"/>
      <c r="BH148" s="126" t="n"/>
      <c r="BI148" s="123">
        <f>IF(AND(ISNUMBER(BG148),ISNUMBER(BH148),N(BH148)&gt;0),BG148/BH148,"")</f>
        <v/>
      </c>
      <c r="BJ148" s="125" t="n"/>
      <c r="BK148" s="125" t="n"/>
    </row>
    <row r="149" ht="62" customHeight="1">
      <c r="A149" s="45" t="inlineStr">
        <is>
          <t>COMING SOON</t>
        </is>
      </c>
      <c r="B149" s="105" t="inlineStr">
        <is>
          <t>TOSMO</t>
        </is>
      </c>
      <c r="C149" s="39" t="inlineStr">
        <is>
          <t>TOSMO Luxury Cooling Sheet Set - 100% Viscose from Bamboo, 4-Piece Bedding Set (King Size) - 18” Extra Deep Pockets, Oeko-Tex Certified, Silky Soft and Breathable, Classic White</t>
        </is>
      </c>
      <c r="D149" s="105" t="inlineStr">
        <is>
          <t>Beatable</t>
        </is>
      </c>
      <c r="E149" s="106" t="inlineStr">
        <is>
          <t>Direct</t>
        </is>
      </c>
      <c r="F149" s="105" t="inlineStr">
        <is>
          <t>Bamboo viscose</t>
        </is>
      </c>
      <c r="G149" s="39" t="inlineStr">
        <is>
          <t>Same product (sheet set) in the same material family: Bamboo viscose (title: TOSMO Luxury Cooling Sheet Set - 100% Viscose from Bamboo, 4); ours: our listing: viscose from bamboo.</t>
        </is>
      </c>
      <c r="H149" s="105" t="n"/>
      <c r="I149" s="107" t="inlineStr">
        <is>
          <t>B0DWXNH24Z</t>
        </is>
      </c>
      <c r="J149" s="105" t="inlineStr">
        <is>
          <t>King</t>
        </is>
      </c>
      <c r="K149" s="105" t="inlineStr">
        <is>
          <t>White</t>
        </is>
      </c>
      <c r="L149" s="108" t="n"/>
      <c r="M149" s="39" t="inlineStr"/>
      <c r="N149" s="109" t="n">
        <v>129</v>
      </c>
      <c r="O149" s="109" t="n"/>
      <c r="P149" s="110">
        <f>IF(AND(ISNUMBER(O149),ISNUMBER(N149),N(N149)&gt;0),O149/N149-1,"")</f>
        <v/>
      </c>
      <c r="Q149" s="111">
        <f>IF(P149="","No List Price",IF(P149&lt;=0,"At/below price",IF(P149&lt;=0.12,"&lt;=12% STR zone",IF(P149&lt;=0.25,"12-25%","&gt;25% over"))))</f>
        <v/>
      </c>
      <c r="R149" s="109" t="n">
        <v>94.98999999999999</v>
      </c>
      <c r="S149" s="112">
        <f>IF(AND(ISNUMBER(N149),ISNUMBER(R149),N(R149)&gt;0),N149/R149-1,"")</f>
        <v/>
      </c>
      <c r="T149" s="39" t="inlineStr">
        <is>
          <t>Same size (King). Ours live: catalog price, 2026-10-13; 15 children</t>
        </is>
      </c>
      <c r="U149" s="108" t="n">
        <v>543947</v>
      </c>
      <c r="V149" s="108" t="n"/>
      <c r="W149" s="113">
        <f>IF(AND(ISNUMBER(N149),ISNUMBER(V149)),N149*V149*52/12,"")</f>
        <v/>
      </c>
      <c r="X149" s="114" t="n">
        <v>4.4</v>
      </c>
      <c r="Y149" s="108" t="n">
        <v>53</v>
      </c>
      <c r="Z149" s="115" t="n">
        <v>46306</v>
      </c>
      <c r="AA149" s="115" t="n"/>
      <c r="AB149" s="105" t="n"/>
      <c r="AC149" s="105" t="n"/>
      <c r="AD149" s="108" t="n"/>
      <c r="AE149" s="108" t="n"/>
      <c r="AF149" s="116" t="n"/>
      <c r="AG149" s="116" t="n"/>
      <c r="AH149" s="39" t="n"/>
      <c r="AI149" s="116" t="n"/>
      <c r="AJ149" s="116" t="n"/>
      <c r="AK149" s="116" t="n"/>
      <c r="AL149" s="116" t="n"/>
      <c r="AM149" s="108" t="n"/>
      <c r="AN149" s="108" t="n"/>
      <c r="AO149" s="108" t="n"/>
      <c r="AP149" s="108" t="n"/>
      <c r="AQ149" s="108" t="n"/>
      <c r="AR149" s="108" t="n"/>
      <c r="AS149" s="117" t="n"/>
      <c r="AT149" s="112" t="n"/>
      <c r="AU149" s="125" t="n"/>
      <c r="AV149" s="125" t="n"/>
      <c r="AW149" s="124" t="n"/>
      <c r="AX149" s="124" t="n"/>
      <c r="AY149" s="125" t="n"/>
      <c r="AZ149" s="125" t="n"/>
      <c r="BA149" s="125" t="n"/>
      <c r="BB149" s="120" t="inlineStr">
        <is>
          <t>Prime Exclusive Discount</t>
        </is>
      </c>
      <c r="BC149" s="120" t="inlineStr">
        <is>
          <t>11-20 to 12-01</t>
        </is>
      </c>
      <c r="BD149" s="121" t="n">
        <v>134</v>
      </c>
      <c r="BE149" s="121" t="n">
        <v>105.39</v>
      </c>
      <c r="BF149" s="110">
        <f>IF(AND(ISNUMBER(BD149),ISNUMBER(BE149),N(BD149)&gt;0),1-BE149/BD149,"")</f>
        <v/>
      </c>
      <c r="BG149" s="122" t="n">
        <v>166573</v>
      </c>
      <c r="BH149" s="122" t="n">
        <v>90856</v>
      </c>
      <c r="BI149" s="123">
        <f>IF(AND(ISNUMBER(BG149),ISNUMBER(BH149),N(BH149)&gt;0),BG149/BH149,"")</f>
        <v/>
      </c>
      <c r="BJ149" s="125" t="n"/>
      <c r="BK149" s="120" t="inlineStr">
        <is>
          <t>List Price $169.99</t>
        </is>
      </c>
    </row>
    <row r="150" ht="62" customHeight="1">
      <c r="A150" s="12">
        <f>_xlfn.IMAGE("https://images-na.ssl-images-amazon.com/images/I/61fbapIObwL.jpg")</f>
        <v/>
      </c>
      <c r="B150" s="105" t="inlineStr">
        <is>
          <t>BAMPURE</t>
        </is>
      </c>
      <c r="C150" s="39" t="inlineStr">
        <is>
          <t>BAMPURE 100% Rayon from Bamboo Sheets Queen Size - 4pc Cooling Sheets Queen</t>
        </is>
      </c>
      <c r="D150" s="105" t="inlineStr">
        <is>
          <t>Beatable</t>
        </is>
      </c>
      <c r="E150" s="106" t="inlineStr">
        <is>
          <t>Direct</t>
        </is>
      </c>
      <c r="F150" s="105" t="inlineStr">
        <is>
          <t>Bamboo viscose</t>
        </is>
      </c>
      <c r="G150" s="39" t="inlineStr">
        <is>
          <t>Same product (sheet set) in the same material family: Bamboo viscose (title: BAMPURE 100% Rayon from Bamboo Sheets Queen Size - 4pc Cooli); ours: our listing: viscose from bamboo.</t>
        </is>
      </c>
      <c r="H150" s="105" t="n"/>
      <c r="I150" s="107" t="inlineStr">
        <is>
          <t>B07XBJY2JR</t>
        </is>
      </c>
      <c r="J150" s="105" t="inlineStr">
        <is>
          <t>Queen</t>
        </is>
      </c>
      <c r="K150" s="105" t="n"/>
      <c r="L150" s="108" t="n">
        <v>40</v>
      </c>
      <c r="M150" s="39" t="inlineStr"/>
      <c r="N150" s="109" t="n">
        <v>72.23</v>
      </c>
      <c r="O150" s="109" t="n"/>
      <c r="P150" s="110">
        <f>IF(AND(ISNUMBER(O150),ISNUMBER(N150),N(N150)&gt;0),O150/N150-1,"")</f>
        <v/>
      </c>
      <c r="Q150" s="111">
        <f>IF(P150="","No List Price",IF(P150&lt;=0,"At/below price",IF(P150&lt;=0.12,"&lt;=12% STR zone",IF(P150&lt;=0.25,"12-25%","&gt;25% over"))))</f>
        <v/>
      </c>
      <c r="R150" s="109" t="n">
        <v>89.98999999999999</v>
      </c>
      <c r="S150" s="112">
        <f>IF(AND(ISNUMBER(N150),ISNUMBER(R150),N(R150)&gt;0),N150/R150-1,"")</f>
        <v/>
      </c>
      <c r="T150" s="39" t="inlineStr">
        <is>
          <t>Same size (Queen). Ours live: catalog price, 2026-10-13; 15 children</t>
        </is>
      </c>
      <c r="U150" s="108" t="n">
        <v>14474</v>
      </c>
      <c r="V150" s="108" t="n"/>
      <c r="W150" s="113">
        <f>IF(AND(ISNUMBER(N150),ISNUMBER(V150)),N150*V150*52/12,"")</f>
        <v/>
      </c>
      <c r="X150" s="114" t="n">
        <v>4.4</v>
      </c>
      <c r="Y150" s="108" t="n">
        <v>4320</v>
      </c>
      <c r="Z150" s="115" t="n">
        <v>46306</v>
      </c>
      <c r="AA150" s="115" t="n">
        <v>43784</v>
      </c>
      <c r="AB150" s="105" t="inlineStr">
        <is>
          <t>FBA</t>
        </is>
      </c>
      <c r="AC150" s="105" t="inlineStr">
        <is>
          <t>US</t>
        </is>
      </c>
      <c r="AD150" s="108" t="n"/>
      <c r="AE150" s="108" t="n"/>
      <c r="AF150" s="116" t="n"/>
      <c r="AG150" s="116" t="n"/>
      <c r="AH150" s="39" t="n"/>
      <c r="AI150" s="116" t="n"/>
      <c r="AJ150" s="116" t="n"/>
      <c r="AK150" s="116" t="n"/>
      <c r="AL150" s="116" t="n"/>
      <c r="AM150" s="108" t="n"/>
      <c r="AN150" s="108" t="n"/>
      <c r="AO150" s="108" t="n"/>
      <c r="AP150" s="108" t="n"/>
      <c r="AQ150" s="108" t="n"/>
      <c r="AR150" s="108" t="n"/>
      <c r="AS150" s="117" t="n"/>
      <c r="AT150" s="112" t="n"/>
      <c r="AU150" s="125" t="n"/>
      <c r="AV150" s="125" t="n"/>
      <c r="AW150" s="124" t="n"/>
      <c r="AX150" s="124" t="n"/>
      <c r="AY150" s="125" t="n"/>
      <c r="AZ150" s="125" t="n"/>
      <c r="BA150" s="125" t="n"/>
      <c r="BB150" s="120" t="inlineStr">
        <is>
          <t>Prime Exclusive Discount</t>
        </is>
      </c>
      <c r="BC150" s="120" t="inlineStr">
        <is>
          <t>11-21 to 11-30</t>
        </is>
      </c>
      <c r="BD150" s="121" t="n">
        <v>84.98999999999999</v>
      </c>
      <c r="BE150" s="121" t="n">
        <v>79.98999999999999</v>
      </c>
      <c r="BF150" s="110">
        <f>IF(AND(ISNUMBER(BD150),ISNUMBER(BE150),N(BD150)&gt;0),1-BE150/BD150,"")</f>
        <v/>
      </c>
      <c r="BG150" s="122" t="n">
        <v>33490</v>
      </c>
      <c r="BH150" s="122" t="n">
        <v>28222</v>
      </c>
      <c r="BI150" s="123">
        <f>IF(AND(ISNUMBER(BG150),ISNUMBER(BH150),N(BH150)&gt;0),BG150/BH150,"")</f>
        <v/>
      </c>
      <c r="BJ150" s="125" t="n"/>
      <c r="BK150" s="120" t="inlineStr">
        <is>
          <t>Buy Box RAISED in BFCM week (median $99.99 vs $84.99 before); List Price $99.99</t>
        </is>
      </c>
    </row>
    <row r="151" ht="62" customHeight="1">
      <c r="A151" s="12">
        <f>_xlfn.IMAGE("https://m.media-amazon.com/images/I/71m+WEzQwhL._AC_SL1500_.jpg")</f>
        <v/>
      </c>
      <c r="B151" s="105" t="inlineStr">
        <is>
          <t>AiAngu</t>
        </is>
      </c>
      <c r="C151" s="39" t="inlineStr">
        <is>
          <t>Bamboo Sheets</t>
        </is>
      </c>
      <c r="D151" s="105" t="inlineStr">
        <is>
          <t>Poor</t>
        </is>
      </c>
      <c r="E151" s="106" t="inlineStr">
        <is>
          <t>Direct</t>
        </is>
      </c>
      <c r="F151" s="105" t="inlineStr">
        <is>
          <t>Bamboo viscose</t>
        </is>
      </c>
      <c r="G151" s="39" t="inlineStr">
        <is>
          <t>Same product (sheet set) in the same material family: Bamboo viscose (product page material: Rayon Derived from Bamboo); ours: our listing: viscose from bamboo.</t>
        </is>
      </c>
      <c r="H151" s="107" t="inlineStr">
        <is>
          <t>B0GX135KCN</t>
        </is>
      </c>
      <c r="I151" s="107" t="inlineStr">
        <is>
          <t>B0GX15Y7TT</t>
        </is>
      </c>
      <c r="J151" s="105" t="inlineStr">
        <is>
          <t>Queen</t>
        </is>
      </c>
      <c r="K151" s="105" t="inlineStr">
        <is>
          <t>Dark Grey</t>
        </is>
      </c>
      <c r="L151" s="108" t="n"/>
      <c r="M151" s="39" t="inlineStr"/>
      <c r="N151" s="109" t="n">
        <v>74.98999999999999</v>
      </c>
      <c r="O151" s="109" t="n">
        <v>79.98999999999999</v>
      </c>
      <c r="P151" s="110">
        <f>IF(AND(ISNUMBER(O151),ISNUMBER(N151),N(N151)&gt;0),O151/N151-1,"")</f>
        <v/>
      </c>
      <c r="Q151" s="111">
        <f>IF(P151="","No List Price",IF(P151&lt;=0,"At/below price",IF(P151&lt;=0.12,"&lt;=12% STR zone",IF(P151&lt;=0.25,"12-25%","&gt;25% over"))))</f>
        <v/>
      </c>
      <c r="R151" s="109" t="n">
        <v>89.98999999999999</v>
      </c>
      <c r="S151" s="112">
        <f>IF(AND(ISNUMBER(N151),ISNUMBER(R151),N(R151)&gt;0),N151/R151-1,"")</f>
        <v/>
      </c>
      <c r="T151" s="39" t="inlineStr">
        <is>
          <t>Same size (Queen). Ours live: catalog price, 2026-10-13; 15 children</t>
        </is>
      </c>
      <c r="U151" s="108" t="n">
        <v>39296</v>
      </c>
      <c r="V151" s="108" t="n">
        <v>81</v>
      </c>
      <c r="W151" s="113">
        <f>IF(AND(ISNUMBER(N151),ISNUMBER(V151)),N151*V151*52/12,"")</f>
        <v/>
      </c>
      <c r="X151" s="114" t="n">
        <v>4.6</v>
      </c>
      <c r="Y151" s="108" t="n">
        <v>121</v>
      </c>
      <c r="Z151" s="115" t="n">
        <v>46307</v>
      </c>
      <c r="AA151" s="115" t="n"/>
      <c r="AB151" s="105" t="n"/>
      <c r="AC151" s="105" t="n"/>
      <c r="AD151" s="108" t="n"/>
      <c r="AE151" s="108" t="n"/>
      <c r="AF151" s="116" t="n"/>
      <c r="AG151" s="116" t="n"/>
      <c r="AH151" s="39" t="n"/>
      <c r="AI151" s="116" t="n"/>
      <c r="AJ151" s="116" t="n"/>
      <c r="AK151" s="116" t="n"/>
      <c r="AL151" s="116" t="n"/>
      <c r="AM151" s="108" t="n"/>
      <c r="AN151" s="108" t="n"/>
      <c r="AO151" s="108" t="n"/>
      <c r="AP151" s="108" t="n"/>
      <c r="AQ151" s="108" t="n"/>
      <c r="AR151" s="108" t="n"/>
      <c r="AS151" s="117" t="n"/>
      <c r="AT151" s="112" t="n"/>
      <c r="AU151" s="118" t="inlineStr">
        <is>
          <t>Y</t>
        </is>
      </c>
      <c r="AV151" s="118" t="inlineStr">
        <is>
          <t>List Price</t>
        </is>
      </c>
      <c r="AW151" s="119" t="n">
        <v>79.98999999999999</v>
      </c>
      <c r="AX151" s="119" t="n">
        <v>74.98999999999999</v>
      </c>
      <c r="AY151" s="118" t="inlineStr">
        <is>
          <t>coupon 25%</t>
        </is>
      </c>
      <c r="AZ151" s="118" t="inlineStr">
        <is>
          <t>Y</t>
        </is>
      </c>
      <c r="BA151" s="118" t="inlineStr">
        <is>
          <t>2026-10-13 23:35:32</t>
        </is>
      </c>
      <c r="BB151" s="120" t="inlineStr">
        <is>
          <t>Not live in 2025</t>
        </is>
      </c>
      <c r="BC151" s="125" t="n"/>
      <c r="BD151" s="124" t="n"/>
      <c r="BE151" s="124" t="n"/>
      <c r="BF151" s="110">
        <f>IF(AND(ISNUMBER(BD151),ISNUMBER(BE151),N(BD151)&gt;0),1-BE151/BD151,"")</f>
        <v/>
      </c>
      <c r="BG151" s="126" t="n"/>
      <c r="BH151" s="126" t="n"/>
      <c r="BI151" s="123">
        <f>IF(AND(ISNUMBER(BG151),ISNUMBER(BH151),N(BH151)&gt;0),BG151/BH151,"")</f>
        <v/>
      </c>
      <c r="BJ151" s="125" t="n"/>
      <c r="BK151" s="125" t="n"/>
    </row>
    <row r="152" ht="62" customHeight="1">
      <c r="A152" s="12">
        <f>_xlfn.IMAGE("https://images-na.ssl-images-amazon.com/images/I/71Kvq1YdGJL.jpg")</f>
        <v/>
      </c>
      <c r="B152" s="105" t="inlineStr">
        <is>
          <t>Cariloha</t>
        </is>
      </c>
      <c r="C152" s="39" t="inlineStr">
        <is>
          <t>Cariloha Aloha Soft Bamboo Viscose Sheet Set - Natural - Queen</t>
        </is>
      </c>
      <c r="D152" s="105" t="inlineStr">
        <is>
          <t>Poor</t>
        </is>
      </c>
      <c r="E152" s="106" t="inlineStr">
        <is>
          <t>Direct</t>
        </is>
      </c>
      <c r="F152" s="105" t="inlineStr">
        <is>
          <t>Bamboo viscose</t>
        </is>
      </c>
      <c r="G152" s="39" t="inlineStr">
        <is>
          <t>Same product (sheet set) in the same material family: Bamboo viscose (product page material: Viscose derived from Bamboo); ours: our listing: viscose from bamboo.</t>
        </is>
      </c>
      <c r="H152" s="107" t="inlineStr">
        <is>
          <t>B0F89K7BXJ</t>
        </is>
      </c>
      <c r="I152" s="107" t="inlineStr">
        <is>
          <t>B0DJV1K332</t>
        </is>
      </c>
      <c r="J152" s="105" t="inlineStr">
        <is>
          <t>Queen</t>
        </is>
      </c>
      <c r="K152" s="105" t="inlineStr">
        <is>
          <t>Natural</t>
        </is>
      </c>
      <c r="L152" s="108" t="n">
        <v>35</v>
      </c>
      <c r="M152" s="39" t="inlineStr"/>
      <c r="N152" s="109" t="n">
        <v>107.1</v>
      </c>
      <c r="O152" s="109" t="n"/>
      <c r="P152" s="110">
        <f>IF(AND(ISNUMBER(O152),ISNUMBER(N152),N(N152)&gt;0),O152/N152-1,"")</f>
        <v/>
      </c>
      <c r="Q152" s="111">
        <f>IF(P152="","No List Price",IF(P152&lt;=0,"At/below price",IF(P152&lt;=0.12,"&lt;=12% STR zone",IF(P152&lt;=0.25,"12-25%","&gt;25% over"))))</f>
        <v/>
      </c>
      <c r="R152" s="109" t="n">
        <v>89.98999999999999</v>
      </c>
      <c r="S152" s="112">
        <f>IF(AND(ISNUMBER(N152),ISNUMBER(R152),N(R152)&gt;0),N152/R152-1,"")</f>
        <v/>
      </c>
      <c r="T152" s="39" t="inlineStr">
        <is>
          <t>Same size (Queen). Ours live: catalog price, 2026-10-13; 15 children</t>
        </is>
      </c>
      <c r="U152" s="108" t="n">
        <v>15882</v>
      </c>
      <c r="V152" s="108" t="n">
        <v>81</v>
      </c>
      <c r="W152" s="113">
        <f>IF(AND(ISNUMBER(N152),ISNUMBER(V152)),N152*V152*52/12,"")</f>
        <v/>
      </c>
      <c r="X152" s="114" t="n">
        <v>4.4</v>
      </c>
      <c r="Y152" s="108" t="n">
        <v>426</v>
      </c>
      <c r="Z152" s="115" t="n">
        <v>46307</v>
      </c>
      <c r="AA152" s="115" t="n">
        <v>45575</v>
      </c>
      <c r="AB152" s="105" t="inlineStr">
        <is>
          <t>FBA</t>
        </is>
      </c>
      <c r="AC152" s="105" t="inlineStr">
        <is>
          <t>US</t>
        </is>
      </c>
      <c r="AD152" s="108" t="n"/>
      <c r="AE152" s="108" t="n"/>
      <c r="AF152" s="116" t="n"/>
      <c r="AG152" s="116" t="n"/>
      <c r="AH152" s="39" t="n"/>
      <c r="AI152" s="116" t="n"/>
      <c r="AJ152" s="116" t="n"/>
      <c r="AK152" s="116" t="n"/>
      <c r="AL152" s="116" t="n"/>
      <c r="AM152" s="108" t="n"/>
      <c r="AN152" s="108" t="n"/>
      <c r="AO152" s="108" t="n"/>
      <c r="AP152" s="108" t="n"/>
      <c r="AQ152" s="108" t="n"/>
      <c r="AR152" s="108" t="n"/>
      <c r="AS152" s="117" t="n"/>
      <c r="AT152" s="112" t="n"/>
      <c r="AU152" s="118" t="inlineStr">
        <is>
          <t>Y</t>
        </is>
      </c>
      <c r="AV152" s="118" t="inlineStr">
        <is>
          <t>List Price</t>
        </is>
      </c>
      <c r="AW152" s="119" t="n">
        <v>119</v>
      </c>
      <c r="AX152" s="119" t="n">
        <v>107.1</v>
      </c>
      <c r="AY152" s="118" t="inlineStr">
        <is>
          <t>none</t>
        </is>
      </c>
      <c r="AZ152" s="118" t="inlineStr">
        <is>
          <t>Y</t>
        </is>
      </c>
      <c r="BA152" s="118" t="inlineStr">
        <is>
          <t>2026-10-13 23:35:56</t>
        </is>
      </c>
      <c r="BB152" s="120" t="inlineStr">
        <is>
          <t>Prime Exclusive Discount</t>
        </is>
      </c>
      <c r="BC152" s="120" t="inlineStr">
        <is>
          <t>11-23 to 11-30</t>
        </is>
      </c>
      <c r="BD152" s="121" t="n">
        <v>119</v>
      </c>
      <c r="BE152" s="121" t="n">
        <v>71.40000000000001</v>
      </c>
      <c r="BF152" s="110">
        <f>IF(AND(ISNUMBER(BD152),ISNUMBER(BE152),N(BD152)&gt;0),1-BE152/BD152,"")</f>
        <v/>
      </c>
      <c r="BG152" s="122" t="n">
        <v>52063</v>
      </c>
      <c r="BH152" s="122" t="n">
        <v>37342</v>
      </c>
      <c r="BI152" s="123">
        <f>IF(AND(ISNUMBER(BG152),ISNUMBER(BH152),N(BH152)&gt;0),BG152/BH152,"")</f>
        <v/>
      </c>
      <c r="BJ152" s="120" t="inlineStr">
        <is>
          <t>N</t>
        </is>
      </c>
      <c r="BK152" s="120" t="inlineStr">
        <is>
          <t>Coupon 20%, 30% (11-01 to 12-05); List Price $119.00</t>
        </is>
      </c>
    </row>
    <row r="153" ht="62" customHeight="1">
      <c r="A153" s="12">
        <f>_xlfn.IMAGE("https://images-na.ssl-images-amazon.com/images/I/61NbNWE+BJL.jpg")</f>
        <v/>
      </c>
      <c r="B153" s="105" t="inlineStr">
        <is>
          <t>Cozy Earth</t>
        </is>
      </c>
      <c r="C153" s="39" t="inlineStr">
        <is>
          <t>Cozy Earth Luxury Bed Sheet Set, 100% Viscose from Bamboo Fabric</t>
        </is>
      </c>
      <c r="D153" s="105" t="inlineStr">
        <is>
          <t>Poor</t>
        </is>
      </c>
      <c r="E153" s="106" t="inlineStr">
        <is>
          <t>Direct</t>
        </is>
      </c>
      <c r="F153" s="105" t="inlineStr">
        <is>
          <t>Bamboo viscose</t>
        </is>
      </c>
      <c r="G153" s="39" t="inlineStr">
        <is>
          <t>Same product (sheet set) in the same material family: Bamboo viscose (product page material: Viscose from Bamboo); ours: our listing: viscose from bamboo.</t>
        </is>
      </c>
      <c r="H153" s="107" t="inlineStr">
        <is>
          <t>B0DSQ9V4ML</t>
        </is>
      </c>
      <c r="I153" s="107" t="inlineStr">
        <is>
          <t>B0F22JR4S8</t>
        </is>
      </c>
      <c r="J153" s="105" t="inlineStr">
        <is>
          <t>King</t>
        </is>
      </c>
      <c r="K153" s="105" t="inlineStr">
        <is>
          <t>White</t>
        </is>
      </c>
      <c r="L153" s="108" t="n">
        <v>54</v>
      </c>
      <c r="M153" s="39" t="inlineStr"/>
      <c r="N153" s="109" t="n">
        <v>328</v>
      </c>
      <c r="O153" s="109" t="n"/>
      <c r="P153" s="110">
        <f>IF(AND(ISNUMBER(O153),ISNUMBER(N153),N(N153)&gt;0),O153/N153-1,"")</f>
        <v/>
      </c>
      <c r="Q153" s="111">
        <f>IF(P153="","No List Price",IF(P153&lt;=0,"At/below price",IF(P153&lt;=0.12,"&lt;=12% STR zone",IF(P153&lt;=0.25,"12-25%","&gt;25% over"))))</f>
        <v/>
      </c>
      <c r="R153" s="109" t="n">
        <v>94.98999999999999</v>
      </c>
      <c r="S153" s="112">
        <f>IF(AND(ISNUMBER(N153),ISNUMBER(R153),N(R153)&gt;0),N153/R153-1,"")</f>
        <v/>
      </c>
      <c r="T153" s="39" t="inlineStr">
        <is>
          <t>Same size (King). Ours live: catalog price, 2026-10-13; 15 children</t>
        </is>
      </c>
      <c r="U153" s="108" t="n">
        <v>45709</v>
      </c>
      <c r="V153" s="108" t="n">
        <v>35</v>
      </c>
      <c r="W153" s="113">
        <f>IF(AND(ISNUMBER(N153),ISNUMBER(V153)),N153*V153*52/12,"")</f>
        <v/>
      </c>
      <c r="X153" s="114" t="n">
        <v>3.9</v>
      </c>
      <c r="Y153" s="108" t="n">
        <v>425</v>
      </c>
      <c r="Z153" s="115" t="n">
        <v>46307</v>
      </c>
      <c r="AA153" s="115" t="n">
        <v>41624</v>
      </c>
      <c r="AB153" s="105" t="inlineStr">
        <is>
          <t>FBA</t>
        </is>
      </c>
      <c r="AC153" s="105" t="inlineStr">
        <is>
          <t>US</t>
        </is>
      </c>
      <c r="AD153" s="108" t="n"/>
      <c r="AE153" s="108" t="n"/>
      <c r="AF153" s="116" t="n"/>
      <c r="AG153" s="116" t="n"/>
      <c r="AH153" s="39" t="n"/>
      <c r="AI153" s="116" t="n"/>
      <c r="AJ153" s="116" t="n"/>
      <c r="AK153" s="116" t="n"/>
      <c r="AL153" s="116" t="n"/>
      <c r="AM153" s="108" t="n"/>
      <c r="AN153" s="108" t="n"/>
      <c r="AO153" s="108" t="n"/>
      <c r="AP153" s="108" t="n"/>
      <c r="AQ153" s="108" t="n"/>
      <c r="AR153" s="108" t="n"/>
      <c r="AS153" s="117" t="n"/>
      <c r="AT153" s="112" t="n"/>
      <c r="AU153" s="118" t="inlineStr">
        <is>
          <t>N</t>
        </is>
      </c>
      <c r="AV153" s="118" t="inlineStr">
        <is>
          <t>none</t>
        </is>
      </c>
      <c r="AW153" s="124" t="n"/>
      <c r="AX153" s="119" t="n">
        <v>328</v>
      </c>
      <c r="AY153" s="118" t="inlineStr">
        <is>
          <t>none</t>
        </is>
      </c>
      <c r="AZ153" s="118" t="inlineStr">
        <is>
          <t>Y</t>
        </is>
      </c>
      <c r="BA153" s="118" t="inlineStr">
        <is>
          <t>2026-10-13 23:36:06</t>
        </is>
      </c>
      <c r="BB153" s="120" t="inlineStr">
        <is>
          <t>Prime Exclusive Discount</t>
        </is>
      </c>
      <c r="BC153" s="120" t="inlineStr">
        <is>
          <t>11-27 to 12-01</t>
        </is>
      </c>
      <c r="BD153" s="121" t="n">
        <v>262.4</v>
      </c>
      <c r="BE153" s="121" t="n">
        <v>229.6</v>
      </c>
      <c r="BF153" s="110">
        <f>IF(AND(ISNUMBER(BD153),ISNUMBER(BE153),N(BD153)&gt;0),1-BE153/BD153,"")</f>
        <v/>
      </c>
      <c r="BG153" s="122" t="n">
        <v>51830</v>
      </c>
      <c r="BH153" s="122" t="n">
        <v>28404</v>
      </c>
      <c r="BI153" s="123">
        <f>IF(AND(ISNUMBER(BG153),ISNUMBER(BH153),N(BH153)&gt;0),BG153/BH153,"")</f>
        <v/>
      </c>
      <c r="BJ153" s="120" t="inlineStr">
        <is>
          <t>N</t>
        </is>
      </c>
      <c r="BK153" s="120" t="inlineStr">
        <is>
          <t>List Price $328.00</t>
        </is>
      </c>
    </row>
    <row r="154" ht="62" customHeight="1">
      <c r="A154" s="12">
        <f>_xlfn.IMAGE("https://images-na.ssl-images-amazon.com/images/I/61iqSV9TaLL.jpg")</f>
        <v/>
      </c>
      <c r="B154" s="105" t="inlineStr">
        <is>
          <t>DREAMCARE</t>
        </is>
      </c>
      <c r="C154" s="39" t="inlineStr">
        <is>
          <t>DREAMCARE 100% Rayon Bamboo Sheets King Size - 4pc Cooling Sheets King Size</t>
        </is>
      </c>
      <c r="D154" s="105" t="inlineStr">
        <is>
          <t>Poor</t>
        </is>
      </c>
      <c r="E154" s="106" t="inlineStr">
        <is>
          <t>Direct</t>
        </is>
      </c>
      <c r="F154" s="105" t="inlineStr">
        <is>
          <t>Bamboo viscose</t>
        </is>
      </c>
      <c r="G154" s="39" t="inlineStr">
        <is>
          <t>Same product (sheet set) in the same material family: Bamboo viscose (product page material: Viscose derived from Bamboo); ours: our listing: viscose from bamboo.</t>
        </is>
      </c>
      <c r="H154" s="107" t="inlineStr">
        <is>
          <t>B0DVZFLVMG</t>
        </is>
      </c>
      <c r="I154" s="107" t="inlineStr">
        <is>
          <t>B0CF2MND41</t>
        </is>
      </c>
      <c r="J154" s="105" t="inlineStr">
        <is>
          <t>King</t>
        </is>
      </c>
      <c r="K154" s="105" t="inlineStr">
        <is>
          <t>5 - Gray</t>
        </is>
      </c>
      <c r="L154" s="108" t="n">
        <v>30</v>
      </c>
      <c r="M154" s="39" t="inlineStr"/>
      <c r="N154" s="109" t="n">
        <v>46.74</v>
      </c>
      <c r="O154" s="109" t="n">
        <v>59.99</v>
      </c>
      <c r="P154" s="110">
        <f>IF(AND(ISNUMBER(O154),ISNUMBER(N154),N(N154)&gt;0),O154/N154-1,"")</f>
        <v/>
      </c>
      <c r="Q154" s="111">
        <f>IF(P154="","No List Price",IF(P154&lt;=0,"At/below price",IF(P154&lt;=0.12,"&lt;=12% STR zone",IF(P154&lt;=0.25,"12-25%","&gt;25% over"))))</f>
        <v/>
      </c>
      <c r="R154" s="109" t="n">
        <v>94.98999999999999</v>
      </c>
      <c r="S154" s="112">
        <f>IF(AND(ISNUMBER(N154),ISNUMBER(R154),N(R154)&gt;0),N154/R154-1,"")</f>
        <v/>
      </c>
      <c r="T154" s="39" t="inlineStr">
        <is>
          <t>Same size (King). Ours live: catalog price, 2026-10-13; 15 children</t>
        </is>
      </c>
      <c r="U154" s="108" t="n">
        <v>37217</v>
      </c>
      <c r="V154" s="108" t="n">
        <v>35</v>
      </c>
      <c r="W154" s="113">
        <f>IF(AND(ISNUMBER(N154),ISNUMBER(V154)),N154*V154*52/12,"")</f>
        <v/>
      </c>
      <c r="X154" s="114" t="n">
        <v>4.5</v>
      </c>
      <c r="Y154" s="108" t="n">
        <v>2261</v>
      </c>
      <c r="Z154" s="115" t="n">
        <v>46307</v>
      </c>
      <c r="AA154" s="115" t="n">
        <v>45146</v>
      </c>
      <c r="AB154" s="105" t="inlineStr">
        <is>
          <t>FBA</t>
        </is>
      </c>
      <c r="AC154" s="105" t="inlineStr">
        <is>
          <t>US</t>
        </is>
      </c>
      <c r="AD154" s="108" t="n"/>
      <c r="AE154" s="108" t="n"/>
      <c r="AF154" s="116" t="n"/>
      <c r="AG154" s="116" t="n"/>
      <c r="AH154" s="39" t="n"/>
      <c r="AI154" s="116" t="n"/>
      <c r="AJ154" s="116" t="n"/>
      <c r="AK154" s="116" t="n"/>
      <c r="AL154" s="116" t="n"/>
      <c r="AM154" s="108" t="n"/>
      <c r="AN154" s="108" t="n"/>
      <c r="AO154" s="108" t="n"/>
      <c r="AP154" s="108" t="n"/>
      <c r="AQ154" s="108" t="n"/>
      <c r="AR154" s="108" t="n"/>
      <c r="AS154" s="117" t="n"/>
      <c r="AT154" s="112" t="n"/>
      <c r="AU154" s="118" t="inlineStr">
        <is>
          <t>Y</t>
        </is>
      </c>
      <c r="AV154" s="118" t="inlineStr">
        <is>
          <t>List Price</t>
        </is>
      </c>
      <c r="AW154" s="119" t="n">
        <v>59.99</v>
      </c>
      <c r="AX154" s="119" t="n">
        <v>46.74</v>
      </c>
      <c r="AY154" s="118" t="inlineStr">
        <is>
          <t>Limited time deal</t>
        </is>
      </c>
      <c r="AZ154" s="118" t="inlineStr">
        <is>
          <t>Y</t>
        </is>
      </c>
      <c r="BA154" s="118" t="inlineStr">
        <is>
          <t>2026-10-13 23:36:12</t>
        </is>
      </c>
      <c r="BB154" s="120" t="inlineStr">
        <is>
          <t>Prime Exclusive Discount</t>
        </is>
      </c>
      <c r="BC154" s="120" t="inlineStr">
        <is>
          <t>11-22 to 12-01</t>
        </is>
      </c>
      <c r="BD154" s="121" t="n">
        <v>58.99</v>
      </c>
      <c r="BE154" s="121" t="n">
        <v>49.99</v>
      </c>
      <c r="BF154" s="110">
        <f>IF(AND(ISNUMBER(BD154),ISNUMBER(BE154),N(BD154)&gt;0),1-BE154/BD154,"")</f>
        <v/>
      </c>
      <c r="BG154" s="122" t="n">
        <v>209915</v>
      </c>
      <c r="BH154" s="122" t="n">
        <v>169120</v>
      </c>
      <c r="BI154" s="123">
        <f>IF(AND(ISNUMBER(BG154),ISNUMBER(BH154),N(BH154)&gt;0),BG154/BH154,"")</f>
        <v/>
      </c>
      <c r="BJ154" s="120" t="inlineStr">
        <is>
          <t>N</t>
        </is>
      </c>
      <c r="BK154" s="120" t="inlineStr">
        <is>
          <t>Buy Box RAISED in BFCM week (median $62.88 vs $58.99 before); List Price $58.99</t>
        </is>
      </c>
    </row>
    <row r="155" ht="62" customHeight="1">
      <c r="A155" s="12">
        <f>_xlfn.IMAGE("https://images-na.ssl-images-amazon.com/images/I/81noqNc+ZjL.jpg")</f>
        <v/>
      </c>
      <c r="B155" s="105" t="inlineStr">
        <is>
          <t>HOT SLEEPER SHEETS</t>
        </is>
      </c>
      <c r="C155" s="39" t="inlineStr">
        <is>
          <t>Cooling Sheets Set Queen Size, Viscose Derived from Bamboo for Hot Sleepers | Deep Pocket Up to 16 Inch | Silky Soft &amp; Breathable Bedding - 4PC (Queen, Navy)</t>
        </is>
      </c>
      <c r="D155" s="105" t="inlineStr">
        <is>
          <t>Poor</t>
        </is>
      </c>
      <c r="E155" s="106" t="inlineStr">
        <is>
          <t>Direct</t>
        </is>
      </c>
      <c r="F155" s="105" t="inlineStr">
        <is>
          <t>Bamboo viscose</t>
        </is>
      </c>
      <c r="G155" s="39" t="inlineStr">
        <is>
          <t>Same product (sheet set) in the same material family: Bamboo viscose (title: Cooling Sheets Set Queen Size, Viscose Derived from Bamboo f); ours: our listing: viscose from bamboo.</t>
        </is>
      </c>
      <c r="H155" s="107" t="inlineStr">
        <is>
          <t>B0DM3GDCTR</t>
        </is>
      </c>
      <c r="I155" s="107" t="inlineStr">
        <is>
          <t>B0D3XQM7DL</t>
        </is>
      </c>
      <c r="J155" s="105" t="inlineStr">
        <is>
          <t>Queen</t>
        </is>
      </c>
      <c r="K155" s="105" t="inlineStr">
        <is>
          <t>Navy</t>
        </is>
      </c>
      <c r="L155" s="108" t="n">
        <v>74</v>
      </c>
      <c r="M155" s="39" t="inlineStr"/>
      <c r="N155" s="109" t="n">
        <v>51.29</v>
      </c>
      <c r="O155" s="109" t="n">
        <v>62.99</v>
      </c>
      <c r="P155" s="110">
        <f>IF(AND(ISNUMBER(O155),ISNUMBER(N155),N(N155)&gt;0),O155/N155-1,"")</f>
        <v/>
      </c>
      <c r="Q155" s="111">
        <f>IF(P155="","No List Price",IF(P155&lt;=0,"At/below price",IF(P155&lt;=0.12,"&lt;=12% STR zone",IF(P155&lt;=0.25,"12-25%","&gt;25% over"))))</f>
        <v/>
      </c>
      <c r="R155" s="109" t="n">
        <v>89.98999999999999</v>
      </c>
      <c r="S155" s="112">
        <f>IF(AND(ISNUMBER(N155),ISNUMBER(R155),N(R155)&gt;0),N155/R155-1,"")</f>
        <v/>
      </c>
      <c r="T155" s="39" t="inlineStr">
        <is>
          <t>Same size (Queen). Ours live: catalog price, 2026-10-13; 15 children</t>
        </is>
      </c>
      <c r="U155" s="108" t="n">
        <v>33959</v>
      </c>
      <c r="V155" s="108" t="n">
        <v>35</v>
      </c>
      <c r="W155" s="113">
        <f>IF(AND(ISNUMBER(N155),ISNUMBER(V155)),N155*V155*52/12,"")</f>
        <v/>
      </c>
      <c r="X155" s="114" t="n">
        <v>4.4</v>
      </c>
      <c r="Y155" s="108" t="n">
        <v>674</v>
      </c>
      <c r="Z155" s="115" t="n">
        <v>46307</v>
      </c>
      <c r="AA155" s="115" t="n">
        <v>45423</v>
      </c>
      <c r="AB155" s="105" t="inlineStr">
        <is>
          <t>FBA</t>
        </is>
      </c>
      <c r="AC155" s="105" t="inlineStr">
        <is>
          <t>CN</t>
        </is>
      </c>
      <c r="AD155" s="108" t="n"/>
      <c r="AE155" s="108" t="n"/>
      <c r="AF155" s="116" t="n"/>
      <c r="AG155" s="116" t="n"/>
      <c r="AH155" s="39" t="n"/>
      <c r="AI155" s="116" t="n"/>
      <c r="AJ155" s="116" t="n"/>
      <c r="AK155" s="116" t="n"/>
      <c r="AL155" s="116" t="n"/>
      <c r="AM155" s="108" t="n"/>
      <c r="AN155" s="108" t="n"/>
      <c r="AO155" s="108" t="n"/>
      <c r="AP155" s="108" t="n"/>
      <c r="AQ155" s="108" t="n"/>
      <c r="AR155" s="108" t="n"/>
      <c r="AS155" s="117" t="n"/>
      <c r="AT155" s="112" t="n"/>
      <c r="AU155" s="118" t="inlineStr">
        <is>
          <t>Y</t>
        </is>
      </c>
      <c r="AV155" s="118" t="inlineStr">
        <is>
          <t>Typical price</t>
        </is>
      </c>
      <c r="AW155" s="119" t="n">
        <v>62.99</v>
      </c>
      <c r="AX155" s="119" t="n">
        <v>51.29</v>
      </c>
      <c r="AY155" s="118" t="inlineStr">
        <is>
          <t>Limited time deal</t>
        </is>
      </c>
      <c r="AZ155" s="118" t="inlineStr">
        <is>
          <t>Y</t>
        </is>
      </c>
      <c r="BA155" s="118" t="inlineStr">
        <is>
          <t>2026-10-13 23:36:21</t>
        </is>
      </c>
      <c r="BB155" s="120" t="inlineStr">
        <is>
          <t>Price cut only</t>
        </is>
      </c>
      <c r="BC155" s="120" t="inlineStr">
        <is>
          <t>11-20 to 12-01</t>
        </is>
      </c>
      <c r="BD155" s="121" t="n">
        <v>62.99</v>
      </c>
      <c r="BE155" s="121" t="n">
        <v>45.89</v>
      </c>
      <c r="BF155" s="110">
        <f>IF(AND(ISNUMBER(BD155),ISNUMBER(BE155),N(BD155)&gt;0),1-BE155/BD155,"")</f>
        <v/>
      </c>
      <c r="BG155" s="122" t="n">
        <v>44317</v>
      </c>
      <c r="BH155" s="122" t="n">
        <v>18465</v>
      </c>
      <c r="BI155" s="123">
        <f>IF(AND(ISNUMBER(BG155),ISNUMBER(BH155),N(BH155)&gt;0),BG155/BH155,"")</f>
        <v/>
      </c>
      <c r="BJ155" s="120" t="inlineStr">
        <is>
          <t>N</t>
        </is>
      </c>
      <c r="BK155" s="120" t="inlineStr">
        <is>
          <t>List Price $107.98</t>
        </is>
      </c>
    </row>
    <row r="156" ht="62" customHeight="1">
      <c r="A156" s="12">
        <f>_xlfn.IMAGE("https://images-na.ssl-images-amazon.com/images/I/71+O+E9PlaL.jpg")</f>
        <v/>
      </c>
      <c r="B156" s="105" t="inlineStr">
        <is>
          <t>Shilucheng</t>
        </is>
      </c>
      <c r="C156" s="39" t="inlineStr">
        <is>
          <t>Shilucheng 100% Viscose Derived from Bamboo_ Sheets Queen Size 4pcs</t>
        </is>
      </c>
      <c r="D156" s="105" t="inlineStr">
        <is>
          <t>Poor</t>
        </is>
      </c>
      <c r="E156" s="106" t="inlineStr">
        <is>
          <t>Direct</t>
        </is>
      </c>
      <c r="F156" s="105" t="inlineStr">
        <is>
          <t>Bamboo viscose</t>
        </is>
      </c>
      <c r="G156" s="39" t="inlineStr">
        <is>
          <t>Same product (sheet set) in the same material family: Bamboo viscose (product page material: Viscose Derived from Bamboo); ours: our listing: viscose from bamboo.</t>
        </is>
      </c>
      <c r="H156" s="107" t="inlineStr">
        <is>
          <t>B0HK5V5KL1</t>
        </is>
      </c>
      <c r="I156" s="107" t="inlineStr">
        <is>
          <t>B09PYKYCCF</t>
        </is>
      </c>
      <c r="J156" s="105" t="inlineStr">
        <is>
          <t>Queen</t>
        </is>
      </c>
      <c r="K156" s="105" t="inlineStr">
        <is>
          <t>01 - Dark Grey</t>
        </is>
      </c>
      <c r="L156" s="108" t="n">
        <v>79</v>
      </c>
      <c r="M156" s="39" t="inlineStr"/>
      <c r="N156" s="109" t="n">
        <v>46.66</v>
      </c>
      <c r="O156" s="109" t="n">
        <v>54.9</v>
      </c>
      <c r="P156" s="110">
        <f>IF(AND(ISNUMBER(O156),ISNUMBER(N156),N(N156)&gt;0),O156/N156-1,"")</f>
        <v/>
      </c>
      <c r="Q156" s="111">
        <f>IF(P156="","No List Price",IF(P156&lt;=0,"At/below price",IF(P156&lt;=0.12,"&lt;=12% STR zone",IF(P156&lt;=0.25,"12-25%","&gt;25% over"))))</f>
        <v/>
      </c>
      <c r="R156" s="109" t="n">
        <v>89.98999999999999</v>
      </c>
      <c r="S156" s="112">
        <f>IF(AND(ISNUMBER(N156),ISNUMBER(R156),N(R156)&gt;0),N156/R156-1,"")</f>
        <v/>
      </c>
      <c r="T156" s="39" t="inlineStr">
        <is>
          <t>Same size (Queen). Ours live: catalog price, 2026-10-13; 15 children</t>
        </is>
      </c>
      <c r="U156" s="108" t="n">
        <v>26043</v>
      </c>
      <c r="V156" s="108" t="n">
        <v>35</v>
      </c>
      <c r="W156" s="113">
        <f>IF(AND(ISNUMBER(N156),ISNUMBER(V156)),N156*V156*52/12,"")</f>
        <v/>
      </c>
      <c r="X156" s="114" t="n">
        <v>4.4</v>
      </c>
      <c r="Y156" s="108" t="n">
        <v>6629</v>
      </c>
      <c r="Z156" s="115" t="n">
        <v>46307</v>
      </c>
      <c r="AA156" s="115" t="n">
        <v>44652</v>
      </c>
      <c r="AB156" s="105" t="inlineStr">
        <is>
          <t>FBA</t>
        </is>
      </c>
      <c r="AC156" s="105" t="inlineStr">
        <is>
          <t>CN</t>
        </is>
      </c>
      <c r="AD156" s="108" t="n"/>
      <c r="AE156" s="108" t="n"/>
      <c r="AF156" s="116" t="n"/>
      <c r="AG156" s="116" t="n"/>
      <c r="AH156" s="39" t="n"/>
      <c r="AI156" s="116" t="n"/>
      <c r="AJ156" s="116" t="n"/>
      <c r="AK156" s="116" t="n"/>
      <c r="AL156" s="116" t="n"/>
      <c r="AM156" s="108" t="n"/>
      <c r="AN156" s="108" t="n"/>
      <c r="AO156" s="108" t="n"/>
      <c r="AP156" s="108" t="n"/>
      <c r="AQ156" s="108" t="n"/>
      <c r="AR156" s="108" t="n"/>
      <c r="AS156" s="117" t="n"/>
      <c r="AT156" s="112" t="n">
        <v>-0.9774436090225564</v>
      </c>
      <c r="AU156" s="118" t="inlineStr">
        <is>
          <t>Y</t>
        </is>
      </c>
      <c r="AV156" s="118" t="inlineStr">
        <is>
          <t>List Price</t>
        </is>
      </c>
      <c r="AW156" s="119" t="n">
        <v>54.9</v>
      </c>
      <c r="AX156" s="119" t="n">
        <v>46.66</v>
      </c>
      <c r="AY156" s="118" t="inlineStr">
        <is>
          <t>Limited time deal</t>
        </is>
      </c>
      <c r="AZ156" s="118" t="inlineStr">
        <is>
          <t>Y</t>
        </is>
      </c>
      <c r="BA156" s="118" t="inlineStr">
        <is>
          <t>2026-10-13 23:36:49</t>
        </is>
      </c>
      <c r="BB156" s="120" t="inlineStr">
        <is>
          <t>Prime Exclusive Discount</t>
        </is>
      </c>
      <c r="BC156" s="120" t="inlineStr">
        <is>
          <t>11-23 to 12-01</t>
        </is>
      </c>
      <c r="BD156" s="121" t="n">
        <v>54.9</v>
      </c>
      <c r="BE156" s="121" t="n">
        <v>46.64</v>
      </c>
      <c r="BF156" s="110">
        <f>IF(AND(ISNUMBER(BD156),ISNUMBER(BE156),N(BD156)&gt;0),1-BE156/BD156,"")</f>
        <v/>
      </c>
      <c r="BG156" s="122" t="n">
        <v>15970</v>
      </c>
      <c r="BH156" s="122" t="n">
        <v>18592</v>
      </c>
      <c r="BI156" s="123">
        <f>IF(AND(ISNUMBER(BG156),ISNUMBER(BH156),N(BH156)&gt;0),BG156/BH156,"")</f>
        <v/>
      </c>
      <c r="BJ156" s="120" t="inlineStr">
        <is>
          <t>N</t>
        </is>
      </c>
      <c r="BK156" s="120" t="inlineStr">
        <is>
          <t>Buy Box RAISED in BFCM week (median $58.30 vs $54.90 before); List Price $59.90</t>
        </is>
      </c>
    </row>
    <row r="157" ht="62" customHeight="1">
      <c r="A157" s="12">
        <f>_xlfn.IMAGE("https://m.media-amazon.com/images/I/71zexS-HoPL._AC_SL1500_.jpg")</f>
        <v/>
      </c>
      <c r="B157" s="105" t="inlineStr">
        <is>
          <t>Bamtek</t>
        </is>
      </c>
      <c r="C157" s="39" t="inlineStr">
        <is>
          <t>Viscose Bamboo Sheets Queen Size 4PC Set - Cooling Bedding for Hot Sleepers with</t>
        </is>
      </c>
      <c r="D157" s="105" t="inlineStr">
        <is>
          <t>Poor</t>
        </is>
      </c>
      <c r="E157" s="106" t="inlineStr">
        <is>
          <t>Direct</t>
        </is>
      </c>
      <c r="F157" s="105" t="inlineStr">
        <is>
          <t>Bamboo viscose</t>
        </is>
      </c>
      <c r="G157" s="39" t="inlineStr">
        <is>
          <t>Same product (sheet set) in the same material family: Bamboo viscose (product page material: Bamboo, Bamboo Viscose); ours: our listing: viscose from bamboo.</t>
        </is>
      </c>
      <c r="H157" s="107" t="inlineStr">
        <is>
          <t>B0CZHCZQZ3</t>
        </is>
      </c>
      <c r="I157" s="107" t="inlineStr">
        <is>
          <t>B09TQ6ZVKZ</t>
        </is>
      </c>
      <c r="J157" s="105" t="inlineStr">
        <is>
          <t>Queen</t>
        </is>
      </c>
      <c r="K157" s="105" t="inlineStr">
        <is>
          <t>Sage</t>
        </is>
      </c>
      <c r="L157" s="108" t="n"/>
      <c r="M157" s="39" t="inlineStr"/>
      <c r="N157" s="109" t="n">
        <v>94.98999999999999</v>
      </c>
      <c r="O157" s="109" t="n"/>
      <c r="P157" s="110">
        <f>IF(AND(ISNUMBER(O157),ISNUMBER(N157),N(N157)&gt;0),O157/N157-1,"")</f>
        <v/>
      </c>
      <c r="Q157" s="111">
        <f>IF(P157="","No List Price",IF(P157&lt;=0,"At/below price",IF(P157&lt;=0.12,"&lt;=12% STR zone",IF(P157&lt;=0.25,"12-25%","&gt;25% over"))))</f>
        <v/>
      </c>
      <c r="R157" s="109" t="n">
        <v>89.98999999999999</v>
      </c>
      <c r="S157" s="112">
        <f>IF(AND(ISNUMBER(N157),ISNUMBER(R157),N(R157)&gt;0),N157/R157-1,"")</f>
        <v/>
      </c>
      <c r="T157" s="39" t="inlineStr">
        <is>
          <t>Same size (Queen). Ours live: catalog price, 2026-10-13; 15 children</t>
        </is>
      </c>
      <c r="U157" s="108" t="n">
        <v>79376</v>
      </c>
      <c r="V157" s="108" t="n">
        <v>18</v>
      </c>
      <c r="W157" s="113">
        <f>IF(AND(ISNUMBER(N157),ISNUMBER(V157)),N157*V157*52/12,"")</f>
        <v/>
      </c>
      <c r="X157" s="114" t="n">
        <v>4.4</v>
      </c>
      <c r="Y157" s="108" t="n">
        <v>641</v>
      </c>
      <c r="Z157" s="115" t="n">
        <v>46307</v>
      </c>
      <c r="AA157" s="115" t="n"/>
      <c r="AB157" s="105" t="n"/>
      <c r="AC157" s="105" t="n"/>
      <c r="AD157" s="108" t="n"/>
      <c r="AE157" s="108" t="n"/>
      <c r="AF157" s="116" t="n"/>
      <c r="AG157" s="116" t="n"/>
      <c r="AH157" s="39" t="n"/>
      <c r="AI157" s="116" t="n"/>
      <c r="AJ157" s="116" t="n"/>
      <c r="AK157" s="116" t="n"/>
      <c r="AL157" s="116" t="n"/>
      <c r="AM157" s="108" t="n"/>
      <c r="AN157" s="108" t="n"/>
      <c r="AO157" s="108" t="n"/>
      <c r="AP157" s="108" t="n"/>
      <c r="AQ157" s="108" t="n"/>
      <c r="AR157" s="108" t="n"/>
      <c r="AS157" s="117" t="n"/>
      <c r="AT157" s="112" t="n"/>
      <c r="AU157" s="118" t="inlineStr">
        <is>
          <t>N</t>
        </is>
      </c>
      <c r="AV157" s="118" t="inlineStr">
        <is>
          <t>none</t>
        </is>
      </c>
      <c r="AW157" s="124" t="n"/>
      <c r="AX157" s="119" t="n">
        <v>94.98999999999999</v>
      </c>
      <c r="AY157" s="118" t="inlineStr">
        <is>
          <t>none</t>
        </is>
      </c>
      <c r="AZ157" s="118" t="inlineStr">
        <is>
          <t>Y</t>
        </is>
      </c>
      <c r="BA157" s="118" t="inlineStr">
        <is>
          <t>2026-10-13 23:35:47</t>
        </is>
      </c>
      <c r="BB157" s="120" t="inlineStr">
        <is>
          <t>Prime Exclusive Discount</t>
        </is>
      </c>
      <c r="BC157" s="120" t="inlineStr">
        <is>
          <t>11-24 to 12-01</t>
        </is>
      </c>
      <c r="BD157" s="121" t="n">
        <v>104.99</v>
      </c>
      <c r="BE157" s="121" t="n">
        <v>83.98999999999999</v>
      </c>
      <c r="BF157" s="110">
        <f>IF(AND(ISNUMBER(BD157),ISNUMBER(BE157),N(BD157)&gt;0),1-BE157/BD157,"")</f>
        <v/>
      </c>
      <c r="BG157" s="122" t="n">
        <v>99218</v>
      </c>
      <c r="BH157" s="122" t="n">
        <v>70530</v>
      </c>
      <c r="BI157" s="123">
        <f>IF(AND(ISNUMBER(BG157),ISNUMBER(BH157),N(BH157)&gt;0),BG157/BH157,"")</f>
        <v/>
      </c>
      <c r="BJ157" s="120" t="inlineStr">
        <is>
          <t>N</t>
        </is>
      </c>
      <c r="BK157" s="120" t="inlineStr">
        <is>
          <t>Coupon 40.00 USD (11-01 to 11-10); List Price $129.99</t>
        </is>
      </c>
    </row>
    <row r="158" ht="62" customHeight="1">
      <c r="A158" s="12">
        <f>_xlfn.IMAGE("https://images-na.ssl-images-amazon.com/images/I/61imzycbiwL.jpg")</f>
        <v/>
      </c>
      <c r="B158" s="105" t="inlineStr">
        <is>
          <t>JSD</t>
        </is>
      </c>
      <c r="C158" s="39" t="inlineStr">
        <is>
          <t>JSD Sage Green 100% Viscose Derived from Bamboo Cooling Sheet Set Queen</t>
        </is>
      </c>
      <c r="D158" s="105" t="inlineStr">
        <is>
          <t>Poor</t>
        </is>
      </c>
      <c r="E158" s="106" t="inlineStr">
        <is>
          <t>Direct</t>
        </is>
      </c>
      <c r="F158" s="105" t="inlineStr">
        <is>
          <t>Bamboo viscose</t>
        </is>
      </c>
      <c r="G158" s="39" t="inlineStr">
        <is>
          <t>Same product (sheet set) in the same material family: Bamboo viscose (title: JSD Sage Green 100% Viscose Derived from Bamboo Cooling Shee); ours: our listing: viscose from bamboo.</t>
        </is>
      </c>
      <c r="H158" s="107" t="inlineStr">
        <is>
          <t>B0DTY15N29</t>
        </is>
      </c>
      <c r="I158" s="107" t="inlineStr">
        <is>
          <t>B0DSZTLBV1</t>
        </is>
      </c>
      <c r="J158" s="105" t="inlineStr">
        <is>
          <t>Queen</t>
        </is>
      </c>
      <c r="K158" s="105" t="inlineStr">
        <is>
          <t>Green</t>
        </is>
      </c>
      <c r="L158" s="108" t="n">
        <v>32</v>
      </c>
      <c r="M158" s="39" t="inlineStr"/>
      <c r="N158" s="109" t="n">
        <v>56.99</v>
      </c>
      <c r="O158" s="109" t="n"/>
      <c r="P158" s="110">
        <f>IF(AND(ISNUMBER(O158),ISNUMBER(N158),N(N158)&gt;0),O158/N158-1,"")</f>
        <v/>
      </c>
      <c r="Q158" s="111">
        <f>IF(P158="","No List Price",IF(P158&lt;=0,"At/below price",IF(P158&lt;=0.12,"&lt;=12% STR zone",IF(P158&lt;=0.25,"12-25%","&gt;25% over"))))</f>
        <v/>
      </c>
      <c r="R158" s="109" t="n">
        <v>89.98999999999999</v>
      </c>
      <c r="S158" s="112">
        <f>IF(AND(ISNUMBER(N158),ISNUMBER(R158),N(R158)&gt;0),N158/R158-1,"")</f>
        <v/>
      </c>
      <c r="T158" s="39" t="inlineStr">
        <is>
          <t>Same size (Queen). Ours live: catalog price, 2026-10-13; 15 children</t>
        </is>
      </c>
      <c r="U158" s="108" t="n">
        <v>76312</v>
      </c>
      <c r="V158" s="108" t="n">
        <v>18</v>
      </c>
      <c r="W158" s="113">
        <f>IF(AND(ISNUMBER(N158),ISNUMBER(V158)),N158*V158*52/12,"")</f>
        <v/>
      </c>
      <c r="X158" s="114" t="n">
        <v>4.3</v>
      </c>
      <c r="Y158" s="108" t="n">
        <v>281</v>
      </c>
      <c r="Z158" s="115" t="n">
        <v>46307</v>
      </c>
      <c r="AA158" s="115" t="n">
        <v>45671</v>
      </c>
      <c r="AB158" s="105" t="inlineStr">
        <is>
          <t>FBA</t>
        </is>
      </c>
      <c r="AC158" s="105" t="inlineStr">
        <is>
          <t>CN</t>
        </is>
      </c>
      <c r="AD158" s="108" t="n"/>
      <c r="AE158" s="108" t="n"/>
      <c r="AF158" s="116" t="n"/>
      <c r="AG158" s="116" t="n"/>
      <c r="AH158" s="39" t="n"/>
      <c r="AI158" s="116" t="n"/>
      <c r="AJ158" s="116" t="n"/>
      <c r="AK158" s="116" t="n"/>
      <c r="AL158" s="116" t="n"/>
      <c r="AM158" s="108" t="n"/>
      <c r="AN158" s="108" t="n"/>
      <c r="AO158" s="108" t="n"/>
      <c r="AP158" s="108" t="n"/>
      <c r="AQ158" s="108" t="n"/>
      <c r="AR158" s="108" t="n"/>
      <c r="AS158" s="117" t="n"/>
      <c r="AT158" s="112" t="n"/>
      <c r="AU158" s="118" t="inlineStr">
        <is>
          <t>N</t>
        </is>
      </c>
      <c r="AV158" s="118" t="inlineStr">
        <is>
          <t>none</t>
        </is>
      </c>
      <c r="AW158" s="124" t="n"/>
      <c r="AX158" s="119" t="n">
        <v>56.99</v>
      </c>
      <c r="AY158" s="118" t="inlineStr">
        <is>
          <t>none</t>
        </is>
      </c>
      <c r="AZ158" s="118" t="inlineStr">
        <is>
          <t>Y</t>
        </is>
      </c>
      <c r="BA158" s="118" t="inlineStr">
        <is>
          <t>2026-10-13 23:36:24</t>
        </is>
      </c>
      <c r="BB158" s="120" t="inlineStr">
        <is>
          <t>None</t>
        </is>
      </c>
      <c r="BC158" s="125" t="n"/>
      <c r="BD158" s="121" t="n">
        <v>56.99</v>
      </c>
      <c r="BE158" s="121" t="n">
        <v>56.99</v>
      </c>
      <c r="BF158" s="110">
        <f>IF(AND(ISNUMBER(BD158),ISNUMBER(BE158),N(BD158)&gt;0),1-BE158/BD158,"")</f>
        <v/>
      </c>
      <c r="BG158" s="122" t="n">
        <v>97969</v>
      </c>
      <c r="BH158" s="122" t="n">
        <v>108941</v>
      </c>
      <c r="BI158" s="123">
        <f>IF(AND(ISNUMBER(BG158),ISNUMBER(BH158),N(BH158)&gt;0),BG158/BH158,"")</f>
        <v/>
      </c>
      <c r="BJ158" s="120" t="inlineStr">
        <is>
          <t>N</t>
        </is>
      </c>
      <c r="BK158" s="120" t="inlineStr">
        <is>
          <t>Coupon 5% (11-01 to 11-17); List Price $74.99</t>
        </is>
      </c>
    </row>
    <row r="159" ht="62" customHeight="1">
      <c r="A159" s="12">
        <f>_xlfn.IMAGE("https://images-na.ssl-images-amazon.com/images/I/71zrq2AtnUL.jpg")</f>
        <v/>
      </c>
      <c r="B159" s="105" t="inlineStr">
        <is>
          <t>Kickoff Home</t>
        </is>
      </c>
      <c r="C159" s="39" t="inlineStr">
        <is>
          <t>Bamboo Sheets</t>
        </is>
      </c>
      <c r="D159" s="105" t="inlineStr">
        <is>
          <t>Poor</t>
        </is>
      </c>
      <c r="E159" s="106" t="inlineStr">
        <is>
          <t>Direct</t>
        </is>
      </c>
      <c r="F159" s="105" t="inlineStr">
        <is>
          <t>Bamboo viscose</t>
        </is>
      </c>
      <c r="G159" s="39" t="inlineStr">
        <is>
          <t>Same product (sheet set) in the same material family: Bamboo viscose (product page material: Viscose from Bamboo); ours: our listing: viscose from bamboo.</t>
        </is>
      </c>
      <c r="H159" s="107" t="inlineStr">
        <is>
          <t>B0D4KS4MVX</t>
        </is>
      </c>
      <c r="I159" s="107" t="inlineStr">
        <is>
          <t>B0CHN5ZPFH</t>
        </is>
      </c>
      <c r="J159" s="105" t="inlineStr">
        <is>
          <t>King</t>
        </is>
      </c>
      <c r="K159" s="105" t="inlineStr">
        <is>
          <t>Sage Green</t>
        </is>
      </c>
      <c r="L159" s="108" t="n">
        <v>106</v>
      </c>
      <c r="M159" s="39" t="inlineStr">
        <is>
          <t>B0CHN5ZPFH (27%), B0CHN6N986 (11%), B0G84K7MZQ (9%), B0G84MQQX4 (8%), B0CHN4BSZP (5%)</t>
        </is>
      </c>
      <c r="N159" s="109" t="n">
        <v>86.98999999999999</v>
      </c>
      <c r="O159" s="109" t="n">
        <v>84.98999999999999</v>
      </c>
      <c r="P159" s="110">
        <f>IF(AND(ISNUMBER(O159),ISNUMBER(N159),N(N159)&gt;0),O159/N159-1,"")</f>
        <v/>
      </c>
      <c r="Q159" s="111">
        <f>IF(P159="","No List Price",IF(P159&lt;=0,"At/below price",IF(P159&lt;=0.12,"&lt;=12% STR zone",IF(P159&lt;=0.25,"12-25%","&gt;25% over"))))</f>
        <v/>
      </c>
      <c r="R159" s="109" t="n">
        <v>94.98999999999999</v>
      </c>
      <c r="S159" s="112">
        <f>IF(AND(ISNUMBER(N159),ISNUMBER(R159),N(R159)&gt;0),N159/R159-1,"")</f>
        <v/>
      </c>
      <c r="T159" s="39" t="inlineStr">
        <is>
          <t>Same size (King). Ours live: catalog price, 2026-10-13; 15 children</t>
        </is>
      </c>
      <c r="U159" s="108" t="n">
        <v>23579</v>
      </c>
      <c r="V159" s="108" t="n">
        <v>18</v>
      </c>
      <c r="W159" s="113">
        <f>IF(AND(ISNUMBER(N159),ISNUMBER(V159)),N159*V159*52/12,"")</f>
        <v/>
      </c>
      <c r="X159" s="114" t="n">
        <v>4.6</v>
      </c>
      <c r="Y159" s="108" t="n">
        <v>688</v>
      </c>
      <c r="Z159" s="115" t="n">
        <v>46307</v>
      </c>
      <c r="AA159" s="115" t="n"/>
      <c r="AB159" s="105" t="n"/>
      <c r="AC159" s="105" t="n"/>
      <c r="AD159" s="108" t="n">
        <v>58169</v>
      </c>
      <c r="AE159" s="108" t="n">
        <v>1164</v>
      </c>
      <c r="AF159" s="116" t="n">
        <v>0.8765498702057799</v>
      </c>
      <c r="AG159" s="116" t="n">
        <v>0.12345023981846</v>
      </c>
      <c r="AH159" s="39" t="inlineStr">
        <is>
          <t>bamboo sheets</t>
        </is>
      </c>
      <c r="AI159" s="116" t="n">
        <v>0.6749987106534409</v>
      </c>
      <c r="AJ159" s="116" t="n"/>
      <c r="AK159" s="116" t="n">
        <v>0.08715982739947395</v>
      </c>
      <c r="AL159" s="116" t="n">
        <v>0.0003782083240213859</v>
      </c>
      <c r="AM159" s="108" t="n">
        <v>644</v>
      </c>
      <c r="AN159" s="108" t="n">
        <v>330</v>
      </c>
      <c r="AO159" s="108" t="n">
        <v>218</v>
      </c>
      <c r="AP159" s="108" t="n">
        <v>520</v>
      </c>
      <c r="AQ159" s="108" t="n">
        <v>54</v>
      </c>
      <c r="AR159" s="108" t="n">
        <v>35</v>
      </c>
      <c r="AS159" s="117" t="n"/>
      <c r="AT159" s="112" t="n"/>
      <c r="AU159" s="118" t="inlineStr">
        <is>
          <t>N</t>
        </is>
      </c>
      <c r="AV159" s="118" t="inlineStr">
        <is>
          <t>none</t>
        </is>
      </c>
      <c r="AW159" s="124" t="n"/>
      <c r="AX159" s="119" t="n">
        <v>86.98999999999999</v>
      </c>
      <c r="AY159" s="118" t="inlineStr">
        <is>
          <t>none</t>
        </is>
      </c>
      <c r="AZ159" s="118" t="inlineStr">
        <is>
          <t>Y</t>
        </is>
      </c>
      <c r="BA159" s="118" t="inlineStr">
        <is>
          <t>2026-10-13 23:36:30</t>
        </is>
      </c>
      <c r="BB159" s="120" t="inlineStr">
        <is>
          <t>Price cut only</t>
        </is>
      </c>
      <c r="BC159" s="120" t="inlineStr">
        <is>
          <t>11-21 to 12-01</t>
        </is>
      </c>
      <c r="BD159" s="121" t="n">
        <v>118.99</v>
      </c>
      <c r="BE159" s="121" t="n">
        <v>79.13</v>
      </c>
      <c r="BF159" s="110">
        <f>IF(AND(ISNUMBER(BD159),ISNUMBER(BE159),N(BD159)&gt;0),1-BE159/BD159,"")</f>
        <v/>
      </c>
      <c r="BG159" s="122" t="n">
        <v>70541</v>
      </c>
      <c r="BH159" s="122" t="n">
        <v>28546</v>
      </c>
      <c r="BI159" s="123">
        <f>IF(AND(ISNUMBER(BG159),ISNUMBER(BH159),N(BH159)&gt;0),BG159/BH159,"")</f>
        <v/>
      </c>
      <c r="BJ159" s="120" t="inlineStr">
        <is>
          <t>N</t>
        </is>
      </c>
      <c r="BK159" s="120" t="inlineStr">
        <is>
          <t>Coupon 25% (11-01 to 11-05); List Price $124.99</t>
        </is>
      </c>
    </row>
    <row r="160" ht="62" customHeight="1">
      <c r="A160" s="12">
        <f>_xlfn.IMAGE("https://m.media-amazon.com/images/I/81xjJeiirqL._AC_SL1500_.jpg")</f>
        <v/>
      </c>
      <c r="B160" s="105" t="inlineStr">
        <is>
          <t>LB Luxury Bamboo Market</t>
        </is>
      </c>
      <c r="C160" s="39" t="inlineStr">
        <is>
          <t>Bamboo Sheets</t>
        </is>
      </c>
      <c r="D160" s="105" t="inlineStr">
        <is>
          <t>Poor</t>
        </is>
      </c>
      <c r="E160" s="106" t="inlineStr">
        <is>
          <t>Direct</t>
        </is>
      </c>
      <c r="F160" s="105" t="inlineStr">
        <is>
          <t>Bamboo viscose</t>
        </is>
      </c>
      <c r="G160" s="39" t="inlineStr">
        <is>
          <t>Same product (sheet set) in the same material family: Bamboo viscose (product page material: Organically Grown Bamboo Viscose); ours: our listing: viscose from bamboo.</t>
        </is>
      </c>
      <c r="H160" s="107" t="inlineStr">
        <is>
          <t>B0D1HWHDL2</t>
        </is>
      </c>
      <c r="I160" s="107" t="inlineStr">
        <is>
          <t>B0CH7N9WVC</t>
        </is>
      </c>
      <c r="J160" s="105" t="inlineStr">
        <is>
          <t>Queen</t>
        </is>
      </c>
      <c r="K160" s="105" t="inlineStr">
        <is>
          <t>Dune</t>
        </is>
      </c>
      <c r="L160" s="108" t="n"/>
      <c r="M160" s="39" t="inlineStr"/>
      <c r="N160" s="109" t="n">
        <v>129.94</v>
      </c>
      <c r="O160" s="109" t="n"/>
      <c r="P160" s="110">
        <f>IF(AND(ISNUMBER(O160),ISNUMBER(N160),N(N160)&gt;0),O160/N160-1,"")</f>
        <v/>
      </c>
      <c r="Q160" s="111">
        <f>IF(P160="","No List Price",IF(P160&lt;=0,"At/below price",IF(P160&lt;=0.12,"&lt;=12% STR zone",IF(P160&lt;=0.25,"12-25%","&gt;25% over"))))</f>
        <v/>
      </c>
      <c r="R160" s="109" t="n">
        <v>89.98999999999999</v>
      </c>
      <c r="S160" s="112">
        <f>IF(AND(ISNUMBER(N160),ISNUMBER(R160),N(R160)&gt;0),N160/R160-1,"")</f>
        <v/>
      </c>
      <c r="T160" s="39" t="inlineStr">
        <is>
          <t>Same size (Queen). Ours live: catalog price, 2026-10-13; 15 children</t>
        </is>
      </c>
      <c r="U160" s="108" t="n">
        <v>47800</v>
      </c>
      <c r="V160" s="108" t="n">
        <v>18</v>
      </c>
      <c r="W160" s="113">
        <f>IF(AND(ISNUMBER(N160),ISNUMBER(V160)),N160*V160*52/12,"")</f>
        <v/>
      </c>
      <c r="X160" s="114" t="n">
        <v>4.5</v>
      </c>
      <c r="Y160" s="108" t="n">
        <v>517</v>
      </c>
      <c r="Z160" s="115" t="n">
        <v>46307</v>
      </c>
      <c r="AA160" s="115" t="n"/>
      <c r="AB160" s="105" t="n"/>
      <c r="AC160" s="105" t="n"/>
      <c r="AD160" s="108" t="n"/>
      <c r="AE160" s="108" t="n"/>
      <c r="AF160" s="116" t="n"/>
      <c r="AG160" s="116" t="n"/>
      <c r="AH160" s="39" t="n"/>
      <c r="AI160" s="116" t="n"/>
      <c r="AJ160" s="116" t="n"/>
      <c r="AK160" s="116" t="n"/>
      <c r="AL160" s="116" t="n"/>
      <c r="AM160" s="108" t="n"/>
      <c r="AN160" s="108" t="n"/>
      <c r="AO160" s="108" t="n"/>
      <c r="AP160" s="108" t="n"/>
      <c r="AQ160" s="108" t="n"/>
      <c r="AR160" s="108" t="n"/>
      <c r="AS160" s="117" t="n"/>
      <c r="AT160" s="112" t="n"/>
      <c r="AU160" s="118" t="inlineStr">
        <is>
          <t>N</t>
        </is>
      </c>
      <c r="AV160" s="118" t="inlineStr">
        <is>
          <t>none</t>
        </is>
      </c>
      <c r="AW160" s="124" t="n"/>
      <c r="AX160" s="119" t="n">
        <v>129.94</v>
      </c>
      <c r="AY160" s="118" t="inlineStr">
        <is>
          <t>none</t>
        </is>
      </c>
      <c r="AZ160" s="118" t="inlineStr">
        <is>
          <t>Y</t>
        </is>
      </c>
      <c r="BA160" s="118" t="inlineStr">
        <is>
          <t>2026-10-13 23:36:34</t>
        </is>
      </c>
      <c r="BB160" s="120" t="inlineStr">
        <is>
          <t>Prime Exclusive Discount</t>
        </is>
      </c>
      <c r="BC160" s="120" t="inlineStr">
        <is>
          <t>11-26 to 12-01</t>
        </is>
      </c>
      <c r="BD160" s="121" t="n">
        <v>119.94</v>
      </c>
      <c r="BE160" s="121" t="n">
        <v>103.95</v>
      </c>
      <c r="BF160" s="110">
        <f>IF(AND(ISNUMBER(BD160),ISNUMBER(BE160),N(BD160)&gt;0),1-BE160/BD160,"")</f>
        <v/>
      </c>
      <c r="BG160" s="122" t="n">
        <v>73868</v>
      </c>
      <c r="BH160" s="122" t="n">
        <v>96746</v>
      </c>
      <c r="BI160" s="123">
        <f>IF(AND(ISNUMBER(BG160),ISNUMBER(BH160),N(BH160)&gt;0),BG160/BH160,"")</f>
        <v/>
      </c>
      <c r="BJ160" s="120" t="inlineStr">
        <is>
          <t>N</t>
        </is>
      </c>
      <c r="BK160" s="120" t="inlineStr">
        <is>
          <t>List Price $159.94</t>
        </is>
      </c>
    </row>
    <row r="161" ht="62" customHeight="1">
      <c r="A161" s="12">
        <f>_xlfn.IMAGE("https://images-na.ssl-images-amazon.com/images/I/71NxE1i+4jL.jpg")</f>
        <v/>
      </c>
      <c r="B161" s="105" t="inlineStr">
        <is>
          <t>Shilucheng</t>
        </is>
      </c>
      <c r="C161" s="39" t="inlineStr">
        <is>
          <t>Shilucheng 100% Viscose Derived from Bamboo_Sheets, Extra Deep Pocket</t>
        </is>
      </c>
      <c r="D161" s="105" t="inlineStr">
        <is>
          <t>Poor</t>
        </is>
      </c>
      <c r="E161" s="106" t="inlineStr">
        <is>
          <t>Direct</t>
        </is>
      </c>
      <c r="F161" s="105" t="inlineStr">
        <is>
          <t>Bamboo viscose</t>
        </is>
      </c>
      <c r="G161" s="39" t="inlineStr">
        <is>
          <t>Same product (sheet set) in the same material family: Bamboo viscose (product page material: Rayon Derived from Bamboo); ours: our listing: viscose from bamboo.</t>
        </is>
      </c>
      <c r="H161" s="107" t="inlineStr">
        <is>
          <t>B0HJVD7X1R</t>
        </is>
      </c>
      <c r="I161" s="107" t="inlineStr">
        <is>
          <t>B0F2TBWTZR</t>
        </is>
      </c>
      <c r="J161" s="105" t="inlineStr">
        <is>
          <t>King</t>
        </is>
      </c>
      <c r="K161" s="105" t="inlineStr">
        <is>
          <t>Dark Grey</t>
        </is>
      </c>
      <c r="L161" s="108" t="n">
        <v>32</v>
      </c>
      <c r="M161" s="39" t="inlineStr"/>
      <c r="N161" s="109" t="n">
        <v>69.98999999999999</v>
      </c>
      <c r="O161" s="109" t="n">
        <v>84.98999999999999</v>
      </c>
      <c r="P161" s="110">
        <f>IF(AND(ISNUMBER(O161),ISNUMBER(N161),N(N161)&gt;0),O161/N161-1,"")</f>
        <v/>
      </c>
      <c r="Q161" s="111">
        <f>IF(P161="","No List Price",IF(P161&lt;=0,"At/below price",IF(P161&lt;=0.12,"&lt;=12% STR zone",IF(P161&lt;=0.25,"12-25%","&gt;25% over"))))</f>
        <v/>
      </c>
      <c r="R161" s="109" t="n">
        <v>94.98999999999999</v>
      </c>
      <c r="S161" s="112">
        <f>IF(AND(ISNUMBER(N161),ISNUMBER(R161),N(R161)&gt;0),N161/R161-1,"")</f>
        <v/>
      </c>
      <c r="T161" s="39" t="inlineStr">
        <is>
          <t>Same size (King). Ours live: catalog price, 2026-10-13; 15 children</t>
        </is>
      </c>
      <c r="U161" s="108" t="n">
        <v>39194</v>
      </c>
      <c r="V161" s="108" t="n">
        <v>18</v>
      </c>
      <c r="W161" s="113">
        <f>IF(AND(ISNUMBER(N161),ISNUMBER(V161)),N161*V161*52/12,"")</f>
        <v/>
      </c>
      <c r="X161" s="114" t="n">
        <v>4.5</v>
      </c>
      <c r="Y161" s="108" t="n">
        <v>1639</v>
      </c>
      <c r="Z161" s="115" t="n">
        <v>46307</v>
      </c>
      <c r="AA161" s="115" t="n">
        <v>45744</v>
      </c>
      <c r="AB161" s="105" t="inlineStr">
        <is>
          <t>FBA</t>
        </is>
      </c>
      <c r="AC161" s="105" t="inlineStr">
        <is>
          <t>CN</t>
        </is>
      </c>
      <c r="AD161" s="108" t="n"/>
      <c r="AE161" s="108" t="n"/>
      <c r="AF161" s="116" t="n"/>
      <c r="AG161" s="116" t="n"/>
      <c r="AH161" s="39" t="n"/>
      <c r="AI161" s="116" t="n"/>
      <c r="AJ161" s="116" t="n"/>
      <c r="AK161" s="116" t="n"/>
      <c r="AL161" s="116" t="n"/>
      <c r="AM161" s="108" t="n"/>
      <c r="AN161" s="108" t="n"/>
      <c r="AO161" s="108" t="n"/>
      <c r="AP161" s="108" t="n"/>
      <c r="AQ161" s="108" t="n"/>
      <c r="AR161" s="108" t="n"/>
      <c r="AS161" s="117" t="n"/>
      <c r="AT161" s="112" t="n">
        <v>-0.9655172413793104</v>
      </c>
      <c r="AU161" s="118" t="inlineStr">
        <is>
          <t>Y</t>
        </is>
      </c>
      <c r="AV161" s="118" t="inlineStr">
        <is>
          <t>List Price</t>
        </is>
      </c>
      <c r="AW161" s="119" t="n">
        <v>84.98999999999999</v>
      </c>
      <c r="AX161" s="119" t="n">
        <v>69.98999999999999</v>
      </c>
      <c r="AY161" s="118" t="inlineStr">
        <is>
          <t>Limited time deal</t>
        </is>
      </c>
      <c r="AZ161" s="118" t="inlineStr">
        <is>
          <t>Y</t>
        </is>
      </c>
      <c r="BA161" s="118" t="inlineStr">
        <is>
          <t>2026-10-13 23:36:52</t>
        </is>
      </c>
      <c r="BB161" s="120" t="inlineStr">
        <is>
          <t>Prime Exclusive Discount</t>
        </is>
      </c>
      <c r="BC161" s="120" t="inlineStr">
        <is>
          <t>11-21 to 12-01</t>
        </is>
      </c>
      <c r="BD161" s="121" t="n">
        <v>84.98999999999999</v>
      </c>
      <c r="BE161" s="121" t="n">
        <v>64.59</v>
      </c>
      <c r="BF161" s="110">
        <f>IF(AND(ISNUMBER(BD161),ISNUMBER(BE161),N(BD161)&gt;0),1-BE161/BD161,"")</f>
        <v/>
      </c>
      <c r="BG161" s="122" t="n">
        <v>28104</v>
      </c>
      <c r="BH161" s="122" t="n">
        <v>38474</v>
      </c>
      <c r="BI161" s="123">
        <f>IF(AND(ISNUMBER(BG161),ISNUMBER(BH161),N(BH161)&gt;0),BG161/BH161,"")</f>
        <v/>
      </c>
      <c r="BJ161" s="120" t="inlineStr">
        <is>
          <t>N</t>
        </is>
      </c>
      <c r="BK161" s="120" t="inlineStr">
        <is>
          <t>Coupon 20% (11-02 to 11-12); List Price $84.99</t>
        </is>
      </c>
    </row>
    <row r="162" ht="62" customHeight="1">
      <c r="A162" s="12">
        <f>_xlfn.IMAGE("https://m.media-amazon.com/images/I/61YnWQV27EL._AC_SL1024_.jpg")</f>
        <v/>
      </c>
      <c r="B162" s="105" t="inlineStr">
        <is>
          <t>Bamboo Bay</t>
        </is>
      </c>
      <c r="C162" s="39" t="inlineStr">
        <is>
          <t>Bamboo Sheets</t>
        </is>
      </c>
      <c r="D162" s="105" t="inlineStr">
        <is>
          <t>Poor</t>
        </is>
      </c>
      <c r="E162" s="106" t="inlineStr">
        <is>
          <t>Direct</t>
        </is>
      </c>
      <c r="F162" s="105" t="inlineStr">
        <is>
          <t>Bamboo viscose</t>
        </is>
      </c>
      <c r="G162" s="39" t="inlineStr">
        <is>
          <t>Same product (sheet set) in the same material family: Bamboo viscose (product page material: Viscose Made from Bamboo); ours: our listing: viscose from bamboo.</t>
        </is>
      </c>
      <c r="H162" s="107" t="inlineStr">
        <is>
          <t>B0DLF1SWJ5</t>
        </is>
      </c>
      <c r="I162" s="107" t="inlineStr">
        <is>
          <t>B07TBHLZJM</t>
        </is>
      </c>
      <c r="J162" s="105" t="inlineStr">
        <is>
          <t>Queen</t>
        </is>
      </c>
      <c r="K162" s="105" t="inlineStr">
        <is>
          <t>04 - Light Grey</t>
        </is>
      </c>
      <c r="L162" s="108" t="n"/>
      <c r="M162" s="39" t="inlineStr"/>
      <c r="N162" s="109" t="n">
        <v>79.98</v>
      </c>
      <c r="O162" s="109" t="n"/>
      <c r="P162" s="110">
        <f>IF(AND(ISNUMBER(O162),ISNUMBER(N162),N(N162)&gt;0),O162/N162-1,"")</f>
        <v/>
      </c>
      <c r="Q162" s="111">
        <f>IF(P162="","No List Price",IF(P162&lt;=0,"At/below price",IF(P162&lt;=0.12,"&lt;=12% STR zone",IF(P162&lt;=0.25,"12-25%","&gt;25% over"))))</f>
        <v/>
      </c>
      <c r="R162" s="109" t="n">
        <v>89.98999999999999</v>
      </c>
      <c r="S162" s="112">
        <f>IF(AND(ISNUMBER(N162),ISNUMBER(R162),N(R162)&gt;0),N162/R162-1,"")</f>
        <v/>
      </c>
      <c r="T162" s="39" t="inlineStr">
        <is>
          <t>Same size (Queen). Ours live: catalog price, 2026-10-13; 15 children</t>
        </is>
      </c>
      <c r="U162" s="108" t="n">
        <v>131083</v>
      </c>
      <c r="V162" s="108" t="n">
        <v>5</v>
      </c>
      <c r="W162" s="113">
        <f>IF(AND(ISNUMBER(N162),ISNUMBER(V162)),N162*V162*52/12,"")</f>
        <v/>
      </c>
      <c r="X162" s="114" t="n">
        <v>4.5</v>
      </c>
      <c r="Y162" s="108" t="n">
        <v>2691</v>
      </c>
      <c r="Z162" s="115" t="n">
        <v>46307</v>
      </c>
      <c r="AA162" s="115" t="n"/>
      <c r="AB162" s="105" t="n"/>
      <c r="AC162" s="105" t="n"/>
      <c r="AD162" s="108" t="n"/>
      <c r="AE162" s="108" t="n"/>
      <c r="AF162" s="116" t="n"/>
      <c r="AG162" s="116" t="n"/>
      <c r="AH162" s="39" t="n"/>
      <c r="AI162" s="116" t="n"/>
      <c r="AJ162" s="116" t="n"/>
      <c r="AK162" s="116" t="n"/>
      <c r="AL162" s="116" t="n"/>
      <c r="AM162" s="108" t="n"/>
      <c r="AN162" s="108" t="n"/>
      <c r="AO162" s="108" t="n"/>
      <c r="AP162" s="108" t="n"/>
      <c r="AQ162" s="108" t="n"/>
      <c r="AR162" s="108" t="n"/>
      <c r="AS162" s="117" t="n"/>
      <c r="AT162" s="112" t="n"/>
      <c r="AU162" s="118" t="inlineStr">
        <is>
          <t>N</t>
        </is>
      </c>
      <c r="AV162" s="118" t="inlineStr">
        <is>
          <t>none</t>
        </is>
      </c>
      <c r="AW162" s="124" t="n"/>
      <c r="AX162" s="119" t="n">
        <v>79.98</v>
      </c>
      <c r="AY162" s="118" t="inlineStr">
        <is>
          <t>none</t>
        </is>
      </c>
      <c r="AZ162" s="118" t="inlineStr">
        <is>
          <t>Y</t>
        </is>
      </c>
      <c r="BA162" s="118" t="inlineStr">
        <is>
          <t>2026-10-13 23:35:44</t>
        </is>
      </c>
      <c r="BB162" s="120" t="inlineStr">
        <is>
          <t>None</t>
        </is>
      </c>
      <c r="BC162" s="125" t="n"/>
      <c r="BD162" s="121" t="n">
        <v>86.98999999999999</v>
      </c>
      <c r="BE162" s="121" t="n">
        <v>93.48</v>
      </c>
      <c r="BF162" s="110">
        <f>IF(AND(ISNUMBER(BD162),ISNUMBER(BE162),N(BD162)&gt;0),1-BE162/BD162,"")</f>
        <v/>
      </c>
      <c r="BG162" s="122" t="n">
        <v>43439</v>
      </c>
      <c r="BH162" s="122" t="n">
        <v>53047</v>
      </c>
      <c r="BI162" s="123">
        <f>IF(AND(ISNUMBER(BG162),ISNUMBER(BH162),N(BH162)&gt;0),BG162/BH162,"")</f>
        <v/>
      </c>
      <c r="BJ162" s="120" t="inlineStr">
        <is>
          <t>N</t>
        </is>
      </c>
      <c r="BK162" s="120" t="inlineStr">
        <is>
          <t>Buy Box RAISED in BFCM week (median $109.98 vs $86.99 before); List Price $129.98</t>
        </is>
      </c>
    </row>
    <row r="163" ht="62" customHeight="1">
      <c r="A163" s="12">
        <f>_xlfn.IMAGE("https://m.media-amazon.com/images/I/61se+-YHOaL._AC_SL1500_.jpg")</f>
        <v/>
      </c>
      <c r="B163" s="105" t="inlineStr">
        <is>
          <t>LBRO2M</t>
        </is>
      </c>
      <c r="C163" s="39" t="inlineStr">
        <is>
          <t>LBRO2M Cooling Bed Sheet 100% Viscose Derived from Bamboo Sheet Set Queen Size 6</t>
        </is>
      </c>
      <c r="D163" s="105" t="inlineStr">
        <is>
          <t>Poor</t>
        </is>
      </c>
      <c r="E163" s="106" t="inlineStr">
        <is>
          <t>Direct</t>
        </is>
      </c>
      <c r="F163" s="105" t="inlineStr">
        <is>
          <t>Bamboo viscose</t>
        </is>
      </c>
      <c r="G163" s="39" t="inlineStr">
        <is>
          <t>Same product (sheet set) in the same material family: Bamboo viscose (product page material: Viscose Derived from Bamboo); ours: our listing: viscose from bamboo.</t>
        </is>
      </c>
      <c r="H163" s="107" t="inlineStr">
        <is>
          <t>B0F9FK3L6J</t>
        </is>
      </c>
      <c r="I163" s="107" t="inlineStr">
        <is>
          <t>B0F9FK7SMW</t>
        </is>
      </c>
      <c r="J163" s="105" t="inlineStr">
        <is>
          <t>King 6 Pcs</t>
        </is>
      </c>
      <c r="K163" s="105" t="inlineStr">
        <is>
          <t>White</t>
        </is>
      </c>
      <c r="L163" s="108" t="n"/>
      <c r="M163" s="39" t="inlineStr"/>
      <c r="N163" s="109" t="n">
        <v>94.98999999999999</v>
      </c>
      <c r="O163" s="109" t="n"/>
      <c r="P163" s="110">
        <f>IF(AND(ISNUMBER(O163),ISNUMBER(N163),N(N163)&gt;0),O163/N163-1,"")</f>
        <v/>
      </c>
      <c r="Q163" s="111">
        <f>IF(P163="","No List Price",IF(P163&lt;=0,"At/below price",IF(P163&lt;=0.12,"&lt;=12% STR zone",IF(P163&lt;=0.25,"12-25%","&gt;25% over"))))</f>
        <v/>
      </c>
      <c r="R163" s="109" t="n">
        <v>94.98999999999999</v>
      </c>
      <c r="S163" s="112">
        <f>IF(AND(ISNUMBER(N163),ISNUMBER(R163),N(R163)&gt;0),N163/R163-1,"")</f>
        <v/>
      </c>
      <c r="T163" s="39" t="inlineStr">
        <is>
          <t>Same size (King). Ours live: catalog price, 2026-10-13; 15 children</t>
        </is>
      </c>
      <c r="U163" s="108" t="n">
        <v>1003118</v>
      </c>
      <c r="V163" s="108" t="n">
        <v>5</v>
      </c>
      <c r="W163" s="113">
        <f>IF(AND(ISNUMBER(N163),ISNUMBER(V163)),N163*V163*52/12,"")</f>
        <v/>
      </c>
      <c r="X163" s="114" t="n">
        <v>4.4</v>
      </c>
      <c r="Y163" s="108" t="n">
        <v>18</v>
      </c>
      <c r="Z163" s="115" t="n">
        <v>46307</v>
      </c>
      <c r="AA163" s="115" t="n"/>
      <c r="AB163" s="105" t="n"/>
      <c r="AC163" s="105" t="n"/>
      <c r="AD163" s="108" t="n"/>
      <c r="AE163" s="108" t="n"/>
      <c r="AF163" s="116" t="n"/>
      <c r="AG163" s="116" t="n"/>
      <c r="AH163" s="39" t="n"/>
      <c r="AI163" s="116" t="n"/>
      <c r="AJ163" s="116" t="n"/>
      <c r="AK163" s="116" t="n"/>
      <c r="AL163" s="116" t="n"/>
      <c r="AM163" s="108" t="n"/>
      <c r="AN163" s="108" t="n"/>
      <c r="AO163" s="108" t="n"/>
      <c r="AP163" s="108" t="n"/>
      <c r="AQ163" s="108" t="n"/>
      <c r="AR163" s="108" t="n"/>
      <c r="AS163" s="117" t="n"/>
      <c r="AT163" s="112" t="n"/>
      <c r="AU163" s="118" t="inlineStr">
        <is>
          <t>N</t>
        </is>
      </c>
      <c r="AV163" s="118" t="inlineStr">
        <is>
          <t>none</t>
        </is>
      </c>
      <c r="AW163" s="124" t="n"/>
      <c r="AX163" s="124" t="n"/>
      <c r="AY163" s="118" t="inlineStr">
        <is>
          <t>none</t>
        </is>
      </c>
      <c r="AZ163" s="118" t="inlineStr">
        <is>
          <t>N</t>
        </is>
      </c>
      <c r="BA163" s="118" t="inlineStr">
        <is>
          <t>2026-10-13 23:36:36</t>
        </is>
      </c>
      <c r="BB163" s="120" t="inlineStr">
        <is>
          <t>Prime Exclusive Discount</t>
        </is>
      </c>
      <c r="BC163" s="120" t="inlineStr">
        <is>
          <t>11-22 to 12-01</t>
        </is>
      </c>
      <c r="BD163" s="121" t="n">
        <v>95.98999999999999</v>
      </c>
      <c r="BE163" s="121" t="n">
        <v>67.19</v>
      </c>
      <c r="BF163" s="110">
        <f>IF(AND(ISNUMBER(BD163),ISNUMBER(BE163),N(BD163)&gt;0),1-BE163/BD163,"")</f>
        <v/>
      </c>
      <c r="BG163" s="122" t="n">
        <v>114176</v>
      </c>
      <c r="BH163" s="122" t="n">
        <v>68746</v>
      </c>
      <c r="BI163" s="123">
        <f>IF(AND(ISNUMBER(BG163),ISNUMBER(BH163),N(BH163)&gt;0),BG163/BH163,"")</f>
        <v/>
      </c>
      <c r="BJ163" s="120" t="inlineStr">
        <is>
          <t>N</t>
        </is>
      </c>
      <c r="BK163" s="120" t="inlineStr">
        <is>
          <t>Lightning Deal 11-01 to 11-01; List Price $179.97</t>
        </is>
      </c>
    </row>
    <row r="164" ht="62" customHeight="1">
      <c r="A164" s="12">
        <f>_xlfn.IMAGE("https://images-na.ssl-images-amazon.com/images/I/71YlZk0Q9-L.jpg")</f>
        <v/>
      </c>
      <c r="B164" s="105" t="inlineStr">
        <is>
          <t>TWK</t>
        </is>
      </c>
      <c r="C164" s="39" t="inlineStr">
        <is>
          <t>TWK Luxury Sheet Set, Genuine 100% Viscose Derived from Bamboo, Cooling &amp; Breathable, Silky Soft, Bedding Sheets &amp; Pillowcases (White, King(78 * 80 * 15))</t>
        </is>
      </c>
      <c r="D164" s="105" t="inlineStr">
        <is>
          <t>Poor</t>
        </is>
      </c>
      <c r="E164" s="106" t="inlineStr">
        <is>
          <t>Direct</t>
        </is>
      </c>
      <c r="F164" s="105" t="inlineStr">
        <is>
          <t>Bamboo viscose</t>
        </is>
      </c>
      <c r="G164" s="39" t="inlineStr">
        <is>
          <t>Same product (sheet set) in the same material family: Bamboo viscose (title: TWK Luxury Sheet Set, Genuine 100% Viscose Derived from Bamb); ours: our listing: viscose from bamboo.</t>
        </is>
      </c>
      <c r="H164" s="107" t="inlineStr">
        <is>
          <t>B0GVP3B7LS</t>
        </is>
      </c>
      <c r="I164" s="107" t="inlineStr">
        <is>
          <t>B0GVP3B7LS</t>
        </is>
      </c>
      <c r="J164" s="105" t="inlineStr">
        <is>
          <t>King</t>
        </is>
      </c>
      <c r="K164" s="105" t="inlineStr">
        <is>
          <t>White</t>
        </is>
      </c>
      <c r="L164" s="108" t="n">
        <v>1</v>
      </c>
      <c r="M164" s="39" t="inlineStr"/>
      <c r="N164" s="109" t="n">
        <v>46.74</v>
      </c>
      <c r="O164" s="109" t="n"/>
      <c r="P164" s="110">
        <f>IF(AND(ISNUMBER(O164),ISNUMBER(N164),N(N164)&gt;0),O164/N164-1,"")</f>
        <v/>
      </c>
      <c r="Q164" s="111">
        <f>IF(P164="","No List Price",IF(P164&lt;=0,"At/below price",IF(P164&lt;=0.12,"&lt;=12% STR zone",IF(P164&lt;=0.25,"12-25%","&gt;25% over"))))</f>
        <v/>
      </c>
      <c r="R164" s="109" t="n">
        <v>94.98999999999999</v>
      </c>
      <c r="S164" s="112">
        <f>IF(AND(ISNUMBER(N164),ISNUMBER(R164),N(R164)&gt;0),N164/R164-1,"")</f>
        <v/>
      </c>
      <c r="T164" s="39" t="inlineStr">
        <is>
          <t>Same size (King). Ours live: catalog price, 2026-10-13; 15 children</t>
        </is>
      </c>
      <c r="U164" s="108" t="n">
        <v>2065761</v>
      </c>
      <c r="V164" s="108" t="n">
        <v>5</v>
      </c>
      <c r="W164" s="113">
        <f>IF(AND(ISNUMBER(N164),ISNUMBER(V164)),N164*V164*52/12,"")</f>
        <v/>
      </c>
      <c r="X164" s="114" t="n">
        <v>4.5</v>
      </c>
      <c r="Y164" s="108" t="n">
        <v>11</v>
      </c>
      <c r="Z164" s="115" t="n">
        <v>46307</v>
      </c>
      <c r="AA164" s="115" t="n">
        <v>46078</v>
      </c>
      <c r="AB164" s="105" t="inlineStr">
        <is>
          <t>FBM</t>
        </is>
      </c>
      <c r="AC164" s="105" t="inlineStr">
        <is>
          <t>N/A</t>
        </is>
      </c>
      <c r="AD164" s="108" t="n"/>
      <c r="AE164" s="108" t="n"/>
      <c r="AF164" s="116" t="n"/>
      <c r="AG164" s="116" t="n"/>
      <c r="AH164" s="39" t="n"/>
      <c r="AI164" s="116" t="n"/>
      <c r="AJ164" s="116" t="n"/>
      <c r="AK164" s="116" t="n"/>
      <c r="AL164" s="116" t="n"/>
      <c r="AM164" s="108" t="n"/>
      <c r="AN164" s="108" t="n"/>
      <c r="AO164" s="108" t="n"/>
      <c r="AP164" s="108" t="n"/>
      <c r="AQ164" s="108" t="n"/>
      <c r="AR164" s="108" t="n"/>
      <c r="AS164" s="117" t="n"/>
      <c r="AT164" s="112" t="n"/>
      <c r="AU164" s="118" t="inlineStr">
        <is>
          <t>N</t>
        </is>
      </c>
      <c r="AV164" s="118" t="inlineStr">
        <is>
          <t>none</t>
        </is>
      </c>
      <c r="AW164" s="124" t="n"/>
      <c r="AX164" s="124" t="n"/>
      <c r="AY164" s="118" t="inlineStr">
        <is>
          <t>none</t>
        </is>
      </c>
      <c r="AZ164" s="118" t="inlineStr">
        <is>
          <t>N</t>
        </is>
      </c>
      <c r="BA164" s="118" t="inlineStr">
        <is>
          <t>2026-10-13 23:36:57</t>
        </is>
      </c>
      <c r="BB164" s="120" t="inlineStr">
        <is>
          <t>Not live in 2025</t>
        </is>
      </c>
      <c r="BC164" s="125" t="n"/>
      <c r="BD164" s="124" t="n"/>
      <c r="BE164" s="124" t="n"/>
      <c r="BF164" s="110">
        <f>IF(AND(ISNUMBER(BD164),ISNUMBER(BE164),N(BD164)&gt;0),1-BE164/BD164,"")</f>
        <v/>
      </c>
      <c r="BG164" s="126" t="n"/>
      <c r="BH164" s="126" t="n"/>
      <c r="BI164" s="123">
        <f>IF(AND(ISNUMBER(BG164),ISNUMBER(BH164),N(BH164)&gt;0),BG164/BH164,"")</f>
        <v/>
      </c>
      <c r="BJ164" s="125" t="n"/>
      <c r="BK164" s="125" t="n"/>
    </row>
    <row r="165" ht="62" customHeight="1">
      <c r="A165" s="12">
        <f>_xlfn.IMAGE("https://images-na.ssl-images-amazon.com/images/I/71gw0WpuNuL.jpg")</f>
        <v/>
      </c>
      <c r="B165" s="105" t="inlineStr">
        <is>
          <t>TWK</t>
        </is>
      </c>
      <c r="C165" s="39" t="inlineStr">
        <is>
          <t>TWK Luxury Sheet Set, Genuine 100% Organic Viscose Derived from Bamboo, Cooling &amp; Breathable, Silky Soft, Bedding Sheets &amp; Pillowcases (Mist Gray, King)</t>
        </is>
      </c>
      <c r="D165" s="105" t="inlineStr">
        <is>
          <t>Poor</t>
        </is>
      </c>
      <c r="E165" s="106" t="inlineStr">
        <is>
          <t>Direct</t>
        </is>
      </c>
      <c r="F165" s="105" t="inlineStr">
        <is>
          <t>Bamboo viscose</t>
        </is>
      </c>
      <c r="G165" s="39" t="inlineStr">
        <is>
          <t>Same product (sheet set) in the same material family: Bamboo viscose (title: TWK Luxury Sheet Set, Genuine 100% Organic Viscose Derived f); ours: our listing: viscose from bamboo.</t>
        </is>
      </c>
      <c r="H165" s="107" t="inlineStr">
        <is>
          <t>B0DYT2QWLC</t>
        </is>
      </c>
      <c r="I165" s="107" t="inlineStr">
        <is>
          <t>B0DYT2QWLC</t>
        </is>
      </c>
      <c r="J165" s="105" t="inlineStr">
        <is>
          <t>King</t>
        </is>
      </c>
      <c r="K165" s="105" t="inlineStr">
        <is>
          <t>Mist Gray</t>
        </is>
      </c>
      <c r="L165" s="108" t="n">
        <v>1</v>
      </c>
      <c r="M165" s="39" t="inlineStr"/>
      <c r="N165" s="109" t="n">
        <v>109.99</v>
      </c>
      <c r="O165" s="109" t="n"/>
      <c r="P165" s="110">
        <f>IF(AND(ISNUMBER(O165),ISNUMBER(N165),N(N165)&gt;0),O165/N165-1,"")</f>
        <v/>
      </c>
      <c r="Q165" s="111">
        <f>IF(P165="","No List Price",IF(P165&lt;=0,"At/below price",IF(P165&lt;=0.12,"&lt;=12% STR zone",IF(P165&lt;=0.25,"12-25%","&gt;25% over"))))</f>
        <v/>
      </c>
      <c r="R165" s="109" t="n">
        <v>94.98999999999999</v>
      </c>
      <c r="S165" s="112">
        <f>IF(AND(ISNUMBER(N165),ISNUMBER(R165),N(R165)&gt;0),N165/R165-1,"")</f>
        <v/>
      </c>
      <c r="T165" s="39" t="inlineStr">
        <is>
          <t>Same size (King). Ours live: catalog price, 2026-10-13; 15 children</t>
        </is>
      </c>
      <c r="U165" s="108" t="n">
        <v>1506045</v>
      </c>
      <c r="V165" s="108" t="n">
        <v>5</v>
      </c>
      <c r="W165" s="113">
        <f>IF(AND(ISNUMBER(N165),ISNUMBER(V165)),N165*V165*52/12,"")</f>
        <v/>
      </c>
      <c r="X165" s="114" t="n">
        <v>4.5</v>
      </c>
      <c r="Y165" s="108" t="n">
        <v>39</v>
      </c>
      <c r="Z165" s="115" t="n">
        <v>46307</v>
      </c>
      <c r="AA165" s="115" t="n">
        <v>45716</v>
      </c>
      <c r="AB165" s="105" t="inlineStr">
        <is>
          <t>FBM</t>
        </is>
      </c>
      <c r="AC165" s="105" t="inlineStr">
        <is>
          <t>N/A</t>
        </is>
      </c>
      <c r="AD165" s="108" t="n"/>
      <c r="AE165" s="108" t="n"/>
      <c r="AF165" s="116" t="n"/>
      <c r="AG165" s="116" t="n"/>
      <c r="AH165" s="39" t="n"/>
      <c r="AI165" s="116" t="n"/>
      <c r="AJ165" s="116" t="n"/>
      <c r="AK165" s="116" t="n"/>
      <c r="AL165" s="116" t="n"/>
      <c r="AM165" s="108" t="n"/>
      <c r="AN165" s="108" t="n"/>
      <c r="AO165" s="108" t="n"/>
      <c r="AP165" s="108" t="n"/>
      <c r="AQ165" s="108" t="n"/>
      <c r="AR165" s="108" t="n"/>
      <c r="AS165" s="117" t="n"/>
      <c r="AT165" s="112" t="n"/>
      <c r="AU165" s="118" t="inlineStr">
        <is>
          <t>N</t>
        </is>
      </c>
      <c r="AV165" s="118" t="inlineStr">
        <is>
          <t>none</t>
        </is>
      </c>
      <c r="AW165" s="124" t="n"/>
      <c r="AX165" s="124" t="n"/>
      <c r="AY165" s="118" t="inlineStr">
        <is>
          <t>none</t>
        </is>
      </c>
      <c r="AZ165" s="118" t="inlineStr">
        <is>
          <t>N</t>
        </is>
      </c>
      <c r="BA165" s="118" t="inlineStr">
        <is>
          <t>2026-10-13 23:37:00</t>
        </is>
      </c>
      <c r="BB165" s="120" t="inlineStr">
        <is>
          <t>Coupon only</t>
        </is>
      </c>
      <c r="BC165" s="120" t="inlineStr">
        <is>
          <t>11-20 to 12-05</t>
        </is>
      </c>
      <c r="BD165" s="121" t="n">
        <v>69</v>
      </c>
      <c r="BE165" s="121" t="n">
        <v>74</v>
      </c>
      <c r="BF165" s="110">
        <f>IF(AND(ISNUMBER(BD165),ISNUMBER(BE165),N(BD165)&gt;0),1-BE165/BD165,"")</f>
        <v/>
      </c>
      <c r="BG165" s="122" t="n">
        <v>46533</v>
      </c>
      <c r="BH165" s="122" t="n">
        <v>67944</v>
      </c>
      <c r="BI165" s="123">
        <f>IF(AND(ISNUMBER(BG165),ISNUMBER(BH165),N(BH165)&gt;0),BG165/BH165,"")</f>
        <v/>
      </c>
      <c r="BJ165" s="120" t="inlineStr">
        <is>
          <t>N</t>
        </is>
      </c>
      <c r="BK165" s="120" t="inlineStr">
        <is>
          <t>Coupon 30%; Buy Box RAISED in BFCM week (median $79.00 vs $69.00 before); List Price $69.00</t>
        </is>
      </c>
    </row>
    <row r="166" ht="62" customHeight="1">
      <c r="A166" s="12">
        <f>_xlfn.IMAGE("https://m.media-amazon.com/images/I/61cLtklNnOL._AC_SL1486_.jpg")</f>
        <v/>
      </c>
      <c r="B166" s="105" t="inlineStr">
        <is>
          <t>TWK</t>
        </is>
      </c>
      <c r="C166" s="39" t="inlineStr">
        <is>
          <t>4 Piece Bamboo Sheet Set</t>
        </is>
      </c>
      <c r="D166" s="105" t="inlineStr">
        <is>
          <t>Poor</t>
        </is>
      </c>
      <c r="E166" s="106" t="inlineStr">
        <is>
          <t>Direct</t>
        </is>
      </c>
      <c r="F166" s="105" t="inlineStr">
        <is>
          <t>Bamboo viscose</t>
        </is>
      </c>
      <c r="G166" s="39" t="inlineStr">
        <is>
          <t>Same product (sheet set) in the same material family: Bamboo viscose (product page material: Genuine 100% Organic Viscose Derived from Bamboo); ours: our listing: viscose from bamboo.</t>
        </is>
      </c>
      <c r="H166" s="107" t="inlineStr">
        <is>
          <t>B0GW7H7RHY</t>
        </is>
      </c>
      <c r="I166" s="107" t="inlineStr">
        <is>
          <t>B0GW7H7RHY</t>
        </is>
      </c>
      <c r="J166" s="105" t="inlineStr">
        <is>
          <t>King</t>
        </is>
      </c>
      <c r="K166" s="105" t="inlineStr">
        <is>
          <t>Sand</t>
        </is>
      </c>
      <c r="L166" s="108" t="n"/>
      <c r="M166" s="39" t="inlineStr"/>
      <c r="N166" s="109" t="n">
        <v>109.99</v>
      </c>
      <c r="O166" s="109" t="n"/>
      <c r="P166" s="110">
        <f>IF(AND(ISNUMBER(O166),ISNUMBER(N166),N(N166)&gt;0),O166/N166-1,"")</f>
        <v/>
      </c>
      <c r="Q166" s="111">
        <f>IF(P166="","No List Price",IF(P166&lt;=0,"At/below price",IF(P166&lt;=0.12,"&lt;=12% STR zone",IF(P166&lt;=0.25,"12-25%","&gt;25% over"))))</f>
        <v/>
      </c>
      <c r="R166" s="109" t="n">
        <v>94.98999999999999</v>
      </c>
      <c r="S166" s="112">
        <f>IF(AND(ISNUMBER(N166),ISNUMBER(R166),N(R166)&gt;0),N166/R166-1,"")</f>
        <v/>
      </c>
      <c r="T166" s="39" t="inlineStr">
        <is>
          <t>Same size (King). Ours live: catalog price, 2026-10-13; 15 children</t>
        </is>
      </c>
      <c r="U166" s="108" t="n">
        <v>4355899</v>
      </c>
      <c r="V166" s="108" t="n">
        <v>5</v>
      </c>
      <c r="W166" s="113">
        <f>IF(AND(ISNUMBER(N166),ISNUMBER(V166)),N166*V166*52/12,"")</f>
        <v/>
      </c>
      <c r="X166" s="114" t="n">
        <v>4.5</v>
      </c>
      <c r="Y166" s="108" t="n">
        <v>2</v>
      </c>
      <c r="Z166" s="115" t="n">
        <v>46307</v>
      </c>
      <c r="AA166" s="115" t="n"/>
      <c r="AB166" s="105" t="n"/>
      <c r="AC166" s="105" t="n"/>
      <c r="AD166" s="108" t="n"/>
      <c r="AE166" s="108" t="n"/>
      <c r="AF166" s="116" t="n"/>
      <c r="AG166" s="116" t="n"/>
      <c r="AH166" s="39" t="n"/>
      <c r="AI166" s="116" t="n"/>
      <c r="AJ166" s="116" t="n"/>
      <c r="AK166" s="116" t="n"/>
      <c r="AL166" s="116" t="n"/>
      <c r="AM166" s="108" t="n"/>
      <c r="AN166" s="108" t="n"/>
      <c r="AO166" s="108" t="n"/>
      <c r="AP166" s="108" t="n"/>
      <c r="AQ166" s="108" t="n"/>
      <c r="AR166" s="108" t="n"/>
      <c r="AS166" s="117" t="n"/>
      <c r="AT166" s="112" t="n"/>
      <c r="AU166" s="118" t="inlineStr">
        <is>
          <t>N</t>
        </is>
      </c>
      <c r="AV166" s="118" t="inlineStr">
        <is>
          <t>none</t>
        </is>
      </c>
      <c r="AW166" s="124" t="n"/>
      <c r="AX166" s="124" t="n"/>
      <c r="AY166" s="118" t="inlineStr">
        <is>
          <t>none</t>
        </is>
      </c>
      <c r="AZ166" s="118" t="inlineStr">
        <is>
          <t>N</t>
        </is>
      </c>
      <c r="BA166" s="118" t="inlineStr">
        <is>
          <t>2026-10-13 23:37:03</t>
        </is>
      </c>
      <c r="BB166" s="120" t="inlineStr">
        <is>
          <t>Not live in 2025</t>
        </is>
      </c>
      <c r="BC166" s="125" t="n"/>
      <c r="BD166" s="124" t="n"/>
      <c r="BE166" s="124" t="n"/>
      <c r="BF166" s="110">
        <f>IF(AND(ISNUMBER(BD166),ISNUMBER(BE166),N(BD166)&gt;0),1-BE166/BD166,"")</f>
        <v/>
      </c>
      <c r="BG166" s="126" t="n"/>
      <c r="BH166" s="126" t="n"/>
      <c r="BI166" s="123">
        <f>IF(AND(ISNUMBER(BG166),ISNUMBER(BH166),N(BH166)&gt;0),BG166/BH166,"")</f>
        <v/>
      </c>
      <c r="BJ166" s="125" t="n"/>
      <c r="BK166" s="125" t="n"/>
    </row>
    <row r="167" ht="62" customHeight="1">
      <c r="A167" s="12">
        <f>_xlfn.IMAGE("https://m.media-amazon.com/images/I/619JGLN3FDL._AC_SL1080_.jpg")</f>
        <v/>
      </c>
      <c r="B167" s="105" t="inlineStr">
        <is>
          <t>Vesta</t>
        </is>
      </c>
      <c r="C167" s="39" t="inlineStr">
        <is>
          <t>Vesta Sheet Set – Soft, Breathable &amp; Cooling, 100% Viscose Derived from Bamboo,</t>
        </is>
      </c>
      <c r="D167" s="105" t="inlineStr">
        <is>
          <t>Poor</t>
        </is>
      </c>
      <c r="E167" s="106" t="inlineStr">
        <is>
          <t>Direct</t>
        </is>
      </c>
      <c r="F167" s="105" t="inlineStr">
        <is>
          <t>Bamboo viscose</t>
        </is>
      </c>
      <c r="G167" s="39" t="inlineStr">
        <is>
          <t>Same product (sheet set) in the same material family: Bamboo viscose (product page material: viscose from bamboo); ours: our listing: viscose from bamboo.</t>
        </is>
      </c>
      <c r="H167" s="107" t="inlineStr">
        <is>
          <t>B0CZRJY68B</t>
        </is>
      </c>
      <c r="I167" s="107" t="inlineStr">
        <is>
          <t>B0DM214YG3</t>
        </is>
      </c>
      <c r="J167" s="105" t="inlineStr">
        <is>
          <t>King/Cali King</t>
        </is>
      </c>
      <c r="K167" s="105" t="inlineStr">
        <is>
          <t>Terra Cotta</t>
        </is>
      </c>
      <c r="L167" s="108" t="n"/>
      <c r="M167" s="39" t="inlineStr"/>
      <c r="N167" s="109" t="n">
        <v>174.3</v>
      </c>
      <c r="O167" s="109" t="n"/>
      <c r="P167" s="110">
        <f>IF(AND(ISNUMBER(O167),ISNUMBER(N167),N(N167)&gt;0),O167/N167-1,"")</f>
        <v/>
      </c>
      <c r="Q167" s="111">
        <f>IF(P167="","No List Price",IF(P167&lt;=0,"At/below price",IF(P167&lt;=0.12,"&lt;=12% STR zone",IF(P167&lt;=0.25,"12-25%","&gt;25% over"))))</f>
        <v/>
      </c>
      <c r="R167" s="109" t="n">
        <v>94.98999999999999</v>
      </c>
      <c r="S167" s="112">
        <f>IF(AND(ISNUMBER(N167),ISNUMBER(R167),N(R167)&gt;0),N167/R167-1,"")</f>
        <v/>
      </c>
      <c r="T167" s="39" t="inlineStr">
        <is>
          <t>Same size (King). Ours live: catalog price, 2026-10-13; 15 children</t>
        </is>
      </c>
      <c r="U167" s="108" t="n">
        <v>591414</v>
      </c>
      <c r="V167" s="108" t="n">
        <v>5</v>
      </c>
      <c r="W167" s="113">
        <f>IF(AND(ISNUMBER(N167),ISNUMBER(V167)),N167*V167*52/12,"")</f>
        <v/>
      </c>
      <c r="X167" s="114" t="n">
        <v>4.3</v>
      </c>
      <c r="Y167" s="108" t="n">
        <v>35</v>
      </c>
      <c r="Z167" s="115" t="n">
        <v>46307</v>
      </c>
      <c r="AA167" s="115" t="n"/>
      <c r="AB167" s="105" t="n"/>
      <c r="AC167" s="105" t="n"/>
      <c r="AD167" s="108" t="n"/>
      <c r="AE167" s="108" t="n"/>
      <c r="AF167" s="116" t="n"/>
      <c r="AG167" s="116" t="n"/>
      <c r="AH167" s="39" t="n"/>
      <c r="AI167" s="116" t="n"/>
      <c r="AJ167" s="116" t="n"/>
      <c r="AK167" s="116" t="n"/>
      <c r="AL167" s="116" t="n"/>
      <c r="AM167" s="108" t="n"/>
      <c r="AN167" s="108" t="n"/>
      <c r="AO167" s="108" t="n"/>
      <c r="AP167" s="108" t="n"/>
      <c r="AQ167" s="108" t="n"/>
      <c r="AR167" s="108" t="n"/>
      <c r="AS167" s="117" t="n"/>
      <c r="AT167" s="112" t="n"/>
      <c r="AU167" s="118" t="inlineStr">
        <is>
          <t>N</t>
        </is>
      </c>
      <c r="AV167" s="118" t="inlineStr">
        <is>
          <t>none</t>
        </is>
      </c>
      <c r="AW167" s="124" t="n"/>
      <c r="AX167" s="119" t="n">
        <v>174.3</v>
      </c>
      <c r="AY167" s="118" t="inlineStr">
        <is>
          <t>none</t>
        </is>
      </c>
      <c r="AZ167" s="118" t="inlineStr">
        <is>
          <t>Y</t>
        </is>
      </c>
      <c r="BA167" s="118" t="inlineStr">
        <is>
          <t>2026-10-13 23:37:06</t>
        </is>
      </c>
      <c r="BB167" s="120" t="inlineStr">
        <is>
          <t>None</t>
        </is>
      </c>
      <c r="BC167" s="125" t="n"/>
      <c r="BD167" s="121" t="n">
        <v>174.3</v>
      </c>
      <c r="BE167" s="121" t="n">
        <v>174.3</v>
      </c>
      <c r="BF167" s="110">
        <f>IF(AND(ISNUMBER(BD167),ISNUMBER(BE167),N(BD167)&gt;0),1-BE167/BD167,"")</f>
        <v/>
      </c>
      <c r="BG167" s="122" t="n">
        <v>1047082</v>
      </c>
      <c r="BH167" s="122" t="n">
        <v>909398</v>
      </c>
      <c r="BI167" s="123">
        <f>IF(AND(ISNUMBER(BG167),ISNUMBER(BH167),N(BH167)&gt;0),BG167/BH167,"")</f>
        <v/>
      </c>
      <c r="BJ167" s="120" t="inlineStr">
        <is>
          <t>N</t>
        </is>
      </c>
      <c r="BK167" s="120" t="inlineStr">
        <is>
          <t>List Price $174.30</t>
        </is>
      </c>
    </row>
    <row r="168" ht="62" customHeight="1">
      <c r="A168" s="45" t="inlineStr">
        <is>
          <t>COMING SOON</t>
        </is>
      </c>
      <c r="B168" s="105" t="inlineStr">
        <is>
          <t>TWK</t>
        </is>
      </c>
      <c r="C168" s="39" t="inlineStr">
        <is>
          <t>TWK Genuine 100% Viscose Derived from Natural Bamboo Bed Sheets Set,Cooling &amp; Silky Soft Bed Sheets,Deep Pocket Up to 18",with a Laundry Bag (White, King)</t>
        </is>
      </c>
      <c r="D168" s="105" t="inlineStr">
        <is>
          <t>Poor</t>
        </is>
      </c>
      <c r="E168" s="106" t="inlineStr">
        <is>
          <t>Direct</t>
        </is>
      </c>
      <c r="F168" s="105" t="inlineStr">
        <is>
          <t>Bamboo viscose</t>
        </is>
      </c>
      <c r="G168" s="39" t="inlineStr">
        <is>
          <t>Same product (sheet set) in the same material family: Bamboo viscose (title: TWK Genuine 100% Viscose Derived from Natural Bamboo Bed She); ours: our listing: viscose from bamboo.</t>
        </is>
      </c>
      <c r="H168" s="105" t="n"/>
      <c r="I168" s="107" t="inlineStr">
        <is>
          <t>B0G1N59S1Q</t>
        </is>
      </c>
      <c r="J168" s="105" t="inlineStr">
        <is>
          <t>King</t>
        </is>
      </c>
      <c r="K168" s="105" t="inlineStr">
        <is>
          <t>White</t>
        </is>
      </c>
      <c r="L168" s="108" t="n"/>
      <c r="M168" s="39" t="inlineStr"/>
      <c r="N168" s="109" t="n">
        <v>109.99</v>
      </c>
      <c r="O168" s="109" t="n"/>
      <c r="P168" s="110">
        <f>IF(AND(ISNUMBER(O168),ISNUMBER(N168),N(N168)&gt;0),O168/N168-1,"")</f>
        <v/>
      </c>
      <c r="Q168" s="111">
        <f>IF(P168="","No List Price",IF(P168&lt;=0,"At/below price",IF(P168&lt;=0.12,"&lt;=12% STR zone",IF(P168&lt;=0.25,"12-25%","&gt;25% over"))))</f>
        <v/>
      </c>
      <c r="R168" s="109" t="n">
        <v>94.98999999999999</v>
      </c>
      <c r="S168" s="112">
        <f>IF(AND(ISNUMBER(N168),ISNUMBER(R168),N(R168)&gt;0),N168/R168-1,"")</f>
        <v/>
      </c>
      <c r="T168" s="39" t="inlineStr">
        <is>
          <t>Same size (King). Ours live: catalog price, 2026-10-13; 15 children</t>
        </is>
      </c>
      <c r="U168" s="108" t="n"/>
      <c r="V168" s="108" t="n"/>
      <c r="W168" s="113">
        <f>IF(AND(ISNUMBER(N168),ISNUMBER(V168)),N168*V168*52/12,"")</f>
        <v/>
      </c>
      <c r="X168" s="114" t="n">
        <v>4.5</v>
      </c>
      <c r="Y168" s="108" t="n">
        <v>6</v>
      </c>
      <c r="Z168" s="115" t="n">
        <v>46306</v>
      </c>
      <c r="AA168" s="115" t="n"/>
      <c r="AB168" s="105" t="n"/>
      <c r="AC168" s="105" t="n"/>
      <c r="AD168" s="108" t="n"/>
      <c r="AE168" s="108" t="n"/>
      <c r="AF168" s="116" t="n"/>
      <c r="AG168" s="116" t="n"/>
      <c r="AH168" s="39" t="n"/>
      <c r="AI168" s="116" t="n"/>
      <c r="AJ168" s="116" t="n"/>
      <c r="AK168" s="116" t="n"/>
      <c r="AL168" s="116" t="n"/>
      <c r="AM168" s="108" t="n"/>
      <c r="AN168" s="108" t="n"/>
      <c r="AO168" s="108" t="n"/>
      <c r="AP168" s="108" t="n"/>
      <c r="AQ168" s="108" t="n"/>
      <c r="AR168" s="108" t="n"/>
      <c r="AS168" s="117" t="n"/>
      <c r="AT168" s="112" t="n"/>
      <c r="AU168" s="125" t="n"/>
      <c r="AV168" s="125" t="n"/>
      <c r="AW168" s="124" t="n"/>
      <c r="AX168" s="124" t="n"/>
      <c r="AY168" s="125" t="n"/>
      <c r="AZ168" s="125" t="n"/>
      <c r="BA168" s="125" t="n"/>
      <c r="BB168" s="120" t="inlineStr">
        <is>
          <t>Coupon only</t>
        </is>
      </c>
      <c r="BC168" s="120" t="inlineStr">
        <is>
          <t>11-22 to 12-05</t>
        </is>
      </c>
      <c r="BD168" s="124" t="n"/>
      <c r="BE168" s="121" t="n">
        <v>101</v>
      </c>
      <c r="BF168" s="110">
        <f>IF(AND(ISNUMBER(BD168),ISNUMBER(BE168),N(BD168)&gt;0),1-BE168/BD168,"")</f>
        <v/>
      </c>
      <c r="BG168" s="126" t="n"/>
      <c r="BH168" s="122" t="n">
        <v>477682</v>
      </c>
      <c r="BI168" s="123">
        <f>IF(AND(ISNUMBER(BG168),ISNUMBER(BH168),N(BH168)&gt;0),BG168/BH168,"")</f>
        <v/>
      </c>
      <c r="BJ168" s="125" t="n"/>
      <c r="BK168" s="120" t="inlineStr">
        <is>
          <t>Coupon 50%; List Price $109.00</t>
        </is>
      </c>
    </row>
    <row r="169" ht="62" customHeight="1">
      <c r="A169" s="12">
        <f>_xlfn.IMAGE("https://images-na.ssl-images-amazon.com/images/I/716Vqhk8VxL.jpg")</f>
        <v/>
      </c>
      <c r="B169" s="105" t="inlineStr">
        <is>
          <t>CozyLux</t>
        </is>
      </c>
      <c r="C169" s="39" t="inlineStr">
        <is>
          <t>CozyLux King Size Sheets Set, 100% Rayon Derived from Bamboo, Sateen Weave</t>
        </is>
      </c>
      <c r="D169" s="105" t="inlineStr">
        <is>
          <t>Untiered</t>
        </is>
      </c>
      <c r="E169" s="106" t="inlineStr">
        <is>
          <t>Direct</t>
        </is>
      </c>
      <c r="F169" s="105" t="inlineStr">
        <is>
          <t>Bamboo viscose</t>
        </is>
      </c>
      <c r="G169" s="39" t="inlineStr">
        <is>
          <t>Same product (sheet set) in the same material family: Bamboo viscose (product page material: Rayon); ours: our listing: viscose from bamboo.</t>
        </is>
      </c>
      <c r="H169" s="107" t="inlineStr">
        <is>
          <t>B0GC2GQNMT</t>
        </is>
      </c>
      <c r="I169" s="107" t="inlineStr">
        <is>
          <t>B0GC5CJGWC</t>
        </is>
      </c>
      <c r="J169" s="105" t="inlineStr">
        <is>
          <t>King</t>
        </is>
      </c>
      <c r="K169" s="105" t="inlineStr">
        <is>
          <t>Ivory</t>
        </is>
      </c>
      <c r="L169" s="108" t="n">
        <v>18</v>
      </c>
      <c r="M169" s="39" t="inlineStr"/>
      <c r="N169" s="109" t="n">
        <v>35.99</v>
      </c>
      <c r="O169" s="109" t="n"/>
      <c r="P169" s="110">
        <f>IF(AND(ISNUMBER(O169),ISNUMBER(N169),N(N169)&gt;0),O169/N169-1,"")</f>
        <v/>
      </c>
      <c r="Q169" s="111">
        <f>IF(P169="","No List Price",IF(P169&lt;=0,"At/below price",IF(P169&lt;=0.12,"&lt;=12% STR zone",IF(P169&lt;=0.25,"12-25%","&gt;25% over"))))</f>
        <v/>
      </c>
      <c r="R169" s="109" t="n">
        <v>94.98999999999999</v>
      </c>
      <c r="S169" s="112">
        <f>IF(AND(ISNUMBER(N169),ISNUMBER(R169),N(R169)&gt;0),N169/R169-1,"")</f>
        <v/>
      </c>
      <c r="T169" s="39" t="inlineStr">
        <is>
          <t>Same size (King). Ours live: catalog price, 2026-10-13; 15 children</t>
        </is>
      </c>
      <c r="U169" s="108" t="n">
        <v>33018</v>
      </c>
      <c r="V169" s="108" t="n">
        <v>185</v>
      </c>
      <c r="W169" s="113">
        <f>IF(AND(ISNUMBER(N169),ISNUMBER(V169)),N169*V169*52/12,"")</f>
        <v/>
      </c>
      <c r="X169" s="114" t="n">
        <v>4.6</v>
      </c>
      <c r="Y169" s="108" t="n">
        <v>93</v>
      </c>
      <c r="Z169" s="115" t="n">
        <v>46307</v>
      </c>
      <c r="AA169" s="115" t="n">
        <v>46014</v>
      </c>
      <c r="AB169" s="105" t="inlineStr">
        <is>
          <t>FBA</t>
        </is>
      </c>
      <c r="AC169" s="105" t="inlineStr">
        <is>
          <t>CN</t>
        </is>
      </c>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Y</t>
        </is>
      </c>
      <c r="AV169" s="118" t="inlineStr">
        <is>
          <t>List Price</t>
        </is>
      </c>
      <c r="AW169" s="119" t="n">
        <v>44.99</v>
      </c>
      <c r="AX169" s="119" t="n">
        <v>35.99</v>
      </c>
      <c r="AY169" s="118" t="inlineStr">
        <is>
          <t>none</t>
        </is>
      </c>
      <c r="AZ169" s="118" t="inlineStr">
        <is>
          <t>Y</t>
        </is>
      </c>
      <c r="BA169" s="118" t="inlineStr">
        <is>
          <t>2026-10-13 23:36:09</t>
        </is>
      </c>
      <c r="BB169" s="120" t="inlineStr">
        <is>
          <t>Not live in 2025</t>
        </is>
      </c>
      <c r="BC169" s="125" t="n"/>
      <c r="BD169" s="124" t="n"/>
      <c r="BE169" s="124" t="n"/>
      <c r="BF169" s="110">
        <f>IF(AND(ISNUMBER(BD169),ISNUMBER(BE169),N(BD169)&gt;0),1-BE169/BD169,"")</f>
        <v/>
      </c>
      <c r="BG169" s="126" t="n"/>
      <c r="BH169" s="126" t="n"/>
      <c r="BI169" s="123">
        <f>IF(AND(ISNUMBER(BG169),ISNUMBER(BH169),N(BH169)&gt;0),BG169/BH169,"")</f>
        <v/>
      </c>
      <c r="BJ169" s="125" t="n"/>
      <c r="BK169" s="125" t="n"/>
    </row>
    <row r="170" ht="62" customHeight="1">
      <c r="A170" s="12">
        <f>_xlfn.IMAGE("https://images-na.ssl-images-amazon.com/images/I/61WgRn96SbL.jpg")</f>
        <v/>
      </c>
      <c r="B170" s="105" t="inlineStr">
        <is>
          <t>CGK Unlimited</t>
        </is>
      </c>
      <c r="C170" s="39" t="inlineStr">
        <is>
          <t>100% Rayon Derived from Bamboo - Bamboo Sheets Queen Size - Black</t>
        </is>
      </c>
      <c r="D170" s="105" t="inlineStr">
        <is>
          <t>Untiered</t>
        </is>
      </c>
      <c r="E170" s="106" t="inlineStr">
        <is>
          <t>Direct</t>
        </is>
      </c>
      <c r="F170" s="105" t="inlineStr">
        <is>
          <t>Bamboo viscose</t>
        </is>
      </c>
      <c r="G170" s="39" t="inlineStr">
        <is>
          <t>Same product (sheet set) in the same material family: Bamboo viscose (title: 100% Rayon Derived from Bamboo - Bamboo Sheets Queen Size - ); ours: our listing: viscose from bamboo.</t>
        </is>
      </c>
      <c r="H170" s="107" t="inlineStr">
        <is>
          <t>B0F2GR2DKR</t>
        </is>
      </c>
      <c r="I170" s="107" t="inlineStr">
        <is>
          <t>B0D429MCF7</t>
        </is>
      </c>
      <c r="J170" s="105" t="inlineStr">
        <is>
          <t>Queen</t>
        </is>
      </c>
      <c r="K170" s="105" t="inlineStr">
        <is>
          <t>Black</t>
        </is>
      </c>
      <c r="L170" s="108" t="n">
        <v>58</v>
      </c>
      <c r="M170" s="39" t="inlineStr"/>
      <c r="N170" s="109" t="n">
        <v>49.99</v>
      </c>
      <c r="O170" s="109" t="n"/>
      <c r="P170" s="110">
        <f>IF(AND(ISNUMBER(O170),ISNUMBER(N170),N(N170)&gt;0),O170/N170-1,"")</f>
        <v/>
      </c>
      <c r="Q170" s="111">
        <f>IF(P170="","No List Price",IF(P170&lt;=0,"At/below price",IF(P170&lt;=0.12,"&lt;=12% STR zone",IF(P170&lt;=0.25,"12-25%","&gt;25% over"))))</f>
        <v/>
      </c>
      <c r="R170" s="109" t="n">
        <v>89.98999999999999</v>
      </c>
      <c r="S170" s="112">
        <f>IF(AND(ISNUMBER(N170),ISNUMBER(R170),N(R170)&gt;0),N170/R170-1,"")</f>
        <v/>
      </c>
      <c r="T170" s="39" t="inlineStr">
        <is>
          <t>Same size (Queen). Ours live: catalog price, 2026-10-13; 15 children</t>
        </is>
      </c>
      <c r="U170" s="108" t="n">
        <v>2554</v>
      </c>
      <c r="V170" s="108" t="n">
        <v>173</v>
      </c>
      <c r="W170" s="113">
        <f>IF(AND(ISNUMBER(N170),ISNUMBER(V170)),N170*V170*52/12,"")</f>
        <v/>
      </c>
      <c r="X170" s="114" t="n">
        <v>4.4</v>
      </c>
      <c r="Y170" s="108" t="n">
        <v>1169</v>
      </c>
      <c r="Z170" s="115" t="n">
        <v>46307</v>
      </c>
      <c r="AA170" s="115" t="n">
        <v>45575</v>
      </c>
      <c r="AB170" s="105" t="inlineStr">
        <is>
          <t>FBA</t>
        </is>
      </c>
      <c r="AC170" s="105" t="inlineStr">
        <is>
          <t>US</t>
        </is>
      </c>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N</t>
        </is>
      </c>
      <c r="AV170" s="118" t="inlineStr">
        <is>
          <t>none</t>
        </is>
      </c>
      <c r="AW170" s="124" t="n"/>
      <c r="AX170" s="119" t="n">
        <v>49.99</v>
      </c>
      <c r="AY170" s="118" t="inlineStr">
        <is>
          <t>none</t>
        </is>
      </c>
      <c r="AZ170" s="118" t="inlineStr">
        <is>
          <t>Y</t>
        </is>
      </c>
      <c r="BA170" s="118" t="inlineStr">
        <is>
          <t>2026-10-13 23:35:53</t>
        </is>
      </c>
      <c r="BB170" s="120" t="inlineStr">
        <is>
          <t>Price cut only</t>
        </is>
      </c>
      <c r="BC170" s="120" t="inlineStr">
        <is>
          <t>11-20 to 12-01</t>
        </is>
      </c>
      <c r="BD170" s="121" t="n">
        <v>39.99</v>
      </c>
      <c r="BE170" s="121" t="n">
        <v>29.74</v>
      </c>
      <c r="BF170" s="110">
        <f>IF(AND(ISNUMBER(BD170),ISNUMBER(BE170),N(BD170)&gt;0),1-BE170/BD170,"")</f>
        <v/>
      </c>
      <c r="BG170" s="122" t="n">
        <v>16161</v>
      </c>
      <c r="BH170" s="122" t="n">
        <v>12770</v>
      </c>
      <c r="BI170" s="123">
        <f>IF(AND(ISNUMBER(BG170),ISNUMBER(BH170),N(BH170)&gt;0),BG170/BH170,"")</f>
        <v/>
      </c>
      <c r="BJ170" s="120" t="inlineStr">
        <is>
          <t>N</t>
        </is>
      </c>
      <c r="BK170" s="120" t="inlineStr">
        <is>
          <t>List Price $64.99</t>
        </is>
      </c>
    </row>
    <row r="171" ht="62" customHeight="1">
      <c r="A171" s="12">
        <f>_xlfn.IMAGE("https://images-na.ssl-images-amazon.com/images/I/61sz2mcvZmL.jpg")</f>
        <v/>
      </c>
      <c r="B171" s="105" t="inlineStr">
        <is>
          <t>Cosy House Collection</t>
        </is>
      </c>
      <c r="C171" s="39" t="inlineStr">
        <is>
          <t>Cosy House Collection 100% Rayon Derived from Bamboo Bed Sheet Set</t>
        </is>
      </c>
      <c r="D171" s="105" t="inlineStr">
        <is>
          <t>Untiered</t>
        </is>
      </c>
      <c r="E171" s="106" t="inlineStr">
        <is>
          <t>Direct</t>
        </is>
      </c>
      <c r="F171" s="105" t="inlineStr">
        <is>
          <t>Bamboo viscose</t>
        </is>
      </c>
      <c r="G171" s="39" t="inlineStr">
        <is>
          <t>Same product (sheet set) in the same material family: Bamboo viscose (product page material: Rayon); ours: our listing: viscose from bamboo.</t>
        </is>
      </c>
      <c r="H171" s="107" t="inlineStr">
        <is>
          <t>B0CLBDW265</t>
        </is>
      </c>
      <c r="I171" s="107" t="inlineStr">
        <is>
          <t>B0B4F4NTBL</t>
        </is>
      </c>
      <c r="J171" s="105" t="inlineStr">
        <is>
          <t>King</t>
        </is>
      </c>
      <c r="K171" s="105" t="inlineStr">
        <is>
          <t>White</t>
        </is>
      </c>
      <c r="L171" s="108" t="n">
        <v>77</v>
      </c>
      <c r="M171" s="39" t="inlineStr"/>
      <c r="N171" s="109" t="n">
        <v>89.95</v>
      </c>
      <c r="O171" s="109" t="n"/>
      <c r="P171" s="110">
        <f>IF(AND(ISNUMBER(O171),ISNUMBER(N171),N(N171)&gt;0),O171/N171-1,"")</f>
        <v/>
      </c>
      <c r="Q171" s="111">
        <f>IF(P171="","No List Price",IF(P171&lt;=0,"At/below price",IF(P171&lt;=0.12,"&lt;=12% STR zone",IF(P171&lt;=0.25,"12-25%","&gt;25% over"))))</f>
        <v/>
      </c>
      <c r="R171" s="109" t="n">
        <v>94.98999999999999</v>
      </c>
      <c r="S171" s="112">
        <f>IF(AND(ISNUMBER(N171),ISNUMBER(R171),N(R171)&gt;0),N171/R171-1,"")</f>
        <v/>
      </c>
      <c r="T171" s="39" t="inlineStr">
        <is>
          <t>Same size (King). Ours live: catalog price, 2026-10-13; 15 children</t>
        </is>
      </c>
      <c r="U171" s="108" t="n">
        <v>20356</v>
      </c>
      <c r="V171" s="108" t="n">
        <v>35</v>
      </c>
      <c r="W171" s="113">
        <f>IF(AND(ISNUMBER(N171),ISNUMBER(V171)),N171*V171*52/12,"")</f>
        <v/>
      </c>
      <c r="X171" s="114" t="n">
        <v>4.3</v>
      </c>
      <c r="Y171" s="108" t="n">
        <v>7941</v>
      </c>
      <c r="Z171" s="115" t="n">
        <v>46307</v>
      </c>
      <c r="AA171" s="115" t="n">
        <v>45344</v>
      </c>
      <c r="AB171" s="105" t="inlineStr">
        <is>
          <t>FBA</t>
        </is>
      </c>
      <c r="AC171" s="105" t="inlineStr">
        <is>
          <t>US</t>
        </is>
      </c>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N</t>
        </is>
      </c>
      <c r="AV171" s="118" t="inlineStr">
        <is>
          <t>none</t>
        </is>
      </c>
      <c r="AW171" s="124" t="n"/>
      <c r="AX171" s="119" t="n">
        <v>89.95</v>
      </c>
      <c r="AY171" s="118" t="inlineStr">
        <is>
          <t>none</t>
        </is>
      </c>
      <c r="AZ171" s="118" t="inlineStr">
        <is>
          <t>Y</t>
        </is>
      </c>
      <c r="BA171" s="118" t="inlineStr">
        <is>
          <t>2026-10-13 23:35:59</t>
        </is>
      </c>
      <c r="BB171" s="120" t="inlineStr">
        <is>
          <t>None</t>
        </is>
      </c>
      <c r="BC171" s="125" t="n"/>
      <c r="BD171" s="121" t="n">
        <v>89.95</v>
      </c>
      <c r="BE171" s="121" t="n">
        <v>89.95</v>
      </c>
      <c r="BF171" s="110">
        <f>IF(AND(ISNUMBER(BD171),ISNUMBER(BE171),N(BD171)&gt;0),1-BE171/BD171,"")</f>
        <v/>
      </c>
      <c r="BG171" s="122" t="n">
        <v>56877</v>
      </c>
      <c r="BH171" s="122" t="n">
        <v>87565</v>
      </c>
      <c r="BI171" s="123">
        <f>IF(AND(ISNUMBER(BG171),ISNUMBER(BH171),N(BH171)&gt;0),BG171/BH171,"")</f>
        <v/>
      </c>
      <c r="BJ171" s="120" t="inlineStr">
        <is>
          <t>Y</t>
        </is>
      </c>
      <c r="BK171" s="120" t="inlineStr">
        <is>
          <t>List Price $199.99</t>
        </is>
      </c>
    </row>
    <row r="172" ht="62" customHeight="1">
      <c r="A172" s="12">
        <f>_xlfn.IMAGE("https://images-na.ssl-images-amazon.com/images/I/71QdkBMIZ3L.jpg")</f>
        <v/>
      </c>
      <c r="B172" s="105" t="inlineStr">
        <is>
          <t>MR&amp;HM</t>
        </is>
      </c>
      <c r="C172" s="39" t="inlineStr">
        <is>
          <t>MR&amp;HM Queen Sheets 4 Pieces, Rayon Derived from Bamboo Blend, Dark Grey</t>
        </is>
      </c>
      <c r="D172" s="105" t="inlineStr">
        <is>
          <t>Untiered</t>
        </is>
      </c>
      <c r="E172" s="106" t="inlineStr">
        <is>
          <t>Direct</t>
        </is>
      </c>
      <c r="F172" s="105" t="inlineStr">
        <is>
          <t>Bamboo viscose</t>
        </is>
      </c>
      <c r="G172" s="39" t="inlineStr">
        <is>
          <t>Same product (sheet set) in the same material family: Bamboo viscose (title: MR&amp;HM Queen Sheets 4 Pieces, Rayon Derived from Bamboo Blend); ours: our listing: viscose from bamboo.</t>
        </is>
      </c>
      <c r="H172" s="107" t="inlineStr">
        <is>
          <t>B0DQDMN3WK</t>
        </is>
      </c>
      <c r="I172" s="107" t="inlineStr">
        <is>
          <t>B0DL5NCTYF</t>
        </is>
      </c>
      <c r="J172" s="105" t="inlineStr">
        <is>
          <t>Queen</t>
        </is>
      </c>
      <c r="K172" s="105" t="inlineStr">
        <is>
          <t>Grey</t>
        </is>
      </c>
      <c r="L172" s="108" t="n">
        <v>65</v>
      </c>
      <c r="M172" s="39" t="inlineStr"/>
      <c r="N172" s="109" t="n">
        <v>36.99</v>
      </c>
      <c r="O172" s="109" t="n"/>
      <c r="P172" s="110">
        <f>IF(AND(ISNUMBER(O172),ISNUMBER(N172),N(N172)&gt;0),O172/N172-1,"")</f>
        <v/>
      </c>
      <c r="Q172" s="111">
        <f>IF(P172="","No List Price",IF(P172&lt;=0,"At/below price",IF(P172&lt;=0.12,"&lt;=12% STR zone",IF(P172&lt;=0.25,"12-25%","&gt;25% over"))))</f>
        <v/>
      </c>
      <c r="R172" s="109" t="n">
        <v>89.98999999999999</v>
      </c>
      <c r="S172" s="112">
        <f>IF(AND(ISNUMBER(N172),ISNUMBER(R172),N(R172)&gt;0),N172/R172-1,"")</f>
        <v/>
      </c>
      <c r="T172" s="39" t="inlineStr">
        <is>
          <t>Same size (Queen). Ours live: catalog price, 2026-10-13; 15 children</t>
        </is>
      </c>
      <c r="U172" s="108" t="n">
        <v>30653</v>
      </c>
      <c r="V172" s="108" t="n">
        <v>35</v>
      </c>
      <c r="W172" s="113">
        <f>IF(AND(ISNUMBER(N172),ISNUMBER(V172)),N172*V172*52/12,"")</f>
        <v/>
      </c>
      <c r="X172" s="114" t="n">
        <v>4.4</v>
      </c>
      <c r="Y172" s="108" t="n">
        <v>616</v>
      </c>
      <c r="Z172" s="115" t="n">
        <v>46307</v>
      </c>
      <c r="AA172" s="115" t="n">
        <v>45593</v>
      </c>
      <c r="AB172" s="105" t="inlineStr">
        <is>
          <t>FBA</t>
        </is>
      </c>
      <c r="AC172" s="105" t="inlineStr">
        <is>
          <t>HK</t>
        </is>
      </c>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Y</t>
        </is>
      </c>
      <c r="AV172" s="118" t="inlineStr">
        <is>
          <t>List Price</t>
        </is>
      </c>
      <c r="AW172" s="119" t="n">
        <v>38.99</v>
      </c>
      <c r="AX172" s="119" t="n">
        <v>36.99</v>
      </c>
      <c r="AY172" s="118" t="inlineStr">
        <is>
          <t>none</t>
        </is>
      </c>
      <c r="AZ172" s="118" t="inlineStr">
        <is>
          <t>Y</t>
        </is>
      </c>
      <c r="BA172" s="118" t="inlineStr">
        <is>
          <t>2026-10-13 23:36:40</t>
        </is>
      </c>
      <c r="BB172" s="120" t="inlineStr">
        <is>
          <t>Prime Exclusive Discount</t>
        </is>
      </c>
      <c r="BC172" s="120" t="inlineStr">
        <is>
          <t>11-03 to 12-01</t>
        </is>
      </c>
      <c r="BD172" s="121" t="n">
        <v>29.99</v>
      </c>
      <c r="BE172" s="121" t="n">
        <v>28.04</v>
      </c>
      <c r="BF172" s="110">
        <f>IF(AND(ISNUMBER(BD172),ISNUMBER(BE172),N(BD172)&gt;0),1-BE172/BD172,"")</f>
        <v/>
      </c>
      <c r="BG172" s="122" t="n">
        <v>32725</v>
      </c>
      <c r="BH172" s="122" t="n">
        <v>36240</v>
      </c>
      <c r="BI172" s="123">
        <f>IF(AND(ISNUMBER(BG172),ISNUMBER(BH172),N(BH172)&gt;0),BG172/BH172,"")</f>
        <v/>
      </c>
      <c r="BJ172" s="120" t="inlineStr">
        <is>
          <t>N</t>
        </is>
      </c>
      <c r="BK172" s="120" t="inlineStr">
        <is>
          <t>Prime Exclusive already running before BFCM week; Buy Box RAISED in BFCM week (median $37.99 vs $32.99 before); List Price $45.99</t>
        </is>
      </c>
    </row>
    <row r="173" ht="62" customHeight="1">
      <c r="A173" s="12">
        <f>_xlfn.IMAGE("https://m.media-amazon.com/images/I/7172f86VS1L._AC_SL1500_.jpg")</f>
        <v/>
      </c>
      <c r="B173" s="105" t="inlineStr">
        <is>
          <t>KAKIJUMN</t>
        </is>
      </c>
      <c r="C173" s="39" t="inlineStr">
        <is>
          <t>KAKIJUMN 6 Piece King Sheets Set, Rayon Derived from Bamboo Blend</t>
        </is>
      </c>
      <c r="D173" s="105" t="inlineStr">
        <is>
          <t>Untiered</t>
        </is>
      </c>
      <c r="E173" s="106" t="inlineStr">
        <is>
          <t>Direct</t>
        </is>
      </c>
      <c r="F173" s="105" t="inlineStr">
        <is>
          <t>Bamboo viscose</t>
        </is>
      </c>
      <c r="G173" s="39" t="inlineStr">
        <is>
          <t>Same product (sheet set) in the same material family: Bamboo viscose (product page material: Rayon Derived from Bamboo); ours: our listing: viscose from bamboo.</t>
        </is>
      </c>
      <c r="H173" s="107" t="inlineStr">
        <is>
          <t>B0HFVC6529</t>
        </is>
      </c>
      <c r="I173" s="107" t="inlineStr">
        <is>
          <t>B0H1MNZ16Z</t>
        </is>
      </c>
      <c r="J173" s="105" t="inlineStr">
        <is>
          <t>Queen</t>
        </is>
      </c>
      <c r="K173" s="105" t="inlineStr">
        <is>
          <t>Warm Beige</t>
        </is>
      </c>
      <c r="L173" s="108" t="n"/>
      <c r="M173" s="39" t="inlineStr"/>
      <c r="N173" s="109" t="n">
        <v>38.39</v>
      </c>
      <c r="O173" s="109" t="n">
        <v>47.99</v>
      </c>
      <c r="P173" s="110">
        <f>IF(AND(ISNUMBER(O173),ISNUMBER(N173),N(N173)&gt;0),O173/N173-1,"")</f>
        <v/>
      </c>
      <c r="Q173" s="111">
        <f>IF(P173="","No List Price",IF(P173&lt;=0,"At/below price",IF(P173&lt;=0.12,"&lt;=12% STR zone",IF(P173&lt;=0.25,"12-25%","&gt;25% over"))))</f>
        <v/>
      </c>
      <c r="R173" s="109" t="n">
        <v>89.98999999999999</v>
      </c>
      <c r="S173" s="112">
        <f>IF(AND(ISNUMBER(N173),ISNUMBER(R173),N(R173)&gt;0),N173/R173-1,"")</f>
        <v/>
      </c>
      <c r="T173" s="39" t="inlineStr">
        <is>
          <t>Same size (Queen). Ours live: catalog price, 2026-10-13; 15 children</t>
        </is>
      </c>
      <c r="U173" s="108" t="n">
        <v>64915</v>
      </c>
      <c r="V173" s="108" t="n">
        <v>18</v>
      </c>
      <c r="W173" s="113">
        <f>IF(AND(ISNUMBER(N173),ISNUMBER(V173)),N173*V173*52/12,"")</f>
        <v/>
      </c>
      <c r="X173" s="114" t="n">
        <v>4</v>
      </c>
      <c r="Y173" s="108" t="n">
        <v>71</v>
      </c>
      <c r="Z173" s="115" t="n">
        <v>46307</v>
      </c>
      <c r="AA173" s="115" t="n"/>
      <c r="AB173" s="105" t="n"/>
      <c r="AC173" s="105" t="n"/>
      <c r="AD173" s="108" t="n"/>
      <c r="AE173" s="108" t="n"/>
      <c r="AF173" s="116" t="n"/>
      <c r="AG173" s="116" t="n"/>
      <c r="AH173" s="39" t="n"/>
      <c r="AI173" s="116" t="n"/>
      <c r="AJ173" s="116" t="n"/>
      <c r="AK173" s="116" t="n"/>
      <c r="AL173" s="116" t="n"/>
      <c r="AM173" s="108" t="n"/>
      <c r="AN173" s="108" t="n"/>
      <c r="AO173" s="108" t="n"/>
      <c r="AP173" s="108" t="n"/>
      <c r="AQ173" s="108" t="n"/>
      <c r="AR173" s="108" t="n"/>
      <c r="AS173" s="117" t="n"/>
      <c r="AT173" s="112" t="n"/>
      <c r="AU173" s="118" t="inlineStr">
        <is>
          <t>Y</t>
        </is>
      </c>
      <c r="AV173" s="118" t="inlineStr">
        <is>
          <t>List Price</t>
        </is>
      </c>
      <c r="AW173" s="119" t="n">
        <v>47.99</v>
      </c>
      <c r="AX173" s="119" t="n">
        <v>38.39</v>
      </c>
      <c r="AY173" s="118" t="inlineStr">
        <is>
          <t>none</t>
        </is>
      </c>
      <c r="AZ173" s="118" t="inlineStr">
        <is>
          <t>Y</t>
        </is>
      </c>
      <c r="BA173" s="118" t="inlineStr">
        <is>
          <t>2026-10-13 23:36:27</t>
        </is>
      </c>
      <c r="BB173" s="120" t="inlineStr">
        <is>
          <t>Not live in 2025</t>
        </is>
      </c>
      <c r="BC173" s="125" t="n"/>
      <c r="BD173" s="124" t="n"/>
      <c r="BE173" s="124" t="n"/>
      <c r="BF173" s="110">
        <f>IF(AND(ISNUMBER(BD173),ISNUMBER(BE173),N(BD173)&gt;0),1-BE173/BD173,"")</f>
        <v/>
      </c>
      <c r="BG173" s="126" t="n"/>
      <c r="BH173" s="126" t="n"/>
      <c r="BI173" s="123">
        <f>IF(AND(ISNUMBER(BG173),ISNUMBER(BH173),N(BH173)&gt;0),BG173/BH173,"")</f>
        <v/>
      </c>
      <c r="BJ173" s="125" t="n"/>
      <c r="BK173" s="125" t="n"/>
    </row>
    <row r="174" ht="62" customHeight="1">
      <c r="A174" s="12">
        <f>_xlfn.IMAGE("https://m.media-amazon.com/images/I/81LmQQkUCeL._AC_SL1500_.jpg")</f>
        <v/>
      </c>
      <c r="B174" s="105" t="inlineStr">
        <is>
          <t>Brooklyn Loom</t>
        </is>
      </c>
      <c r="C174" s="39" t="inlineStr">
        <is>
          <t>Brooklyn Loom 300 Thread Count Sateen 100% Rayon from Bamboo Deep Pocket 4 Piece</t>
        </is>
      </c>
      <c r="D174" s="105" t="inlineStr">
        <is>
          <t>Untiered</t>
        </is>
      </c>
      <c r="E174" s="106" t="inlineStr">
        <is>
          <t>Direct</t>
        </is>
      </c>
      <c r="F174" s="105" t="inlineStr">
        <is>
          <t>Bamboo viscose</t>
        </is>
      </c>
      <c r="G174" s="39" t="inlineStr">
        <is>
          <t>Same product (sheet set) in the same material family: Bamboo viscose (product page material: Bamboo); ours: our listing: viscose from bamboo.</t>
        </is>
      </c>
      <c r="H174" s="107" t="inlineStr">
        <is>
          <t>B0H29TVSQX</t>
        </is>
      </c>
      <c r="I174" s="107" t="inlineStr">
        <is>
          <t>B0FQ8JCH46</t>
        </is>
      </c>
      <c r="J174" s="105" t="inlineStr">
        <is>
          <t>King (U.S. Standard)</t>
        </is>
      </c>
      <c r="K174" s="105" t="inlineStr">
        <is>
          <t>Charcoal</t>
        </is>
      </c>
      <c r="L174" s="108" t="n"/>
      <c r="M174" s="39" t="inlineStr"/>
      <c r="N174" s="109" t="n">
        <v>129.99</v>
      </c>
      <c r="O174" s="109" t="n"/>
      <c r="P174" s="110">
        <f>IF(AND(ISNUMBER(O174),ISNUMBER(N174),N(N174)&gt;0),O174/N174-1,"")</f>
        <v/>
      </c>
      <c r="Q174" s="111">
        <f>IF(P174="","No List Price",IF(P174&lt;=0,"At/below price",IF(P174&lt;=0.12,"&lt;=12% STR zone",IF(P174&lt;=0.25,"12-25%","&gt;25% over"))))</f>
        <v/>
      </c>
      <c r="R174" s="109" t="n">
        <v>94.98999999999999</v>
      </c>
      <c r="S174" s="112">
        <f>IF(AND(ISNUMBER(N174),ISNUMBER(R174),N(R174)&gt;0),N174/R174-1,"")</f>
        <v/>
      </c>
      <c r="T174" s="39" t="inlineStr">
        <is>
          <t>Same size (King). Ours live: catalog price, 2026-10-13; 15 children</t>
        </is>
      </c>
      <c r="U174" s="108" t="n">
        <v>1216102</v>
      </c>
      <c r="V174" s="108" t="n">
        <v>5</v>
      </c>
      <c r="W174" s="113">
        <f>IF(AND(ISNUMBER(N174),ISNUMBER(V174)),N174*V174*52/12,"")</f>
        <v/>
      </c>
      <c r="X174" s="114" t="n">
        <v>4.5</v>
      </c>
      <c r="Y174" s="108" t="n">
        <v>13</v>
      </c>
      <c r="Z174" s="115" t="n">
        <v>46307</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N</t>
        </is>
      </c>
      <c r="AV174" s="118" t="inlineStr">
        <is>
          <t>none</t>
        </is>
      </c>
      <c r="AW174" s="124" t="n"/>
      <c r="AX174" s="119" t="n">
        <v>129.99</v>
      </c>
      <c r="AY174" s="118" t="inlineStr">
        <is>
          <t>none</t>
        </is>
      </c>
      <c r="AZ174" s="118" t="inlineStr">
        <is>
          <t>Y</t>
        </is>
      </c>
      <c r="BA174" s="118" t="inlineStr">
        <is>
          <t>2026-10-13 23:47:55</t>
        </is>
      </c>
      <c r="BB174" s="120" t="inlineStr">
        <is>
          <t>None</t>
        </is>
      </c>
      <c r="BC174" s="125" t="n"/>
      <c r="BD174" s="121" t="n">
        <v>129.99</v>
      </c>
      <c r="BE174" s="121" t="n">
        <v>129.99</v>
      </c>
      <c r="BF174" s="110">
        <f>IF(AND(ISNUMBER(BD174),ISNUMBER(BE174),N(BD174)&gt;0),1-BE174/BD174,"")</f>
        <v/>
      </c>
      <c r="BG174" s="122" t="n">
        <v>1517805</v>
      </c>
      <c r="BH174" s="126" t="n"/>
      <c r="BI174" s="123">
        <f>IF(AND(ISNUMBER(BG174),ISNUMBER(BH174),N(BH174)&gt;0),BG174/BH174,"")</f>
        <v/>
      </c>
      <c r="BJ174" s="120" t="inlineStr">
        <is>
          <t>N</t>
        </is>
      </c>
      <c r="BK174" s="120" t="inlineStr">
        <is>
          <t>List Price $260.00</t>
        </is>
      </c>
    </row>
    <row r="175" ht="62" customHeight="1">
      <c r="A175" s="12">
        <f>_xlfn.IMAGE("https://m.media-amazon.com/images/I/51UOEzUD6wL._AC_SL1254_.jpg")</f>
        <v/>
      </c>
      <c r="B175" s="105" t="inlineStr">
        <is>
          <t>MRIDU</t>
        </is>
      </c>
      <c r="C175" s="39" t="inlineStr">
        <is>
          <t>MRIDU Bamboo Viscose Sheet Set, 4-Piece, Pure White, King</t>
        </is>
      </c>
      <c r="D175" s="105" t="inlineStr">
        <is>
          <t>Untiered</t>
        </is>
      </c>
      <c r="E175" s="106" t="inlineStr">
        <is>
          <t>Direct</t>
        </is>
      </c>
      <c r="F175" s="105" t="inlineStr">
        <is>
          <t>Bamboo viscose</t>
        </is>
      </c>
      <c r="G175" s="39" t="inlineStr">
        <is>
          <t>Same product (sheet set) in the same material family: Bamboo viscose (product page material: Viscose Derived from Bamboo); ours: our listing: viscose from bamboo.</t>
        </is>
      </c>
      <c r="H175" s="107" t="inlineStr">
        <is>
          <t>B0GSXPDW9C</t>
        </is>
      </c>
      <c r="I175" s="107" t="inlineStr">
        <is>
          <t>B0GSXRR9DN</t>
        </is>
      </c>
      <c r="J175" s="105" t="inlineStr">
        <is>
          <t>Full</t>
        </is>
      </c>
      <c r="K175" s="105" t="inlineStr">
        <is>
          <t>Pure White</t>
        </is>
      </c>
      <c r="L175" s="108" t="n"/>
      <c r="M175" s="39" t="inlineStr"/>
      <c r="N175" s="109" t="n">
        <v>89.98999999999999</v>
      </c>
      <c r="O175" s="109" t="n"/>
      <c r="P175" s="110">
        <f>IF(AND(ISNUMBER(O175),ISNUMBER(N175),N(N175)&gt;0),O175/N175-1,"")</f>
        <v/>
      </c>
      <c r="Q175" s="111">
        <f>IF(P175="","No List Price",IF(P175&lt;=0,"At/below price",IF(P175&lt;=0.12,"&lt;=12% STR zone",IF(P175&lt;=0.25,"12-25%","&gt;25% over"))))</f>
        <v/>
      </c>
      <c r="R175" s="109" t="n">
        <v>74.98999999999999</v>
      </c>
      <c r="S175" s="112">
        <f>IF(AND(ISNUMBER(N175),ISNUMBER(R175),N(R175)&gt;0),N175/R175-1,"")</f>
        <v/>
      </c>
      <c r="T175" s="39" t="inlineStr">
        <is>
          <t>Same size (Full). Ours live: catalog price, 2026-10-13; 14 children</t>
        </is>
      </c>
      <c r="U175" s="108" t="n">
        <v>1970806</v>
      </c>
      <c r="V175" s="108" t="n">
        <v>5</v>
      </c>
      <c r="W175" s="113">
        <f>IF(AND(ISNUMBER(N175),ISNUMBER(V175)),N175*V175*52/12,"")</f>
        <v/>
      </c>
      <c r="X175" s="114" t="n">
        <v>3.9</v>
      </c>
      <c r="Y175" s="108" t="n">
        <v>24</v>
      </c>
      <c r="Z175" s="115" t="n">
        <v>46307</v>
      </c>
      <c r="AA175" s="115" t="n"/>
      <c r="AB175" s="105" t="n"/>
      <c r="AC175" s="105" t="n"/>
      <c r="AD175" s="108" t="n"/>
      <c r="AE175" s="108" t="n"/>
      <c r="AF175" s="116" t="n"/>
      <c r="AG175" s="116" t="n"/>
      <c r="AH175" s="39" t="n"/>
      <c r="AI175" s="116" t="n"/>
      <c r="AJ175" s="116" t="n"/>
      <c r="AK175" s="116" t="n"/>
      <c r="AL175" s="116" t="n"/>
      <c r="AM175" s="108" t="n"/>
      <c r="AN175" s="108" t="n"/>
      <c r="AO175" s="108" t="n"/>
      <c r="AP175" s="108" t="n"/>
      <c r="AQ175" s="108" t="n"/>
      <c r="AR175" s="108" t="n"/>
      <c r="AS175" s="117" t="n"/>
      <c r="AT175" s="112" t="n"/>
      <c r="AU175" s="118" t="inlineStr">
        <is>
          <t>N</t>
        </is>
      </c>
      <c r="AV175" s="118" t="inlineStr">
        <is>
          <t>none</t>
        </is>
      </c>
      <c r="AW175" s="124" t="n"/>
      <c r="AX175" s="119" t="n">
        <v>89.98999999999999</v>
      </c>
      <c r="AY175" s="118" t="inlineStr">
        <is>
          <t>none</t>
        </is>
      </c>
      <c r="AZ175" s="118" t="inlineStr">
        <is>
          <t>Y</t>
        </is>
      </c>
      <c r="BA175" s="118" t="inlineStr">
        <is>
          <t>2026-10-13 23:36:42</t>
        </is>
      </c>
      <c r="BB175" s="120" t="inlineStr">
        <is>
          <t>Not live in 2025</t>
        </is>
      </c>
      <c r="BC175" s="125" t="n"/>
      <c r="BD175" s="124" t="n"/>
      <c r="BE175" s="124" t="n"/>
      <c r="BF175" s="110">
        <f>IF(AND(ISNUMBER(BD175),ISNUMBER(BE175),N(BD175)&gt;0),1-BE175/BD175,"")</f>
        <v/>
      </c>
      <c r="BG175" s="126" t="n"/>
      <c r="BH175" s="126" t="n"/>
      <c r="BI175" s="123">
        <f>IF(AND(ISNUMBER(BG175),ISNUMBER(BH175),N(BH175)&gt;0),BG175/BH175,"")</f>
        <v/>
      </c>
      <c r="BJ175" s="125" t="n"/>
      <c r="BK175" s="125" t="n"/>
    </row>
    <row r="176" ht="62" customHeight="1">
      <c r="A176" s="12">
        <f>_xlfn.IMAGE("https://images-na.ssl-images-amazon.com/images/I/61qpaDyqceL.jpg")</f>
        <v/>
      </c>
      <c r="B176" s="105" t="inlineStr">
        <is>
          <t>MCO</t>
        </is>
      </c>
      <c r="C176" s="39" t="inlineStr">
        <is>
          <t>MCO 4 Piece Cooling &amp; Breathable Queen Sheet Set, Rayon Derived from Bamboo, 16" Deep Pocket, Hotel Luxury Soft Silky Queen Bedding Set for Hot Sleepers- Forest Green</t>
        </is>
      </c>
      <c r="D176" s="105" t="inlineStr">
        <is>
          <t>Untiered</t>
        </is>
      </c>
      <c r="E176" s="106" t="inlineStr">
        <is>
          <t>Direct</t>
        </is>
      </c>
      <c r="F176" s="105" t="inlineStr">
        <is>
          <t>Bamboo viscose</t>
        </is>
      </c>
      <c r="G176" s="39" t="inlineStr">
        <is>
          <t>Same product (sheet set) in the same material family: Bamboo viscose (title: MCO 4 Piece Cooling &amp; Breathable Queen Sheet Set, Rayon Deri); ours: our listing: viscose from bamboo.</t>
        </is>
      </c>
      <c r="H176" s="105" t="n"/>
      <c r="I176" s="107" t="inlineStr">
        <is>
          <t>B0FW51LMYP</t>
        </is>
      </c>
      <c r="J176" s="105" t="inlineStr">
        <is>
          <t>Queen</t>
        </is>
      </c>
      <c r="K176" s="105" t="inlineStr">
        <is>
          <t>Green</t>
        </is>
      </c>
      <c r="L176" s="108" t="n">
        <v>48</v>
      </c>
      <c r="M176" s="39" t="inlineStr"/>
      <c r="N176" s="109" t="n">
        <v>22.5</v>
      </c>
      <c r="O176" s="109" t="n"/>
      <c r="P176" s="110">
        <f>IF(AND(ISNUMBER(O176),ISNUMBER(N176),N(N176)&gt;0),O176/N176-1,"")</f>
        <v/>
      </c>
      <c r="Q176" s="111">
        <f>IF(P176="","No List Price",IF(P176&lt;=0,"At/below price",IF(P176&lt;=0.12,"&lt;=12% STR zone",IF(P176&lt;=0.25,"12-25%","&gt;25% over"))))</f>
        <v/>
      </c>
      <c r="R176" s="109" t="n">
        <v>89.98999999999999</v>
      </c>
      <c r="S176" s="112">
        <f>IF(AND(ISNUMBER(N176),ISNUMBER(R176),N(R176)&gt;0),N176/R176-1,"")</f>
        <v/>
      </c>
      <c r="T176" s="39" t="inlineStr">
        <is>
          <t>Same size (Queen). Ours live: catalog price, 2026-10-13; 15 children</t>
        </is>
      </c>
      <c r="U176" s="108" t="n">
        <v>88098</v>
      </c>
      <c r="V176" s="108" t="n"/>
      <c r="W176" s="113">
        <f>IF(AND(ISNUMBER(N176),ISNUMBER(V176)),N176*V176*52/12,"")</f>
        <v/>
      </c>
      <c r="X176" s="114" t="n">
        <v>4</v>
      </c>
      <c r="Y176" s="108" t="n">
        <v>482</v>
      </c>
      <c r="Z176" s="115" t="n">
        <v>46306</v>
      </c>
      <c r="AA176" s="115" t="n">
        <v>45944</v>
      </c>
      <c r="AB176" s="105" t="inlineStr">
        <is>
          <t>FBA</t>
        </is>
      </c>
      <c r="AC176" s="105" t="inlineStr">
        <is>
          <t>CN</t>
        </is>
      </c>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25" t="n"/>
      <c r="AV176" s="125" t="n"/>
      <c r="AW176" s="124" t="n"/>
      <c r="AX176" s="124" t="n"/>
      <c r="AY176" s="125" t="n"/>
      <c r="AZ176" s="125" t="n"/>
      <c r="BA176" s="125" t="n"/>
      <c r="BB176" s="120" t="inlineStr">
        <is>
          <t>Not live in 2025</t>
        </is>
      </c>
      <c r="BC176" s="125" t="n"/>
      <c r="BD176" s="124" t="n"/>
      <c r="BE176" s="124" t="n"/>
      <c r="BF176" s="110">
        <f>IF(AND(ISNUMBER(BD176),ISNUMBER(BE176),N(BD176)&gt;0),1-BE176/BD176,"")</f>
        <v/>
      </c>
      <c r="BG176" s="126" t="n"/>
      <c r="BH176" s="126" t="n"/>
      <c r="BI176" s="123">
        <f>IF(AND(ISNUMBER(BG176),ISNUMBER(BH176),N(BH176)&gt;0),BG176/BH176,"")</f>
        <v/>
      </c>
      <c r="BJ176" s="125" t="n"/>
      <c r="BK176" s="125" t="n"/>
    </row>
    <row r="177" ht="62" customHeight="1">
      <c r="A177" s="12">
        <f>_xlfn.IMAGE("https://images-na.ssl-images-amazon.com/images/I/71q7X74N9cL.jpg")</f>
        <v/>
      </c>
      <c r="B177" s="105" t="inlineStr">
        <is>
          <t>Vipfree</t>
        </is>
      </c>
      <c r="C177" s="39" t="inlineStr">
        <is>
          <t>Vipfree California King Sheet Set, Cooling Rayon 4-Piece Bedding with Deep Pockets, Sand, 300 Thread Count</t>
        </is>
      </c>
      <c r="D177" s="105" t="inlineStr">
        <is>
          <t>Untiered</t>
        </is>
      </c>
      <c r="E177" s="106" t="inlineStr">
        <is>
          <t>Direct</t>
        </is>
      </c>
      <c r="F177" s="105" t="inlineStr">
        <is>
          <t>Bamboo viscose</t>
        </is>
      </c>
      <c r="G177" s="39" t="inlineStr">
        <is>
          <t>Same product (sheet set) in the same material family: Bamboo viscose (title: Vipfree California King Sheet Set, Cooling Rayon 4-Piece Bed); ours: our listing: viscose from bamboo.</t>
        </is>
      </c>
      <c r="H177" s="105" t="n"/>
      <c r="I177" s="107" t="inlineStr">
        <is>
          <t>B0DF7NK85K</t>
        </is>
      </c>
      <c r="J177" s="105" t="inlineStr">
        <is>
          <t>California King</t>
        </is>
      </c>
      <c r="K177" s="105" t="inlineStr">
        <is>
          <t>Sand</t>
        </is>
      </c>
      <c r="L177" s="108" t="n">
        <v>2</v>
      </c>
      <c r="M177" s="39" t="inlineStr"/>
      <c r="N177" s="109" t="n">
        <v>34.99</v>
      </c>
      <c r="O177" s="109" t="n"/>
      <c r="P177" s="110">
        <f>IF(AND(ISNUMBER(O177),ISNUMBER(N177),N(N177)&gt;0),O177/N177-1,"")</f>
        <v/>
      </c>
      <c r="Q177" s="111">
        <f>IF(P177="","No List Price",IF(P177&lt;=0,"At/below price",IF(P177&lt;=0.12,"&lt;=12% STR zone",IF(P177&lt;=0.25,"12-25%","&gt;25% over"))))</f>
        <v/>
      </c>
      <c r="R177" s="109" t="n">
        <v>94.98999999999999</v>
      </c>
      <c r="S177" s="112">
        <f>IF(AND(ISNUMBER(N177),ISNUMBER(R177),N(R177)&gt;0),N177/R177-1,"")</f>
        <v/>
      </c>
      <c r="T177" s="39" t="inlineStr">
        <is>
          <t>Same size (California King). Ours live: catalog price, 2026-10-13; 15 children</t>
        </is>
      </c>
      <c r="U177" s="108" t="n">
        <v>646670</v>
      </c>
      <c r="V177" s="108" t="n"/>
      <c r="W177" s="113">
        <f>IF(AND(ISNUMBER(N177),ISNUMBER(V177)),N177*V177*52/12,"")</f>
        <v/>
      </c>
      <c r="X177" s="114" t="n">
        <v>4.4</v>
      </c>
      <c r="Y177" s="108" t="n">
        <v>436</v>
      </c>
      <c r="Z177" s="115" t="n">
        <v>46306</v>
      </c>
      <c r="AA177" s="115" t="n">
        <v>45590</v>
      </c>
      <c r="AB177" s="105" t="inlineStr">
        <is>
          <t>FBM</t>
        </is>
      </c>
      <c r="AC177" s="105" t="inlineStr">
        <is>
          <t>N/A</t>
        </is>
      </c>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25" t="n"/>
      <c r="AV177" s="125" t="n"/>
      <c r="AW177" s="124" t="n"/>
      <c r="AX177" s="124" t="n"/>
      <c r="AY177" s="125" t="n"/>
      <c r="AZ177" s="125" t="n"/>
      <c r="BA177" s="125" t="n"/>
      <c r="BB177" s="120" t="inlineStr">
        <is>
          <t>Price cut only</t>
        </is>
      </c>
      <c r="BC177" s="120" t="inlineStr">
        <is>
          <t>11-20 to 11-20</t>
        </is>
      </c>
      <c r="BD177" s="121" t="n">
        <v>97.98999999999999</v>
      </c>
      <c r="BE177" s="121" t="n">
        <v>69.98999999999999</v>
      </c>
      <c r="BF177" s="110">
        <f>IF(AND(ISNUMBER(BD177),ISNUMBER(BE177),N(BD177)&gt;0),1-BE177/BD177,"")</f>
        <v/>
      </c>
      <c r="BG177" s="122" t="n">
        <v>128180</v>
      </c>
      <c r="BH177" s="122" t="n">
        <v>158143</v>
      </c>
      <c r="BI177" s="123">
        <f>IF(AND(ISNUMBER(BG177),ISNUMBER(BH177),N(BH177)&gt;0),BG177/BH177,"")</f>
        <v/>
      </c>
      <c r="BJ177" s="125" t="n"/>
      <c r="BK177" s="120" t="inlineStr">
        <is>
          <t>List Price $97.99</t>
        </is>
      </c>
    </row>
    <row r="178" ht="62" customHeight="1">
      <c r="A178" s="12">
        <f>_xlfn.IMAGE("https://images-na.ssl-images-amazon.com/images/I/81fSDKgL-SL.jpg")</f>
        <v/>
      </c>
      <c r="B178" s="105" t="inlineStr">
        <is>
          <t>ACCURATEX</t>
        </is>
      </c>
      <c r="C178" s="39" t="inlineStr">
        <is>
          <t>ACCURATEX Cooling Sheets for Hot Sleepers, King Size, Grey</t>
        </is>
      </c>
      <c r="D178" s="105" t="inlineStr">
        <is>
          <t>Poor</t>
        </is>
      </c>
      <c r="E178" s="127" t="inlineStr">
        <is>
          <t>Material not verified</t>
        </is>
      </c>
      <c r="F178" s="105" t="n"/>
      <c r="G178" s="39" t="inlineStr">
        <is>
          <t>Sheet set like ours, but the material is not stated (material not stated on the page or in the title); verify before treating as direct.</t>
        </is>
      </c>
      <c r="H178" s="107" t="inlineStr">
        <is>
          <t>B0GMGSMLQ1</t>
        </is>
      </c>
      <c r="I178" s="107" t="inlineStr">
        <is>
          <t>B09PYB9C45</t>
        </is>
      </c>
      <c r="J178" s="105" t="inlineStr">
        <is>
          <t>King</t>
        </is>
      </c>
      <c r="K178" s="105" t="inlineStr">
        <is>
          <t>Grey</t>
        </is>
      </c>
      <c r="L178" s="108" t="n">
        <v>51</v>
      </c>
      <c r="M178" s="39" t="inlineStr"/>
      <c r="N178" s="109" t="n">
        <v>69.98999999999999</v>
      </c>
      <c r="O178" s="109" t="n"/>
      <c r="P178" s="110">
        <f>IF(AND(ISNUMBER(O178),ISNUMBER(N178),N(N178)&gt;0),O178/N178-1,"")</f>
        <v/>
      </c>
      <c r="Q178" s="111">
        <f>IF(P178="","No List Price",IF(P178&lt;=0,"At/below price",IF(P178&lt;=0.12,"&lt;=12% STR zone",IF(P178&lt;=0.25,"12-25%","&gt;25% over"))))</f>
        <v/>
      </c>
      <c r="R178" s="109" t="n">
        <v>94.98999999999999</v>
      </c>
      <c r="S178" s="112">
        <f>IF(AND(ISNUMBER(N178),ISNUMBER(R178),N(R178)&gt;0),N178/R178-1,"")</f>
        <v/>
      </c>
      <c r="T178" s="39" t="inlineStr">
        <is>
          <t>Same size (King). Ours live: catalog price, 2026-10-13; 15 children</t>
        </is>
      </c>
      <c r="U178" s="108" t="n">
        <v>33423</v>
      </c>
      <c r="V178" s="108" t="n">
        <v>35</v>
      </c>
      <c r="W178" s="113">
        <f>IF(AND(ISNUMBER(N178),ISNUMBER(V178)),N178*V178*52/12,"")</f>
        <v/>
      </c>
      <c r="X178" s="114" t="n">
        <v>4.4</v>
      </c>
      <c r="Y178" s="108" t="n">
        <v>1040</v>
      </c>
      <c r="Z178" s="115" t="n">
        <v>46307</v>
      </c>
      <c r="AA178" s="115" t="n">
        <v>44681</v>
      </c>
      <c r="AB178" s="105" t="inlineStr">
        <is>
          <t>FBA</t>
        </is>
      </c>
      <c r="AC178" s="105" t="inlineStr">
        <is>
          <t>CN</t>
        </is>
      </c>
      <c r="AD178" s="108" t="n"/>
      <c r="AE178" s="108" t="n"/>
      <c r="AF178" s="116" t="n"/>
      <c r="AG178" s="116" t="n"/>
      <c r="AH178" s="39" t="n"/>
      <c r="AI178" s="116" t="n"/>
      <c r="AJ178" s="116" t="n"/>
      <c r="AK178" s="116" t="n"/>
      <c r="AL178" s="116" t="n"/>
      <c r="AM178" s="108" t="n"/>
      <c r="AN178" s="108" t="n"/>
      <c r="AO178" s="108" t="n"/>
      <c r="AP178" s="108" t="n"/>
      <c r="AQ178" s="108" t="n"/>
      <c r="AR178" s="108" t="n"/>
      <c r="AS178" s="117" t="n"/>
      <c r="AT178" s="112" t="n"/>
      <c r="AU178" s="118" t="inlineStr">
        <is>
          <t>N</t>
        </is>
      </c>
      <c r="AV178" s="118" t="inlineStr">
        <is>
          <t>none</t>
        </is>
      </c>
      <c r="AW178" s="124" t="n"/>
      <c r="AX178" s="119" t="n">
        <v>69.98999999999999</v>
      </c>
      <c r="AY178" s="118" t="inlineStr">
        <is>
          <t>none</t>
        </is>
      </c>
      <c r="AZ178" s="118" t="inlineStr">
        <is>
          <t>Y</t>
        </is>
      </c>
      <c r="BA178" s="118" t="inlineStr">
        <is>
          <t>2026-10-13 23:35:28</t>
        </is>
      </c>
      <c r="BB178" s="120" t="inlineStr">
        <is>
          <t>Prime Exclusive Discount</t>
        </is>
      </c>
      <c r="BC178" s="120" t="inlineStr">
        <is>
          <t>11-26 to 12-01</t>
        </is>
      </c>
      <c r="BD178" s="121" t="n">
        <v>59.49</v>
      </c>
      <c r="BE178" s="121" t="n">
        <v>59.49</v>
      </c>
      <c r="BF178" s="110">
        <f>IF(AND(ISNUMBER(BD178),ISNUMBER(BE178),N(BD178)&gt;0),1-BE178/BD178,"")</f>
        <v/>
      </c>
      <c r="BG178" s="122" t="n">
        <v>33899</v>
      </c>
      <c r="BH178" s="122" t="n">
        <v>51988</v>
      </c>
      <c r="BI178" s="123">
        <f>IF(AND(ISNUMBER(BG178),ISNUMBER(BH178),N(BH178)&gt;0),BG178/BH178,"")</f>
        <v/>
      </c>
      <c r="BJ178" s="120" t="inlineStr">
        <is>
          <t>N</t>
        </is>
      </c>
      <c r="BK178" s="120" t="inlineStr">
        <is>
          <t>Lightning Deal 11-13 to 11-13; Buy Box RAISED in BFCM week (median $74.99 vs $69.99 before); List Price $74.99</t>
        </is>
      </c>
    </row>
    <row r="179" ht="62" customHeight="1">
      <c r="A179" s="12">
        <f>_xlfn.IMAGE("https://images-na.ssl-images-amazon.com/images/I/81fpVjndH2L.jpg")</f>
        <v/>
      </c>
      <c r="B179" s="105" t="inlineStr">
        <is>
          <t>Shilucheng</t>
        </is>
      </c>
      <c r="C179" s="39" t="inlineStr">
        <is>
          <t>Shilucheng 4 Piece Queen Sheet Sets, Cooling Sheets, Dark Grey</t>
        </is>
      </c>
      <c r="D179" s="105" t="inlineStr">
        <is>
          <t>Untiered</t>
        </is>
      </c>
      <c r="E179" s="127" t="inlineStr">
        <is>
          <t>Material not verified</t>
        </is>
      </c>
      <c r="F179" s="105" t="n"/>
      <c r="G179" s="39" t="inlineStr">
        <is>
          <t>Sheet set like ours, but the material is not stated (material not stated on the page or in the title); verify before treating as direct.</t>
        </is>
      </c>
      <c r="H179" s="107" t="inlineStr">
        <is>
          <t>B0HJSVWNRS</t>
        </is>
      </c>
      <c r="I179" s="107" t="inlineStr">
        <is>
          <t>B0FWY1TGFK</t>
        </is>
      </c>
      <c r="J179" s="105" t="inlineStr">
        <is>
          <t>Queen</t>
        </is>
      </c>
      <c r="K179" s="105" t="inlineStr">
        <is>
          <t>Grey</t>
        </is>
      </c>
      <c r="L179" s="108" t="n">
        <v>49</v>
      </c>
      <c r="M179" s="39" t="inlineStr">
        <is>
          <t>B0FWY1TGFK (67%), B098JT1RF2 (22%)</t>
        </is>
      </c>
      <c r="N179" s="109" t="n">
        <v>34.99</v>
      </c>
      <c r="O179" s="109" t="n"/>
      <c r="P179" s="110">
        <f>IF(AND(ISNUMBER(O179),ISNUMBER(N179),N(N179)&gt;0),O179/N179-1,"")</f>
        <v/>
      </c>
      <c r="Q179" s="111">
        <f>IF(P179="","No List Price",IF(P179&lt;=0,"At/below price",IF(P179&lt;=0.12,"&lt;=12% STR zone",IF(P179&lt;=0.25,"12-25%","&gt;25% over"))))</f>
        <v/>
      </c>
      <c r="R179" s="109" t="n">
        <v>89.98999999999999</v>
      </c>
      <c r="S179" s="112">
        <f>IF(AND(ISNUMBER(N179),ISNUMBER(R179),N(R179)&gt;0),N179/R179-1,"")</f>
        <v/>
      </c>
      <c r="T179" s="39" t="inlineStr">
        <is>
          <t>Same size (Queen). Ours live: catalog price, 2026-10-13; 15 children</t>
        </is>
      </c>
      <c r="U179" s="108" t="n">
        <v>5396</v>
      </c>
      <c r="V179" s="108" t="n">
        <v>173</v>
      </c>
      <c r="W179" s="113">
        <f>IF(AND(ISNUMBER(N179),ISNUMBER(V179)),N179*V179*52/12,"")</f>
        <v/>
      </c>
      <c r="X179" s="114" t="n">
        <v>4.3</v>
      </c>
      <c r="Y179" s="108" t="n">
        <v>24352</v>
      </c>
      <c r="Z179" s="115" t="n">
        <v>46307</v>
      </c>
      <c r="AA179" s="115" t="n"/>
      <c r="AB179" s="105" t="n"/>
      <c r="AC179" s="105" t="n"/>
      <c r="AD179" s="108" t="n">
        <v>135323</v>
      </c>
      <c r="AE179" s="108" t="n">
        <v>1187</v>
      </c>
      <c r="AF179" s="116" t="n">
        <v>0.7652350080917514</v>
      </c>
      <c r="AG179" s="116" t="n">
        <v>0.234765015555375</v>
      </c>
      <c r="AH179" s="39" t="inlineStr">
        <is>
          <t>bamboo sheets</t>
        </is>
      </c>
      <c r="AI179" s="116" t="n">
        <v>0.4715236877692632</v>
      </c>
      <c r="AJ179" s="116" t="n"/>
      <c r="AK179" s="116" t="n"/>
      <c r="AL179" s="116" t="n">
        <v>0.03684517783377549</v>
      </c>
      <c r="AM179" s="108" t="n">
        <v>680</v>
      </c>
      <c r="AN179" s="108" t="n">
        <v>214</v>
      </c>
      <c r="AO179" s="108" t="n">
        <v>439</v>
      </c>
      <c r="AP179" s="108" t="n">
        <v>507</v>
      </c>
      <c r="AQ179" s="108" t="n">
        <v>384</v>
      </c>
      <c r="AR179" s="108" t="n">
        <v>18</v>
      </c>
      <c r="AS179" s="117" t="n"/>
      <c r="AT179" s="112" t="n">
        <v>-0.9497907949790795</v>
      </c>
      <c r="AU179" s="118" t="inlineStr">
        <is>
          <t>N</t>
        </is>
      </c>
      <c r="AV179" s="118" t="inlineStr">
        <is>
          <t>none</t>
        </is>
      </c>
      <c r="AW179" s="124" t="n"/>
      <c r="AX179" s="119" t="n">
        <v>34.99</v>
      </c>
      <c r="AY179" s="118" t="inlineStr">
        <is>
          <t>coupon 15%</t>
        </is>
      </c>
      <c r="AZ179" s="118" t="inlineStr">
        <is>
          <t>Y</t>
        </is>
      </c>
      <c r="BA179" s="118" t="inlineStr">
        <is>
          <t>2026-10-13 12:11:26</t>
        </is>
      </c>
      <c r="BB179" s="120" t="inlineStr">
        <is>
          <t>Coupon only</t>
        </is>
      </c>
      <c r="BC179" s="120" t="inlineStr">
        <is>
          <t>11-09 to 11-21</t>
        </is>
      </c>
      <c r="BD179" s="121" t="n">
        <v>34.9</v>
      </c>
      <c r="BE179" s="121" t="n">
        <v>28.18</v>
      </c>
      <c r="BF179" s="110">
        <f>IF(AND(ISNUMBER(BD179),ISNUMBER(BE179),N(BD179)&gt;0),1-BE179/BD179,"")</f>
        <v/>
      </c>
      <c r="BG179" s="122" t="n">
        <v>4671</v>
      </c>
      <c r="BH179" s="122" t="n">
        <v>3278</v>
      </c>
      <c r="BI179" s="123">
        <f>IF(AND(ISNUMBER(BG179),ISNUMBER(BH179),N(BH179)&gt;0),BG179/BH179,"")</f>
        <v/>
      </c>
      <c r="BJ179" s="120" t="inlineStr">
        <is>
          <t>N</t>
        </is>
      </c>
      <c r="BK179" s="120" t="inlineStr">
        <is>
          <t>Coupon 15%; List Price $34.90</t>
        </is>
      </c>
    </row>
    <row r="180" ht="62" customHeight="1">
      <c r="A180" s="12">
        <f>_xlfn.IMAGE("https://images-na.ssl-images-amazon.com/images/I/81fpVjndH2L.jpg")</f>
        <v/>
      </c>
      <c r="B180" s="105" t="inlineStr">
        <is>
          <t>Shilucheng</t>
        </is>
      </c>
      <c r="C180" s="39" t="inlineStr">
        <is>
          <t>Shilucheng 4 Piece King Sheet Sets, Cooling Sheets, Dark Grey</t>
        </is>
      </c>
      <c r="D180" s="105" t="inlineStr">
        <is>
          <t>Untiered</t>
        </is>
      </c>
      <c r="E180" s="127" t="inlineStr">
        <is>
          <t>Material not verified</t>
        </is>
      </c>
      <c r="F180" s="105" t="n"/>
      <c r="G180" s="39" t="inlineStr">
        <is>
          <t>Sheet set like ours, but the material is not stated (material not stated on the page or in the title); verify before treating as direct.</t>
        </is>
      </c>
      <c r="H180" s="107" t="inlineStr">
        <is>
          <t>B098JT1RF2</t>
        </is>
      </c>
      <c r="I180" s="107" t="inlineStr">
        <is>
          <t>B098JT1RF2</t>
        </is>
      </c>
      <c r="J180" s="105" t="inlineStr">
        <is>
          <t>King</t>
        </is>
      </c>
      <c r="K180" s="105" t="inlineStr">
        <is>
          <t>Grey</t>
        </is>
      </c>
      <c r="L180" s="108" t="n">
        <v>100</v>
      </c>
      <c r="M180" s="39" t="inlineStr">
        <is>
          <t>B0FWY1TGFK (65%), B098JT1RF2 (23%)</t>
        </is>
      </c>
      <c r="N180" s="109" t="n">
        <v>37.9</v>
      </c>
      <c r="O180" s="109" t="n"/>
      <c r="P180" s="110">
        <f>IF(AND(ISNUMBER(O180),ISNUMBER(N180),N(N180)&gt;0),O180/N180-1,"")</f>
        <v/>
      </c>
      <c r="Q180" s="111">
        <f>IF(P180="","No List Price",IF(P180&lt;=0,"At/below price",IF(P180&lt;=0.12,"&lt;=12% STR zone",IF(P180&lt;=0.25,"12-25%","&gt;25% over"))))</f>
        <v/>
      </c>
      <c r="R180" s="109" t="n">
        <v>94.98999999999999</v>
      </c>
      <c r="S180" s="112">
        <f>IF(AND(ISNUMBER(N180),ISNUMBER(R180),N(R180)&gt;0),N180/R180-1,"")</f>
        <v/>
      </c>
      <c r="T180" s="39" t="inlineStr">
        <is>
          <t>Same size (King). Ours live: catalog price, 2026-10-13; 15 children</t>
        </is>
      </c>
      <c r="U180" s="108" t="n">
        <v>9187</v>
      </c>
      <c r="V180" s="108" t="n">
        <v>18</v>
      </c>
      <c r="W180" s="113">
        <f>IF(AND(ISNUMBER(N180),ISNUMBER(V180)),N180*V180*52/12,"")</f>
        <v/>
      </c>
      <c r="X180" s="114" t="n">
        <v>4.3</v>
      </c>
      <c r="Y180" s="108" t="n">
        <v>24333</v>
      </c>
      <c r="Z180" s="115" t="n">
        <v>46286</v>
      </c>
      <c r="AA180" s="115" t="n">
        <v>44379</v>
      </c>
      <c r="AB180" s="105" t="inlineStr">
        <is>
          <t>FBA</t>
        </is>
      </c>
      <c r="AC180" s="105" t="inlineStr">
        <is>
          <t>CN</t>
        </is>
      </c>
      <c r="AD180" s="108" t="n">
        <v>23320</v>
      </c>
      <c r="AE180" s="108" t="n">
        <v>859</v>
      </c>
      <c r="AF180" s="116" t="n">
        <v>0.6141093996569467</v>
      </c>
      <c r="AG180" s="116" t="n">
        <v>0.3858907375643228</v>
      </c>
      <c r="AH180" s="39" t="inlineStr">
        <is>
          <t>bamboo sheets</t>
        </is>
      </c>
      <c r="AI180" s="116" t="n">
        <v>0.5330188679245284</v>
      </c>
      <c r="AJ180" s="116" t="n"/>
      <c r="AK180" s="116" t="n"/>
      <c r="AL180" s="116" t="n">
        <v>0.006989708404802744</v>
      </c>
      <c r="AM180" s="108" t="n">
        <v>550</v>
      </c>
      <c r="AN180" s="108" t="n">
        <v>255</v>
      </c>
      <c r="AO180" s="108" t="n">
        <v>264</v>
      </c>
      <c r="AP180" s="108" t="n">
        <v>309</v>
      </c>
      <c r="AQ180" s="108" t="n">
        <v>186</v>
      </c>
      <c r="AR180" s="108" t="n">
        <v>22</v>
      </c>
      <c r="AS180" s="117" t="n"/>
      <c r="AT180" s="112" t="n">
        <v>-0.9551569506726457</v>
      </c>
      <c r="AU180" s="118" t="inlineStr">
        <is>
          <t>N</t>
        </is>
      </c>
      <c r="AV180" s="118" t="inlineStr">
        <is>
          <t>none</t>
        </is>
      </c>
      <c r="AW180" s="124" t="n"/>
      <c r="AX180" s="119" t="n">
        <v>37.9</v>
      </c>
      <c r="AY180" s="118" t="inlineStr">
        <is>
          <t>coupon 15%</t>
        </is>
      </c>
      <c r="AZ180" s="118" t="inlineStr">
        <is>
          <t>Y</t>
        </is>
      </c>
      <c r="BA180" s="118" t="inlineStr">
        <is>
          <t>2026-10-13 12:11:29</t>
        </is>
      </c>
      <c r="BB180" s="120" t="inlineStr">
        <is>
          <t>Coupon only</t>
        </is>
      </c>
      <c r="BC180" s="120" t="inlineStr">
        <is>
          <t>11-05 to 12-05</t>
        </is>
      </c>
      <c r="BD180" s="121" t="n">
        <v>37.9</v>
      </c>
      <c r="BE180" s="121" t="n">
        <v>30.32</v>
      </c>
      <c r="BF180" s="110">
        <f>IF(AND(ISNUMBER(BD180),ISNUMBER(BE180),N(BD180)&gt;0),1-BE180/BD180,"")</f>
        <v/>
      </c>
      <c r="BG180" s="122" t="n">
        <v>4668</v>
      </c>
      <c r="BH180" s="122" t="n">
        <v>3277</v>
      </c>
      <c r="BI180" s="123">
        <f>IF(AND(ISNUMBER(BG180),ISNUMBER(BH180),N(BH180)&gt;0),BG180/BH180,"")</f>
        <v/>
      </c>
      <c r="BJ180" s="120" t="inlineStr">
        <is>
          <t>N</t>
        </is>
      </c>
      <c r="BK180" s="120" t="inlineStr">
        <is>
          <t>Coupon 15%; List Price $37.90</t>
        </is>
      </c>
    </row>
    <row r="181" ht="62" customHeight="1">
      <c r="A181" s="12">
        <f>_xlfn.IMAGE("https://m.media-amazon.com/images/I/71vDRpdS5DL._AC_SL1500_.jpg")</f>
        <v/>
      </c>
      <c r="B181" s="105" t="inlineStr">
        <is>
          <t>Pillcase</t>
        </is>
      </c>
      <c r="C181" s="39" t="inlineStr">
        <is>
          <t>100% Real Bamboo Viscose &amp; Lyocell Tencel Sheets Set Queen Size | Breathable &amp; C</t>
        </is>
      </c>
      <c r="D181" s="105" t="inlineStr">
        <is>
          <t>Beatable</t>
        </is>
      </c>
      <c r="E181" s="128" t="inlineStr">
        <is>
          <t>Alternative material</t>
        </is>
      </c>
      <c r="F181" s="105" t="inlineStr">
        <is>
          <t>Microfiber / polyester</t>
        </is>
      </c>
      <c r="G181" s="39" t="inlineStr">
        <is>
          <t>Sheet set in Microfiber / polyester (product page material: Microfiber); ours is Bamboo viscose (our listing: viscose from bamboo). Shopper may cross-shop, but not like-for-like.</t>
        </is>
      </c>
      <c r="H181" s="107" t="inlineStr">
        <is>
          <t>B0H1GGHHVN</t>
        </is>
      </c>
      <c r="I181" s="107" t="inlineStr">
        <is>
          <t>B0HFZQRXXQ</t>
        </is>
      </c>
      <c r="J181" s="105" t="inlineStr">
        <is>
          <t>Queen</t>
        </is>
      </c>
      <c r="K181" s="105" t="inlineStr">
        <is>
          <t>French Blue</t>
        </is>
      </c>
      <c r="L181" s="108" t="n">
        <v>20</v>
      </c>
      <c r="M181" s="39" t="inlineStr">
        <is>
          <t>B0H9K6WK34 (27%), B0H1GVML4Z (24%), B0HFXGSDF1 (22%), B0HBX793L8 (12%)</t>
        </is>
      </c>
      <c r="N181" s="109" t="n">
        <v>79</v>
      </c>
      <c r="O181" s="109" t="n">
        <v>109</v>
      </c>
      <c r="P181" s="110">
        <f>IF(AND(ISNUMBER(O181),ISNUMBER(N181),N(N181)&gt;0),O181/N181-1,"")</f>
        <v/>
      </c>
      <c r="Q181" s="111">
        <f>IF(P181="","No List Price",IF(P181&lt;=0,"At/below price",IF(P181&lt;=0.12,"&lt;=12% STR zone",IF(P181&lt;=0.25,"12-25%","&gt;25% over"))))</f>
        <v/>
      </c>
      <c r="R181" s="109" t="n">
        <v>89.98999999999999</v>
      </c>
      <c r="S181" s="112">
        <f>IF(AND(ISNUMBER(N181),ISNUMBER(R181),N(R181)&gt;0),N181/R181-1,"")</f>
        <v/>
      </c>
      <c r="T181" s="39" t="inlineStr">
        <is>
          <t>Same size (Queen). Ours live: catalog price, 2026-10-13; 15 children</t>
        </is>
      </c>
      <c r="U181" s="108" t="n">
        <v>28003</v>
      </c>
      <c r="V181" s="108" t="n">
        <v>35</v>
      </c>
      <c r="W181" s="113">
        <f>IF(AND(ISNUMBER(N181),ISNUMBER(V181)),N181*V181*52/12,"")</f>
        <v/>
      </c>
      <c r="X181" s="114" t="n">
        <v>4.8</v>
      </c>
      <c r="Y181" s="108" t="n">
        <v>279</v>
      </c>
      <c r="Z181" s="115" t="n">
        <v>46307</v>
      </c>
      <c r="AA181" s="115" t="n"/>
      <c r="AB181" s="105" t="n"/>
      <c r="AC181" s="105" t="n"/>
      <c r="AD181" s="108" t="n">
        <v>216953</v>
      </c>
      <c r="AE181" s="108" t="n">
        <v>1218</v>
      </c>
      <c r="AF181" s="116" t="n">
        <v>0.9703615419007803</v>
      </c>
      <c r="AG181" s="116" t="n">
        <v>0.02963845809921965</v>
      </c>
      <c r="AH181" s="39" t="inlineStr">
        <is>
          <t>king size sheets set</t>
        </is>
      </c>
      <c r="AI181" s="116" t="n">
        <v>0.1820394278945209</v>
      </c>
      <c r="AJ181" s="116" t="n"/>
      <c r="AK181" s="116" t="n"/>
      <c r="AL181" s="116" t="n">
        <v>0.01302125345120833</v>
      </c>
      <c r="AM181" s="108" t="n">
        <v>775</v>
      </c>
      <c r="AN181" s="108" t="n">
        <v>181</v>
      </c>
      <c r="AO181" s="108" t="n">
        <v>516</v>
      </c>
      <c r="AP181" s="108" t="n">
        <v>443</v>
      </c>
      <c r="AQ181" s="108" t="n">
        <v>11</v>
      </c>
      <c r="AR181" s="108" t="n">
        <v>4</v>
      </c>
      <c r="AS181" s="117" t="n"/>
      <c r="AT181" s="112" t="n"/>
      <c r="AU181" s="118" t="inlineStr">
        <is>
          <t>Y</t>
        </is>
      </c>
      <c r="AV181" s="118" t="inlineStr">
        <is>
          <t>List Price</t>
        </is>
      </c>
      <c r="AW181" s="119" t="n">
        <v>109</v>
      </c>
      <c r="AX181" s="119" t="n">
        <v>79</v>
      </c>
      <c r="AY181" s="118" t="inlineStr">
        <is>
          <t>none</t>
        </is>
      </c>
      <c r="AZ181" s="118" t="inlineStr">
        <is>
          <t>Y</t>
        </is>
      </c>
      <c r="BA181" s="118" t="inlineStr">
        <is>
          <t>2026-10-13 12:11:07</t>
        </is>
      </c>
      <c r="BB181" s="120" t="inlineStr">
        <is>
          <t>Not live in 2025</t>
        </is>
      </c>
      <c r="BC181" s="125" t="n"/>
      <c r="BD181" s="124" t="n"/>
      <c r="BE181" s="124" t="n"/>
      <c r="BF181" s="110">
        <f>IF(AND(ISNUMBER(BD181),ISNUMBER(BE181),N(BD181)&gt;0),1-BE181/BD181,"")</f>
        <v/>
      </c>
      <c r="BG181" s="126" t="n"/>
      <c r="BH181" s="126" t="n"/>
      <c r="BI181" s="123">
        <f>IF(AND(ISNUMBER(BG181),ISNUMBER(BH181),N(BH181)&gt;0),BG181/BH181,"")</f>
        <v/>
      </c>
      <c r="BJ181" s="125" t="n"/>
      <c r="BK181" s="125" t="n"/>
    </row>
    <row r="182" ht="62" customHeight="1">
      <c r="A182" s="12">
        <f>_xlfn.IMAGE("https://m.media-amazon.com/images/I/71F9T6wfwRL._AC_SL1500_.jpg")</f>
        <v/>
      </c>
      <c r="B182" s="105" t="inlineStr">
        <is>
          <t>Pillcase</t>
        </is>
      </c>
      <c r="C182" s="39" t="inlineStr">
        <is>
          <t>100% Real Bamboo Viscose &amp; Lyocell Tencel Sheets Set Queen Size | Breathable &amp; C</t>
        </is>
      </c>
      <c r="D182" s="105" t="inlineStr">
        <is>
          <t>Beatable</t>
        </is>
      </c>
      <c r="E182" s="128" t="inlineStr">
        <is>
          <t>Alternative material</t>
        </is>
      </c>
      <c r="F182" s="105" t="inlineStr">
        <is>
          <t>Microfiber / polyester</t>
        </is>
      </c>
      <c r="G182" s="39" t="inlineStr">
        <is>
          <t>Sheet set in Microfiber / polyester (product page material: Microfiber); ours is Bamboo viscose (our listing: viscose from bamboo). Shopper may cross-shop, but not like-for-like.</t>
        </is>
      </c>
      <c r="H182" s="107" t="inlineStr">
        <is>
          <t>B0HK71WHZW</t>
        </is>
      </c>
      <c r="I182" s="107" t="inlineStr">
        <is>
          <t>B0H1BWY4MD</t>
        </is>
      </c>
      <c r="J182" s="105" t="inlineStr">
        <is>
          <t>Queen</t>
        </is>
      </c>
      <c r="K182" s="105" t="inlineStr">
        <is>
          <t>Charcoal</t>
        </is>
      </c>
      <c r="L182" s="108" t="n">
        <v>22</v>
      </c>
      <c r="M182" s="39" t="inlineStr">
        <is>
          <t>B0HBXCGQM1 (57%), B0HF8HHN46 (7%), B0HBXK2Y4B (5%), B0H1BWY4MD (5%), B0H28FT5DH (4%)</t>
        </is>
      </c>
      <c r="N182" s="109" t="n">
        <v>79</v>
      </c>
      <c r="O182" s="109" t="n"/>
      <c r="P182" s="110">
        <f>IF(AND(ISNUMBER(O182),ISNUMBER(N182),N(N182)&gt;0),O182/N182-1,"")</f>
        <v/>
      </c>
      <c r="Q182" s="111">
        <f>IF(P182="","No List Price",IF(P182&lt;=0,"At/below price",IF(P182&lt;=0.12,"&lt;=12% STR zone",IF(P182&lt;=0.25,"12-25%","&gt;25% over"))))</f>
        <v/>
      </c>
      <c r="R182" s="109" t="n">
        <v>89.98999999999999</v>
      </c>
      <c r="S182" s="112">
        <f>IF(AND(ISNUMBER(N182),ISNUMBER(R182),N(R182)&gt;0),N182/R182-1,"")</f>
        <v/>
      </c>
      <c r="T182" s="39" t="inlineStr">
        <is>
          <t>Same size (Queen). Ours live: catalog price, 2026-10-13; 15 children</t>
        </is>
      </c>
      <c r="U182" s="108" t="n">
        <v>38116</v>
      </c>
      <c r="V182" s="108" t="n">
        <v>18</v>
      </c>
      <c r="W182" s="113">
        <f>IF(AND(ISNUMBER(N182),ISNUMBER(V182)),N182*V182*52/12,"")</f>
        <v/>
      </c>
      <c r="X182" s="114" t="n">
        <v>4.9</v>
      </c>
      <c r="Y182" s="108" t="n">
        <v>201</v>
      </c>
      <c r="Z182" s="115" t="n">
        <v>46307</v>
      </c>
      <c r="AA182" s="115" t="n"/>
      <c r="AB182" s="105" t="n"/>
      <c r="AC182" s="105" t="n"/>
      <c r="AD182" s="108" t="n">
        <v>116001</v>
      </c>
      <c r="AE182" s="108" t="n">
        <v>1002</v>
      </c>
      <c r="AF182" s="116" t="n">
        <v>0.8987684407893036</v>
      </c>
      <c r="AG182" s="116" t="n">
        <v>0.1012329385091508</v>
      </c>
      <c r="AH182" s="39" t="inlineStr">
        <is>
          <t>bamboo sheets</t>
        </is>
      </c>
      <c r="AI182" s="116" t="n">
        <v>0.5789691468176998</v>
      </c>
      <c r="AJ182" s="116" t="n"/>
      <c r="AK182" s="116" t="n"/>
      <c r="AL182" s="116" t="n">
        <v>0.01296540547064249</v>
      </c>
      <c r="AM182" s="108" t="n">
        <v>657</v>
      </c>
      <c r="AN182" s="108" t="n">
        <v>241</v>
      </c>
      <c r="AO182" s="108" t="n">
        <v>361</v>
      </c>
      <c r="AP182" s="108" t="n">
        <v>345</v>
      </c>
      <c r="AQ182" s="108" t="n">
        <v>48</v>
      </c>
      <c r="AR182" s="108" t="n">
        <v>15</v>
      </c>
      <c r="AS182" s="117" t="n"/>
      <c r="AT182" s="112" t="n"/>
      <c r="AU182" s="118" t="inlineStr">
        <is>
          <t>Y</t>
        </is>
      </c>
      <c r="AV182" s="118" t="inlineStr">
        <is>
          <t>List Price</t>
        </is>
      </c>
      <c r="AW182" s="119" t="n">
        <v>99</v>
      </c>
      <c r="AX182" s="119" t="n">
        <v>79</v>
      </c>
      <c r="AY182" s="118" t="inlineStr">
        <is>
          <t>none</t>
        </is>
      </c>
      <c r="AZ182" s="118" t="inlineStr">
        <is>
          <t>Y</t>
        </is>
      </c>
      <c r="BA182" s="118" t="inlineStr">
        <is>
          <t>2026-10-13 12:11:10</t>
        </is>
      </c>
      <c r="BB182" s="120" t="inlineStr">
        <is>
          <t>Not live in 2025</t>
        </is>
      </c>
      <c r="BC182" s="125" t="n"/>
      <c r="BD182" s="124" t="n"/>
      <c r="BE182" s="124" t="n"/>
      <c r="BF182" s="110">
        <f>IF(AND(ISNUMBER(BD182),ISNUMBER(BE182),N(BD182)&gt;0),1-BE182/BD182,"")</f>
        <v/>
      </c>
      <c r="BG182" s="126" t="n"/>
      <c r="BH182" s="126" t="n"/>
      <c r="BI182" s="123">
        <f>IF(AND(ISNUMBER(BG182),ISNUMBER(BH182),N(BH182)&gt;0),BG182/BH182,"")</f>
        <v/>
      </c>
      <c r="BJ182" s="125" t="n"/>
      <c r="BK182" s="125" t="n"/>
    </row>
    <row r="183" ht="62" customHeight="1">
      <c r="A183" s="12">
        <f>_xlfn.IMAGE("https://m.media-amazon.com/images/I/61mi8zwd8GL._AC_SL1500_.jpg")</f>
        <v/>
      </c>
      <c r="B183" s="105" t="inlineStr">
        <is>
          <t>Pillcase</t>
        </is>
      </c>
      <c r="C183" s="39" t="inlineStr">
        <is>
          <t>Cooling Hotel Bedding Sheet Set - 4pcs Bamboo Viscose &amp; Tencel Blend, Moisture-W</t>
        </is>
      </c>
      <c r="D183" s="105" t="inlineStr">
        <is>
          <t>Beatable</t>
        </is>
      </c>
      <c r="E183" s="128" t="inlineStr">
        <is>
          <t>Alternative material</t>
        </is>
      </c>
      <c r="F183" s="105" t="inlineStr">
        <is>
          <t>Microfiber / polyester</t>
        </is>
      </c>
      <c r="G183" s="39" t="inlineStr">
        <is>
          <t>Sheet set in Microfiber / polyester (product page material: Microfiber); ours is Bamboo viscose (our listing: viscose from bamboo). Shopper may cross-shop, but not like-for-like.</t>
        </is>
      </c>
      <c r="H183" s="107" t="inlineStr">
        <is>
          <t>B0HJYG8V9Q</t>
        </is>
      </c>
      <c r="I183" s="107" t="inlineStr">
        <is>
          <t>B0HJYG8V9Q</t>
        </is>
      </c>
      <c r="J183" s="105" t="inlineStr">
        <is>
          <t>King</t>
        </is>
      </c>
      <c r="K183" s="105" t="inlineStr">
        <is>
          <t>Pearl White</t>
        </is>
      </c>
      <c r="L183" s="108" t="n">
        <v>1</v>
      </c>
      <c r="M183" s="39" t="inlineStr">
        <is>
          <t>B0HJYG8V9Q (100%)</t>
        </is>
      </c>
      <c r="N183" s="109" t="n">
        <v>79.98999999999999</v>
      </c>
      <c r="O183" s="109" t="n"/>
      <c r="P183" s="110">
        <f>IF(AND(ISNUMBER(O183),ISNUMBER(N183),N(N183)&gt;0),O183/N183-1,"")</f>
        <v/>
      </c>
      <c r="Q183" s="111">
        <f>IF(P183="","No List Price",IF(P183&lt;=0,"At/below price",IF(P183&lt;=0.12,"&lt;=12% STR zone",IF(P183&lt;=0.25,"12-25%","&gt;25% over"))))</f>
        <v/>
      </c>
      <c r="R183" s="109" t="n">
        <v>94.98999999999999</v>
      </c>
      <c r="S183" s="112">
        <f>IF(AND(ISNUMBER(N183),ISNUMBER(R183),N(R183)&gt;0),N183/R183-1,"")</f>
        <v/>
      </c>
      <c r="T183" s="39" t="inlineStr">
        <is>
          <t>Same size (King). Ours live: catalog price, 2026-10-13; 15 children</t>
        </is>
      </c>
      <c r="U183" s="108" t="n">
        <v>762451</v>
      </c>
      <c r="V183" s="108" t="n">
        <v>5</v>
      </c>
      <c r="W183" s="113">
        <f>IF(AND(ISNUMBER(N183),ISNUMBER(V183)),N183*V183*52/12,"")</f>
        <v/>
      </c>
      <c r="X183" s="114" t="n">
        <v>4</v>
      </c>
      <c r="Y183" s="108" t="n"/>
      <c r="Z183" s="115" t="n">
        <v>46307</v>
      </c>
      <c r="AA183" s="115" t="n"/>
      <c r="AB183" s="105" t="n"/>
      <c r="AC183" s="105" t="n"/>
      <c r="AD183" s="108" t="n">
        <v>57075</v>
      </c>
      <c r="AE183" s="108" t="n">
        <v>90</v>
      </c>
      <c r="AF183" s="116" t="n">
        <v>0.9991762628120894</v>
      </c>
      <c r="AG183" s="116" t="n">
        <v>0.0008237371879106438</v>
      </c>
      <c r="AH183" s="39" t="inlineStr">
        <is>
          <t>king size sheets set</t>
        </is>
      </c>
      <c r="AI183" s="116" t="n">
        <v>0.1639071397284275</v>
      </c>
      <c r="AJ183" s="116" t="n"/>
      <c r="AK183" s="116" t="n"/>
      <c r="AL183" s="116" t="n"/>
      <c r="AM183" s="108" t="n">
        <v>88</v>
      </c>
      <c r="AN183" s="108" t="n">
        <v>61</v>
      </c>
      <c r="AO183" s="108" t="n">
        <v>27</v>
      </c>
      <c r="AP183" s="108" t="n">
        <v>2</v>
      </c>
      <c r="AQ183" s="108" t="n">
        <v>0</v>
      </c>
      <c r="AR183" s="108" t="n">
        <v>0</v>
      </c>
      <c r="AS183" s="117" t="n"/>
      <c r="AT183" s="112" t="n"/>
      <c r="AU183" s="118" t="inlineStr">
        <is>
          <t>N</t>
        </is>
      </c>
      <c r="AV183" s="118" t="inlineStr">
        <is>
          <t>none</t>
        </is>
      </c>
      <c r="AW183" s="124" t="n"/>
      <c r="AX183" s="124" t="n"/>
      <c r="AY183" s="118" t="inlineStr">
        <is>
          <t>none</t>
        </is>
      </c>
      <c r="AZ183" s="118" t="inlineStr">
        <is>
          <t>N</t>
        </is>
      </c>
      <c r="BA183" s="118" t="inlineStr">
        <is>
          <t>2026-10-13 12:11:13</t>
        </is>
      </c>
      <c r="BB183" s="120" t="inlineStr">
        <is>
          <t>Not live in 2025</t>
        </is>
      </c>
      <c r="BC183" s="125" t="n"/>
      <c r="BD183" s="124" t="n"/>
      <c r="BE183" s="124" t="n"/>
      <c r="BF183" s="110">
        <f>IF(AND(ISNUMBER(BD183),ISNUMBER(BE183),N(BD183)&gt;0),1-BE183/BD183,"")</f>
        <v/>
      </c>
      <c r="BG183" s="126" t="n"/>
      <c r="BH183" s="126" t="n"/>
      <c r="BI183" s="123">
        <f>IF(AND(ISNUMBER(BG183),ISNUMBER(BH183),N(BH183)&gt;0),BG183/BH183,"")</f>
        <v/>
      </c>
      <c r="BJ183" s="125" t="n"/>
      <c r="BK183" s="125" t="n"/>
    </row>
    <row r="184" ht="62" customHeight="1">
      <c r="A184" s="12">
        <f>_xlfn.IMAGE("https://images-na.ssl-images-amazon.com/images/I/619BLF7gvdL.jpg")</f>
        <v/>
      </c>
      <c r="B184" s="105" t="inlineStr">
        <is>
          <t>Pillcase</t>
        </is>
      </c>
      <c r="C184" s="39" t="inlineStr">
        <is>
          <t>Pillcase Luxury Organic Tencel &amp; Viscose from Bamboo Cooling Sheet Set,Silky Soft Lyocell Sheets with Deep Pocket, Hypoallergenic &amp; Breathable Bedding with Pillowcases (White, King)</t>
        </is>
      </c>
      <c r="D184" s="105" t="inlineStr">
        <is>
          <t>Beatable</t>
        </is>
      </c>
      <c r="E184" s="128" t="inlineStr">
        <is>
          <t>Alternative material</t>
        </is>
      </c>
      <c r="F184" s="105" t="inlineStr">
        <is>
          <t>Lyocell / eucalyptus</t>
        </is>
      </c>
      <c r="G184" s="39" t="inlineStr">
        <is>
          <t>Sheet set in Lyocell / eucalyptus (title: Pillcase Luxury Organic Tencel &amp; Viscose from Bamboo Cooling); ours is Bamboo viscose (our listing: viscose from bamboo). Shopper may cross-shop, but not like-for-like.</t>
        </is>
      </c>
      <c r="H184" s="105" t="n"/>
      <c r="I184" s="107" t="inlineStr">
        <is>
          <t>B0GZ243WW5</t>
        </is>
      </c>
      <c r="J184" s="105" t="inlineStr">
        <is>
          <t>King</t>
        </is>
      </c>
      <c r="K184" s="105" t="inlineStr">
        <is>
          <t>White</t>
        </is>
      </c>
      <c r="L184" s="108" t="n">
        <v>1</v>
      </c>
      <c r="M184" s="39" t="inlineStr"/>
      <c r="N184" s="109" t="n">
        <v>99</v>
      </c>
      <c r="O184" s="109" t="n"/>
      <c r="P184" s="110">
        <f>IF(AND(ISNUMBER(O184),ISNUMBER(N184),N(N184)&gt;0),O184/N184-1,"")</f>
        <v/>
      </c>
      <c r="Q184" s="111">
        <f>IF(P184="","No List Price",IF(P184&lt;=0,"At/below price",IF(P184&lt;=0.12,"&lt;=12% STR zone",IF(P184&lt;=0.25,"12-25%","&gt;25% over"))))</f>
        <v/>
      </c>
      <c r="R184" s="109" t="n">
        <v>94.98999999999999</v>
      </c>
      <c r="S184" s="112">
        <f>IF(AND(ISNUMBER(N184),ISNUMBER(R184),N(R184)&gt;0),N184/R184-1,"")</f>
        <v/>
      </c>
      <c r="T184" s="39" t="inlineStr">
        <is>
          <t>Same size (King). Ours live: catalog price, 2026-10-13; 15 children</t>
        </is>
      </c>
      <c r="U184" s="108" t="n">
        <v>3440303</v>
      </c>
      <c r="V184" s="108" t="n"/>
      <c r="W184" s="113">
        <f>IF(AND(ISNUMBER(N184),ISNUMBER(V184)),N184*V184*52/12,"")</f>
        <v/>
      </c>
      <c r="X184" s="114" t="n">
        <v>4.9</v>
      </c>
      <c r="Y184" s="108" t="n">
        <v>201</v>
      </c>
      <c r="Z184" s="115" t="n">
        <v>46306</v>
      </c>
      <c r="AA184" s="115" t="n">
        <v>46143</v>
      </c>
      <c r="AB184" s="105" t="inlineStr">
        <is>
          <t>FBM</t>
        </is>
      </c>
      <c r="AC184" s="105" t="inlineStr">
        <is>
          <t>N/A</t>
        </is>
      </c>
      <c r="AD184" s="108" t="n"/>
      <c r="AE184" s="108" t="n"/>
      <c r="AF184" s="116" t="n"/>
      <c r="AG184" s="116" t="n"/>
      <c r="AH184" s="39" t="n"/>
      <c r="AI184" s="116" t="n"/>
      <c r="AJ184" s="116" t="n"/>
      <c r="AK184" s="116" t="n"/>
      <c r="AL184" s="116" t="n"/>
      <c r="AM184" s="108" t="n"/>
      <c r="AN184" s="108" t="n"/>
      <c r="AO184" s="108" t="n"/>
      <c r="AP184" s="108" t="n"/>
      <c r="AQ184" s="108" t="n"/>
      <c r="AR184" s="108" t="n"/>
      <c r="AS184" s="117" t="n"/>
      <c r="AT184" s="112" t="n"/>
      <c r="AU184" s="125" t="n"/>
      <c r="AV184" s="125" t="n"/>
      <c r="AW184" s="124" t="n"/>
      <c r="AX184" s="124" t="n"/>
      <c r="AY184" s="125" t="n"/>
      <c r="AZ184" s="125" t="n"/>
      <c r="BA184" s="125" t="n"/>
      <c r="BB184" s="120" t="inlineStr">
        <is>
          <t>Not live in 2025</t>
        </is>
      </c>
      <c r="BC184" s="125" t="n"/>
      <c r="BD184" s="124" t="n"/>
      <c r="BE184" s="124" t="n"/>
      <c r="BF184" s="110">
        <f>IF(AND(ISNUMBER(BD184),ISNUMBER(BE184),N(BD184)&gt;0),1-BE184/BD184,"")</f>
        <v/>
      </c>
      <c r="BG184" s="126" t="n"/>
      <c r="BH184" s="126" t="n"/>
      <c r="BI184" s="123">
        <f>IF(AND(ISNUMBER(BG184),ISNUMBER(BH184),N(BH184)&gt;0),BG184/BH184,"")</f>
        <v/>
      </c>
      <c r="BJ184" s="125" t="n"/>
      <c r="BK184" s="125" t="n"/>
    </row>
    <row r="185" ht="62" customHeight="1">
      <c r="A185" s="12">
        <f>_xlfn.IMAGE("https://m.media-amazon.com/images/I/71GPOg6dRqL._AC_SL1500_.jpg")</f>
        <v/>
      </c>
      <c r="B185" s="105" t="inlineStr">
        <is>
          <t>Amazon Basics</t>
        </is>
      </c>
      <c r="C185" s="39" t="inlineStr">
        <is>
          <t>Amazon Basics Bamboo Viscose Sheet Set, 4-Piece, Queen, White</t>
        </is>
      </c>
      <c r="D185" s="105" t="inlineStr">
        <is>
          <t>Untiered</t>
        </is>
      </c>
      <c r="E185" s="128" t="inlineStr">
        <is>
          <t>Alternative material</t>
        </is>
      </c>
      <c r="F185" s="105" t="inlineStr">
        <is>
          <t>Microfiber / polyester</t>
        </is>
      </c>
      <c r="G185" s="39" t="inlineStr">
        <is>
          <t>Sheet set in Microfiber / polyester (product page material: Polyester Blend); ours is Bamboo viscose (our listing: viscose from bamboo). Shopper may cross-shop, but not like-for-like.</t>
        </is>
      </c>
      <c r="H185" s="107" t="inlineStr">
        <is>
          <t>B0GFHP5V9H</t>
        </is>
      </c>
      <c r="I185" s="107" t="inlineStr">
        <is>
          <t>B0GFHGS4DP</t>
        </is>
      </c>
      <c r="J185" s="105" t="inlineStr">
        <is>
          <t>Queen</t>
        </is>
      </c>
      <c r="K185" s="105" t="inlineStr">
        <is>
          <t>White</t>
        </is>
      </c>
      <c r="L185" s="108" t="n"/>
      <c r="M185" s="39" t="inlineStr"/>
      <c r="N185" s="109" t="n">
        <v>29.99</v>
      </c>
      <c r="O185" s="109" t="n"/>
      <c r="P185" s="110">
        <f>IF(AND(ISNUMBER(O185),ISNUMBER(N185),N(N185)&gt;0),O185/N185-1,"")</f>
        <v/>
      </c>
      <c r="Q185" s="111">
        <f>IF(P185="","No List Price",IF(P185&lt;=0,"At/below price",IF(P185&lt;=0.12,"&lt;=12% STR zone",IF(P185&lt;=0.25,"12-25%","&gt;25% over"))))</f>
        <v/>
      </c>
      <c r="R185" s="109" t="n">
        <v>89.98999999999999</v>
      </c>
      <c r="S185" s="112">
        <f>IF(AND(ISNUMBER(N185),ISNUMBER(R185),N(R185)&gt;0),N185/R185-1,"")</f>
        <v/>
      </c>
      <c r="T185" s="39" t="inlineStr">
        <is>
          <t>Same size (Queen). Ours live: catalog price, 2026-10-13; 15 children</t>
        </is>
      </c>
      <c r="U185" s="108" t="n">
        <v>21965</v>
      </c>
      <c r="V185" s="108" t="n">
        <v>173</v>
      </c>
      <c r="W185" s="113">
        <f>IF(AND(ISNUMBER(N185),ISNUMBER(V185)),N185*V185*52/12,"")</f>
        <v/>
      </c>
      <c r="X185" s="114" t="n">
        <v>4</v>
      </c>
      <c r="Y185" s="108" t="n">
        <v>36</v>
      </c>
      <c r="Z185" s="115" t="n">
        <v>46307</v>
      </c>
      <c r="AA185" s="115" t="n"/>
      <c r="AB185" s="105" t="n"/>
      <c r="AC185" s="105" t="n"/>
      <c r="AD185" s="108" t="n"/>
      <c r="AE185" s="108" t="n"/>
      <c r="AF185" s="116" t="n"/>
      <c r="AG185" s="116" t="n"/>
      <c r="AH185" s="39" t="n"/>
      <c r="AI185" s="116" t="n"/>
      <c r="AJ185" s="116" t="n"/>
      <c r="AK185" s="116" t="n"/>
      <c r="AL185" s="116" t="n"/>
      <c r="AM185" s="108" t="n"/>
      <c r="AN185" s="108" t="n"/>
      <c r="AO185" s="108" t="n"/>
      <c r="AP185" s="108" t="n"/>
      <c r="AQ185" s="108" t="n"/>
      <c r="AR185" s="108" t="n"/>
      <c r="AS185" s="117" t="n"/>
      <c r="AT185" s="112" t="n"/>
      <c r="AU185" s="118" t="inlineStr">
        <is>
          <t>N</t>
        </is>
      </c>
      <c r="AV185" s="118" t="inlineStr">
        <is>
          <t>none</t>
        </is>
      </c>
      <c r="AW185" s="124" t="n"/>
      <c r="AX185" s="119" t="n">
        <v>29.99</v>
      </c>
      <c r="AY185" s="118" t="inlineStr">
        <is>
          <t>none</t>
        </is>
      </c>
      <c r="AZ185" s="118" t="inlineStr">
        <is>
          <t>Y</t>
        </is>
      </c>
      <c r="BA185" s="118" t="inlineStr">
        <is>
          <t>2026-10-13 23:35:34</t>
        </is>
      </c>
      <c r="BB185" s="120" t="inlineStr">
        <is>
          <t>Not live in 2025</t>
        </is>
      </c>
      <c r="BC185" s="125" t="n"/>
      <c r="BD185" s="124" t="n"/>
      <c r="BE185" s="124" t="n"/>
      <c r="BF185" s="110">
        <f>IF(AND(ISNUMBER(BD185),ISNUMBER(BE185),N(BD185)&gt;0),1-BE185/BD185,"")</f>
        <v/>
      </c>
      <c r="BG185" s="126" t="n"/>
      <c r="BH185" s="126" t="n"/>
      <c r="BI185" s="123">
        <f>IF(AND(ISNUMBER(BG185),ISNUMBER(BH185),N(BH185)&gt;0),BG185/BH185,"")</f>
        <v/>
      </c>
      <c r="BJ185" s="125" t="n"/>
      <c r="BK185" s="125" t="n"/>
    </row>
    <row r="186"/>
    <row r="187" ht="22" customHeight="1">
      <c r="A187" s="65" t="inlineStr">
        <is>
          <t>5 ▼</t>
        </is>
      </c>
      <c r="B187" s="66" t="inlineStr">
        <is>
          <t>WHAT THIS MEANS FOR BFCM</t>
        </is>
      </c>
      <c r="C187" s="67" t="n"/>
      <c r="D187" s="67" t="n"/>
      <c r="E187" s="67" t="n"/>
      <c r="F187" s="67" t="n"/>
      <c r="G187" s="67" t="n"/>
      <c r="H187" s="67" t="n"/>
      <c r="I187" s="67" t="n"/>
      <c r="J187" s="67" t="n"/>
      <c r="K187" s="67" t="n"/>
      <c r="L187" s="67" t="n"/>
      <c r="M187" s="67" t="n"/>
      <c r="N187" s="67" t="n"/>
      <c r="O187" s="67" t="n"/>
      <c r="P187" s="67" t="n"/>
      <c r="Q187" s="67" t="n"/>
      <c r="R187" s="67" t="n"/>
      <c r="S187" s="67" t="n"/>
      <c r="T187" s="67" t="n"/>
      <c r="U187" s="67" t="n"/>
      <c r="V187" s="67" t="n"/>
      <c r="W187" s="67" t="n"/>
      <c r="X187" s="67" t="n"/>
      <c r="Y187" s="67" t="n"/>
      <c r="Z187" s="67" t="n"/>
      <c r="AA187" s="67" t="n"/>
      <c r="AB187" s="67" t="n"/>
      <c r="AC187" s="67" t="n"/>
      <c r="AD187" s="67" t="n"/>
      <c r="AE187" s="67" t="n"/>
      <c r="AF187" s="67" t="n"/>
      <c r="AG187" s="67" t="n"/>
      <c r="AH187" s="67" t="n"/>
      <c r="AI187" s="67" t="n"/>
      <c r="AJ187" s="67" t="n"/>
      <c r="AK187" s="67" t="n"/>
      <c r="AL187" s="67" t="n"/>
      <c r="AM187" s="67" t="n"/>
      <c r="AN187" s="67" t="n"/>
      <c r="AO187" s="67" t="n"/>
      <c r="AP187" s="67" t="n"/>
      <c r="AQ187" s="67" t="n"/>
      <c r="AR187" s="67" t="n"/>
      <c r="AS187" s="67" t="n"/>
      <c r="AT187" s="67" t="n"/>
      <c r="AU187" s="67" t="n"/>
      <c r="AV187" s="67" t="n"/>
      <c r="AW187" s="67" t="n"/>
      <c r="AX187" s="67" t="n"/>
      <c r="AY187" s="67" t="n"/>
      <c r="AZ187" s="67" t="n"/>
      <c r="BA187" s="67" t="n"/>
      <c r="BB187" s="67" t="n"/>
      <c r="BC187" s="67" t="n"/>
      <c r="BD187" s="67" t="n"/>
      <c r="BE187" s="67" t="n"/>
      <c r="BF187" s="67" t="n"/>
      <c r="BG187" s="67" t="n"/>
      <c r="BH187" s="67" t="n"/>
      <c r="BI187" s="67" t="n"/>
      <c r="BJ187" s="67" t="n"/>
      <c r="BK187" s="67" t="n"/>
    </row>
    <row r="188" ht="30" customHeight="1">
      <c r="A188" s="129" t="inlineStr">
        <is>
          <t>• Who sells most: Love's cabin ~924/wk at $37.99 (List $44.99, +18%); Bedsure ~809/wk at $62.99 (List $69.99, +11%); Pure Bamboo ~809/wk at $109.99; Hotel Sheets Direct ~347/wk at $79.99; KRIMANO ~185/wk at $79.99. Tracked rivals ~5,455 units/wk; we sell ~453/wk (7.7% of the tracked set).</t>
        </is>
      </c>
    </row>
    <row r="189" ht="18" customHeight="1">
      <c r="A189" s="129" t="inlineStr">
        <is>
          <t>• Strikethrough: 14 of 61 rivals set a List Price above price; 2 within 12%: Bedsure +11%, AiAngu +7%.</t>
        </is>
      </c>
    </row>
    <row r="190" ht="30" customHeight="1">
      <c r="A190" s="129" t="inlineStr">
        <is>
          <t>• Price: 38 of 61 rivals sit below our price today (same size where the title states one). Cheapest strong rivals: Love's cabin $37.99, BAMPURE $37.99, DOZ by SIJO $55.00, SONORO KATE $59.99.</t>
        </is>
      </c>
    </row>
    <row r="191" ht="30" customHeight="1">
      <c r="A191" s="129" t="inlineStr">
        <is>
          <t>• Strikethrough on the page today (Oct 13 check): 18 of 55 checked rivals show one: Bedsure List Price $69.99 vs $62.99 (+11%), Love's cabin List Price $44.99 vs $37.99 (+18%), TRUE BAMBOO List Price $129.99 vs $79.99 (+63%), Bedsure List Price $119.99 vs $89.99 (+33%), BAMPURE List Price $99.99 vs $67.98 (+47%) with deal, BEDELITE List Price $99.89 vs $84.98 (+18%) with deal.</t>
        </is>
      </c>
    </row>
    <row r="192" ht="30" customHeight="1">
      <c r="A192" s="129" t="inlineStr">
        <is>
          <t>• Search: we lose most shared keywords to Bedsure (we win 122, lose 1398), Pure Bamboo (we win 118, lose 1357), Love's cabin (we win 186, lose 1128). Biggest ad gaps (they advertise where we don't or harder): Pure Bamboo 3,363 + 139 KWs, Bedsure 2,984 + 140 KWs, Bedsure 2,055 + 211 KWs.</t>
        </is>
      </c>
    </row>
    <row r="193" ht="30" customHeight="1">
      <c r="A193" s="129" t="inlineStr">
        <is>
          <t>• Brand ads: Bedsure (SB 94%, SBV 65%), Pure Bamboo (SB 82%, SBV 88%), Bedsure (SB 98%, SBV 53%), BC BELLA COTERIE (SB 57%, SBV 56%), GOKOTTA (SB 8%, SBV 85%) hold Sponsored Brands / video on most of their traffic - the plan has our SB, SBV and display live by Nov 1.</t>
        </is>
      </c>
    </row>
    <row r="194" ht="18" customHeight="1">
      <c r="A194" s="129" t="inlineStr">
        <is>
          <t>• Our BFCM 2025: 4.25x daily sales in BFCM week vs the 30 days before; TACoS 6.3% vs 11.2% before; December 1.86x.</t>
        </is>
      </c>
    </row>
    <row r="195" ht="18" customHeight="1">
      <c r="A195" s="129" t="inlineStr">
        <is>
          <t>• Prime Day 2026: our organic visibility 0.91x vs rivals' median 1.25x (n=14) - rivals gained more event visibility than we did.</t>
        </is>
      </c>
    </row>
    <row r="196" ht="30" customHeight="1">
      <c r="A196" s="129" t="inlineStr">
        <is>
          <t>• BFCM 2025, 41 rivals with price history history: Prime Exclusive Discount 18, None 11, Price cut only 7, Coupon only 5. Median depth vs their Nov 1-19 price 16%; median BSR lift 1.18x. 10 raised their Buy Box in BFCM week, so their deal looked deeper than it was.</t>
        </is>
      </c>
    </row>
    <row r="197" ht="18" customHeight="1">
      <c r="A197" s="129" t="inlineStr">
        <is>
          <t>• 1 rival not in the price history pulls yet (yellow BFCM 2025 columns) - remaining P2 batches,.</t>
        </is>
      </c>
    </row>
  </sheetData>
  <autoFilter ref="B124:BK185"/>
  <mergeCells count="70">
    <mergeCell ref="N123:Z123"/>
    <mergeCell ref="A108:C108"/>
    <mergeCell ref="L5:Q5"/>
    <mergeCell ref="AA123:AC123"/>
    <mergeCell ref="A191:BK191"/>
    <mergeCell ref="Q11:T11"/>
    <mergeCell ref="A101:C101"/>
    <mergeCell ref="L8:Q8"/>
    <mergeCell ref="A110:BK110"/>
    <mergeCell ref="A123:K123"/>
    <mergeCell ref="A197:BK197"/>
    <mergeCell ref="A119:BK119"/>
    <mergeCell ref="L4:Q4"/>
    <mergeCell ref="D7:I7"/>
    <mergeCell ref="A13:D13"/>
    <mergeCell ref="A104:C104"/>
    <mergeCell ref="I13:L13"/>
    <mergeCell ref="AD123:AT123"/>
    <mergeCell ref="A196:BK196"/>
    <mergeCell ref="D4:I4"/>
    <mergeCell ref="L10:Q10"/>
    <mergeCell ref="E12:H12"/>
    <mergeCell ref="Q13:T13"/>
    <mergeCell ref="D9:I9"/>
    <mergeCell ref="A193:BK193"/>
    <mergeCell ref="U12:X12"/>
    <mergeCell ref="L9:Q9"/>
    <mergeCell ref="Q12:T12"/>
    <mergeCell ref="A106:C106"/>
    <mergeCell ref="A11:D11"/>
    <mergeCell ref="A109:C109"/>
    <mergeCell ref="A118:BK118"/>
    <mergeCell ref="A189:BK189"/>
    <mergeCell ref="I11:L11"/>
    <mergeCell ref="D8:I8"/>
    <mergeCell ref="L6:Q6"/>
    <mergeCell ref="A4:B9"/>
    <mergeCell ref="T6:Y6"/>
    <mergeCell ref="AU123:BA123"/>
    <mergeCell ref="A192:BK192"/>
    <mergeCell ref="A195:BK195"/>
    <mergeCell ref="A102:C102"/>
    <mergeCell ref="A113:BK113"/>
    <mergeCell ref="D5:I5"/>
    <mergeCell ref="A194:BK194"/>
    <mergeCell ref="M11:P11"/>
    <mergeCell ref="A116:BK116"/>
    <mergeCell ref="U11:X11"/>
    <mergeCell ref="A188:BK188"/>
    <mergeCell ref="E13:H13"/>
    <mergeCell ref="D10:I10"/>
    <mergeCell ref="L7:Q7"/>
    <mergeCell ref="T5:Y5"/>
    <mergeCell ref="A107:C107"/>
    <mergeCell ref="A103:C103"/>
    <mergeCell ref="A12:D12"/>
    <mergeCell ref="M13:P13"/>
    <mergeCell ref="BB123:BK123"/>
    <mergeCell ref="A190:BK190"/>
    <mergeCell ref="I12:L12"/>
    <mergeCell ref="U13:X13"/>
    <mergeCell ref="A112:BK112"/>
    <mergeCell ref="A115:BK115"/>
    <mergeCell ref="M12:P12"/>
    <mergeCell ref="T4:Y4"/>
    <mergeCell ref="A117:BK117"/>
    <mergeCell ref="D6:I6"/>
    <mergeCell ref="A111:BK111"/>
    <mergeCell ref="E11:H11"/>
    <mergeCell ref="A114:BK114"/>
  </mergeCells>
  <conditionalFormatting sqref="Q125:Q185">
    <cfRule type="expression" priority="1" dxfId="1">
      <formula>Q125="&lt;=12% STR zone"</formula>
    </cfRule>
  </conditionalFormatting>
  <conditionalFormatting sqref="Z125:Z185">
    <cfRule type="expression" priority="2" dxfId="0">
      <formula>AND(ISNUMBER(Z125),Z125&lt;DATE(2026,10,6))</formula>
    </cfRule>
  </conditionalFormatting>
  <conditionalFormatting sqref="T125:T185">
    <cfRule type="expression" priority="3" dxfId="0">
      <formula>ISNUMBER(SEARCH("STALE",T125))</formula>
    </cfRule>
  </conditionalFormatting>
  <conditionalFormatting sqref="S125:S185">
    <cfRule type="expression" priority="4" dxfId="0">
      <formula>AND(ISNUMBER(S125),S125&lt;0)</formula>
    </cfRule>
  </conditionalFormatting>
  <dataValidations count="3">
    <dataValidation sqref="AU125:AU185 BJ125:BJ185" showDropDown="0" showInputMessage="0" showErrorMessage="0" allowBlank="1" type="list">
      <formula1>"Y,N"</formula1>
    </dataValidation>
    <dataValidation sqref="AV125:AV185" showDropDown="0" showInputMessage="0" showErrorMessage="0" allowBlank="1" type="list">
      <formula1>"List Price,Typical price,Was price,None"</formula1>
    </dataValidation>
    <dataValidation sqref="BB125:BB185"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B4'!A3" display="1 Our product ↓"/>
    <hyperlink ref="D2" location="'US DC B4'!A15" display="2 Our variations ↓"/>
    <hyperlink ref="E2" location="'US DC B4'!A100" display="3 Our BFCM 2025 ↓"/>
    <hyperlink ref="F2" location="'US DC B4'!A121" display="4 COMPETITORS (61 mapped) ↓"/>
    <hyperlink ref="G2" location="'US DC B4'!A187" display="5 What it means ↓"/>
    <hyperlink xmlns:r="http://schemas.openxmlformats.org/officeDocument/2006/relationships" ref="H125" r:id="rId1"/>
    <hyperlink xmlns:r="http://schemas.openxmlformats.org/officeDocument/2006/relationships" ref="I125" r:id="rId2"/>
    <hyperlink xmlns:r="http://schemas.openxmlformats.org/officeDocument/2006/relationships" ref="H126" r:id="rId3"/>
    <hyperlink xmlns:r="http://schemas.openxmlformats.org/officeDocument/2006/relationships" ref="I126" r:id="rId4"/>
    <hyperlink xmlns:r="http://schemas.openxmlformats.org/officeDocument/2006/relationships" ref="H127" r:id="rId5"/>
    <hyperlink xmlns:r="http://schemas.openxmlformats.org/officeDocument/2006/relationships" ref="I127" r:id="rId6"/>
    <hyperlink xmlns:r="http://schemas.openxmlformats.org/officeDocument/2006/relationships" ref="H128" r:id="rId7"/>
    <hyperlink xmlns:r="http://schemas.openxmlformats.org/officeDocument/2006/relationships" ref="I128" r:id="rId8"/>
    <hyperlink xmlns:r="http://schemas.openxmlformats.org/officeDocument/2006/relationships" ref="H129" r:id="rId9"/>
    <hyperlink xmlns:r="http://schemas.openxmlformats.org/officeDocument/2006/relationships" ref="I129" r:id="rId10"/>
    <hyperlink xmlns:r="http://schemas.openxmlformats.org/officeDocument/2006/relationships" ref="H130" r:id="rId11"/>
    <hyperlink xmlns:r="http://schemas.openxmlformats.org/officeDocument/2006/relationships" ref="I130" r:id="rId12"/>
    <hyperlink xmlns:r="http://schemas.openxmlformats.org/officeDocument/2006/relationships" ref="H131" r:id="rId13"/>
    <hyperlink xmlns:r="http://schemas.openxmlformats.org/officeDocument/2006/relationships" ref="I131" r:id="rId14"/>
    <hyperlink xmlns:r="http://schemas.openxmlformats.org/officeDocument/2006/relationships" ref="H132" r:id="rId15"/>
    <hyperlink xmlns:r="http://schemas.openxmlformats.org/officeDocument/2006/relationships" ref="I132" r:id="rId16"/>
    <hyperlink xmlns:r="http://schemas.openxmlformats.org/officeDocument/2006/relationships" ref="H133" r:id="rId17"/>
    <hyperlink xmlns:r="http://schemas.openxmlformats.org/officeDocument/2006/relationships" ref="I133" r:id="rId18"/>
    <hyperlink xmlns:r="http://schemas.openxmlformats.org/officeDocument/2006/relationships" ref="H134" r:id="rId19"/>
    <hyperlink xmlns:r="http://schemas.openxmlformats.org/officeDocument/2006/relationships" ref="I134" r:id="rId20"/>
    <hyperlink xmlns:r="http://schemas.openxmlformats.org/officeDocument/2006/relationships" ref="H135" r:id="rId21"/>
    <hyperlink xmlns:r="http://schemas.openxmlformats.org/officeDocument/2006/relationships" ref="I135" r:id="rId22"/>
    <hyperlink xmlns:r="http://schemas.openxmlformats.org/officeDocument/2006/relationships" ref="H136" r:id="rId23"/>
    <hyperlink xmlns:r="http://schemas.openxmlformats.org/officeDocument/2006/relationships" ref="I136" r:id="rId24"/>
    <hyperlink xmlns:r="http://schemas.openxmlformats.org/officeDocument/2006/relationships" ref="H137" r:id="rId25"/>
    <hyperlink xmlns:r="http://schemas.openxmlformats.org/officeDocument/2006/relationships" ref="I137" r:id="rId26"/>
    <hyperlink xmlns:r="http://schemas.openxmlformats.org/officeDocument/2006/relationships" ref="H138" r:id="rId27"/>
    <hyperlink xmlns:r="http://schemas.openxmlformats.org/officeDocument/2006/relationships" ref="I138" r:id="rId28"/>
    <hyperlink xmlns:r="http://schemas.openxmlformats.org/officeDocument/2006/relationships" ref="H139" r:id="rId29"/>
    <hyperlink xmlns:r="http://schemas.openxmlformats.org/officeDocument/2006/relationships" ref="I139" r:id="rId30"/>
    <hyperlink xmlns:r="http://schemas.openxmlformats.org/officeDocument/2006/relationships" ref="H140" r:id="rId31"/>
    <hyperlink xmlns:r="http://schemas.openxmlformats.org/officeDocument/2006/relationships" ref="I140" r:id="rId32"/>
    <hyperlink xmlns:r="http://schemas.openxmlformats.org/officeDocument/2006/relationships" ref="H141" r:id="rId33"/>
    <hyperlink xmlns:r="http://schemas.openxmlformats.org/officeDocument/2006/relationships" ref="I141" r:id="rId34"/>
    <hyperlink xmlns:r="http://schemas.openxmlformats.org/officeDocument/2006/relationships" ref="H142" r:id="rId35"/>
    <hyperlink xmlns:r="http://schemas.openxmlformats.org/officeDocument/2006/relationships" ref="I142" r:id="rId36"/>
    <hyperlink xmlns:r="http://schemas.openxmlformats.org/officeDocument/2006/relationships" ref="H143" r:id="rId37"/>
    <hyperlink xmlns:r="http://schemas.openxmlformats.org/officeDocument/2006/relationships" ref="I143" r:id="rId38"/>
    <hyperlink xmlns:r="http://schemas.openxmlformats.org/officeDocument/2006/relationships" ref="H144" r:id="rId39"/>
    <hyperlink xmlns:r="http://schemas.openxmlformats.org/officeDocument/2006/relationships" ref="I144" r:id="rId40"/>
    <hyperlink xmlns:r="http://schemas.openxmlformats.org/officeDocument/2006/relationships" ref="H145" r:id="rId41"/>
    <hyperlink xmlns:r="http://schemas.openxmlformats.org/officeDocument/2006/relationships" ref="I145" r:id="rId42"/>
    <hyperlink xmlns:r="http://schemas.openxmlformats.org/officeDocument/2006/relationships" ref="H146" r:id="rId43"/>
    <hyperlink xmlns:r="http://schemas.openxmlformats.org/officeDocument/2006/relationships" ref="I146" r:id="rId44"/>
    <hyperlink xmlns:r="http://schemas.openxmlformats.org/officeDocument/2006/relationships" ref="H147" r:id="rId45"/>
    <hyperlink xmlns:r="http://schemas.openxmlformats.org/officeDocument/2006/relationships" ref="I147" r:id="rId46"/>
    <hyperlink xmlns:r="http://schemas.openxmlformats.org/officeDocument/2006/relationships" ref="H148" r:id="rId47"/>
    <hyperlink xmlns:r="http://schemas.openxmlformats.org/officeDocument/2006/relationships" ref="I148" r:id="rId48"/>
    <hyperlink xmlns:r="http://schemas.openxmlformats.org/officeDocument/2006/relationships" ref="I149" r:id="rId49"/>
    <hyperlink xmlns:r="http://schemas.openxmlformats.org/officeDocument/2006/relationships" ref="I150" r:id="rId50"/>
    <hyperlink xmlns:r="http://schemas.openxmlformats.org/officeDocument/2006/relationships" ref="H151" r:id="rId51"/>
    <hyperlink xmlns:r="http://schemas.openxmlformats.org/officeDocument/2006/relationships" ref="I151" r:id="rId52"/>
    <hyperlink xmlns:r="http://schemas.openxmlformats.org/officeDocument/2006/relationships" ref="H152" r:id="rId53"/>
    <hyperlink xmlns:r="http://schemas.openxmlformats.org/officeDocument/2006/relationships" ref="I152" r:id="rId54"/>
    <hyperlink xmlns:r="http://schemas.openxmlformats.org/officeDocument/2006/relationships" ref="H153" r:id="rId55"/>
    <hyperlink xmlns:r="http://schemas.openxmlformats.org/officeDocument/2006/relationships" ref="I153" r:id="rId56"/>
    <hyperlink xmlns:r="http://schemas.openxmlformats.org/officeDocument/2006/relationships" ref="H154" r:id="rId57"/>
    <hyperlink xmlns:r="http://schemas.openxmlformats.org/officeDocument/2006/relationships" ref="I154" r:id="rId58"/>
    <hyperlink xmlns:r="http://schemas.openxmlformats.org/officeDocument/2006/relationships" ref="H155" r:id="rId59"/>
    <hyperlink xmlns:r="http://schemas.openxmlformats.org/officeDocument/2006/relationships" ref="I155" r:id="rId60"/>
    <hyperlink xmlns:r="http://schemas.openxmlformats.org/officeDocument/2006/relationships" ref="H156" r:id="rId61"/>
    <hyperlink xmlns:r="http://schemas.openxmlformats.org/officeDocument/2006/relationships" ref="I156" r:id="rId62"/>
    <hyperlink xmlns:r="http://schemas.openxmlformats.org/officeDocument/2006/relationships" ref="H157" r:id="rId63"/>
    <hyperlink xmlns:r="http://schemas.openxmlformats.org/officeDocument/2006/relationships" ref="I157" r:id="rId64"/>
    <hyperlink xmlns:r="http://schemas.openxmlformats.org/officeDocument/2006/relationships" ref="H158" r:id="rId65"/>
    <hyperlink xmlns:r="http://schemas.openxmlformats.org/officeDocument/2006/relationships" ref="I158" r:id="rId66"/>
    <hyperlink xmlns:r="http://schemas.openxmlformats.org/officeDocument/2006/relationships" ref="H159" r:id="rId67"/>
    <hyperlink xmlns:r="http://schemas.openxmlformats.org/officeDocument/2006/relationships" ref="I159" r:id="rId68"/>
    <hyperlink xmlns:r="http://schemas.openxmlformats.org/officeDocument/2006/relationships" ref="H160" r:id="rId69"/>
    <hyperlink xmlns:r="http://schemas.openxmlformats.org/officeDocument/2006/relationships" ref="I160" r:id="rId70"/>
    <hyperlink xmlns:r="http://schemas.openxmlformats.org/officeDocument/2006/relationships" ref="H161" r:id="rId71"/>
    <hyperlink xmlns:r="http://schemas.openxmlformats.org/officeDocument/2006/relationships" ref="I161" r:id="rId72"/>
    <hyperlink xmlns:r="http://schemas.openxmlformats.org/officeDocument/2006/relationships" ref="H162" r:id="rId73"/>
    <hyperlink xmlns:r="http://schemas.openxmlformats.org/officeDocument/2006/relationships" ref="I162" r:id="rId74"/>
    <hyperlink xmlns:r="http://schemas.openxmlformats.org/officeDocument/2006/relationships" ref="H163" r:id="rId75"/>
    <hyperlink xmlns:r="http://schemas.openxmlformats.org/officeDocument/2006/relationships" ref="I163" r:id="rId76"/>
    <hyperlink xmlns:r="http://schemas.openxmlformats.org/officeDocument/2006/relationships" ref="H164" r:id="rId77"/>
    <hyperlink xmlns:r="http://schemas.openxmlformats.org/officeDocument/2006/relationships" ref="I164" r:id="rId78"/>
    <hyperlink xmlns:r="http://schemas.openxmlformats.org/officeDocument/2006/relationships" ref="H165" r:id="rId79"/>
    <hyperlink xmlns:r="http://schemas.openxmlformats.org/officeDocument/2006/relationships" ref="I165" r:id="rId80"/>
    <hyperlink xmlns:r="http://schemas.openxmlformats.org/officeDocument/2006/relationships" ref="H166" r:id="rId81"/>
    <hyperlink xmlns:r="http://schemas.openxmlformats.org/officeDocument/2006/relationships" ref="I166" r:id="rId82"/>
    <hyperlink xmlns:r="http://schemas.openxmlformats.org/officeDocument/2006/relationships" ref="H167" r:id="rId83"/>
    <hyperlink xmlns:r="http://schemas.openxmlformats.org/officeDocument/2006/relationships" ref="I167" r:id="rId84"/>
    <hyperlink xmlns:r="http://schemas.openxmlformats.org/officeDocument/2006/relationships" ref="I168" r:id="rId85"/>
    <hyperlink xmlns:r="http://schemas.openxmlformats.org/officeDocument/2006/relationships" ref="H169" r:id="rId86"/>
    <hyperlink xmlns:r="http://schemas.openxmlformats.org/officeDocument/2006/relationships" ref="I169" r:id="rId87"/>
    <hyperlink xmlns:r="http://schemas.openxmlformats.org/officeDocument/2006/relationships" ref="H170" r:id="rId88"/>
    <hyperlink xmlns:r="http://schemas.openxmlformats.org/officeDocument/2006/relationships" ref="I170" r:id="rId89"/>
    <hyperlink xmlns:r="http://schemas.openxmlformats.org/officeDocument/2006/relationships" ref="H171" r:id="rId90"/>
    <hyperlink xmlns:r="http://schemas.openxmlformats.org/officeDocument/2006/relationships" ref="I171" r:id="rId91"/>
    <hyperlink xmlns:r="http://schemas.openxmlformats.org/officeDocument/2006/relationships" ref="H172" r:id="rId92"/>
    <hyperlink xmlns:r="http://schemas.openxmlformats.org/officeDocument/2006/relationships" ref="I172" r:id="rId93"/>
    <hyperlink xmlns:r="http://schemas.openxmlformats.org/officeDocument/2006/relationships" ref="H173" r:id="rId94"/>
    <hyperlink xmlns:r="http://schemas.openxmlformats.org/officeDocument/2006/relationships" ref="I173" r:id="rId95"/>
    <hyperlink xmlns:r="http://schemas.openxmlformats.org/officeDocument/2006/relationships" ref="H174" r:id="rId96"/>
    <hyperlink xmlns:r="http://schemas.openxmlformats.org/officeDocument/2006/relationships" ref="I174" r:id="rId97"/>
    <hyperlink xmlns:r="http://schemas.openxmlformats.org/officeDocument/2006/relationships" ref="H175" r:id="rId98"/>
    <hyperlink xmlns:r="http://schemas.openxmlformats.org/officeDocument/2006/relationships" ref="I175" r:id="rId99"/>
    <hyperlink xmlns:r="http://schemas.openxmlformats.org/officeDocument/2006/relationships" ref="I176" r:id="rId100"/>
    <hyperlink xmlns:r="http://schemas.openxmlformats.org/officeDocument/2006/relationships" ref="I177" r:id="rId101"/>
    <hyperlink xmlns:r="http://schemas.openxmlformats.org/officeDocument/2006/relationships" ref="H178" r:id="rId102"/>
    <hyperlink xmlns:r="http://schemas.openxmlformats.org/officeDocument/2006/relationships" ref="I178" r:id="rId103"/>
    <hyperlink xmlns:r="http://schemas.openxmlformats.org/officeDocument/2006/relationships" ref="H179" r:id="rId104"/>
    <hyperlink xmlns:r="http://schemas.openxmlformats.org/officeDocument/2006/relationships" ref="I179" r:id="rId105"/>
    <hyperlink xmlns:r="http://schemas.openxmlformats.org/officeDocument/2006/relationships" ref="H180" r:id="rId106"/>
    <hyperlink xmlns:r="http://schemas.openxmlformats.org/officeDocument/2006/relationships" ref="I180" r:id="rId107"/>
    <hyperlink xmlns:r="http://schemas.openxmlformats.org/officeDocument/2006/relationships" ref="H181" r:id="rId108"/>
    <hyperlink xmlns:r="http://schemas.openxmlformats.org/officeDocument/2006/relationships" ref="I181" r:id="rId109"/>
    <hyperlink xmlns:r="http://schemas.openxmlformats.org/officeDocument/2006/relationships" ref="H182" r:id="rId110"/>
    <hyperlink xmlns:r="http://schemas.openxmlformats.org/officeDocument/2006/relationships" ref="I182" r:id="rId111"/>
    <hyperlink xmlns:r="http://schemas.openxmlformats.org/officeDocument/2006/relationships" ref="H183" r:id="rId112"/>
    <hyperlink xmlns:r="http://schemas.openxmlformats.org/officeDocument/2006/relationships" ref="I183" r:id="rId113"/>
    <hyperlink xmlns:r="http://schemas.openxmlformats.org/officeDocument/2006/relationships" ref="I184" r:id="rId114"/>
    <hyperlink xmlns:r="http://schemas.openxmlformats.org/officeDocument/2006/relationships" ref="H185" r:id="rId115"/>
    <hyperlink xmlns:r="http://schemas.openxmlformats.org/officeDocument/2006/relationships" ref="I185" r:id="rId116"/>
  </hyperlinks>
  <pageMargins left="0.75" right="0.75" top="1" bottom="1" header="0.5" footer="0.5"/>
  <drawing xmlns:r="http://schemas.openxmlformats.org/officeDocument/2006/relationships" r:id="rId117"/>
  <legacyDrawing xmlns:r="http://schemas.openxmlformats.org/officeDocument/2006/relationships" r:id="anysvml"/>
</worksheet>
</file>

<file path=xl/worksheets/sheet7.xml><?xml version="1.0" encoding="utf-8"?>
<worksheet xmlns="http://schemas.openxmlformats.org/spreadsheetml/2006/main">
  <sheetPr>
    <tabColor rgb="009DC3E6"/>
    <outlinePr summaryBelow="1" summaryRight="1"/>
    <pageSetUpPr/>
  </sheetPr>
  <dimension ref="A1:BK202"/>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Bamboo Sheets 6 Piece · Amazon.com (US) · Bamboo · BFCM role: Hero: rank and profit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(61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_xlfn.IMAGE("https://m.media-amazon.com/images/I/81fJLSDJpFL._AC_SL1500_.jpg")</f>
        <v/>
      </c>
      <c r="C4" s="13" t="inlineStr">
        <is>
          <t>Title</t>
        </is>
      </c>
      <c r="D4" s="14" t="inlineStr">
        <is>
          <t>DECOLURE 100% Viscose from Bamboo Sheets King Size | 6 Pc Cooling Bed Set</t>
        </is>
      </c>
      <c r="K4" s="13" t="inlineStr">
        <is>
          <t>Sizes</t>
        </is>
      </c>
      <c r="L4" s="68" t="inlineStr">
        <is>
          <t>California King, Cal King, Full, King, Queen, Twin</t>
        </is>
      </c>
      <c r="S4" s="13" t="inlineStr">
        <is>
          <t>Break-even ACoS</t>
        </is>
      </c>
      <c r="T4" s="68" t="inlineStr">
        <is>
          <t>41%</t>
        </is>
      </c>
    </row>
    <row r="5" ht="22" customHeight="1">
      <c r="C5" s="13" t="inlineStr">
        <is>
          <t>Brand</t>
        </is>
      </c>
      <c r="D5" s="68" t="inlineStr">
        <is>
          <t>Decolure</t>
        </is>
      </c>
      <c r="K5" s="13" t="inlineStr">
        <is>
          <t>Colours</t>
        </is>
      </c>
      <c r="L5" s="68" t="inlineStr">
        <is>
          <t>Black, Burgundy, Charcoal, Creme, Grey, Light Blue, Light Grey, Light Olive, Light Pink, Midgrey, Navy Blue, Olive, Purple, Sage Green, Taupe, White, Sage</t>
        </is>
      </c>
      <c r="S5" s="13" t="inlineStr">
        <is>
          <t>Units last 28 days</t>
        </is>
      </c>
      <c r="T5" s="68" t="inlineStr">
        <is>
          <t>1,905</t>
        </is>
      </c>
    </row>
    <row r="6" ht="22" customHeight="1">
      <c r="C6" s="13" t="inlineStr">
        <is>
          <t>Marketplace</t>
        </is>
      </c>
      <c r="D6" s="68" t="inlineStr">
        <is>
          <t>Amazon.com (US)</t>
        </is>
      </c>
      <c r="K6" s="13" t="inlineStr">
        <is>
          <t>Price now, best child</t>
        </is>
      </c>
      <c r="L6" s="68" t="inlineStr">
        <is>
          <t>$99.99 (catalog price, 2026-10-13)</t>
        </is>
      </c>
      <c r="S6" s="13" t="inlineStr">
        <is>
          <t>market data product ASIN</t>
        </is>
      </c>
      <c r="T6" s="68" t="inlineStr">
        <is>
          <t>B0CQ31D5FM (one of our child ASINs, not the Amazon parent)</t>
        </is>
      </c>
    </row>
    <row r="7" ht="22" customHeight="1">
      <c r="C7" s="13" t="inlineStr">
        <is>
          <t>Parent ASIN (Amazon)</t>
        </is>
      </c>
      <c r="D7" s="68" t="inlineStr">
        <is>
          <t>B0H6335KNV</t>
        </is>
      </c>
      <c r="K7" s="13" t="inlineStr">
        <is>
          <t>Rating / reviews now</t>
        </is>
      </c>
      <c r="L7" s="68" t="inlineStr">
        <is>
          <t>4.4 / 3,153 (catalog price, 2026-10-13)</t>
        </is>
      </c>
    </row>
    <row r="8" ht="22" customHeight="1">
      <c r="C8" s="13" t="inlineStr">
        <is>
          <t>Best-selling child ASIN</t>
        </is>
      </c>
      <c r="D8" s="68" t="inlineStr">
        <is>
          <t>B0CQ2XQF9N</t>
        </is>
      </c>
      <c r="K8" s="13" t="inlineStr">
        <is>
          <t>Live prices held</t>
        </is>
      </c>
      <c r="L8" s="68" t="inlineStr">
        <is>
          <t>65 of 86 variations</t>
        </is>
      </c>
    </row>
    <row r="9" ht="22" customHeight="1">
      <c r="C9" s="13" t="inlineStr">
        <is>
          <t>Stage</t>
        </is>
      </c>
      <c r="D9" s="68" t="inlineStr">
        <is>
          <t>Re-Launch</t>
        </is>
      </c>
      <c r="K9" s="13" t="inlineStr">
        <is>
          <t>Blended price (market data)</t>
        </is>
      </c>
      <c r="L9" s="68" t="inlineStr">
        <is>
          <t>$89.53 - fee feed as of 2026-03-30, STALE</t>
        </is>
      </c>
    </row>
    <row r="10">
      <c r="C10" s="13" t="inlineStr">
        <is>
          <t>Total variations (SKUs)</t>
        </is>
      </c>
      <c r="D10" s="68" t="n">
        <v>86</v>
      </c>
      <c r="K10" s="13" t="inlineStr">
        <is>
          <t>Contribution / unit</t>
        </is>
      </c>
      <c r="L10" s="68" t="inlineStr">
        <is>
          <t>$36.93</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2.49x</t>
        </is>
      </c>
      <c r="E12" s="70" t="inlineStr">
        <is>
          <t>6.4%</t>
        </is>
      </c>
      <c r="I12" s="70" t="inlineStr">
        <is>
          <t>1.36x</t>
        </is>
      </c>
      <c r="M12" s="70" t="inlineStr">
        <is>
          <t>61</t>
        </is>
      </c>
      <c r="Q12" s="70" t="inlineStr">
        <is>
          <t>43</t>
        </is>
      </c>
      <c r="U12" s="70" t="inlineStr">
        <is>
          <t>2</t>
        </is>
      </c>
    </row>
    <row r="13">
      <c r="A13" s="71" t="inlineStr">
        <is>
          <t>daily sales, BFCM wk vs 30 days before (account data actual)</t>
        </is>
      </c>
      <c r="E13" s="71" t="inlineStr">
        <is>
          <t>vs 7.4%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(86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_xlfn.IMAGE("https://m.media-amazon.com/images/I/81fJLSDJpFL.jpg")</f>
        <v/>
      </c>
      <c r="B18" s="39" t="inlineStr">
        <is>
          <t>B0CQ2XQF9N</t>
        </is>
      </c>
      <c r="C18" s="39" t="inlineStr">
        <is>
          <t>BAMBOO-KING-WHITE-6PCS</t>
        </is>
      </c>
      <c r="D18" s="39" t="inlineStr">
        <is>
          <t>DECOLURE 100% Viscose from Bamboo Sheets King Size | 6 Pc Cooling Bed Set</t>
        </is>
      </c>
      <c r="E18" s="39" t="inlineStr">
        <is>
          <t>King</t>
        </is>
      </c>
      <c r="F18" s="39" t="inlineStr">
        <is>
          <t>White</t>
        </is>
      </c>
      <c r="G18" s="73" t="n">
        <v>99.98999999999999</v>
      </c>
      <c r="H18" s="39" t="inlineStr">
        <is>
          <t>catalog price, 2026-10-13</t>
        </is>
      </c>
      <c r="I18" s="74" t="n">
        <v>89.98999999999999</v>
      </c>
      <c r="J18" s="75" t="inlineStr">
        <is>
          <t>2026-03-30</t>
        </is>
      </c>
      <c r="K18" s="40" t="n">
        <v>35.12</v>
      </c>
      <c r="L18" s="76" t="n">
        <v>0.3902655850650072</v>
      </c>
      <c r="M18" s="77" t="n">
        <v>215</v>
      </c>
      <c r="N18" s="39" t="inlineStr">
        <is>
          <t>Active</t>
        </is>
      </c>
      <c r="O18" s="39" t="inlineStr">
        <is>
          <t>Yes (37%)</t>
        </is>
      </c>
      <c r="P18" s="78" t="n">
        <v>4.4</v>
      </c>
      <c r="Q18" s="77" t="n">
        <v>3153</v>
      </c>
      <c r="R18" s="77" t="n">
        <v>18045</v>
      </c>
      <c r="S18" s="77" t="n">
        <v>137</v>
      </c>
      <c r="T18" s="39" t="n"/>
    </row>
    <row r="19" ht="62" customHeight="1">
      <c r="A19" s="12">
        <f>_xlfn.IMAGE("https://m.media-amazon.com/images/I/81JHZOIZl1L._AC_SY355_.jpg")</f>
        <v/>
      </c>
      <c r="B19" s="39" t="inlineStr">
        <is>
          <t>B0CQ3178D7</t>
        </is>
      </c>
      <c r="C19" s="39" t="inlineStr">
        <is>
          <t>BAMBOO-KING-TAUPE-6PCS</t>
        </is>
      </c>
      <c r="D19" s="39" t="inlineStr">
        <is>
          <t>DECOLURE 100% Viscose from Bamboo Sheets King Size | 6 Pc Cooling Bed Set</t>
        </is>
      </c>
      <c r="E19" s="39" t="inlineStr">
        <is>
          <t>King</t>
        </is>
      </c>
      <c r="F19" s="39" t="inlineStr">
        <is>
          <t>Taupe</t>
        </is>
      </c>
      <c r="G19" s="73" t="n">
        <v>99.98999999999999</v>
      </c>
      <c r="H19" s="39" t="inlineStr">
        <is>
          <t>catalog price, 2026-10-13</t>
        </is>
      </c>
      <c r="I19" s="74" t="n">
        <v>89.98999999999999</v>
      </c>
      <c r="J19" s="75" t="inlineStr">
        <is>
          <t>2026-03-30</t>
        </is>
      </c>
      <c r="K19" s="40" t="n">
        <v>33.54</v>
      </c>
      <c r="L19" s="76" t="n">
        <v>0.3727080786754084</v>
      </c>
      <c r="M19" s="77" t="n">
        <v>191</v>
      </c>
      <c r="N19" s="39" t="n"/>
      <c r="O19" s="39" t="inlineStr">
        <is>
          <t>Yes (8%)</t>
        </is>
      </c>
      <c r="P19" s="78" t="n">
        <v>4.4</v>
      </c>
      <c r="Q19" s="77" t="n">
        <v>3153</v>
      </c>
      <c r="R19" s="77" t="n">
        <v>18049</v>
      </c>
      <c r="S19" s="77" t="n">
        <v>115</v>
      </c>
      <c r="T19" s="39" t="n"/>
    </row>
    <row r="20" ht="62" customHeight="1">
      <c r="A20" s="12">
        <f>_xlfn.IMAGE("https://m.media-amazon.com/images/I/81fJLSDJpFL.jpg")</f>
        <v/>
      </c>
      <c r="B20" s="39" t="inlineStr">
        <is>
          <t>B0CQ2ZWGNQ</t>
        </is>
      </c>
      <c r="C20" s="39" t="inlineStr">
        <is>
          <t>BAMBOO-QUEEN-WHITE-6PCS</t>
        </is>
      </c>
      <c r="D20" s="39" t="inlineStr">
        <is>
          <t>DECOLURE 100% Viscose from Bamboo Sheets Queen Size | 6 Pc Cooling Bed Set</t>
        </is>
      </c>
      <c r="E20" s="39" t="inlineStr">
        <is>
          <t>Queen</t>
        </is>
      </c>
      <c r="F20" s="39" t="inlineStr">
        <is>
          <t>White</t>
        </is>
      </c>
      <c r="G20" s="73" t="n">
        <v>94.98999999999999</v>
      </c>
      <c r="H20" s="39" t="inlineStr">
        <is>
          <t>catalog price, 2026-10-13</t>
        </is>
      </c>
      <c r="I20" s="74" t="n">
        <v>84.98999999999999</v>
      </c>
      <c r="J20" s="75" t="inlineStr">
        <is>
          <t>2026-03-30</t>
        </is>
      </c>
      <c r="K20" s="40" t="n">
        <v>36.37</v>
      </c>
      <c r="L20" s="76" t="n">
        <v>0.4279326979644664</v>
      </c>
      <c r="M20" s="77" t="n">
        <v>143</v>
      </c>
      <c r="N20" s="39" t="inlineStr">
        <is>
          <t>Active</t>
        </is>
      </c>
      <c r="O20" s="39" t="inlineStr">
        <is>
          <t>Yes (8%)</t>
        </is>
      </c>
      <c r="P20" s="78" t="n">
        <v>4.4</v>
      </c>
      <c r="Q20" s="77" t="n">
        <v>3153</v>
      </c>
      <c r="R20" s="77" t="n">
        <v>18045</v>
      </c>
      <c r="S20" s="77" t="n">
        <v>94</v>
      </c>
      <c r="T20" s="39" t="n"/>
    </row>
    <row r="21" ht="62" customHeight="1">
      <c r="A21" s="12">
        <f>_xlfn.IMAGE("https://m.media-amazon.com/images/I/81JHZOIZl1L.jpg")</f>
        <v/>
      </c>
      <c r="B21" s="39" t="inlineStr">
        <is>
          <t>B0CQ33198K</t>
        </is>
      </c>
      <c r="C21" s="39" t="inlineStr">
        <is>
          <t>BAMBOO-QUEEN-TAUPE-6PCS</t>
        </is>
      </c>
      <c r="D21" s="39" t="inlineStr">
        <is>
          <t>DECOLURE 100% Viscose from Bamboo Sheets Queen Size | 6 Pc Cooling Bed Set</t>
        </is>
      </c>
      <c r="E21" s="39" t="inlineStr">
        <is>
          <t>Queen</t>
        </is>
      </c>
      <c r="F21" s="39" t="inlineStr">
        <is>
          <t>Taupe</t>
        </is>
      </c>
      <c r="G21" s="73" t="n">
        <v>94.98999999999999</v>
      </c>
      <c r="H21" s="39" t="inlineStr">
        <is>
          <t>catalog price, 2026-10-13</t>
        </is>
      </c>
      <c r="I21" s="74" t="n">
        <v>107.99</v>
      </c>
      <c r="J21" s="75" t="inlineStr">
        <is>
          <t>2026-03-30</t>
        </is>
      </c>
      <c r="K21" s="40" t="n">
        <v>55.08</v>
      </c>
      <c r="L21" s="76" t="n">
        <v>0.5100472265950551</v>
      </c>
      <c r="M21" s="77" t="n">
        <v>82</v>
      </c>
      <c r="N21" s="39" t="inlineStr">
        <is>
          <t>Active</t>
        </is>
      </c>
      <c r="O21" s="39" t="n"/>
      <c r="P21" s="78" t="n">
        <v>4.4</v>
      </c>
      <c r="Q21" s="77" t="n">
        <v>3153</v>
      </c>
      <c r="R21" s="77" t="n">
        <v>18049</v>
      </c>
      <c r="S21" s="77" t="n">
        <v>70</v>
      </c>
      <c r="T21" s="39" t="n"/>
    </row>
    <row r="22" ht="62" customHeight="1">
      <c r="A22" s="12">
        <f>_xlfn.IMAGE("https://m.media-amazon.com/images/I/81I312usunL.jpg")</f>
        <v/>
      </c>
      <c r="B22" s="39" t="inlineStr">
        <is>
          <t>B0CQ33H4QW</t>
        </is>
      </c>
      <c r="C22" s="39" t="inlineStr">
        <is>
          <t>BAMBOO-KING-LIGHTGREY-6PCS</t>
        </is>
      </c>
      <c r="D22" s="39" t="inlineStr">
        <is>
          <t>DECOLURE 100% Viscose from Bamboo Sheets King Size | 6 Pc Cooling Bed Set</t>
        </is>
      </c>
      <c r="E22" s="39" t="inlineStr">
        <is>
          <t>King</t>
        </is>
      </c>
      <c r="F22" s="39" t="inlineStr">
        <is>
          <t>Light Grey</t>
        </is>
      </c>
      <c r="G22" s="73" t="n">
        <v>99.98999999999999</v>
      </c>
      <c r="H22" s="39" t="inlineStr">
        <is>
          <t>catalog price, 2026-10-13</t>
        </is>
      </c>
      <c r="I22" s="74" t="n">
        <v>89.98999999999999</v>
      </c>
      <c r="J22" s="75" t="inlineStr">
        <is>
          <t>2026-03-30</t>
        </is>
      </c>
      <c r="K22" s="40" t="n">
        <v>33.62</v>
      </c>
      <c r="L22" s="76" t="n">
        <v>0.3735970663407045</v>
      </c>
      <c r="M22" s="77" t="n">
        <v>76</v>
      </c>
      <c r="N22" s="39" t="inlineStr">
        <is>
          <t>Active</t>
        </is>
      </c>
      <c r="O22" s="39" t="n"/>
      <c r="P22" s="78" t="n">
        <v>4.4</v>
      </c>
      <c r="Q22" s="77" t="n">
        <v>3153</v>
      </c>
      <c r="R22" s="77" t="n">
        <v>18045</v>
      </c>
      <c r="S22" s="77" t="n">
        <v>51</v>
      </c>
      <c r="T22" s="39" t="n"/>
    </row>
    <row r="23" ht="62" customHeight="1">
      <c r="A23" s="12">
        <f>_xlfn.IMAGE("https://m.media-amazon.com/images/I/81PXZ9VB3EL.jpg")</f>
        <v/>
      </c>
      <c r="B23" s="39" t="inlineStr">
        <is>
          <t>B0CQ32Z6VP</t>
        </is>
      </c>
      <c r="C23" s="39" t="inlineStr">
        <is>
          <t>BAMBOO-QUEEN-CREME-6PCS</t>
        </is>
      </c>
      <c r="D23" s="39" t="inlineStr">
        <is>
          <t>DECOLURE 100% Viscose from Bamboo Sheets Queen Size | 6 Pc Cooling Bed Set</t>
        </is>
      </c>
      <c r="E23" s="39" t="inlineStr">
        <is>
          <t>Queen</t>
        </is>
      </c>
      <c r="F23" s="39" t="inlineStr">
        <is>
          <t>Creme</t>
        </is>
      </c>
      <c r="G23" s="73" t="n">
        <v>94.98999999999999</v>
      </c>
      <c r="H23" s="39" t="inlineStr">
        <is>
          <t>catalog price, 2026-10-13</t>
        </is>
      </c>
      <c r="I23" s="74" t="n">
        <v>109.99</v>
      </c>
      <c r="J23" s="75" t="inlineStr">
        <is>
          <t>2026-03-30</t>
        </is>
      </c>
      <c r="K23" s="40" t="n">
        <v>56.92999999999999</v>
      </c>
      <c r="L23" s="76" t="n">
        <v>0.5175925084098554</v>
      </c>
      <c r="M23" s="77" t="n">
        <v>76</v>
      </c>
      <c r="N23" s="39" t="inlineStr">
        <is>
          <t>Active</t>
        </is>
      </c>
      <c r="O23" s="39" t="inlineStr">
        <is>
          <t>Yes (28%)</t>
        </is>
      </c>
      <c r="P23" s="78" t="n">
        <v>4.4</v>
      </c>
      <c r="Q23" s="77" t="n">
        <v>3153</v>
      </c>
      <c r="R23" s="77" t="n">
        <v>18045</v>
      </c>
      <c r="S23" s="77" t="n">
        <v>67</v>
      </c>
      <c r="T23" s="39" t="n"/>
    </row>
    <row r="24" ht="62" customHeight="1">
      <c r="A24" s="12">
        <f>_xlfn.IMAGE("https://m.media-amazon.com/images/I/81qE6QSwrML.jpg")</f>
        <v/>
      </c>
      <c r="B24" s="39" t="inlineStr">
        <is>
          <t>B0CQ316YRY</t>
        </is>
      </c>
      <c r="C24" s="39" t="inlineStr">
        <is>
          <t>BAMBOO-KING-NAVYBLUE-6PCS</t>
        </is>
      </c>
      <c r="D24" s="39" t="inlineStr">
        <is>
          <t>DECOLURE 100% Viscose from Bamboo Sheets King Size | 6 Pc Cooling Bed Set</t>
        </is>
      </c>
      <c r="E24" s="39" t="inlineStr">
        <is>
          <t>King</t>
        </is>
      </c>
      <c r="F24" s="39" t="inlineStr">
        <is>
          <t>Navy Blue</t>
        </is>
      </c>
      <c r="G24" s="73" t="n">
        <v>99.98999999999999</v>
      </c>
      <c r="H24" s="39" t="inlineStr">
        <is>
          <t>catalog price, 2026-10-13</t>
        </is>
      </c>
      <c r="I24" s="74" t="n">
        <v>84.98999999999999</v>
      </c>
      <c r="J24" s="75" t="inlineStr">
        <is>
          <t>2026-03-06</t>
        </is>
      </c>
      <c r="K24" s="40" t="n">
        <v>29.75</v>
      </c>
      <c r="L24" s="76" t="n">
        <v>0.3500411813154489</v>
      </c>
      <c r="M24" s="77" t="n">
        <v>65</v>
      </c>
      <c r="N24" s="39" t="inlineStr">
        <is>
          <t>Active</t>
        </is>
      </c>
      <c r="O24" s="39" t="n"/>
      <c r="P24" s="78" t="n">
        <v>4.4</v>
      </c>
      <c r="Q24" s="77" t="n">
        <v>3153</v>
      </c>
      <c r="R24" s="77" t="n">
        <v>18049</v>
      </c>
      <c r="S24" s="77" t="n">
        <v>54</v>
      </c>
      <c r="T24" s="39" t="n"/>
    </row>
    <row r="25" ht="62" customHeight="1">
      <c r="A25" s="12">
        <f>_xlfn.IMAGE("https://m.media-amazon.com/images/I/813aFqxnKrL.jpg")</f>
        <v/>
      </c>
      <c r="B25" s="39" t="inlineStr">
        <is>
          <t>B0CQ32B24Y</t>
        </is>
      </c>
      <c r="C25" s="39" t="inlineStr">
        <is>
          <t>BAMBOO-QUEEN-OLIVE-6PCS</t>
        </is>
      </c>
      <c r="D25" s="39" t="inlineStr">
        <is>
          <t>DECOLURE 100% Viscose from Bamboo Sheets Queen Size | 6 Pc Cooling Bed Set</t>
        </is>
      </c>
      <c r="E25" s="39" t="inlineStr">
        <is>
          <t>Queen</t>
        </is>
      </c>
      <c r="F25" s="39" t="inlineStr">
        <is>
          <t>Olive</t>
        </is>
      </c>
      <c r="G25" s="73" t="n">
        <v>94.98999999999999</v>
      </c>
      <c r="H25" s="39" t="inlineStr">
        <is>
          <t>catalog price, 2026-10-13</t>
        </is>
      </c>
      <c r="I25" s="74" t="n">
        <v>84.98999999999999</v>
      </c>
      <c r="J25" s="75" t="inlineStr">
        <is>
          <t>2026-03-30</t>
        </is>
      </c>
      <c r="K25" s="40" t="n">
        <v>35.26</v>
      </c>
      <c r="L25" s="76" t="n">
        <v>0.4148723379221085</v>
      </c>
      <c r="M25" s="77" t="n">
        <v>65</v>
      </c>
      <c r="N25" s="39" t="inlineStr">
        <is>
          <t>Active</t>
        </is>
      </c>
      <c r="O25" s="39" t="n"/>
      <c r="P25" s="78" t="n">
        <v>4.4</v>
      </c>
      <c r="Q25" s="77" t="n">
        <v>3153</v>
      </c>
      <c r="R25" s="77" t="n">
        <v>18049</v>
      </c>
      <c r="S25" s="77" t="n">
        <v>50</v>
      </c>
      <c r="T25" s="39" t="n"/>
    </row>
    <row r="26" ht="62" customHeight="1">
      <c r="A26" s="12">
        <f>_xlfn.IMAGE("https://m.media-amazon.com/images/I/81MRRHk3q4L.jpg")</f>
        <v/>
      </c>
      <c r="B26" s="39" t="inlineStr">
        <is>
          <t>B0CQ31X65Y</t>
        </is>
      </c>
      <c r="C26" s="39" t="inlineStr">
        <is>
          <t>BAMBOO-KING-LIGHTBLUE-6PCS</t>
        </is>
      </c>
      <c r="D26" s="39" t="inlineStr">
        <is>
          <t>DECOLURE 100% Viscose from Bamboo Sheets King Size | 6 Pc Cooling Bed Set</t>
        </is>
      </c>
      <c r="E26" s="39" t="inlineStr">
        <is>
          <t>King</t>
        </is>
      </c>
      <c r="F26" s="39" t="inlineStr">
        <is>
          <t>Light Blue</t>
        </is>
      </c>
      <c r="G26" s="73" t="n">
        <v>99.98999999999999</v>
      </c>
      <c r="H26" s="39" t="inlineStr">
        <is>
          <t>catalog price, 2026-10-13</t>
        </is>
      </c>
      <c r="I26" s="74" t="n">
        <v>89.98999999999999</v>
      </c>
      <c r="J26" s="75" t="inlineStr">
        <is>
          <t>2026-03-30</t>
        </is>
      </c>
      <c r="K26" s="40" t="n">
        <v>34.98</v>
      </c>
      <c r="L26" s="76" t="n">
        <v>0.388709856650739</v>
      </c>
      <c r="M26" s="77" t="n">
        <v>62</v>
      </c>
      <c r="N26" s="39" t="inlineStr">
        <is>
          <t>Active</t>
        </is>
      </c>
      <c r="O26" s="39" t="n"/>
      <c r="P26" s="78" t="n">
        <v>4.4</v>
      </c>
      <c r="Q26" s="77" t="n">
        <v>3153</v>
      </c>
      <c r="R26" s="77" t="n">
        <v>18049</v>
      </c>
      <c r="S26" s="77" t="n">
        <v>67</v>
      </c>
      <c r="T26" s="39" t="n"/>
    </row>
    <row r="27" ht="62" customHeight="1">
      <c r="A27" s="12">
        <f>_xlfn.IMAGE("https://m.media-amazon.com/images/I/81qE6QSwrML.jpg")</f>
        <v/>
      </c>
      <c r="B27" s="39" t="inlineStr">
        <is>
          <t>B0CQ32N392</t>
        </is>
      </c>
      <c r="C27" s="39" t="inlineStr">
        <is>
          <t>BAMBOO-QUEEN-NAVYBLUE-6PCS</t>
        </is>
      </c>
      <c r="D27" s="39" t="inlineStr">
        <is>
          <t>DECOLURE 100% Viscose from Bamboo Sheets Queen Size | 6 Pc Cooling Bed Set</t>
        </is>
      </c>
      <c r="E27" s="39" t="inlineStr">
        <is>
          <t>Queen</t>
        </is>
      </c>
      <c r="F27" s="39" t="inlineStr">
        <is>
          <t>Navy Blue</t>
        </is>
      </c>
      <c r="G27" s="73" t="n">
        <v>94.98999999999999</v>
      </c>
      <c r="H27" s="39" t="inlineStr">
        <is>
          <t>catalog price, 2026-10-13</t>
        </is>
      </c>
      <c r="I27" s="74" t="n">
        <v>84.98999999999999</v>
      </c>
      <c r="J27" s="75" t="inlineStr">
        <is>
          <t>2026-03-30</t>
        </is>
      </c>
      <c r="K27" s="40" t="n">
        <v>36.01999999999999</v>
      </c>
      <c r="L27" s="76" t="n">
        <v>0.4238145664195787</v>
      </c>
      <c r="M27" s="77" t="n">
        <v>59</v>
      </c>
      <c r="N27" s="39" t="inlineStr">
        <is>
          <t>Active</t>
        </is>
      </c>
      <c r="O27" s="39" t="n"/>
      <c r="P27" s="78" t="n">
        <v>4.4</v>
      </c>
      <c r="Q27" s="77" t="n">
        <v>3153</v>
      </c>
      <c r="R27" s="77" t="n">
        <v>18049</v>
      </c>
      <c r="S27" s="77" t="n">
        <v>54</v>
      </c>
      <c r="T27" s="39" t="n"/>
    </row>
    <row r="28" ht="62" customHeight="1">
      <c r="A28" s="12">
        <f>_xlfn.IMAGE("https://m.media-amazon.com/images/I/81kehc99ZjL.jpg")</f>
        <v/>
      </c>
      <c r="B28" s="39" t="inlineStr">
        <is>
          <t>B0CQ328N9Z</t>
        </is>
      </c>
      <c r="C28" s="39" t="inlineStr">
        <is>
          <t>BAMBOO-KING-PURPLE-6PCS</t>
        </is>
      </c>
      <c r="D28" s="39" t="inlineStr">
        <is>
          <t>DECOLURE 100% Viscose from Bamboo Sheets King Size | 6 Pc Cooling Bed Set</t>
        </is>
      </c>
      <c r="E28" s="39" t="inlineStr">
        <is>
          <t>King</t>
        </is>
      </c>
      <c r="F28" s="39" t="inlineStr">
        <is>
          <t>Purple</t>
        </is>
      </c>
      <c r="G28" s="73" t="n">
        <v>99.98999999999999</v>
      </c>
      <c r="H28" s="39" t="inlineStr">
        <is>
          <t>catalog price, 2026-10-13</t>
        </is>
      </c>
      <c r="I28" s="74" t="n">
        <v>110.99</v>
      </c>
      <c r="J28" s="75" t="inlineStr">
        <is>
          <t>2026-03-30</t>
        </is>
      </c>
      <c r="K28" s="40" t="n">
        <v>52.7</v>
      </c>
      <c r="L28" s="76" t="n">
        <v>0.4748175511307325</v>
      </c>
      <c r="M28" s="77" t="n">
        <v>54</v>
      </c>
      <c r="N28" s="39" t="inlineStr">
        <is>
          <t>Active</t>
        </is>
      </c>
      <c r="O28" s="39" t="n"/>
      <c r="P28" s="78" t="n">
        <v>4.4</v>
      </c>
      <c r="Q28" s="77" t="n">
        <v>3153</v>
      </c>
      <c r="R28" s="77" t="n">
        <v>18049</v>
      </c>
      <c r="S28" s="77" t="n">
        <v>26</v>
      </c>
      <c r="T28" s="39" t="n"/>
    </row>
    <row r="29" ht="62" customHeight="1">
      <c r="A29" s="12">
        <f>_xlfn.IMAGE("https://m.media-amazon.com/images/I/817PHsMlA6L._AC_SY355_.jpg")</f>
        <v/>
      </c>
      <c r="B29" s="39" t="inlineStr">
        <is>
          <t>B0CQ331L15</t>
        </is>
      </c>
      <c r="C29" s="39" t="inlineStr">
        <is>
          <t>BAMBOO-KING-BLACK-6PCS</t>
        </is>
      </c>
      <c r="D29" s="39" t="inlineStr">
        <is>
          <t>DECOLURE 100% Viscose from Bamboo Sheets King Size | 6 Pc Cooling Bed Set</t>
        </is>
      </c>
      <c r="E29" s="39" t="inlineStr">
        <is>
          <t>King</t>
        </is>
      </c>
      <c r="F29" s="39" t="inlineStr">
        <is>
          <t>Black</t>
        </is>
      </c>
      <c r="G29" s="73" t="n">
        <v>99.98999999999999</v>
      </c>
      <c r="H29" s="39" t="inlineStr">
        <is>
          <t>catalog price, 2026-10-13</t>
        </is>
      </c>
      <c r="I29" s="74" t="n">
        <v>89.98999999999999</v>
      </c>
      <c r="J29" s="75" t="inlineStr">
        <is>
          <t>2026-03-30</t>
        </is>
      </c>
      <c r="K29" s="40" t="n">
        <v>34.29</v>
      </c>
      <c r="L29" s="76" t="n">
        <v>0.3810423380375598</v>
      </c>
      <c r="M29" s="77" t="n">
        <v>47</v>
      </c>
      <c r="N29" s="39" t="n"/>
      <c r="O29" s="39" t="n"/>
      <c r="P29" s="78" t="n">
        <v>4.4</v>
      </c>
      <c r="Q29" s="77" t="n">
        <v>3153</v>
      </c>
      <c r="R29" s="77" t="n">
        <v>18045</v>
      </c>
      <c r="S29" s="77" t="n">
        <v>41</v>
      </c>
      <c r="T29" s="39" t="n"/>
    </row>
    <row r="30" ht="62" customHeight="1">
      <c r="A30" s="12">
        <f>_xlfn.IMAGE("https://m.media-amazon.com/images/I/81KfdRGP46L.jpg")</f>
        <v/>
      </c>
      <c r="B30" s="39" t="inlineStr">
        <is>
          <t>B0CQ32NPF5</t>
        </is>
      </c>
      <c r="C30" s="39" t="inlineStr">
        <is>
          <t>BAMBOO-KING-BURGUNDY-6PCS</t>
        </is>
      </c>
      <c r="D30" s="39" t="inlineStr">
        <is>
          <t>DECOLURE 100% Viscose from Bamboo Sheets King Size | 6 Pc Cooling Bed Set</t>
        </is>
      </c>
      <c r="E30" s="39" t="inlineStr">
        <is>
          <t>King</t>
        </is>
      </c>
      <c r="F30" s="39" t="inlineStr">
        <is>
          <t>Burgundy</t>
        </is>
      </c>
      <c r="G30" s="73" t="n">
        <v>99.98999999999999</v>
      </c>
      <c r="H30" s="39" t="inlineStr">
        <is>
          <t>catalog price, 2026-10-13</t>
        </is>
      </c>
      <c r="I30" s="40" t="n"/>
      <c r="J30" s="39" t="n"/>
      <c r="K30" s="40" t="n"/>
      <c r="L30" s="76" t="n"/>
      <c r="M30" s="77" t="n">
        <v>47</v>
      </c>
      <c r="N30" s="39" t="inlineStr">
        <is>
          <t>Active</t>
        </is>
      </c>
      <c r="O30" s="39" t="n"/>
      <c r="P30" s="78" t="n">
        <v>4.4</v>
      </c>
      <c r="Q30" s="77" t="n">
        <v>3153</v>
      </c>
      <c r="R30" s="77" t="n">
        <v>18049</v>
      </c>
      <c r="S30" s="77" t="n">
        <v>22</v>
      </c>
      <c r="T30" s="39" t="n"/>
    </row>
    <row r="31" ht="62" customHeight="1">
      <c r="A31" s="12">
        <f>_xlfn.IMAGE("https://m.media-amazon.com/images/I/81C7Qfwu1WL.jpg")</f>
        <v/>
      </c>
      <c r="B31" s="39" t="inlineStr">
        <is>
          <t>B0CQ32S4ML</t>
        </is>
      </c>
      <c r="C31" s="39" t="inlineStr">
        <is>
          <t>BAMBOO-KING-GREY-6PCS</t>
        </is>
      </c>
      <c r="D31" s="39" t="inlineStr">
        <is>
          <t>DECOLURE 100% Viscose from Bamboo Sheets King Size | 6 Pc Cooling Bed Set</t>
        </is>
      </c>
      <c r="E31" s="39" t="inlineStr">
        <is>
          <t>King</t>
        </is>
      </c>
      <c r="F31" s="39" t="inlineStr">
        <is>
          <t>Grey</t>
        </is>
      </c>
      <c r="G31" s="73" t="n">
        <v>111.99</v>
      </c>
      <c r="H31" s="39" t="inlineStr">
        <is>
          <t>catalog price, 2026-10-13</t>
        </is>
      </c>
      <c r="I31" s="74" t="n">
        <v>89.98999999999999</v>
      </c>
      <c r="J31" s="75" t="inlineStr">
        <is>
          <t>2026-03-30</t>
        </is>
      </c>
      <c r="K31" s="40" t="n">
        <v>33.08</v>
      </c>
      <c r="L31" s="76" t="n">
        <v>0.3675963995999555</v>
      </c>
      <c r="M31" s="77" t="n">
        <v>47</v>
      </c>
      <c r="N31" s="39" t="inlineStr">
        <is>
          <t>Active</t>
        </is>
      </c>
      <c r="O31" s="39" t="n"/>
      <c r="P31" s="78" t="n">
        <v>4.4</v>
      </c>
      <c r="Q31" s="77" t="n">
        <v>3153</v>
      </c>
      <c r="R31" s="77" t="n">
        <v>18045</v>
      </c>
      <c r="S31" s="77" t="n">
        <v>22</v>
      </c>
      <c r="T31" s="39" t="n"/>
    </row>
    <row r="32" ht="62" customHeight="1">
      <c r="A32" s="12">
        <f>_xlfn.IMAGE("https://m.media-amazon.com/images/I/81MRRHk3q4L.jpg")</f>
        <v/>
      </c>
      <c r="B32" s="39" t="inlineStr">
        <is>
          <t>B0CQ32F3HY</t>
        </is>
      </c>
      <c r="C32" s="39" t="inlineStr">
        <is>
          <t>BAMBOO-QUEEN-LIGHTBLUE-6PCS</t>
        </is>
      </c>
      <c r="D32" s="39" t="inlineStr">
        <is>
          <t>DECOLURE 100% Viscose from Bamboo Sheets Queen Size | 6 Pc Cooling Bed Set</t>
        </is>
      </c>
      <c r="E32" s="39" t="inlineStr">
        <is>
          <t>Queen</t>
        </is>
      </c>
      <c r="F32" s="39" t="inlineStr">
        <is>
          <t>Light Blue</t>
        </is>
      </c>
      <c r="G32" s="73" t="n">
        <v>100.99</v>
      </c>
      <c r="H32" s="39" t="inlineStr">
        <is>
          <t>catalog price, 2026-10-13</t>
        </is>
      </c>
      <c r="I32" s="74" t="n">
        <v>84.98999999999999</v>
      </c>
      <c r="J32" s="75" t="inlineStr">
        <is>
          <t>2026-03-30</t>
        </is>
      </c>
      <c r="K32" s="40" t="n">
        <v>36.48</v>
      </c>
      <c r="L32" s="76" t="n">
        <v>0.429226967878574</v>
      </c>
      <c r="M32" s="77" t="n">
        <v>47</v>
      </c>
      <c r="N32" s="39" t="inlineStr">
        <is>
          <t>Active</t>
        </is>
      </c>
      <c r="O32" s="39" t="n"/>
      <c r="P32" s="78" t="n">
        <v>4.4</v>
      </c>
      <c r="Q32" s="77" t="n">
        <v>3153</v>
      </c>
      <c r="R32" s="77" t="n">
        <v>18049</v>
      </c>
      <c r="S32" s="77" t="n">
        <v>58</v>
      </c>
      <c r="T32" s="39" t="n"/>
    </row>
    <row r="33" ht="62" customHeight="1">
      <c r="A33" s="12">
        <f>_xlfn.IMAGE("https://m.media-amazon.com/images/I/81Ky84k0RkL.jpg")</f>
        <v/>
      </c>
      <c r="B33" s="39" t="inlineStr">
        <is>
          <t>B0CQ2ZZ9QN</t>
        </is>
      </c>
      <c r="C33" s="39" t="inlineStr">
        <is>
          <t>BAMBOO-KING-SAGE GREEN-6PCS</t>
        </is>
      </c>
      <c r="D33" s="39" t="inlineStr">
        <is>
          <t>DECOLURE 100% Viscose from Bamboo Sheets King Size | 6 Pc Cooling Bed Set</t>
        </is>
      </c>
      <c r="E33" s="39" t="inlineStr">
        <is>
          <t>King</t>
        </is>
      </c>
      <c r="F33" s="39" t="inlineStr">
        <is>
          <t>Sage Green</t>
        </is>
      </c>
      <c r="G33" s="73" t="n">
        <v>99.98999999999999</v>
      </c>
      <c r="H33" s="39" t="inlineStr">
        <is>
          <t>catalog price, 2026-10-13</t>
        </is>
      </c>
      <c r="I33" s="74" t="n">
        <v>89.98999999999999</v>
      </c>
      <c r="J33" s="75" t="inlineStr">
        <is>
          <t>2026-03-30</t>
        </is>
      </c>
      <c r="K33" s="40" t="n">
        <v>33.68</v>
      </c>
      <c r="L33" s="76" t="n">
        <v>0.3742638070896767</v>
      </c>
      <c r="M33" s="77" t="n">
        <v>41</v>
      </c>
      <c r="N33" s="39" t="inlineStr">
        <is>
          <t>Active</t>
        </is>
      </c>
      <c r="O33" s="39" t="n"/>
      <c r="P33" s="78" t="n">
        <v>4.4</v>
      </c>
      <c r="Q33" s="77" t="n">
        <v>3153</v>
      </c>
      <c r="R33" s="77" t="n">
        <v>18045</v>
      </c>
      <c r="S33" s="77" t="n">
        <v>22</v>
      </c>
      <c r="T33" s="39" t="n"/>
    </row>
    <row r="34" ht="62" customHeight="1">
      <c r="A34" s="12">
        <f>_xlfn.IMAGE("https://m.media-amazon.com/images/I/81Ky84k0RkL.jpg")</f>
        <v/>
      </c>
      <c r="B34" s="39" t="inlineStr">
        <is>
          <t>B0CQ3CDRTN</t>
        </is>
      </c>
      <c r="C34" s="39" t="inlineStr">
        <is>
          <t>BAMBOO-QUEEN-SAGE GREEN-6PCS</t>
        </is>
      </c>
      <c r="D34" s="39" t="inlineStr">
        <is>
          <t>DECOLURE 100% Viscose from Bamboo Sheets Queen Size | 6 Pc Cooling Bed Set</t>
        </is>
      </c>
      <c r="E34" s="39" t="inlineStr">
        <is>
          <t>Queen</t>
        </is>
      </c>
      <c r="F34" s="39" t="inlineStr">
        <is>
          <t>Sage Green</t>
        </is>
      </c>
      <c r="G34" s="73" t="n">
        <v>100.99</v>
      </c>
      <c r="H34" s="39" t="inlineStr">
        <is>
          <t>catalog price, 2026-10-13</t>
        </is>
      </c>
      <c r="I34" s="74" t="n">
        <v>84.98999999999999</v>
      </c>
      <c r="J34" s="75" t="inlineStr">
        <is>
          <t>2026-03-30</t>
        </is>
      </c>
      <c r="K34" s="40" t="n">
        <v>35.92</v>
      </c>
      <c r="L34" s="76" t="n">
        <v>0.4226379574067538</v>
      </c>
      <c r="M34" s="77" t="n">
        <v>41</v>
      </c>
      <c r="N34" s="39" t="inlineStr">
        <is>
          <t>Active</t>
        </is>
      </c>
      <c r="O34" s="39" t="n"/>
      <c r="P34" s="78" t="n">
        <v>4.4</v>
      </c>
      <c r="Q34" s="77" t="n">
        <v>3153</v>
      </c>
      <c r="R34" s="77" t="n">
        <v>18045</v>
      </c>
      <c r="S34" s="77" t="n">
        <v>23</v>
      </c>
      <c r="T34" s="39" t="n"/>
    </row>
    <row r="35" ht="62" customHeight="1">
      <c r="A35" s="12">
        <f>_xlfn.IMAGE("https://m.media-amazon.com/images/I/81I312usunL.jpg")</f>
        <v/>
      </c>
      <c r="B35" s="39" t="inlineStr">
        <is>
          <t>B0CQ33K3TL</t>
        </is>
      </c>
      <c r="C35" s="39" t="inlineStr">
        <is>
          <t>BAMBOO-QUEEN-LIGHTGREY-6PCS</t>
        </is>
      </c>
      <c r="D35" s="39" t="inlineStr">
        <is>
          <t>DECOLURE 100% Viscose from Bamboo Sheets Queen Size | 6 Pc Cooling Bed Set</t>
        </is>
      </c>
      <c r="E35" s="39" t="inlineStr">
        <is>
          <t>Queen</t>
        </is>
      </c>
      <c r="F35" s="39" t="inlineStr">
        <is>
          <t>Light Grey</t>
        </is>
      </c>
      <c r="G35" s="73" t="n">
        <v>102.99</v>
      </c>
      <c r="H35" s="39" t="inlineStr">
        <is>
          <t>catalog price, 2026-10-13</t>
        </is>
      </c>
      <c r="I35" s="74" t="n">
        <v>84.98999999999999</v>
      </c>
      <c r="J35" s="75" t="inlineStr">
        <is>
          <t>2026-03-30</t>
        </is>
      </c>
      <c r="K35" s="40" t="n">
        <v>35.77999999999999</v>
      </c>
      <c r="L35" s="76" t="n">
        <v>0.4209907047887987</v>
      </c>
      <c r="M35" s="77" t="n">
        <v>39</v>
      </c>
      <c r="N35" s="39" t="inlineStr">
        <is>
          <t>Active</t>
        </is>
      </c>
      <c r="O35" s="39" t="n"/>
      <c r="P35" s="78" t="n">
        <v>4.4</v>
      </c>
      <c r="Q35" s="77" t="n">
        <v>3153</v>
      </c>
      <c r="R35" s="77" t="n">
        <v>18049</v>
      </c>
      <c r="S35" s="77" t="n">
        <v>46</v>
      </c>
      <c r="T35" s="39" t="n"/>
    </row>
    <row r="36" ht="62" customHeight="1">
      <c r="A36" s="12">
        <f>_xlfn.IMAGE("https://m.media-amazon.com/images/I/81+83kJjC0L.jpg")</f>
        <v/>
      </c>
      <c r="B36" s="39" t="inlineStr">
        <is>
          <t>B0CQ33C286</t>
        </is>
      </c>
      <c r="C36" s="39" t="inlineStr">
        <is>
          <t>BAMBOO-QUEEN-CHARCOAL-6PCS</t>
        </is>
      </c>
      <c r="D36" s="39" t="inlineStr">
        <is>
          <t>DECOLURE 100% Viscose from Bamboo Sheets Queen Size | 6 Pc Cooling Bed Set</t>
        </is>
      </c>
      <c r="E36" s="39" t="inlineStr">
        <is>
          <t>Queen</t>
        </is>
      </c>
      <c r="F36" s="39" t="inlineStr">
        <is>
          <t>Charcoal</t>
        </is>
      </c>
      <c r="G36" s="73" t="n">
        <v>94.98999999999999</v>
      </c>
      <c r="H36" s="39" t="inlineStr">
        <is>
          <t>catalog price, 2026-10-13</t>
        </is>
      </c>
      <c r="I36" s="74" t="n">
        <v>84.98999999999999</v>
      </c>
      <c r="J36" s="75" t="inlineStr">
        <is>
          <t>2026-03-30</t>
        </is>
      </c>
      <c r="K36" s="40" t="n">
        <v>36.53999999999999</v>
      </c>
      <c r="L36" s="76" t="n">
        <v>0.4299329332862689</v>
      </c>
      <c r="M36" s="77" t="n">
        <v>34</v>
      </c>
      <c r="N36" s="39" t="inlineStr">
        <is>
          <t>Active</t>
        </is>
      </c>
      <c r="O36" s="39" t="n"/>
      <c r="P36" s="78" t="n">
        <v>4.4</v>
      </c>
      <c r="Q36" s="77" t="n">
        <v>3153</v>
      </c>
      <c r="R36" s="77" t="n">
        <v>18049</v>
      </c>
      <c r="S36" s="77" t="n">
        <v>57</v>
      </c>
      <c r="T36" s="39" t="n"/>
    </row>
    <row r="37" ht="62" customHeight="1">
      <c r="A37" s="12">
        <f>_xlfn.IMAGE("https://m.media-amazon.com/images/I/81fJLSDJpFL.jpg")</f>
        <v/>
      </c>
      <c r="B37" s="39" t="inlineStr">
        <is>
          <t>B0CQ31Q559</t>
        </is>
      </c>
      <c r="C37" s="39" t="inlineStr">
        <is>
          <t>BAMBOO-FULL-WHITE-6PCS</t>
        </is>
      </c>
      <c r="D37" s="39" t="inlineStr">
        <is>
          <t>DECOLURE 100% Viscose from Bamboo Sheets Full Size | 6 Pc Cooling Bed Set</t>
        </is>
      </c>
      <c r="E37" s="39" t="inlineStr">
        <is>
          <t>Full</t>
        </is>
      </c>
      <c r="F37" s="39" t="inlineStr">
        <is>
          <t>White</t>
        </is>
      </c>
      <c r="G37" s="73" t="n">
        <v>79.98999999999999</v>
      </c>
      <c r="H37" s="39" t="inlineStr">
        <is>
          <t>catalog price, 2026-10-13</t>
        </is>
      </c>
      <c r="I37" s="74" t="n">
        <v>74.98999999999999</v>
      </c>
      <c r="J37" s="75" t="inlineStr">
        <is>
          <t>2026-03-30</t>
        </is>
      </c>
      <c r="K37" s="40" t="n">
        <v>30.02999999999999</v>
      </c>
      <c r="L37" s="76" t="n">
        <v>0.4004533937858381</v>
      </c>
      <c r="M37" s="77" t="n">
        <v>29</v>
      </c>
      <c r="N37" s="39" t="inlineStr">
        <is>
          <t>Active</t>
        </is>
      </c>
      <c r="O37" s="39" t="n"/>
      <c r="P37" s="78" t="n">
        <v>4.4</v>
      </c>
      <c r="Q37" s="77" t="n">
        <v>3153</v>
      </c>
      <c r="R37" s="77" t="n">
        <v>18045</v>
      </c>
      <c r="S37" s="77" t="n">
        <v>40</v>
      </c>
      <c r="T37" s="39" t="n"/>
    </row>
    <row r="38" ht="62" customHeight="1">
      <c r="A38" s="12">
        <f>_xlfn.IMAGE("https://m.media-amazon.com/images/I/81qwLZXe5IL.jpg")</f>
        <v/>
      </c>
      <c r="B38" s="39" t="inlineStr">
        <is>
          <t>B0CQ3437ZF</t>
        </is>
      </c>
      <c r="C38" s="39" t="inlineStr">
        <is>
          <t>BAMBOO-KING-LIGHT PINK-6PCS</t>
        </is>
      </c>
      <c r="D38" s="39" t="inlineStr">
        <is>
          <t>DECOLURE 100% Viscose from Bamboo Sheets King Size | 6 Pc Cooling Bed Set</t>
        </is>
      </c>
      <c r="E38" s="39" t="inlineStr">
        <is>
          <t>King</t>
        </is>
      </c>
      <c r="F38" s="39" t="inlineStr">
        <is>
          <t>Light Pink</t>
        </is>
      </c>
      <c r="G38" s="73" t="n">
        <v>99.98999999999999</v>
      </c>
      <c r="H38" s="39" t="inlineStr">
        <is>
          <t>catalog price, 2026-10-13</t>
        </is>
      </c>
      <c r="I38" s="74" t="n">
        <v>89.98999999999999</v>
      </c>
      <c r="J38" s="75" t="inlineStr">
        <is>
          <t>2026-03-30</t>
        </is>
      </c>
      <c r="K38" s="40" t="n">
        <v>35.32</v>
      </c>
      <c r="L38" s="76" t="n">
        <v>0.3924880542282476</v>
      </c>
      <c r="M38" s="77" t="n">
        <v>29</v>
      </c>
      <c r="N38" s="39" t="inlineStr">
        <is>
          <t>Active</t>
        </is>
      </c>
      <c r="O38" s="39" t="n"/>
      <c r="P38" s="78" t="n">
        <v>4.4</v>
      </c>
      <c r="Q38" s="77" t="n">
        <v>3153</v>
      </c>
      <c r="R38" s="77" t="n">
        <v>18049</v>
      </c>
      <c r="S38" s="77" t="n">
        <v>7</v>
      </c>
      <c r="T38" s="39" t="n"/>
    </row>
    <row r="39" ht="62" customHeight="1">
      <c r="A39" s="12">
        <f>_xlfn.IMAGE("https://m.media-amazon.com/images/I/81+83kJjC0L.jpg")</f>
        <v/>
      </c>
      <c r="B39" s="39" t="inlineStr">
        <is>
          <t>B0CQ2ZZW88</t>
        </is>
      </c>
      <c r="C39" s="39" t="inlineStr">
        <is>
          <t>BAMBOO-KING-CHARCOAL-6PCS</t>
        </is>
      </c>
      <c r="D39" s="39" t="inlineStr">
        <is>
          <t>DECOLURE 100% Viscose from Bamboo Sheets King Size | 6 Pc Cooling Bed Set</t>
        </is>
      </c>
      <c r="E39" s="39" t="inlineStr">
        <is>
          <t>King</t>
        </is>
      </c>
      <c r="F39" s="39" t="inlineStr">
        <is>
          <t>Charcoal</t>
        </is>
      </c>
      <c r="G39" s="73" t="n">
        <v>99.98999999999999</v>
      </c>
      <c r="H39" s="39" t="inlineStr">
        <is>
          <t>catalog price, 2026-10-13</t>
        </is>
      </c>
      <c r="I39" s="74" t="n">
        <v>89.98999999999999</v>
      </c>
      <c r="J39" s="75" t="inlineStr">
        <is>
          <t>2026-03-30</t>
        </is>
      </c>
      <c r="K39" s="40" t="n">
        <v>34.23999999999999</v>
      </c>
      <c r="L39" s="76" t="n">
        <v>0.3804867207467496</v>
      </c>
      <c r="M39" s="77" t="n">
        <v>28</v>
      </c>
      <c r="N39" s="39" t="inlineStr">
        <is>
          <t>Active</t>
        </is>
      </c>
      <c r="O39" s="39" t="n"/>
      <c r="P39" s="78" t="n">
        <v>4.4</v>
      </c>
      <c r="Q39" s="77" t="n">
        <v>3153</v>
      </c>
      <c r="R39" s="77" t="n">
        <v>18045</v>
      </c>
      <c r="S39" s="77" t="n">
        <v>33</v>
      </c>
      <c r="T39" s="39" t="n"/>
    </row>
    <row r="40" ht="62" customHeight="1">
      <c r="A40" s="12">
        <f>_xlfn.IMAGE("https://m.media-amazon.com/images/I/81PXZ9VB3EL.jpg")</f>
        <v/>
      </c>
      <c r="B40" s="39" t="inlineStr">
        <is>
          <t>B0CQ2ZVD96</t>
        </is>
      </c>
      <c r="C40" s="39" t="inlineStr">
        <is>
          <t>BAMBOO-FULL-CREME-6PCS</t>
        </is>
      </c>
      <c r="D40" s="39" t="inlineStr">
        <is>
          <t>DECOLURE 100% Viscose from Bamboo Sheets Full Size | 6 Pc Cooling Bed Set</t>
        </is>
      </c>
      <c r="E40" s="39" t="inlineStr">
        <is>
          <t>Full</t>
        </is>
      </c>
      <c r="F40" s="39" t="inlineStr">
        <is>
          <t>Creme</t>
        </is>
      </c>
      <c r="G40" s="73" t="n">
        <v>79.98999999999999</v>
      </c>
      <c r="H40" s="39" t="inlineStr">
        <is>
          <t>catalog price, 2026-10-13</t>
        </is>
      </c>
      <c r="I40" s="74" t="n">
        <v>74.98999999999999</v>
      </c>
      <c r="J40" s="75" t="inlineStr">
        <is>
          <t>2026-03-30</t>
        </is>
      </c>
      <c r="K40" s="40" t="n">
        <v>30.44999999999999</v>
      </c>
      <c r="L40" s="76" t="n">
        <v>0.4060541405520735</v>
      </c>
      <c r="M40" s="77" t="n">
        <v>27</v>
      </c>
      <c r="N40" s="39" t="inlineStr">
        <is>
          <t>Active</t>
        </is>
      </c>
      <c r="O40" s="39" t="n"/>
      <c r="P40" s="78" t="n">
        <v>4.4</v>
      </c>
      <c r="Q40" s="77" t="n">
        <v>3153</v>
      </c>
      <c r="R40" s="77" t="n">
        <v>18049</v>
      </c>
      <c r="S40" s="77" t="n">
        <v>11</v>
      </c>
      <c r="T40" s="39" t="n"/>
    </row>
    <row r="41" ht="62" customHeight="1">
      <c r="A41" s="12">
        <f>_xlfn.IMAGE("https://m.media-amazon.com/images/I/81UukoIufqL.jpg")</f>
        <v/>
      </c>
      <c r="B41" s="39" t="inlineStr">
        <is>
          <t>B0CQ33KG5X</t>
        </is>
      </c>
      <c r="C41" s="39" t="inlineStr">
        <is>
          <t>BAMBOO-KING-CREME-6PCS</t>
        </is>
      </c>
      <c r="D41" s="39" t="inlineStr">
        <is>
          <t>DECOLURE 100% Viscose from Bamboo Sheets King Size | 6 Pc Cooling Bed Set</t>
        </is>
      </c>
      <c r="E41" s="39" t="inlineStr">
        <is>
          <t>King</t>
        </is>
      </c>
      <c r="F41" s="39" t="inlineStr">
        <is>
          <t>Creme</t>
        </is>
      </c>
      <c r="G41" s="40" t="n"/>
      <c r="H41" s="39" t="n"/>
      <c r="I41" s="74" t="n">
        <v>89.98999999999999</v>
      </c>
      <c r="J41" s="75" t="inlineStr">
        <is>
          <t>2026-03-28</t>
        </is>
      </c>
      <c r="K41" s="40" t="n">
        <v>34.68</v>
      </c>
      <c r="L41" s="76" t="n">
        <v>0.3853761529058785</v>
      </c>
      <c r="M41" s="77" t="n">
        <v>27</v>
      </c>
      <c r="N41" s="39" t="inlineStr">
        <is>
          <t>Inactive</t>
        </is>
      </c>
      <c r="O41" s="39" t="n"/>
      <c r="P41" s="78" t="n"/>
      <c r="Q41" s="77" t="n"/>
      <c r="R41" s="77" t="n"/>
      <c r="S41" s="77" t="n"/>
      <c r="T41" s="39" t="n"/>
    </row>
    <row r="42" ht="62" customHeight="1">
      <c r="A42" s="12">
        <f>_xlfn.IMAGE("https://m.media-amazon.com/images/I/81fJLSDJpFL.jpg")</f>
        <v/>
      </c>
      <c r="B42" s="39" t="inlineStr">
        <is>
          <t>B0CQ2ZYZJT</t>
        </is>
      </c>
      <c r="C42" s="39" t="inlineStr">
        <is>
          <t>BAMBOO-CALIFKING-WHITE-6PCS</t>
        </is>
      </c>
      <c r="D42" s="39" t="inlineStr">
        <is>
          <t>DECOLURE 100% Viscose from Bamboo Sheets | 6 Pc Cooling Bed Set</t>
        </is>
      </c>
      <c r="E42" s="39" t="inlineStr">
        <is>
          <t>California King</t>
        </is>
      </c>
      <c r="F42" s="39" t="inlineStr">
        <is>
          <t>White</t>
        </is>
      </c>
      <c r="G42" s="73" t="n">
        <v>99.98999999999999</v>
      </c>
      <c r="H42" s="39" t="inlineStr">
        <is>
          <t>catalog price, 2026-10-13</t>
        </is>
      </c>
      <c r="I42" s="74" t="n">
        <v>89.98999999999999</v>
      </c>
      <c r="J42" s="75" t="inlineStr">
        <is>
          <t>2026-03-12</t>
        </is>
      </c>
      <c r="K42" s="40" t="n">
        <v>35.14</v>
      </c>
      <c r="L42" s="76" t="n">
        <v>0.3904878319813313</v>
      </c>
      <c r="M42" s="77" t="n">
        <v>25</v>
      </c>
      <c r="N42" s="39" t="inlineStr">
        <is>
          <t>Active</t>
        </is>
      </c>
      <c r="O42" s="39" t="n"/>
      <c r="P42" s="78" t="n">
        <v>4.4</v>
      </c>
      <c r="Q42" s="77" t="n">
        <v>3153</v>
      </c>
      <c r="R42" s="77" t="n">
        <v>18045</v>
      </c>
      <c r="S42" s="77" t="n">
        <v>10</v>
      </c>
      <c r="T42" s="39" t="n"/>
    </row>
    <row r="43" ht="62" customHeight="1">
      <c r="A43" s="12">
        <f>_xlfn.IMAGE("https://m.media-amazon.com/images/I/81KfdRGP46L.jpg")</f>
        <v/>
      </c>
      <c r="B43" s="39" t="inlineStr">
        <is>
          <t>B0CQ2ZWSN7</t>
        </is>
      </c>
      <c r="C43" s="39" t="inlineStr">
        <is>
          <t>BAMBOO-QUEEN-BURGUNDY-6PCS</t>
        </is>
      </c>
      <c r="D43" s="39" t="inlineStr">
        <is>
          <t>DECOLURE 100% Viscose from Bamboo Sheets Queen Size | 6 Pc Cooling Bed Set</t>
        </is>
      </c>
      <c r="E43" s="39" t="inlineStr">
        <is>
          <t>Queen</t>
        </is>
      </c>
      <c r="F43" s="39" t="inlineStr">
        <is>
          <t>Burgundy</t>
        </is>
      </c>
      <c r="G43" s="73" t="n">
        <v>94.98999999999999</v>
      </c>
      <c r="H43" s="39" t="inlineStr">
        <is>
          <t>catalog price, 2026-10-13</t>
        </is>
      </c>
      <c r="I43" s="74" t="n">
        <v>84.98999999999999</v>
      </c>
      <c r="J43" s="75" t="inlineStr">
        <is>
          <t>2026-03-30</t>
        </is>
      </c>
      <c r="K43" s="40" t="n">
        <v>36.17999999999999</v>
      </c>
      <c r="L43" s="76" t="n">
        <v>0.4256971408400988</v>
      </c>
      <c r="M43" s="77" t="n">
        <v>25</v>
      </c>
      <c r="N43" s="39" t="inlineStr">
        <is>
          <t>Active</t>
        </is>
      </c>
      <c r="O43" s="39" t="n"/>
      <c r="P43" s="78" t="n">
        <v>4.4</v>
      </c>
      <c r="Q43" s="77" t="n">
        <v>3153</v>
      </c>
      <c r="R43" s="77" t="n">
        <v>18045</v>
      </c>
      <c r="S43" s="77" t="n">
        <v>43</v>
      </c>
      <c r="T43" s="39" t="n"/>
    </row>
    <row r="44" ht="62" customHeight="1">
      <c r="A44" s="12">
        <f>_xlfn.IMAGE("https://m.media-amazon.com/images/I/81C7Qfwu1WL.jpg")</f>
        <v/>
      </c>
      <c r="B44" s="39" t="inlineStr">
        <is>
          <t>B0CQ31XHCV</t>
        </is>
      </c>
      <c r="C44" s="39" t="inlineStr">
        <is>
          <t>BAMBOO-QUEEN-GREY-6PCS</t>
        </is>
      </c>
      <c r="D44" s="39" t="inlineStr">
        <is>
          <t>DECOLURE 100% Viscose from Bamboo Sheets Queen Size | 6 Pc Cooling Bed Set</t>
        </is>
      </c>
      <c r="E44" s="39" t="inlineStr">
        <is>
          <t>Queen</t>
        </is>
      </c>
      <c r="F44" s="39" t="inlineStr">
        <is>
          <t>Grey</t>
        </is>
      </c>
      <c r="G44" s="73" t="n">
        <v>108.99</v>
      </c>
      <c r="H44" s="39" t="inlineStr">
        <is>
          <t>catalog price, 2026-10-13</t>
        </is>
      </c>
      <c r="I44" s="74" t="n">
        <v>84.98999999999999</v>
      </c>
      <c r="J44" s="75" t="inlineStr">
        <is>
          <t>2026-03-30</t>
        </is>
      </c>
      <c r="K44" s="40" t="n">
        <v>36.40999999999999</v>
      </c>
      <c r="L44" s="76" t="n">
        <v>0.4284033415695963</v>
      </c>
      <c r="M44" s="77" t="n">
        <v>24</v>
      </c>
      <c r="N44" s="39" t="inlineStr">
        <is>
          <t>Active</t>
        </is>
      </c>
      <c r="O44" s="39" t="n"/>
      <c r="P44" s="78" t="n">
        <v>4.4</v>
      </c>
      <c r="Q44" s="77" t="n">
        <v>3153</v>
      </c>
      <c r="R44" s="77" t="n">
        <v>18045</v>
      </c>
      <c r="S44" s="77" t="n">
        <v>13</v>
      </c>
      <c r="T44" s="39" t="n"/>
    </row>
    <row r="45" ht="62" customHeight="1">
      <c r="A45" s="12">
        <f>_xlfn.IMAGE("https://m.media-amazon.com/images/I/81vnFb6DYQL.jpg")</f>
        <v/>
      </c>
      <c r="B45" s="39" t="inlineStr">
        <is>
          <t>B0CQ2YVZ18</t>
        </is>
      </c>
      <c r="C45" s="39" t="inlineStr">
        <is>
          <t>BAMBOO-KING-LIGHTOLIVE-6PCS</t>
        </is>
      </c>
      <c r="D45" s="39" t="inlineStr">
        <is>
          <t>DECOLURE 100% Viscose from Bamboo Sheets King Size | 6 Pc Cooling Bed Set</t>
        </is>
      </c>
      <c r="E45" s="39" t="inlineStr">
        <is>
          <t>King</t>
        </is>
      </c>
      <c r="F45" s="39" t="inlineStr">
        <is>
          <t>Light Olive</t>
        </is>
      </c>
      <c r="G45" s="73" t="n">
        <v>99.98999999999999</v>
      </c>
      <c r="H45" s="39" t="inlineStr">
        <is>
          <t>catalog price, 2026-10-13</t>
        </is>
      </c>
      <c r="I45" s="74" t="n">
        <v>89.98999999999999</v>
      </c>
      <c r="J45" s="75" t="inlineStr">
        <is>
          <t>2026-03-30</t>
        </is>
      </c>
      <c r="K45" s="40" t="n">
        <v>34.09999999999999</v>
      </c>
      <c r="L45" s="76" t="n">
        <v>0.3789309923324813</v>
      </c>
      <c r="M45" s="77" t="n">
        <v>22</v>
      </c>
      <c r="N45" s="39" t="inlineStr">
        <is>
          <t>Active</t>
        </is>
      </c>
      <c r="O45" s="39" t="n"/>
      <c r="P45" s="78" t="n">
        <v>4.4</v>
      </c>
      <c r="Q45" s="77" t="n">
        <v>3153</v>
      </c>
      <c r="R45" s="77" t="n">
        <v>18045</v>
      </c>
      <c r="S45" s="77" t="n">
        <v>8</v>
      </c>
      <c r="T45" s="39" t="n"/>
    </row>
    <row r="46" ht="62" customHeight="1">
      <c r="A46" s="12">
        <f>_xlfn.IMAGE("https://m.media-amazon.com/images/I/81bS-hq76OL.jpg")</f>
        <v/>
      </c>
      <c r="B46" s="39" t="inlineStr">
        <is>
          <t>B0CQ319J1Z</t>
        </is>
      </c>
      <c r="C46" s="39" t="inlineStr">
        <is>
          <t>BAMBOO-KING-MIDGREY-6PCS</t>
        </is>
      </c>
      <c r="D46" s="39" t="inlineStr">
        <is>
          <t>DECOLURE 100% Viscose from Bamboo Sheets King Size | 6 Pc Cooling Bed Set</t>
        </is>
      </c>
      <c r="E46" s="39" t="inlineStr">
        <is>
          <t>King</t>
        </is>
      </c>
      <c r="F46" s="39" t="inlineStr">
        <is>
          <t>Midgrey</t>
        </is>
      </c>
      <c r="G46" s="73" t="n">
        <v>114.99</v>
      </c>
      <c r="H46" s="39" t="inlineStr">
        <is>
          <t>catalog price, 2026-10-13</t>
        </is>
      </c>
      <c r="I46" s="74" t="n">
        <v>89.98999999999999</v>
      </c>
      <c r="J46" s="75" t="inlineStr">
        <is>
          <t>2026-03-30</t>
        </is>
      </c>
      <c r="K46" s="40" t="n">
        <v>33.98999999999999</v>
      </c>
      <c r="L46" s="76" t="n">
        <v>0.3777086342926992</v>
      </c>
      <c r="M46" s="77" t="n">
        <v>20</v>
      </c>
      <c r="N46" s="39" t="inlineStr">
        <is>
          <t>Active</t>
        </is>
      </c>
      <c r="O46" s="39" t="n"/>
      <c r="P46" s="78" t="n">
        <v>4.4</v>
      </c>
      <c r="Q46" s="77" t="n">
        <v>3153</v>
      </c>
      <c r="R46" s="77" t="n">
        <v>18045</v>
      </c>
      <c r="S46" s="77" t="n">
        <v>20</v>
      </c>
      <c r="T46" s="39" t="n"/>
    </row>
    <row r="47" ht="62" customHeight="1">
      <c r="A47" s="12">
        <f>_xlfn.IMAGE("https://m.media-amazon.com/images/I/81bS-hq76OL.jpg")</f>
        <v/>
      </c>
      <c r="B47" s="39" t="inlineStr">
        <is>
          <t>B0CQ31FR3Y</t>
        </is>
      </c>
      <c r="C47" s="39" t="inlineStr">
        <is>
          <t>BAMBOO-QUEEN-MIDGREY-6PCS</t>
        </is>
      </c>
      <c r="D47" s="39" t="inlineStr">
        <is>
          <t>DECOLURE 100% Viscose from Bamboo Sheets Queen Size | 6 Pc Cooling Bed Set</t>
        </is>
      </c>
      <c r="E47" s="39" t="inlineStr">
        <is>
          <t>Queen</t>
        </is>
      </c>
      <c r="F47" s="39" t="inlineStr">
        <is>
          <t>Midgrey</t>
        </is>
      </c>
      <c r="G47" s="73" t="n">
        <v>94.98999999999999</v>
      </c>
      <c r="H47" s="39" t="inlineStr">
        <is>
          <t>catalog price, 2026-10-13</t>
        </is>
      </c>
      <c r="I47" s="74" t="n">
        <v>84.98999999999999</v>
      </c>
      <c r="J47" s="75" t="inlineStr">
        <is>
          <t>2026-03-30</t>
        </is>
      </c>
      <c r="K47" s="40" t="n">
        <v>35.20999999999999</v>
      </c>
      <c r="L47" s="76" t="n">
        <v>0.4142840334156959</v>
      </c>
      <c r="M47" s="77" t="n">
        <v>20</v>
      </c>
      <c r="N47" s="39" t="inlineStr">
        <is>
          <t>Active</t>
        </is>
      </c>
      <c r="O47" s="39" t="n"/>
      <c r="P47" s="78" t="n">
        <v>4.4</v>
      </c>
      <c r="Q47" s="77" t="n">
        <v>3153</v>
      </c>
      <c r="R47" s="77" t="n">
        <v>18049</v>
      </c>
      <c r="S47" s="77" t="n">
        <v>44</v>
      </c>
      <c r="T47" s="39" t="n"/>
    </row>
    <row r="48" ht="62" customHeight="1">
      <c r="A48" s="12">
        <f>_xlfn.IMAGE("https://m.media-amazon.com/images/I/81PXZ9VB3EL.jpg")</f>
        <v/>
      </c>
      <c r="B48" s="39" t="inlineStr">
        <is>
          <t>B0CQ31X78V</t>
        </is>
      </c>
      <c r="C48" s="39" t="inlineStr">
        <is>
          <t>BAMBOO-CALIFKING-CREME-6PCS</t>
        </is>
      </c>
      <c r="D48" s="39" t="inlineStr">
        <is>
          <t>DECOLURE 100% Viscose from Bamboo Sheets | 6 Pc Cooling Bed Set</t>
        </is>
      </c>
      <c r="E48" s="39" t="inlineStr">
        <is>
          <t>California King</t>
        </is>
      </c>
      <c r="F48" s="39" t="inlineStr">
        <is>
          <t>Creme</t>
        </is>
      </c>
      <c r="G48" s="73" t="n">
        <v>99.98999999999999</v>
      </c>
      <c r="H48" s="39" t="inlineStr">
        <is>
          <t>catalog price, 2026-10-13</t>
        </is>
      </c>
      <c r="I48" s="74" t="n">
        <v>110.99</v>
      </c>
      <c r="J48" s="75" t="inlineStr">
        <is>
          <t>2026-03-28</t>
        </is>
      </c>
      <c r="K48" s="40" t="n">
        <v>51.69</v>
      </c>
      <c r="L48" s="76" t="n">
        <v>0.4657176322191189</v>
      </c>
      <c r="M48" s="77" t="n">
        <v>16</v>
      </c>
      <c r="N48" s="39" t="inlineStr">
        <is>
          <t>Active</t>
        </is>
      </c>
      <c r="O48" s="39" t="n"/>
      <c r="P48" s="78" t="n">
        <v>4.4</v>
      </c>
      <c r="Q48" s="77" t="n">
        <v>3153</v>
      </c>
      <c r="R48" s="77" t="n">
        <v>18049</v>
      </c>
      <c r="S48" s="77" t="n">
        <v>6</v>
      </c>
      <c r="T48" s="39" t="n"/>
    </row>
    <row r="49" ht="62" customHeight="1">
      <c r="A49" s="12">
        <f>_xlfn.IMAGE("https://m.media-amazon.com/images/I/81JHZOIZl1L.jpg")</f>
        <v/>
      </c>
      <c r="B49" s="39" t="inlineStr">
        <is>
          <t>B0CQ328DZM</t>
        </is>
      </c>
      <c r="C49" s="39" t="inlineStr">
        <is>
          <t>BAMBOO-CALIFKING-TAUPE-6PCS</t>
        </is>
      </c>
      <c r="D49" s="39" t="inlineStr">
        <is>
          <t>DECOLURE 100% Viscose from Bamboo Sheets | 6 Pc Cooling Bed Set</t>
        </is>
      </c>
      <c r="E49" s="39" t="inlineStr">
        <is>
          <t>California King</t>
        </is>
      </c>
      <c r="F49" s="39" t="inlineStr">
        <is>
          <t>Taupe</t>
        </is>
      </c>
      <c r="G49" s="73" t="n">
        <v>99.98999999999999</v>
      </c>
      <c r="H49" s="39" t="inlineStr">
        <is>
          <t>catalog price, 2026-10-13</t>
        </is>
      </c>
      <c r="I49" s="74" t="n">
        <v>89.98999999999999</v>
      </c>
      <c r="J49" s="75" t="inlineStr">
        <is>
          <t>2026-03-12</t>
        </is>
      </c>
      <c r="K49" s="40" t="n">
        <v>34.23</v>
      </c>
      <c r="L49" s="76" t="n">
        <v>0.3803755972885876</v>
      </c>
      <c r="M49" s="77" t="n">
        <v>16</v>
      </c>
      <c r="N49" s="39" t="inlineStr">
        <is>
          <t>Active</t>
        </is>
      </c>
      <c r="O49" s="39" t="n"/>
      <c r="P49" s="78" t="n">
        <v>4.4</v>
      </c>
      <c r="Q49" s="77" t="n">
        <v>3153</v>
      </c>
      <c r="R49" s="77" t="n">
        <v>18045</v>
      </c>
      <c r="S49" s="77" t="n">
        <v>5</v>
      </c>
      <c r="T49" s="39" t="n"/>
    </row>
    <row r="50" ht="62" customHeight="1">
      <c r="A50" s="12">
        <f>_xlfn.IMAGE("https://m.media-amazon.com/images/I/81bS-hq76OL.jpg")</f>
        <v/>
      </c>
      <c r="B50" s="39" t="inlineStr">
        <is>
          <t>B0CQ318RHN</t>
        </is>
      </c>
      <c r="C50" s="39" t="inlineStr">
        <is>
          <t>BAMBOO-FULL-MIDGREY-6PCS</t>
        </is>
      </c>
      <c r="D50" s="39" t="inlineStr">
        <is>
          <t>DECOLURE 100% Viscose from Bamboo Sheets Full Size | 6 Pc Cooling Bed Set</t>
        </is>
      </c>
      <c r="E50" s="39" t="inlineStr">
        <is>
          <t>Full</t>
        </is>
      </c>
      <c r="F50" s="39" t="inlineStr">
        <is>
          <t>Midgrey</t>
        </is>
      </c>
      <c r="G50" s="73" t="n">
        <v>79.98999999999999</v>
      </c>
      <c r="H50" s="39" t="inlineStr">
        <is>
          <t>catalog price, 2026-10-13</t>
        </is>
      </c>
      <c r="I50" s="74" t="n">
        <v>74.98999999999999</v>
      </c>
      <c r="J50" s="75" t="inlineStr">
        <is>
          <t>2026-03-30</t>
        </is>
      </c>
      <c r="K50" s="40" t="n">
        <v>29.95</v>
      </c>
      <c r="L50" s="76" t="n">
        <v>0.3993865848779837</v>
      </c>
      <c r="M50" s="77" t="n">
        <v>14</v>
      </c>
      <c r="N50" s="39" t="inlineStr">
        <is>
          <t>Active</t>
        </is>
      </c>
      <c r="O50" s="39" t="n"/>
      <c r="P50" s="78" t="n">
        <v>4.4</v>
      </c>
      <c r="Q50" s="77" t="n">
        <v>3153</v>
      </c>
      <c r="R50" s="77" t="n">
        <v>18049</v>
      </c>
      <c r="S50" s="77" t="n">
        <v>14</v>
      </c>
      <c r="T50" s="39" t="n"/>
    </row>
    <row r="51" ht="62" customHeight="1">
      <c r="A51" s="12">
        <f>_xlfn.IMAGE("https://m.media-amazon.com/images/I/81KfdRGP46L.jpg")</f>
        <v/>
      </c>
      <c r="B51" s="39" t="inlineStr">
        <is>
          <t>B0CQ3199ZV</t>
        </is>
      </c>
      <c r="C51" s="39" t="inlineStr">
        <is>
          <t>BAMBOO-FULL-BURGUNDY-6PCS</t>
        </is>
      </c>
      <c r="D51" s="39" t="inlineStr">
        <is>
          <t>DECOLURE 100% Viscose from Bamboo Sheets Full Size | 6 Pc Cooling Bed Set</t>
        </is>
      </c>
      <c r="E51" s="39" t="inlineStr">
        <is>
          <t>Full</t>
        </is>
      </c>
      <c r="F51" s="39" t="inlineStr">
        <is>
          <t>Burgundy</t>
        </is>
      </c>
      <c r="G51" s="73" t="n">
        <v>74.98999999999999</v>
      </c>
      <c r="H51" s="39" t="inlineStr">
        <is>
          <t>catalog price, 2026-10-13</t>
        </is>
      </c>
      <c r="I51" s="74" t="n">
        <v>74.98999999999999</v>
      </c>
      <c r="J51" s="75" t="inlineStr">
        <is>
          <t>2026-03-30</t>
        </is>
      </c>
      <c r="K51" s="40" t="n">
        <v>30.07</v>
      </c>
      <c r="L51" s="76" t="n">
        <v>0.4009867982397653</v>
      </c>
      <c r="M51" s="77" t="n">
        <v>13</v>
      </c>
      <c r="N51" s="39" t="inlineStr">
        <is>
          <t>Inactive</t>
        </is>
      </c>
      <c r="O51" s="39" t="n"/>
      <c r="P51" s="78" t="n">
        <v>4.4</v>
      </c>
      <c r="Q51" s="77" t="n">
        <v>3153</v>
      </c>
      <c r="R51" s="77" t="n">
        <v>18045</v>
      </c>
      <c r="S51" s="77" t="n">
        <v>13</v>
      </c>
      <c r="T51" s="39" t="n"/>
    </row>
    <row r="52" ht="62" customHeight="1">
      <c r="A52" s="12">
        <f>_xlfn.IMAGE("https://m.media-amazon.com/images/I/81qE6QSwrML.jpg")</f>
        <v/>
      </c>
      <c r="B52" s="39" t="inlineStr">
        <is>
          <t>B0CQ311QX3</t>
        </is>
      </c>
      <c r="C52" s="39" t="inlineStr">
        <is>
          <t>BAMBOO-CALIFKING-NAVYBLUE-6PCS</t>
        </is>
      </c>
      <c r="D52" s="39" t="inlineStr">
        <is>
          <t>DECOLURE 100% Viscose from Bamboo Sheets | 6 Pc Cooling Bed Set</t>
        </is>
      </c>
      <c r="E52" s="39" t="inlineStr">
        <is>
          <t>California King</t>
        </is>
      </c>
      <c r="F52" s="39" t="inlineStr">
        <is>
          <t>Navy Blue</t>
        </is>
      </c>
      <c r="G52" s="73" t="n">
        <v>99.98999999999999</v>
      </c>
      <c r="H52" s="39" t="inlineStr">
        <is>
          <t>catalog price, 2026-10-13</t>
        </is>
      </c>
      <c r="I52" s="74" t="n">
        <v>89.98999999999999</v>
      </c>
      <c r="J52" s="75" t="inlineStr">
        <is>
          <t>2026-03-30</t>
        </is>
      </c>
      <c r="K52" s="40" t="n">
        <v>32.63</v>
      </c>
      <c r="L52" s="76" t="n">
        <v>0.3625958439826647</v>
      </c>
      <c r="M52" s="77" t="n">
        <v>11</v>
      </c>
      <c r="N52" s="39" t="inlineStr">
        <is>
          <t>Active</t>
        </is>
      </c>
      <c r="O52" s="39" t="n"/>
      <c r="P52" s="78" t="n">
        <v>4.4</v>
      </c>
      <c r="Q52" s="77" t="n">
        <v>3153</v>
      </c>
      <c r="R52" s="77" t="n">
        <v>18045</v>
      </c>
      <c r="S52" s="77" t="n">
        <v>4</v>
      </c>
      <c r="T52" s="39" t="n"/>
    </row>
    <row r="53" ht="62" customHeight="1">
      <c r="A53" s="12">
        <f>_xlfn.IMAGE("https://m.media-amazon.com/images/I/81vnFb6DYQL.jpg")</f>
        <v/>
      </c>
      <c r="B53" s="39" t="inlineStr">
        <is>
          <t>B0CQ312HKC</t>
        </is>
      </c>
      <c r="C53" s="39" t="inlineStr">
        <is>
          <t>BAMBOO-QUEEN-LIGHTOLIVE-6PCS</t>
        </is>
      </c>
      <c r="D53" s="39" t="inlineStr">
        <is>
          <t>DECOLURE 100% Viscose from Bamboo Sheets Queen Size | 6 Pc Cooling Bed Set</t>
        </is>
      </c>
      <c r="E53" s="39" t="inlineStr">
        <is>
          <t>Queen</t>
        </is>
      </c>
      <c r="F53" s="39" t="inlineStr">
        <is>
          <t>Light Olive</t>
        </is>
      </c>
      <c r="G53" s="73" t="n">
        <v>94.98999999999999</v>
      </c>
      <c r="H53" s="39" t="inlineStr">
        <is>
          <t>catalog price, 2026-10-13</t>
        </is>
      </c>
      <c r="I53" s="74" t="n">
        <v>84.98999999999999</v>
      </c>
      <c r="J53" s="75" t="inlineStr">
        <is>
          <t>2026-03-30</t>
        </is>
      </c>
      <c r="K53" s="40" t="n">
        <v>36.2</v>
      </c>
      <c r="L53" s="76" t="n">
        <v>0.4259324626426639</v>
      </c>
      <c r="M53" s="77" t="n">
        <v>10</v>
      </c>
      <c r="N53" s="39" t="inlineStr">
        <is>
          <t>Active</t>
        </is>
      </c>
      <c r="O53" s="39" t="n"/>
      <c r="P53" s="78" t="n">
        <v>4.4</v>
      </c>
      <c r="Q53" s="77" t="n">
        <v>3153</v>
      </c>
      <c r="R53" s="77" t="n">
        <v>18045</v>
      </c>
      <c r="S53" s="77" t="n">
        <v>11</v>
      </c>
      <c r="T53" s="39" t="n"/>
    </row>
    <row r="54" ht="62" customHeight="1">
      <c r="A54" s="12">
        <f>_xlfn.IMAGE("https://m.media-amazon.com/images/I/81SvYgazSwL.jpg")</f>
        <v/>
      </c>
      <c r="B54" s="39" t="inlineStr">
        <is>
          <t>B0CQ31N5Q5</t>
        </is>
      </c>
      <c r="C54" s="39" t="inlineStr">
        <is>
          <t>BAMBOO-TWIN-NAVYBLUE-6PCS</t>
        </is>
      </c>
      <c r="D54" s="39" t="inlineStr">
        <is>
          <t>DECOLURE 100% Viscose from Bamboo Sheets Twin Size | 4 Pc Cooling Bed Set</t>
        </is>
      </c>
      <c r="E54" s="39" t="inlineStr">
        <is>
          <t>Twin</t>
        </is>
      </c>
      <c r="F54" s="39" t="inlineStr">
        <is>
          <t>Navy Blue</t>
        </is>
      </c>
      <c r="G54" s="73" t="n">
        <v>69.98999999999999</v>
      </c>
      <c r="H54" s="39" t="inlineStr">
        <is>
          <t>catalog price, 2026-10-13</t>
        </is>
      </c>
      <c r="I54" s="74" t="n">
        <v>64.98999999999999</v>
      </c>
      <c r="J54" s="75" t="inlineStr">
        <is>
          <t>2026-03-30</t>
        </is>
      </c>
      <c r="K54" s="40" t="n">
        <v>27.68999999999999</v>
      </c>
      <c r="L54" s="76" t="n">
        <v>0.4260655485459301</v>
      </c>
      <c r="M54" s="77" t="n">
        <v>10</v>
      </c>
      <c r="N54" s="39" t="inlineStr">
        <is>
          <t>Active</t>
        </is>
      </c>
      <c r="O54" s="39" t="n"/>
      <c r="P54" s="78" t="n">
        <v>4.4</v>
      </c>
      <c r="Q54" s="77" t="n">
        <v>3153</v>
      </c>
      <c r="R54" s="77" t="n">
        <v>18045</v>
      </c>
      <c r="S54" s="77" t="n">
        <v>18</v>
      </c>
      <c r="T54" s="39" t="n"/>
    </row>
    <row r="55" ht="62" customHeight="1">
      <c r="A55" s="12">
        <f>_xlfn.IMAGE("https://m.media-amazon.com/images/I/817PHsMlA6L.jpg")</f>
        <v/>
      </c>
      <c r="B55" s="39" t="inlineStr">
        <is>
          <t>B0CQ332KLH</t>
        </is>
      </c>
      <c r="C55" s="39" t="inlineStr">
        <is>
          <t>BAMBOO-FULL-BLACK-6PCS</t>
        </is>
      </c>
      <c r="D55" s="39" t="inlineStr">
        <is>
          <t>DECOLURE 100% Viscose from Bamboo Sheets Full Size | 6 Pc Cooling Bed Set</t>
        </is>
      </c>
      <c r="E55" s="39" t="inlineStr">
        <is>
          <t>Full</t>
        </is>
      </c>
      <c r="F55" s="39" t="inlineStr">
        <is>
          <t>Black</t>
        </is>
      </c>
      <c r="G55" s="73" t="n">
        <v>79.98999999999999</v>
      </c>
      <c r="H55" s="39" t="inlineStr">
        <is>
          <t>catalog price, 2026-10-13</t>
        </is>
      </c>
      <c r="I55" s="74" t="n">
        <v>69.98999999999999</v>
      </c>
      <c r="J55" s="75" t="inlineStr">
        <is>
          <t>2026-03-30</t>
        </is>
      </c>
      <c r="K55" s="40" t="n">
        <v>25.34999999999999</v>
      </c>
      <c r="L55" s="76" t="n">
        <v>0.3621945992284611</v>
      </c>
      <c r="M55" s="77" t="n">
        <v>9</v>
      </c>
      <c r="N55" s="39" t="inlineStr">
        <is>
          <t>Active</t>
        </is>
      </c>
      <c r="O55" s="39" t="n"/>
      <c r="P55" s="78" t="n">
        <v>4.4</v>
      </c>
      <c r="Q55" s="77" t="n">
        <v>3153</v>
      </c>
      <c r="R55" s="77" t="n">
        <v>18045</v>
      </c>
      <c r="S55" s="77" t="n">
        <v>12</v>
      </c>
      <c r="T55" s="39" t="n"/>
    </row>
    <row r="56" ht="62" customHeight="1">
      <c r="A56" s="12">
        <f>_xlfn.IMAGE("https://m.media-amazon.com/images/I/813aFqxnKrL.jpg")</f>
        <v/>
      </c>
      <c r="B56" s="39" t="inlineStr">
        <is>
          <t>B0CQ33ZGQ4</t>
        </is>
      </c>
      <c r="C56" s="39" t="inlineStr">
        <is>
          <t>BAMBOO-FULL-OLIVE-6PCS</t>
        </is>
      </c>
      <c r="D56" s="39" t="inlineStr">
        <is>
          <t>DECOLURE 100% Viscose from Bamboo Sheets Full Size | 6 Pc Cooling Bed Set</t>
        </is>
      </c>
      <c r="E56" s="39" t="inlineStr">
        <is>
          <t>Full</t>
        </is>
      </c>
      <c r="F56" s="39" t="inlineStr">
        <is>
          <t>Olive</t>
        </is>
      </c>
      <c r="G56" s="73" t="n">
        <v>79.98999999999999</v>
      </c>
      <c r="H56" s="39" t="inlineStr">
        <is>
          <t>catalog price, 2026-10-13</t>
        </is>
      </c>
      <c r="I56" s="74" t="n">
        <v>90.98999999999999</v>
      </c>
      <c r="J56" s="75" t="inlineStr">
        <is>
          <t>2026-03-30</t>
        </is>
      </c>
      <c r="K56" s="40" t="n">
        <v>44.08</v>
      </c>
      <c r="L56" s="76" t="n">
        <v>0.4844488405319266</v>
      </c>
      <c r="M56" s="77" t="n">
        <v>8</v>
      </c>
      <c r="N56" s="39" t="inlineStr">
        <is>
          <t>Active</t>
        </is>
      </c>
      <c r="O56" s="39" t="n"/>
      <c r="P56" s="78" t="n">
        <v>4.4</v>
      </c>
      <c r="Q56" s="77" t="n">
        <v>3153</v>
      </c>
      <c r="R56" s="77" t="n">
        <v>18049</v>
      </c>
      <c r="S56" s="77" t="n">
        <v>14</v>
      </c>
      <c r="T56" s="39" t="n"/>
    </row>
    <row r="57" ht="62" customHeight="1">
      <c r="A57" s="12">
        <f>_xlfn.IMAGE("https://m.media-amazon.com/images/I/81X7gOcKsEL.jpg")</f>
        <v/>
      </c>
      <c r="B57" s="39" t="inlineStr">
        <is>
          <t>B0CQ2ZVMJJ</t>
        </is>
      </c>
      <c r="C57" s="39" t="inlineStr">
        <is>
          <t>BAMBOO-TWIN-OLIVE-6PCS</t>
        </is>
      </c>
      <c r="D57" s="39" t="inlineStr">
        <is>
          <t>DECOLURE 100% Viscose from Bamboo Sheets Twin Size | 4 Pc Cooling Bed Set</t>
        </is>
      </c>
      <c r="E57" s="39" t="inlineStr">
        <is>
          <t>Twin</t>
        </is>
      </c>
      <c r="F57" s="39" t="inlineStr">
        <is>
          <t>Olive</t>
        </is>
      </c>
      <c r="G57" s="73" t="n">
        <v>69.98999999999999</v>
      </c>
      <c r="H57" s="39" t="inlineStr">
        <is>
          <t>catalog price, 2026-10-13</t>
        </is>
      </c>
      <c r="I57" s="74" t="n">
        <v>79.98999999999999</v>
      </c>
      <c r="J57" s="75" t="inlineStr">
        <is>
          <t>2026-03-30</t>
        </is>
      </c>
      <c r="K57" s="40" t="n">
        <v>40.48</v>
      </c>
      <c r="L57" s="76" t="n">
        <v>0.5060632579072384</v>
      </c>
      <c r="M57" s="77" t="n">
        <v>8</v>
      </c>
      <c r="N57" s="39" t="inlineStr">
        <is>
          <t>Active</t>
        </is>
      </c>
      <c r="O57" s="39" t="n"/>
      <c r="P57" s="78" t="n">
        <v>4.4</v>
      </c>
      <c r="Q57" s="77" t="n">
        <v>3153</v>
      </c>
      <c r="R57" s="77" t="n">
        <v>18045</v>
      </c>
      <c r="S57" s="77" t="n">
        <v>19</v>
      </c>
      <c r="T57" s="39" t="n"/>
    </row>
    <row r="58" ht="62" customHeight="1">
      <c r="A58" s="12">
        <f>_xlfn.IMAGE("https://m.media-amazon.com/images/I/81MRRHk3q4L.jpg")</f>
        <v/>
      </c>
      <c r="B58" s="39" t="inlineStr">
        <is>
          <t>B0CQ31L3V7</t>
        </is>
      </c>
      <c r="C58" s="39" t="inlineStr">
        <is>
          <t>BAMBOO-CALIFKING-LIGHTBLUE-6PCS</t>
        </is>
      </c>
      <c r="D58" s="39" t="inlineStr">
        <is>
          <t>DECOLURE 100% Viscose from Bamboo Sheets | 6 Pc Cooling Bed Set</t>
        </is>
      </c>
      <c r="E58" s="39" t="inlineStr">
        <is>
          <t>California King</t>
        </is>
      </c>
      <c r="F58" s="39" t="inlineStr">
        <is>
          <t>Light Blue</t>
        </is>
      </c>
      <c r="G58" s="73" t="n">
        <v>99.98999999999999</v>
      </c>
      <c r="H58" s="39" t="inlineStr">
        <is>
          <t>catalog price, 2026-10-13</t>
        </is>
      </c>
      <c r="I58" s="74" t="n">
        <v>89.98999999999999</v>
      </c>
      <c r="J58" s="75" t="inlineStr">
        <is>
          <t>2026-03-26</t>
        </is>
      </c>
      <c r="K58" s="40" t="n">
        <v>35.11999999999999</v>
      </c>
      <c r="L58" s="76" t="n">
        <v>0.3902655850650071</v>
      </c>
      <c r="M58" s="77" t="n">
        <v>7</v>
      </c>
      <c r="N58" s="39" t="inlineStr">
        <is>
          <t>Active</t>
        </is>
      </c>
      <c r="O58" s="39" t="n"/>
      <c r="P58" s="78" t="n">
        <v>4.4</v>
      </c>
      <c r="Q58" s="77" t="n">
        <v>3153</v>
      </c>
      <c r="R58" s="77" t="n">
        <v>18045</v>
      </c>
      <c r="S58" s="77" t="n">
        <v>5</v>
      </c>
      <c r="T58" s="39" t="n"/>
    </row>
    <row r="59" ht="62" customHeight="1">
      <c r="A59" s="12">
        <f>_xlfn.IMAGE("https://m.media-amazon.com/images/I/81KfdRGP46L.jpg")</f>
        <v/>
      </c>
      <c r="B59" s="39" t="inlineStr">
        <is>
          <t>B0CQ33QVZK</t>
        </is>
      </c>
      <c r="C59" s="39" t="inlineStr">
        <is>
          <t>BAMBOO-CALIFKING-BURGUNDY-6PCS</t>
        </is>
      </c>
      <c r="D59" s="39" t="inlineStr">
        <is>
          <t>DECOLURE 100% Viscose from Bamboo Sheets | 6 Pc Cooling Bed Set</t>
        </is>
      </c>
      <c r="E59" s="39" t="inlineStr">
        <is>
          <t>California King</t>
        </is>
      </c>
      <c r="F59" s="39" t="inlineStr">
        <is>
          <t>Burgundy</t>
        </is>
      </c>
      <c r="G59" s="73" t="n">
        <v>99.98999999999999</v>
      </c>
      <c r="H59" s="39" t="inlineStr">
        <is>
          <t>catalog price, 2026-10-13</t>
        </is>
      </c>
      <c r="I59" s="40" t="n"/>
      <c r="J59" s="39" t="n"/>
      <c r="K59" s="40" t="n"/>
      <c r="L59" s="76" t="n"/>
      <c r="M59" s="77" t="n">
        <v>6</v>
      </c>
      <c r="N59" s="39" t="inlineStr">
        <is>
          <t>Active</t>
        </is>
      </c>
      <c r="O59" s="39" t="n"/>
      <c r="P59" s="78" t="n">
        <v>4.4</v>
      </c>
      <c r="Q59" s="77" t="n">
        <v>3153</v>
      </c>
      <c r="R59" s="77" t="n">
        <v>18045</v>
      </c>
      <c r="S59" s="77" t="n">
        <v>4</v>
      </c>
      <c r="T59" s="39" t="n"/>
    </row>
    <row r="60" ht="62" customHeight="1">
      <c r="A60" s="12">
        <f>_xlfn.IMAGE("https://m.media-amazon.com/images/I/81qwLZXe5IL.jpg")</f>
        <v/>
      </c>
      <c r="B60" s="39" t="inlineStr">
        <is>
          <t>B0CQ32S4MW</t>
        </is>
      </c>
      <c r="C60" s="39" t="inlineStr">
        <is>
          <t>BAMBOO-FULL-LIGHT PINK-6PCS</t>
        </is>
      </c>
      <c r="D60" s="39" t="inlineStr">
        <is>
          <t>DECOLURE 100% Viscose from Bamboo Sheets Full Size | 6 Pc Cooling Bed Set</t>
        </is>
      </c>
      <c r="E60" s="39" t="inlineStr">
        <is>
          <t>Full</t>
        </is>
      </c>
      <c r="F60" s="39" t="inlineStr">
        <is>
          <t>Light Pink</t>
        </is>
      </c>
      <c r="G60" s="73" t="n">
        <v>79.98999999999999</v>
      </c>
      <c r="H60" s="39" t="inlineStr">
        <is>
          <t>catalog price, 2026-10-13</t>
        </is>
      </c>
      <c r="I60" s="74" t="n">
        <v>74.98999999999999</v>
      </c>
      <c r="J60" s="75" t="inlineStr">
        <is>
          <t>2026-03-30</t>
        </is>
      </c>
      <c r="K60" s="40" t="n">
        <v>29.19999999999999</v>
      </c>
      <c r="L60" s="76" t="n">
        <v>0.3893852513668488</v>
      </c>
      <c r="M60" s="77" t="n">
        <v>6</v>
      </c>
      <c r="N60" s="39" t="inlineStr">
        <is>
          <t>Active</t>
        </is>
      </c>
      <c r="O60" s="39" t="n"/>
      <c r="P60" s="78" t="n">
        <v>4.4</v>
      </c>
      <c r="Q60" s="77" t="n">
        <v>3153</v>
      </c>
      <c r="R60" s="77" t="n">
        <v>18049</v>
      </c>
      <c r="S60" s="77" t="n">
        <v>9</v>
      </c>
      <c r="T60" s="39" t="n"/>
    </row>
    <row r="61" ht="62" customHeight="1">
      <c r="A61" s="12">
        <f>_xlfn.IMAGE("https://m.media-amazon.com/images/I/81HVmR8NRpL.jpg")</f>
        <v/>
      </c>
      <c r="B61" s="39" t="inlineStr">
        <is>
          <t>B0CQ34D2QS</t>
        </is>
      </c>
      <c r="C61" s="39" t="inlineStr">
        <is>
          <t>BAMBOO-TWIN-WHITE-6PCS</t>
        </is>
      </c>
      <c r="D61" s="39" t="inlineStr">
        <is>
          <t>DECOLURE 100% Viscose from Bamboo Sheets Twin Size | 4 Pc Cooling Bed Set</t>
        </is>
      </c>
      <c r="E61" s="39" t="inlineStr">
        <is>
          <t>Twin</t>
        </is>
      </c>
      <c r="F61" s="39" t="inlineStr">
        <is>
          <t>White</t>
        </is>
      </c>
      <c r="G61" s="73" t="n">
        <v>69.98999999999999</v>
      </c>
      <c r="H61" s="39" t="inlineStr">
        <is>
          <t>catalog price, 2026-10-13</t>
        </is>
      </c>
      <c r="I61" s="74" t="n">
        <v>64.98999999999999</v>
      </c>
      <c r="J61" s="75" t="inlineStr">
        <is>
          <t>2026-03-30</t>
        </is>
      </c>
      <c r="K61" s="40" t="n">
        <v>27.36999999999999</v>
      </c>
      <c r="L61" s="76" t="n">
        <v>0.421141714109863</v>
      </c>
      <c r="M61" s="77" t="n">
        <v>6</v>
      </c>
      <c r="N61" s="39" t="inlineStr">
        <is>
          <t>Active</t>
        </is>
      </c>
      <c r="O61" s="39" t="n"/>
      <c r="P61" s="78" t="n">
        <v>4.4</v>
      </c>
      <c r="Q61" s="77" t="n">
        <v>3153</v>
      </c>
      <c r="R61" s="77" t="n">
        <v>18045</v>
      </c>
      <c r="S61" s="77" t="n">
        <v>12</v>
      </c>
      <c r="T61" s="39" t="n"/>
    </row>
    <row r="62" ht="62" customHeight="1">
      <c r="A62" s="12">
        <f>_xlfn.IMAGE("https://m.media-amazon.com/images/I/817PHsMlA6L.jpg")</f>
        <v/>
      </c>
      <c r="B62" s="39" t="inlineStr">
        <is>
          <t>B0CQ31D5FM</t>
        </is>
      </c>
      <c r="C62" s="39" t="inlineStr">
        <is>
          <t>BAMBOO-CALIFKING-BLACK-6PCS</t>
        </is>
      </c>
      <c r="D62" s="39" t="inlineStr">
        <is>
          <t>DECOLURE 100% Viscose from Bamboo Sheets | 6 Pc Cooling Bed Set</t>
        </is>
      </c>
      <c r="E62" s="39" t="inlineStr">
        <is>
          <t>California King</t>
        </is>
      </c>
      <c r="F62" s="39" t="inlineStr">
        <is>
          <t>Black</t>
        </is>
      </c>
      <c r="G62" s="73" t="n">
        <v>99.98999999999999</v>
      </c>
      <c r="H62" s="39" t="inlineStr">
        <is>
          <t>catalog price, 2026-10-13</t>
        </is>
      </c>
      <c r="I62" s="40" t="n"/>
      <c r="J62" s="39" t="n"/>
      <c r="K62" s="40" t="n"/>
      <c r="L62" s="76" t="n"/>
      <c r="M62" s="77" t="n">
        <v>5</v>
      </c>
      <c r="N62" s="39" t="inlineStr">
        <is>
          <t>Active</t>
        </is>
      </c>
      <c r="O62" s="39" t="n"/>
      <c r="P62" s="78" t="n">
        <v>4.4</v>
      </c>
      <c r="Q62" s="77" t="n">
        <v>3153</v>
      </c>
      <c r="R62" s="77" t="n">
        <v>18049</v>
      </c>
      <c r="S62" s="77" t="n">
        <v>6</v>
      </c>
      <c r="T62" s="39" t="n"/>
    </row>
    <row r="63" ht="62" customHeight="1">
      <c r="A63" s="12">
        <f>_xlfn.IMAGE("https://m.media-amazon.com/images/I/81kehc99ZjL.jpg")</f>
        <v/>
      </c>
      <c r="B63" s="39" t="inlineStr">
        <is>
          <t>B0CQ31X3X5</t>
        </is>
      </c>
      <c r="C63" s="39" t="inlineStr">
        <is>
          <t>BAMBOO-FULL-PURPLE-6PCS</t>
        </is>
      </c>
      <c r="D63" s="39" t="inlineStr">
        <is>
          <t>DECOLURE 100% Viscose from Bamboo Sheets Full Size | 6 Pc Cooling Bed Set</t>
        </is>
      </c>
      <c r="E63" s="39" t="inlineStr">
        <is>
          <t>Full</t>
        </is>
      </c>
      <c r="F63" s="39" t="inlineStr">
        <is>
          <t>Purple</t>
        </is>
      </c>
      <c r="G63" s="73" t="n">
        <v>79.98999999999999</v>
      </c>
      <c r="H63" s="39" t="inlineStr">
        <is>
          <t>catalog price, 2026-10-13</t>
        </is>
      </c>
      <c r="I63" s="74" t="n">
        <v>90.98999999999999</v>
      </c>
      <c r="J63" s="75" t="inlineStr">
        <is>
          <t>2026-03-30</t>
        </is>
      </c>
      <c r="K63" s="40" t="n">
        <v>43.61999999999999</v>
      </c>
      <c r="L63" s="76" t="n">
        <v>0.4793933399274645</v>
      </c>
      <c r="M63" s="77" t="n">
        <v>5</v>
      </c>
      <c r="N63" s="39" t="inlineStr">
        <is>
          <t>Active</t>
        </is>
      </c>
      <c r="O63" s="39" t="n"/>
      <c r="P63" s="78" t="n">
        <v>4.4</v>
      </c>
      <c r="Q63" s="77" t="n">
        <v>3153</v>
      </c>
      <c r="R63" s="77" t="n">
        <v>18049</v>
      </c>
      <c r="S63" s="77" t="n">
        <v>14</v>
      </c>
      <c r="T63" s="39" t="n"/>
    </row>
    <row r="64" ht="62" customHeight="1">
      <c r="A64" s="12">
        <f>_xlfn.IMAGE("https://m.media-amazon.com/images/I/81EHFhQyvAL.jpg")</f>
        <v/>
      </c>
      <c r="B64" s="39" t="inlineStr">
        <is>
          <t>B0CQ2YZ364</t>
        </is>
      </c>
      <c r="C64" s="39" t="inlineStr">
        <is>
          <t>BAMBOO-TWIN-SAGE GREEN-6PCS</t>
        </is>
      </c>
      <c r="D64" s="39" t="inlineStr">
        <is>
          <t>DECOLURE 100% Viscose from Bamboo Sheets Twin Size | 4 Pc Cooling Bed Set</t>
        </is>
      </c>
      <c r="E64" s="39" t="inlineStr">
        <is>
          <t>Twin</t>
        </is>
      </c>
      <c r="F64" s="39" t="inlineStr">
        <is>
          <t>Sage Green</t>
        </is>
      </c>
      <c r="G64" s="73" t="n">
        <v>69.98999999999999</v>
      </c>
      <c r="H64" s="39" t="inlineStr">
        <is>
          <t>catalog price, 2026-10-13</t>
        </is>
      </c>
      <c r="I64" s="74" t="n">
        <v>84.98999999999999</v>
      </c>
      <c r="J64" s="75" t="inlineStr">
        <is>
          <t>2026-03-30</t>
        </is>
      </c>
      <c r="K64" s="40" t="n">
        <v>44.56999999999999</v>
      </c>
      <c r="L64" s="76" t="n">
        <v>0.5244146370161195</v>
      </c>
      <c r="M64" s="77" t="n">
        <v>5</v>
      </c>
      <c r="N64" s="39" t="inlineStr">
        <is>
          <t>Active</t>
        </is>
      </c>
      <c r="O64" s="39" t="n"/>
      <c r="P64" s="78" t="n">
        <v>4.4</v>
      </c>
      <c r="Q64" s="77" t="n">
        <v>3153</v>
      </c>
      <c r="R64" s="77" t="n">
        <v>18049</v>
      </c>
      <c r="S64" s="77" t="n">
        <v>20</v>
      </c>
      <c r="T64" s="39" t="n"/>
    </row>
    <row r="65" ht="62" customHeight="1">
      <c r="A65" s="12">
        <f>_xlfn.IMAGE("https://m.media-amazon.com/images/I/81C7Qfwu1WL.jpg")</f>
        <v/>
      </c>
      <c r="B65" s="39" t="inlineStr">
        <is>
          <t>B0CQ33T9BL</t>
        </is>
      </c>
      <c r="C65" s="39" t="inlineStr">
        <is>
          <t>BAMBOO-CALIFKING-GREY-6PCS</t>
        </is>
      </c>
      <c r="D65" s="39" t="inlineStr">
        <is>
          <t>DECOLURE 100% Viscose from Bamboo Sheets | 6 Pc Cooling Bed Set</t>
        </is>
      </c>
      <c r="E65" s="39" t="inlineStr">
        <is>
          <t>California King</t>
        </is>
      </c>
      <c r="F65" s="39" t="inlineStr">
        <is>
          <t>Grey</t>
        </is>
      </c>
      <c r="G65" s="73" t="n">
        <v>99.98999999999999</v>
      </c>
      <c r="H65" s="39" t="inlineStr">
        <is>
          <t>catalog price, 2026-10-13</t>
        </is>
      </c>
      <c r="I65" s="40" t="n"/>
      <c r="J65" s="39" t="n"/>
      <c r="K65" s="40" t="n"/>
      <c r="L65" s="76" t="n"/>
      <c r="M65" s="77" t="n">
        <v>4</v>
      </c>
      <c r="N65" s="39" t="inlineStr">
        <is>
          <t>Active</t>
        </is>
      </c>
      <c r="O65" s="39" t="n"/>
      <c r="P65" s="78" t="n">
        <v>4.4</v>
      </c>
      <c r="Q65" s="77" t="n">
        <v>3153</v>
      </c>
      <c r="R65" s="77" t="n">
        <v>18045</v>
      </c>
      <c r="S65" s="77" t="n">
        <v>5</v>
      </c>
      <c r="T65" s="39" t="n"/>
    </row>
    <row r="66" ht="62" customHeight="1">
      <c r="A66" s="12">
        <f>_xlfn.IMAGE("https://m.media-amazon.com/images/I/81C7Qfwu1WL.jpg")</f>
        <v/>
      </c>
      <c r="B66" s="39" t="inlineStr">
        <is>
          <t>B0CQ328B82</t>
        </is>
      </c>
      <c r="C66" s="39" t="inlineStr">
        <is>
          <t>BAMBOO-FULL-GREY-6PCS</t>
        </is>
      </c>
      <c r="D66" s="39" t="inlineStr">
        <is>
          <t>DECOLURE 100% Viscose from Bamboo Sheets Full Size | 6 Pc Cooling Bed Set</t>
        </is>
      </c>
      <c r="E66" s="39" t="inlineStr">
        <is>
          <t>Full</t>
        </is>
      </c>
      <c r="F66" s="39" t="inlineStr">
        <is>
          <t>Grey</t>
        </is>
      </c>
      <c r="G66" s="73" t="n">
        <v>79.98999999999999</v>
      </c>
      <c r="H66" s="39" t="inlineStr">
        <is>
          <t>catalog price, 2026-10-13</t>
        </is>
      </c>
      <c r="I66" s="74" t="n">
        <v>74.98999999999999</v>
      </c>
      <c r="J66" s="75" t="inlineStr">
        <is>
          <t>2026-03-30</t>
        </is>
      </c>
      <c r="K66" s="40" t="n">
        <v>30.00999999999999</v>
      </c>
      <c r="L66" s="76" t="n">
        <v>0.4001866915588745</v>
      </c>
      <c r="M66" s="77" t="n">
        <v>4</v>
      </c>
      <c r="N66" s="39" t="inlineStr">
        <is>
          <t>Active</t>
        </is>
      </c>
      <c r="O66" s="39" t="n"/>
      <c r="P66" s="78" t="n">
        <v>4.4</v>
      </c>
      <c r="Q66" s="77" t="n">
        <v>3153</v>
      </c>
      <c r="R66" s="77" t="n">
        <v>18045</v>
      </c>
      <c r="S66" s="77" t="n">
        <v>14</v>
      </c>
      <c r="T66" s="39" t="n"/>
    </row>
    <row r="67" ht="62" customHeight="1">
      <c r="A67" s="12">
        <f>_xlfn.IMAGE("https://m.media-amazon.com/images/I/81vnFb6DYQL.jpg")</f>
        <v/>
      </c>
      <c r="B67" s="39" t="inlineStr">
        <is>
          <t>B0CQ2YBSK2</t>
        </is>
      </c>
      <c r="C67" s="39" t="inlineStr">
        <is>
          <t>BAMBOO-FULL-LIGHTOLIVE-6PCS</t>
        </is>
      </c>
      <c r="D67" s="39" t="inlineStr">
        <is>
          <t>DECOLURE 100% Viscose from Bamboo Sheets Full Size | 6 Pc Cooling Bed Set</t>
        </is>
      </c>
      <c r="E67" s="39" t="inlineStr">
        <is>
          <t>Full</t>
        </is>
      </c>
      <c r="F67" s="39" t="inlineStr">
        <is>
          <t>Light Olive</t>
        </is>
      </c>
      <c r="G67" s="73" t="n">
        <v>79.98999999999999</v>
      </c>
      <c r="H67" s="39" t="inlineStr">
        <is>
          <t>catalog price, 2026-10-13</t>
        </is>
      </c>
      <c r="I67" s="74" t="n">
        <v>74.98999999999999</v>
      </c>
      <c r="J67" s="75" t="inlineStr">
        <is>
          <t>2026-03-30</t>
        </is>
      </c>
      <c r="K67" s="40" t="n">
        <v>29.87999999999999</v>
      </c>
      <c r="L67" s="76" t="n">
        <v>0.3984531270836111</v>
      </c>
      <c r="M67" s="77" t="n">
        <v>4</v>
      </c>
      <c r="N67" s="39" t="inlineStr">
        <is>
          <t>Active</t>
        </is>
      </c>
      <c r="O67" s="39" t="n"/>
      <c r="P67" s="78" t="n">
        <v>4.4</v>
      </c>
      <c r="Q67" s="77" t="n">
        <v>3153</v>
      </c>
      <c r="R67" s="77" t="n">
        <v>18045</v>
      </c>
      <c r="S67" s="77" t="n">
        <v>13</v>
      </c>
      <c r="T67" s="39" t="n"/>
    </row>
    <row r="68" ht="62" customHeight="1">
      <c r="A68" s="12">
        <f>_xlfn.IMAGE("https://m.media-amazon.com/images/I/813aFqxnKrL.jpg")</f>
        <v/>
      </c>
      <c r="B68" s="39" t="inlineStr">
        <is>
          <t>B0CQ2YDPDS</t>
        </is>
      </c>
      <c r="C68" s="39" t="inlineStr">
        <is>
          <t>BAMBOO-KING-OLIVE-6PCS</t>
        </is>
      </c>
      <c r="D68" s="39" t="inlineStr">
        <is>
          <t>DECOLURE 100% Viscose from Bamboo Sheets King Size | 6 Pc Cooling Bed Set</t>
        </is>
      </c>
      <c r="E68" s="39" t="inlineStr">
        <is>
          <t>King</t>
        </is>
      </c>
      <c r="F68" s="39" t="inlineStr">
        <is>
          <t>Olive</t>
        </is>
      </c>
      <c r="G68" s="73" t="n">
        <v>89.98999999999999</v>
      </c>
      <c r="H68" s="39" t="inlineStr">
        <is>
          <t>catalog price, 2026-10-13</t>
        </is>
      </c>
      <c r="I68" s="74" t="n">
        <v>89.98999999999999</v>
      </c>
      <c r="J68" s="75" t="inlineStr">
        <is>
          <t>2026-03-30</t>
        </is>
      </c>
      <c r="K68" s="40" t="n">
        <v>34.76</v>
      </c>
      <c r="L68" s="76" t="n">
        <v>0.3862651405711746</v>
      </c>
      <c r="M68" s="77" t="n">
        <v>4</v>
      </c>
      <c r="N68" s="39" t="inlineStr">
        <is>
          <t>Active</t>
        </is>
      </c>
      <c r="O68" s="39" t="n"/>
      <c r="P68" s="78" t="n">
        <v>4.4</v>
      </c>
      <c r="Q68" s="77" t="n">
        <v>3153</v>
      </c>
      <c r="R68" s="77" t="n">
        <v>18049</v>
      </c>
      <c r="S68" s="77" t="n">
        <v>6</v>
      </c>
      <c r="T68" s="39" t="n"/>
    </row>
    <row r="69" ht="62" customHeight="1">
      <c r="A69" s="12">
        <f>_xlfn.IMAGE("https://m.media-amazon.com/images/I/81E1xMzOfhL.jpg")</f>
        <v/>
      </c>
      <c r="B69" s="39" t="inlineStr">
        <is>
          <t>B0CQ33P28L</t>
        </is>
      </c>
      <c r="C69" s="39" t="inlineStr">
        <is>
          <t>BAMBOO-TWIN-GREY-6PCS</t>
        </is>
      </c>
      <c r="D69" s="39" t="inlineStr">
        <is>
          <t>DECOLURE 100% Viscose from Bamboo Sheets Twin Size | 4 Pc Cooling Bed Set</t>
        </is>
      </c>
      <c r="E69" s="39" t="inlineStr">
        <is>
          <t>Twin</t>
        </is>
      </c>
      <c r="F69" s="39" t="inlineStr">
        <is>
          <t>Grey</t>
        </is>
      </c>
      <c r="G69" s="73" t="n">
        <v>69.98999999999999</v>
      </c>
      <c r="H69" s="39" t="inlineStr">
        <is>
          <t>catalog price, 2026-10-13</t>
        </is>
      </c>
      <c r="I69" s="40" t="n"/>
      <c r="J69" s="39" t="n"/>
      <c r="K69" s="40" t="n"/>
      <c r="L69" s="76" t="n"/>
      <c r="M69" s="77" t="n">
        <v>4</v>
      </c>
      <c r="N69" s="39" t="inlineStr">
        <is>
          <t>Active</t>
        </is>
      </c>
      <c r="O69" s="39" t="n"/>
      <c r="P69" s="78" t="n">
        <v>4.4</v>
      </c>
      <c r="Q69" s="77" t="n">
        <v>3153</v>
      </c>
      <c r="R69" s="77" t="n">
        <v>18045</v>
      </c>
      <c r="S69" s="77" t="n">
        <v>19</v>
      </c>
      <c r="T69" s="39" t="n"/>
    </row>
    <row r="70" ht="62" customHeight="1">
      <c r="A70" s="12">
        <f>_xlfn.IMAGE("https://m.media-amazon.com/images/I/813aFqxnKrL.jpg")</f>
        <v/>
      </c>
      <c r="B70" s="39" t="inlineStr">
        <is>
          <t>B0CQ32JY2T</t>
        </is>
      </c>
      <c r="C70" s="39" t="inlineStr">
        <is>
          <t>BAMBOO-CALIFKING-OLIVE-6PCS</t>
        </is>
      </c>
      <c r="D70" s="39" t="inlineStr">
        <is>
          <t>DECOLURE 100% Viscose from Bamboo Sheets | 6 Pc Cooling Bed Set</t>
        </is>
      </c>
      <c r="E70" s="39" t="inlineStr">
        <is>
          <t>California King</t>
        </is>
      </c>
      <c r="F70" s="39" t="inlineStr">
        <is>
          <t>Olive</t>
        </is>
      </c>
      <c r="G70" s="73" t="n">
        <v>99.98999999999999</v>
      </c>
      <c r="H70" s="39" t="inlineStr">
        <is>
          <t>catalog price, 2026-10-13</t>
        </is>
      </c>
      <c r="I70" s="74" t="n">
        <v>89.98999999999999</v>
      </c>
      <c r="J70" s="75" t="inlineStr">
        <is>
          <t>2026-03-30</t>
        </is>
      </c>
      <c r="K70" s="40" t="n">
        <v>34.08999999999999</v>
      </c>
      <c r="L70" s="76" t="n">
        <v>0.3788198688743193</v>
      </c>
      <c r="M70" s="77" t="n">
        <v>3</v>
      </c>
      <c r="N70" s="39" t="inlineStr">
        <is>
          <t>Active</t>
        </is>
      </c>
      <c r="O70" s="39" t="n"/>
      <c r="P70" s="78" t="n">
        <v>4.4</v>
      </c>
      <c r="Q70" s="77" t="n">
        <v>3153</v>
      </c>
      <c r="R70" s="77" t="n">
        <v>18049</v>
      </c>
      <c r="S70" s="77" t="n">
        <v>1</v>
      </c>
      <c r="T70" s="39" t="n"/>
    </row>
    <row r="71" ht="62" customHeight="1">
      <c r="A71" s="12">
        <f>_xlfn.IMAGE("https://m.media-amazon.com/images/I/81ES2nvuC3L.jpg")</f>
        <v/>
      </c>
      <c r="B71" s="39" t="inlineStr">
        <is>
          <t>B0CQ2YMNV7</t>
        </is>
      </c>
      <c r="C71" s="39" t="inlineStr">
        <is>
          <t>BAMBOO-TWIN-PURPLE-6PCS</t>
        </is>
      </c>
      <c r="D71" s="39" t="inlineStr">
        <is>
          <t>DECOLURE 100% Viscose from Bamboo Sheets Twin Size | 4 Pc Cooling Bed Set</t>
        </is>
      </c>
      <c r="E71" s="39" t="inlineStr">
        <is>
          <t>Twin</t>
        </is>
      </c>
      <c r="F71" s="39" t="inlineStr">
        <is>
          <t>Purple</t>
        </is>
      </c>
      <c r="G71" s="73" t="n">
        <v>69.98999999999999</v>
      </c>
      <c r="H71" s="39" t="inlineStr">
        <is>
          <t>catalog price, 2026-10-13</t>
        </is>
      </c>
      <c r="I71" s="74" t="n">
        <v>64.98999999999999</v>
      </c>
      <c r="J71" s="75" t="inlineStr">
        <is>
          <t>2026-03-30</t>
        </is>
      </c>
      <c r="K71" s="40" t="n">
        <v>28.18</v>
      </c>
      <c r="L71" s="76" t="n">
        <v>0.4336051700261578</v>
      </c>
      <c r="M71" s="77" t="n">
        <v>3</v>
      </c>
      <c r="N71" s="39" t="inlineStr">
        <is>
          <t>Active</t>
        </is>
      </c>
      <c r="O71" s="39" t="n"/>
      <c r="P71" s="78" t="n">
        <v>4.4</v>
      </c>
      <c r="Q71" s="77" t="n">
        <v>3153</v>
      </c>
      <c r="R71" s="77" t="n">
        <v>18045</v>
      </c>
      <c r="S71" s="77" t="n">
        <v>18</v>
      </c>
      <c r="T71" s="39" t="n"/>
    </row>
    <row r="72" ht="62" customHeight="1">
      <c r="A72" s="12">
        <f>_xlfn.IMAGE("https://m.media-amazon.com/images/I/810-YAbkXoL.jpg")</f>
        <v/>
      </c>
      <c r="B72" s="39" t="inlineStr">
        <is>
          <t>B0CQ31V52K</t>
        </is>
      </c>
      <c r="C72" s="39" t="inlineStr">
        <is>
          <t>BAMBOO-CALIFKING-LIGHTOLIVE-6PCS</t>
        </is>
      </c>
      <c r="D72" s="39" t="inlineStr">
        <is>
          <t>DECOLURE 100% Viscose from Bamboo Sheets | 6 Pc Cooling Bed Set</t>
        </is>
      </c>
      <c r="E72" s="39" t="inlineStr">
        <is>
          <t>California King</t>
        </is>
      </c>
      <c r="F72" s="39" t="inlineStr">
        <is>
          <t>Light Olive</t>
        </is>
      </c>
      <c r="G72" s="40" t="n"/>
      <c r="H72" s="39" t="n"/>
      <c r="I72" s="74" t="n">
        <v>89.98999999999999</v>
      </c>
      <c r="J72" s="75" t="inlineStr">
        <is>
          <t>2026-03-30</t>
        </is>
      </c>
      <c r="K72" s="40" t="n">
        <v>34.93999999999999</v>
      </c>
      <c r="L72" s="76" t="n">
        <v>0.3882653628180908</v>
      </c>
      <c r="M72" s="77" t="n">
        <v>2</v>
      </c>
      <c r="N72" s="39" t="inlineStr">
        <is>
          <t>Inactive</t>
        </is>
      </c>
      <c r="O72" s="39" t="n"/>
      <c r="P72" s="78" t="n"/>
      <c r="Q72" s="77" t="n"/>
      <c r="R72" s="77" t="n"/>
      <c r="S72" s="77" t="n"/>
      <c r="T72" s="39" t="n"/>
    </row>
    <row r="73" ht="62" customHeight="1">
      <c r="A73" s="12">
        <f>_xlfn.IMAGE("https://m.media-amazon.com/images/I/81LUuxH3WqL.jpg")</f>
        <v/>
      </c>
      <c r="B73" s="39" t="inlineStr">
        <is>
          <t>B0CQ3319BK</t>
        </is>
      </c>
      <c r="C73" s="39" t="inlineStr">
        <is>
          <t>BAMBOO-TWIN-BLACK-6PCS</t>
        </is>
      </c>
      <c r="D73" s="39" t="inlineStr">
        <is>
          <t>DECOLURE 100% Viscose from Bamboo Sheets Twin Size | 4 Pc Cooling Bed Set</t>
        </is>
      </c>
      <c r="E73" s="39" t="inlineStr">
        <is>
          <t>Twin</t>
        </is>
      </c>
      <c r="F73" s="39" t="inlineStr">
        <is>
          <t>Black</t>
        </is>
      </c>
      <c r="G73" s="73" t="n">
        <v>69.98999999999999</v>
      </c>
      <c r="H73" s="39" t="inlineStr">
        <is>
          <t>catalog price, 2026-10-13</t>
        </is>
      </c>
      <c r="I73" s="74" t="n">
        <v>64.98999999999999</v>
      </c>
      <c r="J73" s="75" t="inlineStr">
        <is>
          <t>2026-03-30</t>
        </is>
      </c>
      <c r="K73" s="40" t="n">
        <v>27.94999999999999</v>
      </c>
      <c r="L73" s="76" t="n">
        <v>0.4300661640252346</v>
      </c>
      <c r="M73" s="77" t="n">
        <v>2</v>
      </c>
      <c r="N73" s="39" t="inlineStr">
        <is>
          <t>Active</t>
        </is>
      </c>
      <c r="O73" s="39" t="n"/>
      <c r="P73" s="78" t="n">
        <v>4.4</v>
      </c>
      <c r="Q73" s="77" t="n">
        <v>3153</v>
      </c>
      <c r="R73" s="77" t="n">
        <v>18049</v>
      </c>
      <c r="S73" s="77" t="n">
        <v>10</v>
      </c>
      <c r="T73" s="39" t="n"/>
    </row>
    <row r="74" ht="62" customHeight="1">
      <c r="A74" s="12">
        <f>_xlfn.IMAGE("https://m.media-amazon.com/images/I/81FUAGLZKiL.jpg")</f>
        <v/>
      </c>
      <c r="B74" s="39" t="inlineStr">
        <is>
          <t>B0CQ33ZGQL</t>
        </is>
      </c>
      <c r="C74" s="39" t="inlineStr">
        <is>
          <t>BAMBOO-TWIN-LIGHTGREY-6PCS</t>
        </is>
      </c>
      <c r="D74" s="39" t="inlineStr">
        <is>
          <t>DECOLURE 100% Viscose from Bamboo Sheets Twin Size | 4 Pc Cooling Bed Set</t>
        </is>
      </c>
      <c r="E74" s="39" t="inlineStr">
        <is>
          <t>Twin</t>
        </is>
      </c>
      <c r="F74" s="39" t="inlineStr">
        <is>
          <t>Light Grey</t>
        </is>
      </c>
      <c r="G74" s="73" t="n">
        <v>69.98999999999999</v>
      </c>
      <c r="H74" s="39" t="inlineStr">
        <is>
          <t>catalog price, 2026-10-13</t>
        </is>
      </c>
      <c r="I74" s="74" t="n">
        <v>64.98999999999999</v>
      </c>
      <c r="J74" s="75" t="inlineStr">
        <is>
          <t>2026-03-30</t>
        </is>
      </c>
      <c r="K74" s="40" t="n">
        <v>27.36</v>
      </c>
      <c r="L74" s="76" t="n">
        <v>0.4209878442837359</v>
      </c>
      <c r="M74" s="77" t="n">
        <v>2</v>
      </c>
      <c r="N74" s="39" t="inlineStr">
        <is>
          <t>Active</t>
        </is>
      </c>
      <c r="O74" s="39" t="n"/>
      <c r="P74" s="78" t="n">
        <v>4.4</v>
      </c>
      <c r="Q74" s="77" t="n">
        <v>3153</v>
      </c>
      <c r="R74" s="77" t="n">
        <v>18045</v>
      </c>
      <c r="S74" s="77" t="n">
        <v>13</v>
      </c>
      <c r="T74" s="39" t="n"/>
    </row>
    <row r="75" ht="62" customHeight="1">
      <c r="A75" s="12">
        <f>_xlfn.IMAGE("https://m.media-amazon.com/images/I/810-YAbkXoL.jpg")</f>
        <v/>
      </c>
      <c r="B75" s="39" t="inlineStr">
        <is>
          <t>B0CQ2YWCB3</t>
        </is>
      </c>
      <c r="C75" s="39" t="inlineStr">
        <is>
          <t>BAMBOO-TWIN-LIGHTOLIVE-6PCS</t>
        </is>
      </c>
      <c r="D75" s="39" t="inlineStr">
        <is>
          <t>DECOLURE 100% Viscose from Bamboo Sheets Twin Size | 4 Pc Cooling Bed Set</t>
        </is>
      </c>
      <c r="E75" s="39" t="inlineStr">
        <is>
          <t>Twin</t>
        </is>
      </c>
      <c r="F75" s="39" t="inlineStr">
        <is>
          <t>Light Olive</t>
        </is>
      </c>
      <c r="G75" s="73" t="n">
        <v>69.98999999999999</v>
      </c>
      <c r="H75" s="39" t="inlineStr">
        <is>
          <t>catalog price, 2026-10-13</t>
        </is>
      </c>
      <c r="I75" s="74" t="n">
        <v>64.98999999999999</v>
      </c>
      <c r="J75" s="75" t="inlineStr">
        <is>
          <t>2026-03-30</t>
        </is>
      </c>
      <c r="K75" s="40" t="n">
        <v>25.78</v>
      </c>
      <c r="L75" s="76" t="n">
        <v>0.3966764117556547</v>
      </c>
      <c r="M75" s="77" t="n">
        <v>2</v>
      </c>
      <c r="N75" s="39" t="inlineStr">
        <is>
          <t>Active</t>
        </is>
      </c>
      <c r="O75" s="39" t="n"/>
      <c r="P75" s="78" t="n">
        <v>4.4</v>
      </c>
      <c r="Q75" s="77" t="n">
        <v>3153</v>
      </c>
      <c r="R75" s="77" t="n">
        <v>18045</v>
      </c>
      <c r="S75" s="77" t="n">
        <v>20</v>
      </c>
      <c r="T75" s="39" t="n"/>
    </row>
    <row r="76" ht="62" customHeight="1">
      <c r="A76" s="12">
        <f>_xlfn.IMAGE("https://m.media-amazon.com/images/I/81eT+1RWQML.jpg")</f>
        <v/>
      </c>
      <c r="B76" s="39" t="inlineStr">
        <is>
          <t>B0CQ31XF3H</t>
        </is>
      </c>
      <c r="C76" s="39" t="inlineStr">
        <is>
          <t>BAMBOO-TWIN-MIDGREY-6PCS</t>
        </is>
      </c>
      <c r="D76" s="39" t="inlineStr">
        <is>
          <t>DECOLURE 100% Viscose from Bamboo Sheets Twin Size | 4 Pc Cooling Bed Set</t>
        </is>
      </c>
      <c r="E76" s="39" t="inlineStr">
        <is>
          <t>Twin</t>
        </is>
      </c>
      <c r="F76" s="39" t="inlineStr">
        <is>
          <t>Midgrey</t>
        </is>
      </c>
      <c r="G76" s="73" t="n">
        <v>69.98999999999999</v>
      </c>
      <c r="H76" s="39" t="inlineStr">
        <is>
          <t>catalog price, 2026-10-13</t>
        </is>
      </c>
      <c r="I76" s="74" t="n">
        <v>59.99</v>
      </c>
      <c r="J76" s="75" t="inlineStr">
        <is>
          <t>2026-03-30</t>
        </is>
      </c>
      <c r="K76" s="40" t="n">
        <v>23.62</v>
      </c>
      <c r="L76" s="76" t="n">
        <v>0.3937322887147858</v>
      </c>
      <c r="M76" s="77" t="n">
        <v>2</v>
      </c>
      <c r="N76" s="39" t="inlineStr">
        <is>
          <t>Active</t>
        </is>
      </c>
      <c r="O76" s="39" t="n"/>
      <c r="P76" s="78" t="n">
        <v>4.4</v>
      </c>
      <c r="Q76" s="77" t="n">
        <v>3153</v>
      </c>
      <c r="R76" s="77" t="n">
        <v>18045</v>
      </c>
      <c r="S76" s="77" t="n">
        <v>23</v>
      </c>
      <c r="T76" s="39" t="n"/>
    </row>
    <row r="77" ht="62" customHeight="1">
      <c r="A77" s="12">
        <f>_xlfn.IMAGE("https://m.media-amazon.com/images/I/81RH5ZSH8mL.jpg")</f>
        <v/>
      </c>
      <c r="B77" s="39" t="inlineStr">
        <is>
          <t>B0CQ32QQ47</t>
        </is>
      </c>
      <c r="C77" s="39" t="inlineStr">
        <is>
          <t>BAMBOO-TWIN-TAUPE-6PCS</t>
        </is>
      </c>
      <c r="D77" s="39" t="inlineStr">
        <is>
          <t>DECOLURE 100% Viscose from Bamboo Sheets Twin Size | 4 Pc Cooling Bed Set</t>
        </is>
      </c>
      <c r="E77" s="39" t="inlineStr">
        <is>
          <t>Twin</t>
        </is>
      </c>
      <c r="F77" s="39" t="inlineStr">
        <is>
          <t>Taupe</t>
        </is>
      </c>
      <c r="G77" s="73" t="n">
        <v>69.98999999999999</v>
      </c>
      <c r="H77" s="39" t="inlineStr">
        <is>
          <t>catalog price, 2026-10-13</t>
        </is>
      </c>
      <c r="I77" s="74" t="n">
        <v>64.98999999999999</v>
      </c>
      <c r="J77" s="75" t="inlineStr">
        <is>
          <t>2026-03-30</t>
        </is>
      </c>
      <c r="K77" s="40" t="n">
        <v>27.32</v>
      </c>
      <c r="L77" s="76" t="n">
        <v>0.4203723649792275</v>
      </c>
      <c r="M77" s="77" t="n">
        <v>2</v>
      </c>
      <c r="N77" s="39" t="inlineStr">
        <is>
          <t>Active</t>
        </is>
      </c>
      <c r="O77" s="39" t="n"/>
      <c r="P77" s="78" t="n">
        <v>4.4</v>
      </c>
      <c r="Q77" s="77" t="n">
        <v>3153</v>
      </c>
      <c r="R77" s="77" t="n">
        <v>18045</v>
      </c>
      <c r="S77" s="77" t="n">
        <v>21</v>
      </c>
      <c r="T77" s="39" t="n"/>
    </row>
    <row r="78" ht="62" customHeight="1">
      <c r="A78" s="12">
        <f>_xlfn.IMAGE("https://m.media-amazon.com/images/I/81qwLZXe5IL.jpg")</f>
        <v/>
      </c>
      <c r="B78" s="39" t="inlineStr">
        <is>
          <t>B0CQ2ZS83S</t>
        </is>
      </c>
      <c r="C78" s="39" t="inlineStr">
        <is>
          <t>BAMBOO-CALIFKING-LIGHT PINK-6PCS</t>
        </is>
      </c>
      <c r="D78" s="39" t="inlineStr">
        <is>
          <t>DECOLURE 100% Viscose from Bamboo Sheets | 6 Pc Cooling Bed Set</t>
        </is>
      </c>
      <c r="E78" s="39" t="inlineStr">
        <is>
          <t>California King</t>
        </is>
      </c>
      <c r="F78" s="39" t="inlineStr">
        <is>
          <t>Light Pink</t>
        </is>
      </c>
      <c r="G78" s="73" t="n">
        <v>99.98999999999999</v>
      </c>
      <c r="H78" s="39" t="inlineStr">
        <is>
          <t>catalog price, 2026-10-13</t>
        </is>
      </c>
      <c r="I78" s="74" t="n">
        <v>89.98999999999999</v>
      </c>
      <c r="J78" s="75" t="inlineStr">
        <is>
          <t>2026-03-30</t>
        </is>
      </c>
      <c r="K78" s="40" t="n">
        <v>34.85999999999999</v>
      </c>
      <c r="L78" s="76" t="n">
        <v>0.3873763751527947</v>
      </c>
      <c r="M78" s="77" t="n">
        <v>1</v>
      </c>
      <c r="N78" s="39" t="inlineStr">
        <is>
          <t>Active</t>
        </is>
      </c>
      <c r="O78" s="39" t="n"/>
      <c r="P78" s="78" t="n">
        <v>4.4</v>
      </c>
      <c r="Q78" s="77" t="n">
        <v>3153</v>
      </c>
      <c r="R78" s="77" t="n">
        <v>18049</v>
      </c>
      <c r="S78" s="77" t="n">
        <v>4</v>
      </c>
      <c r="T78" s="39" t="n"/>
    </row>
    <row r="79" ht="62" customHeight="1">
      <c r="A79" s="12">
        <f>_xlfn.IMAGE("https://m.media-amazon.com/images/I/81eT+1RWQML.jpg")</f>
        <v/>
      </c>
      <c r="B79" s="39" t="inlineStr">
        <is>
          <t>B0CQ316WG1</t>
        </is>
      </c>
      <c r="C79" s="39" t="inlineStr">
        <is>
          <t>BAMBOO-CALIFKING-MIDGREY-6PCS</t>
        </is>
      </c>
      <c r="D79" s="39" t="inlineStr">
        <is>
          <t>DECOLURE 100% Viscose from Bamboo Sheets | 6 Pc Cooling Bed Set</t>
        </is>
      </c>
      <c r="E79" s="39" t="inlineStr">
        <is>
          <t>California King</t>
        </is>
      </c>
      <c r="F79" s="39" t="inlineStr">
        <is>
          <t>Midgrey</t>
        </is>
      </c>
      <c r="G79" s="73" t="n">
        <v>99.98999999999999</v>
      </c>
      <c r="H79" s="39" t="inlineStr">
        <is>
          <t>catalog price, 2026-10-13</t>
        </is>
      </c>
      <c r="I79" s="74" t="n">
        <v>89.98999999999999</v>
      </c>
      <c r="J79" s="75" t="inlineStr">
        <is>
          <t>2026-03-30</t>
        </is>
      </c>
      <c r="K79" s="40" t="n">
        <v>33.86999999999999</v>
      </c>
      <c r="L79" s="76" t="n">
        <v>0.3763751527947549</v>
      </c>
      <c r="M79" s="77" t="n">
        <v>1</v>
      </c>
      <c r="N79" s="39" t="inlineStr">
        <is>
          <t>Inactive</t>
        </is>
      </c>
      <c r="O79" s="39" t="n"/>
      <c r="P79" s="78" t="n">
        <v>4.4</v>
      </c>
      <c r="Q79" s="77" t="n">
        <v>3153</v>
      </c>
      <c r="R79" s="77" t="n">
        <v>18045</v>
      </c>
      <c r="S79" s="77" t="n">
        <v>4</v>
      </c>
      <c r="T79" s="39" t="n"/>
    </row>
    <row r="80" ht="62" customHeight="1">
      <c r="A80" s="12">
        <f>_xlfn.IMAGE("https://m.media-amazon.com/images/I/81+83kJjC0L.jpg")</f>
        <v/>
      </c>
      <c r="B80" s="39" t="inlineStr">
        <is>
          <t>B0CQ31ZKNJ</t>
        </is>
      </c>
      <c r="C80" s="39" t="inlineStr">
        <is>
          <t>BAMBOO-FULL-CHARCOAL-6PCS</t>
        </is>
      </c>
      <c r="D80" s="39" t="inlineStr">
        <is>
          <t>DECOLURE 100% Viscose from Bamboo Sheets Full Size | 6 Pc Cooling Bed Set</t>
        </is>
      </c>
      <c r="E80" s="39" t="inlineStr">
        <is>
          <t>Full</t>
        </is>
      </c>
      <c r="F80" s="39" t="inlineStr">
        <is>
          <t>Charcoal</t>
        </is>
      </c>
      <c r="G80" s="40" t="n"/>
      <c r="H80" s="39" t="n"/>
      <c r="I80" s="74" t="n">
        <v>90.98999999999999</v>
      </c>
      <c r="J80" s="75" t="inlineStr">
        <is>
          <t>2026-03-30</t>
        </is>
      </c>
      <c r="K80" s="40" t="n">
        <v>43.73999999999999</v>
      </c>
      <c r="L80" s="76" t="n">
        <v>0.4807121661721068</v>
      </c>
      <c r="M80" s="77" t="n">
        <v>1</v>
      </c>
      <c r="N80" s="39" t="inlineStr">
        <is>
          <t>Inactive</t>
        </is>
      </c>
      <c r="O80" s="39" t="n"/>
      <c r="P80" s="78" t="n"/>
      <c r="Q80" s="77" t="n"/>
      <c r="R80" s="77" t="n"/>
      <c r="S80" s="77" t="n"/>
      <c r="T80" s="39" t="n"/>
    </row>
    <row r="81" ht="62" customHeight="1">
      <c r="A81" s="12">
        <f>_xlfn.IMAGE("https://m.media-amazon.com/images/I/81qE6QSwrML.jpg")</f>
        <v/>
      </c>
      <c r="B81" s="39" t="inlineStr">
        <is>
          <t>B0CQ2ZSDMN</t>
        </is>
      </c>
      <c r="C81" s="39" t="inlineStr">
        <is>
          <t>BAMBOO-FULL-NAVYBLUE-6PCS</t>
        </is>
      </c>
      <c r="D81" s="39" t="inlineStr">
        <is>
          <t>DECOLURE 100% Viscose Derived from Bamboo Sheets Full Size, Luxury 6 Pc Set</t>
        </is>
      </c>
      <c r="E81" s="39" t="inlineStr">
        <is>
          <t>Full</t>
        </is>
      </c>
      <c r="F81" s="39" t="inlineStr">
        <is>
          <t>Navy Blue</t>
        </is>
      </c>
      <c r="G81" s="40" t="n"/>
      <c r="H81" s="39" t="n"/>
      <c r="I81" s="74" t="n">
        <v>90.98999999999999</v>
      </c>
      <c r="J81" s="75" t="inlineStr">
        <is>
          <t>2026-03-30</t>
        </is>
      </c>
      <c r="K81" s="40" t="n">
        <v>44.05</v>
      </c>
      <c r="L81" s="76" t="n">
        <v>0.484119133970766</v>
      </c>
      <c r="M81" s="77" t="n">
        <v>1</v>
      </c>
      <c r="N81" s="39" t="inlineStr">
        <is>
          <t>Active</t>
        </is>
      </c>
      <c r="O81" s="39" t="n"/>
      <c r="P81" s="78" t="n"/>
      <c r="Q81" s="77" t="n"/>
      <c r="R81" s="77" t="n"/>
      <c r="S81" s="77" t="n"/>
      <c r="T81" s="39" t="n"/>
    </row>
    <row r="82" ht="62" customHeight="1">
      <c r="A82" s="12">
        <f>_xlfn.IMAGE("https://m.media-amazon.com/images/I/81JHZOIZl1L.jpg")</f>
        <v/>
      </c>
      <c r="B82" s="39" t="inlineStr">
        <is>
          <t>B0CQ311KCT</t>
        </is>
      </c>
      <c r="C82" s="39" t="inlineStr">
        <is>
          <t>BAMBOO-FULL-TAUPE-6PCS</t>
        </is>
      </c>
      <c r="D82" s="39" t="inlineStr">
        <is>
          <t>DECOLURE 100% Viscose Derived from Bamboo Sheets Full Size, Luxury 6 Pc Set</t>
        </is>
      </c>
      <c r="E82" s="39" t="inlineStr">
        <is>
          <t>Full</t>
        </is>
      </c>
      <c r="F82" s="39" t="inlineStr">
        <is>
          <t>Taupe</t>
        </is>
      </c>
      <c r="G82" s="40" t="n"/>
      <c r="H82" s="39" t="n"/>
      <c r="I82" s="74" t="n">
        <v>96.98999999999999</v>
      </c>
      <c r="J82" s="75" t="inlineStr">
        <is>
          <t>2026-03-22</t>
        </is>
      </c>
      <c r="K82" s="40" t="n">
        <v>48.01</v>
      </c>
      <c r="L82" s="76" t="n">
        <v>0.4949994844829363</v>
      </c>
      <c r="M82" s="77" t="n">
        <v>1</v>
      </c>
      <c r="N82" s="39" t="inlineStr">
        <is>
          <t>Active</t>
        </is>
      </c>
      <c r="O82" s="39" t="n"/>
      <c r="P82" s="78" t="n"/>
      <c r="Q82" s="77" t="n"/>
      <c r="R82" s="77" t="n"/>
      <c r="S82" s="77" t="n"/>
      <c r="T82" s="39" t="n"/>
    </row>
    <row r="83" ht="62" customHeight="1">
      <c r="A83" s="12">
        <f>_xlfn.IMAGE("https://m.media-amazon.com/images/I/81EHFhQyvAL.jpg")</f>
        <v/>
      </c>
      <c r="B83" s="39" t="inlineStr">
        <is>
          <t>B0H9Y34CP3</t>
        </is>
      </c>
      <c r="C83" s="39" t="inlineStr">
        <is>
          <t>BAMBOO-CALIFKING-SAGE GREEN-6PC</t>
        </is>
      </c>
      <c r="D83" s="39" t="inlineStr">
        <is>
          <t>DECOLURE 100% Viscose from Bamboo Sheets | 6 Pc Cooling Bed Set</t>
        </is>
      </c>
      <c r="E83" s="39" t="inlineStr">
        <is>
          <t>Cal King</t>
        </is>
      </c>
      <c r="F83" s="39" t="inlineStr">
        <is>
          <t>Sage</t>
        </is>
      </c>
      <c r="G83" s="40" t="n"/>
      <c r="H83" s="39" t="n"/>
      <c r="I83" s="40" t="n"/>
      <c r="J83" s="39" t="n"/>
      <c r="K83" s="40" t="n"/>
      <c r="L83" s="76" t="n"/>
      <c r="M83" s="77" t="n"/>
      <c r="N83" s="39" t="inlineStr">
        <is>
          <t>Inactive</t>
        </is>
      </c>
      <c r="O83" s="39" t="n"/>
      <c r="P83" s="78" t="n"/>
      <c r="Q83" s="77" t="n"/>
      <c r="R83" s="77" t="n"/>
      <c r="S83" s="77" t="n"/>
      <c r="T83" s="39" t="n"/>
    </row>
    <row r="84" ht="62" customHeight="1">
      <c r="A84" s="12">
        <f>_xlfn.IMAGE("https://m.media-amazon.com/images/I/81+83kJjC0L.jpg")</f>
        <v/>
      </c>
      <c r="B84" s="39" t="inlineStr">
        <is>
          <t>B0CQ32JTTK</t>
        </is>
      </c>
      <c r="C84" s="39" t="inlineStr">
        <is>
          <t>BAMBOO-CALIFKING-CHARCOAL-6PCS</t>
        </is>
      </c>
      <c r="D84" s="39" t="inlineStr">
        <is>
          <t>DECOLURE 100% Viscose from Bamboo Sheets | 6 Pc Cooling Bed Set</t>
        </is>
      </c>
      <c r="E84" s="39" t="inlineStr">
        <is>
          <t>California King</t>
        </is>
      </c>
      <c r="F84" s="39" t="inlineStr">
        <is>
          <t>Charcoal</t>
        </is>
      </c>
      <c r="G84" s="40" t="n"/>
      <c r="H84" s="39" t="n"/>
      <c r="I84" s="74" t="n">
        <v>84.98999999999999</v>
      </c>
      <c r="J84" s="75" t="inlineStr">
        <is>
          <t>2026-02-26</t>
        </is>
      </c>
      <c r="K84" s="40" t="n">
        <v>29.29</v>
      </c>
      <c r="L84" s="76" t="n">
        <v>0.3446287798564537</v>
      </c>
      <c r="M84" s="77" t="n">
        <v>0</v>
      </c>
      <c r="N84" s="39" t="inlineStr">
        <is>
          <t>Inactive</t>
        </is>
      </c>
      <c r="O84" s="39" t="n"/>
      <c r="P84" s="78" t="n"/>
      <c r="Q84" s="77" t="n"/>
      <c r="R84" s="77" t="n"/>
      <c r="S84" s="77" t="n"/>
      <c r="T84" s="39" t="n"/>
    </row>
    <row r="85" ht="62" customHeight="1">
      <c r="A85" s="12">
        <f>_xlfn.IMAGE("https://m.media-amazon.com/images/I/81I312usunL.jpg")</f>
        <v/>
      </c>
      <c r="B85" s="39" t="inlineStr">
        <is>
          <t>B0CQ31X7S5</t>
        </is>
      </c>
      <c r="C85" s="39" t="inlineStr">
        <is>
          <t>BAMBOO-CALIFKING-LIGHTGREY-6PCS</t>
        </is>
      </c>
      <c r="D85" s="39" t="inlineStr">
        <is>
          <t>DECOLURE 100% Viscose from Bamboo Sheets | 6 Pc Cooling Bed Set</t>
        </is>
      </c>
      <c r="E85" s="39" t="inlineStr">
        <is>
          <t>California King</t>
        </is>
      </c>
      <c r="F85" s="39" t="inlineStr">
        <is>
          <t>Light Grey</t>
        </is>
      </c>
      <c r="G85" s="73" t="n">
        <v>99.98999999999999</v>
      </c>
      <c r="H85" s="39" t="inlineStr">
        <is>
          <t>catalog price, 2026-10-13</t>
        </is>
      </c>
      <c r="I85" s="74" t="n">
        <v>84.98999999999999</v>
      </c>
      <c r="J85" s="75" t="inlineStr">
        <is>
          <t>2026-02-28</t>
        </is>
      </c>
      <c r="K85" s="40" t="n">
        <v>25.41</v>
      </c>
      <c r="L85" s="76" t="n">
        <v>0.2989763501588422</v>
      </c>
      <c r="M85" s="77" t="n">
        <v>0</v>
      </c>
      <c r="N85" s="39" t="inlineStr">
        <is>
          <t>Active</t>
        </is>
      </c>
      <c r="O85" s="39" t="n"/>
      <c r="P85" s="78" t="n">
        <v>4.4</v>
      </c>
      <c r="Q85" s="77" t="n">
        <v>3153</v>
      </c>
      <c r="R85" s="77" t="n">
        <v>18045</v>
      </c>
      <c r="S85" s="77" t="n">
        <v>4</v>
      </c>
      <c r="T85" s="39" t="n"/>
    </row>
    <row r="86" ht="62" customHeight="1">
      <c r="A86" s="12">
        <f>_xlfn.IMAGE("https://m.media-amazon.com/images/I/81ES2nvuC3L.jpg")</f>
        <v/>
      </c>
      <c r="B86" s="39" t="inlineStr">
        <is>
          <t>B0CQ32CNNX</t>
        </is>
      </c>
      <c r="C86" s="39" t="inlineStr">
        <is>
          <t>BAMBOO-CALIFKING-PURPLE-6PCS</t>
        </is>
      </c>
      <c r="D86" s="39" t="inlineStr">
        <is>
          <t>DECOLURE 100% Viscose from Bamboo Sheets | 6 Pc Cooling Bed Set | Ultra Soft Luxury Sheets | Cooling for Hot Sleepers | California King Bed Set | 17" Deep Pocket w Corner Straps | Purple</t>
        </is>
      </c>
      <c r="E86" s="39" t="inlineStr">
        <is>
          <t>California King</t>
        </is>
      </c>
      <c r="F86" s="39" t="inlineStr">
        <is>
          <t>Purple</t>
        </is>
      </c>
      <c r="G86" s="40" t="n"/>
      <c r="H86" s="39" t="n"/>
      <c r="I86" s="74" t="n">
        <v>89.98999999999999</v>
      </c>
      <c r="J86" s="75" t="inlineStr">
        <is>
          <t>2026-03-30</t>
        </is>
      </c>
      <c r="K86" s="40" t="n">
        <v>33.72999999999999</v>
      </c>
      <c r="L86" s="76" t="n">
        <v>0.3748194243804866</v>
      </c>
      <c r="M86" s="77" t="n"/>
      <c r="N86" s="39" t="inlineStr">
        <is>
          <t>Inactive</t>
        </is>
      </c>
      <c r="O86" s="39" t="n"/>
      <c r="P86" s="78" t="n"/>
      <c r="Q86" s="77" t="n"/>
      <c r="R86" s="77" t="n"/>
      <c r="S86" s="77" t="n"/>
      <c r="T86" s="39" t="n"/>
    </row>
    <row r="87" ht="62" customHeight="1">
      <c r="A87" s="12">
        <f>_xlfn.IMAGE("https://m.media-amazon.com/images/I/81qX1TwGR6L.jpg")</f>
        <v/>
      </c>
      <c r="B87" s="39" t="inlineStr">
        <is>
          <t>B0CQ31LJ3J</t>
        </is>
      </c>
      <c r="C87" s="39" t="inlineStr">
        <is>
          <t>BAMBOO-CALIFKING-SAGE GREEN-6PCS</t>
        </is>
      </c>
      <c r="D87" s="39" t="inlineStr">
        <is>
          <t>DECOLURE 100% Viscose Derived from Bamboo Sheets California King Size - Luxury 6 Pc Naturally Cooling Sheets, Ultra Soft Bed Set - Deep 17" Pockets, Double Stitching, Oeko Tex Standard (Sage Green-01)</t>
        </is>
      </c>
      <c r="E87" s="39" t="inlineStr">
        <is>
          <t>California King</t>
        </is>
      </c>
      <c r="F87" s="39" t="inlineStr">
        <is>
          <t>Sage Green</t>
        </is>
      </c>
      <c r="G87" s="40" t="n"/>
      <c r="H87" s="39" t="n"/>
      <c r="I87" s="74" t="n">
        <v>89.98999999999999</v>
      </c>
      <c r="J87" s="75" t="inlineStr">
        <is>
          <t>2026-03-30</t>
        </is>
      </c>
      <c r="K87" s="40" t="n">
        <v>33.61999999999999</v>
      </c>
      <c r="L87" s="76" t="n">
        <v>0.3735970663407044</v>
      </c>
      <c r="M87" s="77" t="n">
        <v>0</v>
      </c>
      <c r="N87" s="39" t="inlineStr">
        <is>
          <t>Active</t>
        </is>
      </c>
      <c r="O87" s="39" t="n"/>
      <c r="P87" s="78" t="n"/>
      <c r="Q87" s="77" t="n"/>
      <c r="R87" s="77" t="n"/>
      <c r="S87" s="77" t="n"/>
      <c r="T87" s="39" t="n"/>
    </row>
    <row r="88" ht="62" customHeight="1">
      <c r="A88" s="12">
        <f>_xlfn.IMAGE("https://m.media-amazon.com/images/I/81MRRHk3q4L.jpg")</f>
        <v/>
      </c>
      <c r="B88" s="39" t="inlineStr">
        <is>
          <t>B0HCZLGTWV</t>
        </is>
      </c>
      <c r="C88" s="39" t="inlineStr">
        <is>
          <t>BAMBOO-FULL-LIGHTBLUE-6PC</t>
        </is>
      </c>
      <c r="D88" s="39" t="inlineStr">
        <is>
          <t>DECOLURE 100% Viscose from Bamboo Sheets Full Size | 6 Pc Cooling Bed Set</t>
        </is>
      </c>
      <c r="E88" s="39" t="inlineStr">
        <is>
          <t>Full</t>
        </is>
      </c>
      <c r="F88" s="39" t="inlineStr">
        <is>
          <t>Light Blue</t>
        </is>
      </c>
      <c r="G88" s="40" t="n"/>
      <c r="H88" s="39" t="n"/>
      <c r="I88" s="40" t="n"/>
      <c r="J88" s="39" t="n"/>
      <c r="K88" s="40" t="n"/>
      <c r="L88" s="76" t="n"/>
      <c r="M88" s="77" t="n"/>
      <c r="N88" s="39" t="inlineStr">
        <is>
          <t>Inactive</t>
        </is>
      </c>
      <c r="O88" s="39" t="n"/>
      <c r="P88" s="78" t="n"/>
      <c r="Q88" s="77" t="n"/>
      <c r="R88" s="77" t="n"/>
      <c r="S88" s="77" t="n"/>
      <c r="T88" s="39" t="n"/>
    </row>
    <row r="89" ht="62" customHeight="1">
      <c r="A89" s="12">
        <f>_xlfn.IMAGE("https://m.media-amazon.com/images/I/81aP4bechFL.jpg")</f>
        <v/>
      </c>
      <c r="B89" s="39" t="inlineStr">
        <is>
          <t>B0CQ32JNVG</t>
        </is>
      </c>
      <c r="C89" s="39" t="inlineStr">
        <is>
          <t>BAMBOO-FULL-LIGHTBLUE-6PCS</t>
        </is>
      </c>
      <c r="D89" s="39" t="inlineStr">
        <is>
          <t>DECOLURE 100% Viscose Derived from Bamboo Sheets Full Size - Luxury 6 Pc Naturally Cooling Sheets, Ultra Soft Bed Set - Deep 17" Pockets, Durable Double Stitching, Oeko Tex Standard (Light Blue-01)</t>
        </is>
      </c>
      <c r="E89" s="39" t="inlineStr">
        <is>
          <t>Full</t>
        </is>
      </c>
      <c r="F89" s="39" t="inlineStr">
        <is>
          <t>Light Blue</t>
        </is>
      </c>
      <c r="G89" s="40" t="n"/>
      <c r="H89" s="39" t="n"/>
      <c r="I89" s="74" t="n">
        <v>74.98999999999999</v>
      </c>
      <c r="J89" s="75" t="inlineStr">
        <is>
          <t>2026-03-30</t>
        </is>
      </c>
      <c r="K89" s="40" t="n">
        <v>30.37999999999999</v>
      </c>
      <c r="L89" s="76" t="n">
        <v>0.405120682757701</v>
      </c>
      <c r="M89" s="77" t="n">
        <v>0</v>
      </c>
      <c r="N89" s="39" t="inlineStr">
        <is>
          <t>Active</t>
        </is>
      </c>
      <c r="O89" s="39" t="n"/>
      <c r="P89" s="78" t="n"/>
      <c r="Q89" s="77" t="n"/>
      <c r="R89" s="77" t="n"/>
      <c r="S89" s="77" t="n"/>
      <c r="T89" s="39" t="n"/>
    </row>
    <row r="90" ht="62" customHeight="1">
      <c r="A90" s="12">
        <f>_xlfn.IMAGE("https://m.media-amazon.com/images/I/81FUAGLZKiL.jpg")</f>
        <v/>
      </c>
      <c r="B90" s="39" t="inlineStr">
        <is>
          <t>B0HD13QPG2</t>
        </is>
      </c>
      <c r="C90" s="39" t="inlineStr">
        <is>
          <t>BAMBOO-FULL-LIGHTGREY-6PC</t>
        </is>
      </c>
      <c r="D90" s="39" t="inlineStr">
        <is>
          <t>DECOLURE 100% Viscose from Bamboo Sheets Full Size | 6 Pc Cooling Bed Set</t>
        </is>
      </c>
      <c r="E90" s="39" t="inlineStr">
        <is>
          <t>Full</t>
        </is>
      </c>
      <c r="F90" s="39" t="inlineStr">
        <is>
          <t>Light Grey</t>
        </is>
      </c>
      <c r="G90" s="40" t="n"/>
      <c r="H90" s="39" t="n"/>
      <c r="I90" s="40" t="n"/>
      <c r="J90" s="39" t="n"/>
      <c r="K90" s="40" t="n"/>
      <c r="L90" s="76" t="n"/>
      <c r="M90" s="77" t="n"/>
      <c r="N90" s="39" t="inlineStr">
        <is>
          <t>Inactive</t>
        </is>
      </c>
      <c r="O90" s="39" t="n"/>
      <c r="P90" s="78" t="n"/>
      <c r="Q90" s="77" t="n"/>
      <c r="R90" s="77" t="n"/>
      <c r="S90" s="77" t="n"/>
      <c r="T90" s="39" t="n"/>
    </row>
    <row r="91" ht="62" customHeight="1">
      <c r="A91" s="12">
        <f>_xlfn.IMAGE("https://m.media-amazon.com/images/I/810i1yrrNKL.jpg")</f>
        <v/>
      </c>
      <c r="B91" s="39" t="inlineStr">
        <is>
          <t>B0CQ32VM8N</t>
        </is>
      </c>
      <c r="C91" s="39" t="inlineStr">
        <is>
          <t>BAMBOO-FULL-LIGHTGREY-6PCS</t>
        </is>
      </c>
      <c r="D91" s="39" t="inlineStr">
        <is>
          <t>DECOLURE 100% Viscose Derived from Bamboo Sheets Full Size - Luxury 6 Pc Naturally Cooling Sheets, Ultra Soft Bed Set - Deep 17" Pockets, Durable Double Stitching, Oeko Tex Standard (Light Grey-01)</t>
        </is>
      </c>
      <c r="E91" s="39" t="inlineStr">
        <is>
          <t>Full</t>
        </is>
      </c>
      <c r="F91" s="39" t="inlineStr">
        <is>
          <t>Light Grey</t>
        </is>
      </c>
      <c r="G91" s="40" t="n"/>
      <c r="H91" s="39" t="n"/>
      <c r="I91" s="74" t="n">
        <v>90.98999999999999</v>
      </c>
      <c r="J91" s="75" t="inlineStr">
        <is>
          <t>2026-03-30</t>
        </is>
      </c>
      <c r="K91" s="40" t="n">
        <v>43.91999999999999</v>
      </c>
      <c r="L91" s="76" t="n">
        <v>0.4826904055390701</v>
      </c>
      <c r="M91" s="77" t="n">
        <v>0</v>
      </c>
      <c r="N91" s="39" t="inlineStr">
        <is>
          <t>Active</t>
        </is>
      </c>
      <c r="O91" s="39" t="n"/>
      <c r="P91" s="78" t="n"/>
      <c r="Q91" s="77" t="n"/>
      <c r="R91" s="77" t="n"/>
      <c r="S91" s="77" t="n"/>
      <c r="T91" s="39" t="n"/>
    </row>
    <row r="92" ht="62" customHeight="1">
      <c r="A92" s="12">
        <f>_xlfn.IMAGE("https://m.media-amazon.com/images/I/81SvYgazSwL.jpg")</f>
        <v/>
      </c>
      <c r="B92" s="39" t="inlineStr">
        <is>
          <t>B0HHHRMKNM</t>
        </is>
      </c>
      <c r="C92" s="39" t="inlineStr">
        <is>
          <t>BAMBOO-FULL-6PCS-NAVYBLUE</t>
        </is>
      </c>
      <c r="D92" s="39" t="inlineStr">
        <is>
          <t>DECOLURE 100% Viscose from Bamboo Sheets Full Size | 6 Pc Cooling Bed Set</t>
        </is>
      </c>
      <c r="E92" s="39" t="inlineStr">
        <is>
          <t>Full</t>
        </is>
      </c>
      <c r="F92" s="39" t="inlineStr">
        <is>
          <t>Navy Blue</t>
        </is>
      </c>
      <c r="G92" s="40" t="n"/>
      <c r="H92" s="39" t="n"/>
      <c r="I92" s="40" t="n"/>
      <c r="J92" s="39" t="n"/>
      <c r="K92" s="40" t="n"/>
      <c r="L92" s="76" t="n"/>
      <c r="M92" s="77" t="n"/>
      <c r="N92" s="39" t="inlineStr">
        <is>
          <t>Inactive</t>
        </is>
      </c>
      <c r="O92" s="39" t="n"/>
      <c r="P92" s="78" t="n"/>
      <c r="Q92" s="77" t="n"/>
      <c r="R92" s="77" t="n"/>
      <c r="S92" s="77" t="n"/>
      <c r="T92" s="39" t="n"/>
    </row>
    <row r="93" ht="62" customHeight="1">
      <c r="A93" s="12">
        <f>_xlfn.IMAGE("https://m.media-amazon.com/images/I/81EHFhQyvAL.jpg")</f>
        <v/>
      </c>
      <c r="B93" s="39" t="inlineStr">
        <is>
          <t>B0H9Y9L12P</t>
        </is>
      </c>
      <c r="C93" s="39" t="inlineStr">
        <is>
          <t>BAMBOO-FULL-SAGE GREEN-6PC</t>
        </is>
      </c>
      <c r="D93" s="39" t="inlineStr">
        <is>
          <t>DECOLURE 100% Viscose from Bamboo Sheets Full Size | 6 Pc Cooling Bed Set</t>
        </is>
      </c>
      <c r="E93" s="39" t="inlineStr">
        <is>
          <t>Full</t>
        </is>
      </c>
      <c r="F93" s="39" t="inlineStr">
        <is>
          <t>Sage</t>
        </is>
      </c>
      <c r="G93" s="40" t="n"/>
      <c r="H93" s="39" t="n"/>
      <c r="I93" s="40" t="n"/>
      <c r="J93" s="39" t="n"/>
      <c r="K93" s="40" t="n"/>
      <c r="L93" s="76" t="n"/>
      <c r="M93" s="77" t="n"/>
      <c r="N93" s="39" t="inlineStr">
        <is>
          <t>Inactive</t>
        </is>
      </c>
      <c r="O93" s="39" t="n"/>
      <c r="P93" s="78" t="n"/>
      <c r="Q93" s="77" t="n"/>
      <c r="R93" s="77" t="n"/>
      <c r="S93" s="77" t="n"/>
      <c r="T93" s="39" t="n"/>
    </row>
    <row r="94" ht="62" customHeight="1">
      <c r="A94" s="12">
        <f>_xlfn.IMAGE("https://m.media-amazon.com/images/I/81RH5ZSH8mL.jpg")</f>
        <v/>
      </c>
      <c r="B94" s="39" t="inlineStr">
        <is>
          <t>B0HHJ716ZJ</t>
        </is>
      </c>
      <c r="C94" s="39" t="inlineStr">
        <is>
          <t>BAMBOO-FULL-6PCS-TAUPE</t>
        </is>
      </c>
      <c r="D94" s="39" t="inlineStr">
        <is>
          <t>DECOLURE 100% Viscose from Bamboo Sheets Full Size | 6 Pc Cooling Bed Set</t>
        </is>
      </c>
      <c r="E94" s="39" t="inlineStr">
        <is>
          <t>Full</t>
        </is>
      </c>
      <c r="F94" s="39" t="inlineStr">
        <is>
          <t>Taupe</t>
        </is>
      </c>
      <c r="G94" s="40" t="n"/>
      <c r="H94" s="39" t="n"/>
      <c r="I94" s="40" t="n"/>
      <c r="J94" s="39" t="n"/>
      <c r="K94" s="40" t="n"/>
      <c r="L94" s="76" t="n"/>
      <c r="M94" s="77" t="n"/>
      <c r="N94" s="39" t="inlineStr">
        <is>
          <t>Inactive</t>
        </is>
      </c>
      <c r="O94" s="39" t="n"/>
      <c r="P94" s="78" t="n"/>
      <c r="Q94" s="77" t="n"/>
      <c r="R94" s="77" t="n"/>
      <c r="S94" s="77" t="n"/>
      <c r="T94" s="39" t="n"/>
    </row>
    <row r="95" ht="62" customHeight="1">
      <c r="A95" s="12">
        <f>_xlfn.IMAGE("https://m.media-amazon.com/images/I/81LUuxH3WqL.jpg")</f>
        <v/>
      </c>
      <c r="B95" s="39" t="inlineStr">
        <is>
          <t>B0CQ31CZTJ</t>
        </is>
      </c>
      <c r="C95" s="39" t="inlineStr">
        <is>
          <t>BAMBOO-QUEEN-BLACK-6PCS</t>
        </is>
      </c>
      <c r="D95" s="39" t="inlineStr">
        <is>
          <t>DECOLURE 100% Viscose from Bamboo Sheets Queen Size | 6 Pc Cooling Bed Set</t>
        </is>
      </c>
      <c r="E95" s="39" t="inlineStr">
        <is>
          <t>Queen</t>
        </is>
      </c>
      <c r="F95" s="39" t="inlineStr">
        <is>
          <t>Black</t>
        </is>
      </c>
      <c r="G95" s="73" t="n">
        <v>84.98999999999999</v>
      </c>
      <c r="H95" s="39" t="inlineStr">
        <is>
          <t>catalog price, 2026-10-13</t>
        </is>
      </c>
      <c r="I95" s="74" t="n">
        <v>84.98999999999999</v>
      </c>
      <c r="J95" s="75" t="inlineStr">
        <is>
          <t>2026-03-14</t>
        </is>
      </c>
      <c r="K95" s="40" t="n">
        <v>35.28999999999999</v>
      </c>
      <c r="L95" s="76" t="n">
        <v>0.4152253206259559</v>
      </c>
      <c r="M95" s="77" t="n"/>
      <c r="N95" s="39" t="inlineStr">
        <is>
          <t>Inactive</t>
        </is>
      </c>
      <c r="O95" s="39" t="n"/>
      <c r="P95" s="78" t="n">
        <v>4.4</v>
      </c>
      <c r="Q95" s="77" t="n">
        <v>3153</v>
      </c>
      <c r="R95" s="77" t="n">
        <v>18045</v>
      </c>
      <c r="S95" s="77" t="n">
        <v>0</v>
      </c>
      <c r="T95" s="39" t="n"/>
    </row>
    <row r="96" ht="62" customHeight="1">
      <c r="A96" s="12">
        <f>_xlfn.IMAGE("https://m.media-amazon.com/images/I/81qwLZXe5IL.jpg")</f>
        <v/>
      </c>
      <c r="B96" s="39" t="inlineStr">
        <is>
          <t>B0CQ31PZ8Q</t>
        </is>
      </c>
      <c r="C96" s="39" t="inlineStr">
        <is>
          <t>BAMBOO-QUEEN-LIGHT PINK-6PCS</t>
        </is>
      </c>
      <c r="D96" s="39" t="inlineStr">
        <is>
          <t>DECOLURE 100% Viscose from Bamboo Sheets Queen Size | 6 Pc Cooling Bed Set</t>
        </is>
      </c>
      <c r="E96" s="39" t="inlineStr">
        <is>
          <t>Queen</t>
        </is>
      </c>
      <c r="F96" s="39" t="inlineStr">
        <is>
          <t>Light Pink</t>
        </is>
      </c>
      <c r="G96" s="73" t="n">
        <v>84.98999999999999</v>
      </c>
      <c r="H96" s="39" t="inlineStr">
        <is>
          <t>catalog price, 2026-10-13</t>
        </is>
      </c>
      <c r="I96" s="74" t="n">
        <v>84.98999999999999</v>
      </c>
      <c r="J96" s="75" t="inlineStr">
        <is>
          <t>2026-03-28</t>
        </is>
      </c>
      <c r="K96" s="40" t="n">
        <v>36.61999999999999</v>
      </c>
      <c r="L96" s="76" t="n">
        <v>0.430874220496529</v>
      </c>
      <c r="M96" s="77" t="n"/>
      <c r="N96" s="39" t="inlineStr">
        <is>
          <t>Inactive</t>
        </is>
      </c>
      <c r="O96" s="39" t="n"/>
      <c r="P96" s="78" t="n">
        <v>4.4</v>
      </c>
      <c r="Q96" s="77" t="n">
        <v>3153</v>
      </c>
      <c r="R96" s="77" t="n">
        <v>18049</v>
      </c>
      <c r="S96" s="77" t="n">
        <v>0</v>
      </c>
      <c r="T96" s="39" t="n"/>
    </row>
    <row r="97" ht="62" customHeight="1">
      <c r="A97" s="12">
        <f>_xlfn.IMAGE("https://m.media-amazon.com/images/I/81ES2nvuC3L.jpg")</f>
        <v/>
      </c>
      <c r="B97" s="39" t="inlineStr">
        <is>
          <t>B0H6QJSDX8</t>
        </is>
      </c>
      <c r="C97" s="39" t="inlineStr">
        <is>
          <t>BAMBOO-QUEEN-PURPLE-6PC</t>
        </is>
      </c>
      <c r="D97" s="39" t="inlineStr">
        <is>
          <t>DECOLURE 100% Viscose from Bamboo Sheets Queen Size | 6 Pc Cooling Bed Set</t>
        </is>
      </c>
      <c r="E97" s="39" t="inlineStr">
        <is>
          <t>Queen</t>
        </is>
      </c>
      <c r="F97" s="39" t="inlineStr">
        <is>
          <t>Purple</t>
        </is>
      </c>
      <c r="G97" s="40" t="n"/>
      <c r="H97" s="39" t="n"/>
      <c r="I97" s="40" t="n"/>
      <c r="J97" s="39" t="n"/>
      <c r="K97" s="40" t="n"/>
      <c r="L97" s="76" t="n"/>
      <c r="M97" s="77" t="n"/>
      <c r="N97" s="39" t="inlineStr">
        <is>
          <t>Inactive</t>
        </is>
      </c>
      <c r="O97" s="39" t="n"/>
      <c r="P97" s="78" t="n"/>
      <c r="Q97" s="77" t="n"/>
      <c r="R97" s="77" t="n"/>
      <c r="S97" s="77" t="n"/>
      <c r="T97" s="39" t="n"/>
    </row>
    <row r="98" ht="62" customHeight="1">
      <c r="A98" s="12">
        <f>_xlfn.IMAGE("https://m.media-amazon.com/images/I/81KfdRGP46L.jpg")</f>
        <v/>
      </c>
      <c r="B98" s="39" t="inlineStr">
        <is>
          <t>B0CQ32LWVD</t>
        </is>
      </c>
      <c r="C98" s="39" t="inlineStr">
        <is>
          <t>BAMBOO-TWIN-BURGUNDY-6PCS</t>
        </is>
      </c>
      <c r="D98" s="39" t="inlineStr">
        <is>
          <t>DECOLURE 100% Viscose from Bamboo Sheets Twin Size | 4 Pc Cooling Bed Set | Ultra Soft Luxury Sheets | Cooling Sheets for Hot Sleepers | Twin Size Bed Set | 17" Deep Pocket w Corner Straps | Burgundy</t>
        </is>
      </c>
      <c r="E98" s="39" t="inlineStr">
        <is>
          <t>Twin</t>
        </is>
      </c>
      <c r="F98" s="39" t="inlineStr">
        <is>
          <t>Burgundy</t>
        </is>
      </c>
      <c r="G98" s="40" t="n"/>
      <c r="H98" s="39" t="n"/>
      <c r="I98" s="74" t="n">
        <v>64.98999999999999</v>
      </c>
      <c r="J98" s="75" t="inlineStr">
        <is>
          <t>2026-03-30</t>
        </is>
      </c>
      <c r="K98" s="40" t="n">
        <v>28.02999999999999</v>
      </c>
      <c r="L98" s="76" t="n">
        <v>0.4312971226342514</v>
      </c>
      <c r="M98" s="77" t="n">
        <v>0</v>
      </c>
      <c r="N98" s="39" t="inlineStr">
        <is>
          <t>Inactive</t>
        </is>
      </c>
      <c r="O98" s="39" t="n"/>
      <c r="P98" s="78" t="n"/>
      <c r="Q98" s="77" t="n"/>
      <c r="R98" s="77" t="n"/>
      <c r="S98" s="77" t="n"/>
      <c r="T98" s="39" t="n"/>
    </row>
    <row r="99" ht="62" customHeight="1">
      <c r="A99" s="12">
        <f>_xlfn.IMAGE("https://m.media-amazon.com/images/I/81+83kJjC0L.jpg")</f>
        <v/>
      </c>
      <c r="B99" s="39" t="inlineStr">
        <is>
          <t>B0CQ2ZVDC1</t>
        </is>
      </c>
      <c r="C99" s="39" t="inlineStr">
        <is>
          <t>BAMBOO-TWIN-CHARCOAL-6PCS</t>
        </is>
      </c>
      <c r="D99" s="39" t="inlineStr">
        <is>
          <t>DECOLURE 100% Viscose from Bamboo Sheets Twin Size | 4 Pc Cooling Bed Set</t>
        </is>
      </c>
      <c r="E99" s="39" t="inlineStr">
        <is>
          <t>Twin</t>
        </is>
      </c>
      <c r="F99" s="39" t="inlineStr">
        <is>
          <t>Charcoal</t>
        </is>
      </c>
      <c r="G99" s="73" t="n">
        <v>64.98999999999999</v>
      </c>
      <c r="H99" s="39" t="inlineStr">
        <is>
          <t>catalog price, 2026-10-13</t>
        </is>
      </c>
      <c r="I99" s="74" t="n">
        <v>80.98999999999999</v>
      </c>
      <c r="J99" s="75" t="inlineStr">
        <is>
          <t>2026-03-30</t>
        </is>
      </c>
      <c r="K99" s="40" t="n">
        <v>41.47999999999999</v>
      </c>
      <c r="L99" s="76" t="n">
        <v>0.5121619953080626</v>
      </c>
      <c r="M99" s="77" t="n"/>
      <c r="N99" s="39" t="inlineStr">
        <is>
          <t>Inactive</t>
        </is>
      </c>
      <c r="O99" s="39" t="n"/>
      <c r="P99" s="78" t="n">
        <v>4.4</v>
      </c>
      <c r="Q99" s="77" t="n">
        <v>3153</v>
      </c>
      <c r="R99" s="77" t="n">
        <v>18045</v>
      </c>
      <c r="S99" s="77" t="n">
        <v>0</v>
      </c>
      <c r="T99" s="39" t="n"/>
    </row>
    <row r="100" ht="62" customHeight="1">
      <c r="A100" s="12">
        <f>_xlfn.IMAGE("https://m.media-amazon.com/images/I/81UukoIufqL.jpg")</f>
        <v/>
      </c>
      <c r="B100" s="39" t="inlineStr">
        <is>
          <t>B0CQ2ZZZ42</t>
        </is>
      </c>
      <c r="C100" s="39" t="inlineStr">
        <is>
          <t>BAMBOO-TWIN-CREME-6PCS</t>
        </is>
      </c>
      <c r="D100" s="39" t="inlineStr">
        <is>
          <t>DECOLURE 100% Viscose from Bamboo Sheets Twin Size | 4 Pc Cooling Bed Set</t>
        </is>
      </c>
      <c r="E100" s="39" t="inlineStr">
        <is>
          <t>Twin</t>
        </is>
      </c>
      <c r="F100" s="39" t="inlineStr">
        <is>
          <t>Creme</t>
        </is>
      </c>
      <c r="G100" s="73" t="n">
        <v>64.98999999999999</v>
      </c>
      <c r="H100" s="39" t="inlineStr">
        <is>
          <t>catalog price, 2026-10-13</t>
        </is>
      </c>
      <c r="I100" s="74" t="n">
        <v>80.98999999999999</v>
      </c>
      <c r="J100" s="75" t="inlineStr">
        <is>
          <t>2026-03-30</t>
        </is>
      </c>
      <c r="K100" s="40" t="n">
        <v>40.19999999999999</v>
      </c>
      <c r="L100" s="76" t="n">
        <v>0.4963575750092603</v>
      </c>
      <c r="M100" s="77" t="n">
        <v>0</v>
      </c>
      <c r="N100" s="39" t="inlineStr">
        <is>
          <t>Active</t>
        </is>
      </c>
      <c r="O100" s="39" t="n"/>
      <c r="P100" s="78" t="n">
        <v>4.4</v>
      </c>
      <c r="Q100" s="77" t="n">
        <v>3153</v>
      </c>
      <c r="R100" s="77" t="n">
        <v>18049</v>
      </c>
      <c r="S100" s="77" t="n">
        <v>7</v>
      </c>
      <c r="T100" s="39" t="n"/>
    </row>
    <row r="101" ht="62" customHeight="1">
      <c r="A101" s="12">
        <f>_xlfn.IMAGE("https://m.media-amazon.com/images/I/81MRRHk3q4L.jpg")</f>
        <v/>
      </c>
      <c r="B101" s="39" t="inlineStr">
        <is>
          <t>B0HHJ3QSVF</t>
        </is>
      </c>
      <c r="C101" s="39" t="inlineStr">
        <is>
          <t>BAMBOO-TWIN-6PCS-LIGHTBLUE</t>
        </is>
      </c>
      <c r="D101" s="39" t="inlineStr">
        <is>
          <t>DECOLURE 100% Viscose from Bamboo Sheets Twin Size | 4 Pc Cooling Bed Set</t>
        </is>
      </c>
      <c r="E101" s="39" t="inlineStr">
        <is>
          <t>Twin</t>
        </is>
      </c>
      <c r="F101" s="39" t="inlineStr">
        <is>
          <t>Light Blue</t>
        </is>
      </c>
      <c r="G101" s="40" t="n"/>
      <c r="H101" s="39" t="n"/>
      <c r="I101" s="40" t="n"/>
      <c r="J101" s="39" t="n"/>
      <c r="K101" s="40" t="n"/>
      <c r="L101" s="76" t="n"/>
      <c r="M101" s="77" t="n"/>
      <c r="N101" s="39" t="inlineStr">
        <is>
          <t>Inactive</t>
        </is>
      </c>
      <c r="O101" s="39" t="n"/>
      <c r="P101" s="78" t="n"/>
      <c r="Q101" s="77" t="n"/>
      <c r="R101" s="77" t="n"/>
      <c r="S101" s="77" t="n"/>
      <c r="T101" s="39" t="n"/>
    </row>
    <row r="102" ht="62" customHeight="1">
      <c r="A102" s="12">
        <f>_xlfn.IMAGE("https://m.media-amazon.com/images/I/81Ej8SH6bmL.jpg")</f>
        <v/>
      </c>
      <c r="B102" s="39" t="inlineStr">
        <is>
          <t>B0CQ31CJPJ</t>
        </is>
      </c>
      <c r="C102" s="39" t="inlineStr">
        <is>
          <t>BAMBOO-TWIN-LIGHTBLUE-6PCS</t>
        </is>
      </c>
      <c r="D102" s="39" t="inlineStr">
        <is>
          <t>DECOLURE 100% Viscose Derived from Bamboo Sheets Twin Size, Luxury 4 Pc Set</t>
        </is>
      </c>
      <c r="E102" s="39" t="inlineStr">
        <is>
          <t>Twin</t>
        </is>
      </c>
      <c r="F102" s="39" t="inlineStr">
        <is>
          <t>Light Blue</t>
        </is>
      </c>
      <c r="G102" s="40" t="n"/>
      <c r="H102" s="39" t="n"/>
      <c r="I102" s="74" t="n">
        <v>64.98999999999999</v>
      </c>
      <c r="J102" s="75" t="inlineStr">
        <is>
          <t>2026-03-30</t>
        </is>
      </c>
      <c r="K102" s="40" t="n">
        <v>27.48</v>
      </c>
      <c r="L102" s="76" t="n">
        <v>0.4228342821972611</v>
      </c>
      <c r="M102" s="77" t="n">
        <v>0</v>
      </c>
      <c r="N102" s="39" t="inlineStr">
        <is>
          <t>Active</t>
        </is>
      </c>
      <c r="O102" s="39" t="n"/>
      <c r="P102" s="78" t="n"/>
      <c r="Q102" s="77" t="n"/>
      <c r="R102" s="77" t="n"/>
      <c r="S102" s="77" t="n"/>
      <c r="T102" s="39" t="n"/>
    </row>
    <row r="103" ht="62" customHeight="1">
      <c r="A103" s="12">
        <f>_xlfn.IMAGE("https://m.media-amazon.com/images/I/81qwLZXe5IL.jpg")</f>
        <v/>
      </c>
      <c r="B103" s="39" t="inlineStr">
        <is>
          <t>B0CQ33BH1K</t>
        </is>
      </c>
      <c r="C103" s="39" t="inlineStr">
        <is>
          <t>BAMBOO-TWIN-LIGHT PINK-6PCS</t>
        </is>
      </c>
      <c r="D103" s="39" t="inlineStr">
        <is>
          <t>DECOLURE 100% Viscose from Bamboo Sheets Twin Size | 4 Pc Cooling Bed Set</t>
        </is>
      </c>
      <c r="E103" s="39" t="inlineStr">
        <is>
          <t>Twin</t>
        </is>
      </c>
      <c r="F103" s="39" t="inlineStr">
        <is>
          <t>Light Pink</t>
        </is>
      </c>
      <c r="G103" s="40" t="n"/>
      <c r="H103" s="39" t="n"/>
      <c r="I103" s="74" t="n">
        <v>85.98999999999999</v>
      </c>
      <c r="J103" s="75" t="inlineStr">
        <is>
          <t>2026-03-30</t>
        </is>
      </c>
      <c r="K103" s="40" t="n">
        <v>46.08999999999998</v>
      </c>
      <c r="L103" s="76" t="n">
        <v>0.5359925572741014</v>
      </c>
      <c r="M103" s="77" t="n"/>
      <c r="N103" s="39" t="inlineStr">
        <is>
          <t>Inactive</t>
        </is>
      </c>
      <c r="O103" s="39" t="n"/>
      <c r="P103" s="78" t="n"/>
      <c r="Q103" s="77" t="n"/>
      <c r="R103" s="77" t="n"/>
      <c r="S103" s="77" t="n"/>
      <c r="T103" s="39" t="n"/>
    </row>
    <row r="104"/>
    <row r="105" ht="22" customHeight="1">
      <c r="A105" s="65" t="inlineStr">
        <is>
          <t>3 ▼</t>
        </is>
      </c>
      <c r="B105" s="66" t="inlineStr">
        <is>
          <t>OUR BFCM 2025 RESULT &amp; EVENT VISIBILITY</t>
        </is>
      </c>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c r="AC105" s="67" t="n"/>
      <c r="AD105" s="67" t="n"/>
      <c r="AE105" s="67" t="n"/>
      <c r="AF105" s="67" t="n"/>
      <c r="AG105" s="67" t="n"/>
      <c r="AH105" s="67" t="n"/>
      <c r="AI105" s="67" t="n"/>
      <c r="AJ105" s="67" t="n"/>
      <c r="AK105" s="67" t="n"/>
      <c r="AL105" s="67" t="n"/>
      <c r="AM105" s="67" t="n"/>
      <c r="AN105" s="67" t="n"/>
      <c r="AO105" s="67" t="n"/>
      <c r="AP105" s="67" t="n"/>
      <c r="AQ105" s="67" t="n"/>
      <c r="AR105" s="67" t="n"/>
      <c r="AS105" s="67" t="n"/>
      <c r="AT105" s="67" t="n"/>
      <c r="AU105" s="67" t="n"/>
      <c r="AV105" s="67" t="n"/>
      <c r="AW105" s="67" t="n"/>
      <c r="AX105" s="67" t="n"/>
      <c r="AY105" s="67" t="n"/>
      <c r="AZ105" s="67" t="n"/>
      <c r="BA105" s="67" t="n"/>
      <c r="BB105" s="67" t="n"/>
      <c r="BC105" s="67" t="n"/>
      <c r="BD105" s="67" t="n"/>
      <c r="BE105" s="67" t="n"/>
      <c r="BF105" s="67" t="n"/>
      <c r="BG105" s="67" t="n"/>
      <c r="BH105" s="67" t="n"/>
      <c r="BI105" s="67" t="n"/>
      <c r="BJ105" s="67" t="n"/>
      <c r="BK105" s="67" t="n"/>
    </row>
    <row r="106">
      <c r="A106" s="80" t="inlineStr">
        <is>
          <t>Window</t>
        </is>
      </c>
      <c r="B106" s="81" t="n"/>
      <c r="C106" s="82" t="n"/>
      <c r="D106" s="80" t="inlineStr">
        <is>
          <t>Ad spend</t>
        </is>
      </c>
      <c r="E106" s="80" t="inlineStr">
        <is>
          <t>Ad sales</t>
        </is>
      </c>
      <c r="F106" s="80" t="inlineStr">
        <is>
          <t>ACoS</t>
        </is>
      </c>
      <c r="G106" s="80" t="inlineStr">
        <is>
          <t>TACoS</t>
        </is>
      </c>
      <c r="H106" s="80" t="inlineStr">
        <is>
          <t>Total sales (derived)</t>
        </is>
      </c>
      <c r="J106" s="80" t="inlineStr">
        <is>
          <t>Ad orders</t>
        </is>
      </c>
      <c r="K106" s="80" t="inlineStr">
        <is>
          <t>CVR</t>
        </is>
      </c>
    </row>
    <row r="107">
      <c r="A107" s="83" t="inlineStr">
        <is>
          <t>Pre-event Oct 21 - Nov 19, 2025 (30d)</t>
        </is>
      </c>
      <c r="B107" s="81" t="n"/>
      <c r="C107" s="82" t="n"/>
      <c r="D107" s="84" t="n">
        <v>19609.33</v>
      </c>
      <c r="E107" s="84" t="n">
        <v>78163.43000000001</v>
      </c>
      <c r="F107" s="85" t="n">
        <v>25.1</v>
      </c>
      <c r="G107" s="85" t="n">
        <v>7.437756914344342</v>
      </c>
      <c r="H107" s="84" t="n">
        <v>263645.75</v>
      </c>
      <c r="J107" s="86" t="n">
        <v>999</v>
      </c>
      <c r="K107" s="87" t="n">
        <v>16.59</v>
      </c>
    </row>
    <row r="108">
      <c r="A108" s="83" t="inlineStr">
        <is>
          <t>BFCM week Nov 20 - Dec 1, 2025 (12d)</t>
        </is>
      </c>
      <c r="B108" s="81" t="n"/>
      <c r="C108" s="82" t="n"/>
      <c r="D108" s="84" t="n">
        <v>16802.87</v>
      </c>
      <c r="E108" s="84" t="n">
        <v>85287.08</v>
      </c>
      <c r="F108" s="85" t="n">
        <v>19.7</v>
      </c>
      <c r="G108" s="85" t="n">
        <v>6.403236527090554</v>
      </c>
      <c r="H108" s="84" t="n">
        <v>262412.14</v>
      </c>
      <c r="J108" s="86" t="n">
        <v>1125</v>
      </c>
      <c r="K108" s="87" t="n">
        <v>20.05</v>
      </c>
    </row>
    <row r="109">
      <c r="A109" s="83" t="inlineStr">
        <is>
          <t>December 2 - 31, 2025 (30d)</t>
        </is>
      </c>
      <c r="B109" s="81" t="n"/>
      <c r="C109" s="82" t="n"/>
      <c r="D109" s="84" t="n">
        <v>28935.26</v>
      </c>
      <c r="E109" s="84" t="n">
        <v>141155.88</v>
      </c>
      <c r="F109" s="85" t="n">
        <v>20.5</v>
      </c>
      <c r="G109" s="85" t="n">
        <v>8.099647923911077</v>
      </c>
      <c r="H109" s="84" t="n">
        <v>357240.96</v>
      </c>
      <c r="J109" s="86" t="n">
        <v>1626</v>
      </c>
      <c r="K109" s="87" t="n">
        <v>17.58</v>
      </c>
    </row>
    <row r="110"/>
    <row r="111">
      <c r="A111" s="80" t="inlineStr">
        <is>
          <t>Actual sales (account data)</t>
        </is>
      </c>
      <c r="B111" s="81" t="n"/>
      <c r="C111" s="82" t="n"/>
      <c r="D111" s="80" t="inlineStr">
        <is>
          <t>Sales</t>
        </is>
      </c>
      <c r="E111" s="80" t="inlineStr">
        <is>
          <t>Units</t>
        </is>
      </c>
      <c r="F111" s="80" t="inlineStr">
        <is>
          <t>Organic units</t>
        </is>
      </c>
      <c r="G111" s="80" t="inlineStr">
        <is>
          <t>Ad units</t>
        </is>
      </c>
      <c r="H111" s="80" t="inlineStr">
        <is>
          <t>Ad cost</t>
        </is>
      </c>
      <c r="J111" s="80" t="inlineStr">
        <is>
          <t>TACoS (actual)</t>
        </is>
      </c>
      <c r="K111" s="80" t="inlineStr">
        <is>
          <t>Sessions</t>
        </is>
      </c>
      <c r="L111" s="80" t="inlineStr">
        <is>
          <t>Unit session %</t>
        </is>
      </c>
      <c r="M111" s="80" t="inlineStr">
        <is>
          <t>Avg price</t>
        </is>
      </c>
      <c r="N111" s="80" t="inlineStr">
        <is>
          <t>Refunds</t>
        </is>
      </c>
    </row>
    <row r="112">
      <c r="A112" s="83" t="inlineStr">
        <is>
          <t>Pre-event Oct 21 - Nov 19, 2025 (30d)</t>
        </is>
      </c>
      <c r="B112" s="81" t="n"/>
      <c r="C112" s="82" t="n"/>
      <c r="D112" s="84" t="n">
        <v>263645.75</v>
      </c>
      <c r="E112" s="86" t="n">
        <v>3442</v>
      </c>
      <c r="F112" s="86" t="n">
        <v>3297</v>
      </c>
      <c r="G112" s="86" t="n">
        <v>145</v>
      </c>
      <c r="H112" s="84" t="n">
        <v>19610.62</v>
      </c>
      <c r="J112" s="88" t="n">
        <v>0.07438246207268655</v>
      </c>
      <c r="K112" s="86" t="n">
        <v>49108</v>
      </c>
      <c r="L112" s="88" t="n">
        <v>0.0700904129673373</v>
      </c>
      <c r="M112" s="89" t="n">
        <v>76.59667344567112</v>
      </c>
      <c r="N112" s="86" t="n">
        <v>244</v>
      </c>
    </row>
    <row r="113">
      <c r="A113" s="83" t="inlineStr">
        <is>
          <t>BFCM week Nov 20 - Dec 1, 2025 (12d)</t>
        </is>
      </c>
      <c r="B113" s="81" t="n"/>
      <c r="C113" s="82" t="n"/>
      <c r="D113" s="84" t="n">
        <v>262412.14</v>
      </c>
      <c r="E113" s="86" t="n">
        <v>3572</v>
      </c>
      <c r="F113" s="86" t="n">
        <v>3402</v>
      </c>
      <c r="G113" s="86" t="n">
        <v>170</v>
      </c>
      <c r="H113" s="84" t="n">
        <v>16812.88</v>
      </c>
      <c r="J113" s="88" t="n">
        <v>0.0640705113719205</v>
      </c>
      <c r="K113" s="86" t="n">
        <v>51029</v>
      </c>
      <c r="L113" s="88" t="n">
        <v>0.06999941209900253</v>
      </c>
      <c r="M113" s="89" t="n">
        <v>73.46364501679732</v>
      </c>
      <c r="N113" s="86" t="n">
        <v>107</v>
      </c>
    </row>
    <row r="114">
      <c r="A114" s="83" t="inlineStr">
        <is>
          <t>December 2 - 31, 2025 (30d)</t>
        </is>
      </c>
      <c r="B114" s="81" t="n"/>
      <c r="C114" s="82" t="n"/>
      <c r="D114" s="84" t="n">
        <v>357240.96</v>
      </c>
      <c r="E114" s="86" t="n">
        <v>4230</v>
      </c>
      <c r="F114" s="86" t="n">
        <v>3971</v>
      </c>
      <c r="G114" s="86" t="n">
        <v>259</v>
      </c>
      <c r="H114" s="84" t="n">
        <v>28943.06</v>
      </c>
      <c r="J114" s="88" t="n">
        <v>0.0810183132415723</v>
      </c>
      <c r="K114" s="86" t="n">
        <v>58825</v>
      </c>
      <c r="L114" s="88" t="n">
        <v>0.07190820229494263</v>
      </c>
      <c r="M114" s="89" t="n">
        <v>84.45412765957447</v>
      </c>
      <c r="N114" s="86" t="n">
        <v>337</v>
      </c>
    </row>
    <row r="115">
      <c r="A115" s="90" t="inlineStr">
        <is>
          <t>account data, Amazon parent B0H6335KNV plus any of this product's child ASINs account data lists on their own, UTC days. Lift above uses these actual sales (2.49x; the ad-spend estimate was 2.49x).</t>
        </is>
      </c>
    </row>
    <row r="116" ht="30" customHeight="1">
      <c r="A116" s="91" t="inlineStr">
        <is>
          <t>Deals we ran or scheduled, Nov 1 - Dec 5, 2025 (deal records promotions; scheduled deal price not in the feed. price history price = lowest Buy Box seen during the deal, an observation for the hero child only, not the scheduled deal price): Lightning Deal 11-03 to 11-04 (cancelled, 77 variations); Lightning Deal 11-13 to 11-14 (cancelled, 77 variations); Best Deal 11-20 to 12-02 (ran, 78 variations, 2,927 units; price history lowest Buy Box during it $75.99 on B0CQ2XQF9N).</t>
        </is>
      </c>
    </row>
    <row r="117" ht="18" customHeight="1">
      <c r="A117" s="92" t="inlineStr">
        <is>
          <t>BFCM 2026 plan: Best Deal 11/19-11/30. Deal price and depth not yet given; not yet visible in Amazon's deal feed.</t>
        </is>
      </c>
    </row>
    <row r="118" ht="30" customHeight="1">
      <c r="A118" s="93" t="inlineStr">
        <is>
          <t>Amazon deal price now: Amazon reference still the pre-relaunch price: King live $99.99, reference $84.99, max deal $72.24 (28% below live); Queen $94.99 / $79.99 / $67.99; Cal King $99.99 / $84.99 / $72.24; Full $79.99 / $69.99 / $59.49; Twin $69.99 / $59.99 / $50.99. The Sep 26-30 Best Deal caps 8 SKUs. With the STR live, the $104.99 list price would allow a King deal up to $89.24.</t>
        </is>
      </c>
    </row>
    <row r="119" ht="30" customHeight="1">
      <c r="A119" s="93" t="inlineStr">
        <is>
          <t>Pre-BFCM deal decision: Oct 15 Lightning Deal: the team recommended cancelling; the Oct 22-28 Best Deal is decided as it comes up. Without the deals the Sep 26-30 ceiling expires Oct 30 (30-day lookback) or Nov 29 (60-day). STR cycle on hero sizes planned after Oct 15, finishing before Nov 12. Stock then: 6,768 at FBA and 4,746 inbound, next arrival Oct 16.</t>
        </is>
      </c>
    </row>
    <row r="120" ht="30" customHeight="1">
      <c r="A120" s="94" t="inlineStr">
        <is>
          <t>BFCM 2026 stock (account data, Oct 15): 7,216 units at Amazon + 5,817 already sent (no ETA in account data); selling 114.3 a day; need about 7,299 to Nov 30 with a 2.49x BFCM lift (own BFCM 2025 lift (account data)). Variations: 50 covered, 16 need the inbound in time, 10 short even with inbound (1,812 units), 3 out of stock now. Detail: BFCM Stock tab.</t>
        </is>
      </c>
    </row>
    <row r="121" ht="18" customHeight="1">
      <c r="A121" s="95" t="inlineStr">
        <is>
          <t>ASSUMED 2026 deal prices, until the team's final: B0CQ2XQF9N today $99.99; $84.99 at 15% off (Nov 19-26) and $79.99 at 20% off (Nov 27-30, Black Friday to Cyber Monday). Rule: team rule agreed Oct 15, 2026. Evidence: our BFCM 2025 deal on B0CQ2XQF9N (US, price history): $79.99 before, $75.99 during, 5% off; US competitors' median price cut in BFCM 2025: 26% (7 rivals). Amazon may use a lower reference price than today's (it sets it the day before the deal), which would lower the deal price.</t>
        </is>
      </c>
    </row>
    <row r="122" ht="30" customHeight="1">
      <c r="A122" s="91" t="inlineStr">
        <is>
          <t>Our hero child B0CQ2XQF9N in price history (market data, US): price $79.99 before (median Nov 1-19) → $75.99 in BFCM week (median Nov 20 - Dec 1), 5% lower; lowest $75.99; Best Seller Rank 7,795 → 6,218 (1.25x better). Price is price history's lowest new offer (price history holds no Buy Box series for our own ASINs; we are the only seller).</t>
        </is>
      </c>
    </row>
    <row r="123" ht="40" customHeight="1">
      <c r="A123" s="91" t="inlineStr">
        <is>
          <t>Stock in BFCM week 2025 (FBA inventory snapshots, child-ASIN level, revision 2): 4 of 79 variations hit zero FBA stock on at least one observed day; weighted by today's sales mix that is ~0.9% of variation-days lost. Most important: B0CQ32NPF5 2/9 days; B0CQ31N5Q5 5/9 days; B0CQ33P28L 2/9 days; B0CQ31X7S5 2/5 days. Days with no snapshot (Nov 26-27 and Dec 1, Cyber Monday), inferred from sales that day and the readings either side: 223 of 240 variation-days in stock, 3 out of stock, 13 unknown; 1 sold despite 0 units on both sides (stock arriving that day): B0CQ31X7S5 12-01 (2 sold). Inferred, not a stock reading.</t>
        </is>
      </c>
    </row>
    <row r="124">
      <c r="A124" s="90" t="inlineStr">
        <is>
          <t>market data visibility for our best child B0CQ2XQF9N: organic score None before BFCM 2025 → None in BFCM week; Prime Day 2026 80.3 → 115.8; Aug-Sep 2026 120.0.</t>
        </is>
      </c>
    </row>
    <row r="125"/>
    <row r="126" ht="22" customHeight="1">
      <c r="A126" s="65" t="inlineStr">
        <is>
          <t>4 ▼</t>
        </is>
      </c>
      <c r="B126" s="66" t="inlineStr">
        <is>
          <t>COMPETITOR LANDSCAPE (61 mapped)</t>
        </is>
      </c>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c r="AC126" s="67" t="n"/>
      <c r="AD126" s="67" t="n"/>
      <c r="AE126" s="67" t="n"/>
      <c r="AF126" s="67" t="n"/>
      <c r="AG126" s="67" t="n"/>
      <c r="AH126" s="67" t="n"/>
      <c r="AI126" s="67" t="n"/>
      <c r="AJ126" s="67" t="n"/>
      <c r="AK126" s="67" t="n"/>
      <c r="AL126" s="67" t="n"/>
      <c r="AM126" s="67" t="n"/>
      <c r="AN126" s="67" t="n"/>
      <c r="AO126" s="67" t="n"/>
      <c r="AP126" s="67" t="n"/>
      <c r="AQ126" s="67" t="n"/>
      <c r="AR126" s="67" t="n"/>
      <c r="AS126" s="67" t="n"/>
      <c r="AT126" s="67" t="n"/>
      <c r="AU126" s="67" t="n"/>
      <c r="AV126" s="67" t="n"/>
      <c r="AW126" s="67" t="n"/>
      <c r="AX126" s="67" t="n"/>
      <c r="AY126" s="67" t="n"/>
      <c r="AZ126" s="67" t="n"/>
      <c r="BA126" s="67" t="n"/>
      <c r="BB126" s="67" t="n"/>
      <c r="BC126" s="67" t="n"/>
      <c r="BD126" s="67" t="n"/>
      <c r="BE126" s="67" t="n"/>
      <c r="BF126" s="67" t="n"/>
      <c r="BG126" s="67" t="n"/>
      <c r="BH126" s="67" t="n"/>
      <c r="BI126" s="67" t="n"/>
      <c r="BJ126" s="67" t="n"/>
      <c r="BK126" s="67" t="n"/>
    </row>
    <row r="127" ht="20" customHeight="1">
      <c r="A127" s="96" t="inlineStr">
        <is>
          <t>▼▼▼</t>
        </is>
      </c>
      <c r="B127" s="97" t="inlineStr">
        <is>
          <t>COMPETITOR DATA BELOW: one row per competitor (53 direct first, then alternative material). Scroll right for listing, search, strikethrough now and BFCM 2025 history (deal type, price, discount, rank change).</t>
        </is>
      </c>
      <c r="C127" s="98" t="n"/>
      <c r="D127" s="98" t="n"/>
      <c r="E127" s="98" t="n"/>
      <c r="F127" s="98" t="n"/>
      <c r="G127" s="98" t="n"/>
      <c r="H127" s="98" t="n"/>
      <c r="I127" s="98" t="n"/>
      <c r="J127" s="98" t="n"/>
      <c r="K127" s="98" t="n"/>
      <c r="L127" s="98" t="n"/>
      <c r="M127" s="98" t="n"/>
      <c r="N127" s="98" t="n"/>
      <c r="O127" s="98" t="n"/>
      <c r="P127" s="98" t="n"/>
      <c r="Q127" s="98" t="n"/>
      <c r="R127" s="98" t="n"/>
      <c r="S127" s="98" t="n"/>
      <c r="T127" s="98" t="n"/>
      <c r="U127" s="98" t="n"/>
      <c r="V127" s="98" t="n"/>
      <c r="W127" s="98" t="n"/>
      <c r="X127" s="98" t="n"/>
      <c r="Y127" s="98" t="n"/>
      <c r="Z127" s="98" t="n"/>
      <c r="AA127" s="98" t="n"/>
      <c r="AB127" s="98" t="n"/>
      <c r="AC127" s="98" t="n"/>
      <c r="AD127" s="98" t="n"/>
      <c r="AE127" s="98" t="n"/>
      <c r="AF127" s="98" t="n"/>
      <c r="AG127" s="98" t="n"/>
      <c r="AH127" s="98" t="n"/>
      <c r="AI127" s="98" t="n"/>
      <c r="AJ127" s="98" t="n"/>
      <c r="AK127" s="98" t="n"/>
      <c r="AL127" s="98" t="n"/>
      <c r="AM127" s="98" t="n"/>
      <c r="AN127" s="98" t="n"/>
      <c r="AO127" s="98" t="n"/>
      <c r="AP127" s="98" t="n"/>
      <c r="AQ127" s="98" t="n"/>
      <c r="AR127" s="98" t="n"/>
      <c r="AS127" s="98" t="n"/>
      <c r="AT127" s="98" t="n"/>
      <c r="AU127" s="98" t="n"/>
      <c r="AV127" s="98" t="n"/>
      <c r="AW127" s="98" t="n"/>
      <c r="AX127" s="98" t="n"/>
      <c r="AY127" s="98" t="n"/>
      <c r="AZ127" s="98" t="n"/>
      <c r="BA127" s="98" t="n"/>
      <c r="BB127" s="98" t="n"/>
      <c r="BC127" s="98" t="n"/>
      <c r="BD127" s="98" t="n"/>
      <c r="BE127" s="98" t="n"/>
      <c r="BF127" s="98" t="n"/>
      <c r="BG127" s="98" t="n"/>
      <c r="BH127" s="98" t="n"/>
      <c r="BI127" s="98" t="n"/>
      <c r="BJ127" s="98" t="n"/>
      <c r="BK127" s="98" t="n"/>
    </row>
    <row r="128">
      <c r="A128" s="99" t="inlineStr">
        <is>
          <t>COMPETITOR</t>
        </is>
      </c>
      <c r="L128" s="100" t="inlineStr">
        <is>
          <t>LISTING - catalog data</t>
        </is>
      </c>
      <c r="M128" s="101" t="inlineStr">
        <is>
          <t>SEARCH STRATEGY - market data search data</t>
        </is>
      </c>
      <c r="N128" s="102" t="inlineStr">
        <is>
          <t>PRICE &amp; SALES - market data snapshot (date per row)</t>
        </is>
      </c>
      <c r="AA128" s="100" t="inlineStr">
        <is>
          <t>LISTING - catalog data</t>
        </is>
      </c>
      <c r="AD128" s="101" t="inlineStr">
        <is>
          <t>SEARCH STRATEGY - market data search data</t>
        </is>
      </c>
      <c r="AU128" s="103" t="inlineStr">
        <is>
          <t>STR NOW - Amazon page check (Oct 13, P1 + P2)</t>
        </is>
      </c>
      <c r="BB128" s="104" t="inlineStr">
        <is>
          <t>BFCM 2025 - price history (P1 filled; yellow = not pulled yet)</t>
        </is>
      </c>
    </row>
    <row r="129" ht="48" customHeight="1">
      <c r="A129" s="26" t="inlineStr">
        <is>
          <t>Image</t>
        </is>
      </c>
      <c r="B129" s="26" t="inlineStr">
        <is>
          <t>Brand</t>
        </is>
      </c>
      <c r="C129" s="26" t="inlineStr">
        <is>
          <t>Product title</t>
        </is>
      </c>
      <c r="D129" s="26" t="inlineStr">
        <is>
          <t>Tier</t>
        </is>
      </c>
      <c r="E129" s="26" t="inlineStr">
        <is>
          <t>Competitor type</t>
        </is>
      </c>
      <c r="F129" s="26" t="inlineStr">
        <is>
          <t>Material</t>
        </is>
      </c>
      <c r="G129" s="26" t="inlineStr">
        <is>
          <t>Why this type</t>
        </is>
      </c>
      <c r="H129" s="26" t="inlineStr">
        <is>
          <t>Parent ASIN</t>
        </is>
      </c>
      <c r="I129" s="26" t="inlineStr">
        <is>
          <t>Tracked child ASIN</t>
        </is>
      </c>
      <c r="J129" s="26" t="inlineStr">
        <is>
          <t>Size</t>
        </is>
      </c>
      <c r="K129" s="26" t="inlineStr">
        <is>
          <t>Colour</t>
        </is>
      </c>
      <c r="L129" s="26" t="inlineStr">
        <is>
          <t>Variations</t>
        </is>
      </c>
      <c r="M129" s="26" t="inlineStr">
        <is>
          <t>Hero child ASINs (share of their visibility)</t>
        </is>
      </c>
      <c r="N129" s="26" t="inlineStr">
        <is>
          <t>Price ($)</t>
        </is>
      </c>
      <c r="O129" s="26" t="inlineStr">
        <is>
          <t>List Price ($)</t>
        </is>
      </c>
      <c r="P129" s="26" t="inlineStr">
        <is>
          <t>List Price % over</t>
        </is>
      </c>
      <c r="Q129" s="26" t="inlineStr">
        <is>
          <t>STR band</t>
        </is>
      </c>
      <c r="R129" s="26" t="inlineStr">
        <is>
          <t>Our price, same size ($)</t>
        </is>
      </c>
      <c r="S129" s="26" t="inlineStr">
        <is>
          <t>Their price vs ours</t>
        </is>
      </c>
      <c r="T129" s="26" t="inlineStr">
        <is>
          <t>Comparison basis</t>
        </is>
      </c>
      <c r="U129" s="26" t="inlineStr">
        <is>
          <t>BSR</t>
        </is>
      </c>
      <c r="V129" s="26" t="inlineStr">
        <is>
          <t>Est weekly units</t>
        </is>
      </c>
      <c r="W129" s="26" t="inlineStr">
        <is>
          <t>Est monthly revenue ($)</t>
        </is>
      </c>
      <c r="X129" s="26" t="inlineStr">
        <is>
          <t>Rating</t>
        </is>
      </c>
      <c r="Y129" s="26" t="inlineStr">
        <is>
          <t>Reviews</t>
        </is>
      </c>
      <c r="Z129" s="26" t="inlineStr">
        <is>
          <t>Snapshot date</t>
        </is>
      </c>
      <c r="AA129" s="26" t="inlineStr">
        <is>
          <t>Listed</t>
        </is>
      </c>
      <c r="AB129" s="26" t="inlineStr">
        <is>
          <t>Fulfil.</t>
        </is>
      </c>
      <c r="AC129" s="26" t="inlineStr">
        <is>
          <t>Seller country</t>
        </is>
      </c>
      <c r="AD129" s="26" t="inlineStr">
        <is>
          <t>search data 7d traffic</t>
        </is>
      </c>
      <c r="AE129" s="26" t="inlineStr">
        <is>
          <t>Keywords ranked</t>
        </is>
      </c>
      <c r="AF129" s="26" t="inlineStr">
        <is>
          <t>Organic share of traffic</t>
        </is>
      </c>
      <c r="AG129" s="26" t="inlineStr">
        <is>
          <t>Ad share of traffic</t>
        </is>
      </c>
      <c r="AH129" s="26" t="inlineStr">
        <is>
          <t>Top keyword</t>
        </is>
      </c>
      <c r="AI129" s="26" t="inlineStr">
        <is>
          <t>SP reach</t>
        </is>
      </c>
      <c r="AJ129" s="26" t="inlineStr">
        <is>
          <t>SB reach</t>
        </is>
      </c>
      <c r="AK129" s="26" t="inlineStr">
        <is>
          <t>SB video reach</t>
        </is>
      </c>
      <c r="AL129" s="26" t="inlineStr">
        <is>
          <t>Amazon's Choice reach</t>
        </is>
      </c>
      <c r="AM129" s="26" t="inlineStr">
        <is>
          <t>Shared keywords</t>
        </is>
      </c>
      <c r="AN129" s="26" t="inlineStr">
        <is>
          <t>We win</t>
        </is>
      </c>
      <c r="AO129" s="26" t="inlineStr">
        <is>
          <t>We lose</t>
        </is>
      </c>
      <c r="AP129" s="26" t="inlineStr">
        <is>
          <t>Their keywords we miss</t>
        </is>
      </c>
      <c r="AQ129" s="26" t="inlineStr">
        <is>
          <t>KWs they advertise, we don't</t>
        </is>
      </c>
      <c r="AR129" s="26" t="inlineStr">
        <is>
          <t>KWs they out-advertise us</t>
        </is>
      </c>
      <c r="AS129" s="26" t="inlineStr">
        <is>
          <t>Prime Day 2026 organic vis lift</t>
        </is>
      </c>
      <c r="AT129" s="26" t="inlineStr">
        <is>
          <t>Organic trend (Aug-Sep vs Q2)</t>
        </is>
      </c>
      <c r="AU129" s="26" t="inlineStr">
        <is>
          <t>STR showing now? (Y/N)</t>
        </is>
      </c>
      <c r="AV129" s="26" t="inlineStr">
        <is>
          <t>STR label</t>
        </is>
      </c>
      <c r="AW129" s="26" t="inlineStr">
        <is>
          <t>Strikethrough price ($)</t>
        </is>
      </c>
      <c r="AX129" s="26" t="inlineStr">
        <is>
          <t>Page price at check ($)</t>
        </is>
      </c>
      <c r="AY129" s="26" t="inlineStr">
        <is>
          <t>Deal / coupon now</t>
        </is>
      </c>
      <c r="AZ129" s="26" t="inlineStr">
        <is>
          <t>Orderable now (Y/N)</t>
        </is>
      </c>
      <c r="BA129" s="26" t="inlineStr">
        <is>
          <t>Checked (ET)</t>
        </is>
      </c>
      <c r="BB129" s="26" t="inlineStr">
        <is>
          <t>BFCM 2025 deal type</t>
        </is>
      </c>
      <c r="BC129" s="26" t="inlineStr">
        <is>
          <t>BFCM 2025 deal dates</t>
        </is>
      </c>
      <c r="BD129" s="26" t="inlineStr">
        <is>
          <t>Pre-event price ($)</t>
        </is>
      </c>
      <c r="BE129" s="26" t="inlineStr">
        <is>
          <t>BFCM 2025 low ($)</t>
        </is>
      </c>
      <c r="BF129" s="26" t="inlineStr">
        <is>
          <t>BFCM 2025 discount</t>
        </is>
      </c>
      <c r="BG129" s="26" t="inlineStr">
        <is>
          <t>BSR pre-event</t>
        </is>
      </c>
      <c r="BH129" s="26" t="inlineStr">
        <is>
          <t>BSR BFCM wk</t>
        </is>
      </c>
      <c r="BI129" s="26" t="inlineStr">
        <is>
          <t>BSR lift (x)</t>
        </is>
      </c>
      <c r="BJ129" s="26" t="inlineStr">
        <is>
          <t>OOS in BFCM? (Y/N)</t>
        </is>
      </c>
      <c r="BK129" s="26" t="inlineStr">
        <is>
          <t>Notes</t>
        </is>
      </c>
    </row>
    <row r="130" ht="62" customHeight="1">
      <c r="A130" s="12">
        <f>_xlfn.IMAGE("https://images-na.ssl-images-amazon.com/images/I/81L2xb5ly6L.jpg")</f>
        <v/>
      </c>
      <c r="B130" s="105" t="inlineStr">
        <is>
          <t>Bedsure</t>
        </is>
      </c>
      <c r="C130" s="39" t="inlineStr">
        <is>
          <t>Bedsure PureWoven 100% Rayon Derived from Bamboo, Queen Sheets, 4 Pieces</t>
        </is>
      </c>
      <c r="D130" s="105" t="inlineStr">
        <is>
          <t>Aspirational</t>
        </is>
      </c>
      <c r="E130" s="106" t="inlineStr">
        <is>
          <t>Direct</t>
        </is>
      </c>
      <c r="F130" s="105" t="inlineStr">
        <is>
          <t>Bamboo viscose</t>
        </is>
      </c>
      <c r="G130" s="39" t="inlineStr">
        <is>
          <t>Same product (sheet set) in the same material family: Bamboo viscose (product page material: Rayon Derived from Bamboo); ours: our listing: viscose from bamboo.</t>
        </is>
      </c>
      <c r="H130" s="107" t="inlineStr">
        <is>
          <t>B0BZ8T5BJ6</t>
        </is>
      </c>
      <c r="I130" s="107" t="inlineStr">
        <is>
          <t>B07YK8VTJV</t>
        </is>
      </c>
      <c r="J130" s="105" t="inlineStr">
        <is>
          <t>Queen</t>
        </is>
      </c>
      <c r="K130" s="105" t="inlineStr">
        <is>
          <t>02 - White</t>
        </is>
      </c>
      <c r="L130" s="108" t="n">
        <v>131</v>
      </c>
      <c r="M130" s="39" t="inlineStr">
        <is>
          <t>B07YKCZHGK (29%), B07YK8VTJV (19%), B07YKCQBBL (14%), B07YKCB6GL (9%), B08CXWHQT2 (6%)</t>
        </is>
      </c>
      <c r="N130" s="109" t="n">
        <v>62.99</v>
      </c>
      <c r="O130" s="109" t="n">
        <v>69.98999999999999</v>
      </c>
      <c r="P130" s="110">
        <f>IF(AND(ISNUMBER(O130),ISNUMBER(N130),N(N130)&gt;0),O130/N130-1,"")</f>
        <v/>
      </c>
      <c r="Q130" s="111">
        <f>IF(P130="","No List Price",IF(P130&lt;=0,"At/below price",IF(P130&lt;=0.12,"&lt;=12% STR zone",IF(P130&lt;=0.25,"12-25%","&gt;25% over"))))</f>
        <v/>
      </c>
      <c r="R130" s="109" t="n">
        <v>94.98999999999999</v>
      </c>
      <c r="S130" s="112">
        <f>IF(AND(ISNUMBER(N130),ISNUMBER(R130),N(R130)&gt;0),N130/R130-1,"")</f>
        <v/>
      </c>
      <c r="T130" s="39" t="inlineStr">
        <is>
          <t>Same size (Queen). Ours live: catalog price, 2026-10-13; 15 children</t>
        </is>
      </c>
      <c r="U130" s="108" t="n">
        <v>256</v>
      </c>
      <c r="V130" s="108" t="n">
        <v>809</v>
      </c>
      <c r="W130" s="113">
        <f>IF(AND(ISNUMBER(N130),ISNUMBER(V130)),N130*V130*52/12,"")</f>
        <v/>
      </c>
      <c r="X130" s="114" t="n">
        <v>4.4</v>
      </c>
      <c r="Y130" s="108" t="n">
        <v>65061</v>
      </c>
      <c r="Z130" s="115" t="n">
        <v>46307</v>
      </c>
      <c r="AA130" s="115" t="n">
        <v>43348</v>
      </c>
      <c r="AB130" s="105" t="inlineStr">
        <is>
          <t>FBA</t>
        </is>
      </c>
      <c r="AC130" s="105" t="inlineStr">
        <is>
          <t>US</t>
        </is>
      </c>
      <c r="AD130" s="108" t="n">
        <v>2166046</v>
      </c>
      <c r="AE130" s="108" t="n">
        <v>6935</v>
      </c>
      <c r="AF130" s="116" t="n">
        <v>0.5902383405984899</v>
      </c>
      <c r="AG130" s="116" t="n">
        <v>0.4097618027040986</v>
      </c>
      <c r="AH130" s="39" t="inlineStr">
        <is>
          <t>bamboo sheets</t>
        </is>
      </c>
      <c r="AI130" s="116" t="n">
        <v>0.9388327856379781</v>
      </c>
      <c r="AJ130" s="116" t="n">
        <v>0.9371818511702891</v>
      </c>
      <c r="AK130" s="116" t="n">
        <v>0.6488394059959945</v>
      </c>
      <c r="AL130" s="116" t="n">
        <v>0.3206907886536112</v>
      </c>
      <c r="AM130" s="108" t="n">
        <v>1824</v>
      </c>
      <c r="AN130" s="108" t="n">
        <v>174</v>
      </c>
      <c r="AO130" s="108" t="n">
        <v>1559</v>
      </c>
      <c r="AP130" s="108" t="n">
        <v>5111</v>
      </c>
      <c r="AQ130" s="108" t="n">
        <v>2778</v>
      </c>
      <c r="AR130" s="108" t="n">
        <v>204</v>
      </c>
      <c r="AS130" s="117" t="n">
        <v>1.066623404715553</v>
      </c>
      <c r="AT130" s="112" t="n">
        <v>-0.05727665706051865</v>
      </c>
      <c r="AU130" s="118" t="inlineStr">
        <is>
          <t>Y</t>
        </is>
      </c>
      <c r="AV130" s="118" t="inlineStr">
        <is>
          <t>List Price</t>
        </is>
      </c>
      <c r="AW130" s="119" t="n">
        <v>69.98999999999999</v>
      </c>
      <c r="AX130" s="119" t="n">
        <v>62.99</v>
      </c>
      <c r="AY130" s="118" t="inlineStr">
        <is>
          <t>none</t>
        </is>
      </c>
      <c r="AZ130" s="118" t="inlineStr">
        <is>
          <t>Y</t>
        </is>
      </c>
      <c r="BA130" s="118" t="inlineStr">
        <is>
          <t>2026-10-13 12:10:35</t>
        </is>
      </c>
      <c r="BB130" s="120" t="inlineStr">
        <is>
          <t>Prime Exclusive Discount</t>
        </is>
      </c>
      <c r="BC130" s="120" t="inlineStr">
        <is>
          <t>11-23 to 12-01</t>
        </is>
      </c>
      <c r="BD130" s="121" t="n">
        <v>66.48999999999999</v>
      </c>
      <c r="BE130" s="121" t="n">
        <v>55.99</v>
      </c>
      <c r="BF130" s="110">
        <f>IF(AND(ISNUMBER(BD130),ISNUMBER(BE130),N(BD130)&gt;0),1-BE130/BD130,"")</f>
        <v/>
      </c>
      <c r="BG130" s="122" t="n">
        <v>156</v>
      </c>
      <c r="BH130" s="122" t="n">
        <v>228</v>
      </c>
      <c r="BI130" s="123">
        <f>IF(AND(ISNUMBER(BG130),ISNUMBER(BH130),N(BH130)&gt;0),BG130/BH130,"")</f>
        <v/>
      </c>
      <c r="BJ130" s="120" t="inlineStr">
        <is>
          <t>N</t>
        </is>
      </c>
      <c r="BK130" s="120" t="inlineStr">
        <is>
          <t>Buy Box RAISED in BFCM week (median $69.99 vs $66.49 before); List Price $78.99</t>
        </is>
      </c>
    </row>
    <row r="131" ht="62" customHeight="1">
      <c r="A131" s="12">
        <f>_xlfn.IMAGE("https://images-na.ssl-images-amazon.com/images/I/91dfner9BkL.jpg")</f>
        <v/>
      </c>
      <c r="B131" s="105" t="inlineStr">
        <is>
          <t>Pure Bamboo</t>
        </is>
      </c>
      <c r="C131" s="39" t="inlineStr">
        <is>
          <t>Pure Bamboo King Sheets, Genuine 100% Organic Viscose Derived from Bamboo Bed Sheet Set, Luxuriously Soft &amp; Cooling, Double Stitching, 2 Year Quality Promise (King, Ivory)</t>
        </is>
      </c>
      <c r="D131" s="105" t="inlineStr">
        <is>
          <t>Aspirational</t>
        </is>
      </c>
      <c r="E131" s="106" t="inlineStr">
        <is>
          <t>Direct</t>
        </is>
      </c>
      <c r="F131" s="105" t="inlineStr">
        <is>
          <t>Bamboo viscose</t>
        </is>
      </c>
      <c r="G131" s="39" t="inlineStr">
        <is>
          <t>Same product (sheet set) in the same material family: Bamboo viscose (title: Pure Bamboo King Sheets, Genuine 100% Organic Viscose Derive); ours: our listing: viscose from bamboo.</t>
        </is>
      </c>
      <c r="H131" s="107" t="inlineStr">
        <is>
          <t>B0CZQ52MTQ</t>
        </is>
      </c>
      <c r="I131" s="107" t="inlineStr">
        <is>
          <t>B07DZTQ4JC</t>
        </is>
      </c>
      <c r="J131" s="105" t="inlineStr">
        <is>
          <t>King</t>
        </is>
      </c>
      <c r="K131" s="105" t="inlineStr">
        <is>
          <t>Ivory</t>
        </is>
      </c>
      <c r="L131" s="108" t="n">
        <v>181</v>
      </c>
      <c r="M131" s="39" t="inlineStr">
        <is>
          <t>B07MZ4GKZH (30%), B079RXWGSD (12%), B07DZTQ4JC (11%), B074CHDX7V (10%), B07DZMB498 (5%)</t>
        </is>
      </c>
      <c r="N131" s="109" t="n">
        <v>109.99</v>
      </c>
      <c r="O131" s="109" t="n"/>
      <c r="P131" s="110">
        <f>IF(AND(ISNUMBER(O131),ISNUMBER(N131),N(N131)&gt;0),O131/N131-1,"")</f>
        <v/>
      </c>
      <c r="Q131" s="111">
        <f>IF(P131="","No List Price",IF(P131&lt;=0,"At/below price",IF(P131&lt;=0.12,"&lt;=12% STR zone",IF(P131&lt;=0.25,"12-25%","&gt;25% over"))))</f>
        <v/>
      </c>
      <c r="R131" s="109" t="n">
        <v>99.98999999999999</v>
      </c>
      <c r="S131" s="112">
        <f>IF(AND(ISNUMBER(N131),ISNUMBER(R131),N(R131)&gt;0),N131/R131-1,"")</f>
        <v/>
      </c>
      <c r="T131" s="39" t="inlineStr">
        <is>
          <t>Same size (King). Ours live: catalog price, 2026-10-13; 15 children</t>
        </is>
      </c>
      <c r="U131" s="108" t="n">
        <v>304</v>
      </c>
      <c r="V131" s="108" t="n">
        <v>809</v>
      </c>
      <c r="W131" s="113">
        <f>IF(AND(ISNUMBER(N131),ISNUMBER(V131)),N131*V131*52/12,"")</f>
        <v/>
      </c>
      <c r="X131" s="114" t="n">
        <v>4.5</v>
      </c>
      <c r="Y131" s="108" t="n">
        <v>21927</v>
      </c>
      <c r="Z131" s="115" t="n">
        <v>46307</v>
      </c>
      <c r="AA131" s="115" t="n">
        <v>43281</v>
      </c>
      <c r="AB131" s="105" t="inlineStr">
        <is>
          <t>FBA</t>
        </is>
      </c>
      <c r="AC131" s="105" t="inlineStr">
        <is>
          <t>US</t>
        </is>
      </c>
      <c r="AD131" s="108" t="n">
        <v>2565055</v>
      </c>
      <c r="AE131" s="108" t="n">
        <v>8283</v>
      </c>
      <c r="AF131" s="116" t="n">
        <v>0.4648594811807159</v>
      </c>
      <c r="AG131" s="116" t="n">
        <v>0.5351407059497737</v>
      </c>
      <c r="AH131" s="39" t="inlineStr">
        <is>
          <t>bamboo sheets</t>
        </is>
      </c>
      <c r="AI131" s="116" t="n">
        <v>0.8806310196077667</v>
      </c>
      <c r="AJ131" s="116" t="n">
        <v>0.8210506207469236</v>
      </c>
      <c r="AK131" s="116" t="n">
        <v>0.8831019217911507</v>
      </c>
      <c r="AL131" s="116" t="n">
        <v>0.2663467255088098</v>
      </c>
      <c r="AM131" s="108" t="n">
        <v>1746</v>
      </c>
      <c r="AN131" s="108" t="n">
        <v>155</v>
      </c>
      <c r="AO131" s="108" t="n">
        <v>1506</v>
      </c>
      <c r="AP131" s="108" t="n">
        <v>6537</v>
      </c>
      <c r="AQ131" s="108" t="n">
        <v>3237</v>
      </c>
      <c r="AR131" s="108" t="n">
        <v>208</v>
      </c>
      <c r="AS131" s="117" t="n">
        <v>1.180104147961932</v>
      </c>
      <c r="AT131" s="112" t="n">
        <v>1.570823710546574</v>
      </c>
      <c r="AU131" s="118" t="inlineStr">
        <is>
          <t>N</t>
        </is>
      </c>
      <c r="AV131" s="118" t="inlineStr">
        <is>
          <t>none</t>
        </is>
      </c>
      <c r="AW131" s="124" t="n"/>
      <c r="AX131" s="119" t="n">
        <v>109.99</v>
      </c>
      <c r="AY131" s="118" t="inlineStr">
        <is>
          <t>none</t>
        </is>
      </c>
      <c r="AZ131" s="118" t="inlineStr">
        <is>
          <t>Y</t>
        </is>
      </c>
      <c r="BA131" s="118" t="inlineStr">
        <is>
          <t>2026-10-13 12:11:16</t>
        </is>
      </c>
      <c r="BB131" s="120" t="inlineStr">
        <is>
          <t>None</t>
        </is>
      </c>
      <c r="BC131" s="125" t="n"/>
      <c r="BD131" s="121" t="n">
        <v>109.99</v>
      </c>
      <c r="BE131" s="121" t="n">
        <v>109.99</v>
      </c>
      <c r="BF131" s="110">
        <f>IF(AND(ISNUMBER(BD131),ISNUMBER(BE131),N(BD131)&gt;0),1-BE131/BD131,"")</f>
        <v/>
      </c>
      <c r="BG131" s="122" t="n">
        <v>287</v>
      </c>
      <c r="BH131" s="122" t="n">
        <v>598</v>
      </c>
      <c r="BI131" s="123">
        <f>IF(AND(ISNUMBER(BG131),ISNUMBER(BH131),N(BH131)&gt;0),BG131/BH131,"")</f>
        <v/>
      </c>
      <c r="BJ131" s="120" t="inlineStr">
        <is>
          <t>N</t>
        </is>
      </c>
      <c r="BK131" s="120" t="inlineStr">
        <is>
          <t>List Price $139.99/$149.99</t>
        </is>
      </c>
    </row>
    <row r="132" ht="62" customHeight="1">
      <c r="A132" s="12">
        <f>_xlfn.IMAGE("https://images-na.ssl-images-amazon.com/images/I/71oEhkRYQ+L.jpg")</f>
        <v/>
      </c>
      <c r="B132" s="105" t="inlineStr">
        <is>
          <t>Hotel Sheets Direct</t>
        </is>
      </c>
      <c r="C132" s="39" t="inlineStr">
        <is>
          <t>Hotel Sheets Direct 4 Piece Bed Sheet Set Queen Size, 100% Viscose Derived from Bamboo Sheets Set with 2 Pillowcases, Cooling &amp; Breathable Luxury Bedding, Moisture-Wicking &amp; Silky Soft Texture, White</t>
        </is>
      </c>
      <c r="D132" s="105" t="inlineStr">
        <is>
          <t>Aspirational</t>
        </is>
      </c>
      <c r="E132" s="106" t="inlineStr">
        <is>
          <t>Direct</t>
        </is>
      </c>
      <c r="F132" s="105" t="inlineStr">
        <is>
          <t>Bamboo viscose</t>
        </is>
      </c>
      <c r="G132" s="39" t="inlineStr">
        <is>
          <t>Same product (sheet set) in the same material family: Bamboo viscose (title: Hotel Sheets Direct 4 Piece Bed Sheet Set Queen Size, 100% V); ours: our listing: viscose from bamboo.</t>
        </is>
      </c>
      <c r="H132" s="107" t="inlineStr">
        <is>
          <t>B0G5N99X9R</t>
        </is>
      </c>
      <c r="I132" s="107" t="inlineStr">
        <is>
          <t>B01N9L2O9P</t>
        </is>
      </c>
      <c r="J132" s="105" t="inlineStr">
        <is>
          <t>Queen</t>
        </is>
      </c>
      <c r="K132" s="105" t="inlineStr">
        <is>
          <t>White</t>
        </is>
      </c>
      <c r="L132" s="108" t="n">
        <v>61</v>
      </c>
      <c r="M132" s="39" t="inlineStr">
        <is>
          <t>B01N9L2O9P (30%), B01N0UB2GO (20%), B072WD91XH (10%), B072WV76WK (6%), B07RJBYJ9L (5%)</t>
        </is>
      </c>
      <c r="N132" s="109" t="n">
        <v>79.98999999999999</v>
      </c>
      <c r="O132" s="109" t="n"/>
      <c r="P132" s="110">
        <f>IF(AND(ISNUMBER(O132),ISNUMBER(N132),N(N132)&gt;0),O132/N132-1,"")</f>
        <v/>
      </c>
      <c r="Q132" s="111">
        <f>IF(P132="","No List Price",IF(P132&lt;=0,"At/below price",IF(P132&lt;=0.12,"&lt;=12% STR zone",IF(P132&lt;=0.25,"12-25%","&gt;25% over"))))</f>
        <v/>
      </c>
      <c r="R132" s="109" t="n">
        <v>94.98999999999999</v>
      </c>
      <c r="S132" s="112">
        <f>IF(AND(ISNUMBER(N132),ISNUMBER(R132),N(R132)&gt;0),N132/R132-1,"")</f>
        <v/>
      </c>
      <c r="T132" s="39" t="inlineStr">
        <is>
          <t>Same size (Queen). Ours live: catalog price, 2026-10-13; 15 children</t>
        </is>
      </c>
      <c r="U132" s="108" t="n">
        <v>2984</v>
      </c>
      <c r="V132" s="108" t="n">
        <v>347</v>
      </c>
      <c r="W132" s="113">
        <f>IF(AND(ISNUMBER(N132),ISNUMBER(V132)),N132*V132*52/12,"")</f>
        <v/>
      </c>
      <c r="X132" s="114" t="n">
        <v>4.4</v>
      </c>
      <c r="Y132" s="108" t="n">
        <v>37179</v>
      </c>
      <c r="Z132" s="115" t="n">
        <v>46307</v>
      </c>
      <c r="AA132" s="115" t="n">
        <v>42729</v>
      </c>
      <c r="AB132" s="105" t="inlineStr">
        <is>
          <t>FBA</t>
        </is>
      </c>
      <c r="AC132" s="105" t="inlineStr">
        <is>
          <t>US</t>
        </is>
      </c>
      <c r="AD132" s="108" t="n">
        <v>451969</v>
      </c>
      <c r="AE132" s="108" t="n">
        <v>4094</v>
      </c>
      <c r="AF132" s="116" t="n">
        <v>0.6071584272372669</v>
      </c>
      <c r="AG132" s="116" t="n">
        <v>0.3928415727627336</v>
      </c>
      <c r="AH132" s="39" t="inlineStr">
        <is>
          <t>hotel</t>
        </is>
      </c>
      <c r="AI132" s="116" t="n">
        <v>0.9036371963563873</v>
      </c>
      <c r="AJ132" s="116" t="n">
        <v>0.4767871247806819</v>
      </c>
      <c r="AK132" s="116" t="n">
        <v>0.1264024745059949</v>
      </c>
      <c r="AL132" s="116" t="n">
        <v>0.3227168234989568</v>
      </c>
      <c r="AM132" s="108" t="n">
        <v>1566</v>
      </c>
      <c r="AN132" s="108" t="n">
        <v>614</v>
      </c>
      <c r="AO132" s="108" t="n">
        <v>775</v>
      </c>
      <c r="AP132" s="108" t="n">
        <v>2528</v>
      </c>
      <c r="AQ132" s="108" t="n">
        <v>616</v>
      </c>
      <c r="AR132" s="108" t="n">
        <v>111</v>
      </c>
      <c r="AS132" s="117" t="n">
        <v>1.799620493358634</v>
      </c>
      <c r="AT132" s="112" t="n">
        <v>0.004829621679635077</v>
      </c>
      <c r="AU132" s="118" t="inlineStr">
        <is>
          <t>N</t>
        </is>
      </c>
      <c r="AV132" s="118" t="inlineStr">
        <is>
          <t>none</t>
        </is>
      </c>
      <c r="AW132" s="124" t="n"/>
      <c r="AX132" s="119" t="n">
        <v>79.98999999999999</v>
      </c>
      <c r="AY132" s="118" t="inlineStr">
        <is>
          <t>none</t>
        </is>
      </c>
      <c r="AZ132" s="118" t="inlineStr">
        <is>
          <t>Y</t>
        </is>
      </c>
      <c r="BA132" s="118" t="inlineStr">
        <is>
          <t>2026-10-13 12:10:54</t>
        </is>
      </c>
      <c r="BB132" s="120" t="inlineStr">
        <is>
          <t>Price cut only</t>
        </is>
      </c>
      <c r="BC132" s="120" t="inlineStr">
        <is>
          <t>11-20 to 12-01</t>
        </is>
      </c>
      <c r="BD132" s="121" t="n">
        <v>72.98999999999999</v>
      </c>
      <c r="BE132" s="121" t="n">
        <v>57.99</v>
      </c>
      <c r="BF132" s="110">
        <f>IF(AND(ISNUMBER(BD132),ISNUMBER(BE132),N(BD132)&gt;0),1-BE132/BD132,"")</f>
        <v/>
      </c>
      <c r="BG132" s="122" t="n">
        <v>3871</v>
      </c>
      <c r="BH132" s="122" t="n">
        <v>1703</v>
      </c>
      <c r="BI132" s="123">
        <f>IF(AND(ISNUMBER(BG132),ISNUMBER(BH132),N(BH132)&gt;0),BG132/BH132,"")</f>
        <v/>
      </c>
      <c r="BJ132" s="120" t="inlineStr">
        <is>
          <t>N</t>
        </is>
      </c>
      <c r="BK132" s="120" t="inlineStr">
        <is>
          <t>Lightning Deal 11-07 to 11-11; Coupon 20% (11-12 to 12-02); List Price $72.99</t>
        </is>
      </c>
    </row>
    <row r="133" ht="62" customHeight="1">
      <c r="A133" s="12">
        <f>_xlfn.IMAGE("https://images-na.ssl-images-amazon.com/images/I/71AudKmD2JL.jpg")</f>
        <v/>
      </c>
      <c r="B133" s="105" t="inlineStr">
        <is>
          <t>Love's cabin</t>
        </is>
      </c>
      <c r="C133" s="39" t="inlineStr">
        <is>
          <t>Love's cabin 4 Piece Queen Sheet Set, 100% Rayon Derived from Bamboo, Cooling &amp; Breathable, Soft Silky Deep Pocket up to 16", Hotel Luxury Bedding for Hot Sleepers, Beige</t>
        </is>
      </c>
      <c r="D133" s="105" t="inlineStr">
        <is>
          <t>Beatable</t>
        </is>
      </c>
      <c r="E133" s="106" t="inlineStr">
        <is>
          <t>Direct</t>
        </is>
      </c>
      <c r="F133" s="105" t="inlineStr">
        <is>
          <t>Bamboo viscose</t>
        </is>
      </c>
      <c r="G133" s="39" t="inlineStr">
        <is>
          <t>Same product (sheet set) in the same material family: Bamboo viscose (title: Love's cabin 4 Piece Queen Sheet Set, 100% Rayon Derived fro); ours: our listing: viscose from bamboo.</t>
        </is>
      </c>
      <c r="H133" s="107" t="inlineStr">
        <is>
          <t>B0DN1GGFL7</t>
        </is>
      </c>
      <c r="I133" s="107" t="inlineStr">
        <is>
          <t>B0DN1DVKH5</t>
        </is>
      </c>
      <c r="J133" s="105" t="inlineStr">
        <is>
          <t>Queen</t>
        </is>
      </c>
      <c r="K133" s="105" t="inlineStr">
        <is>
          <t>Beige</t>
        </is>
      </c>
      <c r="L133" s="108" t="n">
        <v>176</v>
      </c>
      <c r="M133" s="39" t="inlineStr">
        <is>
          <t>B0DN1DVKH5 (43%), B0DN1H6C88 (10%), B0DN1D4YKB (9%), B0DN1H5PQ6 (8%), B0DN1DRRDN (7%)</t>
        </is>
      </c>
      <c r="N133" s="109" t="n">
        <v>37.99</v>
      </c>
      <c r="O133" s="109" t="n">
        <v>44.99</v>
      </c>
      <c r="P133" s="110">
        <f>IF(AND(ISNUMBER(O133),ISNUMBER(N133),N(N133)&gt;0),O133/N133-1,"")</f>
        <v/>
      </c>
      <c r="Q133" s="111">
        <f>IF(P133="","No List Price",IF(P133&lt;=0,"At/below price",IF(P133&lt;=0.12,"&lt;=12% STR zone",IF(P133&lt;=0.25,"12-25%","&gt;25% over"))))</f>
        <v/>
      </c>
      <c r="R133" s="109" t="n">
        <v>94.98999999999999</v>
      </c>
      <c r="S133" s="112">
        <f>IF(AND(ISNUMBER(N133),ISNUMBER(R133),N(R133)&gt;0),N133/R133-1,"")</f>
        <v/>
      </c>
      <c r="T133" s="39" t="inlineStr">
        <is>
          <t>Same size (Queen). Ours live: catalog price, 2026-10-13; 15 children</t>
        </is>
      </c>
      <c r="U133" s="108" t="n">
        <v>501</v>
      </c>
      <c r="V133" s="108" t="n">
        <v>924</v>
      </c>
      <c r="W133" s="113">
        <f>IF(AND(ISNUMBER(N133),ISNUMBER(V133)),N133*V133*52/12,"")</f>
        <v/>
      </c>
      <c r="X133" s="114" t="n">
        <v>4.4</v>
      </c>
      <c r="Y133" s="108" t="n">
        <v>1900</v>
      </c>
      <c r="Z133" s="115" t="n">
        <v>46307</v>
      </c>
      <c r="AA133" s="115" t="n">
        <v>45694</v>
      </c>
      <c r="AB133" s="105" t="inlineStr">
        <is>
          <t>FBA</t>
        </is>
      </c>
      <c r="AC133" s="105" t="inlineStr">
        <is>
          <t>CN</t>
        </is>
      </c>
      <c r="AD133" s="108" t="n">
        <v>906346</v>
      </c>
      <c r="AE133" s="108" t="n">
        <v>4326</v>
      </c>
      <c r="AF133" s="116" t="n">
        <v>0.9184238707954808</v>
      </c>
      <c r="AG133" s="116" t="n">
        <v>0.08157613626584115</v>
      </c>
      <c r="AH133" s="39" t="inlineStr">
        <is>
          <t>bamboo sheets</t>
        </is>
      </c>
      <c r="AI133" s="116" t="n">
        <v>0.888575665364</v>
      </c>
      <c r="AJ133" s="116" t="n">
        <v>0.05086247415446198</v>
      </c>
      <c r="AK133" s="116" t="n"/>
      <c r="AL133" s="116" t="n">
        <v>0.4089034430559632</v>
      </c>
      <c r="AM133" s="108" t="n">
        <v>1556</v>
      </c>
      <c r="AN133" s="108" t="n">
        <v>267</v>
      </c>
      <c r="AO133" s="108" t="n">
        <v>1198</v>
      </c>
      <c r="AP133" s="108" t="n">
        <v>2770</v>
      </c>
      <c r="AQ133" s="108" t="n">
        <v>844</v>
      </c>
      <c r="AR133" s="108" t="n">
        <v>52</v>
      </c>
      <c r="AS133" s="117" t="n">
        <v>0.8953669259384511</v>
      </c>
      <c r="AT133" s="112" t="n">
        <v>0.5388519228600428</v>
      </c>
      <c r="AU133" s="118" t="inlineStr">
        <is>
          <t>Y</t>
        </is>
      </c>
      <c r="AV133" s="118" t="inlineStr">
        <is>
          <t>List Price</t>
        </is>
      </c>
      <c r="AW133" s="119" t="n">
        <v>44.99</v>
      </c>
      <c r="AX133" s="119" t="n">
        <v>37.99</v>
      </c>
      <c r="AY133" s="118" t="inlineStr">
        <is>
          <t>none</t>
        </is>
      </c>
      <c r="AZ133" s="118" t="inlineStr">
        <is>
          <t>Y</t>
        </is>
      </c>
      <c r="BA133" s="118" t="inlineStr">
        <is>
          <t>2026-10-13 12:11:04</t>
        </is>
      </c>
      <c r="BB133" s="120" t="inlineStr">
        <is>
          <t>Prime Exclusive Discount</t>
        </is>
      </c>
      <c r="BC133" s="120" t="inlineStr">
        <is>
          <t>11-03 to 12-05</t>
        </is>
      </c>
      <c r="BD133" s="121" t="n">
        <v>36.99</v>
      </c>
      <c r="BE133" s="121" t="n">
        <v>29.99</v>
      </c>
      <c r="BF133" s="110">
        <f>IF(AND(ISNUMBER(BD133),ISNUMBER(BE133),N(BD133)&gt;0),1-BE133/BD133,"")</f>
        <v/>
      </c>
      <c r="BG133" s="122" t="n">
        <v>32899</v>
      </c>
      <c r="BH133" s="122" t="n">
        <v>33089</v>
      </c>
      <c r="BI133" s="123">
        <f>IF(AND(ISNUMBER(BG133),ISNUMBER(BH133),N(BH133)&gt;0),BG133/BH133,"")</f>
        <v/>
      </c>
      <c r="BJ133" s="120" t="inlineStr">
        <is>
          <t>N</t>
        </is>
      </c>
      <c r="BK133" s="120" t="inlineStr">
        <is>
          <t>Prime Exclusive already running before BFCM week; List Price $49.99</t>
        </is>
      </c>
    </row>
    <row r="134" ht="62" customHeight="1">
      <c r="A134" s="12">
        <f>_xlfn.IMAGE("https://images-na.ssl-images-amazon.com/images/I/61-LBYlR5KL.jpg")</f>
        <v/>
      </c>
      <c r="B134" s="105" t="inlineStr">
        <is>
          <t>KRIMANO</t>
        </is>
      </c>
      <c r="C134" s="39" t="inlineStr">
        <is>
          <t>KRIMANO Bamboo Viscose Sheet Set King Size, Cooling Sheets Bed Set</t>
        </is>
      </c>
      <c r="D134" s="105" t="inlineStr">
        <is>
          <t>Beatable</t>
        </is>
      </c>
      <c r="E134" s="106" t="inlineStr">
        <is>
          <t>Direct</t>
        </is>
      </c>
      <c r="F134" s="105" t="inlineStr">
        <is>
          <t>Bamboo viscose</t>
        </is>
      </c>
      <c r="G134" s="39" t="inlineStr">
        <is>
          <t>Same product (sheet set) in the same material family: Bamboo viscose (product page material: Viscose Derived from Bamboo); ours: our listing: viscose from bamboo.</t>
        </is>
      </c>
      <c r="H134" s="107" t="inlineStr">
        <is>
          <t>B0FT7L9RSX</t>
        </is>
      </c>
      <c r="I134" s="107" t="inlineStr">
        <is>
          <t>B0FT7LZ2CD</t>
        </is>
      </c>
      <c r="J134" s="105" t="inlineStr">
        <is>
          <t>King</t>
        </is>
      </c>
      <c r="K134" s="105" t="inlineStr">
        <is>
          <t>1.navy Blue</t>
        </is>
      </c>
      <c r="L134" s="108" t="n">
        <v>43</v>
      </c>
      <c r="M134" s="39" t="inlineStr">
        <is>
          <t>B0FT7LV7PP (47%), B0FT7LZ2CD (42%)</t>
        </is>
      </c>
      <c r="N134" s="109" t="n">
        <v>79.98999999999999</v>
      </c>
      <c r="O134" s="109" t="n"/>
      <c r="P134" s="110">
        <f>IF(AND(ISNUMBER(O134),ISNUMBER(N134),N(N134)&gt;0),O134/N134-1,"")</f>
        <v/>
      </c>
      <c r="Q134" s="111">
        <f>IF(P134="","No List Price",IF(P134&lt;=0,"At/below price",IF(P134&lt;=0.12,"&lt;=12% STR zone",IF(P134&lt;=0.25,"12-25%","&gt;25% over"))))</f>
        <v/>
      </c>
      <c r="R134" s="109" t="n">
        <v>99.98999999999999</v>
      </c>
      <c r="S134" s="112">
        <f>IF(AND(ISNUMBER(N134),ISNUMBER(R134),N(R134)&gt;0),N134/R134-1,"")</f>
        <v/>
      </c>
      <c r="T134" s="39" t="inlineStr">
        <is>
          <t>Same size (King). Ours live: catalog price, 2026-10-13; 15 children</t>
        </is>
      </c>
      <c r="U134" s="108" t="n">
        <v>5664</v>
      </c>
      <c r="V134" s="108" t="n">
        <v>185</v>
      </c>
      <c r="W134" s="113">
        <f>IF(AND(ISNUMBER(N134),ISNUMBER(V134)),N134*V134*52/12,"")</f>
        <v/>
      </c>
      <c r="X134" s="114" t="n">
        <v>4.5</v>
      </c>
      <c r="Y134" s="108" t="n">
        <v>263</v>
      </c>
      <c r="Z134" s="115" t="n">
        <v>46307</v>
      </c>
      <c r="AA134" s="115" t="n">
        <v>45944</v>
      </c>
      <c r="AB134" s="105" t="inlineStr">
        <is>
          <t>FBA</t>
        </is>
      </c>
      <c r="AC134" s="105" t="inlineStr">
        <is>
          <t>HK</t>
        </is>
      </c>
      <c r="AD134" s="108" t="n">
        <v>334819</v>
      </c>
      <c r="AE134" s="108" t="n">
        <v>2638</v>
      </c>
      <c r="AF134" s="116" t="n">
        <v>0.6137371774003271</v>
      </c>
      <c r="AG134" s="116" t="n">
        <v>0.3862628512718813</v>
      </c>
      <c r="AH134" s="39" t="inlineStr">
        <is>
          <t>bamboo sheets</t>
        </is>
      </c>
      <c r="AI134" s="116" t="n">
        <v>0.9348573408319122</v>
      </c>
      <c r="AJ134" s="116" t="n">
        <v>0.3304382367786775</v>
      </c>
      <c r="AK134" s="116" t="n"/>
      <c r="AL134" s="116" t="n">
        <v>0.007908750698138397</v>
      </c>
      <c r="AM134" s="108" t="n">
        <v>1426</v>
      </c>
      <c r="AN134" s="108" t="n">
        <v>430</v>
      </c>
      <c r="AO134" s="108" t="n">
        <v>737</v>
      </c>
      <c r="AP134" s="108" t="n">
        <v>1212</v>
      </c>
      <c r="AQ134" s="108" t="n">
        <v>238</v>
      </c>
      <c r="AR134" s="108" t="n">
        <v>136</v>
      </c>
      <c r="AS134" s="117" t="n">
        <v>1.312468450277638</v>
      </c>
      <c r="AT134" s="112" t="n">
        <v>0.2565502183406114</v>
      </c>
      <c r="AU134" s="118" t="inlineStr">
        <is>
          <t>N</t>
        </is>
      </c>
      <c r="AV134" s="118" t="inlineStr">
        <is>
          <t>none</t>
        </is>
      </c>
      <c r="AW134" s="124" t="n"/>
      <c r="AX134" s="119" t="n">
        <v>84.98999999999999</v>
      </c>
      <c r="AY134" s="118" t="inlineStr">
        <is>
          <t>none</t>
        </is>
      </c>
      <c r="AZ134" s="118" t="inlineStr">
        <is>
          <t>Y</t>
        </is>
      </c>
      <c r="BA134" s="118" t="inlineStr">
        <is>
          <t>2026-10-13 12:11:00</t>
        </is>
      </c>
      <c r="BB134" s="120" t="inlineStr">
        <is>
          <t>None</t>
        </is>
      </c>
      <c r="BC134" s="125" t="n"/>
      <c r="BD134" s="121" t="n">
        <v>72.98999999999999</v>
      </c>
      <c r="BE134" s="121" t="n">
        <v>72.98999999999999</v>
      </c>
      <c r="BF134" s="110">
        <f>IF(AND(ISNUMBER(BD134),ISNUMBER(BE134),N(BD134)&gt;0),1-BE134/BD134,"")</f>
        <v/>
      </c>
      <c r="BG134" s="122" t="n">
        <v>1190634</v>
      </c>
      <c r="BH134" s="122" t="n">
        <v>628461</v>
      </c>
      <c r="BI134" s="123">
        <f>IF(AND(ISNUMBER(BG134),ISNUMBER(BH134),N(BH134)&gt;0),BG134/BH134,"")</f>
        <v/>
      </c>
      <c r="BJ134" s="120" t="inlineStr">
        <is>
          <t>N</t>
        </is>
      </c>
      <c r="BK134" s="120" t="inlineStr">
        <is>
          <t>List Price $94.89</t>
        </is>
      </c>
    </row>
    <row r="135" ht="62" customHeight="1">
      <c r="A135" s="12">
        <f>_xlfn.IMAGE("https://m.media-amazon.com/images/I/81V9M033qOL._AC_SL1500_.jpg")</f>
        <v/>
      </c>
      <c r="B135" s="105" t="inlineStr">
        <is>
          <t>TRUE BAMBOO</t>
        </is>
      </c>
      <c r="C135" s="39" t="inlineStr">
        <is>
          <t>TRUE BAMBOO Sheets Set King Size - Silky Soft &amp; Cooling - Dark Gray</t>
        </is>
      </c>
      <c r="D135" s="105" t="inlineStr">
        <is>
          <t>Beatable</t>
        </is>
      </c>
      <c r="E135" s="106" t="inlineStr">
        <is>
          <t>Direct</t>
        </is>
      </c>
      <c r="F135" s="105" t="inlineStr">
        <is>
          <t>Bamboo viscose</t>
        </is>
      </c>
      <c r="G135" s="39" t="inlineStr">
        <is>
          <t>Same product (sheet set) in the same material family: Bamboo viscose (product page material: Rayon); ours: our listing: viscose from bamboo.</t>
        </is>
      </c>
      <c r="H135" s="107" t="inlineStr">
        <is>
          <t>B0HHQ97HBL</t>
        </is>
      </c>
      <c r="I135" s="107" t="inlineStr">
        <is>
          <t>B0HD7R5L1D</t>
        </is>
      </c>
      <c r="J135" s="105" t="inlineStr">
        <is>
          <t>Queen</t>
        </is>
      </c>
      <c r="K135" s="105" t="inlineStr">
        <is>
          <t>Dark Gray</t>
        </is>
      </c>
      <c r="L135" s="108" t="n">
        <v>30</v>
      </c>
      <c r="M135" s="39" t="inlineStr">
        <is>
          <t>B0HD7R5L1D (45%), B0H5WYMXJK (28%), B0H7BYKYCD (9%)</t>
        </is>
      </c>
      <c r="N135" s="109" t="n">
        <v>79.98999999999999</v>
      </c>
      <c r="O135" s="109" t="n">
        <v>129.99</v>
      </c>
      <c r="P135" s="110">
        <f>IF(AND(ISNUMBER(O135),ISNUMBER(N135),N(N135)&gt;0),O135/N135-1,"")</f>
        <v/>
      </c>
      <c r="Q135" s="111">
        <f>IF(P135="","No List Price",IF(P135&lt;=0,"At/below price",IF(P135&lt;=0.12,"&lt;=12% STR zone",IF(P135&lt;=0.25,"12-25%","&gt;25% over"))))</f>
        <v/>
      </c>
      <c r="R135" s="109" t="n">
        <v>94.98999999999999</v>
      </c>
      <c r="S135" s="112">
        <f>IF(AND(ISNUMBER(N135),ISNUMBER(R135),N(R135)&gt;0),N135/R135-1,"")</f>
        <v/>
      </c>
      <c r="T135" s="39" t="inlineStr">
        <is>
          <t>Same size (Queen). Ours live: catalog price, 2026-10-13; 15 children</t>
        </is>
      </c>
      <c r="U135" s="108" t="n">
        <v>5934</v>
      </c>
      <c r="V135" s="108" t="n">
        <v>185</v>
      </c>
      <c r="W135" s="113">
        <f>IF(AND(ISNUMBER(N135),ISNUMBER(V135)),N135*V135*52/12,"")</f>
        <v/>
      </c>
      <c r="X135" s="114" t="n">
        <v>4.6</v>
      </c>
      <c r="Y135" s="108" t="n">
        <v>167</v>
      </c>
      <c r="Z135" s="115" t="n">
        <v>46307</v>
      </c>
      <c r="AA135" s="115" t="n"/>
      <c r="AB135" s="105" t="n"/>
      <c r="AC135" s="105" t="n"/>
      <c r="AD135" s="108" t="n">
        <v>557658</v>
      </c>
      <c r="AE135" s="108" t="n">
        <v>2189</v>
      </c>
      <c r="AF135" s="116" t="n">
        <v>0.518044597943542</v>
      </c>
      <c r="AG135" s="116" t="n">
        <v>0.4819554422244464</v>
      </c>
      <c r="AH135" s="39" t="inlineStr">
        <is>
          <t>king size sheets set</t>
        </is>
      </c>
      <c r="AI135" s="116" t="n">
        <v>0.9807695756180311</v>
      </c>
      <c r="AJ135" s="116" t="n">
        <v>0.2157666526795993</v>
      </c>
      <c r="AK135" s="116" t="n"/>
      <c r="AL135" s="116" t="n"/>
      <c r="AM135" s="108" t="n">
        <v>1291</v>
      </c>
      <c r="AN135" s="108" t="n">
        <v>383</v>
      </c>
      <c r="AO135" s="108" t="n">
        <v>713</v>
      </c>
      <c r="AP135" s="108" t="n">
        <v>898</v>
      </c>
      <c r="AQ135" s="108" t="n">
        <v>532</v>
      </c>
      <c r="AR135" s="108" t="n">
        <v>226</v>
      </c>
      <c r="AS135" s="117" t="n"/>
      <c r="AT135" s="112" t="n"/>
      <c r="AU135" s="118" t="inlineStr">
        <is>
          <t>Y</t>
        </is>
      </c>
      <c r="AV135" s="118" t="inlineStr">
        <is>
          <t>List Price</t>
        </is>
      </c>
      <c r="AW135" s="119" t="n">
        <v>129.99</v>
      </c>
      <c r="AX135" s="119" t="n">
        <v>79.98999999999999</v>
      </c>
      <c r="AY135" s="118" t="inlineStr">
        <is>
          <t>none</t>
        </is>
      </c>
      <c r="AZ135" s="118" t="inlineStr">
        <is>
          <t>Y</t>
        </is>
      </c>
      <c r="BA135" s="118" t="inlineStr">
        <is>
          <t>2026-10-13 12:11:32</t>
        </is>
      </c>
      <c r="BB135" s="120" t="inlineStr">
        <is>
          <t>Not live in 2025</t>
        </is>
      </c>
      <c r="BC135" s="125" t="n"/>
      <c r="BD135" s="124" t="n"/>
      <c r="BE135" s="124" t="n"/>
      <c r="BF135" s="110">
        <f>IF(AND(ISNUMBER(BD135),ISNUMBER(BE135),N(BD135)&gt;0),1-BE135/BD135,"")</f>
        <v/>
      </c>
      <c r="BG135" s="126" t="n"/>
      <c r="BH135" s="126" t="n"/>
      <c r="BI135" s="123">
        <f>IF(AND(ISNUMBER(BG135),ISNUMBER(BH135),N(BH135)&gt;0),BG135/BH135,"")</f>
        <v/>
      </c>
      <c r="BJ135" s="125" t="n"/>
      <c r="BK135" s="125" t="n"/>
    </row>
    <row r="136" ht="62" customHeight="1">
      <c r="A136" s="12">
        <f>_xlfn.IMAGE("https://images-na.ssl-images-amazon.com/images/I/81svKInu7aL.jpg")</f>
        <v/>
      </c>
      <c r="B136" s="105" t="inlineStr">
        <is>
          <t>Bambaw</t>
        </is>
      </c>
      <c r="C136" s="39" t="inlineStr">
        <is>
          <t>Bambaw 100% Viscose Derived from Bamboo Sheets Queen Size Set – 4pcs Cooling Sheet Set, Super Soft Sheets Queen Size, Luxury Bed Sheets, Deep Pocket Fits Up to 16'' Mattresses (Charcoal)</t>
        </is>
      </c>
      <c r="D136" s="105" t="inlineStr">
        <is>
          <t>Beatable</t>
        </is>
      </c>
      <c r="E136" s="106" t="inlineStr">
        <is>
          <t>Direct</t>
        </is>
      </c>
      <c r="F136" s="105" t="inlineStr">
        <is>
          <t>Bamboo viscose</t>
        </is>
      </c>
      <c r="G136" s="39" t="inlineStr">
        <is>
          <t>Same product (sheet set) in the same material family: Bamboo viscose (title: Bambaw 100% Viscose Derived from Bamboo Sheets Queen Size Se); ours: our listing: viscose from bamboo.</t>
        </is>
      </c>
      <c r="H136" s="107" t="inlineStr">
        <is>
          <t>B07K6SYX8L</t>
        </is>
      </c>
      <c r="I136" s="107" t="inlineStr">
        <is>
          <t>B0DR99Q37Y</t>
        </is>
      </c>
      <c r="J136" s="105" t="inlineStr">
        <is>
          <t>Queen</t>
        </is>
      </c>
      <c r="K136" s="105" t="inlineStr">
        <is>
          <t>Charcoal</t>
        </is>
      </c>
      <c r="L136" s="108" t="n">
        <v>104</v>
      </c>
      <c r="M136" s="39" t="inlineStr">
        <is>
          <t>B0DR99Q37Y (55%), B0DR98VW37 (10%), B0F2J1742T (7%), B0DR98HVG3 (5%), B0H3BQSQ1X (5%)</t>
        </is>
      </c>
      <c r="N136" s="109" t="n">
        <v>89.98999999999999</v>
      </c>
      <c r="O136" s="109" t="n"/>
      <c r="P136" s="110">
        <f>IF(AND(ISNUMBER(O136),ISNUMBER(N136),N(N136)&gt;0),O136/N136-1,"")</f>
        <v/>
      </c>
      <c r="Q136" s="111">
        <f>IF(P136="","No List Price",IF(P136&lt;=0,"At/below price",IF(P136&lt;=0.12,"&lt;=12% STR zone",IF(P136&lt;=0.25,"12-25%","&gt;25% over"))))</f>
        <v/>
      </c>
      <c r="R136" s="109" t="n">
        <v>94.98999999999999</v>
      </c>
      <c r="S136" s="112">
        <f>IF(AND(ISNUMBER(N136),ISNUMBER(R136),N(R136)&gt;0),N136/R136-1,"")</f>
        <v/>
      </c>
      <c r="T136" s="39" t="inlineStr">
        <is>
          <t>Same size (Queen). Ours live: catalog price, 2026-10-13; 15 children</t>
        </is>
      </c>
      <c r="U136" s="108" t="n">
        <v>6971</v>
      </c>
      <c r="V136" s="108" t="n">
        <v>104</v>
      </c>
      <c r="W136" s="113">
        <f>IF(AND(ISNUMBER(N136),ISNUMBER(V136)),N136*V136*52/12,"")</f>
        <v/>
      </c>
      <c r="X136" s="114" t="n">
        <v>4.3</v>
      </c>
      <c r="Y136" s="108" t="n">
        <v>2766</v>
      </c>
      <c r="Z136" s="115" t="n">
        <v>46307</v>
      </c>
      <c r="AA136" s="115" t="n">
        <v>45649</v>
      </c>
      <c r="AB136" s="105" t="inlineStr">
        <is>
          <t>FBA</t>
        </is>
      </c>
      <c r="AC136" s="105" t="inlineStr">
        <is>
          <t>BE</t>
        </is>
      </c>
      <c r="AD136" s="108" t="n">
        <v>407949</v>
      </c>
      <c r="AE136" s="108" t="n">
        <v>2137</v>
      </c>
      <c r="AF136" s="116" t="n">
        <v>0.5037485506766772</v>
      </c>
      <c r="AG136" s="116" t="n">
        <v>0.4962515277645003</v>
      </c>
      <c r="AH136" s="39" t="inlineStr">
        <is>
          <t>bamboo sheets</t>
        </is>
      </c>
      <c r="AI136" s="116" t="n">
        <v>0.8267479513370544</v>
      </c>
      <c r="AJ136" s="116" t="n">
        <v>0.000431426477329274</v>
      </c>
      <c r="AK136" s="116" t="n">
        <v>0.3636508485129268</v>
      </c>
      <c r="AL136" s="116" t="n">
        <v>0.003414642516589083</v>
      </c>
      <c r="AM136" s="108" t="n">
        <v>1195</v>
      </c>
      <c r="AN136" s="108" t="n">
        <v>414</v>
      </c>
      <c r="AO136" s="108" t="n">
        <v>680</v>
      </c>
      <c r="AP136" s="108" t="n">
        <v>942</v>
      </c>
      <c r="AQ136" s="108" t="n">
        <v>352</v>
      </c>
      <c r="AR136" s="108" t="n">
        <v>135</v>
      </c>
      <c r="AS136" s="117" t="n">
        <v>1.374474053295933</v>
      </c>
      <c r="AT136" s="112" t="n">
        <v>1.381825760733639</v>
      </c>
      <c r="AU136" s="118" t="inlineStr">
        <is>
          <t>N</t>
        </is>
      </c>
      <c r="AV136" s="118" t="inlineStr">
        <is>
          <t>none</t>
        </is>
      </c>
      <c r="AW136" s="124" t="n"/>
      <c r="AX136" s="119" t="n">
        <v>89.98999999999999</v>
      </c>
      <c r="AY136" s="118" t="inlineStr">
        <is>
          <t>none</t>
        </is>
      </c>
      <c r="AZ136" s="118" t="inlineStr">
        <is>
          <t>Y</t>
        </is>
      </c>
      <c r="BA136" s="118" t="inlineStr">
        <is>
          <t>2026-10-13 12:10:28</t>
        </is>
      </c>
      <c r="BB136" s="120" t="inlineStr">
        <is>
          <t>None</t>
        </is>
      </c>
      <c r="BC136" s="125" t="n"/>
      <c r="BD136" s="121" t="n">
        <v>89.98999999999999</v>
      </c>
      <c r="BE136" s="121" t="n">
        <v>89.98999999999999</v>
      </c>
      <c r="BF136" s="110">
        <f>IF(AND(ISNUMBER(BD136),ISNUMBER(BE136),N(BD136)&gt;0),1-BE136/BD136,"")</f>
        <v/>
      </c>
      <c r="BG136" s="122" t="n">
        <v>12712</v>
      </c>
      <c r="BH136" s="122" t="n">
        <v>10881</v>
      </c>
      <c r="BI136" s="123">
        <f>IF(AND(ISNUMBER(BG136),ISNUMBER(BH136),N(BH136)&gt;0),BG136/BH136,"")</f>
        <v/>
      </c>
      <c r="BJ136" s="120" t="inlineStr">
        <is>
          <t>N</t>
        </is>
      </c>
      <c r="BK136" s="120" t="inlineStr">
        <is>
          <t>List Price $103.45</t>
        </is>
      </c>
    </row>
    <row r="137" ht="62" customHeight="1">
      <c r="A137" s="12">
        <f>_xlfn.IMAGE("https://images-na.ssl-images-amazon.com/images/I/81suQgVR0GL.jpg")</f>
        <v/>
      </c>
      <c r="B137" s="105" t="inlineStr">
        <is>
          <t>Bedsure</t>
        </is>
      </c>
      <c r="C137" s="39" t="inlineStr">
        <is>
          <t>Bedsure PureWoven Organically Grown Bamboo Viscose Queen Sheet Set, 4PCS</t>
        </is>
      </c>
      <c r="D137" s="105" t="inlineStr">
        <is>
          <t>Beatable</t>
        </is>
      </c>
      <c r="E137" s="106" t="inlineStr">
        <is>
          <t>Direct</t>
        </is>
      </c>
      <c r="F137" s="105" t="inlineStr">
        <is>
          <t>Bamboo viscose</t>
        </is>
      </c>
      <c r="G137" s="39" t="inlineStr">
        <is>
          <t>Same product (sheet set) in the same material family: Bamboo viscose (product page material: Viscose Derived from Bamboo); ours: our listing: viscose from bamboo.</t>
        </is>
      </c>
      <c r="H137" s="107" t="inlineStr">
        <is>
          <t>B0FB8XS4D1</t>
        </is>
      </c>
      <c r="I137" s="107" t="inlineStr">
        <is>
          <t>B0FB8XR43Q</t>
        </is>
      </c>
      <c r="J137" s="105" t="inlineStr">
        <is>
          <t>Queen</t>
        </is>
      </c>
      <c r="K137" s="105" t="inlineStr">
        <is>
          <t>01 - White</t>
        </is>
      </c>
      <c r="L137" s="108" t="n">
        <v>39</v>
      </c>
      <c r="M137" s="39" t="inlineStr">
        <is>
          <t>B0FB8XR43Q (31%), B0FB8ZTD7M (18%), B0GLN6VP9Y (11%), B0FB8YV6C7 (10%), B0FB8Z4GGW (10%)</t>
        </is>
      </c>
      <c r="N137" s="109" t="n">
        <v>89.98999999999999</v>
      </c>
      <c r="O137" s="109" t="n">
        <v>119.99</v>
      </c>
      <c r="P137" s="110">
        <f>IF(AND(ISNUMBER(O137),ISNUMBER(N137),N(N137)&gt;0),O137/N137-1,"")</f>
        <v/>
      </c>
      <c r="Q137" s="111">
        <f>IF(P137="","No List Price",IF(P137&lt;=0,"At/below price",IF(P137&lt;=0.12,"&lt;=12% STR zone",IF(P137&lt;=0.25,"12-25%","&gt;25% over"))))</f>
        <v/>
      </c>
      <c r="R137" s="109" t="n">
        <v>94.98999999999999</v>
      </c>
      <c r="S137" s="112">
        <f>IF(AND(ISNUMBER(N137),ISNUMBER(R137),N(R137)&gt;0),N137/R137-1,"")</f>
        <v/>
      </c>
      <c r="T137" s="39" t="inlineStr">
        <is>
          <t>Same size (Queen). Ours live: catalog price, 2026-10-13; 15 children</t>
        </is>
      </c>
      <c r="U137" s="108" t="n">
        <v>8938</v>
      </c>
      <c r="V137" s="108" t="n">
        <v>104</v>
      </c>
      <c r="W137" s="113">
        <f>IF(AND(ISNUMBER(N137),ISNUMBER(V137)),N137*V137*52/12,"")</f>
        <v/>
      </c>
      <c r="X137" s="114" t="n">
        <v>4.5</v>
      </c>
      <c r="Y137" s="108" t="n">
        <v>588</v>
      </c>
      <c r="Z137" s="115" t="n">
        <v>46307</v>
      </c>
      <c r="AA137" s="115" t="n">
        <v>45936</v>
      </c>
      <c r="AB137" s="105" t="inlineStr">
        <is>
          <t>FBA</t>
        </is>
      </c>
      <c r="AC137" s="105" t="inlineStr">
        <is>
          <t>US</t>
        </is>
      </c>
      <c r="AD137" s="108" t="n">
        <v>840292</v>
      </c>
      <c r="AE137" s="108" t="n">
        <v>3961</v>
      </c>
      <c r="AF137" s="116" t="n">
        <v>0.1404099194089678</v>
      </c>
      <c r="AG137" s="116" t="n">
        <v>0.8595901834124341</v>
      </c>
      <c r="AH137" s="39" t="inlineStr">
        <is>
          <t>bamboo sheets</t>
        </is>
      </c>
      <c r="AI137" s="116" t="n">
        <v>0.9284082199997143</v>
      </c>
      <c r="AJ137" s="116" t="n">
        <v>0.9843340172225845</v>
      </c>
      <c r="AK137" s="116" t="n">
        <v>0.5269953777972419</v>
      </c>
      <c r="AL137" s="116" t="n">
        <v>0.000478405125837209</v>
      </c>
      <c r="AM137" s="108" t="n">
        <v>1544</v>
      </c>
      <c r="AN137" s="108" t="n">
        <v>269</v>
      </c>
      <c r="AO137" s="108" t="n">
        <v>1174</v>
      </c>
      <c r="AP137" s="108" t="n">
        <v>2417</v>
      </c>
      <c r="AQ137" s="108" t="n">
        <v>1856</v>
      </c>
      <c r="AR137" s="108" t="n">
        <v>331</v>
      </c>
      <c r="AS137" s="117" t="n">
        <v>1.764832022873481</v>
      </c>
      <c r="AT137" s="112" t="n">
        <v>-0.09047044632086854</v>
      </c>
      <c r="AU137" s="118" t="inlineStr">
        <is>
          <t>Y</t>
        </is>
      </c>
      <c r="AV137" s="118" t="inlineStr">
        <is>
          <t>List Price</t>
        </is>
      </c>
      <c r="AW137" s="119" t="n">
        <v>119.99</v>
      </c>
      <c r="AX137" s="119" t="n">
        <v>89.98999999999999</v>
      </c>
      <c r="AY137" s="118" t="inlineStr">
        <is>
          <t>none</t>
        </is>
      </c>
      <c r="AZ137" s="118" t="inlineStr">
        <is>
          <t>Y</t>
        </is>
      </c>
      <c r="BA137" s="118" t="inlineStr">
        <is>
          <t>2026-10-13 12:10:38</t>
        </is>
      </c>
      <c r="BB137" s="120" t="inlineStr">
        <is>
          <t>Prime Exclusive Discount</t>
        </is>
      </c>
      <c r="BC137" s="120" t="inlineStr">
        <is>
          <t>11-10 to 12-05</t>
        </is>
      </c>
      <c r="BD137" s="121" t="n">
        <v>99.98999999999999</v>
      </c>
      <c r="BE137" s="121" t="n">
        <v>72.64</v>
      </c>
      <c r="BF137" s="110">
        <f>IF(AND(ISNUMBER(BD137),ISNUMBER(BE137),N(BD137)&gt;0),1-BE137/BD137,"")</f>
        <v/>
      </c>
      <c r="BG137" s="122" t="n">
        <v>53160</v>
      </c>
      <c r="BH137" s="122" t="n">
        <v>53782</v>
      </c>
      <c r="BI137" s="123">
        <f>IF(AND(ISNUMBER(BG137),ISNUMBER(BH137),N(BH137)&gt;0),BG137/BH137,"")</f>
        <v/>
      </c>
      <c r="BJ137" s="120" t="inlineStr">
        <is>
          <t>N</t>
        </is>
      </c>
      <c r="BK137" s="120" t="inlineStr">
        <is>
          <t>Prime Exclusive already running before BFCM week; List Price $114.99</t>
        </is>
      </c>
    </row>
    <row r="138" ht="62" customHeight="1">
      <c r="A138" s="12">
        <f>_xlfn.IMAGE("https://images-na.ssl-images-amazon.com/images/I/71sqxa1EquL.jpg")</f>
        <v/>
      </c>
      <c r="B138" s="105" t="inlineStr">
        <is>
          <t>SONORO KATE</t>
        </is>
      </c>
      <c r="C138" s="39" t="inlineStr">
        <is>
          <t>Bamboo Sheets</t>
        </is>
      </c>
      <c r="D138" s="105" t="inlineStr">
        <is>
          <t>Beatable</t>
        </is>
      </c>
      <c r="E138" s="106" t="inlineStr">
        <is>
          <t>Direct</t>
        </is>
      </c>
      <c r="F138" s="105" t="inlineStr">
        <is>
          <t>Bamboo viscose</t>
        </is>
      </c>
      <c r="G138" s="39" t="inlineStr">
        <is>
          <t>Same product (sheet set) in the same material family: Bamboo viscose (product page material: Viscose Derived From Bamboo); ours: our listing: viscose from bamboo.</t>
        </is>
      </c>
      <c r="H138" s="107" t="inlineStr">
        <is>
          <t>B0F4852T9V</t>
        </is>
      </c>
      <c r="I138" s="107" t="inlineStr">
        <is>
          <t>B0F4873G4H</t>
        </is>
      </c>
      <c r="J138" s="105" t="inlineStr">
        <is>
          <t>King</t>
        </is>
      </c>
      <c r="K138" s="105" t="inlineStr">
        <is>
          <t>Dark Grey</t>
        </is>
      </c>
      <c r="L138" s="108" t="n">
        <v>33</v>
      </c>
      <c r="M138" s="39" t="inlineStr">
        <is>
          <t>B0F486MGJ1 (46%), B0F4873G4H (45%)</t>
        </is>
      </c>
      <c r="N138" s="109" t="n">
        <v>79.98999999999999</v>
      </c>
      <c r="O138" s="109" t="n"/>
      <c r="P138" s="110">
        <f>IF(AND(ISNUMBER(O138),ISNUMBER(N138),N(N138)&gt;0),O138/N138-1,"")</f>
        <v/>
      </c>
      <c r="Q138" s="111">
        <f>IF(P138="","No List Price",IF(P138&lt;=0,"At/below price",IF(P138&lt;=0.12,"&lt;=12% STR zone",IF(P138&lt;=0.25,"12-25%","&gt;25% over"))))</f>
        <v/>
      </c>
      <c r="R138" s="109" t="n">
        <v>99.98999999999999</v>
      </c>
      <c r="S138" s="112">
        <f>IF(AND(ISNUMBER(N138),ISNUMBER(R138),N(R138)&gt;0),N138/R138-1,"")</f>
        <v/>
      </c>
      <c r="T138" s="39" t="inlineStr">
        <is>
          <t>Same size (King). Ours live: catalog price, 2026-10-13; 15 children</t>
        </is>
      </c>
      <c r="U138" s="108" t="n">
        <v>7961</v>
      </c>
      <c r="V138" s="108" t="n">
        <v>104</v>
      </c>
      <c r="W138" s="113">
        <f>IF(AND(ISNUMBER(N138),ISNUMBER(V138)),N138*V138*52/12,"")</f>
        <v/>
      </c>
      <c r="X138" s="114" t="n">
        <v>4.5</v>
      </c>
      <c r="Y138" s="108" t="n">
        <v>3776</v>
      </c>
      <c r="Z138" s="115" t="n">
        <v>46307</v>
      </c>
      <c r="AA138" s="115" t="n"/>
      <c r="AB138" s="105" t="n"/>
      <c r="AC138" s="105" t="n"/>
      <c r="AD138" s="108" t="n">
        <v>185157</v>
      </c>
      <c r="AE138" s="108" t="n">
        <v>1447</v>
      </c>
      <c r="AF138" s="116" t="n">
        <v>0.9776013545261586</v>
      </c>
      <c r="AG138" s="116" t="n">
        <v>0.02239928493116653</v>
      </c>
      <c r="AH138" s="39" t="inlineStr">
        <is>
          <t>bamboo sheets</t>
        </is>
      </c>
      <c r="AI138" s="116" t="n">
        <v>0.4342476924987983</v>
      </c>
      <c r="AJ138" s="116" t="n"/>
      <c r="AK138" s="116" t="n"/>
      <c r="AL138" s="116" t="n">
        <v>0.1639959601851402</v>
      </c>
      <c r="AM138" s="108" t="n">
        <v>924</v>
      </c>
      <c r="AN138" s="108" t="n">
        <v>331</v>
      </c>
      <c r="AO138" s="108" t="n">
        <v>521</v>
      </c>
      <c r="AP138" s="108" t="n">
        <v>523</v>
      </c>
      <c r="AQ138" s="108" t="n">
        <v>71</v>
      </c>
      <c r="AR138" s="108" t="n">
        <v>8</v>
      </c>
      <c r="AS138" s="117" t="n">
        <v>1.314808539478143</v>
      </c>
      <c r="AT138" s="112" t="n">
        <v>0.6186540731995278</v>
      </c>
      <c r="AU138" s="118" t="inlineStr">
        <is>
          <t>N</t>
        </is>
      </c>
      <c r="AV138" s="118" t="inlineStr">
        <is>
          <t>none</t>
        </is>
      </c>
      <c r="AW138" s="124" t="n"/>
      <c r="AX138" s="119" t="n">
        <v>79.98999999999999</v>
      </c>
      <c r="AY138" s="118" t="inlineStr">
        <is>
          <t>coupon $5</t>
        </is>
      </c>
      <c r="AZ138" s="118" t="inlineStr">
        <is>
          <t>Y</t>
        </is>
      </c>
      <c r="BA138" s="118" t="inlineStr">
        <is>
          <t>2026-10-13 12:11:19</t>
        </is>
      </c>
      <c r="BB138" s="120" t="inlineStr">
        <is>
          <t>Prime Exclusive Discount</t>
        </is>
      </c>
      <c r="BC138" s="120" t="inlineStr">
        <is>
          <t>11-20 to 12-01</t>
        </is>
      </c>
      <c r="BD138" s="121" t="n">
        <v>79.98999999999999</v>
      </c>
      <c r="BE138" s="121" t="n">
        <v>63.99</v>
      </c>
      <c r="BF138" s="110">
        <f>IF(AND(ISNUMBER(BD138),ISNUMBER(BE138),N(BD138)&gt;0),1-BE138/BD138,"")</f>
        <v/>
      </c>
      <c r="BG138" s="122" t="n">
        <v>36662</v>
      </c>
      <c r="BH138" s="122" t="n">
        <v>23612</v>
      </c>
      <c r="BI138" s="123">
        <f>IF(AND(ISNUMBER(BG138),ISNUMBER(BH138),N(BH138)&gt;0),BG138/BH138,"")</f>
        <v/>
      </c>
      <c r="BJ138" s="120" t="inlineStr">
        <is>
          <t>N</t>
        </is>
      </c>
      <c r="BK138" s="120" t="inlineStr">
        <is>
          <t>Coupon 15% (11-06 to 11-19); List Price $79.99</t>
        </is>
      </c>
    </row>
    <row r="139" ht="62" customHeight="1">
      <c r="A139" s="12">
        <f>_xlfn.IMAGE("https://images-na.ssl-images-amazon.com/images/I/71Pl57-j67L.jpg")</f>
        <v/>
      </c>
      <c r="B139" s="105" t="inlineStr">
        <is>
          <t>BC BELLA COTERIE</t>
        </is>
      </c>
      <c r="C139" s="39" t="inlineStr">
        <is>
          <t>Bella Coterie Luxury Bamboo Viscose King Size Sheet Set</t>
        </is>
      </c>
      <c r="D139" s="105" t="inlineStr">
        <is>
          <t>Beatable</t>
        </is>
      </c>
      <c r="E139" s="106" t="inlineStr">
        <is>
          <t>Direct</t>
        </is>
      </c>
      <c r="F139" s="105" t="inlineStr">
        <is>
          <t>Bamboo viscose</t>
        </is>
      </c>
      <c r="G139" s="39" t="inlineStr">
        <is>
          <t>Same product (sheet set) in the same material family: Bamboo viscose (product page material: Organically Grown | Viscose Made From Bamboo); ours: our listing: viscose from bamboo.</t>
        </is>
      </c>
      <c r="H139" s="107" t="inlineStr">
        <is>
          <t>B0H29V113N</t>
        </is>
      </c>
      <c r="I139" s="107" t="inlineStr">
        <is>
          <t>B08L86VLZB</t>
        </is>
      </c>
      <c r="J139" s="105" t="inlineStr">
        <is>
          <t>King - 2 Pillowcases</t>
        </is>
      </c>
      <c r="K139" s="105" t="inlineStr">
        <is>
          <t>01 - White</t>
        </is>
      </c>
      <c r="L139" s="108" t="n">
        <v>258</v>
      </c>
      <c r="M139" s="39" t="inlineStr">
        <is>
          <t>B0C979FD5Z (12%), B09JTQMF5C (11%), B08L86VLZB (6%), B08L85SV5Z (5%), B09JV1NG9R (4%)</t>
        </is>
      </c>
      <c r="N139" s="109" t="n">
        <v>154.99</v>
      </c>
      <c r="O139" s="109" t="n"/>
      <c r="P139" s="110">
        <f>IF(AND(ISNUMBER(O139),ISNUMBER(N139),N(N139)&gt;0),O139/N139-1,"")</f>
        <v/>
      </c>
      <c r="Q139" s="111">
        <f>IF(P139="","No List Price",IF(P139&lt;=0,"At/below price",IF(P139&lt;=0.12,"&lt;=12% STR zone",IF(P139&lt;=0.25,"12-25%","&gt;25% over"))))</f>
        <v/>
      </c>
      <c r="R139" s="109" t="n">
        <v>99.98999999999999</v>
      </c>
      <c r="S139" s="112">
        <f>IF(AND(ISNUMBER(N139),ISNUMBER(R139),N(R139)&gt;0),N139/R139-1,"")</f>
        <v/>
      </c>
      <c r="T139" s="39" t="inlineStr">
        <is>
          <t>Same size (King). Ours live: catalog price, 2026-10-13; 15 children</t>
        </is>
      </c>
      <c r="U139" s="108" t="n">
        <v>1358</v>
      </c>
      <c r="V139" s="108" t="n">
        <v>92</v>
      </c>
      <c r="W139" s="113">
        <f>IF(AND(ISNUMBER(N139),ISNUMBER(V139)),N139*V139*52/12,"")</f>
        <v/>
      </c>
      <c r="X139" s="114" t="n">
        <v>4.4</v>
      </c>
      <c r="Y139" s="108" t="n">
        <v>5871</v>
      </c>
      <c r="Z139" s="115" t="n">
        <v>46307</v>
      </c>
      <c r="AA139" s="115" t="n">
        <v>44154</v>
      </c>
      <c r="AB139" s="105" t="inlineStr">
        <is>
          <t>FBA</t>
        </is>
      </c>
      <c r="AC139" s="105" t="inlineStr">
        <is>
          <t>US</t>
        </is>
      </c>
      <c r="AD139" s="108" t="n">
        <v>591713</v>
      </c>
      <c r="AE139" s="108" t="n">
        <v>5504</v>
      </c>
      <c r="AF139" s="116" t="n">
        <v>0.3622702587234016</v>
      </c>
      <c r="AG139" s="116" t="n">
        <v>0.6377298332130611</v>
      </c>
      <c r="AH139" s="39" t="inlineStr">
        <is>
          <t>bamboo sheets</t>
        </is>
      </c>
      <c r="AI139" s="116" t="n">
        <v>0.9808184035165697</v>
      </c>
      <c r="AJ139" s="116" t="n">
        <v>0.5730548424658576</v>
      </c>
      <c r="AK139" s="116" t="n">
        <v>0.5581810776508206</v>
      </c>
      <c r="AL139" s="116" t="n">
        <v>0.03836488297536136</v>
      </c>
      <c r="AM139" s="108" t="n">
        <v>1707</v>
      </c>
      <c r="AN139" s="108" t="n">
        <v>514</v>
      </c>
      <c r="AO139" s="108" t="n">
        <v>1033</v>
      </c>
      <c r="AP139" s="108" t="n">
        <v>3797</v>
      </c>
      <c r="AQ139" s="108" t="n">
        <v>1851</v>
      </c>
      <c r="AR139" s="108" t="n">
        <v>231</v>
      </c>
      <c r="AS139" s="117" t="n">
        <v>1.778087279480037</v>
      </c>
      <c r="AT139" s="112" t="n">
        <v>0.3772549019607843</v>
      </c>
      <c r="AU139" s="118" t="inlineStr">
        <is>
          <t>N</t>
        </is>
      </c>
      <c r="AV139" s="118" t="inlineStr">
        <is>
          <t>none</t>
        </is>
      </c>
      <c r="AW139" s="124" t="n"/>
      <c r="AX139" s="119" t="n">
        <v>169.99</v>
      </c>
      <c r="AY139" s="118" t="inlineStr">
        <is>
          <t>none</t>
        </is>
      </c>
      <c r="AZ139" s="118" t="inlineStr">
        <is>
          <t>Y</t>
        </is>
      </c>
      <c r="BA139" s="118" t="inlineStr">
        <is>
          <t>2026-10-13 12:14:18</t>
        </is>
      </c>
      <c r="BB139" s="120" t="inlineStr">
        <is>
          <t>Price cut only</t>
        </is>
      </c>
      <c r="BC139" s="120" t="inlineStr">
        <is>
          <t>11-20 to 12-01</t>
        </is>
      </c>
      <c r="BD139" s="121" t="n">
        <v>134.99</v>
      </c>
      <c r="BE139" s="121" t="n">
        <v>110.5</v>
      </c>
      <c r="BF139" s="110">
        <f>IF(AND(ISNUMBER(BD139),ISNUMBER(BE139),N(BD139)&gt;0),1-BE139/BD139,"")</f>
        <v/>
      </c>
      <c r="BG139" s="122" t="n">
        <v>3072</v>
      </c>
      <c r="BH139" s="122" t="n">
        <v>1155</v>
      </c>
      <c r="BI139" s="123">
        <f>IF(AND(ISNUMBER(BG139),ISNUMBER(BH139),N(BH139)&gt;0),BG139/BH139,"")</f>
        <v/>
      </c>
      <c r="BJ139" s="120" t="inlineStr">
        <is>
          <t>N</t>
        </is>
      </c>
      <c r="BK139" s="120" t="inlineStr">
        <is>
          <t>Coupon 20.00 USD (12-03 to 12-05); List Price $169.99</t>
        </is>
      </c>
    </row>
    <row r="140" ht="62" customHeight="1">
      <c r="A140" s="12">
        <f>_xlfn.IMAGE("https://images-na.ssl-images-amazon.com/images/I/61fbapIObwL.jpg")</f>
        <v/>
      </c>
      <c r="B140" s="105" t="inlineStr">
        <is>
          <t>BAMPURE</t>
        </is>
      </c>
      <c r="C140" s="39" t="inlineStr">
        <is>
          <t>BAMPURE 100% Rayon from Bamboo Sheets King Size - 4pc Cooling King Sheets</t>
        </is>
      </c>
      <c r="D140" s="105" t="inlineStr">
        <is>
          <t>Beatable</t>
        </is>
      </c>
      <c r="E140" s="106" t="inlineStr">
        <is>
          <t>Direct</t>
        </is>
      </c>
      <c r="F140" s="105" t="inlineStr">
        <is>
          <t>Bamboo viscose</t>
        </is>
      </c>
      <c r="G140" s="39" t="inlineStr">
        <is>
          <t>Same product (sheet set) in the same material family: Bamboo viscose (product page material: Viscose Derived from Bamboo); ours: our listing: viscose from bamboo.</t>
        </is>
      </c>
      <c r="H140" s="107" t="inlineStr">
        <is>
          <t>B0HC778XB4</t>
        </is>
      </c>
      <c r="I140" s="107" t="inlineStr">
        <is>
          <t>B07XFP6BY2</t>
        </is>
      </c>
      <c r="J140" s="105" t="inlineStr">
        <is>
          <t>King</t>
        </is>
      </c>
      <c r="K140" s="105" t="inlineStr">
        <is>
          <t>White</t>
        </is>
      </c>
      <c r="L140" s="108" t="n">
        <v>40</v>
      </c>
      <c r="M140" s="39" t="inlineStr">
        <is>
          <t>B07XBJY2JR (65%), B07XFP6BY2 (21%)</t>
        </is>
      </c>
      <c r="N140" s="109" t="n">
        <v>67.98</v>
      </c>
      <c r="O140" s="109" t="n">
        <v>99.98999999999999</v>
      </c>
      <c r="P140" s="110">
        <f>IF(AND(ISNUMBER(O140),ISNUMBER(N140),N(N140)&gt;0),O140/N140-1,"")</f>
        <v/>
      </c>
      <c r="Q140" s="111">
        <f>IF(P140="","No List Price",IF(P140&lt;=0,"At/below price",IF(P140&lt;=0.12,"&lt;=12% STR zone",IF(P140&lt;=0.25,"12-25%","&gt;25% over"))))</f>
        <v/>
      </c>
      <c r="R140" s="109" t="n">
        <v>99.98999999999999</v>
      </c>
      <c r="S140" s="112">
        <f>IF(AND(ISNUMBER(N140),ISNUMBER(R140),N(R140)&gt;0),N140/R140-1,"")</f>
        <v/>
      </c>
      <c r="T140" s="39" t="inlineStr">
        <is>
          <t>Same size (King). Ours live: catalog price, 2026-10-13; 15 children</t>
        </is>
      </c>
      <c r="U140" s="108" t="n">
        <v>14479</v>
      </c>
      <c r="V140" s="108" t="n">
        <v>81</v>
      </c>
      <c r="W140" s="113">
        <f>IF(AND(ISNUMBER(N140),ISNUMBER(V140)),N140*V140*52/12,"")</f>
        <v/>
      </c>
      <c r="X140" s="114" t="n">
        <v>4.4</v>
      </c>
      <c r="Y140" s="108" t="n">
        <v>4095</v>
      </c>
      <c r="Z140" s="115" t="n">
        <v>46307</v>
      </c>
      <c r="AA140" s="115" t="n">
        <v>43776</v>
      </c>
      <c r="AB140" s="105" t="inlineStr">
        <is>
          <t>FBA</t>
        </is>
      </c>
      <c r="AC140" s="105" t="inlineStr">
        <is>
          <t>US</t>
        </is>
      </c>
      <c r="AD140" s="108" t="n">
        <v>67699</v>
      </c>
      <c r="AE140" s="108" t="n">
        <v>1687</v>
      </c>
      <c r="AF140" s="116" t="n">
        <v>0.8589487052984534</v>
      </c>
      <c r="AG140" s="116" t="n">
        <v>0.1410512947015465</v>
      </c>
      <c r="AH140" s="39" t="inlineStr">
        <is>
          <t>bamboo sheets</t>
        </is>
      </c>
      <c r="AI140" s="116" t="n">
        <v>0.9117121375500377</v>
      </c>
      <c r="AJ140" s="116" t="n"/>
      <c r="AK140" s="116" t="n"/>
      <c r="AL140" s="116" t="n"/>
      <c r="AM140" s="108" t="n">
        <v>984</v>
      </c>
      <c r="AN140" s="108" t="n">
        <v>661</v>
      </c>
      <c r="AO140" s="108" t="n">
        <v>167</v>
      </c>
      <c r="AP140" s="108" t="n">
        <v>703</v>
      </c>
      <c r="AQ140" s="108" t="n">
        <v>162</v>
      </c>
      <c r="AR140" s="108" t="n">
        <v>52</v>
      </c>
      <c r="AS140" s="117" t="n">
        <v>1.016706443914081</v>
      </c>
      <c r="AT140" s="112" t="n">
        <v>-0.2868217054263565</v>
      </c>
      <c r="AU140" s="118" t="inlineStr">
        <is>
          <t>Y</t>
        </is>
      </c>
      <c r="AV140" s="118" t="inlineStr">
        <is>
          <t>List Price</t>
        </is>
      </c>
      <c r="AW140" s="119" t="n">
        <v>99.98999999999999</v>
      </c>
      <c r="AX140" s="119" t="n">
        <v>67.98</v>
      </c>
      <c r="AY140" s="118" t="inlineStr">
        <is>
          <t>Limited time deal</t>
        </is>
      </c>
      <c r="AZ140" s="118" t="inlineStr">
        <is>
          <t>Y</t>
        </is>
      </c>
      <c r="BA140" s="118" t="inlineStr">
        <is>
          <t>2026-10-13 12:10:12</t>
        </is>
      </c>
      <c r="BB140" s="120" t="inlineStr">
        <is>
          <t>Prime Exclusive Discount</t>
        </is>
      </c>
      <c r="BC140" s="120" t="inlineStr">
        <is>
          <t>11-22 to 12-01</t>
        </is>
      </c>
      <c r="BD140" s="121" t="n">
        <v>84.98999999999999</v>
      </c>
      <c r="BE140" s="121" t="n">
        <v>79.98999999999999</v>
      </c>
      <c r="BF140" s="110">
        <f>IF(AND(ISNUMBER(BD140),ISNUMBER(BE140),N(BD140)&gt;0),1-BE140/BD140,"")</f>
        <v/>
      </c>
      <c r="BG140" s="122" t="n">
        <v>31768</v>
      </c>
      <c r="BH140" s="122" t="n">
        <v>27833</v>
      </c>
      <c r="BI140" s="123">
        <f>IF(AND(ISNUMBER(BG140),ISNUMBER(BH140),N(BH140)&gt;0),BG140/BH140,"")</f>
        <v/>
      </c>
      <c r="BJ140" s="120" t="inlineStr">
        <is>
          <t>N</t>
        </is>
      </c>
      <c r="BK140" s="120" t="inlineStr">
        <is>
          <t>Coupon 5.00 USD (11-01 to 11-04); Buy Box RAISED in BFCM week (median $99.99 vs $84.99 before); List Price $99.99</t>
        </is>
      </c>
    </row>
    <row r="141" ht="62" customHeight="1">
      <c r="A141" s="12">
        <f>_xlfn.IMAGE("https://m.media-amazon.com/images/I/71F+539t2YL._AC_SL1500_.jpg")</f>
        <v/>
      </c>
      <c r="B141" s="105" t="inlineStr">
        <is>
          <t>BEDELITE</t>
        </is>
      </c>
      <c r="C141" s="39" t="inlineStr">
        <is>
          <t>BEDELITE Bamboo Viscose Sheet Set, Queen Size, 4 Pieces, White</t>
        </is>
      </c>
      <c r="D141" s="105" t="inlineStr">
        <is>
          <t>Beatable</t>
        </is>
      </c>
      <c r="E141" s="106" t="inlineStr">
        <is>
          <t>Direct</t>
        </is>
      </c>
      <c r="F141" s="105" t="inlineStr">
        <is>
          <t>Bamboo viscose</t>
        </is>
      </c>
      <c r="G141" s="39" t="inlineStr">
        <is>
          <t>Same product (sheet set) in the same material family: Bamboo viscose (product page material: Viscose Derived from Bamboo); ours: our listing: viscose from bamboo.</t>
        </is>
      </c>
      <c r="H141" s="107" t="inlineStr">
        <is>
          <t>B0GT98GVQN</t>
        </is>
      </c>
      <c r="I141" s="107" t="inlineStr">
        <is>
          <t>B0GT8Z4X5D</t>
        </is>
      </c>
      <c r="J141" s="105" t="inlineStr">
        <is>
          <t>Queen</t>
        </is>
      </c>
      <c r="K141" s="105" t="inlineStr">
        <is>
          <t>White</t>
        </is>
      </c>
      <c r="L141" s="108" t="n">
        <v>8</v>
      </c>
      <c r="M141" s="39" t="inlineStr">
        <is>
          <t>B0GT8Z4X5D (87%)</t>
        </is>
      </c>
      <c r="N141" s="109" t="n">
        <v>84.98</v>
      </c>
      <c r="O141" s="109" t="n">
        <v>99.89</v>
      </c>
      <c r="P141" s="110">
        <f>IF(AND(ISNUMBER(O141),ISNUMBER(N141),N(N141)&gt;0),O141/N141-1,"")</f>
        <v/>
      </c>
      <c r="Q141" s="111">
        <f>IF(P141="","No List Price",IF(P141&lt;=0,"At/below price",IF(P141&lt;=0.12,"&lt;=12% STR zone",IF(P141&lt;=0.25,"12-25%","&gt;25% over"))))</f>
        <v/>
      </c>
      <c r="R141" s="109" t="n">
        <v>94.98999999999999</v>
      </c>
      <c r="S141" s="112">
        <f>IF(AND(ISNUMBER(N141),ISNUMBER(R141),N(R141)&gt;0),N141/R141-1,"")</f>
        <v/>
      </c>
      <c r="T141" s="39" t="inlineStr">
        <is>
          <t>Same size (Queen). Ours live: catalog price, 2026-10-13; 15 children</t>
        </is>
      </c>
      <c r="U141" s="108" t="n">
        <v>65907</v>
      </c>
      <c r="V141" s="108" t="n">
        <v>81</v>
      </c>
      <c r="W141" s="113">
        <f>IF(AND(ISNUMBER(N141),ISNUMBER(V141)),N141*V141*52/12,"")</f>
        <v/>
      </c>
      <c r="X141" s="114" t="n">
        <v>4.5</v>
      </c>
      <c r="Y141" s="108" t="n">
        <v>113</v>
      </c>
      <c r="Z141" s="115" t="n">
        <v>46307</v>
      </c>
      <c r="AA141" s="115" t="n"/>
      <c r="AB141" s="105" t="n"/>
      <c r="AC141" s="105" t="n"/>
      <c r="AD141" s="108" t="n">
        <v>212120</v>
      </c>
      <c r="AE141" s="108" t="n">
        <v>1732</v>
      </c>
      <c r="AF141" s="116" t="n">
        <v>0.1115827267584386</v>
      </c>
      <c r="AG141" s="116" t="n">
        <v>0.8884172883273614</v>
      </c>
      <c r="AH141" s="39" t="inlineStr">
        <is>
          <t>queen sheets</t>
        </is>
      </c>
      <c r="AI141" s="116" t="n">
        <v>0.8331840467659816</v>
      </c>
      <c r="AJ141" s="116" t="n">
        <v>0.2347161983782765</v>
      </c>
      <c r="AK141" s="116" t="n">
        <v>0.2670893833679049</v>
      </c>
      <c r="AL141" s="116" t="n"/>
      <c r="AM141" s="108" t="n">
        <v>866</v>
      </c>
      <c r="AN141" s="108" t="n">
        <v>383</v>
      </c>
      <c r="AO141" s="108" t="n">
        <v>428</v>
      </c>
      <c r="AP141" s="108" t="n">
        <v>866</v>
      </c>
      <c r="AQ141" s="108" t="n">
        <v>854</v>
      </c>
      <c r="AR141" s="108" t="n">
        <v>156</v>
      </c>
      <c r="AS141" s="117" t="n">
        <v>0.8073654390934845</v>
      </c>
      <c r="AT141" s="112" t="n">
        <v>0.4972677595628416</v>
      </c>
      <c r="AU141" s="118" t="inlineStr">
        <is>
          <t>Y</t>
        </is>
      </c>
      <c r="AV141" s="118" t="inlineStr">
        <is>
          <t>List Price</t>
        </is>
      </c>
      <c r="AW141" s="119" t="n">
        <v>99.89</v>
      </c>
      <c r="AX141" s="119" t="n">
        <v>84.98</v>
      </c>
      <c r="AY141" s="118" t="inlineStr">
        <is>
          <t>Limited time deal</t>
        </is>
      </c>
      <c r="AZ141" s="118" t="inlineStr">
        <is>
          <t>Y</t>
        </is>
      </c>
      <c r="BA141" s="118" t="inlineStr">
        <is>
          <t>2026-10-13 12:10:25</t>
        </is>
      </c>
      <c r="BB141" s="120" t="inlineStr">
        <is>
          <t>Not live in 2025</t>
        </is>
      </c>
      <c r="BC141" s="125" t="n"/>
      <c r="BD141" s="124" t="n"/>
      <c r="BE141" s="124" t="n"/>
      <c r="BF141" s="110">
        <f>IF(AND(ISNUMBER(BD141),ISNUMBER(BE141),N(BD141)&gt;0),1-BE141/BD141,"")</f>
        <v/>
      </c>
      <c r="BG141" s="126" t="n"/>
      <c r="BH141" s="126" t="n"/>
      <c r="BI141" s="123">
        <f>IF(AND(ISNUMBER(BG141),ISNUMBER(BH141),N(BH141)&gt;0),BG141/BH141,"")</f>
        <v/>
      </c>
      <c r="BJ141" s="125" t="n"/>
      <c r="BK141" s="125" t="n"/>
    </row>
    <row r="142" ht="62" customHeight="1">
      <c r="A142" s="12">
        <f>_xlfn.IMAGE("https://images-na.ssl-images-amazon.com/images/I/71HeTCWM4hL.jpg")</f>
        <v/>
      </c>
      <c r="B142" s="105" t="inlineStr">
        <is>
          <t>SONORO KATE</t>
        </is>
      </c>
      <c r="C142" s="39" t="inlineStr">
        <is>
          <t>SONORO KATE 100% Viscose Derived from Bamboo_Sheets Queen Size,4PC</t>
        </is>
      </c>
      <c r="D142" s="105" t="inlineStr">
        <is>
          <t>Beatable</t>
        </is>
      </c>
      <c r="E142" s="106" t="inlineStr">
        <is>
          <t>Direct</t>
        </is>
      </c>
      <c r="F142" s="105" t="inlineStr">
        <is>
          <t>Bamboo viscose</t>
        </is>
      </c>
      <c r="G142" s="39" t="inlineStr">
        <is>
          <t>Same product (sheet set) in the same material family: Bamboo viscose (product page material: Viscose Derived From Bamboo); ours: our listing: viscose from bamboo.</t>
        </is>
      </c>
      <c r="H142" s="107" t="inlineStr">
        <is>
          <t>B0F29FQLFD</t>
        </is>
      </c>
      <c r="I142" s="107" t="inlineStr">
        <is>
          <t>B0F29F1JM5</t>
        </is>
      </c>
      <c r="J142" s="105" t="inlineStr">
        <is>
          <t>Queen</t>
        </is>
      </c>
      <c r="K142" s="105" t="inlineStr">
        <is>
          <t>Dark Grey</t>
        </is>
      </c>
      <c r="L142" s="108" t="n">
        <v>42</v>
      </c>
      <c r="M142" s="39" t="inlineStr">
        <is>
          <t>B0F29F1JM5 (71%), B0F29HFNNS (19%)</t>
        </is>
      </c>
      <c r="N142" s="109" t="n">
        <v>59.99</v>
      </c>
      <c r="O142" s="109" t="n"/>
      <c r="P142" s="110">
        <f>IF(AND(ISNUMBER(O142),ISNUMBER(N142),N(N142)&gt;0),O142/N142-1,"")</f>
        <v/>
      </c>
      <c r="Q142" s="111">
        <f>IF(P142="","No List Price",IF(P142&lt;=0,"At/below price",IF(P142&lt;=0.12,"&lt;=12% STR zone",IF(P142&lt;=0.25,"12-25%","&gt;25% over"))))</f>
        <v/>
      </c>
      <c r="R142" s="109" t="n">
        <v>94.98999999999999</v>
      </c>
      <c r="S142" s="112">
        <f>IF(AND(ISNUMBER(N142),ISNUMBER(R142),N(R142)&gt;0),N142/R142-1,"")</f>
        <v/>
      </c>
      <c r="T142" s="39" t="inlineStr">
        <is>
          <t>Same size (Queen). Ours live: catalog price, 2026-10-13; 15 children</t>
        </is>
      </c>
      <c r="U142" s="108" t="n">
        <v>23979</v>
      </c>
      <c r="V142" s="108" t="n">
        <v>81</v>
      </c>
      <c r="W142" s="113">
        <f>IF(AND(ISNUMBER(N142),ISNUMBER(V142)),N142*V142*52/12,"")</f>
        <v/>
      </c>
      <c r="X142" s="114" t="n">
        <v>4.5</v>
      </c>
      <c r="Y142" s="108" t="n">
        <v>3911</v>
      </c>
      <c r="Z142" s="115" t="n">
        <v>46307</v>
      </c>
      <c r="AA142" s="115" t="n">
        <v>45740</v>
      </c>
      <c r="AB142" s="105" t="inlineStr">
        <is>
          <t>FBA</t>
        </is>
      </c>
      <c r="AC142" s="105" t="inlineStr">
        <is>
          <t>CN</t>
        </is>
      </c>
      <c r="AD142" s="108" t="n">
        <v>114504</v>
      </c>
      <c r="AE142" s="108" t="n">
        <v>947</v>
      </c>
      <c r="AF142" s="116" t="n">
        <v>0.8792897182631171</v>
      </c>
      <c r="AG142" s="116" t="n">
        <v>0.1207102817368825</v>
      </c>
      <c r="AH142" s="39" t="inlineStr">
        <is>
          <t>bamboo sheets</t>
        </is>
      </c>
      <c r="AI142" s="116" t="n">
        <v>0.3106878362327953</v>
      </c>
      <c r="AJ142" s="116" t="n"/>
      <c r="AK142" s="116" t="n"/>
      <c r="AL142" s="116" t="n">
        <v>0.03587647593097185</v>
      </c>
      <c r="AM142" s="108" t="n">
        <v>729</v>
      </c>
      <c r="AN142" s="108" t="n">
        <v>324</v>
      </c>
      <c r="AO142" s="108" t="n">
        <v>347</v>
      </c>
      <c r="AP142" s="108" t="n">
        <v>218</v>
      </c>
      <c r="AQ142" s="108" t="n">
        <v>59</v>
      </c>
      <c r="AR142" s="108" t="n">
        <v>16</v>
      </c>
      <c r="AS142" s="117" t="n">
        <v>1.095271210013908</v>
      </c>
      <c r="AT142" s="112" t="n">
        <v>-0.1040240897892143</v>
      </c>
      <c r="AU142" s="118" t="inlineStr">
        <is>
          <t>N</t>
        </is>
      </c>
      <c r="AV142" s="118" t="inlineStr">
        <is>
          <t>none</t>
        </is>
      </c>
      <c r="AW142" s="124" t="n"/>
      <c r="AX142" s="119" t="n">
        <v>59.99</v>
      </c>
      <c r="AY142" s="118" t="inlineStr">
        <is>
          <t>coupon 15%</t>
        </is>
      </c>
      <c r="AZ142" s="118" t="inlineStr">
        <is>
          <t>Y</t>
        </is>
      </c>
      <c r="BA142" s="118" t="inlineStr">
        <is>
          <t>2026-10-13 12:11:22</t>
        </is>
      </c>
      <c r="BB142" s="120" t="inlineStr">
        <is>
          <t>Prime Exclusive Discount</t>
        </is>
      </c>
      <c r="BC142" s="120" t="inlineStr">
        <is>
          <t>11-20 to 12-01</t>
        </is>
      </c>
      <c r="BD142" s="121" t="n">
        <v>59.99</v>
      </c>
      <c r="BE142" s="121" t="n">
        <v>47.99</v>
      </c>
      <c r="BF142" s="110">
        <f>IF(AND(ISNUMBER(BD142),ISNUMBER(BE142),N(BD142)&gt;0),1-BE142/BD142,"")</f>
        <v/>
      </c>
      <c r="BG142" s="122" t="n">
        <v>22774</v>
      </c>
      <c r="BH142" s="122" t="n">
        <v>19002</v>
      </c>
      <c r="BI142" s="123">
        <f>IF(AND(ISNUMBER(BG142),ISNUMBER(BH142),N(BH142)&gt;0),BG142/BH142,"")</f>
        <v/>
      </c>
      <c r="BJ142" s="120" t="inlineStr">
        <is>
          <t>N</t>
        </is>
      </c>
      <c r="BK142" s="120" t="inlineStr">
        <is>
          <t>Coupon 10% (11-04 to 12-05); List Price $59.99</t>
        </is>
      </c>
    </row>
    <row r="143" ht="62" customHeight="1">
      <c r="A143" s="12">
        <f>_xlfn.IMAGE("https://m.media-amazon.com/images/I/71fKTruZ7YL._AC_SL1500_.jpg")</f>
        <v/>
      </c>
      <c r="B143" s="105" t="inlineStr">
        <is>
          <t>Davmabcjy</t>
        </is>
      </c>
      <c r="C143" s="39" t="inlineStr">
        <is>
          <t>100% Organically Grown Bamboo Viscose King Sheet Set with Pockets on Side</t>
        </is>
      </c>
      <c r="D143" s="105" t="inlineStr">
        <is>
          <t>Beatable</t>
        </is>
      </c>
      <c r="E143" s="106" t="inlineStr">
        <is>
          <t>Direct</t>
        </is>
      </c>
      <c r="F143" s="105" t="inlineStr">
        <is>
          <t>Bamboo viscose</t>
        </is>
      </c>
      <c r="G143" s="39" t="inlineStr">
        <is>
          <t>Same product (sheet set) in the same material family: Bamboo viscose (product page material: Rayon Derived from Bamboo); ours: our listing: viscose from bamboo.</t>
        </is>
      </c>
      <c r="H143" s="107" t="inlineStr">
        <is>
          <t>B0HJZNMQ5G</t>
        </is>
      </c>
      <c r="I143" s="107" t="inlineStr">
        <is>
          <t>B0GXJYQR7H</t>
        </is>
      </c>
      <c r="J143" s="105" t="inlineStr">
        <is>
          <t>King (Deep Fits 16" )</t>
        </is>
      </c>
      <c r="K143" s="105" t="inlineStr">
        <is>
          <t>Dark Grey-side Pockets</t>
        </is>
      </c>
      <c r="L143" s="108" t="n">
        <v>7</v>
      </c>
      <c r="M143" s="39" t="inlineStr">
        <is>
          <t>B0GXJYQR7H (55%), B0GXJPP4YQ (31%)</t>
        </is>
      </c>
      <c r="N143" s="109" t="n">
        <v>59.99</v>
      </c>
      <c r="O143" s="109" t="n"/>
      <c r="P143" s="110">
        <f>IF(AND(ISNUMBER(O143),ISNUMBER(N143),N(N143)&gt;0),O143/N143-1,"")</f>
        <v/>
      </c>
      <c r="Q143" s="111">
        <f>IF(P143="","No List Price",IF(P143&lt;=0,"At/below price",IF(P143&lt;=0.12,"&lt;=12% STR zone",IF(P143&lt;=0.25,"12-25%","&gt;25% over"))))</f>
        <v/>
      </c>
      <c r="R143" s="109" t="n">
        <v>99.98999999999999</v>
      </c>
      <c r="S143" s="112">
        <f>IF(AND(ISNUMBER(N143),ISNUMBER(R143),N(R143)&gt;0),N143/R143-1,"")</f>
        <v/>
      </c>
      <c r="T143" s="39" t="inlineStr">
        <is>
          <t>Same size (King). Ours live: catalog price, 2026-10-13; 15 children</t>
        </is>
      </c>
      <c r="U143" s="108" t="n">
        <v>205508</v>
      </c>
      <c r="V143" s="108" t="n">
        <v>35</v>
      </c>
      <c r="W143" s="113">
        <f>IF(AND(ISNUMBER(N143),ISNUMBER(V143)),N143*V143*52/12,"")</f>
        <v/>
      </c>
      <c r="X143" s="114" t="n">
        <v>4.2</v>
      </c>
      <c r="Y143" s="108" t="n">
        <v>81</v>
      </c>
      <c r="Z143" s="115" t="n">
        <v>46307</v>
      </c>
      <c r="AA143" s="115" t="n"/>
      <c r="AB143" s="105" t="n"/>
      <c r="AC143" s="105" t="n"/>
      <c r="AD143" s="108" t="n">
        <v>75425</v>
      </c>
      <c r="AE143" s="108" t="n">
        <v>1329</v>
      </c>
      <c r="AF143" s="116" t="n">
        <v>0.8470417779250914</v>
      </c>
      <c r="AG143" s="116" t="n">
        <v>0.1529598766987073</v>
      </c>
      <c r="AH143" s="39" t="inlineStr">
        <is>
          <t>bamboo sheets</t>
        </is>
      </c>
      <c r="AI143" s="116" t="n">
        <v>0.4214782896917468</v>
      </c>
      <c r="AJ143" s="116" t="n"/>
      <c r="AK143" s="116" t="n"/>
      <c r="AL143" s="116" t="n">
        <v>0.01059330460722572</v>
      </c>
      <c r="AM143" s="108" t="n">
        <v>783</v>
      </c>
      <c r="AN143" s="108" t="n">
        <v>332</v>
      </c>
      <c r="AO143" s="108" t="n">
        <v>367</v>
      </c>
      <c r="AP143" s="108" t="n">
        <v>546</v>
      </c>
      <c r="AQ143" s="108" t="n">
        <v>285</v>
      </c>
      <c r="AR143" s="108" t="n">
        <v>30</v>
      </c>
      <c r="AS143" s="117" t="n"/>
      <c r="AT143" s="112" t="n"/>
      <c r="AU143" s="118" t="inlineStr">
        <is>
          <t>N</t>
        </is>
      </c>
      <c r="AV143" s="118" t="inlineStr">
        <is>
          <t>none</t>
        </is>
      </c>
      <c r="AW143" s="124" t="n"/>
      <c r="AX143" s="119" t="n">
        <v>59.99</v>
      </c>
      <c r="AY143" s="118" t="inlineStr">
        <is>
          <t>none</t>
        </is>
      </c>
      <c r="AZ143" s="118" t="inlineStr">
        <is>
          <t>Y</t>
        </is>
      </c>
      <c r="BA143" s="118" t="inlineStr">
        <is>
          <t>2026-10-13 12:10:48</t>
        </is>
      </c>
      <c r="BB143" s="120" t="inlineStr">
        <is>
          <t>Not live in 2025</t>
        </is>
      </c>
      <c r="BC143" s="125" t="n"/>
      <c r="BD143" s="124" t="n"/>
      <c r="BE143" s="124" t="n"/>
      <c r="BF143" s="110">
        <f>IF(AND(ISNUMBER(BD143),ISNUMBER(BE143),N(BD143)&gt;0),1-BE143/BD143,"")</f>
        <v/>
      </c>
      <c r="BG143" s="126" t="n"/>
      <c r="BH143" s="126" t="n"/>
      <c r="BI143" s="123">
        <f>IF(AND(ISNUMBER(BG143),ISNUMBER(BH143),N(BH143)&gt;0),BG143/BH143,"")</f>
        <v/>
      </c>
      <c r="BJ143" s="125" t="n"/>
      <c r="BK143" s="125" t="n"/>
    </row>
    <row r="144" ht="62" customHeight="1">
      <c r="A144" s="12">
        <f>_xlfn.IMAGE("https://images-na.ssl-images-amazon.com/images/I/710aWpCd4AL.jpg")</f>
        <v/>
      </c>
      <c r="B144" s="105" t="inlineStr">
        <is>
          <t>DOZ by SIJO</t>
        </is>
      </c>
      <c r="C144" s="39" t="inlineStr">
        <is>
          <t>Bamboo Sheets</t>
        </is>
      </c>
      <c r="D144" s="105" t="inlineStr">
        <is>
          <t>Beatable</t>
        </is>
      </c>
      <c r="E144" s="106" t="inlineStr">
        <is>
          <t>Direct</t>
        </is>
      </c>
      <c r="F144" s="105" t="inlineStr">
        <is>
          <t>Bamboo viscose</t>
        </is>
      </c>
      <c r="G144" s="39" t="inlineStr">
        <is>
          <t>Same product (sheet set) in the same material family: Bamboo viscose (product page material: Rayon); ours: our listing: viscose from bamboo.</t>
        </is>
      </c>
      <c r="H144" s="107" t="inlineStr">
        <is>
          <t>B0DCZGYVZ9</t>
        </is>
      </c>
      <c r="I144" s="107" t="inlineStr">
        <is>
          <t>B0F24TRXCZ</t>
        </is>
      </c>
      <c r="J144" s="105" t="inlineStr">
        <is>
          <t>Queen</t>
        </is>
      </c>
      <c r="K144" s="105" t="inlineStr">
        <is>
          <t>Olive</t>
        </is>
      </c>
      <c r="L144" s="108" t="n">
        <v>131</v>
      </c>
      <c r="M144" s="39" t="inlineStr">
        <is>
          <t>B0B8JLLT45 (39%), B0B8JK78HR (6%), B0CS36MKM9 (5%), B0BRWD6PRK (4%), B0B9T44SJV (4%)</t>
        </is>
      </c>
      <c r="N144" s="109" t="n">
        <v>55</v>
      </c>
      <c r="O144" s="109" t="n"/>
      <c r="P144" s="110">
        <f>IF(AND(ISNUMBER(O144),ISNUMBER(N144),N(N144)&gt;0),O144/N144-1,"")</f>
        <v/>
      </c>
      <c r="Q144" s="111">
        <f>IF(P144="","No List Price",IF(P144&lt;=0,"At/below price",IF(P144&lt;=0.12,"&lt;=12% STR zone",IF(P144&lt;=0.25,"12-25%","&gt;25% over"))))</f>
        <v/>
      </c>
      <c r="R144" s="109" t="n">
        <v>94.98999999999999</v>
      </c>
      <c r="S144" s="112">
        <f>IF(AND(ISNUMBER(N144),ISNUMBER(R144),N(R144)&gt;0),N144/R144-1,"")</f>
        <v/>
      </c>
      <c r="T144" s="39" t="inlineStr">
        <is>
          <t>Same size (Queen). Ours live: catalog price, 2026-10-13; 15 children</t>
        </is>
      </c>
      <c r="U144" s="108" t="n">
        <v>4051</v>
      </c>
      <c r="V144" s="108" t="n">
        <v>35</v>
      </c>
      <c r="W144" s="113">
        <f>IF(AND(ISNUMBER(N144),ISNUMBER(V144)),N144*V144*52/12,"")</f>
        <v/>
      </c>
      <c r="X144" s="114" t="n">
        <v>4.4</v>
      </c>
      <c r="Y144" s="108" t="n">
        <v>1909</v>
      </c>
      <c r="Z144" s="115" t="n">
        <v>46307</v>
      </c>
      <c r="AA144" s="115" t="n"/>
      <c r="AB144" s="105" t="n"/>
      <c r="AC144" s="105" t="n"/>
      <c r="AD144" s="108" t="n">
        <v>171534</v>
      </c>
      <c r="AE144" s="108" t="n">
        <v>2682</v>
      </c>
      <c r="AF144" s="116" t="n">
        <v>0.5544749851341424</v>
      </c>
      <c r="AG144" s="116" t="n">
        <v>0.4455250335210511</v>
      </c>
      <c r="AH144" s="39" t="inlineStr">
        <is>
          <t>bamboo sheets</t>
        </is>
      </c>
      <c r="AI144" s="116" t="n">
        <v>0.8981426422750008</v>
      </c>
      <c r="AJ144" s="116" t="n">
        <v>0.06748516329124256</v>
      </c>
      <c r="AK144" s="116" t="n">
        <v>0.2462310678932456</v>
      </c>
      <c r="AL144" s="116" t="n">
        <v>0.0526193057936036</v>
      </c>
      <c r="AM144" s="108" t="n">
        <v>1223</v>
      </c>
      <c r="AN144" s="108" t="n">
        <v>462</v>
      </c>
      <c r="AO144" s="108" t="n">
        <v>649</v>
      </c>
      <c r="AP144" s="108" t="n">
        <v>1459</v>
      </c>
      <c r="AQ144" s="108" t="n">
        <v>549</v>
      </c>
      <c r="AR144" s="108" t="n">
        <v>114</v>
      </c>
      <c r="AS144" s="117" t="n"/>
      <c r="AT144" s="112" t="n"/>
      <c r="AU144" s="118" t="inlineStr">
        <is>
          <t>N</t>
        </is>
      </c>
      <c r="AV144" s="118" t="inlineStr">
        <is>
          <t>none</t>
        </is>
      </c>
      <c r="AW144" s="124" t="n"/>
      <c r="AX144" s="119" t="n">
        <v>55</v>
      </c>
      <c r="AY144" s="118" t="inlineStr">
        <is>
          <t>none</t>
        </is>
      </c>
      <c r="AZ144" s="118" t="inlineStr">
        <is>
          <t>Y</t>
        </is>
      </c>
      <c r="BA144" s="118" t="inlineStr">
        <is>
          <t>2026-10-13 12:10:45</t>
        </is>
      </c>
      <c r="BB144" s="120" t="inlineStr">
        <is>
          <t>None</t>
        </is>
      </c>
      <c r="BC144" s="125" t="n"/>
      <c r="BD144" s="121" t="n">
        <v>55</v>
      </c>
      <c r="BE144" s="121" t="n">
        <v>55</v>
      </c>
      <c r="BF144" s="110">
        <f>IF(AND(ISNUMBER(BD144),ISNUMBER(BE144),N(BD144)&gt;0),1-BE144/BD144,"")</f>
        <v/>
      </c>
      <c r="BG144" s="122" t="n">
        <v>3634538</v>
      </c>
      <c r="BH144" s="122" t="n">
        <v>3088925</v>
      </c>
      <c r="BI144" s="123">
        <f>IF(AND(ISNUMBER(BG144),ISNUMBER(BH144),N(BH144)&gt;0),BG144/BH144,"")</f>
        <v/>
      </c>
      <c r="BJ144" s="120" t="inlineStr">
        <is>
          <t>N</t>
        </is>
      </c>
      <c r="BK144" s="120" t="inlineStr">
        <is>
          <t>List Price $55.00</t>
        </is>
      </c>
    </row>
    <row r="145" ht="62" customHeight="1">
      <c r="A145" s="12">
        <f>_xlfn.IMAGE("https://images-na.ssl-images-amazon.com/images/I/81EdgN1LRmL.jpg")</f>
        <v/>
      </c>
      <c r="B145" s="105" t="inlineStr">
        <is>
          <t>GOKOTTA</t>
        </is>
      </c>
      <c r="C145" s="39" t="inlineStr">
        <is>
          <t>GOKOTTA King Bamboo Rayon Sheets Set, Silky Soft Cooling Sheets Stay Put</t>
        </is>
      </c>
      <c r="D145" s="105" t="inlineStr">
        <is>
          <t>Beatable</t>
        </is>
      </c>
      <c r="E145" s="106" t="inlineStr">
        <is>
          <t>Direct</t>
        </is>
      </c>
      <c r="F145" s="105" t="inlineStr">
        <is>
          <t>Bamboo viscose</t>
        </is>
      </c>
      <c r="G145" s="39" t="inlineStr">
        <is>
          <t>Same product (sheet set) in the same material family: Bamboo viscose (product page material: Bamboo Rayon); ours: our listing: viscose from bamboo.</t>
        </is>
      </c>
      <c r="H145" s="107" t="inlineStr">
        <is>
          <t>B09WV7RN1V</t>
        </is>
      </c>
      <c r="I145" s="107" t="inlineStr">
        <is>
          <t>B0BR53P7DY</t>
        </is>
      </c>
      <c r="J145" s="105" t="inlineStr">
        <is>
          <t>King - 4 PCS</t>
        </is>
      </c>
      <c r="K145" s="105" t="inlineStr">
        <is>
          <t>00 Bright White</t>
        </is>
      </c>
      <c r="L145" s="108" t="n">
        <v>99</v>
      </c>
      <c r="M145" s="39" t="inlineStr">
        <is>
          <t>B0B6VQC7LD (30%), B0BR53P7DY (17%), B07TYC979L (10%), B0BL77QB6N (9%), B0FW3T96RQ (7%)</t>
        </is>
      </c>
      <c r="N145" s="109" t="n">
        <v>109</v>
      </c>
      <c r="O145" s="109" t="n"/>
      <c r="P145" s="110">
        <f>IF(AND(ISNUMBER(O145),ISNUMBER(N145),N(N145)&gt;0),O145/N145-1,"")</f>
        <v/>
      </c>
      <c r="Q145" s="111">
        <f>IF(P145="","No List Price",IF(P145&lt;=0,"At/below price",IF(P145&lt;=0.12,"&lt;=12% STR zone",IF(P145&lt;=0.25,"12-25%","&gt;25% over"))))</f>
        <v/>
      </c>
      <c r="R145" s="109" t="n">
        <v>99.98999999999999</v>
      </c>
      <c r="S145" s="112">
        <f>IF(AND(ISNUMBER(N145),ISNUMBER(R145),N(R145)&gt;0),N145/R145-1,"")</f>
        <v/>
      </c>
      <c r="T145" s="39" t="inlineStr">
        <is>
          <t>Same size (King). Ours live: catalog price, 2026-10-13; 15 children</t>
        </is>
      </c>
      <c r="U145" s="108" t="n">
        <v>16154</v>
      </c>
      <c r="V145" s="108" t="n">
        <v>35</v>
      </c>
      <c r="W145" s="113">
        <f>IF(AND(ISNUMBER(N145),ISNUMBER(V145)),N145*V145*52/12,"")</f>
        <v/>
      </c>
      <c r="X145" s="114" t="n">
        <v>4.4</v>
      </c>
      <c r="Y145" s="108" t="n">
        <v>3371</v>
      </c>
      <c r="Z145" s="115" t="n">
        <v>46307</v>
      </c>
      <c r="AA145" s="115" t="n">
        <v>44922</v>
      </c>
      <c r="AB145" s="105" t="inlineStr">
        <is>
          <t>FBA</t>
        </is>
      </c>
      <c r="AC145" s="105" t="inlineStr">
        <is>
          <t>TH</t>
        </is>
      </c>
      <c r="AD145" s="108" t="n">
        <v>76017</v>
      </c>
      <c r="AE145" s="108" t="n">
        <v>1577</v>
      </c>
      <c r="AF145" s="116" t="n">
        <v>0.8206756843863878</v>
      </c>
      <c r="AG145" s="116" t="n">
        <v>0.1793245681886948</v>
      </c>
      <c r="AH145" s="39" t="inlineStr">
        <is>
          <t>bamboo sheets</t>
        </is>
      </c>
      <c r="AI145" s="116" t="n">
        <v>0.9048633858215925</v>
      </c>
      <c r="AJ145" s="116" t="n">
        <v>0.08220529618374837</v>
      </c>
      <c r="AK145" s="116" t="n">
        <v>0.8497046713235198</v>
      </c>
      <c r="AL145" s="116" t="n">
        <v>0.03862293960561453</v>
      </c>
      <c r="AM145" s="108" t="n">
        <v>754</v>
      </c>
      <c r="AN145" s="108" t="n">
        <v>491</v>
      </c>
      <c r="AO145" s="108" t="n">
        <v>167</v>
      </c>
      <c r="AP145" s="108" t="n">
        <v>823</v>
      </c>
      <c r="AQ145" s="108" t="n">
        <v>218</v>
      </c>
      <c r="AR145" s="108" t="n">
        <v>71</v>
      </c>
      <c r="AS145" s="117" t="n"/>
      <c r="AT145" s="112" t="n"/>
      <c r="AU145" s="118" t="inlineStr">
        <is>
          <t>N</t>
        </is>
      </c>
      <c r="AV145" s="118" t="inlineStr">
        <is>
          <t>none</t>
        </is>
      </c>
      <c r="AW145" s="124" t="n"/>
      <c r="AX145" s="119" t="n">
        <v>109</v>
      </c>
      <c r="AY145" s="118" t="inlineStr">
        <is>
          <t>none</t>
        </is>
      </c>
      <c r="AZ145" s="118" t="inlineStr">
        <is>
          <t>Y</t>
        </is>
      </c>
      <c r="BA145" s="118" t="inlineStr">
        <is>
          <t>2026-10-13 12:10:51</t>
        </is>
      </c>
      <c r="BB145" s="120" t="inlineStr">
        <is>
          <t>Price cut only</t>
        </is>
      </c>
      <c r="BC145" s="120" t="inlineStr">
        <is>
          <t>11-20 to 12-01</t>
        </is>
      </c>
      <c r="BD145" s="121" t="n">
        <v>105</v>
      </c>
      <c r="BE145" s="121" t="n">
        <v>84</v>
      </c>
      <c r="BF145" s="110">
        <f>IF(AND(ISNUMBER(BD145),ISNUMBER(BE145),N(BD145)&gt;0),1-BE145/BD145,"")</f>
        <v/>
      </c>
      <c r="BG145" s="122" t="n">
        <v>20103</v>
      </c>
      <c r="BH145" s="122" t="n">
        <v>13630</v>
      </c>
      <c r="BI145" s="123">
        <f>IF(AND(ISNUMBER(BG145),ISNUMBER(BH145),N(BH145)&gt;0),BG145/BH145,"")</f>
        <v/>
      </c>
      <c r="BJ145" s="120" t="inlineStr">
        <is>
          <t>N</t>
        </is>
      </c>
      <c r="BK145" s="120" t="inlineStr">
        <is>
          <t>Lightning Deal 11-09 to 11-09; Coupon 10.00 USD, 20.00 USD (11-02 to 11-18); List Price $105.00</t>
        </is>
      </c>
    </row>
    <row r="146" ht="62" customHeight="1">
      <c r="A146" s="12">
        <f>_xlfn.IMAGE("https://images-na.ssl-images-amazon.com/images/I/71rcYip7GcL.jpg")</f>
        <v/>
      </c>
      <c r="B146" s="105" t="inlineStr">
        <is>
          <t>KARISSA MAE</t>
        </is>
      </c>
      <c r="C146" s="39" t="inlineStr">
        <is>
          <t>Cooling Sheets</t>
        </is>
      </c>
      <c r="D146" s="105" t="inlineStr">
        <is>
          <t>Beatable</t>
        </is>
      </c>
      <c r="E146" s="106" t="inlineStr">
        <is>
          <t>Direct</t>
        </is>
      </c>
      <c r="F146" s="105" t="inlineStr">
        <is>
          <t>Bamboo viscose</t>
        </is>
      </c>
      <c r="G146" s="39" t="inlineStr">
        <is>
          <t>Same product (sheet set) in the same material family: Bamboo viscose (product page material: Organically Grown Bamboo Viscose); ours: our listing: viscose from bamboo.</t>
        </is>
      </c>
      <c r="H146" s="107" t="inlineStr">
        <is>
          <t>B0GT172Y8L</t>
        </is>
      </c>
      <c r="I146" s="107" t="inlineStr">
        <is>
          <t>B0G1CSCQTB</t>
        </is>
      </c>
      <c r="J146" s="105" t="inlineStr">
        <is>
          <t>King - 2 Pillowcases</t>
        </is>
      </c>
      <c r="K146" s="105" t="inlineStr">
        <is>
          <t>10 - Mocha</t>
        </is>
      </c>
      <c r="L146" s="108" t="n">
        <v>138</v>
      </c>
      <c r="M146" s="39" t="inlineStr">
        <is>
          <t>B0F9X7MV5B (14%), B0G1CSCQTB (10%), B0F9X8BNQB (7%), B0F9X6KTQW (6%), B0GH24C6XY (6%)</t>
        </is>
      </c>
      <c r="N146" s="109" t="n">
        <v>119.99</v>
      </c>
      <c r="O146" s="109" t="n"/>
      <c r="P146" s="110">
        <f>IF(AND(ISNUMBER(O146),ISNUMBER(N146),N(N146)&gt;0),O146/N146-1,"")</f>
        <v/>
      </c>
      <c r="Q146" s="111">
        <f>IF(P146="","No List Price",IF(P146&lt;=0,"At/below price",IF(P146&lt;=0.12,"&lt;=12% STR zone",IF(P146&lt;=0.25,"12-25%","&gt;25% over"))))</f>
        <v/>
      </c>
      <c r="R146" s="109" t="n">
        <v>99.98999999999999</v>
      </c>
      <c r="S146" s="112">
        <f>IF(AND(ISNUMBER(N146),ISNUMBER(R146),N(R146)&gt;0),N146/R146-1,"")</f>
        <v/>
      </c>
      <c r="T146" s="39" t="inlineStr">
        <is>
          <t>Same size (King). Ours live: catalog price, 2026-10-13; 15 children</t>
        </is>
      </c>
      <c r="U146" s="108" t="n">
        <v>15914</v>
      </c>
      <c r="V146" s="108" t="n">
        <v>35</v>
      </c>
      <c r="W146" s="113">
        <f>IF(AND(ISNUMBER(N146),ISNUMBER(V146)),N146*V146*52/12,"")</f>
        <v/>
      </c>
      <c r="X146" s="114" t="n">
        <v>4.3</v>
      </c>
      <c r="Y146" s="108" t="n">
        <v>474</v>
      </c>
      <c r="Z146" s="115" t="n">
        <v>46307</v>
      </c>
      <c r="AA146" s="115" t="n"/>
      <c r="AB146" s="105" t="n"/>
      <c r="AC146" s="105" t="n"/>
      <c r="AD146" s="108" t="n">
        <v>243610</v>
      </c>
      <c r="AE146" s="108" t="n">
        <v>3715</v>
      </c>
      <c r="AF146" s="116" t="n">
        <v>0.1385290000410493</v>
      </c>
      <c r="AG146" s="116" t="n">
        <v>0.8614710525019491</v>
      </c>
      <c r="AH146" s="39" t="inlineStr">
        <is>
          <t>bamboo sheets</t>
        </is>
      </c>
      <c r="AI146" s="116" t="n">
        <v>0.9938303025327367</v>
      </c>
      <c r="AJ146" s="116" t="n">
        <v>0.0306883953860679</v>
      </c>
      <c r="AK146" s="116" t="n">
        <v>0.01590657197980378</v>
      </c>
      <c r="AL146" s="116" t="n"/>
      <c r="AM146" s="108" t="n">
        <v>1526</v>
      </c>
      <c r="AN146" s="108" t="n">
        <v>772</v>
      </c>
      <c r="AO146" s="108" t="n">
        <v>551</v>
      </c>
      <c r="AP146" s="108" t="n">
        <v>2189</v>
      </c>
      <c r="AQ146" s="108" t="n">
        <v>1255</v>
      </c>
      <c r="AR146" s="108" t="n">
        <v>261</v>
      </c>
      <c r="AS146" s="117" t="n">
        <v>2.102564102564103</v>
      </c>
      <c r="AT146" s="112" t="n">
        <v>-0.8771186440677966</v>
      </c>
      <c r="AU146" s="118" t="inlineStr">
        <is>
          <t>N</t>
        </is>
      </c>
      <c r="AV146" s="118" t="inlineStr">
        <is>
          <t>none</t>
        </is>
      </c>
      <c r="AW146" s="124" t="n"/>
      <c r="AX146" s="119" t="n">
        <v>119.99</v>
      </c>
      <c r="AY146" s="118" t="inlineStr">
        <is>
          <t>none</t>
        </is>
      </c>
      <c r="AZ146" s="118" t="inlineStr">
        <is>
          <t>Y</t>
        </is>
      </c>
      <c r="BA146" s="118" t="inlineStr">
        <is>
          <t>2026-10-13 12:10:57</t>
        </is>
      </c>
      <c r="BB146" s="125" t="n"/>
      <c r="BC146" s="125" t="n"/>
      <c r="BD146" s="124" t="n"/>
      <c r="BE146" s="124" t="n"/>
      <c r="BF146" s="110">
        <f>IF(AND(ISNUMBER(BD146),ISNUMBER(BE146),N(BD146)&gt;0),1-BE146/BD146,"")</f>
        <v/>
      </c>
      <c r="BG146" s="126" t="n"/>
      <c r="BH146" s="126" t="n"/>
      <c r="BI146" s="123">
        <f>IF(AND(ISNUMBER(BG146),ISNUMBER(BH146),N(BH146)&gt;0),BG146/BH146,"")</f>
        <v/>
      </c>
      <c r="BJ146" s="125" t="n"/>
      <c r="BK146" s="120" t="inlineStr">
        <is>
          <t>No Buy Box history in price history for BFCM 2025</t>
        </is>
      </c>
    </row>
    <row r="147" ht="62" customHeight="1">
      <c r="A147" s="12">
        <f>_xlfn.IMAGE("https://m.media-amazon.com/images/I/71sMGbbi-RL._AC_SL1500_.jpg")</f>
        <v/>
      </c>
      <c r="B147" s="105" t="inlineStr">
        <is>
          <t>Bamboo Bay</t>
        </is>
      </c>
      <c r="C147" s="39" t="inlineStr">
        <is>
          <t>Bamboo Bay 4 Piece Queen Size Sheet Set, 100% Viscose Made from Bamboo, Breathab</t>
        </is>
      </c>
      <c r="D147" s="105" t="inlineStr">
        <is>
          <t>Beatable</t>
        </is>
      </c>
      <c r="E147" s="106" t="inlineStr">
        <is>
          <t>Direct</t>
        </is>
      </c>
      <c r="F147" s="105" t="inlineStr">
        <is>
          <t>Bamboo viscose</t>
        </is>
      </c>
      <c r="G147" s="39" t="inlineStr">
        <is>
          <t>Same product (sheet set) in the same material family: Bamboo viscose (product page material: Viscose Made from Bamboo); ours: our listing: viscose from bamboo.</t>
        </is>
      </c>
      <c r="H147" s="107" t="inlineStr">
        <is>
          <t>B0DLD8982V</t>
        </is>
      </c>
      <c r="I147" s="107" t="inlineStr">
        <is>
          <t>B08M9QK14J</t>
        </is>
      </c>
      <c r="J147" s="105" t="inlineStr">
        <is>
          <t>Queen</t>
        </is>
      </c>
      <c r="K147" s="105" t="inlineStr">
        <is>
          <t>01 - White</t>
        </is>
      </c>
      <c r="L147" s="108" t="n">
        <v>20</v>
      </c>
      <c r="M147" s="39" t="inlineStr">
        <is>
          <t>B08M9QK14J (86%)</t>
        </is>
      </c>
      <c r="N147" s="109" t="n">
        <v>89.98</v>
      </c>
      <c r="O147" s="109" t="n"/>
      <c r="P147" s="110">
        <f>IF(AND(ISNUMBER(O147),ISNUMBER(N147),N(N147)&gt;0),O147/N147-1,"")</f>
        <v/>
      </c>
      <c r="Q147" s="111">
        <f>IF(P147="","No List Price",IF(P147&lt;=0,"At/below price",IF(P147&lt;=0.12,"&lt;=12% STR zone",IF(P147&lt;=0.25,"12-25%","&gt;25% over"))))</f>
        <v/>
      </c>
      <c r="R147" s="109" t="n">
        <v>94.98999999999999</v>
      </c>
      <c r="S147" s="112">
        <f>IF(AND(ISNUMBER(N147),ISNUMBER(R147),N(R147)&gt;0),N147/R147-1,"")</f>
        <v/>
      </c>
      <c r="T147" s="39" t="inlineStr">
        <is>
          <t>Same size (Queen). Ours live: catalog price, 2026-10-13; 15 children</t>
        </is>
      </c>
      <c r="U147" s="108" t="n">
        <v>263209</v>
      </c>
      <c r="V147" s="108" t="n">
        <v>18</v>
      </c>
      <c r="W147" s="113">
        <f>IF(AND(ISNUMBER(N147),ISNUMBER(V147)),N147*V147*52/12,"")</f>
        <v/>
      </c>
      <c r="X147" s="114" t="n">
        <v>4.4</v>
      </c>
      <c r="Y147" s="108" t="n">
        <v>739</v>
      </c>
      <c r="Z147" s="115" t="n">
        <v>46307</v>
      </c>
      <c r="AA147" s="115" t="n"/>
      <c r="AB147" s="105" t="n"/>
      <c r="AC147" s="105" t="n"/>
      <c r="AD147" s="108" t="n">
        <v>67928</v>
      </c>
      <c r="AE147" s="108" t="n">
        <v>1037</v>
      </c>
      <c r="AF147" s="116" t="n">
        <v>0.313496176834295</v>
      </c>
      <c r="AG147" s="116" t="n">
        <v>0.6865047653397713</v>
      </c>
      <c r="AH147" s="39" t="inlineStr">
        <is>
          <t>bamboo sheets</t>
        </is>
      </c>
      <c r="AI147" s="116" t="n">
        <v>0.9942144623719232</v>
      </c>
      <c r="AJ147" s="116" t="n"/>
      <c r="AK147" s="116" t="n"/>
      <c r="AL147" s="116" t="n"/>
      <c r="AM147" s="108" t="n">
        <v>585</v>
      </c>
      <c r="AN147" s="108" t="n">
        <v>376</v>
      </c>
      <c r="AO147" s="108" t="n">
        <v>135</v>
      </c>
      <c r="AP147" s="108" t="n">
        <v>452</v>
      </c>
      <c r="AQ147" s="108" t="n">
        <v>253</v>
      </c>
      <c r="AR147" s="108" t="n">
        <v>149</v>
      </c>
      <c r="AS147" s="117" t="n">
        <v>0.7336182336182336</v>
      </c>
      <c r="AT147" s="112" t="n">
        <v>-0.2877906976744186</v>
      </c>
      <c r="AU147" s="118" t="inlineStr">
        <is>
          <t>N</t>
        </is>
      </c>
      <c r="AV147" s="118" t="inlineStr">
        <is>
          <t>none</t>
        </is>
      </c>
      <c r="AW147" s="124" t="n"/>
      <c r="AX147" s="119" t="n">
        <v>89.98</v>
      </c>
      <c r="AY147" s="118" t="inlineStr">
        <is>
          <t>none</t>
        </is>
      </c>
      <c r="AZ147" s="118" t="inlineStr">
        <is>
          <t>Y</t>
        </is>
      </c>
      <c r="BA147" s="118" t="inlineStr">
        <is>
          <t>2026-10-13 12:10:31</t>
        </is>
      </c>
      <c r="BB147" s="120" t="inlineStr">
        <is>
          <t>None</t>
        </is>
      </c>
      <c r="BC147" s="125" t="n"/>
      <c r="BD147" s="121" t="n">
        <v>64.98999999999999</v>
      </c>
      <c r="BE147" s="121" t="n">
        <v>99.98</v>
      </c>
      <c r="BF147" s="110">
        <f>IF(AND(ISNUMBER(BD147),ISNUMBER(BE147),N(BD147)&gt;0),1-BE147/BD147,"")</f>
        <v/>
      </c>
      <c r="BG147" s="122" t="n">
        <v>136345</v>
      </c>
      <c r="BH147" s="122" t="n">
        <v>252933</v>
      </c>
      <c r="BI147" s="123">
        <f>IF(AND(ISNUMBER(BG147),ISNUMBER(BH147),N(BH147)&gt;0),BG147/BH147,"")</f>
        <v/>
      </c>
      <c r="BJ147" s="120" t="inlineStr">
        <is>
          <t>N</t>
        </is>
      </c>
      <c r="BK147" s="120" t="inlineStr">
        <is>
          <t>Buy Box RAISED in BFCM week (median $99.98 vs $64.99 before); List Price $129.98</t>
        </is>
      </c>
    </row>
    <row r="148" ht="62" customHeight="1">
      <c r="A148" s="12">
        <f>_xlfn.IMAGE("https://m.media-amazon.com/images/I/71MnWA4xzHL._AC_SL1500_.jpg")</f>
        <v/>
      </c>
      <c r="B148" s="105" t="inlineStr">
        <is>
          <t>California Design Den</t>
        </is>
      </c>
      <c r="C148" s="39" t="inlineStr">
        <is>
          <t>California Design Den 100% Viscose from Bamboo Sheets Queen, Dark Olive</t>
        </is>
      </c>
      <c r="D148" s="105" t="inlineStr">
        <is>
          <t>Beatable</t>
        </is>
      </c>
      <c r="E148" s="106" t="inlineStr">
        <is>
          <t>Direct</t>
        </is>
      </c>
      <c r="F148" s="105" t="inlineStr">
        <is>
          <t>Bamboo viscose</t>
        </is>
      </c>
      <c r="G148" s="39" t="inlineStr">
        <is>
          <t>Same product (sheet set) in the same material family: Bamboo viscose (product page material: Viscose Derived from Bamboo); ours: our listing: viscose from bamboo.</t>
        </is>
      </c>
      <c r="H148" s="107" t="inlineStr">
        <is>
          <t>B0HFBJPD56</t>
        </is>
      </c>
      <c r="I148" s="107" t="inlineStr">
        <is>
          <t>B0GWHPJ9SD</t>
        </is>
      </c>
      <c r="J148" s="105" t="inlineStr">
        <is>
          <t>Queen</t>
        </is>
      </c>
      <c r="K148" s="105" t="inlineStr">
        <is>
          <t>Bright White</t>
        </is>
      </c>
      <c r="L148" s="108" t="n">
        <v>81</v>
      </c>
      <c r="M148" s="39" t="inlineStr">
        <is>
          <t>B0GWHFGLVL (32%), B0GWHPJ9SD (10%), B0GWHMSZYL (8%), B0GWHGS5BM (5%), B0GWHCHY3Q (5%)</t>
        </is>
      </c>
      <c r="N148" s="109" t="n">
        <v>89.98999999999999</v>
      </c>
      <c r="O148" s="109" t="n"/>
      <c r="P148" s="110">
        <f>IF(AND(ISNUMBER(O148),ISNUMBER(N148),N(N148)&gt;0),O148/N148-1,"")</f>
        <v/>
      </c>
      <c r="Q148" s="111">
        <f>IF(P148="","No List Price",IF(P148&lt;=0,"At/below price",IF(P148&lt;=0.12,"&lt;=12% STR zone",IF(P148&lt;=0.25,"12-25%","&gt;25% over"))))</f>
        <v/>
      </c>
      <c r="R148" s="109" t="n">
        <v>94.98999999999999</v>
      </c>
      <c r="S148" s="112">
        <f>IF(AND(ISNUMBER(N148),ISNUMBER(R148),N(R148)&gt;0),N148/R148-1,"")</f>
        <v/>
      </c>
      <c r="T148" s="39" t="inlineStr">
        <is>
          <t>Same size (Queen). Ours live: catalog price, 2026-10-13; 15 children</t>
        </is>
      </c>
      <c r="U148" s="108" t="n">
        <v>21237</v>
      </c>
      <c r="V148" s="108" t="n">
        <v>18</v>
      </c>
      <c r="W148" s="113">
        <f>IF(AND(ISNUMBER(N148),ISNUMBER(V148)),N148*V148*52/12,"")</f>
        <v/>
      </c>
      <c r="X148" s="114" t="n">
        <v>4.6</v>
      </c>
      <c r="Y148" s="108" t="n">
        <v>76</v>
      </c>
      <c r="Z148" s="115" t="n">
        <v>46307</v>
      </c>
      <c r="AA148" s="115" t="n"/>
      <c r="AB148" s="105" t="n"/>
      <c r="AC148" s="105" t="n"/>
      <c r="AD148" s="108" t="n">
        <v>103642</v>
      </c>
      <c r="AE148" s="108" t="n">
        <v>2019</v>
      </c>
      <c r="AF148" s="116" t="n">
        <v>0.8956907055054905</v>
      </c>
      <c r="AG148" s="116" t="n">
        <v>0.1043093871210513</v>
      </c>
      <c r="AH148" s="39" t="inlineStr">
        <is>
          <t>bamboo sheets</t>
        </is>
      </c>
      <c r="AI148" s="116" t="n">
        <v>0.6944674938731402</v>
      </c>
      <c r="AJ148" s="116" t="n"/>
      <c r="AK148" s="116" t="n"/>
      <c r="AL148" s="116" t="n"/>
      <c r="AM148" s="108" t="n">
        <v>978</v>
      </c>
      <c r="AN148" s="108" t="n">
        <v>433</v>
      </c>
      <c r="AO148" s="108" t="n">
        <v>458</v>
      </c>
      <c r="AP148" s="108" t="n">
        <v>1041</v>
      </c>
      <c r="AQ148" s="108" t="n">
        <v>186</v>
      </c>
      <c r="AR148" s="108" t="n">
        <v>36</v>
      </c>
      <c r="AS148" s="117" t="n"/>
      <c r="AT148" s="112" t="n"/>
      <c r="AU148" s="118" t="inlineStr">
        <is>
          <t>N</t>
        </is>
      </c>
      <c r="AV148" s="118" t="inlineStr">
        <is>
          <t>none</t>
        </is>
      </c>
      <c r="AW148" s="124" t="n"/>
      <c r="AX148" s="119" t="n">
        <v>89.98999999999999</v>
      </c>
      <c r="AY148" s="118" t="inlineStr">
        <is>
          <t>none</t>
        </is>
      </c>
      <c r="AZ148" s="118" t="inlineStr">
        <is>
          <t>Y</t>
        </is>
      </c>
      <c r="BA148" s="118" t="inlineStr">
        <is>
          <t>2026-10-13 12:10:41</t>
        </is>
      </c>
      <c r="BB148" s="120" t="inlineStr">
        <is>
          <t>Not live in 2025</t>
        </is>
      </c>
      <c r="BC148" s="125" t="n"/>
      <c r="BD148" s="124" t="n"/>
      <c r="BE148" s="124" t="n"/>
      <c r="BF148" s="110">
        <f>IF(AND(ISNUMBER(BD148),ISNUMBER(BE148),N(BD148)&gt;0),1-BE148/BD148,"")</f>
        <v/>
      </c>
      <c r="BG148" s="126" t="n"/>
      <c r="BH148" s="126" t="n"/>
      <c r="BI148" s="123">
        <f>IF(AND(ISNUMBER(BG148),ISNUMBER(BH148),N(BH148)&gt;0),BG148/BH148,"")</f>
        <v/>
      </c>
      <c r="BJ148" s="125" t="n"/>
      <c r="BK148" s="125" t="n"/>
    </row>
    <row r="149" ht="62" customHeight="1">
      <c r="A149" s="12">
        <f>_xlfn.IMAGE("https://images-na.ssl-images-amazon.com/images/I/71X+0TBtodL.jpg")</f>
        <v/>
      </c>
      <c r="B149" s="105" t="inlineStr">
        <is>
          <t>TWK</t>
        </is>
      </c>
      <c r="C149" s="39" t="inlineStr">
        <is>
          <t>TWK Real 100% Viscose Derived from Bamboo Sheets Set Queen Size, Cooling &amp; Silky</t>
        </is>
      </c>
      <c r="D149" s="105" t="inlineStr">
        <is>
          <t>Beatable</t>
        </is>
      </c>
      <c r="E149" s="106" t="inlineStr">
        <is>
          <t>Direct</t>
        </is>
      </c>
      <c r="F149" s="105" t="inlineStr">
        <is>
          <t>Bamboo viscose</t>
        </is>
      </c>
      <c r="G149" s="39" t="inlineStr">
        <is>
          <t>Same product (sheet set) in the same material family: Bamboo viscose (product page material: Genuine 100% Viscose Derived from Bamboo); ours: our listing: viscose from bamboo.</t>
        </is>
      </c>
      <c r="H149" s="107" t="inlineStr">
        <is>
          <t>B0HHQG3RSW</t>
        </is>
      </c>
      <c r="I149" s="107" t="inlineStr">
        <is>
          <t>B0G1N8QS55</t>
        </is>
      </c>
      <c r="J149" s="105" t="inlineStr">
        <is>
          <t>Queen</t>
        </is>
      </c>
      <c r="K149" s="105" t="inlineStr">
        <is>
          <t>Sand</t>
        </is>
      </c>
      <c r="L149" s="108" t="n">
        <v>13</v>
      </c>
      <c r="M149" s="39" t="inlineStr">
        <is>
          <t>B0G1N23HZ1 (41%), B0H35S6VLR (32%), B0G1N8QS55 (18%)</t>
        </is>
      </c>
      <c r="N149" s="109" t="n">
        <v>65</v>
      </c>
      <c r="O149" s="109" t="n">
        <v>79</v>
      </c>
      <c r="P149" s="110">
        <f>IF(AND(ISNUMBER(O149),ISNUMBER(N149),N(N149)&gt;0),O149/N149-1,"")</f>
        <v/>
      </c>
      <c r="Q149" s="111">
        <f>IF(P149="","No List Price",IF(P149&lt;=0,"At/below price",IF(P149&lt;=0.12,"&lt;=12% STR zone",IF(P149&lt;=0.25,"12-25%","&gt;25% over"))))</f>
        <v/>
      </c>
      <c r="R149" s="109" t="n">
        <v>94.98999999999999</v>
      </c>
      <c r="S149" s="112">
        <f>IF(AND(ISNUMBER(N149),ISNUMBER(R149),N(R149)&gt;0),N149/R149-1,"")</f>
        <v/>
      </c>
      <c r="T149" s="39" t="inlineStr">
        <is>
          <t>Same size (Queen). Ours live: catalog price, 2026-10-13; 15 children</t>
        </is>
      </c>
      <c r="U149" s="108" t="n">
        <v>196488</v>
      </c>
      <c r="V149" s="108" t="n">
        <v>18</v>
      </c>
      <c r="W149" s="113">
        <f>IF(AND(ISNUMBER(N149),ISNUMBER(V149)),N149*V149*52/12,"")</f>
        <v/>
      </c>
      <c r="X149" s="114" t="n">
        <v>4.9</v>
      </c>
      <c r="Y149" s="108" t="n">
        <v>121</v>
      </c>
      <c r="Z149" s="115" t="n">
        <v>46307</v>
      </c>
      <c r="AA149" s="115" t="n"/>
      <c r="AB149" s="105" t="n"/>
      <c r="AC149" s="105" t="n"/>
      <c r="AD149" s="108" t="n">
        <v>82471</v>
      </c>
      <c r="AE149" s="108" t="n">
        <v>905</v>
      </c>
      <c r="AF149" s="116" t="n">
        <v>0.8861114561482216</v>
      </c>
      <c r="AG149" s="116" t="n">
        <v>0.1138885438517783</v>
      </c>
      <c r="AH149" s="39" t="inlineStr">
        <is>
          <t>bamboo sheets</t>
        </is>
      </c>
      <c r="AI149" s="116" t="n">
        <v>0.5572868038462004</v>
      </c>
      <c r="AJ149" s="116" t="n"/>
      <c r="AK149" s="116" t="n"/>
      <c r="AL149" s="116" t="n"/>
      <c r="AM149" s="108" t="n">
        <v>730</v>
      </c>
      <c r="AN149" s="108" t="n">
        <v>388</v>
      </c>
      <c r="AO149" s="108" t="n">
        <v>263</v>
      </c>
      <c r="AP149" s="108" t="n">
        <v>175</v>
      </c>
      <c r="AQ149" s="108" t="n">
        <v>27</v>
      </c>
      <c r="AR149" s="108" t="n">
        <v>18</v>
      </c>
      <c r="AS149" s="117" t="n"/>
      <c r="AT149" s="112" t="n"/>
      <c r="AU149" s="118" t="inlineStr">
        <is>
          <t>Y</t>
        </is>
      </c>
      <c r="AV149" s="118" t="inlineStr">
        <is>
          <t>Typical price</t>
        </is>
      </c>
      <c r="AW149" s="119" t="n">
        <v>79</v>
      </c>
      <c r="AX149" s="119" t="n">
        <v>65</v>
      </c>
      <c r="AY149" s="118" t="inlineStr">
        <is>
          <t>none</t>
        </is>
      </c>
      <c r="AZ149" s="118" t="inlineStr">
        <is>
          <t>Y</t>
        </is>
      </c>
      <c r="BA149" s="118" t="inlineStr">
        <is>
          <t>2026-10-13 12:11:35</t>
        </is>
      </c>
      <c r="BB149" s="120" t="inlineStr">
        <is>
          <t>Not live in 2025</t>
        </is>
      </c>
      <c r="BC149" s="125" t="n"/>
      <c r="BD149" s="124" t="n"/>
      <c r="BE149" s="124" t="n"/>
      <c r="BF149" s="110">
        <f>IF(AND(ISNUMBER(BD149),ISNUMBER(BE149),N(BD149)&gt;0),1-BE149/BD149,"")</f>
        <v/>
      </c>
      <c r="BG149" s="126" t="n"/>
      <c r="BH149" s="126" t="n"/>
      <c r="BI149" s="123">
        <f>IF(AND(ISNUMBER(BG149),ISNUMBER(BH149),N(BH149)&gt;0),BG149/BH149,"")</f>
        <v/>
      </c>
      <c r="BJ149" s="125" t="n"/>
      <c r="BK149" s="125" t="n"/>
    </row>
    <row r="150" ht="62" customHeight="1">
      <c r="A150" s="12">
        <f>_xlfn.IMAGE("https://m.media-amazon.com/images/I/61A6QLdfwQL._AC_SL1500_.jpg")</f>
        <v/>
      </c>
      <c r="B150" s="105" t="inlineStr">
        <is>
          <t>BAMPURE</t>
        </is>
      </c>
      <c r="C150" s="39" t="inlineStr">
        <is>
          <t>Bamboo Sheets</t>
        </is>
      </c>
      <c r="D150" s="105" t="inlineStr">
        <is>
          <t>Beatable</t>
        </is>
      </c>
      <c r="E150" s="106" t="inlineStr">
        <is>
          <t>Direct</t>
        </is>
      </c>
      <c r="F150" s="105" t="inlineStr">
        <is>
          <t>Bamboo viscose</t>
        </is>
      </c>
      <c r="G150" s="39" t="inlineStr">
        <is>
          <t>Same product (sheet set) in the same material family: Bamboo viscose (product page material: Viscose derived from Bamboo); ours: our listing: viscose from bamboo.</t>
        </is>
      </c>
      <c r="H150" s="107" t="inlineStr">
        <is>
          <t>B07XC2KVM7</t>
        </is>
      </c>
      <c r="I150" s="107" t="inlineStr">
        <is>
          <t>B07XC2KVM7</t>
        </is>
      </c>
      <c r="J150" s="105" t="inlineStr">
        <is>
          <t>Twin - 3 Pieces Set</t>
        </is>
      </c>
      <c r="K150" s="105" t="inlineStr">
        <is>
          <t>White</t>
        </is>
      </c>
      <c r="L150" s="108" t="n"/>
      <c r="M150" s="39" t="inlineStr"/>
      <c r="N150" s="109" t="n">
        <v>37.99</v>
      </c>
      <c r="O150" s="109" t="n"/>
      <c r="P150" s="110">
        <f>IF(AND(ISNUMBER(O150),ISNUMBER(N150),N(N150)&gt;0),O150/N150-1,"")</f>
        <v/>
      </c>
      <c r="Q150" s="111">
        <f>IF(P150="","No List Price",IF(P150&lt;=0,"At/below price",IF(P150&lt;=0.12,"&lt;=12% STR zone",IF(P150&lt;=0.25,"12-25%","&gt;25% over"))))</f>
        <v/>
      </c>
      <c r="R150" s="109" t="n">
        <v>69.98999999999999</v>
      </c>
      <c r="S150" s="112">
        <f>IF(AND(ISNUMBER(N150),ISNUMBER(R150),N(R150)&gt;0),N150/R150-1,"")</f>
        <v/>
      </c>
      <c r="T150" s="39" t="inlineStr">
        <is>
          <t>Same size (Twin). Ours live: catalog price, 2026-10-13; 13 children</t>
        </is>
      </c>
      <c r="U150" s="108" t="n">
        <v>2541068</v>
      </c>
      <c r="V150" s="108" t="n">
        <v>5</v>
      </c>
      <c r="W150" s="113">
        <f>IF(AND(ISNUMBER(N150),ISNUMBER(V150)),N150*V150*52/12,"")</f>
        <v/>
      </c>
      <c r="X150" s="114" t="n">
        <v>4.4</v>
      </c>
      <c r="Y150" s="108" t="n">
        <v>30</v>
      </c>
      <c r="Z150" s="115" t="n">
        <v>46307</v>
      </c>
      <c r="AA150" s="115" t="n"/>
      <c r="AB150" s="105" t="n"/>
      <c r="AC150" s="105" t="n"/>
      <c r="AD150" s="108" t="n"/>
      <c r="AE150" s="108" t="n"/>
      <c r="AF150" s="116" t="n"/>
      <c r="AG150" s="116" t="n"/>
      <c r="AH150" s="39" t="n"/>
      <c r="AI150" s="116" t="n"/>
      <c r="AJ150" s="116" t="n"/>
      <c r="AK150" s="116" t="n"/>
      <c r="AL150" s="116" t="n"/>
      <c r="AM150" s="108" t="n"/>
      <c r="AN150" s="108" t="n"/>
      <c r="AO150" s="108" t="n"/>
      <c r="AP150" s="108" t="n"/>
      <c r="AQ150" s="108" t="n"/>
      <c r="AR150" s="108" t="n"/>
      <c r="AS150" s="117" t="n"/>
      <c r="AT150" s="112" t="n"/>
      <c r="AU150" s="118" t="inlineStr">
        <is>
          <t>N</t>
        </is>
      </c>
      <c r="AV150" s="118" t="inlineStr">
        <is>
          <t>none</t>
        </is>
      </c>
      <c r="AW150" s="124" t="n"/>
      <c r="AX150" s="124" t="n"/>
      <c r="AY150" s="118" t="inlineStr">
        <is>
          <t>none</t>
        </is>
      </c>
      <c r="AZ150" s="118" t="inlineStr">
        <is>
          <t>N</t>
        </is>
      </c>
      <c r="BA150" s="118" t="inlineStr">
        <is>
          <t>2026-10-13 12:10:15</t>
        </is>
      </c>
      <c r="BB150" s="120" t="inlineStr">
        <is>
          <t>None</t>
        </is>
      </c>
      <c r="BC150" s="125" t="n"/>
      <c r="BD150" s="121" t="n">
        <v>69.98999999999999</v>
      </c>
      <c r="BE150" s="121" t="n">
        <v>69.98999999999999</v>
      </c>
      <c r="BF150" s="110">
        <f>IF(AND(ISNUMBER(BD150),ISNUMBER(BE150),N(BD150)&gt;0),1-BE150/BD150,"")</f>
        <v/>
      </c>
      <c r="BG150" s="122" t="n">
        <v>31768</v>
      </c>
      <c r="BH150" s="122" t="n">
        <v>27950</v>
      </c>
      <c r="BI150" s="123">
        <f>IF(AND(ISNUMBER(BG150),ISNUMBER(BH150),N(BH150)&gt;0),BG150/BH150,"")</f>
        <v/>
      </c>
      <c r="BJ150" s="120" t="inlineStr">
        <is>
          <t>N</t>
        </is>
      </c>
      <c r="BK150" s="120" t="inlineStr">
        <is>
          <t>List Price $69.99</t>
        </is>
      </c>
    </row>
    <row r="151" ht="62" customHeight="1">
      <c r="A151" s="12">
        <f>_xlfn.IMAGE("https://m.media-amazon.com/images/I/81BvQVXWCLL._AC_SL1500_.jpg")</f>
        <v/>
      </c>
      <c r="B151" s="105" t="inlineStr">
        <is>
          <t>BC BELLA COTERIE</t>
        </is>
      </c>
      <c r="C151" s="39" t="inlineStr">
        <is>
          <t>4 Piece Bamboo Sheet Set</t>
        </is>
      </c>
      <c r="D151" s="105" t="inlineStr">
        <is>
          <t>Beatable</t>
        </is>
      </c>
      <c r="E151" s="106" t="inlineStr">
        <is>
          <t>Direct</t>
        </is>
      </c>
      <c r="F151" s="105" t="inlineStr">
        <is>
          <t>Bamboo viscose</t>
        </is>
      </c>
      <c r="G151" s="39" t="inlineStr">
        <is>
          <t>Same product (sheet set) in the same material family: Bamboo viscose (product page material: Organically Grown | Viscose Made From Bamboo); ours: our listing: viscose from bamboo.</t>
        </is>
      </c>
      <c r="H151" s="107" t="inlineStr">
        <is>
          <t>B0H29V113N</t>
        </is>
      </c>
      <c r="I151" s="107" t="inlineStr">
        <is>
          <t>B0G674ZDTV</t>
        </is>
      </c>
      <c r="J151" s="105" t="inlineStr">
        <is>
          <t>Queen - 2 Pillowcases</t>
        </is>
      </c>
      <c r="K151" s="105" t="inlineStr">
        <is>
          <t>22 - Striped Dune</t>
        </is>
      </c>
      <c r="L151" s="108" t="n"/>
      <c r="M151" s="39" t="inlineStr"/>
      <c r="N151" s="109" t="n">
        <v>159.99</v>
      </c>
      <c r="O151" s="109" t="n"/>
      <c r="P151" s="110">
        <f>IF(AND(ISNUMBER(O151),ISNUMBER(N151),N(N151)&gt;0),O151/N151-1,"")</f>
        <v/>
      </c>
      <c r="Q151" s="111">
        <f>IF(P151="","No List Price",IF(P151&lt;=0,"At/below price",IF(P151&lt;=0.12,"&lt;=12% STR zone",IF(P151&lt;=0.25,"12-25%","&gt;25% over"))))</f>
        <v/>
      </c>
      <c r="R151" s="109" t="n">
        <v>94.98999999999999</v>
      </c>
      <c r="S151" s="112">
        <f>IF(AND(ISNUMBER(N151),ISNUMBER(R151),N(R151)&gt;0),N151/R151-1,"")</f>
        <v/>
      </c>
      <c r="T151" s="39" t="inlineStr">
        <is>
          <t>Same size (Queen). Ours live: catalog price, 2026-10-13; 15 children</t>
        </is>
      </c>
      <c r="U151" s="108" t="n">
        <v>1577</v>
      </c>
      <c r="V151" s="108" t="n">
        <v>5</v>
      </c>
      <c r="W151" s="113">
        <f>IF(AND(ISNUMBER(N151),ISNUMBER(V151)),N151*V151*52/12,"")</f>
        <v/>
      </c>
      <c r="X151" s="114" t="n">
        <v>4.4</v>
      </c>
      <c r="Y151" s="108" t="n">
        <v>5652</v>
      </c>
      <c r="Z151" s="115" t="n">
        <v>46223</v>
      </c>
      <c r="AA151" s="115" t="n"/>
      <c r="AB151" s="105" t="n"/>
      <c r="AC151" s="105" t="n"/>
      <c r="AD151" s="108" t="n"/>
      <c r="AE151" s="108" t="n"/>
      <c r="AF151" s="116" t="n"/>
      <c r="AG151" s="116" t="n"/>
      <c r="AH151" s="39" t="n"/>
      <c r="AI151" s="116" t="n"/>
      <c r="AJ151" s="116" t="n"/>
      <c r="AK151" s="116" t="n"/>
      <c r="AL151" s="116" t="n"/>
      <c r="AM151" s="108" t="n"/>
      <c r="AN151" s="108" t="n"/>
      <c r="AO151" s="108" t="n"/>
      <c r="AP151" s="108" t="n"/>
      <c r="AQ151" s="108" t="n"/>
      <c r="AR151" s="108" t="n"/>
      <c r="AS151" s="117" t="n"/>
      <c r="AT151" s="112" t="n"/>
      <c r="AU151" s="118" t="inlineStr">
        <is>
          <t>N</t>
        </is>
      </c>
      <c r="AV151" s="118" t="inlineStr">
        <is>
          <t>none</t>
        </is>
      </c>
      <c r="AW151" s="124" t="n"/>
      <c r="AX151" s="119" t="n">
        <v>159.99</v>
      </c>
      <c r="AY151" s="118" t="inlineStr">
        <is>
          <t>none</t>
        </is>
      </c>
      <c r="AZ151" s="118" t="inlineStr">
        <is>
          <t>Y</t>
        </is>
      </c>
      <c r="BA151" s="118" t="inlineStr">
        <is>
          <t>2026-10-13 12:10:21</t>
        </is>
      </c>
      <c r="BB151" s="120" t="inlineStr">
        <is>
          <t>Not live in 2025</t>
        </is>
      </c>
      <c r="BC151" s="125" t="n"/>
      <c r="BD151" s="124" t="n"/>
      <c r="BE151" s="124" t="n"/>
      <c r="BF151" s="110">
        <f>IF(AND(ISNUMBER(BD151),ISNUMBER(BE151),N(BD151)&gt;0),1-BE151/BD151,"")</f>
        <v/>
      </c>
      <c r="BG151" s="126" t="n"/>
      <c r="BH151" s="126" t="n"/>
      <c r="BI151" s="123">
        <f>IF(AND(ISNUMBER(BG151),ISNUMBER(BH151),N(BH151)&gt;0),BG151/BH151,"")</f>
        <v/>
      </c>
      <c r="BJ151" s="125" t="n"/>
      <c r="BK151" s="125" t="n"/>
    </row>
    <row r="152" ht="62" customHeight="1">
      <c r="A152" s="12">
        <f>_xlfn.IMAGE("https://m.media-amazon.com/images/I/71-mwiI1N+L._AC_SL1500_.jpg")</f>
        <v/>
      </c>
      <c r="B152" s="105" t="inlineStr">
        <is>
          <t>Tafts</t>
        </is>
      </c>
      <c r="C152" s="39" t="inlineStr">
        <is>
          <t>Bamboo Sheets Queen Size, 100% Pure Viscose derived from Bamboo Bed Sheet Set, L</t>
        </is>
      </c>
      <c r="D152" s="105" t="inlineStr">
        <is>
          <t>Beatable</t>
        </is>
      </c>
      <c r="E152" s="106" t="inlineStr">
        <is>
          <t>Direct</t>
        </is>
      </c>
      <c r="F152" s="105" t="inlineStr">
        <is>
          <t>Bamboo viscose</t>
        </is>
      </c>
      <c r="G152" s="39" t="inlineStr">
        <is>
          <t>Same product (sheet set) in the same material family: Bamboo viscose (product page material: Viscose derived from Bamboo); ours: our listing: viscose from bamboo.</t>
        </is>
      </c>
      <c r="H152" s="107" t="inlineStr">
        <is>
          <t>B0D34K3FB9</t>
        </is>
      </c>
      <c r="I152" s="107" t="inlineStr">
        <is>
          <t>B07YSVNCVT</t>
        </is>
      </c>
      <c r="J152" s="105" t="inlineStr">
        <is>
          <t>Queen</t>
        </is>
      </c>
      <c r="K152" s="105" t="inlineStr">
        <is>
          <t>Nude Beige</t>
        </is>
      </c>
      <c r="L152" s="108" t="n">
        <v>23</v>
      </c>
      <c r="M152" s="39" t="inlineStr">
        <is>
          <t>B07YSW4HCT (83%)</t>
        </is>
      </c>
      <c r="N152" s="109" t="n">
        <v>104.99</v>
      </c>
      <c r="O152" s="109" t="n"/>
      <c r="P152" s="110">
        <f>IF(AND(ISNUMBER(O152),ISNUMBER(N152),N(N152)&gt;0),O152/N152-1,"")</f>
        <v/>
      </c>
      <c r="Q152" s="111">
        <f>IF(P152="","No List Price",IF(P152&lt;=0,"At/below price",IF(P152&lt;=0.12,"&lt;=12% STR zone",IF(P152&lt;=0.25,"12-25%","&gt;25% over"))))</f>
        <v/>
      </c>
      <c r="R152" s="109" t="n">
        <v>94.98999999999999</v>
      </c>
      <c r="S152" s="112">
        <f>IF(AND(ISNUMBER(N152),ISNUMBER(R152),N(R152)&gt;0),N152/R152-1,"")</f>
        <v/>
      </c>
      <c r="T152" s="39" t="inlineStr">
        <is>
          <t>Same size (Queen). Ours live: catalog price, 2026-10-13; 15 children</t>
        </is>
      </c>
      <c r="U152" s="108" t="n">
        <v>184749</v>
      </c>
      <c r="V152" s="108" t="n">
        <v>5</v>
      </c>
      <c r="W152" s="113">
        <f>IF(AND(ISNUMBER(N152),ISNUMBER(V152)),N152*V152*52/12,"")</f>
        <v/>
      </c>
      <c r="X152" s="114" t="n">
        <v>4.5</v>
      </c>
      <c r="Y152" s="108" t="n">
        <v>3184</v>
      </c>
      <c r="Z152" s="115" t="n">
        <v>46307</v>
      </c>
      <c r="AA152" s="115" t="n"/>
      <c r="AB152" s="105" t="n"/>
      <c r="AC152" s="105" t="n"/>
      <c r="AD152" s="108" t="n">
        <v>11787</v>
      </c>
      <c r="AE152" s="108" t="n">
        <v>302</v>
      </c>
      <c r="AF152" s="116" t="n">
        <v>0.9613189955035204</v>
      </c>
      <c r="AG152" s="116" t="n">
        <v>0.03868100449647917</v>
      </c>
      <c r="AH152" s="39" t="inlineStr">
        <is>
          <t>bamboo sheets</t>
        </is>
      </c>
      <c r="AI152" s="116" t="n">
        <v>0.8949690336811742</v>
      </c>
      <c r="AJ152" s="116" t="n"/>
      <c r="AK152" s="116" t="n"/>
      <c r="AL152" s="116" t="n"/>
      <c r="AM152" s="108" t="n">
        <v>228</v>
      </c>
      <c r="AN152" s="108" t="n">
        <v>180</v>
      </c>
      <c r="AO152" s="108" t="n">
        <v>26</v>
      </c>
      <c r="AP152" s="108" t="n">
        <v>74</v>
      </c>
      <c r="AQ152" s="108" t="n">
        <v>13</v>
      </c>
      <c r="AR152" s="108" t="n">
        <v>14</v>
      </c>
      <c r="AS152" s="117" t="n"/>
      <c r="AT152" s="112" t="n"/>
      <c r="AU152" s="118" t="inlineStr">
        <is>
          <t>N</t>
        </is>
      </c>
      <c r="AV152" s="118" t="inlineStr">
        <is>
          <t>none</t>
        </is>
      </c>
      <c r="AW152" s="124" t="n"/>
      <c r="AX152" s="119" t="n">
        <v>104.99</v>
      </c>
      <c r="AY152" s="118" t="inlineStr">
        <is>
          <t>none</t>
        </is>
      </c>
      <c r="AZ152" s="118" t="inlineStr">
        <is>
          <t>Y</t>
        </is>
      </c>
      <c r="BA152" s="118" t="inlineStr">
        <is>
          <t>2026-10-13 12:14:21</t>
        </is>
      </c>
      <c r="BB152" s="120" t="inlineStr">
        <is>
          <t>Coupon only</t>
        </is>
      </c>
      <c r="BC152" s="120" t="inlineStr">
        <is>
          <t>11-06 to 11-20</t>
        </is>
      </c>
      <c r="BD152" s="121" t="n">
        <v>99.98999999999999</v>
      </c>
      <c r="BE152" s="121" t="n">
        <v>80.73999999999999</v>
      </c>
      <c r="BF152" s="110">
        <f>IF(AND(ISNUMBER(BD152),ISNUMBER(BE152),N(BD152)&gt;0),1-BE152/BD152,"")</f>
        <v/>
      </c>
      <c r="BG152" s="122" t="n">
        <v>127180</v>
      </c>
      <c r="BH152" s="122" t="n">
        <v>98722</v>
      </c>
      <c r="BI152" s="123">
        <f>IF(AND(ISNUMBER(BG152),ISNUMBER(BH152),N(BH152)&gt;0),BG152/BH152,"")</f>
        <v/>
      </c>
      <c r="BJ152" s="120" t="inlineStr">
        <is>
          <t>Y</t>
        </is>
      </c>
      <c r="BK152" s="120" t="inlineStr">
        <is>
          <t>Coupon 20%; List Price $119.99</t>
        </is>
      </c>
    </row>
    <row r="153" ht="62" customHeight="1">
      <c r="A153" s="12">
        <f>_xlfn.IMAGE("https://m.media-amazon.com/images/I/71QUqgRttAL._AC_SL1500_.jpg")</f>
        <v/>
      </c>
      <c r="B153" s="105" t="inlineStr">
        <is>
          <t>TWK</t>
        </is>
      </c>
      <c r="C153" s="39" t="inlineStr">
        <is>
          <t>TWK Real 100% Viscose Derived from Bamboo Sheets Set Queen Size, Cooling &amp; Silky</t>
        </is>
      </c>
      <c r="D153" s="105" t="inlineStr">
        <is>
          <t>Beatable</t>
        </is>
      </c>
      <c r="E153" s="106" t="inlineStr">
        <is>
          <t>Direct</t>
        </is>
      </c>
      <c r="F153" s="105" t="inlineStr">
        <is>
          <t>Bamboo viscose</t>
        </is>
      </c>
      <c r="G153" s="39" t="inlineStr">
        <is>
          <t>Same product (sheet set) in the same material family: Bamboo viscose (product page material: Genuine 100% Viscose Derived from Bamboo); ours: our listing: viscose from bamboo.</t>
        </is>
      </c>
      <c r="H153" s="107" t="inlineStr">
        <is>
          <t>B0HHQG3RSW</t>
        </is>
      </c>
      <c r="I153" s="107" t="inlineStr">
        <is>
          <t>B0HHRR4XGX</t>
        </is>
      </c>
      <c r="J153" s="105" t="inlineStr">
        <is>
          <t>Queen</t>
        </is>
      </c>
      <c r="K153" s="105" t="inlineStr">
        <is>
          <t>White</t>
        </is>
      </c>
      <c r="L153" s="108" t="n">
        <v>1</v>
      </c>
      <c r="M153" s="39" t="inlineStr">
        <is>
          <t>B0HHRR4XGX (100%)</t>
        </is>
      </c>
      <c r="N153" s="109" t="n">
        <v>105</v>
      </c>
      <c r="O153" s="109" t="n"/>
      <c r="P153" s="110">
        <f>IF(AND(ISNUMBER(O153),ISNUMBER(N153),N(N153)&gt;0),O153/N153-1,"")</f>
        <v/>
      </c>
      <c r="Q153" s="111">
        <f>IF(P153="","No List Price",IF(P153&lt;=0,"At/below price",IF(P153&lt;=0.12,"&lt;=12% STR zone",IF(P153&lt;=0.25,"12-25%","&gt;25% over"))))</f>
        <v/>
      </c>
      <c r="R153" s="109" t="n">
        <v>94.98999999999999</v>
      </c>
      <c r="S153" s="112">
        <f>IF(AND(ISNUMBER(N153),ISNUMBER(R153),N(R153)&gt;0),N153/R153-1,"")</f>
        <v/>
      </c>
      <c r="T153" s="39" t="inlineStr">
        <is>
          <t>Same size (Queen). Ours live: catalog price, 2026-10-13; 15 children</t>
        </is>
      </c>
      <c r="U153" s="108" t="n"/>
      <c r="V153" s="108" t="n">
        <v>5</v>
      </c>
      <c r="W153" s="113">
        <f>IF(AND(ISNUMBER(N153),ISNUMBER(V153)),N153*V153*52/12,"")</f>
        <v/>
      </c>
      <c r="X153" s="114" t="n">
        <v>4.5</v>
      </c>
      <c r="Y153" s="108" t="n"/>
      <c r="Z153" s="115" t="n">
        <v>46307</v>
      </c>
      <c r="AA153" s="115" t="n"/>
      <c r="AB153" s="105" t="n"/>
      <c r="AC153" s="105" t="n"/>
      <c r="AD153" s="108" t="n">
        <v>30066</v>
      </c>
      <c r="AE153" s="108" t="n">
        <v>74</v>
      </c>
      <c r="AF153" s="116" t="n">
        <v>1</v>
      </c>
      <c r="AG153" s="116" t="n">
        <v>0</v>
      </c>
      <c r="AH153" s="39" t="inlineStr">
        <is>
          <t>queen sheet set</t>
        </is>
      </c>
      <c r="AI153" s="116" t="n"/>
      <c r="AJ153" s="116" t="n"/>
      <c r="AK153" s="116" t="n"/>
      <c r="AL153" s="116" t="n"/>
      <c r="AM153" s="108" t="n">
        <v>73</v>
      </c>
      <c r="AN153" s="108" t="n">
        <v>64</v>
      </c>
      <c r="AO153" s="108" t="n">
        <v>8</v>
      </c>
      <c r="AP153" s="108" t="n">
        <v>1</v>
      </c>
      <c r="AQ153" s="108" t="n">
        <v>0</v>
      </c>
      <c r="AR153" s="108" t="n">
        <v>0</v>
      </c>
      <c r="AS153" s="117" t="n"/>
      <c r="AT153" s="112" t="n"/>
      <c r="AU153" s="118" t="inlineStr">
        <is>
          <t>N</t>
        </is>
      </c>
      <c r="AV153" s="118" t="inlineStr">
        <is>
          <t>none</t>
        </is>
      </c>
      <c r="AW153" s="124" t="n"/>
      <c r="AX153" s="119" t="n">
        <v>105</v>
      </c>
      <c r="AY153" s="118" t="inlineStr">
        <is>
          <t>none</t>
        </is>
      </c>
      <c r="AZ153" s="118" t="inlineStr">
        <is>
          <t>Y</t>
        </is>
      </c>
      <c r="BA153" s="118" t="inlineStr">
        <is>
          <t>2026-10-13 12:11:39</t>
        </is>
      </c>
      <c r="BB153" s="120" t="inlineStr">
        <is>
          <t>Not live in 2025</t>
        </is>
      </c>
      <c r="BC153" s="125" t="n"/>
      <c r="BD153" s="124" t="n"/>
      <c r="BE153" s="124" t="n"/>
      <c r="BF153" s="110">
        <f>IF(AND(ISNUMBER(BD153),ISNUMBER(BE153),N(BD153)&gt;0),1-BE153/BD153,"")</f>
        <v/>
      </c>
      <c r="BG153" s="126" t="n"/>
      <c r="BH153" s="126" t="n"/>
      <c r="BI153" s="123">
        <f>IF(AND(ISNUMBER(BG153),ISNUMBER(BH153),N(BH153)&gt;0),BG153/BH153,"")</f>
        <v/>
      </c>
      <c r="BJ153" s="125" t="n"/>
      <c r="BK153" s="125" t="n"/>
    </row>
    <row r="154" ht="62" customHeight="1">
      <c r="A154" s="45" t="inlineStr">
        <is>
          <t>COMING SOON</t>
        </is>
      </c>
      <c r="B154" s="105" t="inlineStr">
        <is>
          <t>TOSMO</t>
        </is>
      </c>
      <c r="C154" s="39" t="inlineStr">
        <is>
          <t>TOSMO Luxury Cooling Sheet Set - 100% Viscose from Bamboo, 4-Piece Bedding Set (King Size) - 18” Extra Deep Pockets, Oeko-Tex Certified, Silky Soft and Breathable, Classic White</t>
        </is>
      </c>
      <c r="D154" s="105" t="inlineStr">
        <is>
          <t>Beatable</t>
        </is>
      </c>
      <c r="E154" s="106" t="inlineStr">
        <is>
          <t>Direct</t>
        </is>
      </c>
      <c r="F154" s="105" t="inlineStr">
        <is>
          <t>Bamboo viscose</t>
        </is>
      </c>
      <c r="G154" s="39" t="inlineStr">
        <is>
          <t>Same product (sheet set) in the same material family: Bamboo viscose (title: TOSMO Luxury Cooling Sheet Set - 100% Viscose from Bamboo, 4); ours: our listing: viscose from bamboo.</t>
        </is>
      </c>
      <c r="H154" s="105" t="n"/>
      <c r="I154" s="107" t="inlineStr">
        <is>
          <t>B0DWXNH24Z</t>
        </is>
      </c>
      <c r="J154" s="105" t="inlineStr">
        <is>
          <t>King</t>
        </is>
      </c>
      <c r="K154" s="105" t="inlineStr">
        <is>
          <t>White</t>
        </is>
      </c>
      <c r="L154" s="108" t="n"/>
      <c r="M154" s="39" t="inlineStr"/>
      <c r="N154" s="109" t="n">
        <v>129</v>
      </c>
      <c r="O154" s="109" t="n"/>
      <c r="P154" s="110">
        <f>IF(AND(ISNUMBER(O154),ISNUMBER(N154),N(N154)&gt;0),O154/N154-1,"")</f>
        <v/>
      </c>
      <c r="Q154" s="111">
        <f>IF(P154="","No List Price",IF(P154&lt;=0,"At/below price",IF(P154&lt;=0.12,"&lt;=12% STR zone",IF(P154&lt;=0.25,"12-25%","&gt;25% over"))))</f>
        <v/>
      </c>
      <c r="R154" s="109" t="n">
        <v>99.98999999999999</v>
      </c>
      <c r="S154" s="112">
        <f>IF(AND(ISNUMBER(N154),ISNUMBER(R154),N(R154)&gt;0),N154/R154-1,"")</f>
        <v/>
      </c>
      <c r="T154" s="39" t="inlineStr">
        <is>
          <t>Same size (King). Ours live: catalog price, 2026-10-13; 15 children</t>
        </is>
      </c>
      <c r="U154" s="108" t="n">
        <v>543947</v>
      </c>
      <c r="V154" s="108" t="n"/>
      <c r="W154" s="113">
        <f>IF(AND(ISNUMBER(N154),ISNUMBER(V154)),N154*V154*52/12,"")</f>
        <v/>
      </c>
      <c r="X154" s="114" t="n">
        <v>4.4</v>
      </c>
      <c r="Y154" s="108" t="n">
        <v>53</v>
      </c>
      <c r="Z154" s="115" t="n">
        <v>46306</v>
      </c>
      <c r="AA154" s="115" t="n"/>
      <c r="AB154" s="105" t="n"/>
      <c r="AC154" s="105" t="n"/>
      <c r="AD154" s="108" t="n"/>
      <c r="AE154" s="108" t="n"/>
      <c r="AF154" s="116" t="n"/>
      <c r="AG154" s="116" t="n"/>
      <c r="AH154" s="39" t="n"/>
      <c r="AI154" s="116" t="n"/>
      <c r="AJ154" s="116" t="n"/>
      <c r="AK154" s="116" t="n"/>
      <c r="AL154" s="116" t="n"/>
      <c r="AM154" s="108" t="n"/>
      <c r="AN154" s="108" t="n"/>
      <c r="AO154" s="108" t="n"/>
      <c r="AP154" s="108" t="n"/>
      <c r="AQ154" s="108" t="n"/>
      <c r="AR154" s="108" t="n"/>
      <c r="AS154" s="117" t="n"/>
      <c r="AT154" s="112" t="n"/>
      <c r="AU154" s="125" t="n"/>
      <c r="AV154" s="125" t="n"/>
      <c r="AW154" s="124" t="n"/>
      <c r="AX154" s="124" t="n"/>
      <c r="AY154" s="125" t="n"/>
      <c r="AZ154" s="125" t="n"/>
      <c r="BA154" s="125" t="n"/>
      <c r="BB154" s="120" t="inlineStr">
        <is>
          <t>Prime Exclusive Discount</t>
        </is>
      </c>
      <c r="BC154" s="120" t="inlineStr">
        <is>
          <t>11-20 to 12-01</t>
        </is>
      </c>
      <c r="BD154" s="121" t="n">
        <v>134</v>
      </c>
      <c r="BE154" s="121" t="n">
        <v>105.39</v>
      </c>
      <c r="BF154" s="110">
        <f>IF(AND(ISNUMBER(BD154),ISNUMBER(BE154),N(BD154)&gt;0),1-BE154/BD154,"")</f>
        <v/>
      </c>
      <c r="BG154" s="122" t="n">
        <v>166573</v>
      </c>
      <c r="BH154" s="122" t="n">
        <v>90856</v>
      </c>
      <c r="BI154" s="123">
        <f>IF(AND(ISNUMBER(BG154),ISNUMBER(BH154),N(BH154)&gt;0),BG154/BH154,"")</f>
        <v/>
      </c>
      <c r="BJ154" s="125" t="n"/>
      <c r="BK154" s="120" t="inlineStr">
        <is>
          <t>List Price $169.99</t>
        </is>
      </c>
    </row>
    <row r="155" ht="62" customHeight="1">
      <c r="A155" s="12">
        <f>_xlfn.IMAGE("https://images-na.ssl-images-amazon.com/images/I/61fbapIObwL.jpg")</f>
        <v/>
      </c>
      <c r="B155" s="105" t="inlineStr">
        <is>
          <t>BAMPURE</t>
        </is>
      </c>
      <c r="C155" s="39" t="inlineStr">
        <is>
          <t>BAMPURE 100% Rayon from Bamboo Sheets Queen Size - 4pc Cooling Sheets Queen</t>
        </is>
      </c>
      <c r="D155" s="105" t="inlineStr">
        <is>
          <t>Beatable</t>
        </is>
      </c>
      <c r="E155" s="106" t="inlineStr">
        <is>
          <t>Direct</t>
        </is>
      </c>
      <c r="F155" s="105" t="inlineStr">
        <is>
          <t>Bamboo viscose</t>
        </is>
      </c>
      <c r="G155" s="39" t="inlineStr">
        <is>
          <t>Same product (sheet set) in the same material family: Bamboo viscose (title: BAMPURE 100% Rayon from Bamboo Sheets Queen Size - 4pc Cooli); ours: our listing: viscose from bamboo.</t>
        </is>
      </c>
      <c r="H155" s="105" t="n"/>
      <c r="I155" s="107" t="inlineStr">
        <is>
          <t>B07XBJY2JR</t>
        </is>
      </c>
      <c r="J155" s="105" t="inlineStr">
        <is>
          <t>Queen</t>
        </is>
      </c>
      <c r="K155" s="105" t="n"/>
      <c r="L155" s="108" t="n">
        <v>40</v>
      </c>
      <c r="M155" s="39" t="inlineStr"/>
      <c r="N155" s="109" t="n">
        <v>72.23</v>
      </c>
      <c r="O155" s="109" t="n"/>
      <c r="P155" s="110">
        <f>IF(AND(ISNUMBER(O155),ISNUMBER(N155),N(N155)&gt;0),O155/N155-1,"")</f>
        <v/>
      </c>
      <c r="Q155" s="111">
        <f>IF(P155="","No List Price",IF(P155&lt;=0,"At/below price",IF(P155&lt;=0.12,"&lt;=12% STR zone",IF(P155&lt;=0.25,"12-25%","&gt;25% over"))))</f>
        <v/>
      </c>
      <c r="R155" s="109" t="n">
        <v>94.98999999999999</v>
      </c>
      <c r="S155" s="112">
        <f>IF(AND(ISNUMBER(N155),ISNUMBER(R155),N(R155)&gt;0),N155/R155-1,"")</f>
        <v/>
      </c>
      <c r="T155" s="39" t="inlineStr">
        <is>
          <t>Same size (Queen). Ours live: catalog price, 2026-10-13; 15 children</t>
        </is>
      </c>
      <c r="U155" s="108" t="n">
        <v>14474</v>
      </c>
      <c r="V155" s="108" t="n"/>
      <c r="W155" s="113">
        <f>IF(AND(ISNUMBER(N155),ISNUMBER(V155)),N155*V155*52/12,"")</f>
        <v/>
      </c>
      <c r="X155" s="114" t="n">
        <v>4.4</v>
      </c>
      <c r="Y155" s="108" t="n">
        <v>4320</v>
      </c>
      <c r="Z155" s="115" t="n">
        <v>46306</v>
      </c>
      <c r="AA155" s="115" t="n">
        <v>43784</v>
      </c>
      <c r="AB155" s="105" t="inlineStr">
        <is>
          <t>FBA</t>
        </is>
      </c>
      <c r="AC155" s="105" t="inlineStr">
        <is>
          <t>US</t>
        </is>
      </c>
      <c r="AD155" s="108" t="n"/>
      <c r="AE155" s="108" t="n"/>
      <c r="AF155" s="116" t="n"/>
      <c r="AG155" s="116" t="n"/>
      <c r="AH155" s="39" t="n"/>
      <c r="AI155" s="116" t="n"/>
      <c r="AJ155" s="116" t="n"/>
      <c r="AK155" s="116" t="n"/>
      <c r="AL155" s="116" t="n"/>
      <c r="AM155" s="108" t="n"/>
      <c r="AN155" s="108" t="n"/>
      <c r="AO155" s="108" t="n"/>
      <c r="AP155" s="108" t="n"/>
      <c r="AQ155" s="108" t="n"/>
      <c r="AR155" s="108" t="n"/>
      <c r="AS155" s="117" t="n"/>
      <c r="AT155" s="112" t="n"/>
      <c r="AU155" s="125" t="n"/>
      <c r="AV155" s="125" t="n"/>
      <c r="AW155" s="124" t="n"/>
      <c r="AX155" s="124" t="n"/>
      <c r="AY155" s="125" t="n"/>
      <c r="AZ155" s="125" t="n"/>
      <c r="BA155" s="125" t="n"/>
      <c r="BB155" s="120" t="inlineStr">
        <is>
          <t>Prime Exclusive Discount</t>
        </is>
      </c>
      <c r="BC155" s="120" t="inlineStr">
        <is>
          <t>11-21 to 11-30</t>
        </is>
      </c>
      <c r="BD155" s="121" t="n">
        <v>84.98999999999999</v>
      </c>
      <c r="BE155" s="121" t="n">
        <v>79.98999999999999</v>
      </c>
      <c r="BF155" s="110">
        <f>IF(AND(ISNUMBER(BD155),ISNUMBER(BE155),N(BD155)&gt;0),1-BE155/BD155,"")</f>
        <v/>
      </c>
      <c r="BG155" s="122" t="n">
        <v>33490</v>
      </c>
      <c r="BH155" s="122" t="n">
        <v>28222</v>
      </c>
      <c r="BI155" s="123">
        <f>IF(AND(ISNUMBER(BG155),ISNUMBER(BH155),N(BH155)&gt;0),BG155/BH155,"")</f>
        <v/>
      </c>
      <c r="BJ155" s="125" t="n"/>
      <c r="BK155" s="120" t="inlineStr">
        <is>
          <t>Buy Box RAISED in BFCM week (median $99.99 vs $84.99 before); List Price $99.99</t>
        </is>
      </c>
    </row>
    <row r="156" ht="62" customHeight="1">
      <c r="A156" s="12">
        <f>_xlfn.IMAGE("https://m.media-amazon.com/images/I/71m+WEzQwhL._AC_SL1500_.jpg")</f>
        <v/>
      </c>
      <c r="B156" s="105" t="inlineStr">
        <is>
          <t>AiAngu</t>
        </is>
      </c>
      <c r="C156" s="39" t="inlineStr">
        <is>
          <t>Bamboo Sheets</t>
        </is>
      </c>
      <c r="D156" s="105" t="inlineStr">
        <is>
          <t>Poor</t>
        </is>
      </c>
      <c r="E156" s="106" t="inlineStr">
        <is>
          <t>Direct</t>
        </is>
      </c>
      <c r="F156" s="105" t="inlineStr">
        <is>
          <t>Bamboo viscose</t>
        </is>
      </c>
      <c r="G156" s="39" t="inlineStr">
        <is>
          <t>Same product (sheet set) in the same material family: Bamboo viscose (product page material: Rayon Derived from Bamboo); ours: our listing: viscose from bamboo.</t>
        </is>
      </c>
      <c r="H156" s="107" t="inlineStr">
        <is>
          <t>B0GX135KCN</t>
        </is>
      </c>
      <c r="I156" s="107" t="inlineStr">
        <is>
          <t>B0GX15Y7TT</t>
        </is>
      </c>
      <c r="J156" s="105" t="inlineStr">
        <is>
          <t>Queen</t>
        </is>
      </c>
      <c r="K156" s="105" t="inlineStr">
        <is>
          <t>Dark Grey</t>
        </is>
      </c>
      <c r="L156" s="108" t="n"/>
      <c r="M156" s="39" t="inlineStr"/>
      <c r="N156" s="109" t="n">
        <v>74.98999999999999</v>
      </c>
      <c r="O156" s="109" t="n">
        <v>79.98999999999999</v>
      </c>
      <c r="P156" s="110">
        <f>IF(AND(ISNUMBER(O156),ISNUMBER(N156),N(N156)&gt;0),O156/N156-1,"")</f>
        <v/>
      </c>
      <c r="Q156" s="111">
        <f>IF(P156="","No List Price",IF(P156&lt;=0,"At/below price",IF(P156&lt;=0.12,"&lt;=12% STR zone",IF(P156&lt;=0.25,"12-25%","&gt;25% over"))))</f>
        <v/>
      </c>
      <c r="R156" s="109" t="n">
        <v>94.98999999999999</v>
      </c>
      <c r="S156" s="112">
        <f>IF(AND(ISNUMBER(N156),ISNUMBER(R156),N(R156)&gt;0),N156/R156-1,"")</f>
        <v/>
      </c>
      <c r="T156" s="39" t="inlineStr">
        <is>
          <t>Same size (Queen). Ours live: catalog price, 2026-10-13; 15 children</t>
        </is>
      </c>
      <c r="U156" s="108" t="n">
        <v>39296</v>
      </c>
      <c r="V156" s="108" t="n">
        <v>81</v>
      </c>
      <c r="W156" s="113">
        <f>IF(AND(ISNUMBER(N156),ISNUMBER(V156)),N156*V156*52/12,"")</f>
        <v/>
      </c>
      <c r="X156" s="114" t="n">
        <v>4.6</v>
      </c>
      <c r="Y156" s="108" t="n">
        <v>121</v>
      </c>
      <c r="Z156" s="115" t="n">
        <v>46307</v>
      </c>
      <c r="AA156" s="115" t="n"/>
      <c r="AB156" s="105" t="n"/>
      <c r="AC156" s="105" t="n"/>
      <c r="AD156" s="108" t="n"/>
      <c r="AE156" s="108" t="n"/>
      <c r="AF156" s="116" t="n"/>
      <c r="AG156" s="116" t="n"/>
      <c r="AH156" s="39" t="n"/>
      <c r="AI156" s="116" t="n"/>
      <c r="AJ156" s="116" t="n"/>
      <c r="AK156" s="116" t="n"/>
      <c r="AL156" s="116" t="n"/>
      <c r="AM156" s="108" t="n"/>
      <c r="AN156" s="108" t="n"/>
      <c r="AO156" s="108" t="n"/>
      <c r="AP156" s="108" t="n"/>
      <c r="AQ156" s="108" t="n"/>
      <c r="AR156" s="108" t="n"/>
      <c r="AS156" s="117" t="n"/>
      <c r="AT156" s="112" t="n"/>
      <c r="AU156" s="118" t="inlineStr">
        <is>
          <t>Y</t>
        </is>
      </c>
      <c r="AV156" s="118" t="inlineStr">
        <is>
          <t>List Price</t>
        </is>
      </c>
      <c r="AW156" s="119" t="n">
        <v>79.98999999999999</v>
      </c>
      <c r="AX156" s="119" t="n">
        <v>74.98999999999999</v>
      </c>
      <c r="AY156" s="118" t="inlineStr">
        <is>
          <t>coupon 25%</t>
        </is>
      </c>
      <c r="AZ156" s="118" t="inlineStr">
        <is>
          <t>Y</t>
        </is>
      </c>
      <c r="BA156" s="118" t="inlineStr">
        <is>
          <t>2026-10-13 23:35:32</t>
        </is>
      </c>
      <c r="BB156" s="120" t="inlineStr">
        <is>
          <t>Not live in 2025</t>
        </is>
      </c>
      <c r="BC156" s="125" t="n"/>
      <c r="BD156" s="124" t="n"/>
      <c r="BE156" s="124" t="n"/>
      <c r="BF156" s="110">
        <f>IF(AND(ISNUMBER(BD156),ISNUMBER(BE156),N(BD156)&gt;0),1-BE156/BD156,"")</f>
        <v/>
      </c>
      <c r="BG156" s="126" t="n"/>
      <c r="BH156" s="126" t="n"/>
      <c r="BI156" s="123">
        <f>IF(AND(ISNUMBER(BG156),ISNUMBER(BH156),N(BH156)&gt;0),BG156/BH156,"")</f>
        <v/>
      </c>
      <c r="BJ156" s="125" t="n"/>
      <c r="BK156" s="125" t="n"/>
    </row>
    <row r="157" ht="62" customHeight="1">
      <c r="A157" s="12">
        <f>_xlfn.IMAGE("https://images-na.ssl-images-amazon.com/images/I/71Kvq1YdGJL.jpg")</f>
        <v/>
      </c>
      <c r="B157" s="105" t="inlineStr">
        <is>
          <t>Cariloha</t>
        </is>
      </c>
      <c r="C157" s="39" t="inlineStr">
        <is>
          <t>Cariloha Aloha Soft Bamboo Viscose Sheet Set - Natural - Queen</t>
        </is>
      </c>
      <c r="D157" s="105" t="inlineStr">
        <is>
          <t>Poor</t>
        </is>
      </c>
      <c r="E157" s="106" t="inlineStr">
        <is>
          <t>Direct</t>
        </is>
      </c>
      <c r="F157" s="105" t="inlineStr">
        <is>
          <t>Bamboo viscose</t>
        </is>
      </c>
      <c r="G157" s="39" t="inlineStr">
        <is>
          <t>Same product (sheet set) in the same material family: Bamboo viscose (product page material: Viscose derived from Bamboo); ours: our listing: viscose from bamboo.</t>
        </is>
      </c>
      <c r="H157" s="107" t="inlineStr">
        <is>
          <t>B0F89K7BXJ</t>
        </is>
      </c>
      <c r="I157" s="107" t="inlineStr">
        <is>
          <t>B0DJV1K332</t>
        </is>
      </c>
      <c r="J157" s="105" t="inlineStr">
        <is>
          <t>Queen</t>
        </is>
      </c>
      <c r="K157" s="105" t="inlineStr">
        <is>
          <t>Natural</t>
        </is>
      </c>
      <c r="L157" s="108" t="n">
        <v>35</v>
      </c>
      <c r="M157" s="39" t="inlineStr"/>
      <c r="N157" s="109" t="n">
        <v>107.1</v>
      </c>
      <c r="O157" s="109" t="n"/>
      <c r="P157" s="110">
        <f>IF(AND(ISNUMBER(O157),ISNUMBER(N157),N(N157)&gt;0),O157/N157-1,"")</f>
        <v/>
      </c>
      <c r="Q157" s="111">
        <f>IF(P157="","No List Price",IF(P157&lt;=0,"At/below price",IF(P157&lt;=0.12,"&lt;=12% STR zone",IF(P157&lt;=0.25,"12-25%","&gt;25% over"))))</f>
        <v/>
      </c>
      <c r="R157" s="109" t="n">
        <v>94.98999999999999</v>
      </c>
      <c r="S157" s="112">
        <f>IF(AND(ISNUMBER(N157),ISNUMBER(R157),N(R157)&gt;0),N157/R157-1,"")</f>
        <v/>
      </c>
      <c r="T157" s="39" t="inlineStr">
        <is>
          <t>Same size (Queen). Ours live: catalog price, 2026-10-13; 15 children</t>
        </is>
      </c>
      <c r="U157" s="108" t="n">
        <v>15882</v>
      </c>
      <c r="V157" s="108" t="n">
        <v>81</v>
      </c>
      <c r="W157" s="113">
        <f>IF(AND(ISNUMBER(N157),ISNUMBER(V157)),N157*V157*52/12,"")</f>
        <v/>
      </c>
      <c r="X157" s="114" t="n">
        <v>4.4</v>
      </c>
      <c r="Y157" s="108" t="n">
        <v>426</v>
      </c>
      <c r="Z157" s="115" t="n">
        <v>46307</v>
      </c>
      <c r="AA157" s="115" t="n">
        <v>45575</v>
      </c>
      <c r="AB157" s="105" t="inlineStr">
        <is>
          <t>FBA</t>
        </is>
      </c>
      <c r="AC157" s="105" t="inlineStr">
        <is>
          <t>US</t>
        </is>
      </c>
      <c r="AD157" s="108" t="n"/>
      <c r="AE157" s="108" t="n"/>
      <c r="AF157" s="116" t="n"/>
      <c r="AG157" s="116" t="n"/>
      <c r="AH157" s="39" t="n"/>
      <c r="AI157" s="116" t="n"/>
      <c r="AJ157" s="116" t="n"/>
      <c r="AK157" s="116" t="n"/>
      <c r="AL157" s="116" t="n"/>
      <c r="AM157" s="108" t="n"/>
      <c r="AN157" s="108" t="n"/>
      <c r="AO157" s="108" t="n"/>
      <c r="AP157" s="108" t="n"/>
      <c r="AQ157" s="108" t="n"/>
      <c r="AR157" s="108" t="n"/>
      <c r="AS157" s="117" t="n"/>
      <c r="AT157" s="112" t="n"/>
      <c r="AU157" s="118" t="inlineStr">
        <is>
          <t>Y</t>
        </is>
      </c>
      <c r="AV157" s="118" t="inlineStr">
        <is>
          <t>List Price</t>
        </is>
      </c>
      <c r="AW157" s="119" t="n">
        <v>119</v>
      </c>
      <c r="AX157" s="119" t="n">
        <v>107.1</v>
      </c>
      <c r="AY157" s="118" t="inlineStr">
        <is>
          <t>none</t>
        </is>
      </c>
      <c r="AZ157" s="118" t="inlineStr">
        <is>
          <t>Y</t>
        </is>
      </c>
      <c r="BA157" s="118" t="inlineStr">
        <is>
          <t>2026-10-13 23:35:56</t>
        </is>
      </c>
      <c r="BB157" s="120" t="inlineStr">
        <is>
          <t>Prime Exclusive Discount</t>
        </is>
      </c>
      <c r="BC157" s="120" t="inlineStr">
        <is>
          <t>11-23 to 11-30</t>
        </is>
      </c>
      <c r="BD157" s="121" t="n">
        <v>119</v>
      </c>
      <c r="BE157" s="121" t="n">
        <v>71.40000000000001</v>
      </c>
      <c r="BF157" s="110">
        <f>IF(AND(ISNUMBER(BD157),ISNUMBER(BE157),N(BD157)&gt;0),1-BE157/BD157,"")</f>
        <v/>
      </c>
      <c r="BG157" s="122" t="n">
        <v>52063</v>
      </c>
      <c r="BH157" s="122" t="n">
        <v>37342</v>
      </c>
      <c r="BI157" s="123">
        <f>IF(AND(ISNUMBER(BG157),ISNUMBER(BH157),N(BH157)&gt;0),BG157/BH157,"")</f>
        <v/>
      </c>
      <c r="BJ157" s="120" t="inlineStr">
        <is>
          <t>N</t>
        </is>
      </c>
      <c r="BK157" s="120" t="inlineStr">
        <is>
          <t>Coupon 20%, 30% (11-01 to 12-05); List Price $119.00</t>
        </is>
      </c>
    </row>
    <row r="158" ht="62" customHeight="1">
      <c r="A158" s="12">
        <f>_xlfn.IMAGE("https://images-na.ssl-images-amazon.com/images/I/61NbNWE+BJL.jpg")</f>
        <v/>
      </c>
      <c r="B158" s="105" t="inlineStr">
        <is>
          <t>Cozy Earth</t>
        </is>
      </c>
      <c r="C158" s="39" t="inlineStr">
        <is>
          <t>Cozy Earth Luxury Bed Sheet Set, 100% Viscose from Bamboo Fabric</t>
        </is>
      </c>
      <c r="D158" s="105" t="inlineStr">
        <is>
          <t>Poor</t>
        </is>
      </c>
      <c r="E158" s="106" t="inlineStr">
        <is>
          <t>Direct</t>
        </is>
      </c>
      <c r="F158" s="105" t="inlineStr">
        <is>
          <t>Bamboo viscose</t>
        </is>
      </c>
      <c r="G158" s="39" t="inlineStr">
        <is>
          <t>Same product (sheet set) in the same material family: Bamboo viscose (product page material: Viscose from Bamboo); ours: our listing: viscose from bamboo.</t>
        </is>
      </c>
      <c r="H158" s="107" t="inlineStr">
        <is>
          <t>B0DSQ9V4ML</t>
        </is>
      </c>
      <c r="I158" s="107" t="inlineStr">
        <is>
          <t>B0F22JR4S8</t>
        </is>
      </c>
      <c r="J158" s="105" t="inlineStr">
        <is>
          <t>King</t>
        </is>
      </c>
      <c r="K158" s="105" t="inlineStr">
        <is>
          <t>White</t>
        </is>
      </c>
      <c r="L158" s="108" t="n">
        <v>54</v>
      </c>
      <c r="M158" s="39" t="inlineStr"/>
      <c r="N158" s="109" t="n">
        <v>328</v>
      </c>
      <c r="O158" s="109" t="n"/>
      <c r="P158" s="110">
        <f>IF(AND(ISNUMBER(O158),ISNUMBER(N158),N(N158)&gt;0),O158/N158-1,"")</f>
        <v/>
      </c>
      <c r="Q158" s="111">
        <f>IF(P158="","No List Price",IF(P158&lt;=0,"At/below price",IF(P158&lt;=0.12,"&lt;=12% STR zone",IF(P158&lt;=0.25,"12-25%","&gt;25% over"))))</f>
        <v/>
      </c>
      <c r="R158" s="109" t="n">
        <v>99.98999999999999</v>
      </c>
      <c r="S158" s="112">
        <f>IF(AND(ISNUMBER(N158),ISNUMBER(R158),N(R158)&gt;0),N158/R158-1,"")</f>
        <v/>
      </c>
      <c r="T158" s="39" t="inlineStr">
        <is>
          <t>Same size (King). Ours live: catalog price, 2026-10-13; 15 children</t>
        </is>
      </c>
      <c r="U158" s="108" t="n">
        <v>45709</v>
      </c>
      <c r="V158" s="108" t="n">
        <v>35</v>
      </c>
      <c r="W158" s="113">
        <f>IF(AND(ISNUMBER(N158),ISNUMBER(V158)),N158*V158*52/12,"")</f>
        <v/>
      </c>
      <c r="X158" s="114" t="n">
        <v>3.9</v>
      </c>
      <c r="Y158" s="108" t="n">
        <v>425</v>
      </c>
      <c r="Z158" s="115" t="n">
        <v>46307</v>
      </c>
      <c r="AA158" s="115" t="n">
        <v>41624</v>
      </c>
      <c r="AB158" s="105" t="inlineStr">
        <is>
          <t>FBA</t>
        </is>
      </c>
      <c r="AC158" s="105" t="inlineStr">
        <is>
          <t>US</t>
        </is>
      </c>
      <c r="AD158" s="108" t="n"/>
      <c r="AE158" s="108" t="n"/>
      <c r="AF158" s="116" t="n"/>
      <c r="AG158" s="116" t="n"/>
      <c r="AH158" s="39" t="n"/>
      <c r="AI158" s="116" t="n"/>
      <c r="AJ158" s="116" t="n"/>
      <c r="AK158" s="116" t="n"/>
      <c r="AL158" s="116" t="n"/>
      <c r="AM158" s="108" t="n"/>
      <c r="AN158" s="108" t="n"/>
      <c r="AO158" s="108" t="n"/>
      <c r="AP158" s="108" t="n"/>
      <c r="AQ158" s="108" t="n"/>
      <c r="AR158" s="108" t="n"/>
      <c r="AS158" s="117" t="n"/>
      <c r="AT158" s="112" t="n"/>
      <c r="AU158" s="118" t="inlineStr">
        <is>
          <t>N</t>
        </is>
      </c>
      <c r="AV158" s="118" t="inlineStr">
        <is>
          <t>none</t>
        </is>
      </c>
      <c r="AW158" s="124" t="n"/>
      <c r="AX158" s="119" t="n">
        <v>328</v>
      </c>
      <c r="AY158" s="118" t="inlineStr">
        <is>
          <t>none</t>
        </is>
      </c>
      <c r="AZ158" s="118" t="inlineStr">
        <is>
          <t>Y</t>
        </is>
      </c>
      <c r="BA158" s="118" t="inlineStr">
        <is>
          <t>2026-10-13 23:36:06</t>
        </is>
      </c>
      <c r="BB158" s="120" t="inlineStr">
        <is>
          <t>Prime Exclusive Discount</t>
        </is>
      </c>
      <c r="BC158" s="120" t="inlineStr">
        <is>
          <t>11-27 to 12-01</t>
        </is>
      </c>
      <c r="BD158" s="121" t="n">
        <v>262.4</v>
      </c>
      <c r="BE158" s="121" t="n">
        <v>229.6</v>
      </c>
      <c r="BF158" s="110">
        <f>IF(AND(ISNUMBER(BD158),ISNUMBER(BE158),N(BD158)&gt;0),1-BE158/BD158,"")</f>
        <v/>
      </c>
      <c r="BG158" s="122" t="n">
        <v>51830</v>
      </c>
      <c r="BH158" s="122" t="n">
        <v>28404</v>
      </c>
      <c r="BI158" s="123">
        <f>IF(AND(ISNUMBER(BG158),ISNUMBER(BH158),N(BH158)&gt;0),BG158/BH158,"")</f>
        <v/>
      </c>
      <c r="BJ158" s="120" t="inlineStr">
        <is>
          <t>N</t>
        </is>
      </c>
      <c r="BK158" s="120" t="inlineStr">
        <is>
          <t>List Price $328.00</t>
        </is>
      </c>
    </row>
    <row r="159" ht="62" customHeight="1">
      <c r="A159" s="12">
        <f>_xlfn.IMAGE("https://images-na.ssl-images-amazon.com/images/I/61iqSV9TaLL.jpg")</f>
        <v/>
      </c>
      <c r="B159" s="105" t="inlineStr">
        <is>
          <t>DREAMCARE</t>
        </is>
      </c>
      <c r="C159" s="39" t="inlineStr">
        <is>
          <t>DREAMCARE 100% Rayon Bamboo Sheets King Size - 4pc Cooling Sheets King Size</t>
        </is>
      </c>
      <c r="D159" s="105" t="inlineStr">
        <is>
          <t>Poor</t>
        </is>
      </c>
      <c r="E159" s="106" t="inlineStr">
        <is>
          <t>Direct</t>
        </is>
      </c>
      <c r="F159" s="105" t="inlineStr">
        <is>
          <t>Bamboo viscose</t>
        </is>
      </c>
      <c r="G159" s="39" t="inlineStr">
        <is>
          <t>Same product (sheet set) in the same material family: Bamboo viscose (product page material: Viscose derived from Bamboo); ours: our listing: viscose from bamboo.</t>
        </is>
      </c>
      <c r="H159" s="107" t="inlineStr">
        <is>
          <t>B0DVZFLVMG</t>
        </is>
      </c>
      <c r="I159" s="107" t="inlineStr">
        <is>
          <t>B0CF2MND41</t>
        </is>
      </c>
      <c r="J159" s="105" t="inlineStr">
        <is>
          <t>King</t>
        </is>
      </c>
      <c r="K159" s="105" t="inlineStr">
        <is>
          <t>5 - Gray</t>
        </is>
      </c>
      <c r="L159" s="108" t="n">
        <v>30</v>
      </c>
      <c r="M159" s="39" t="inlineStr"/>
      <c r="N159" s="109" t="n">
        <v>46.74</v>
      </c>
      <c r="O159" s="109" t="n">
        <v>59.99</v>
      </c>
      <c r="P159" s="110">
        <f>IF(AND(ISNUMBER(O159),ISNUMBER(N159),N(N159)&gt;0),O159/N159-1,"")</f>
        <v/>
      </c>
      <c r="Q159" s="111">
        <f>IF(P159="","No List Price",IF(P159&lt;=0,"At/below price",IF(P159&lt;=0.12,"&lt;=12% STR zone",IF(P159&lt;=0.25,"12-25%","&gt;25% over"))))</f>
        <v/>
      </c>
      <c r="R159" s="109" t="n">
        <v>99.98999999999999</v>
      </c>
      <c r="S159" s="112">
        <f>IF(AND(ISNUMBER(N159),ISNUMBER(R159),N(R159)&gt;0),N159/R159-1,"")</f>
        <v/>
      </c>
      <c r="T159" s="39" t="inlineStr">
        <is>
          <t>Same size (King). Ours live: catalog price, 2026-10-13; 15 children</t>
        </is>
      </c>
      <c r="U159" s="108" t="n">
        <v>37217</v>
      </c>
      <c r="V159" s="108" t="n">
        <v>35</v>
      </c>
      <c r="W159" s="113">
        <f>IF(AND(ISNUMBER(N159),ISNUMBER(V159)),N159*V159*52/12,"")</f>
        <v/>
      </c>
      <c r="X159" s="114" t="n">
        <v>4.5</v>
      </c>
      <c r="Y159" s="108" t="n">
        <v>2261</v>
      </c>
      <c r="Z159" s="115" t="n">
        <v>46307</v>
      </c>
      <c r="AA159" s="115" t="n">
        <v>45146</v>
      </c>
      <c r="AB159" s="105" t="inlineStr">
        <is>
          <t>FBA</t>
        </is>
      </c>
      <c r="AC159" s="105" t="inlineStr">
        <is>
          <t>US</t>
        </is>
      </c>
      <c r="AD159" s="108" t="n"/>
      <c r="AE159" s="108" t="n"/>
      <c r="AF159" s="116" t="n"/>
      <c r="AG159" s="116" t="n"/>
      <c r="AH159" s="39" t="n"/>
      <c r="AI159" s="116" t="n"/>
      <c r="AJ159" s="116" t="n"/>
      <c r="AK159" s="116" t="n"/>
      <c r="AL159" s="116" t="n"/>
      <c r="AM159" s="108" t="n"/>
      <c r="AN159" s="108" t="n"/>
      <c r="AO159" s="108" t="n"/>
      <c r="AP159" s="108" t="n"/>
      <c r="AQ159" s="108" t="n"/>
      <c r="AR159" s="108" t="n"/>
      <c r="AS159" s="117" t="n"/>
      <c r="AT159" s="112" t="n"/>
      <c r="AU159" s="118" t="inlineStr">
        <is>
          <t>Y</t>
        </is>
      </c>
      <c r="AV159" s="118" t="inlineStr">
        <is>
          <t>List Price</t>
        </is>
      </c>
      <c r="AW159" s="119" t="n">
        <v>59.99</v>
      </c>
      <c r="AX159" s="119" t="n">
        <v>46.74</v>
      </c>
      <c r="AY159" s="118" t="inlineStr">
        <is>
          <t>Limited time deal</t>
        </is>
      </c>
      <c r="AZ159" s="118" t="inlineStr">
        <is>
          <t>Y</t>
        </is>
      </c>
      <c r="BA159" s="118" t="inlineStr">
        <is>
          <t>2026-10-13 23:36:12</t>
        </is>
      </c>
      <c r="BB159" s="120" t="inlineStr">
        <is>
          <t>Prime Exclusive Discount</t>
        </is>
      </c>
      <c r="BC159" s="120" t="inlineStr">
        <is>
          <t>11-22 to 12-01</t>
        </is>
      </c>
      <c r="BD159" s="121" t="n">
        <v>58.99</v>
      </c>
      <c r="BE159" s="121" t="n">
        <v>49.99</v>
      </c>
      <c r="BF159" s="110">
        <f>IF(AND(ISNUMBER(BD159),ISNUMBER(BE159),N(BD159)&gt;0),1-BE159/BD159,"")</f>
        <v/>
      </c>
      <c r="BG159" s="122" t="n">
        <v>209915</v>
      </c>
      <c r="BH159" s="122" t="n">
        <v>169120</v>
      </c>
      <c r="BI159" s="123">
        <f>IF(AND(ISNUMBER(BG159),ISNUMBER(BH159),N(BH159)&gt;0),BG159/BH159,"")</f>
        <v/>
      </c>
      <c r="BJ159" s="120" t="inlineStr">
        <is>
          <t>N</t>
        </is>
      </c>
      <c r="BK159" s="120" t="inlineStr">
        <is>
          <t>Buy Box RAISED in BFCM week (median $62.88 vs $58.99 before); List Price $58.99</t>
        </is>
      </c>
    </row>
    <row r="160" ht="62" customHeight="1">
      <c r="A160" s="12">
        <f>_xlfn.IMAGE("https://images-na.ssl-images-amazon.com/images/I/81noqNc+ZjL.jpg")</f>
        <v/>
      </c>
      <c r="B160" s="105" t="inlineStr">
        <is>
          <t>HOT SLEEPER SHEETS</t>
        </is>
      </c>
      <c r="C160" s="39" t="inlineStr">
        <is>
          <t>Cooling Sheets Set Queen Size, Viscose Derived from Bamboo for Hot Sleepers | Deep Pocket Up to 16 Inch | Silky Soft &amp; Breathable Bedding - 4PC (Queen, Navy)</t>
        </is>
      </c>
      <c r="D160" s="105" t="inlineStr">
        <is>
          <t>Poor</t>
        </is>
      </c>
      <c r="E160" s="106" t="inlineStr">
        <is>
          <t>Direct</t>
        </is>
      </c>
      <c r="F160" s="105" t="inlineStr">
        <is>
          <t>Bamboo viscose</t>
        </is>
      </c>
      <c r="G160" s="39" t="inlineStr">
        <is>
          <t>Same product (sheet set) in the same material family: Bamboo viscose (title: Cooling Sheets Set Queen Size, Viscose Derived from Bamboo f); ours: our listing: viscose from bamboo.</t>
        </is>
      </c>
      <c r="H160" s="107" t="inlineStr">
        <is>
          <t>B0DM3GDCTR</t>
        </is>
      </c>
      <c r="I160" s="107" t="inlineStr">
        <is>
          <t>B0D3XQM7DL</t>
        </is>
      </c>
      <c r="J160" s="105" t="inlineStr">
        <is>
          <t>Queen</t>
        </is>
      </c>
      <c r="K160" s="105" t="inlineStr">
        <is>
          <t>Navy</t>
        </is>
      </c>
      <c r="L160" s="108" t="n">
        <v>74</v>
      </c>
      <c r="M160" s="39" t="inlineStr"/>
      <c r="N160" s="109" t="n">
        <v>51.29</v>
      </c>
      <c r="O160" s="109" t="n">
        <v>62.99</v>
      </c>
      <c r="P160" s="110">
        <f>IF(AND(ISNUMBER(O160),ISNUMBER(N160),N(N160)&gt;0),O160/N160-1,"")</f>
        <v/>
      </c>
      <c r="Q160" s="111">
        <f>IF(P160="","No List Price",IF(P160&lt;=0,"At/below price",IF(P160&lt;=0.12,"&lt;=12% STR zone",IF(P160&lt;=0.25,"12-25%","&gt;25% over"))))</f>
        <v/>
      </c>
      <c r="R160" s="109" t="n">
        <v>94.98999999999999</v>
      </c>
      <c r="S160" s="112">
        <f>IF(AND(ISNUMBER(N160),ISNUMBER(R160),N(R160)&gt;0),N160/R160-1,"")</f>
        <v/>
      </c>
      <c r="T160" s="39" t="inlineStr">
        <is>
          <t>Same size (Queen). Ours live: catalog price, 2026-10-13; 15 children</t>
        </is>
      </c>
      <c r="U160" s="108" t="n">
        <v>33959</v>
      </c>
      <c r="V160" s="108" t="n">
        <v>35</v>
      </c>
      <c r="W160" s="113">
        <f>IF(AND(ISNUMBER(N160),ISNUMBER(V160)),N160*V160*52/12,"")</f>
        <v/>
      </c>
      <c r="X160" s="114" t="n">
        <v>4.4</v>
      </c>
      <c r="Y160" s="108" t="n">
        <v>674</v>
      </c>
      <c r="Z160" s="115" t="n">
        <v>46307</v>
      </c>
      <c r="AA160" s="115" t="n">
        <v>45423</v>
      </c>
      <c r="AB160" s="105" t="inlineStr">
        <is>
          <t>FBA</t>
        </is>
      </c>
      <c r="AC160" s="105" t="inlineStr">
        <is>
          <t>CN</t>
        </is>
      </c>
      <c r="AD160" s="108" t="n"/>
      <c r="AE160" s="108" t="n"/>
      <c r="AF160" s="116" t="n"/>
      <c r="AG160" s="116" t="n"/>
      <c r="AH160" s="39" t="n"/>
      <c r="AI160" s="116" t="n"/>
      <c r="AJ160" s="116" t="n"/>
      <c r="AK160" s="116" t="n"/>
      <c r="AL160" s="116" t="n"/>
      <c r="AM160" s="108" t="n"/>
      <c r="AN160" s="108" t="n"/>
      <c r="AO160" s="108" t="n"/>
      <c r="AP160" s="108" t="n"/>
      <c r="AQ160" s="108" t="n"/>
      <c r="AR160" s="108" t="n"/>
      <c r="AS160" s="117" t="n"/>
      <c r="AT160" s="112" t="n"/>
      <c r="AU160" s="118" t="inlineStr">
        <is>
          <t>Y</t>
        </is>
      </c>
      <c r="AV160" s="118" t="inlineStr">
        <is>
          <t>Typical price</t>
        </is>
      </c>
      <c r="AW160" s="119" t="n">
        <v>62.99</v>
      </c>
      <c r="AX160" s="119" t="n">
        <v>51.29</v>
      </c>
      <c r="AY160" s="118" t="inlineStr">
        <is>
          <t>Limited time deal</t>
        </is>
      </c>
      <c r="AZ160" s="118" t="inlineStr">
        <is>
          <t>Y</t>
        </is>
      </c>
      <c r="BA160" s="118" t="inlineStr">
        <is>
          <t>2026-10-13 23:36:21</t>
        </is>
      </c>
      <c r="BB160" s="120" t="inlineStr">
        <is>
          <t>Price cut only</t>
        </is>
      </c>
      <c r="BC160" s="120" t="inlineStr">
        <is>
          <t>11-20 to 12-01</t>
        </is>
      </c>
      <c r="BD160" s="121" t="n">
        <v>62.99</v>
      </c>
      <c r="BE160" s="121" t="n">
        <v>45.89</v>
      </c>
      <c r="BF160" s="110">
        <f>IF(AND(ISNUMBER(BD160),ISNUMBER(BE160),N(BD160)&gt;0),1-BE160/BD160,"")</f>
        <v/>
      </c>
      <c r="BG160" s="122" t="n">
        <v>44317</v>
      </c>
      <c r="BH160" s="122" t="n">
        <v>18465</v>
      </c>
      <c r="BI160" s="123">
        <f>IF(AND(ISNUMBER(BG160),ISNUMBER(BH160),N(BH160)&gt;0),BG160/BH160,"")</f>
        <v/>
      </c>
      <c r="BJ160" s="120" t="inlineStr">
        <is>
          <t>N</t>
        </is>
      </c>
      <c r="BK160" s="120" t="inlineStr">
        <is>
          <t>List Price $107.98</t>
        </is>
      </c>
    </row>
    <row r="161" ht="62" customHeight="1">
      <c r="A161" s="12">
        <f>_xlfn.IMAGE("https://images-na.ssl-images-amazon.com/images/I/71+O+E9PlaL.jpg")</f>
        <v/>
      </c>
      <c r="B161" s="105" t="inlineStr">
        <is>
          <t>Shilucheng</t>
        </is>
      </c>
      <c r="C161" s="39" t="inlineStr">
        <is>
          <t>Shilucheng 100% Viscose Derived from Bamboo_ Sheets Queen Size 4pcs</t>
        </is>
      </c>
      <c r="D161" s="105" t="inlineStr">
        <is>
          <t>Poor</t>
        </is>
      </c>
      <c r="E161" s="106" t="inlineStr">
        <is>
          <t>Direct</t>
        </is>
      </c>
      <c r="F161" s="105" t="inlineStr">
        <is>
          <t>Bamboo viscose</t>
        </is>
      </c>
      <c r="G161" s="39" t="inlineStr">
        <is>
          <t>Same product (sheet set) in the same material family: Bamboo viscose (product page material: Viscose Derived from Bamboo); ours: our listing: viscose from bamboo.</t>
        </is>
      </c>
      <c r="H161" s="107" t="inlineStr">
        <is>
          <t>B0HK5V5KL1</t>
        </is>
      </c>
      <c r="I161" s="107" t="inlineStr">
        <is>
          <t>B09PYKYCCF</t>
        </is>
      </c>
      <c r="J161" s="105" t="inlineStr">
        <is>
          <t>Queen</t>
        </is>
      </c>
      <c r="K161" s="105" t="inlineStr">
        <is>
          <t>01 - Dark Grey</t>
        </is>
      </c>
      <c r="L161" s="108" t="n">
        <v>79</v>
      </c>
      <c r="M161" s="39" t="inlineStr"/>
      <c r="N161" s="109" t="n">
        <v>46.66</v>
      </c>
      <c r="O161" s="109" t="n">
        <v>54.9</v>
      </c>
      <c r="P161" s="110">
        <f>IF(AND(ISNUMBER(O161),ISNUMBER(N161),N(N161)&gt;0),O161/N161-1,"")</f>
        <v/>
      </c>
      <c r="Q161" s="111">
        <f>IF(P161="","No List Price",IF(P161&lt;=0,"At/below price",IF(P161&lt;=0.12,"&lt;=12% STR zone",IF(P161&lt;=0.25,"12-25%","&gt;25% over"))))</f>
        <v/>
      </c>
      <c r="R161" s="109" t="n">
        <v>94.98999999999999</v>
      </c>
      <c r="S161" s="112">
        <f>IF(AND(ISNUMBER(N161),ISNUMBER(R161),N(R161)&gt;0),N161/R161-1,"")</f>
        <v/>
      </c>
      <c r="T161" s="39" t="inlineStr">
        <is>
          <t>Same size (Queen). Ours live: catalog price, 2026-10-13; 15 children</t>
        </is>
      </c>
      <c r="U161" s="108" t="n">
        <v>26043</v>
      </c>
      <c r="V161" s="108" t="n">
        <v>35</v>
      </c>
      <c r="W161" s="113">
        <f>IF(AND(ISNUMBER(N161),ISNUMBER(V161)),N161*V161*52/12,"")</f>
        <v/>
      </c>
      <c r="X161" s="114" t="n">
        <v>4.4</v>
      </c>
      <c r="Y161" s="108" t="n">
        <v>6629</v>
      </c>
      <c r="Z161" s="115" t="n">
        <v>46307</v>
      </c>
      <c r="AA161" s="115" t="n">
        <v>44652</v>
      </c>
      <c r="AB161" s="105" t="inlineStr">
        <is>
          <t>FBA</t>
        </is>
      </c>
      <c r="AC161" s="105" t="inlineStr">
        <is>
          <t>CN</t>
        </is>
      </c>
      <c r="AD161" s="108" t="n"/>
      <c r="AE161" s="108" t="n"/>
      <c r="AF161" s="116" t="n"/>
      <c r="AG161" s="116" t="n"/>
      <c r="AH161" s="39" t="n"/>
      <c r="AI161" s="116" t="n"/>
      <c r="AJ161" s="116" t="n"/>
      <c r="AK161" s="116" t="n"/>
      <c r="AL161" s="116" t="n"/>
      <c r="AM161" s="108" t="n"/>
      <c r="AN161" s="108" t="n"/>
      <c r="AO161" s="108" t="n"/>
      <c r="AP161" s="108" t="n"/>
      <c r="AQ161" s="108" t="n"/>
      <c r="AR161" s="108" t="n"/>
      <c r="AS161" s="117" t="n"/>
      <c r="AT161" s="112" t="n">
        <v>-0.9774436090225564</v>
      </c>
      <c r="AU161" s="118" t="inlineStr">
        <is>
          <t>Y</t>
        </is>
      </c>
      <c r="AV161" s="118" t="inlineStr">
        <is>
          <t>List Price</t>
        </is>
      </c>
      <c r="AW161" s="119" t="n">
        <v>54.9</v>
      </c>
      <c r="AX161" s="119" t="n">
        <v>46.66</v>
      </c>
      <c r="AY161" s="118" t="inlineStr">
        <is>
          <t>Limited time deal</t>
        </is>
      </c>
      <c r="AZ161" s="118" t="inlineStr">
        <is>
          <t>Y</t>
        </is>
      </c>
      <c r="BA161" s="118" t="inlineStr">
        <is>
          <t>2026-10-13 23:36:49</t>
        </is>
      </c>
      <c r="BB161" s="120" t="inlineStr">
        <is>
          <t>Prime Exclusive Discount</t>
        </is>
      </c>
      <c r="BC161" s="120" t="inlineStr">
        <is>
          <t>11-23 to 12-01</t>
        </is>
      </c>
      <c r="BD161" s="121" t="n">
        <v>54.9</v>
      </c>
      <c r="BE161" s="121" t="n">
        <v>46.64</v>
      </c>
      <c r="BF161" s="110">
        <f>IF(AND(ISNUMBER(BD161),ISNUMBER(BE161),N(BD161)&gt;0),1-BE161/BD161,"")</f>
        <v/>
      </c>
      <c r="BG161" s="122" t="n">
        <v>15970</v>
      </c>
      <c r="BH161" s="122" t="n">
        <v>18592</v>
      </c>
      <c r="BI161" s="123">
        <f>IF(AND(ISNUMBER(BG161),ISNUMBER(BH161),N(BH161)&gt;0),BG161/BH161,"")</f>
        <v/>
      </c>
      <c r="BJ161" s="120" t="inlineStr">
        <is>
          <t>N</t>
        </is>
      </c>
      <c r="BK161" s="120" t="inlineStr">
        <is>
          <t>Buy Box RAISED in BFCM week (median $58.30 vs $54.90 before); List Price $59.90</t>
        </is>
      </c>
    </row>
    <row r="162" ht="62" customHeight="1">
      <c r="A162" s="12">
        <f>_xlfn.IMAGE("https://m.media-amazon.com/images/I/71zexS-HoPL._AC_SL1500_.jpg")</f>
        <v/>
      </c>
      <c r="B162" s="105" t="inlineStr">
        <is>
          <t>Bamtek</t>
        </is>
      </c>
      <c r="C162" s="39" t="inlineStr">
        <is>
          <t>Viscose Bamboo Sheets Queen Size 4PC Set - Cooling Bedding for Hot Sleepers with</t>
        </is>
      </c>
      <c r="D162" s="105" t="inlineStr">
        <is>
          <t>Poor</t>
        </is>
      </c>
      <c r="E162" s="106" t="inlineStr">
        <is>
          <t>Direct</t>
        </is>
      </c>
      <c r="F162" s="105" t="inlineStr">
        <is>
          <t>Bamboo viscose</t>
        </is>
      </c>
      <c r="G162" s="39" t="inlineStr">
        <is>
          <t>Same product (sheet set) in the same material family: Bamboo viscose (product page material: Bamboo, Bamboo Viscose); ours: our listing: viscose from bamboo.</t>
        </is>
      </c>
      <c r="H162" s="107" t="inlineStr">
        <is>
          <t>B0CZHCZQZ3</t>
        </is>
      </c>
      <c r="I162" s="107" t="inlineStr">
        <is>
          <t>B09TQ6ZVKZ</t>
        </is>
      </c>
      <c r="J162" s="105" t="inlineStr">
        <is>
          <t>Queen</t>
        </is>
      </c>
      <c r="K162" s="105" t="inlineStr">
        <is>
          <t>Sage</t>
        </is>
      </c>
      <c r="L162" s="108" t="n"/>
      <c r="M162" s="39" t="inlineStr"/>
      <c r="N162" s="109" t="n">
        <v>94.98999999999999</v>
      </c>
      <c r="O162" s="109" t="n"/>
      <c r="P162" s="110">
        <f>IF(AND(ISNUMBER(O162),ISNUMBER(N162),N(N162)&gt;0),O162/N162-1,"")</f>
        <v/>
      </c>
      <c r="Q162" s="111">
        <f>IF(P162="","No List Price",IF(P162&lt;=0,"At/below price",IF(P162&lt;=0.12,"&lt;=12% STR zone",IF(P162&lt;=0.25,"12-25%","&gt;25% over"))))</f>
        <v/>
      </c>
      <c r="R162" s="109" t="n">
        <v>94.98999999999999</v>
      </c>
      <c r="S162" s="112">
        <f>IF(AND(ISNUMBER(N162),ISNUMBER(R162),N(R162)&gt;0),N162/R162-1,"")</f>
        <v/>
      </c>
      <c r="T162" s="39" t="inlineStr">
        <is>
          <t>Same size (Queen). Ours live: catalog price, 2026-10-13; 15 children</t>
        </is>
      </c>
      <c r="U162" s="108" t="n">
        <v>79376</v>
      </c>
      <c r="V162" s="108" t="n">
        <v>18</v>
      </c>
      <c r="W162" s="113">
        <f>IF(AND(ISNUMBER(N162),ISNUMBER(V162)),N162*V162*52/12,"")</f>
        <v/>
      </c>
      <c r="X162" s="114" t="n">
        <v>4.4</v>
      </c>
      <c r="Y162" s="108" t="n">
        <v>641</v>
      </c>
      <c r="Z162" s="115" t="n">
        <v>46307</v>
      </c>
      <c r="AA162" s="115" t="n"/>
      <c r="AB162" s="105" t="n"/>
      <c r="AC162" s="105" t="n"/>
      <c r="AD162" s="108" t="n"/>
      <c r="AE162" s="108" t="n"/>
      <c r="AF162" s="116" t="n"/>
      <c r="AG162" s="116" t="n"/>
      <c r="AH162" s="39" t="n"/>
      <c r="AI162" s="116" t="n"/>
      <c r="AJ162" s="116" t="n"/>
      <c r="AK162" s="116" t="n"/>
      <c r="AL162" s="116" t="n"/>
      <c r="AM162" s="108" t="n"/>
      <c r="AN162" s="108" t="n"/>
      <c r="AO162" s="108" t="n"/>
      <c r="AP162" s="108" t="n"/>
      <c r="AQ162" s="108" t="n"/>
      <c r="AR162" s="108" t="n"/>
      <c r="AS162" s="117" t="n"/>
      <c r="AT162" s="112" t="n"/>
      <c r="AU162" s="118" t="inlineStr">
        <is>
          <t>N</t>
        </is>
      </c>
      <c r="AV162" s="118" t="inlineStr">
        <is>
          <t>none</t>
        </is>
      </c>
      <c r="AW162" s="124" t="n"/>
      <c r="AX162" s="119" t="n">
        <v>94.98999999999999</v>
      </c>
      <c r="AY162" s="118" t="inlineStr">
        <is>
          <t>none</t>
        </is>
      </c>
      <c r="AZ162" s="118" t="inlineStr">
        <is>
          <t>Y</t>
        </is>
      </c>
      <c r="BA162" s="118" t="inlineStr">
        <is>
          <t>2026-10-13 23:35:47</t>
        </is>
      </c>
      <c r="BB162" s="120" t="inlineStr">
        <is>
          <t>Prime Exclusive Discount</t>
        </is>
      </c>
      <c r="BC162" s="120" t="inlineStr">
        <is>
          <t>11-24 to 12-01</t>
        </is>
      </c>
      <c r="BD162" s="121" t="n">
        <v>104.99</v>
      </c>
      <c r="BE162" s="121" t="n">
        <v>83.98999999999999</v>
      </c>
      <c r="BF162" s="110">
        <f>IF(AND(ISNUMBER(BD162),ISNUMBER(BE162),N(BD162)&gt;0),1-BE162/BD162,"")</f>
        <v/>
      </c>
      <c r="BG162" s="122" t="n">
        <v>99218</v>
      </c>
      <c r="BH162" s="122" t="n">
        <v>70530</v>
      </c>
      <c r="BI162" s="123">
        <f>IF(AND(ISNUMBER(BG162),ISNUMBER(BH162),N(BH162)&gt;0),BG162/BH162,"")</f>
        <v/>
      </c>
      <c r="BJ162" s="120" t="inlineStr">
        <is>
          <t>N</t>
        </is>
      </c>
      <c r="BK162" s="120" t="inlineStr">
        <is>
          <t>Coupon 40.00 USD (11-01 to 11-10); List Price $129.99</t>
        </is>
      </c>
    </row>
    <row r="163" ht="62" customHeight="1">
      <c r="A163" s="12">
        <f>_xlfn.IMAGE("https://images-na.ssl-images-amazon.com/images/I/61imzycbiwL.jpg")</f>
        <v/>
      </c>
      <c r="B163" s="105" t="inlineStr">
        <is>
          <t>JSD</t>
        </is>
      </c>
      <c r="C163" s="39" t="inlineStr">
        <is>
          <t>JSD Sage Green 100% Viscose Derived from Bamboo Cooling Sheet Set Queen</t>
        </is>
      </c>
      <c r="D163" s="105" t="inlineStr">
        <is>
          <t>Poor</t>
        </is>
      </c>
      <c r="E163" s="106" t="inlineStr">
        <is>
          <t>Direct</t>
        </is>
      </c>
      <c r="F163" s="105" t="inlineStr">
        <is>
          <t>Bamboo viscose</t>
        </is>
      </c>
      <c r="G163" s="39" t="inlineStr">
        <is>
          <t>Same product (sheet set) in the same material family: Bamboo viscose (title: JSD Sage Green 100% Viscose Derived from Bamboo Cooling Shee); ours: our listing: viscose from bamboo.</t>
        </is>
      </c>
      <c r="H163" s="107" t="inlineStr">
        <is>
          <t>B0DTY15N29</t>
        </is>
      </c>
      <c r="I163" s="107" t="inlineStr">
        <is>
          <t>B0DSZTLBV1</t>
        </is>
      </c>
      <c r="J163" s="105" t="inlineStr">
        <is>
          <t>Queen</t>
        </is>
      </c>
      <c r="K163" s="105" t="inlineStr">
        <is>
          <t>Green</t>
        </is>
      </c>
      <c r="L163" s="108" t="n">
        <v>32</v>
      </c>
      <c r="M163" s="39" t="inlineStr"/>
      <c r="N163" s="109" t="n">
        <v>56.99</v>
      </c>
      <c r="O163" s="109" t="n"/>
      <c r="P163" s="110">
        <f>IF(AND(ISNUMBER(O163),ISNUMBER(N163),N(N163)&gt;0),O163/N163-1,"")</f>
        <v/>
      </c>
      <c r="Q163" s="111">
        <f>IF(P163="","No List Price",IF(P163&lt;=0,"At/below price",IF(P163&lt;=0.12,"&lt;=12% STR zone",IF(P163&lt;=0.25,"12-25%","&gt;25% over"))))</f>
        <v/>
      </c>
      <c r="R163" s="109" t="n">
        <v>94.98999999999999</v>
      </c>
      <c r="S163" s="112">
        <f>IF(AND(ISNUMBER(N163),ISNUMBER(R163),N(R163)&gt;0),N163/R163-1,"")</f>
        <v/>
      </c>
      <c r="T163" s="39" t="inlineStr">
        <is>
          <t>Same size (Queen). Ours live: catalog price, 2026-10-13; 15 children</t>
        </is>
      </c>
      <c r="U163" s="108" t="n">
        <v>76312</v>
      </c>
      <c r="V163" s="108" t="n">
        <v>18</v>
      </c>
      <c r="W163" s="113">
        <f>IF(AND(ISNUMBER(N163),ISNUMBER(V163)),N163*V163*52/12,"")</f>
        <v/>
      </c>
      <c r="X163" s="114" t="n">
        <v>4.3</v>
      </c>
      <c r="Y163" s="108" t="n">
        <v>281</v>
      </c>
      <c r="Z163" s="115" t="n">
        <v>46307</v>
      </c>
      <c r="AA163" s="115" t="n">
        <v>45671</v>
      </c>
      <c r="AB163" s="105" t="inlineStr">
        <is>
          <t>FBA</t>
        </is>
      </c>
      <c r="AC163" s="105" t="inlineStr">
        <is>
          <t>CN</t>
        </is>
      </c>
      <c r="AD163" s="108" t="n"/>
      <c r="AE163" s="108" t="n"/>
      <c r="AF163" s="116" t="n"/>
      <c r="AG163" s="116" t="n"/>
      <c r="AH163" s="39" t="n"/>
      <c r="AI163" s="116" t="n"/>
      <c r="AJ163" s="116" t="n"/>
      <c r="AK163" s="116" t="n"/>
      <c r="AL163" s="116" t="n"/>
      <c r="AM163" s="108" t="n"/>
      <c r="AN163" s="108" t="n"/>
      <c r="AO163" s="108" t="n"/>
      <c r="AP163" s="108" t="n"/>
      <c r="AQ163" s="108" t="n"/>
      <c r="AR163" s="108" t="n"/>
      <c r="AS163" s="117" t="n"/>
      <c r="AT163" s="112" t="n"/>
      <c r="AU163" s="118" t="inlineStr">
        <is>
          <t>N</t>
        </is>
      </c>
      <c r="AV163" s="118" t="inlineStr">
        <is>
          <t>none</t>
        </is>
      </c>
      <c r="AW163" s="124" t="n"/>
      <c r="AX163" s="119" t="n">
        <v>56.99</v>
      </c>
      <c r="AY163" s="118" t="inlineStr">
        <is>
          <t>none</t>
        </is>
      </c>
      <c r="AZ163" s="118" t="inlineStr">
        <is>
          <t>Y</t>
        </is>
      </c>
      <c r="BA163" s="118" t="inlineStr">
        <is>
          <t>2026-10-13 23:36:24</t>
        </is>
      </c>
      <c r="BB163" s="120" t="inlineStr">
        <is>
          <t>None</t>
        </is>
      </c>
      <c r="BC163" s="125" t="n"/>
      <c r="BD163" s="121" t="n">
        <v>56.99</v>
      </c>
      <c r="BE163" s="121" t="n">
        <v>56.99</v>
      </c>
      <c r="BF163" s="110">
        <f>IF(AND(ISNUMBER(BD163),ISNUMBER(BE163),N(BD163)&gt;0),1-BE163/BD163,"")</f>
        <v/>
      </c>
      <c r="BG163" s="122" t="n">
        <v>97969</v>
      </c>
      <c r="BH163" s="122" t="n">
        <v>108941</v>
      </c>
      <c r="BI163" s="123">
        <f>IF(AND(ISNUMBER(BG163),ISNUMBER(BH163),N(BH163)&gt;0),BG163/BH163,"")</f>
        <v/>
      </c>
      <c r="BJ163" s="120" t="inlineStr">
        <is>
          <t>N</t>
        </is>
      </c>
      <c r="BK163" s="120" t="inlineStr">
        <is>
          <t>Coupon 5% (11-01 to 11-17); List Price $74.99</t>
        </is>
      </c>
    </row>
    <row r="164" ht="62" customHeight="1">
      <c r="A164" s="12">
        <f>_xlfn.IMAGE("https://images-na.ssl-images-amazon.com/images/I/71zrq2AtnUL.jpg")</f>
        <v/>
      </c>
      <c r="B164" s="105" t="inlineStr">
        <is>
          <t>Kickoff Home</t>
        </is>
      </c>
      <c r="C164" s="39" t="inlineStr">
        <is>
          <t>Bamboo Sheets</t>
        </is>
      </c>
      <c r="D164" s="105" t="inlineStr">
        <is>
          <t>Poor</t>
        </is>
      </c>
      <c r="E164" s="106" t="inlineStr">
        <is>
          <t>Direct</t>
        </is>
      </c>
      <c r="F164" s="105" t="inlineStr">
        <is>
          <t>Bamboo viscose</t>
        </is>
      </c>
      <c r="G164" s="39" t="inlineStr">
        <is>
          <t>Same product (sheet set) in the same material family: Bamboo viscose (product page material: Viscose from Bamboo); ours: our listing: viscose from bamboo.</t>
        </is>
      </c>
      <c r="H164" s="107" t="inlineStr">
        <is>
          <t>B0D4KS4MVX</t>
        </is>
      </c>
      <c r="I164" s="107" t="inlineStr">
        <is>
          <t>B0CHN5ZPFH</t>
        </is>
      </c>
      <c r="J164" s="105" t="inlineStr">
        <is>
          <t>King</t>
        </is>
      </c>
      <c r="K164" s="105" t="inlineStr">
        <is>
          <t>Sage Green</t>
        </is>
      </c>
      <c r="L164" s="108" t="n">
        <v>106</v>
      </c>
      <c r="M164" s="39" t="inlineStr">
        <is>
          <t>B0CHN5ZPFH (27%), B0CHN6N986 (11%), B0G84K7MZQ (9%), B0G84MQQX4 (8%), B0CHN4BSZP (5%)</t>
        </is>
      </c>
      <c r="N164" s="109" t="n">
        <v>86.98999999999999</v>
      </c>
      <c r="O164" s="109" t="n">
        <v>84.98999999999999</v>
      </c>
      <c r="P164" s="110">
        <f>IF(AND(ISNUMBER(O164),ISNUMBER(N164),N(N164)&gt;0),O164/N164-1,"")</f>
        <v/>
      </c>
      <c r="Q164" s="111">
        <f>IF(P164="","No List Price",IF(P164&lt;=0,"At/below price",IF(P164&lt;=0.12,"&lt;=12% STR zone",IF(P164&lt;=0.25,"12-25%","&gt;25% over"))))</f>
        <v/>
      </c>
      <c r="R164" s="109" t="n">
        <v>99.98999999999999</v>
      </c>
      <c r="S164" s="112">
        <f>IF(AND(ISNUMBER(N164),ISNUMBER(R164),N(R164)&gt;0),N164/R164-1,"")</f>
        <v/>
      </c>
      <c r="T164" s="39" t="inlineStr">
        <is>
          <t>Same size (King). Ours live: catalog price, 2026-10-13; 15 children</t>
        </is>
      </c>
      <c r="U164" s="108" t="n">
        <v>23579</v>
      </c>
      <c r="V164" s="108" t="n">
        <v>18</v>
      </c>
      <c r="W164" s="113">
        <f>IF(AND(ISNUMBER(N164),ISNUMBER(V164)),N164*V164*52/12,"")</f>
        <v/>
      </c>
      <c r="X164" s="114" t="n">
        <v>4.6</v>
      </c>
      <c r="Y164" s="108" t="n">
        <v>688</v>
      </c>
      <c r="Z164" s="115" t="n">
        <v>46307</v>
      </c>
      <c r="AA164" s="115" t="n"/>
      <c r="AB164" s="105" t="n"/>
      <c r="AC164" s="105" t="n"/>
      <c r="AD164" s="108" t="n">
        <v>58169</v>
      </c>
      <c r="AE164" s="108" t="n">
        <v>1164</v>
      </c>
      <c r="AF164" s="116" t="n">
        <v>0.8765498702057799</v>
      </c>
      <c r="AG164" s="116" t="n">
        <v>0.12345023981846</v>
      </c>
      <c r="AH164" s="39" t="inlineStr">
        <is>
          <t>bamboo sheets</t>
        </is>
      </c>
      <c r="AI164" s="116" t="n">
        <v>0.6749987106534409</v>
      </c>
      <c r="AJ164" s="116" t="n"/>
      <c r="AK164" s="116" t="n">
        <v>0.08715982739947395</v>
      </c>
      <c r="AL164" s="116" t="n">
        <v>0.0003782083240213859</v>
      </c>
      <c r="AM164" s="108" t="n">
        <v>652</v>
      </c>
      <c r="AN164" s="108" t="n">
        <v>395</v>
      </c>
      <c r="AO164" s="108" t="n">
        <v>185</v>
      </c>
      <c r="AP164" s="108" t="n">
        <v>512</v>
      </c>
      <c r="AQ164" s="108" t="n">
        <v>45</v>
      </c>
      <c r="AR164" s="108" t="n">
        <v>45</v>
      </c>
      <c r="AS164" s="117" t="n"/>
      <c r="AT164" s="112" t="n"/>
      <c r="AU164" s="118" t="inlineStr">
        <is>
          <t>N</t>
        </is>
      </c>
      <c r="AV164" s="118" t="inlineStr">
        <is>
          <t>none</t>
        </is>
      </c>
      <c r="AW164" s="124" t="n"/>
      <c r="AX164" s="119" t="n">
        <v>86.98999999999999</v>
      </c>
      <c r="AY164" s="118" t="inlineStr">
        <is>
          <t>none</t>
        </is>
      </c>
      <c r="AZ164" s="118" t="inlineStr">
        <is>
          <t>Y</t>
        </is>
      </c>
      <c r="BA164" s="118" t="inlineStr">
        <is>
          <t>2026-10-13 23:36:30</t>
        </is>
      </c>
      <c r="BB164" s="120" t="inlineStr">
        <is>
          <t>Price cut only</t>
        </is>
      </c>
      <c r="BC164" s="120" t="inlineStr">
        <is>
          <t>11-21 to 12-01</t>
        </is>
      </c>
      <c r="BD164" s="121" t="n">
        <v>118.99</v>
      </c>
      <c r="BE164" s="121" t="n">
        <v>79.13</v>
      </c>
      <c r="BF164" s="110">
        <f>IF(AND(ISNUMBER(BD164),ISNUMBER(BE164),N(BD164)&gt;0),1-BE164/BD164,"")</f>
        <v/>
      </c>
      <c r="BG164" s="122" t="n">
        <v>70541</v>
      </c>
      <c r="BH164" s="122" t="n">
        <v>28546</v>
      </c>
      <c r="BI164" s="123">
        <f>IF(AND(ISNUMBER(BG164),ISNUMBER(BH164),N(BH164)&gt;0),BG164/BH164,"")</f>
        <v/>
      </c>
      <c r="BJ164" s="120" t="inlineStr">
        <is>
          <t>N</t>
        </is>
      </c>
      <c r="BK164" s="120" t="inlineStr">
        <is>
          <t>Coupon 25% (11-01 to 11-05); List Price $124.99</t>
        </is>
      </c>
    </row>
    <row r="165" ht="62" customHeight="1">
      <c r="A165" s="12">
        <f>_xlfn.IMAGE("https://m.media-amazon.com/images/I/81xjJeiirqL._AC_SL1500_.jpg")</f>
        <v/>
      </c>
      <c r="B165" s="105" t="inlineStr">
        <is>
          <t>LB Luxury Bamboo Market</t>
        </is>
      </c>
      <c r="C165" s="39" t="inlineStr">
        <is>
          <t>Bamboo Sheets</t>
        </is>
      </c>
      <c r="D165" s="105" t="inlineStr">
        <is>
          <t>Poor</t>
        </is>
      </c>
      <c r="E165" s="106" t="inlineStr">
        <is>
          <t>Direct</t>
        </is>
      </c>
      <c r="F165" s="105" t="inlineStr">
        <is>
          <t>Bamboo viscose</t>
        </is>
      </c>
      <c r="G165" s="39" t="inlineStr">
        <is>
          <t>Same product (sheet set) in the same material family: Bamboo viscose (product page material: Organically Grown Bamboo Viscose); ours: our listing: viscose from bamboo.</t>
        </is>
      </c>
      <c r="H165" s="107" t="inlineStr">
        <is>
          <t>B0D1HWHDL2</t>
        </is>
      </c>
      <c r="I165" s="107" t="inlineStr">
        <is>
          <t>B0CH7N9WVC</t>
        </is>
      </c>
      <c r="J165" s="105" t="inlineStr">
        <is>
          <t>Queen</t>
        </is>
      </c>
      <c r="K165" s="105" t="inlineStr">
        <is>
          <t>Dune</t>
        </is>
      </c>
      <c r="L165" s="108" t="n"/>
      <c r="M165" s="39" t="inlineStr"/>
      <c r="N165" s="109" t="n">
        <v>129.94</v>
      </c>
      <c r="O165" s="109" t="n"/>
      <c r="P165" s="110">
        <f>IF(AND(ISNUMBER(O165),ISNUMBER(N165),N(N165)&gt;0),O165/N165-1,"")</f>
        <v/>
      </c>
      <c r="Q165" s="111">
        <f>IF(P165="","No List Price",IF(P165&lt;=0,"At/below price",IF(P165&lt;=0.12,"&lt;=12% STR zone",IF(P165&lt;=0.25,"12-25%","&gt;25% over"))))</f>
        <v/>
      </c>
      <c r="R165" s="109" t="n">
        <v>94.98999999999999</v>
      </c>
      <c r="S165" s="112">
        <f>IF(AND(ISNUMBER(N165),ISNUMBER(R165),N(R165)&gt;0),N165/R165-1,"")</f>
        <v/>
      </c>
      <c r="T165" s="39" t="inlineStr">
        <is>
          <t>Same size (Queen). Ours live: catalog price, 2026-10-13; 15 children</t>
        </is>
      </c>
      <c r="U165" s="108" t="n">
        <v>47800</v>
      </c>
      <c r="V165" s="108" t="n">
        <v>18</v>
      </c>
      <c r="W165" s="113">
        <f>IF(AND(ISNUMBER(N165),ISNUMBER(V165)),N165*V165*52/12,"")</f>
        <v/>
      </c>
      <c r="X165" s="114" t="n">
        <v>4.5</v>
      </c>
      <c r="Y165" s="108" t="n">
        <v>517</v>
      </c>
      <c r="Z165" s="115" t="n">
        <v>46307</v>
      </c>
      <c r="AA165" s="115" t="n"/>
      <c r="AB165" s="105" t="n"/>
      <c r="AC165" s="105" t="n"/>
      <c r="AD165" s="108" t="n"/>
      <c r="AE165" s="108" t="n"/>
      <c r="AF165" s="116" t="n"/>
      <c r="AG165" s="116" t="n"/>
      <c r="AH165" s="39" t="n"/>
      <c r="AI165" s="116" t="n"/>
      <c r="AJ165" s="116" t="n"/>
      <c r="AK165" s="116" t="n"/>
      <c r="AL165" s="116" t="n"/>
      <c r="AM165" s="108" t="n"/>
      <c r="AN165" s="108" t="n"/>
      <c r="AO165" s="108" t="n"/>
      <c r="AP165" s="108" t="n"/>
      <c r="AQ165" s="108" t="n"/>
      <c r="AR165" s="108" t="n"/>
      <c r="AS165" s="117" t="n"/>
      <c r="AT165" s="112" t="n"/>
      <c r="AU165" s="118" t="inlineStr">
        <is>
          <t>N</t>
        </is>
      </c>
      <c r="AV165" s="118" t="inlineStr">
        <is>
          <t>none</t>
        </is>
      </c>
      <c r="AW165" s="124" t="n"/>
      <c r="AX165" s="119" t="n">
        <v>129.94</v>
      </c>
      <c r="AY165" s="118" t="inlineStr">
        <is>
          <t>none</t>
        </is>
      </c>
      <c r="AZ165" s="118" t="inlineStr">
        <is>
          <t>Y</t>
        </is>
      </c>
      <c r="BA165" s="118" t="inlineStr">
        <is>
          <t>2026-10-13 23:36:34</t>
        </is>
      </c>
      <c r="BB165" s="120" t="inlineStr">
        <is>
          <t>Prime Exclusive Discount</t>
        </is>
      </c>
      <c r="BC165" s="120" t="inlineStr">
        <is>
          <t>11-26 to 12-01</t>
        </is>
      </c>
      <c r="BD165" s="121" t="n">
        <v>119.94</v>
      </c>
      <c r="BE165" s="121" t="n">
        <v>103.95</v>
      </c>
      <c r="BF165" s="110">
        <f>IF(AND(ISNUMBER(BD165),ISNUMBER(BE165),N(BD165)&gt;0),1-BE165/BD165,"")</f>
        <v/>
      </c>
      <c r="BG165" s="122" t="n">
        <v>73868</v>
      </c>
      <c r="BH165" s="122" t="n">
        <v>96746</v>
      </c>
      <c r="BI165" s="123">
        <f>IF(AND(ISNUMBER(BG165),ISNUMBER(BH165),N(BH165)&gt;0),BG165/BH165,"")</f>
        <v/>
      </c>
      <c r="BJ165" s="120" t="inlineStr">
        <is>
          <t>N</t>
        </is>
      </c>
      <c r="BK165" s="120" t="inlineStr">
        <is>
          <t>List Price $159.94</t>
        </is>
      </c>
    </row>
    <row r="166" ht="62" customHeight="1">
      <c r="A166" s="12">
        <f>_xlfn.IMAGE("https://images-na.ssl-images-amazon.com/images/I/71NxE1i+4jL.jpg")</f>
        <v/>
      </c>
      <c r="B166" s="105" t="inlineStr">
        <is>
          <t>Shilucheng</t>
        </is>
      </c>
      <c r="C166" s="39" t="inlineStr">
        <is>
          <t>Shilucheng 100% Viscose Derived from Bamboo_Sheets, Extra Deep Pocket</t>
        </is>
      </c>
      <c r="D166" s="105" t="inlineStr">
        <is>
          <t>Poor</t>
        </is>
      </c>
      <c r="E166" s="106" t="inlineStr">
        <is>
          <t>Direct</t>
        </is>
      </c>
      <c r="F166" s="105" t="inlineStr">
        <is>
          <t>Bamboo viscose</t>
        </is>
      </c>
      <c r="G166" s="39" t="inlineStr">
        <is>
          <t>Same product (sheet set) in the same material family: Bamboo viscose (product page material: Rayon Derived from Bamboo); ours: our listing: viscose from bamboo.</t>
        </is>
      </c>
      <c r="H166" s="107" t="inlineStr">
        <is>
          <t>B0HJVD7X1R</t>
        </is>
      </c>
      <c r="I166" s="107" t="inlineStr">
        <is>
          <t>B0F2TBWTZR</t>
        </is>
      </c>
      <c r="J166" s="105" t="inlineStr">
        <is>
          <t>King</t>
        </is>
      </c>
      <c r="K166" s="105" t="inlineStr">
        <is>
          <t>Dark Grey</t>
        </is>
      </c>
      <c r="L166" s="108" t="n">
        <v>32</v>
      </c>
      <c r="M166" s="39" t="inlineStr"/>
      <c r="N166" s="109" t="n">
        <v>69.98999999999999</v>
      </c>
      <c r="O166" s="109" t="n">
        <v>84.98999999999999</v>
      </c>
      <c r="P166" s="110">
        <f>IF(AND(ISNUMBER(O166),ISNUMBER(N166),N(N166)&gt;0),O166/N166-1,"")</f>
        <v/>
      </c>
      <c r="Q166" s="111">
        <f>IF(P166="","No List Price",IF(P166&lt;=0,"At/below price",IF(P166&lt;=0.12,"&lt;=12% STR zone",IF(P166&lt;=0.25,"12-25%","&gt;25% over"))))</f>
        <v/>
      </c>
      <c r="R166" s="109" t="n">
        <v>99.98999999999999</v>
      </c>
      <c r="S166" s="112">
        <f>IF(AND(ISNUMBER(N166),ISNUMBER(R166),N(R166)&gt;0),N166/R166-1,"")</f>
        <v/>
      </c>
      <c r="T166" s="39" t="inlineStr">
        <is>
          <t>Same size (King). Ours live: catalog price, 2026-10-13; 15 children</t>
        </is>
      </c>
      <c r="U166" s="108" t="n">
        <v>39194</v>
      </c>
      <c r="V166" s="108" t="n">
        <v>18</v>
      </c>
      <c r="W166" s="113">
        <f>IF(AND(ISNUMBER(N166),ISNUMBER(V166)),N166*V166*52/12,"")</f>
        <v/>
      </c>
      <c r="X166" s="114" t="n">
        <v>4.5</v>
      </c>
      <c r="Y166" s="108" t="n">
        <v>1639</v>
      </c>
      <c r="Z166" s="115" t="n">
        <v>46307</v>
      </c>
      <c r="AA166" s="115" t="n">
        <v>45744</v>
      </c>
      <c r="AB166" s="105" t="inlineStr">
        <is>
          <t>FBA</t>
        </is>
      </c>
      <c r="AC166" s="105" t="inlineStr">
        <is>
          <t>CN</t>
        </is>
      </c>
      <c r="AD166" s="108" t="n"/>
      <c r="AE166" s="108" t="n"/>
      <c r="AF166" s="116" t="n"/>
      <c r="AG166" s="116" t="n"/>
      <c r="AH166" s="39" t="n"/>
      <c r="AI166" s="116" t="n"/>
      <c r="AJ166" s="116" t="n"/>
      <c r="AK166" s="116" t="n"/>
      <c r="AL166" s="116" t="n"/>
      <c r="AM166" s="108" t="n"/>
      <c r="AN166" s="108" t="n"/>
      <c r="AO166" s="108" t="n"/>
      <c r="AP166" s="108" t="n"/>
      <c r="AQ166" s="108" t="n"/>
      <c r="AR166" s="108" t="n"/>
      <c r="AS166" s="117" t="n"/>
      <c r="AT166" s="112" t="n">
        <v>-0.9655172413793104</v>
      </c>
      <c r="AU166" s="118" t="inlineStr">
        <is>
          <t>Y</t>
        </is>
      </c>
      <c r="AV166" s="118" t="inlineStr">
        <is>
          <t>List Price</t>
        </is>
      </c>
      <c r="AW166" s="119" t="n">
        <v>84.98999999999999</v>
      </c>
      <c r="AX166" s="119" t="n">
        <v>69.98999999999999</v>
      </c>
      <c r="AY166" s="118" t="inlineStr">
        <is>
          <t>Limited time deal</t>
        </is>
      </c>
      <c r="AZ166" s="118" t="inlineStr">
        <is>
          <t>Y</t>
        </is>
      </c>
      <c r="BA166" s="118" t="inlineStr">
        <is>
          <t>2026-10-13 23:36:52</t>
        </is>
      </c>
      <c r="BB166" s="120" t="inlineStr">
        <is>
          <t>Prime Exclusive Discount</t>
        </is>
      </c>
      <c r="BC166" s="120" t="inlineStr">
        <is>
          <t>11-21 to 12-01</t>
        </is>
      </c>
      <c r="BD166" s="121" t="n">
        <v>84.98999999999999</v>
      </c>
      <c r="BE166" s="121" t="n">
        <v>64.59</v>
      </c>
      <c r="BF166" s="110">
        <f>IF(AND(ISNUMBER(BD166),ISNUMBER(BE166),N(BD166)&gt;0),1-BE166/BD166,"")</f>
        <v/>
      </c>
      <c r="BG166" s="122" t="n">
        <v>28104</v>
      </c>
      <c r="BH166" s="122" t="n">
        <v>38474</v>
      </c>
      <c r="BI166" s="123">
        <f>IF(AND(ISNUMBER(BG166),ISNUMBER(BH166),N(BH166)&gt;0),BG166/BH166,"")</f>
        <v/>
      </c>
      <c r="BJ166" s="120" t="inlineStr">
        <is>
          <t>N</t>
        </is>
      </c>
      <c r="BK166" s="120" t="inlineStr">
        <is>
          <t>Coupon 20% (11-02 to 11-12); List Price $84.99</t>
        </is>
      </c>
    </row>
    <row r="167" ht="62" customHeight="1">
      <c r="A167" s="12">
        <f>_xlfn.IMAGE("https://m.media-amazon.com/images/I/61YnWQV27EL._AC_SL1024_.jpg")</f>
        <v/>
      </c>
      <c r="B167" s="105" t="inlineStr">
        <is>
          <t>Bamboo Bay</t>
        </is>
      </c>
      <c r="C167" s="39" t="inlineStr">
        <is>
          <t>Bamboo Sheets</t>
        </is>
      </c>
      <c r="D167" s="105" t="inlineStr">
        <is>
          <t>Poor</t>
        </is>
      </c>
      <c r="E167" s="106" t="inlineStr">
        <is>
          <t>Direct</t>
        </is>
      </c>
      <c r="F167" s="105" t="inlineStr">
        <is>
          <t>Bamboo viscose</t>
        </is>
      </c>
      <c r="G167" s="39" t="inlineStr">
        <is>
          <t>Same product (sheet set) in the same material family: Bamboo viscose (product page material: Viscose Made from Bamboo); ours: our listing: viscose from bamboo.</t>
        </is>
      </c>
      <c r="H167" s="107" t="inlineStr">
        <is>
          <t>B0DLF1SWJ5</t>
        </is>
      </c>
      <c r="I167" s="107" t="inlineStr">
        <is>
          <t>B07TBHLZJM</t>
        </is>
      </c>
      <c r="J167" s="105" t="inlineStr">
        <is>
          <t>Queen</t>
        </is>
      </c>
      <c r="K167" s="105" t="inlineStr">
        <is>
          <t>04 - Light Grey</t>
        </is>
      </c>
      <c r="L167" s="108" t="n"/>
      <c r="M167" s="39" t="inlineStr"/>
      <c r="N167" s="109" t="n">
        <v>79.98</v>
      </c>
      <c r="O167" s="109" t="n"/>
      <c r="P167" s="110">
        <f>IF(AND(ISNUMBER(O167),ISNUMBER(N167),N(N167)&gt;0),O167/N167-1,"")</f>
        <v/>
      </c>
      <c r="Q167" s="111">
        <f>IF(P167="","No List Price",IF(P167&lt;=0,"At/below price",IF(P167&lt;=0.12,"&lt;=12% STR zone",IF(P167&lt;=0.25,"12-25%","&gt;25% over"))))</f>
        <v/>
      </c>
      <c r="R167" s="109" t="n">
        <v>94.98999999999999</v>
      </c>
      <c r="S167" s="112">
        <f>IF(AND(ISNUMBER(N167),ISNUMBER(R167),N(R167)&gt;0),N167/R167-1,"")</f>
        <v/>
      </c>
      <c r="T167" s="39" t="inlineStr">
        <is>
          <t>Same size (Queen). Ours live: catalog price, 2026-10-13; 15 children</t>
        </is>
      </c>
      <c r="U167" s="108" t="n">
        <v>131083</v>
      </c>
      <c r="V167" s="108" t="n">
        <v>5</v>
      </c>
      <c r="W167" s="113">
        <f>IF(AND(ISNUMBER(N167),ISNUMBER(V167)),N167*V167*52/12,"")</f>
        <v/>
      </c>
      <c r="X167" s="114" t="n">
        <v>4.5</v>
      </c>
      <c r="Y167" s="108" t="n">
        <v>2691</v>
      </c>
      <c r="Z167" s="115" t="n">
        <v>46307</v>
      </c>
      <c r="AA167" s="115" t="n"/>
      <c r="AB167" s="105" t="n"/>
      <c r="AC167" s="105" t="n"/>
      <c r="AD167" s="108" t="n"/>
      <c r="AE167" s="108" t="n"/>
      <c r="AF167" s="116" t="n"/>
      <c r="AG167" s="116" t="n"/>
      <c r="AH167" s="39" t="n"/>
      <c r="AI167" s="116" t="n"/>
      <c r="AJ167" s="116" t="n"/>
      <c r="AK167" s="116" t="n"/>
      <c r="AL167" s="116" t="n"/>
      <c r="AM167" s="108" t="n"/>
      <c r="AN167" s="108" t="n"/>
      <c r="AO167" s="108" t="n"/>
      <c r="AP167" s="108" t="n"/>
      <c r="AQ167" s="108" t="n"/>
      <c r="AR167" s="108" t="n"/>
      <c r="AS167" s="117" t="n"/>
      <c r="AT167" s="112" t="n"/>
      <c r="AU167" s="118" t="inlineStr">
        <is>
          <t>N</t>
        </is>
      </c>
      <c r="AV167" s="118" t="inlineStr">
        <is>
          <t>none</t>
        </is>
      </c>
      <c r="AW167" s="124" t="n"/>
      <c r="AX167" s="119" t="n">
        <v>79.98</v>
      </c>
      <c r="AY167" s="118" t="inlineStr">
        <is>
          <t>none</t>
        </is>
      </c>
      <c r="AZ167" s="118" t="inlineStr">
        <is>
          <t>Y</t>
        </is>
      </c>
      <c r="BA167" s="118" t="inlineStr">
        <is>
          <t>2026-10-13 23:35:44</t>
        </is>
      </c>
      <c r="BB167" s="120" t="inlineStr">
        <is>
          <t>None</t>
        </is>
      </c>
      <c r="BC167" s="125" t="n"/>
      <c r="BD167" s="121" t="n">
        <v>86.98999999999999</v>
      </c>
      <c r="BE167" s="121" t="n">
        <v>93.48</v>
      </c>
      <c r="BF167" s="110">
        <f>IF(AND(ISNUMBER(BD167),ISNUMBER(BE167),N(BD167)&gt;0),1-BE167/BD167,"")</f>
        <v/>
      </c>
      <c r="BG167" s="122" t="n">
        <v>43439</v>
      </c>
      <c r="BH167" s="122" t="n">
        <v>53047</v>
      </c>
      <c r="BI167" s="123">
        <f>IF(AND(ISNUMBER(BG167),ISNUMBER(BH167),N(BH167)&gt;0),BG167/BH167,"")</f>
        <v/>
      </c>
      <c r="BJ167" s="120" t="inlineStr">
        <is>
          <t>N</t>
        </is>
      </c>
      <c r="BK167" s="120" t="inlineStr">
        <is>
          <t>Buy Box RAISED in BFCM week (median $109.98 vs $86.99 before); List Price $129.98</t>
        </is>
      </c>
    </row>
    <row r="168" ht="62" customHeight="1">
      <c r="A168" s="12">
        <f>_xlfn.IMAGE("https://m.media-amazon.com/images/I/61se+-YHOaL._AC_SL1500_.jpg")</f>
        <v/>
      </c>
      <c r="B168" s="105" t="inlineStr">
        <is>
          <t>LBRO2M</t>
        </is>
      </c>
      <c r="C168" s="39" t="inlineStr">
        <is>
          <t>LBRO2M Cooling Bed Sheet 100% Viscose Derived from Bamboo Sheet Set Queen Size 6</t>
        </is>
      </c>
      <c r="D168" s="105" t="inlineStr">
        <is>
          <t>Poor</t>
        </is>
      </c>
      <c r="E168" s="106" t="inlineStr">
        <is>
          <t>Direct</t>
        </is>
      </c>
      <c r="F168" s="105" t="inlineStr">
        <is>
          <t>Bamboo viscose</t>
        </is>
      </c>
      <c r="G168" s="39" t="inlineStr">
        <is>
          <t>Same product (sheet set) in the same material family: Bamboo viscose (product page material: Viscose Derived from Bamboo); ours: our listing: viscose from bamboo.</t>
        </is>
      </c>
      <c r="H168" s="107" t="inlineStr">
        <is>
          <t>B0F9FK3L6J</t>
        </is>
      </c>
      <c r="I168" s="107" t="inlineStr">
        <is>
          <t>B0F9FK7SMW</t>
        </is>
      </c>
      <c r="J168" s="105" t="inlineStr">
        <is>
          <t>King 6 Pcs</t>
        </is>
      </c>
      <c r="K168" s="105" t="inlineStr">
        <is>
          <t>White</t>
        </is>
      </c>
      <c r="L168" s="108" t="n"/>
      <c r="M168" s="39" t="inlineStr"/>
      <c r="N168" s="109" t="n">
        <v>94.98999999999999</v>
      </c>
      <c r="O168" s="109" t="n"/>
      <c r="P168" s="110">
        <f>IF(AND(ISNUMBER(O168),ISNUMBER(N168),N(N168)&gt;0),O168/N168-1,"")</f>
        <v/>
      </c>
      <c r="Q168" s="111">
        <f>IF(P168="","No List Price",IF(P168&lt;=0,"At/below price",IF(P168&lt;=0.12,"&lt;=12% STR zone",IF(P168&lt;=0.25,"12-25%","&gt;25% over"))))</f>
        <v/>
      </c>
      <c r="R168" s="109" t="n">
        <v>99.98999999999999</v>
      </c>
      <c r="S168" s="112">
        <f>IF(AND(ISNUMBER(N168),ISNUMBER(R168),N(R168)&gt;0),N168/R168-1,"")</f>
        <v/>
      </c>
      <c r="T168" s="39" t="inlineStr">
        <is>
          <t>Same size (King). Ours live: catalog price, 2026-10-13; 15 children</t>
        </is>
      </c>
      <c r="U168" s="108" t="n">
        <v>1003118</v>
      </c>
      <c r="V168" s="108" t="n">
        <v>5</v>
      </c>
      <c r="W168" s="113">
        <f>IF(AND(ISNUMBER(N168),ISNUMBER(V168)),N168*V168*52/12,"")</f>
        <v/>
      </c>
      <c r="X168" s="114" t="n">
        <v>4.4</v>
      </c>
      <c r="Y168" s="108" t="n">
        <v>18</v>
      </c>
      <c r="Z168" s="115" t="n">
        <v>46307</v>
      </c>
      <c r="AA168" s="115" t="n"/>
      <c r="AB168" s="105" t="n"/>
      <c r="AC168" s="105" t="n"/>
      <c r="AD168" s="108" t="n"/>
      <c r="AE168" s="108" t="n"/>
      <c r="AF168" s="116" t="n"/>
      <c r="AG168" s="116" t="n"/>
      <c r="AH168" s="39" t="n"/>
      <c r="AI168" s="116" t="n"/>
      <c r="AJ168" s="116" t="n"/>
      <c r="AK168" s="116" t="n"/>
      <c r="AL168" s="116" t="n"/>
      <c r="AM168" s="108" t="n"/>
      <c r="AN168" s="108" t="n"/>
      <c r="AO168" s="108" t="n"/>
      <c r="AP168" s="108" t="n"/>
      <c r="AQ168" s="108" t="n"/>
      <c r="AR168" s="108" t="n"/>
      <c r="AS168" s="117" t="n"/>
      <c r="AT168" s="112" t="n"/>
      <c r="AU168" s="118" t="inlineStr">
        <is>
          <t>N</t>
        </is>
      </c>
      <c r="AV168" s="118" t="inlineStr">
        <is>
          <t>none</t>
        </is>
      </c>
      <c r="AW168" s="124" t="n"/>
      <c r="AX168" s="124" t="n"/>
      <c r="AY168" s="118" t="inlineStr">
        <is>
          <t>none</t>
        </is>
      </c>
      <c r="AZ168" s="118" t="inlineStr">
        <is>
          <t>N</t>
        </is>
      </c>
      <c r="BA168" s="118" t="inlineStr">
        <is>
          <t>2026-10-13 23:36:36</t>
        </is>
      </c>
      <c r="BB168" s="120" t="inlineStr">
        <is>
          <t>Prime Exclusive Discount</t>
        </is>
      </c>
      <c r="BC168" s="120" t="inlineStr">
        <is>
          <t>11-22 to 12-01</t>
        </is>
      </c>
      <c r="BD168" s="121" t="n">
        <v>95.98999999999999</v>
      </c>
      <c r="BE168" s="121" t="n">
        <v>67.19</v>
      </c>
      <c r="BF168" s="110">
        <f>IF(AND(ISNUMBER(BD168),ISNUMBER(BE168),N(BD168)&gt;0),1-BE168/BD168,"")</f>
        <v/>
      </c>
      <c r="BG168" s="122" t="n">
        <v>114176</v>
      </c>
      <c r="BH168" s="122" t="n">
        <v>68746</v>
      </c>
      <c r="BI168" s="123">
        <f>IF(AND(ISNUMBER(BG168),ISNUMBER(BH168),N(BH168)&gt;0),BG168/BH168,"")</f>
        <v/>
      </c>
      <c r="BJ168" s="120" t="inlineStr">
        <is>
          <t>N</t>
        </is>
      </c>
      <c r="BK168" s="120" t="inlineStr">
        <is>
          <t>Lightning Deal 11-01 to 11-01; List Price $179.97</t>
        </is>
      </c>
    </row>
    <row r="169" ht="62" customHeight="1">
      <c r="A169" s="12">
        <f>_xlfn.IMAGE("https://images-na.ssl-images-amazon.com/images/I/71YlZk0Q9-L.jpg")</f>
        <v/>
      </c>
      <c r="B169" s="105" t="inlineStr">
        <is>
          <t>TWK</t>
        </is>
      </c>
      <c r="C169" s="39" t="inlineStr">
        <is>
          <t>TWK Luxury Sheet Set, Genuine 100% Viscose Derived from Bamboo, Cooling &amp; Breathable, Silky Soft, Bedding Sheets &amp; Pillowcases (White, King(78 * 80 * 15))</t>
        </is>
      </c>
      <c r="D169" s="105" t="inlineStr">
        <is>
          <t>Poor</t>
        </is>
      </c>
      <c r="E169" s="106" t="inlineStr">
        <is>
          <t>Direct</t>
        </is>
      </c>
      <c r="F169" s="105" t="inlineStr">
        <is>
          <t>Bamboo viscose</t>
        </is>
      </c>
      <c r="G169" s="39" t="inlineStr">
        <is>
          <t>Same product (sheet set) in the same material family: Bamboo viscose (title: TWK Luxury Sheet Set, Genuine 100% Viscose Derived from Bamb); ours: our listing: viscose from bamboo.</t>
        </is>
      </c>
      <c r="H169" s="107" t="inlineStr">
        <is>
          <t>B0GVP3B7LS</t>
        </is>
      </c>
      <c r="I169" s="107" t="inlineStr">
        <is>
          <t>B0GVP3B7LS</t>
        </is>
      </c>
      <c r="J169" s="105" t="inlineStr">
        <is>
          <t>King</t>
        </is>
      </c>
      <c r="K169" s="105" t="inlineStr">
        <is>
          <t>White</t>
        </is>
      </c>
      <c r="L169" s="108" t="n">
        <v>1</v>
      </c>
      <c r="M169" s="39" t="inlineStr"/>
      <c r="N169" s="109" t="n">
        <v>46.74</v>
      </c>
      <c r="O169" s="109" t="n"/>
      <c r="P169" s="110">
        <f>IF(AND(ISNUMBER(O169),ISNUMBER(N169),N(N169)&gt;0),O169/N169-1,"")</f>
        <v/>
      </c>
      <c r="Q169" s="111">
        <f>IF(P169="","No List Price",IF(P169&lt;=0,"At/below price",IF(P169&lt;=0.12,"&lt;=12% STR zone",IF(P169&lt;=0.25,"12-25%","&gt;25% over"))))</f>
        <v/>
      </c>
      <c r="R169" s="109" t="n">
        <v>99.98999999999999</v>
      </c>
      <c r="S169" s="112">
        <f>IF(AND(ISNUMBER(N169),ISNUMBER(R169),N(R169)&gt;0),N169/R169-1,"")</f>
        <v/>
      </c>
      <c r="T169" s="39" t="inlineStr">
        <is>
          <t>Same size (King). Ours live: catalog price, 2026-10-13; 15 children</t>
        </is>
      </c>
      <c r="U169" s="108" t="n">
        <v>2065761</v>
      </c>
      <c r="V169" s="108" t="n">
        <v>5</v>
      </c>
      <c r="W169" s="113">
        <f>IF(AND(ISNUMBER(N169),ISNUMBER(V169)),N169*V169*52/12,"")</f>
        <v/>
      </c>
      <c r="X169" s="114" t="n">
        <v>4.5</v>
      </c>
      <c r="Y169" s="108" t="n">
        <v>11</v>
      </c>
      <c r="Z169" s="115" t="n">
        <v>46307</v>
      </c>
      <c r="AA169" s="115" t="n">
        <v>46078</v>
      </c>
      <c r="AB169" s="105" t="inlineStr">
        <is>
          <t>FBM</t>
        </is>
      </c>
      <c r="AC169" s="105" t="inlineStr">
        <is>
          <t>N/A</t>
        </is>
      </c>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N</t>
        </is>
      </c>
      <c r="AV169" s="118" t="inlineStr">
        <is>
          <t>none</t>
        </is>
      </c>
      <c r="AW169" s="124" t="n"/>
      <c r="AX169" s="124" t="n"/>
      <c r="AY169" s="118" t="inlineStr">
        <is>
          <t>none</t>
        </is>
      </c>
      <c r="AZ169" s="118" t="inlineStr">
        <is>
          <t>N</t>
        </is>
      </c>
      <c r="BA169" s="118" t="inlineStr">
        <is>
          <t>2026-10-13 23:36:57</t>
        </is>
      </c>
      <c r="BB169" s="120" t="inlineStr">
        <is>
          <t>Not live in 2025</t>
        </is>
      </c>
      <c r="BC169" s="125" t="n"/>
      <c r="BD169" s="124" t="n"/>
      <c r="BE169" s="124" t="n"/>
      <c r="BF169" s="110">
        <f>IF(AND(ISNUMBER(BD169),ISNUMBER(BE169),N(BD169)&gt;0),1-BE169/BD169,"")</f>
        <v/>
      </c>
      <c r="BG169" s="126" t="n"/>
      <c r="BH169" s="126" t="n"/>
      <c r="BI169" s="123">
        <f>IF(AND(ISNUMBER(BG169),ISNUMBER(BH169),N(BH169)&gt;0),BG169/BH169,"")</f>
        <v/>
      </c>
      <c r="BJ169" s="125" t="n"/>
      <c r="BK169" s="125" t="n"/>
    </row>
    <row r="170" ht="62" customHeight="1">
      <c r="A170" s="12">
        <f>_xlfn.IMAGE("https://m.media-amazon.com/images/I/61cLtklNnOL._AC_SL1486_.jpg")</f>
        <v/>
      </c>
      <c r="B170" s="105" t="inlineStr">
        <is>
          <t>TWK</t>
        </is>
      </c>
      <c r="C170" s="39" t="inlineStr">
        <is>
          <t>4 Piece Bamboo Sheet Set</t>
        </is>
      </c>
      <c r="D170" s="105" t="inlineStr">
        <is>
          <t>Poor</t>
        </is>
      </c>
      <c r="E170" s="106" t="inlineStr">
        <is>
          <t>Direct</t>
        </is>
      </c>
      <c r="F170" s="105" t="inlineStr">
        <is>
          <t>Bamboo viscose</t>
        </is>
      </c>
      <c r="G170" s="39" t="inlineStr">
        <is>
          <t>Same product (sheet set) in the same material family: Bamboo viscose (product page material: Genuine 100% Organic Viscose Derived from Bamboo); ours: our listing: viscose from bamboo.</t>
        </is>
      </c>
      <c r="H170" s="107" t="inlineStr">
        <is>
          <t>B0GW7H7RHY</t>
        </is>
      </c>
      <c r="I170" s="107" t="inlineStr">
        <is>
          <t>B0GW7H7RHY</t>
        </is>
      </c>
      <c r="J170" s="105" t="inlineStr">
        <is>
          <t>King</t>
        </is>
      </c>
      <c r="K170" s="105" t="inlineStr">
        <is>
          <t>Sand</t>
        </is>
      </c>
      <c r="L170" s="108" t="n"/>
      <c r="M170" s="39" t="inlineStr"/>
      <c r="N170" s="109" t="n">
        <v>109.99</v>
      </c>
      <c r="O170" s="109" t="n"/>
      <c r="P170" s="110">
        <f>IF(AND(ISNUMBER(O170),ISNUMBER(N170),N(N170)&gt;0),O170/N170-1,"")</f>
        <v/>
      </c>
      <c r="Q170" s="111">
        <f>IF(P170="","No List Price",IF(P170&lt;=0,"At/below price",IF(P170&lt;=0.12,"&lt;=12% STR zone",IF(P170&lt;=0.25,"12-25%","&gt;25% over"))))</f>
        <v/>
      </c>
      <c r="R170" s="109" t="n">
        <v>99.98999999999999</v>
      </c>
      <c r="S170" s="112">
        <f>IF(AND(ISNUMBER(N170),ISNUMBER(R170),N(R170)&gt;0),N170/R170-1,"")</f>
        <v/>
      </c>
      <c r="T170" s="39" t="inlineStr">
        <is>
          <t>Same size (King). Ours live: catalog price, 2026-10-13; 15 children</t>
        </is>
      </c>
      <c r="U170" s="108" t="n">
        <v>4355899</v>
      </c>
      <c r="V170" s="108" t="n">
        <v>5</v>
      </c>
      <c r="W170" s="113">
        <f>IF(AND(ISNUMBER(N170),ISNUMBER(V170)),N170*V170*52/12,"")</f>
        <v/>
      </c>
      <c r="X170" s="114" t="n">
        <v>4.5</v>
      </c>
      <c r="Y170" s="108" t="n">
        <v>2</v>
      </c>
      <c r="Z170" s="115" t="n">
        <v>46307</v>
      </c>
      <c r="AA170" s="115" t="n"/>
      <c r="AB170" s="105" t="n"/>
      <c r="AC170" s="105" t="n"/>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N</t>
        </is>
      </c>
      <c r="AV170" s="118" t="inlineStr">
        <is>
          <t>none</t>
        </is>
      </c>
      <c r="AW170" s="124" t="n"/>
      <c r="AX170" s="124" t="n"/>
      <c r="AY170" s="118" t="inlineStr">
        <is>
          <t>none</t>
        </is>
      </c>
      <c r="AZ170" s="118" t="inlineStr">
        <is>
          <t>N</t>
        </is>
      </c>
      <c r="BA170" s="118" t="inlineStr">
        <is>
          <t>2026-10-13 23:37:03</t>
        </is>
      </c>
      <c r="BB170" s="120" t="inlineStr">
        <is>
          <t>Not live in 2025</t>
        </is>
      </c>
      <c r="BC170" s="125" t="n"/>
      <c r="BD170" s="124" t="n"/>
      <c r="BE170" s="124" t="n"/>
      <c r="BF170" s="110">
        <f>IF(AND(ISNUMBER(BD170),ISNUMBER(BE170),N(BD170)&gt;0),1-BE170/BD170,"")</f>
        <v/>
      </c>
      <c r="BG170" s="126" t="n"/>
      <c r="BH170" s="126" t="n"/>
      <c r="BI170" s="123">
        <f>IF(AND(ISNUMBER(BG170),ISNUMBER(BH170),N(BH170)&gt;0),BG170/BH170,"")</f>
        <v/>
      </c>
      <c r="BJ170" s="125" t="n"/>
      <c r="BK170" s="125" t="n"/>
    </row>
    <row r="171" ht="62" customHeight="1">
      <c r="A171" s="12">
        <f>_xlfn.IMAGE("https://images-na.ssl-images-amazon.com/images/I/71gw0WpuNuL.jpg")</f>
        <v/>
      </c>
      <c r="B171" s="105" t="inlineStr">
        <is>
          <t>TWK</t>
        </is>
      </c>
      <c r="C171" s="39" t="inlineStr">
        <is>
          <t>TWK Luxury Sheet Set, Genuine 100% Organic Viscose Derived from Bamboo, Cooling &amp; Breathable, Silky Soft, Bedding Sheets &amp; Pillowcases (Mist Gray, King)</t>
        </is>
      </c>
      <c r="D171" s="105" t="inlineStr">
        <is>
          <t>Poor</t>
        </is>
      </c>
      <c r="E171" s="106" t="inlineStr">
        <is>
          <t>Direct</t>
        </is>
      </c>
      <c r="F171" s="105" t="inlineStr">
        <is>
          <t>Bamboo viscose</t>
        </is>
      </c>
      <c r="G171" s="39" t="inlineStr">
        <is>
          <t>Same product (sheet set) in the same material family: Bamboo viscose (title: TWK Luxury Sheet Set, Genuine 100% Organic Viscose Derived f); ours: our listing: viscose from bamboo.</t>
        </is>
      </c>
      <c r="H171" s="107" t="inlineStr">
        <is>
          <t>B0DYT2QWLC</t>
        </is>
      </c>
      <c r="I171" s="107" t="inlineStr">
        <is>
          <t>B0DYT2QWLC</t>
        </is>
      </c>
      <c r="J171" s="105" t="inlineStr">
        <is>
          <t>King</t>
        </is>
      </c>
      <c r="K171" s="105" t="inlineStr">
        <is>
          <t>Mist Gray</t>
        </is>
      </c>
      <c r="L171" s="108" t="n">
        <v>1</v>
      </c>
      <c r="M171" s="39" t="inlineStr"/>
      <c r="N171" s="109" t="n">
        <v>109.99</v>
      </c>
      <c r="O171" s="109" t="n"/>
      <c r="P171" s="110">
        <f>IF(AND(ISNUMBER(O171),ISNUMBER(N171),N(N171)&gt;0),O171/N171-1,"")</f>
        <v/>
      </c>
      <c r="Q171" s="111">
        <f>IF(P171="","No List Price",IF(P171&lt;=0,"At/below price",IF(P171&lt;=0.12,"&lt;=12% STR zone",IF(P171&lt;=0.25,"12-25%","&gt;25% over"))))</f>
        <v/>
      </c>
      <c r="R171" s="109" t="n">
        <v>99.98999999999999</v>
      </c>
      <c r="S171" s="112">
        <f>IF(AND(ISNUMBER(N171),ISNUMBER(R171),N(R171)&gt;0),N171/R171-1,"")</f>
        <v/>
      </c>
      <c r="T171" s="39" t="inlineStr">
        <is>
          <t>Same size (King). Ours live: catalog price, 2026-10-13; 15 children</t>
        </is>
      </c>
      <c r="U171" s="108" t="n">
        <v>1506045</v>
      </c>
      <c r="V171" s="108" t="n">
        <v>5</v>
      </c>
      <c r="W171" s="113">
        <f>IF(AND(ISNUMBER(N171),ISNUMBER(V171)),N171*V171*52/12,"")</f>
        <v/>
      </c>
      <c r="X171" s="114" t="n">
        <v>4.5</v>
      </c>
      <c r="Y171" s="108" t="n">
        <v>39</v>
      </c>
      <c r="Z171" s="115" t="n">
        <v>46307</v>
      </c>
      <c r="AA171" s="115" t="n">
        <v>45716</v>
      </c>
      <c r="AB171" s="105" t="inlineStr">
        <is>
          <t>FBM</t>
        </is>
      </c>
      <c r="AC171" s="105" t="inlineStr">
        <is>
          <t>N/A</t>
        </is>
      </c>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N</t>
        </is>
      </c>
      <c r="AV171" s="118" t="inlineStr">
        <is>
          <t>none</t>
        </is>
      </c>
      <c r="AW171" s="124" t="n"/>
      <c r="AX171" s="124" t="n"/>
      <c r="AY171" s="118" t="inlineStr">
        <is>
          <t>none</t>
        </is>
      </c>
      <c r="AZ171" s="118" t="inlineStr">
        <is>
          <t>N</t>
        </is>
      </c>
      <c r="BA171" s="118" t="inlineStr">
        <is>
          <t>2026-10-13 23:37:00</t>
        </is>
      </c>
      <c r="BB171" s="120" t="inlineStr">
        <is>
          <t>Coupon only</t>
        </is>
      </c>
      <c r="BC171" s="120" t="inlineStr">
        <is>
          <t>11-20 to 12-05</t>
        </is>
      </c>
      <c r="BD171" s="121" t="n">
        <v>69</v>
      </c>
      <c r="BE171" s="121" t="n">
        <v>74</v>
      </c>
      <c r="BF171" s="110">
        <f>IF(AND(ISNUMBER(BD171),ISNUMBER(BE171),N(BD171)&gt;0),1-BE171/BD171,"")</f>
        <v/>
      </c>
      <c r="BG171" s="122" t="n">
        <v>46533</v>
      </c>
      <c r="BH171" s="122" t="n">
        <v>67944</v>
      </c>
      <c r="BI171" s="123">
        <f>IF(AND(ISNUMBER(BG171),ISNUMBER(BH171),N(BH171)&gt;0),BG171/BH171,"")</f>
        <v/>
      </c>
      <c r="BJ171" s="120" t="inlineStr">
        <is>
          <t>N</t>
        </is>
      </c>
      <c r="BK171" s="120" t="inlineStr">
        <is>
          <t>Coupon 30%; Buy Box RAISED in BFCM week (median $79.00 vs $69.00 before); List Price $69.00</t>
        </is>
      </c>
    </row>
    <row r="172" ht="62" customHeight="1">
      <c r="A172" s="12">
        <f>_xlfn.IMAGE("https://m.media-amazon.com/images/I/619JGLN3FDL._AC_SL1080_.jpg")</f>
        <v/>
      </c>
      <c r="B172" s="105" t="inlineStr">
        <is>
          <t>Vesta</t>
        </is>
      </c>
      <c r="C172" s="39" t="inlineStr">
        <is>
          <t>Vesta Sheet Set – Soft, Breathable &amp; Cooling, 100% Viscose Derived from Bamboo,</t>
        </is>
      </c>
      <c r="D172" s="105" t="inlineStr">
        <is>
          <t>Poor</t>
        </is>
      </c>
      <c r="E172" s="106" t="inlineStr">
        <is>
          <t>Direct</t>
        </is>
      </c>
      <c r="F172" s="105" t="inlineStr">
        <is>
          <t>Bamboo viscose</t>
        </is>
      </c>
      <c r="G172" s="39" t="inlineStr">
        <is>
          <t>Same product (sheet set) in the same material family: Bamboo viscose (product page material: viscose from bamboo); ours: our listing: viscose from bamboo.</t>
        </is>
      </c>
      <c r="H172" s="107" t="inlineStr">
        <is>
          <t>B0CZRJY68B</t>
        </is>
      </c>
      <c r="I172" s="107" t="inlineStr">
        <is>
          <t>B0DM214YG3</t>
        </is>
      </c>
      <c r="J172" s="105" t="inlineStr">
        <is>
          <t>King/Cali King</t>
        </is>
      </c>
      <c r="K172" s="105" t="inlineStr">
        <is>
          <t>Terra Cotta</t>
        </is>
      </c>
      <c r="L172" s="108" t="n"/>
      <c r="M172" s="39" t="inlineStr"/>
      <c r="N172" s="109" t="n">
        <v>174.3</v>
      </c>
      <c r="O172" s="109" t="n"/>
      <c r="P172" s="110">
        <f>IF(AND(ISNUMBER(O172),ISNUMBER(N172),N(N172)&gt;0),O172/N172-1,"")</f>
        <v/>
      </c>
      <c r="Q172" s="111">
        <f>IF(P172="","No List Price",IF(P172&lt;=0,"At/below price",IF(P172&lt;=0.12,"&lt;=12% STR zone",IF(P172&lt;=0.25,"12-25%","&gt;25% over"))))</f>
        <v/>
      </c>
      <c r="R172" s="109" t="n">
        <v>99.98999999999999</v>
      </c>
      <c r="S172" s="112">
        <f>IF(AND(ISNUMBER(N172),ISNUMBER(R172),N(R172)&gt;0),N172/R172-1,"")</f>
        <v/>
      </c>
      <c r="T172" s="39" t="inlineStr">
        <is>
          <t>Same size (King). Ours live: catalog price, 2026-10-13; 15 children</t>
        </is>
      </c>
      <c r="U172" s="108" t="n">
        <v>591414</v>
      </c>
      <c r="V172" s="108" t="n">
        <v>5</v>
      </c>
      <c r="W172" s="113">
        <f>IF(AND(ISNUMBER(N172),ISNUMBER(V172)),N172*V172*52/12,"")</f>
        <v/>
      </c>
      <c r="X172" s="114" t="n">
        <v>4.3</v>
      </c>
      <c r="Y172" s="108" t="n">
        <v>35</v>
      </c>
      <c r="Z172" s="115" t="n">
        <v>46307</v>
      </c>
      <c r="AA172" s="115" t="n"/>
      <c r="AB172" s="105" t="n"/>
      <c r="AC172" s="105" t="n"/>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N</t>
        </is>
      </c>
      <c r="AV172" s="118" t="inlineStr">
        <is>
          <t>none</t>
        </is>
      </c>
      <c r="AW172" s="124" t="n"/>
      <c r="AX172" s="119" t="n">
        <v>174.3</v>
      </c>
      <c r="AY172" s="118" t="inlineStr">
        <is>
          <t>none</t>
        </is>
      </c>
      <c r="AZ172" s="118" t="inlineStr">
        <is>
          <t>Y</t>
        </is>
      </c>
      <c r="BA172" s="118" t="inlineStr">
        <is>
          <t>2026-10-13 23:37:06</t>
        </is>
      </c>
      <c r="BB172" s="120" t="inlineStr">
        <is>
          <t>None</t>
        </is>
      </c>
      <c r="BC172" s="125" t="n"/>
      <c r="BD172" s="121" t="n">
        <v>174.3</v>
      </c>
      <c r="BE172" s="121" t="n">
        <v>174.3</v>
      </c>
      <c r="BF172" s="110">
        <f>IF(AND(ISNUMBER(BD172),ISNUMBER(BE172),N(BD172)&gt;0),1-BE172/BD172,"")</f>
        <v/>
      </c>
      <c r="BG172" s="122" t="n">
        <v>1047082</v>
      </c>
      <c r="BH172" s="122" t="n">
        <v>909398</v>
      </c>
      <c r="BI172" s="123">
        <f>IF(AND(ISNUMBER(BG172),ISNUMBER(BH172),N(BH172)&gt;0),BG172/BH172,"")</f>
        <v/>
      </c>
      <c r="BJ172" s="120" t="inlineStr">
        <is>
          <t>N</t>
        </is>
      </c>
      <c r="BK172" s="120" t="inlineStr">
        <is>
          <t>List Price $174.30</t>
        </is>
      </c>
    </row>
    <row r="173" ht="62" customHeight="1">
      <c r="A173" s="45" t="inlineStr">
        <is>
          <t>COMING SOON</t>
        </is>
      </c>
      <c r="B173" s="105" t="inlineStr">
        <is>
          <t>TWK</t>
        </is>
      </c>
      <c r="C173" s="39" t="inlineStr">
        <is>
          <t>TWK Genuine 100% Viscose Derived from Natural Bamboo Bed Sheets Set,Cooling &amp; Silky Soft Bed Sheets,Deep Pocket Up to 18",with a Laundry Bag (White, King)</t>
        </is>
      </c>
      <c r="D173" s="105" t="inlineStr">
        <is>
          <t>Poor</t>
        </is>
      </c>
      <c r="E173" s="106" t="inlineStr">
        <is>
          <t>Direct</t>
        </is>
      </c>
      <c r="F173" s="105" t="inlineStr">
        <is>
          <t>Bamboo viscose</t>
        </is>
      </c>
      <c r="G173" s="39" t="inlineStr">
        <is>
          <t>Same product (sheet set) in the same material family: Bamboo viscose (title: TWK Genuine 100% Viscose Derived from Natural Bamboo Bed She); ours: our listing: viscose from bamboo.</t>
        </is>
      </c>
      <c r="H173" s="105" t="n"/>
      <c r="I173" s="107" t="inlineStr">
        <is>
          <t>B0G1N59S1Q</t>
        </is>
      </c>
      <c r="J173" s="105" t="inlineStr">
        <is>
          <t>King</t>
        </is>
      </c>
      <c r="K173" s="105" t="inlineStr">
        <is>
          <t>White</t>
        </is>
      </c>
      <c r="L173" s="108" t="n"/>
      <c r="M173" s="39" t="inlineStr"/>
      <c r="N173" s="109" t="n">
        <v>109.99</v>
      </c>
      <c r="O173" s="109" t="n"/>
      <c r="P173" s="110">
        <f>IF(AND(ISNUMBER(O173),ISNUMBER(N173),N(N173)&gt;0),O173/N173-1,"")</f>
        <v/>
      </c>
      <c r="Q173" s="111">
        <f>IF(P173="","No List Price",IF(P173&lt;=0,"At/below price",IF(P173&lt;=0.12,"&lt;=12% STR zone",IF(P173&lt;=0.25,"12-25%","&gt;25% over"))))</f>
        <v/>
      </c>
      <c r="R173" s="109" t="n">
        <v>99.98999999999999</v>
      </c>
      <c r="S173" s="112">
        <f>IF(AND(ISNUMBER(N173),ISNUMBER(R173),N(R173)&gt;0),N173/R173-1,"")</f>
        <v/>
      </c>
      <c r="T173" s="39" t="inlineStr">
        <is>
          <t>Same size (King). Ours live: catalog price, 2026-10-13; 15 children</t>
        </is>
      </c>
      <c r="U173" s="108" t="n"/>
      <c r="V173" s="108" t="n"/>
      <c r="W173" s="113">
        <f>IF(AND(ISNUMBER(N173),ISNUMBER(V173)),N173*V173*52/12,"")</f>
        <v/>
      </c>
      <c r="X173" s="114" t="n">
        <v>4.5</v>
      </c>
      <c r="Y173" s="108" t="n">
        <v>6</v>
      </c>
      <c r="Z173" s="115" t="n">
        <v>46306</v>
      </c>
      <c r="AA173" s="115" t="n"/>
      <c r="AB173" s="105" t="n"/>
      <c r="AC173" s="105" t="n"/>
      <c r="AD173" s="108" t="n"/>
      <c r="AE173" s="108" t="n"/>
      <c r="AF173" s="116" t="n"/>
      <c r="AG173" s="116" t="n"/>
      <c r="AH173" s="39" t="n"/>
      <c r="AI173" s="116" t="n"/>
      <c r="AJ173" s="116" t="n"/>
      <c r="AK173" s="116" t="n"/>
      <c r="AL173" s="116" t="n"/>
      <c r="AM173" s="108" t="n"/>
      <c r="AN173" s="108" t="n"/>
      <c r="AO173" s="108" t="n"/>
      <c r="AP173" s="108" t="n"/>
      <c r="AQ173" s="108" t="n"/>
      <c r="AR173" s="108" t="n"/>
      <c r="AS173" s="117" t="n"/>
      <c r="AT173" s="112" t="n"/>
      <c r="AU173" s="125" t="n"/>
      <c r="AV173" s="125" t="n"/>
      <c r="AW173" s="124" t="n"/>
      <c r="AX173" s="124" t="n"/>
      <c r="AY173" s="125" t="n"/>
      <c r="AZ173" s="125" t="n"/>
      <c r="BA173" s="125" t="n"/>
      <c r="BB173" s="120" t="inlineStr">
        <is>
          <t>Coupon only</t>
        </is>
      </c>
      <c r="BC173" s="120" t="inlineStr">
        <is>
          <t>11-22 to 12-05</t>
        </is>
      </c>
      <c r="BD173" s="124" t="n"/>
      <c r="BE173" s="121" t="n">
        <v>101</v>
      </c>
      <c r="BF173" s="110">
        <f>IF(AND(ISNUMBER(BD173),ISNUMBER(BE173),N(BD173)&gt;0),1-BE173/BD173,"")</f>
        <v/>
      </c>
      <c r="BG173" s="126" t="n"/>
      <c r="BH173" s="122" t="n">
        <v>477682</v>
      </c>
      <c r="BI173" s="123">
        <f>IF(AND(ISNUMBER(BG173),ISNUMBER(BH173),N(BH173)&gt;0),BG173/BH173,"")</f>
        <v/>
      </c>
      <c r="BJ173" s="125" t="n"/>
      <c r="BK173" s="120" t="inlineStr">
        <is>
          <t>Coupon 50%; List Price $109.00</t>
        </is>
      </c>
    </row>
    <row r="174" ht="62" customHeight="1">
      <c r="A174" s="12">
        <f>_xlfn.IMAGE("https://images-na.ssl-images-amazon.com/images/I/716Vqhk8VxL.jpg")</f>
        <v/>
      </c>
      <c r="B174" s="105" t="inlineStr">
        <is>
          <t>CozyLux</t>
        </is>
      </c>
      <c r="C174" s="39" t="inlineStr">
        <is>
          <t>CozyLux King Size Sheets Set, 100% Rayon Derived from Bamboo, Sateen Weave</t>
        </is>
      </c>
      <c r="D174" s="105" t="inlineStr">
        <is>
          <t>Untiered</t>
        </is>
      </c>
      <c r="E174" s="106" t="inlineStr">
        <is>
          <t>Direct</t>
        </is>
      </c>
      <c r="F174" s="105" t="inlineStr">
        <is>
          <t>Bamboo viscose</t>
        </is>
      </c>
      <c r="G174" s="39" t="inlineStr">
        <is>
          <t>Same product (sheet set) in the same material family: Bamboo viscose (product page material: Rayon); ours: our listing: viscose from bamboo.</t>
        </is>
      </c>
      <c r="H174" s="107" t="inlineStr">
        <is>
          <t>B0GC2GQNMT</t>
        </is>
      </c>
      <c r="I174" s="107" t="inlineStr">
        <is>
          <t>B0GC5CJGWC</t>
        </is>
      </c>
      <c r="J174" s="105" t="inlineStr">
        <is>
          <t>King</t>
        </is>
      </c>
      <c r="K174" s="105" t="inlineStr">
        <is>
          <t>Ivory</t>
        </is>
      </c>
      <c r="L174" s="108" t="n">
        <v>18</v>
      </c>
      <c r="M174" s="39" t="inlineStr"/>
      <c r="N174" s="109" t="n">
        <v>35.99</v>
      </c>
      <c r="O174" s="109" t="n"/>
      <c r="P174" s="110">
        <f>IF(AND(ISNUMBER(O174),ISNUMBER(N174),N(N174)&gt;0),O174/N174-1,"")</f>
        <v/>
      </c>
      <c r="Q174" s="111">
        <f>IF(P174="","No List Price",IF(P174&lt;=0,"At/below price",IF(P174&lt;=0.12,"&lt;=12% STR zone",IF(P174&lt;=0.25,"12-25%","&gt;25% over"))))</f>
        <v/>
      </c>
      <c r="R174" s="109" t="n">
        <v>99.98999999999999</v>
      </c>
      <c r="S174" s="112">
        <f>IF(AND(ISNUMBER(N174),ISNUMBER(R174),N(R174)&gt;0),N174/R174-1,"")</f>
        <v/>
      </c>
      <c r="T174" s="39" t="inlineStr">
        <is>
          <t>Same size (King). Ours live: catalog price, 2026-10-13; 15 children</t>
        </is>
      </c>
      <c r="U174" s="108" t="n">
        <v>33018</v>
      </c>
      <c r="V174" s="108" t="n">
        <v>185</v>
      </c>
      <c r="W174" s="113">
        <f>IF(AND(ISNUMBER(N174),ISNUMBER(V174)),N174*V174*52/12,"")</f>
        <v/>
      </c>
      <c r="X174" s="114" t="n">
        <v>4.6</v>
      </c>
      <c r="Y174" s="108" t="n">
        <v>93</v>
      </c>
      <c r="Z174" s="115" t="n">
        <v>46307</v>
      </c>
      <c r="AA174" s="115" t="n">
        <v>46014</v>
      </c>
      <c r="AB174" s="105" t="inlineStr">
        <is>
          <t>FBA</t>
        </is>
      </c>
      <c r="AC174" s="105" t="inlineStr">
        <is>
          <t>CN</t>
        </is>
      </c>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Y</t>
        </is>
      </c>
      <c r="AV174" s="118" t="inlineStr">
        <is>
          <t>List Price</t>
        </is>
      </c>
      <c r="AW174" s="119" t="n">
        <v>44.99</v>
      </c>
      <c r="AX174" s="119" t="n">
        <v>35.99</v>
      </c>
      <c r="AY174" s="118" t="inlineStr">
        <is>
          <t>none</t>
        </is>
      </c>
      <c r="AZ174" s="118" t="inlineStr">
        <is>
          <t>Y</t>
        </is>
      </c>
      <c r="BA174" s="118" t="inlineStr">
        <is>
          <t>2026-10-13 23:36:09</t>
        </is>
      </c>
      <c r="BB174" s="120" t="inlineStr">
        <is>
          <t>Not live in 2025</t>
        </is>
      </c>
      <c r="BC174" s="125" t="n"/>
      <c r="BD174" s="124" t="n"/>
      <c r="BE174" s="124" t="n"/>
      <c r="BF174" s="110">
        <f>IF(AND(ISNUMBER(BD174),ISNUMBER(BE174),N(BD174)&gt;0),1-BE174/BD174,"")</f>
        <v/>
      </c>
      <c r="BG174" s="126" t="n"/>
      <c r="BH174" s="126" t="n"/>
      <c r="BI174" s="123">
        <f>IF(AND(ISNUMBER(BG174),ISNUMBER(BH174),N(BH174)&gt;0),BG174/BH174,"")</f>
        <v/>
      </c>
      <c r="BJ174" s="125" t="n"/>
      <c r="BK174" s="125" t="n"/>
    </row>
    <row r="175" ht="62" customHeight="1">
      <c r="A175" s="12">
        <f>_xlfn.IMAGE("https://images-na.ssl-images-amazon.com/images/I/61WgRn96SbL.jpg")</f>
        <v/>
      </c>
      <c r="B175" s="105" t="inlineStr">
        <is>
          <t>CGK Unlimited</t>
        </is>
      </c>
      <c r="C175" s="39" t="inlineStr">
        <is>
          <t>100% Rayon Derived from Bamboo - Bamboo Sheets Queen Size - Black</t>
        </is>
      </c>
      <c r="D175" s="105" t="inlineStr">
        <is>
          <t>Untiered</t>
        </is>
      </c>
      <c r="E175" s="106" t="inlineStr">
        <is>
          <t>Direct</t>
        </is>
      </c>
      <c r="F175" s="105" t="inlineStr">
        <is>
          <t>Bamboo viscose</t>
        </is>
      </c>
      <c r="G175" s="39" t="inlineStr">
        <is>
          <t>Same product (sheet set) in the same material family: Bamboo viscose (title: 100% Rayon Derived from Bamboo - Bamboo Sheets Queen Size - ); ours: our listing: viscose from bamboo.</t>
        </is>
      </c>
      <c r="H175" s="107" t="inlineStr">
        <is>
          <t>B0F2GR2DKR</t>
        </is>
      </c>
      <c r="I175" s="107" t="inlineStr">
        <is>
          <t>B0D429MCF7</t>
        </is>
      </c>
      <c r="J175" s="105" t="inlineStr">
        <is>
          <t>Queen</t>
        </is>
      </c>
      <c r="K175" s="105" t="inlineStr">
        <is>
          <t>Black</t>
        </is>
      </c>
      <c r="L175" s="108" t="n">
        <v>58</v>
      </c>
      <c r="M175" s="39" t="inlineStr"/>
      <c r="N175" s="109" t="n">
        <v>49.99</v>
      </c>
      <c r="O175" s="109" t="n"/>
      <c r="P175" s="110">
        <f>IF(AND(ISNUMBER(O175),ISNUMBER(N175),N(N175)&gt;0),O175/N175-1,"")</f>
        <v/>
      </c>
      <c r="Q175" s="111">
        <f>IF(P175="","No List Price",IF(P175&lt;=0,"At/below price",IF(P175&lt;=0.12,"&lt;=12% STR zone",IF(P175&lt;=0.25,"12-25%","&gt;25% over"))))</f>
        <v/>
      </c>
      <c r="R175" s="109" t="n">
        <v>94.98999999999999</v>
      </c>
      <c r="S175" s="112">
        <f>IF(AND(ISNUMBER(N175),ISNUMBER(R175),N(R175)&gt;0),N175/R175-1,"")</f>
        <v/>
      </c>
      <c r="T175" s="39" t="inlineStr">
        <is>
          <t>Same size (Queen). Ours live: catalog price, 2026-10-13; 15 children</t>
        </is>
      </c>
      <c r="U175" s="108" t="n">
        <v>2554</v>
      </c>
      <c r="V175" s="108" t="n">
        <v>173</v>
      </c>
      <c r="W175" s="113">
        <f>IF(AND(ISNUMBER(N175),ISNUMBER(V175)),N175*V175*52/12,"")</f>
        <v/>
      </c>
      <c r="X175" s="114" t="n">
        <v>4.4</v>
      </c>
      <c r="Y175" s="108" t="n">
        <v>1169</v>
      </c>
      <c r="Z175" s="115" t="n">
        <v>46307</v>
      </c>
      <c r="AA175" s="115" t="n">
        <v>45575</v>
      </c>
      <c r="AB175" s="105" t="inlineStr">
        <is>
          <t>FBA</t>
        </is>
      </c>
      <c r="AC175" s="105" t="inlineStr">
        <is>
          <t>US</t>
        </is>
      </c>
      <c r="AD175" s="108" t="n"/>
      <c r="AE175" s="108" t="n"/>
      <c r="AF175" s="116" t="n"/>
      <c r="AG175" s="116" t="n"/>
      <c r="AH175" s="39" t="n"/>
      <c r="AI175" s="116" t="n"/>
      <c r="AJ175" s="116" t="n"/>
      <c r="AK175" s="116" t="n"/>
      <c r="AL175" s="116" t="n"/>
      <c r="AM175" s="108" t="n"/>
      <c r="AN175" s="108" t="n"/>
      <c r="AO175" s="108" t="n"/>
      <c r="AP175" s="108" t="n"/>
      <c r="AQ175" s="108" t="n"/>
      <c r="AR175" s="108" t="n"/>
      <c r="AS175" s="117" t="n"/>
      <c r="AT175" s="112" t="n"/>
      <c r="AU175" s="118" t="inlineStr">
        <is>
          <t>N</t>
        </is>
      </c>
      <c r="AV175" s="118" t="inlineStr">
        <is>
          <t>none</t>
        </is>
      </c>
      <c r="AW175" s="124" t="n"/>
      <c r="AX175" s="119" t="n">
        <v>49.99</v>
      </c>
      <c r="AY175" s="118" t="inlineStr">
        <is>
          <t>none</t>
        </is>
      </c>
      <c r="AZ175" s="118" t="inlineStr">
        <is>
          <t>Y</t>
        </is>
      </c>
      <c r="BA175" s="118" t="inlineStr">
        <is>
          <t>2026-10-13 23:35:53</t>
        </is>
      </c>
      <c r="BB175" s="120" t="inlineStr">
        <is>
          <t>Price cut only</t>
        </is>
      </c>
      <c r="BC175" s="120" t="inlineStr">
        <is>
          <t>11-20 to 12-01</t>
        </is>
      </c>
      <c r="BD175" s="121" t="n">
        <v>39.99</v>
      </c>
      <c r="BE175" s="121" t="n">
        <v>29.74</v>
      </c>
      <c r="BF175" s="110">
        <f>IF(AND(ISNUMBER(BD175),ISNUMBER(BE175),N(BD175)&gt;0),1-BE175/BD175,"")</f>
        <v/>
      </c>
      <c r="BG175" s="122" t="n">
        <v>16161</v>
      </c>
      <c r="BH175" s="122" t="n">
        <v>12770</v>
      </c>
      <c r="BI175" s="123">
        <f>IF(AND(ISNUMBER(BG175),ISNUMBER(BH175),N(BH175)&gt;0),BG175/BH175,"")</f>
        <v/>
      </c>
      <c r="BJ175" s="120" t="inlineStr">
        <is>
          <t>N</t>
        </is>
      </c>
      <c r="BK175" s="120" t="inlineStr">
        <is>
          <t>List Price $64.99</t>
        </is>
      </c>
    </row>
    <row r="176" ht="62" customHeight="1">
      <c r="A176" s="12">
        <f>_xlfn.IMAGE("https://images-na.ssl-images-amazon.com/images/I/71QdkBMIZ3L.jpg")</f>
        <v/>
      </c>
      <c r="B176" s="105" t="inlineStr">
        <is>
          <t>MR&amp;HM</t>
        </is>
      </c>
      <c r="C176" s="39" t="inlineStr">
        <is>
          <t>MR&amp;HM Queen Sheets 4 Pieces, Rayon Derived from Bamboo Blend, Dark Grey</t>
        </is>
      </c>
      <c r="D176" s="105" t="inlineStr">
        <is>
          <t>Untiered</t>
        </is>
      </c>
      <c r="E176" s="106" t="inlineStr">
        <is>
          <t>Direct</t>
        </is>
      </c>
      <c r="F176" s="105" t="inlineStr">
        <is>
          <t>Bamboo viscose</t>
        </is>
      </c>
      <c r="G176" s="39" t="inlineStr">
        <is>
          <t>Same product (sheet set) in the same material family: Bamboo viscose (title: MR&amp;HM Queen Sheets 4 Pieces, Rayon Derived from Bamboo Blend); ours: our listing: viscose from bamboo.</t>
        </is>
      </c>
      <c r="H176" s="107" t="inlineStr">
        <is>
          <t>B0DQDMN3WK</t>
        </is>
      </c>
      <c r="I176" s="107" t="inlineStr">
        <is>
          <t>B0DL5NCTYF</t>
        </is>
      </c>
      <c r="J176" s="105" t="inlineStr">
        <is>
          <t>Queen</t>
        </is>
      </c>
      <c r="K176" s="105" t="inlineStr">
        <is>
          <t>Grey</t>
        </is>
      </c>
      <c r="L176" s="108" t="n">
        <v>65</v>
      </c>
      <c r="M176" s="39" t="inlineStr"/>
      <c r="N176" s="109" t="n">
        <v>36.99</v>
      </c>
      <c r="O176" s="109" t="n"/>
      <c r="P176" s="110">
        <f>IF(AND(ISNUMBER(O176),ISNUMBER(N176),N(N176)&gt;0),O176/N176-1,"")</f>
        <v/>
      </c>
      <c r="Q176" s="111">
        <f>IF(P176="","No List Price",IF(P176&lt;=0,"At/below price",IF(P176&lt;=0.12,"&lt;=12% STR zone",IF(P176&lt;=0.25,"12-25%","&gt;25% over"))))</f>
        <v/>
      </c>
      <c r="R176" s="109" t="n">
        <v>94.98999999999999</v>
      </c>
      <c r="S176" s="112">
        <f>IF(AND(ISNUMBER(N176),ISNUMBER(R176),N(R176)&gt;0),N176/R176-1,"")</f>
        <v/>
      </c>
      <c r="T176" s="39" t="inlineStr">
        <is>
          <t>Same size (Queen). Ours live: catalog price, 2026-10-13; 15 children</t>
        </is>
      </c>
      <c r="U176" s="108" t="n">
        <v>30653</v>
      </c>
      <c r="V176" s="108" t="n">
        <v>35</v>
      </c>
      <c r="W176" s="113">
        <f>IF(AND(ISNUMBER(N176),ISNUMBER(V176)),N176*V176*52/12,"")</f>
        <v/>
      </c>
      <c r="X176" s="114" t="n">
        <v>4.4</v>
      </c>
      <c r="Y176" s="108" t="n">
        <v>616</v>
      </c>
      <c r="Z176" s="115" t="n">
        <v>46307</v>
      </c>
      <c r="AA176" s="115" t="n">
        <v>45593</v>
      </c>
      <c r="AB176" s="105" t="inlineStr">
        <is>
          <t>FBA</t>
        </is>
      </c>
      <c r="AC176" s="105" t="inlineStr">
        <is>
          <t>HK</t>
        </is>
      </c>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18" t="inlineStr">
        <is>
          <t>Y</t>
        </is>
      </c>
      <c r="AV176" s="118" t="inlineStr">
        <is>
          <t>List Price</t>
        </is>
      </c>
      <c r="AW176" s="119" t="n">
        <v>38.99</v>
      </c>
      <c r="AX176" s="119" t="n">
        <v>36.99</v>
      </c>
      <c r="AY176" s="118" t="inlineStr">
        <is>
          <t>none</t>
        </is>
      </c>
      <c r="AZ176" s="118" t="inlineStr">
        <is>
          <t>Y</t>
        </is>
      </c>
      <c r="BA176" s="118" t="inlineStr">
        <is>
          <t>2026-10-13 23:36:40</t>
        </is>
      </c>
      <c r="BB176" s="120" t="inlineStr">
        <is>
          <t>Prime Exclusive Discount</t>
        </is>
      </c>
      <c r="BC176" s="120" t="inlineStr">
        <is>
          <t>11-03 to 12-01</t>
        </is>
      </c>
      <c r="BD176" s="121" t="n">
        <v>29.99</v>
      </c>
      <c r="BE176" s="121" t="n">
        <v>28.04</v>
      </c>
      <c r="BF176" s="110">
        <f>IF(AND(ISNUMBER(BD176),ISNUMBER(BE176),N(BD176)&gt;0),1-BE176/BD176,"")</f>
        <v/>
      </c>
      <c r="BG176" s="122" t="n">
        <v>32725</v>
      </c>
      <c r="BH176" s="122" t="n">
        <v>36240</v>
      </c>
      <c r="BI176" s="123">
        <f>IF(AND(ISNUMBER(BG176),ISNUMBER(BH176),N(BH176)&gt;0),BG176/BH176,"")</f>
        <v/>
      </c>
      <c r="BJ176" s="120" t="inlineStr">
        <is>
          <t>N</t>
        </is>
      </c>
      <c r="BK176" s="120" t="inlineStr">
        <is>
          <t>Prime Exclusive already running before BFCM week; Buy Box RAISED in BFCM week (median $37.99 vs $32.99 before); List Price $45.99</t>
        </is>
      </c>
    </row>
    <row r="177" ht="62" customHeight="1">
      <c r="A177" s="12">
        <f>_xlfn.IMAGE("https://images-na.ssl-images-amazon.com/images/I/61sz2mcvZmL.jpg")</f>
        <v/>
      </c>
      <c r="B177" s="105" t="inlineStr">
        <is>
          <t>Cosy House Collection</t>
        </is>
      </c>
      <c r="C177" s="39" t="inlineStr">
        <is>
          <t>Cosy House Collection 100% Rayon Derived from Bamboo Bed Sheet Set</t>
        </is>
      </c>
      <c r="D177" s="105" t="inlineStr">
        <is>
          <t>Untiered</t>
        </is>
      </c>
      <c r="E177" s="106" t="inlineStr">
        <is>
          <t>Direct</t>
        </is>
      </c>
      <c r="F177" s="105" t="inlineStr">
        <is>
          <t>Bamboo viscose</t>
        </is>
      </c>
      <c r="G177" s="39" t="inlineStr">
        <is>
          <t>Same product (sheet set) in the same material family: Bamboo viscose (product page material: Rayon); ours: our listing: viscose from bamboo.</t>
        </is>
      </c>
      <c r="H177" s="107" t="inlineStr">
        <is>
          <t>B0CLBDW265</t>
        </is>
      </c>
      <c r="I177" s="107" t="inlineStr">
        <is>
          <t>B0B4F4NTBL</t>
        </is>
      </c>
      <c r="J177" s="105" t="inlineStr">
        <is>
          <t>King</t>
        </is>
      </c>
      <c r="K177" s="105" t="inlineStr">
        <is>
          <t>White</t>
        </is>
      </c>
      <c r="L177" s="108" t="n">
        <v>77</v>
      </c>
      <c r="M177" s="39" t="inlineStr"/>
      <c r="N177" s="109" t="n">
        <v>89.95</v>
      </c>
      <c r="O177" s="109" t="n"/>
      <c r="P177" s="110">
        <f>IF(AND(ISNUMBER(O177),ISNUMBER(N177),N(N177)&gt;0),O177/N177-1,"")</f>
        <v/>
      </c>
      <c r="Q177" s="111">
        <f>IF(P177="","No List Price",IF(P177&lt;=0,"At/below price",IF(P177&lt;=0.12,"&lt;=12% STR zone",IF(P177&lt;=0.25,"12-25%","&gt;25% over"))))</f>
        <v/>
      </c>
      <c r="R177" s="109" t="n">
        <v>99.98999999999999</v>
      </c>
      <c r="S177" s="112">
        <f>IF(AND(ISNUMBER(N177),ISNUMBER(R177),N(R177)&gt;0),N177/R177-1,"")</f>
        <v/>
      </c>
      <c r="T177" s="39" t="inlineStr">
        <is>
          <t>Same size (King). Ours live: catalog price, 2026-10-13; 15 children</t>
        </is>
      </c>
      <c r="U177" s="108" t="n">
        <v>20356</v>
      </c>
      <c r="V177" s="108" t="n">
        <v>35</v>
      </c>
      <c r="W177" s="113">
        <f>IF(AND(ISNUMBER(N177),ISNUMBER(V177)),N177*V177*52/12,"")</f>
        <v/>
      </c>
      <c r="X177" s="114" t="n">
        <v>4.3</v>
      </c>
      <c r="Y177" s="108" t="n">
        <v>7941</v>
      </c>
      <c r="Z177" s="115" t="n">
        <v>46307</v>
      </c>
      <c r="AA177" s="115" t="n">
        <v>45344</v>
      </c>
      <c r="AB177" s="105" t="inlineStr">
        <is>
          <t>FBA</t>
        </is>
      </c>
      <c r="AC177" s="105" t="inlineStr">
        <is>
          <t>US</t>
        </is>
      </c>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18" t="inlineStr">
        <is>
          <t>N</t>
        </is>
      </c>
      <c r="AV177" s="118" t="inlineStr">
        <is>
          <t>none</t>
        </is>
      </c>
      <c r="AW177" s="124" t="n"/>
      <c r="AX177" s="119" t="n">
        <v>89.95</v>
      </c>
      <c r="AY177" s="118" t="inlineStr">
        <is>
          <t>none</t>
        </is>
      </c>
      <c r="AZ177" s="118" t="inlineStr">
        <is>
          <t>Y</t>
        </is>
      </c>
      <c r="BA177" s="118" t="inlineStr">
        <is>
          <t>2026-10-13 23:35:59</t>
        </is>
      </c>
      <c r="BB177" s="120" t="inlineStr">
        <is>
          <t>None</t>
        </is>
      </c>
      <c r="BC177" s="125" t="n"/>
      <c r="BD177" s="121" t="n">
        <v>89.95</v>
      </c>
      <c r="BE177" s="121" t="n">
        <v>89.95</v>
      </c>
      <c r="BF177" s="110">
        <f>IF(AND(ISNUMBER(BD177),ISNUMBER(BE177),N(BD177)&gt;0),1-BE177/BD177,"")</f>
        <v/>
      </c>
      <c r="BG177" s="122" t="n">
        <v>56877</v>
      </c>
      <c r="BH177" s="122" t="n">
        <v>87565</v>
      </c>
      <c r="BI177" s="123">
        <f>IF(AND(ISNUMBER(BG177),ISNUMBER(BH177),N(BH177)&gt;0),BG177/BH177,"")</f>
        <v/>
      </c>
      <c r="BJ177" s="120" t="inlineStr">
        <is>
          <t>Y</t>
        </is>
      </c>
      <c r="BK177" s="120" t="inlineStr">
        <is>
          <t>List Price $199.99</t>
        </is>
      </c>
    </row>
    <row r="178" ht="62" customHeight="1">
      <c r="A178" s="12">
        <f>_xlfn.IMAGE("https://m.media-amazon.com/images/I/7172f86VS1L._AC_SL1500_.jpg")</f>
        <v/>
      </c>
      <c r="B178" s="105" t="inlineStr">
        <is>
          <t>KAKIJUMN</t>
        </is>
      </c>
      <c r="C178" s="39" t="inlineStr">
        <is>
          <t>KAKIJUMN 6 Piece King Sheets Set, Rayon Derived from Bamboo Blend</t>
        </is>
      </c>
      <c r="D178" s="105" t="inlineStr">
        <is>
          <t>Untiered</t>
        </is>
      </c>
      <c r="E178" s="106" t="inlineStr">
        <is>
          <t>Direct</t>
        </is>
      </c>
      <c r="F178" s="105" t="inlineStr">
        <is>
          <t>Bamboo viscose</t>
        </is>
      </c>
      <c r="G178" s="39" t="inlineStr">
        <is>
          <t>Same product (sheet set) in the same material family: Bamboo viscose (product page material: Rayon Derived from Bamboo); ours: our listing: viscose from bamboo.</t>
        </is>
      </c>
      <c r="H178" s="107" t="inlineStr">
        <is>
          <t>B0HFVC6529</t>
        </is>
      </c>
      <c r="I178" s="107" t="inlineStr">
        <is>
          <t>B0H1MNZ16Z</t>
        </is>
      </c>
      <c r="J178" s="105" t="inlineStr">
        <is>
          <t>Queen</t>
        </is>
      </c>
      <c r="K178" s="105" t="inlineStr">
        <is>
          <t>Warm Beige</t>
        </is>
      </c>
      <c r="L178" s="108" t="n"/>
      <c r="M178" s="39" t="inlineStr"/>
      <c r="N178" s="109" t="n">
        <v>38.39</v>
      </c>
      <c r="O178" s="109" t="n">
        <v>47.99</v>
      </c>
      <c r="P178" s="110">
        <f>IF(AND(ISNUMBER(O178),ISNUMBER(N178),N(N178)&gt;0),O178/N178-1,"")</f>
        <v/>
      </c>
      <c r="Q178" s="111">
        <f>IF(P178="","No List Price",IF(P178&lt;=0,"At/below price",IF(P178&lt;=0.12,"&lt;=12% STR zone",IF(P178&lt;=0.25,"12-25%","&gt;25% over"))))</f>
        <v/>
      </c>
      <c r="R178" s="109" t="n">
        <v>94.98999999999999</v>
      </c>
      <c r="S178" s="112">
        <f>IF(AND(ISNUMBER(N178),ISNUMBER(R178),N(R178)&gt;0),N178/R178-1,"")</f>
        <v/>
      </c>
      <c r="T178" s="39" t="inlineStr">
        <is>
          <t>Same size (Queen). Ours live: catalog price, 2026-10-13; 15 children</t>
        </is>
      </c>
      <c r="U178" s="108" t="n">
        <v>64915</v>
      </c>
      <c r="V178" s="108" t="n">
        <v>18</v>
      </c>
      <c r="W178" s="113">
        <f>IF(AND(ISNUMBER(N178),ISNUMBER(V178)),N178*V178*52/12,"")</f>
        <v/>
      </c>
      <c r="X178" s="114" t="n">
        <v>4</v>
      </c>
      <c r="Y178" s="108" t="n">
        <v>71</v>
      </c>
      <c r="Z178" s="115" t="n">
        <v>46307</v>
      </c>
      <c r="AA178" s="115" t="n"/>
      <c r="AB178" s="105" t="n"/>
      <c r="AC178" s="105" t="n"/>
      <c r="AD178" s="108" t="n"/>
      <c r="AE178" s="108" t="n"/>
      <c r="AF178" s="116" t="n"/>
      <c r="AG178" s="116" t="n"/>
      <c r="AH178" s="39" t="n"/>
      <c r="AI178" s="116" t="n"/>
      <c r="AJ178" s="116" t="n"/>
      <c r="AK178" s="116" t="n"/>
      <c r="AL178" s="116" t="n"/>
      <c r="AM178" s="108" t="n"/>
      <c r="AN178" s="108" t="n"/>
      <c r="AO178" s="108" t="n"/>
      <c r="AP178" s="108" t="n"/>
      <c r="AQ178" s="108" t="n"/>
      <c r="AR178" s="108" t="n"/>
      <c r="AS178" s="117" t="n"/>
      <c r="AT178" s="112" t="n"/>
      <c r="AU178" s="118" t="inlineStr">
        <is>
          <t>Y</t>
        </is>
      </c>
      <c r="AV178" s="118" t="inlineStr">
        <is>
          <t>List Price</t>
        </is>
      </c>
      <c r="AW178" s="119" t="n">
        <v>47.99</v>
      </c>
      <c r="AX178" s="119" t="n">
        <v>38.39</v>
      </c>
      <c r="AY178" s="118" t="inlineStr">
        <is>
          <t>none</t>
        </is>
      </c>
      <c r="AZ178" s="118" t="inlineStr">
        <is>
          <t>Y</t>
        </is>
      </c>
      <c r="BA178" s="118" t="inlineStr">
        <is>
          <t>2026-10-13 23:36:27</t>
        </is>
      </c>
      <c r="BB178" s="120" t="inlineStr">
        <is>
          <t>Not live in 2025</t>
        </is>
      </c>
      <c r="BC178" s="125" t="n"/>
      <c r="BD178" s="124" t="n"/>
      <c r="BE178" s="124" t="n"/>
      <c r="BF178" s="110">
        <f>IF(AND(ISNUMBER(BD178),ISNUMBER(BE178),N(BD178)&gt;0),1-BE178/BD178,"")</f>
        <v/>
      </c>
      <c r="BG178" s="126" t="n"/>
      <c r="BH178" s="126" t="n"/>
      <c r="BI178" s="123">
        <f>IF(AND(ISNUMBER(BG178),ISNUMBER(BH178),N(BH178)&gt;0),BG178/BH178,"")</f>
        <v/>
      </c>
      <c r="BJ178" s="125" t="n"/>
      <c r="BK178" s="125" t="n"/>
    </row>
    <row r="179" ht="62" customHeight="1">
      <c r="A179" s="12">
        <f>_xlfn.IMAGE("https://m.media-amazon.com/images/I/51UOEzUD6wL._AC_SL1254_.jpg")</f>
        <v/>
      </c>
      <c r="B179" s="105" t="inlineStr">
        <is>
          <t>MRIDU</t>
        </is>
      </c>
      <c r="C179" s="39" t="inlineStr">
        <is>
          <t>MRIDU Bamboo Viscose Sheet Set, 4-Piece, Pure White, King</t>
        </is>
      </c>
      <c r="D179" s="105" t="inlineStr">
        <is>
          <t>Untiered</t>
        </is>
      </c>
      <c r="E179" s="106" t="inlineStr">
        <is>
          <t>Direct</t>
        </is>
      </c>
      <c r="F179" s="105" t="inlineStr">
        <is>
          <t>Bamboo viscose</t>
        </is>
      </c>
      <c r="G179" s="39" t="inlineStr">
        <is>
          <t>Same product (sheet set) in the same material family: Bamboo viscose (product page material: Viscose Derived from Bamboo); ours: our listing: viscose from bamboo.</t>
        </is>
      </c>
      <c r="H179" s="107" t="inlineStr">
        <is>
          <t>B0GSXPDW9C</t>
        </is>
      </c>
      <c r="I179" s="107" t="inlineStr">
        <is>
          <t>B0GSXRR9DN</t>
        </is>
      </c>
      <c r="J179" s="105" t="inlineStr">
        <is>
          <t>Full</t>
        </is>
      </c>
      <c r="K179" s="105" t="inlineStr">
        <is>
          <t>Pure White</t>
        </is>
      </c>
      <c r="L179" s="108" t="n"/>
      <c r="M179" s="39" t="inlineStr"/>
      <c r="N179" s="109" t="n">
        <v>89.98999999999999</v>
      </c>
      <c r="O179" s="109" t="n"/>
      <c r="P179" s="110">
        <f>IF(AND(ISNUMBER(O179),ISNUMBER(N179),N(N179)&gt;0),O179/N179-1,"")</f>
        <v/>
      </c>
      <c r="Q179" s="111">
        <f>IF(P179="","No List Price",IF(P179&lt;=0,"At/below price",IF(P179&lt;=0.12,"&lt;=12% STR zone",IF(P179&lt;=0.25,"12-25%","&gt;25% over"))))</f>
        <v/>
      </c>
      <c r="R179" s="109" t="n">
        <v>79.98999999999999</v>
      </c>
      <c r="S179" s="112">
        <f>IF(AND(ISNUMBER(N179),ISNUMBER(R179),N(R179)&gt;0),N179/R179-1,"")</f>
        <v/>
      </c>
      <c r="T179" s="39" t="inlineStr">
        <is>
          <t>Same size (Full). Ours live: catalog price, 2026-10-13; 10 children</t>
        </is>
      </c>
      <c r="U179" s="108" t="n">
        <v>1970806</v>
      </c>
      <c r="V179" s="108" t="n">
        <v>5</v>
      </c>
      <c r="W179" s="113">
        <f>IF(AND(ISNUMBER(N179),ISNUMBER(V179)),N179*V179*52/12,"")</f>
        <v/>
      </c>
      <c r="X179" s="114" t="n">
        <v>3.9</v>
      </c>
      <c r="Y179" s="108" t="n">
        <v>24</v>
      </c>
      <c r="Z179" s="115" t="n">
        <v>46307</v>
      </c>
      <c r="AA179" s="115" t="n"/>
      <c r="AB179" s="105" t="n"/>
      <c r="AC179" s="105" t="n"/>
      <c r="AD179" s="108" t="n"/>
      <c r="AE179" s="108" t="n"/>
      <c r="AF179" s="116" t="n"/>
      <c r="AG179" s="116" t="n"/>
      <c r="AH179" s="39" t="n"/>
      <c r="AI179" s="116" t="n"/>
      <c r="AJ179" s="116" t="n"/>
      <c r="AK179" s="116" t="n"/>
      <c r="AL179" s="116" t="n"/>
      <c r="AM179" s="108" t="n"/>
      <c r="AN179" s="108" t="n"/>
      <c r="AO179" s="108" t="n"/>
      <c r="AP179" s="108" t="n"/>
      <c r="AQ179" s="108" t="n"/>
      <c r="AR179" s="108" t="n"/>
      <c r="AS179" s="117" t="n"/>
      <c r="AT179" s="112" t="n"/>
      <c r="AU179" s="118" t="inlineStr">
        <is>
          <t>N</t>
        </is>
      </c>
      <c r="AV179" s="118" t="inlineStr">
        <is>
          <t>none</t>
        </is>
      </c>
      <c r="AW179" s="124" t="n"/>
      <c r="AX179" s="119" t="n">
        <v>89.98999999999999</v>
      </c>
      <c r="AY179" s="118" t="inlineStr">
        <is>
          <t>none</t>
        </is>
      </c>
      <c r="AZ179" s="118" t="inlineStr">
        <is>
          <t>Y</t>
        </is>
      </c>
      <c r="BA179" s="118" t="inlineStr">
        <is>
          <t>2026-10-13 23:36:42</t>
        </is>
      </c>
      <c r="BB179" s="120" t="inlineStr">
        <is>
          <t>Not live in 2025</t>
        </is>
      </c>
      <c r="BC179" s="125" t="n"/>
      <c r="BD179" s="124" t="n"/>
      <c r="BE179" s="124" t="n"/>
      <c r="BF179" s="110">
        <f>IF(AND(ISNUMBER(BD179),ISNUMBER(BE179),N(BD179)&gt;0),1-BE179/BD179,"")</f>
        <v/>
      </c>
      <c r="BG179" s="126" t="n"/>
      <c r="BH179" s="126" t="n"/>
      <c r="BI179" s="123">
        <f>IF(AND(ISNUMBER(BG179),ISNUMBER(BH179),N(BH179)&gt;0),BG179/BH179,"")</f>
        <v/>
      </c>
      <c r="BJ179" s="125" t="n"/>
      <c r="BK179" s="125" t="n"/>
    </row>
    <row r="180" ht="62" customHeight="1">
      <c r="A180" s="12">
        <f>_xlfn.IMAGE("https://m.media-amazon.com/images/I/81LmQQkUCeL._AC_SL1500_.jpg")</f>
        <v/>
      </c>
      <c r="B180" s="105" t="inlineStr">
        <is>
          <t>Brooklyn Loom</t>
        </is>
      </c>
      <c r="C180" s="39" t="inlineStr">
        <is>
          <t>Brooklyn Loom 300 Thread Count Sateen 100% Rayon from Bamboo Deep Pocket 4 Piece</t>
        </is>
      </c>
      <c r="D180" s="105" t="inlineStr">
        <is>
          <t>Untiered</t>
        </is>
      </c>
      <c r="E180" s="106" t="inlineStr">
        <is>
          <t>Direct</t>
        </is>
      </c>
      <c r="F180" s="105" t="inlineStr">
        <is>
          <t>Bamboo viscose</t>
        </is>
      </c>
      <c r="G180" s="39" t="inlineStr">
        <is>
          <t>Same product (sheet set) in the same material family: Bamboo viscose (product page material: Bamboo); ours: our listing: viscose from bamboo.</t>
        </is>
      </c>
      <c r="H180" s="107" t="inlineStr">
        <is>
          <t>B0H29TVSQX</t>
        </is>
      </c>
      <c r="I180" s="107" t="inlineStr">
        <is>
          <t>B0FQ8JCH46</t>
        </is>
      </c>
      <c r="J180" s="105" t="inlineStr">
        <is>
          <t>King (U.S. Standard)</t>
        </is>
      </c>
      <c r="K180" s="105" t="inlineStr">
        <is>
          <t>Charcoal</t>
        </is>
      </c>
      <c r="L180" s="108" t="n"/>
      <c r="M180" s="39" t="inlineStr"/>
      <c r="N180" s="109" t="n">
        <v>129.99</v>
      </c>
      <c r="O180" s="109" t="n"/>
      <c r="P180" s="110">
        <f>IF(AND(ISNUMBER(O180),ISNUMBER(N180),N(N180)&gt;0),O180/N180-1,"")</f>
        <v/>
      </c>
      <c r="Q180" s="111">
        <f>IF(P180="","No List Price",IF(P180&lt;=0,"At/below price",IF(P180&lt;=0.12,"&lt;=12% STR zone",IF(P180&lt;=0.25,"12-25%","&gt;25% over"))))</f>
        <v/>
      </c>
      <c r="R180" s="109" t="n">
        <v>99.98999999999999</v>
      </c>
      <c r="S180" s="112">
        <f>IF(AND(ISNUMBER(N180),ISNUMBER(R180),N(R180)&gt;0),N180/R180-1,"")</f>
        <v/>
      </c>
      <c r="T180" s="39" t="inlineStr">
        <is>
          <t>Same size (King). Ours live: catalog price, 2026-10-13; 15 children</t>
        </is>
      </c>
      <c r="U180" s="108" t="n">
        <v>1216102</v>
      </c>
      <c r="V180" s="108" t="n">
        <v>5</v>
      </c>
      <c r="W180" s="113">
        <f>IF(AND(ISNUMBER(N180),ISNUMBER(V180)),N180*V180*52/12,"")</f>
        <v/>
      </c>
      <c r="X180" s="114" t="n">
        <v>4.5</v>
      </c>
      <c r="Y180" s="108" t="n">
        <v>13</v>
      </c>
      <c r="Z180" s="115" t="n">
        <v>46307</v>
      </c>
      <c r="AA180" s="115" t="n"/>
      <c r="AB180" s="105" t="n"/>
      <c r="AC180" s="105" t="n"/>
      <c r="AD180" s="108" t="n"/>
      <c r="AE180" s="108" t="n"/>
      <c r="AF180" s="116" t="n"/>
      <c r="AG180" s="116" t="n"/>
      <c r="AH180" s="39" t="n"/>
      <c r="AI180" s="116" t="n"/>
      <c r="AJ180" s="116" t="n"/>
      <c r="AK180" s="116" t="n"/>
      <c r="AL180" s="116" t="n"/>
      <c r="AM180" s="108" t="n"/>
      <c r="AN180" s="108" t="n"/>
      <c r="AO180" s="108" t="n"/>
      <c r="AP180" s="108" t="n"/>
      <c r="AQ180" s="108" t="n"/>
      <c r="AR180" s="108" t="n"/>
      <c r="AS180" s="117" t="n"/>
      <c r="AT180" s="112" t="n"/>
      <c r="AU180" s="118" t="inlineStr">
        <is>
          <t>N</t>
        </is>
      </c>
      <c r="AV180" s="118" t="inlineStr">
        <is>
          <t>none</t>
        </is>
      </c>
      <c r="AW180" s="124" t="n"/>
      <c r="AX180" s="119" t="n">
        <v>129.99</v>
      </c>
      <c r="AY180" s="118" t="inlineStr">
        <is>
          <t>none</t>
        </is>
      </c>
      <c r="AZ180" s="118" t="inlineStr">
        <is>
          <t>Y</t>
        </is>
      </c>
      <c r="BA180" s="118" t="inlineStr">
        <is>
          <t>2026-10-13 23:47:55</t>
        </is>
      </c>
      <c r="BB180" s="120" t="inlineStr">
        <is>
          <t>None</t>
        </is>
      </c>
      <c r="BC180" s="125" t="n"/>
      <c r="BD180" s="121" t="n">
        <v>129.99</v>
      </c>
      <c r="BE180" s="121" t="n">
        <v>129.99</v>
      </c>
      <c r="BF180" s="110">
        <f>IF(AND(ISNUMBER(BD180),ISNUMBER(BE180),N(BD180)&gt;0),1-BE180/BD180,"")</f>
        <v/>
      </c>
      <c r="BG180" s="122" t="n">
        <v>1517805</v>
      </c>
      <c r="BH180" s="126" t="n"/>
      <c r="BI180" s="123">
        <f>IF(AND(ISNUMBER(BG180),ISNUMBER(BH180),N(BH180)&gt;0),BG180/BH180,"")</f>
        <v/>
      </c>
      <c r="BJ180" s="120" t="inlineStr">
        <is>
          <t>N</t>
        </is>
      </c>
      <c r="BK180" s="120" t="inlineStr">
        <is>
          <t>List Price $260.00</t>
        </is>
      </c>
    </row>
    <row r="181" ht="62" customHeight="1">
      <c r="A181" s="12">
        <f>_xlfn.IMAGE("https://images-na.ssl-images-amazon.com/images/I/61qpaDyqceL.jpg")</f>
        <v/>
      </c>
      <c r="B181" s="105" t="inlineStr">
        <is>
          <t>MCO</t>
        </is>
      </c>
      <c r="C181" s="39" t="inlineStr">
        <is>
          <t>MCO 4 Piece Cooling &amp; Breathable Queen Sheet Set, Rayon Derived from Bamboo, 16" Deep Pocket, Hotel Luxury Soft Silky Queen Bedding Set for Hot Sleepers- Forest Green</t>
        </is>
      </c>
      <c r="D181" s="105" t="inlineStr">
        <is>
          <t>Untiered</t>
        </is>
      </c>
      <c r="E181" s="106" t="inlineStr">
        <is>
          <t>Direct</t>
        </is>
      </c>
      <c r="F181" s="105" t="inlineStr">
        <is>
          <t>Bamboo viscose</t>
        </is>
      </c>
      <c r="G181" s="39" t="inlineStr">
        <is>
          <t>Same product (sheet set) in the same material family: Bamboo viscose (title: MCO 4 Piece Cooling &amp; Breathable Queen Sheet Set, Rayon Deri); ours: our listing: viscose from bamboo.</t>
        </is>
      </c>
      <c r="H181" s="105" t="n"/>
      <c r="I181" s="107" t="inlineStr">
        <is>
          <t>B0FW51LMYP</t>
        </is>
      </c>
      <c r="J181" s="105" t="inlineStr">
        <is>
          <t>Queen</t>
        </is>
      </c>
      <c r="K181" s="105" t="inlineStr">
        <is>
          <t>Green</t>
        </is>
      </c>
      <c r="L181" s="108" t="n">
        <v>48</v>
      </c>
      <c r="M181" s="39" t="inlineStr"/>
      <c r="N181" s="109" t="n">
        <v>22.5</v>
      </c>
      <c r="O181" s="109" t="n"/>
      <c r="P181" s="110">
        <f>IF(AND(ISNUMBER(O181),ISNUMBER(N181),N(N181)&gt;0),O181/N181-1,"")</f>
        <v/>
      </c>
      <c r="Q181" s="111">
        <f>IF(P181="","No List Price",IF(P181&lt;=0,"At/below price",IF(P181&lt;=0.12,"&lt;=12% STR zone",IF(P181&lt;=0.25,"12-25%","&gt;25% over"))))</f>
        <v/>
      </c>
      <c r="R181" s="109" t="n">
        <v>94.98999999999999</v>
      </c>
      <c r="S181" s="112">
        <f>IF(AND(ISNUMBER(N181),ISNUMBER(R181),N(R181)&gt;0),N181/R181-1,"")</f>
        <v/>
      </c>
      <c r="T181" s="39" t="inlineStr">
        <is>
          <t>Same size (Queen). Ours live: catalog price, 2026-10-13; 15 children</t>
        </is>
      </c>
      <c r="U181" s="108" t="n">
        <v>88098</v>
      </c>
      <c r="V181" s="108" t="n"/>
      <c r="W181" s="113">
        <f>IF(AND(ISNUMBER(N181),ISNUMBER(V181)),N181*V181*52/12,"")</f>
        <v/>
      </c>
      <c r="X181" s="114" t="n">
        <v>4</v>
      </c>
      <c r="Y181" s="108" t="n">
        <v>482</v>
      </c>
      <c r="Z181" s="115" t="n">
        <v>46306</v>
      </c>
      <c r="AA181" s="115" t="n">
        <v>45944</v>
      </c>
      <c r="AB181" s="105" t="inlineStr">
        <is>
          <t>FBA</t>
        </is>
      </c>
      <c r="AC181" s="105" t="inlineStr">
        <is>
          <t>CN</t>
        </is>
      </c>
      <c r="AD181" s="108" t="n"/>
      <c r="AE181" s="108" t="n"/>
      <c r="AF181" s="116" t="n"/>
      <c r="AG181" s="116" t="n"/>
      <c r="AH181" s="39" t="n"/>
      <c r="AI181" s="116" t="n"/>
      <c r="AJ181" s="116" t="n"/>
      <c r="AK181" s="116" t="n"/>
      <c r="AL181" s="116" t="n"/>
      <c r="AM181" s="108" t="n"/>
      <c r="AN181" s="108" t="n"/>
      <c r="AO181" s="108" t="n"/>
      <c r="AP181" s="108" t="n"/>
      <c r="AQ181" s="108" t="n"/>
      <c r="AR181" s="108" t="n"/>
      <c r="AS181" s="117" t="n"/>
      <c r="AT181" s="112" t="n"/>
      <c r="AU181" s="125" t="n"/>
      <c r="AV181" s="125" t="n"/>
      <c r="AW181" s="124" t="n"/>
      <c r="AX181" s="124" t="n"/>
      <c r="AY181" s="125" t="n"/>
      <c r="AZ181" s="125" t="n"/>
      <c r="BA181" s="125" t="n"/>
      <c r="BB181" s="120" t="inlineStr">
        <is>
          <t>Not live in 2025</t>
        </is>
      </c>
      <c r="BC181" s="125" t="n"/>
      <c r="BD181" s="124" t="n"/>
      <c r="BE181" s="124" t="n"/>
      <c r="BF181" s="110">
        <f>IF(AND(ISNUMBER(BD181),ISNUMBER(BE181),N(BD181)&gt;0),1-BE181/BD181,"")</f>
        <v/>
      </c>
      <c r="BG181" s="126" t="n"/>
      <c r="BH181" s="126" t="n"/>
      <c r="BI181" s="123">
        <f>IF(AND(ISNUMBER(BG181),ISNUMBER(BH181),N(BH181)&gt;0),BG181/BH181,"")</f>
        <v/>
      </c>
      <c r="BJ181" s="125" t="n"/>
      <c r="BK181" s="125" t="n"/>
    </row>
    <row r="182" ht="62" customHeight="1">
      <c r="A182" s="12">
        <f>_xlfn.IMAGE("https://images-na.ssl-images-amazon.com/images/I/71q7X74N9cL.jpg")</f>
        <v/>
      </c>
      <c r="B182" s="105" t="inlineStr">
        <is>
          <t>Vipfree</t>
        </is>
      </c>
      <c r="C182" s="39" t="inlineStr">
        <is>
          <t>Vipfree California King Sheet Set, Cooling Rayon 4-Piece Bedding with Deep Pockets, Sand, 300 Thread Count</t>
        </is>
      </c>
      <c r="D182" s="105" t="inlineStr">
        <is>
          <t>Untiered</t>
        </is>
      </c>
      <c r="E182" s="106" t="inlineStr">
        <is>
          <t>Direct</t>
        </is>
      </c>
      <c r="F182" s="105" t="inlineStr">
        <is>
          <t>Bamboo viscose</t>
        </is>
      </c>
      <c r="G182" s="39" t="inlineStr">
        <is>
          <t>Same product (sheet set) in the same material family: Bamboo viscose (title: Vipfree California King Sheet Set, Cooling Rayon 4-Piece Bed); ours: our listing: viscose from bamboo.</t>
        </is>
      </c>
      <c r="H182" s="105" t="n"/>
      <c r="I182" s="107" t="inlineStr">
        <is>
          <t>B0DF7NK85K</t>
        </is>
      </c>
      <c r="J182" s="105" t="inlineStr">
        <is>
          <t>California King</t>
        </is>
      </c>
      <c r="K182" s="105" t="inlineStr">
        <is>
          <t>Sand</t>
        </is>
      </c>
      <c r="L182" s="108" t="n">
        <v>2</v>
      </c>
      <c r="M182" s="39" t="inlineStr"/>
      <c r="N182" s="109" t="n">
        <v>34.99</v>
      </c>
      <c r="O182" s="109" t="n"/>
      <c r="P182" s="110">
        <f>IF(AND(ISNUMBER(O182),ISNUMBER(N182),N(N182)&gt;0),O182/N182-1,"")</f>
        <v/>
      </c>
      <c r="Q182" s="111">
        <f>IF(P182="","No List Price",IF(P182&lt;=0,"At/below price",IF(P182&lt;=0.12,"&lt;=12% STR zone",IF(P182&lt;=0.25,"12-25%","&gt;25% over"))))</f>
        <v/>
      </c>
      <c r="R182" s="109" t="n">
        <v>99.98999999999999</v>
      </c>
      <c r="S182" s="112">
        <f>IF(AND(ISNUMBER(N182),ISNUMBER(R182),N(R182)&gt;0),N182/R182-1,"")</f>
        <v/>
      </c>
      <c r="T182" s="39" t="inlineStr">
        <is>
          <t>Same size (California King). Ours live: catalog price, 2026-10-13; 12 children</t>
        </is>
      </c>
      <c r="U182" s="108" t="n">
        <v>646670</v>
      </c>
      <c r="V182" s="108" t="n"/>
      <c r="W182" s="113">
        <f>IF(AND(ISNUMBER(N182),ISNUMBER(V182)),N182*V182*52/12,"")</f>
        <v/>
      </c>
      <c r="X182" s="114" t="n">
        <v>4.4</v>
      </c>
      <c r="Y182" s="108" t="n">
        <v>436</v>
      </c>
      <c r="Z182" s="115" t="n">
        <v>46306</v>
      </c>
      <c r="AA182" s="115" t="n">
        <v>45590</v>
      </c>
      <c r="AB182" s="105" t="inlineStr">
        <is>
          <t>FBM</t>
        </is>
      </c>
      <c r="AC182" s="105" t="inlineStr">
        <is>
          <t>N/A</t>
        </is>
      </c>
      <c r="AD182" s="108" t="n"/>
      <c r="AE182" s="108" t="n"/>
      <c r="AF182" s="116" t="n"/>
      <c r="AG182" s="116" t="n"/>
      <c r="AH182" s="39" t="n"/>
      <c r="AI182" s="116" t="n"/>
      <c r="AJ182" s="116" t="n"/>
      <c r="AK182" s="116" t="n"/>
      <c r="AL182" s="116" t="n"/>
      <c r="AM182" s="108" t="n"/>
      <c r="AN182" s="108" t="n"/>
      <c r="AO182" s="108" t="n"/>
      <c r="AP182" s="108" t="n"/>
      <c r="AQ182" s="108" t="n"/>
      <c r="AR182" s="108" t="n"/>
      <c r="AS182" s="117" t="n"/>
      <c r="AT182" s="112" t="n"/>
      <c r="AU182" s="125" t="n"/>
      <c r="AV182" s="125" t="n"/>
      <c r="AW182" s="124" t="n"/>
      <c r="AX182" s="124" t="n"/>
      <c r="AY182" s="125" t="n"/>
      <c r="AZ182" s="125" t="n"/>
      <c r="BA182" s="125" t="n"/>
      <c r="BB182" s="120" t="inlineStr">
        <is>
          <t>Price cut only</t>
        </is>
      </c>
      <c r="BC182" s="120" t="inlineStr">
        <is>
          <t>11-20 to 11-20</t>
        </is>
      </c>
      <c r="BD182" s="121" t="n">
        <v>97.98999999999999</v>
      </c>
      <c r="BE182" s="121" t="n">
        <v>69.98999999999999</v>
      </c>
      <c r="BF182" s="110">
        <f>IF(AND(ISNUMBER(BD182),ISNUMBER(BE182),N(BD182)&gt;0),1-BE182/BD182,"")</f>
        <v/>
      </c>
      <c r="BG182" s="122" t="n">
        <v>128180</v>
      </c>
      <c r="BH182" s="122" t="n">
        <v>158143</v>
      </c>
      <c r="BI182" s="123">
        <f>IF(AND(ISNUMBER(BG182),ISNUMBER(BH182),N(BH182)&gt;0),BG182/BH182,"")</f>
        <v/>
      </c>
      <c r="BJ182" s="125" t="n"/>
      <c r="BK182" s="120" t="inlineStr">
        <is>
          <t>List Price $97.99</t>
        </is>
      </c>
    </row>
    <row r="183" ht="62" customHeight="1">
      <c r="A183" s="12">
        <f>_xlfn.IMAGE("https://images-na.ssl-images-amazon.com/images/I/81fSDKgL-SL.jpg")</f>
        <v/>
      </c>
      <c r="B183" s="105" t="inlineStr">
        <is>
          <t>ACCURATEX</t>
        </is>
      </c>
      <c r="C183" s="39" t="inlineStr">
        <is>
          <t>ACCURATEX Cooling Sheets for Hot Sleepers, King Size, Grey</t>
        </is>
      </c>
      <c r="D183" s="105" t="inlineStr">
        <is>
          <t>Poor</t>
        </is>
      </c>
      <c r="E183" s="127" t="inlineStr">
        <is>
          <t>Material not verified</t>
        </is>
      </c>
      <c r="F183" s="105" t="n"/>
      <c r="G183" s="39" t="inlineStr">
        <is>
          <t>Sheet set like ours, but the material is not stated (material not stated on the page or in the title); verify before treating as direct.</t>
        </is>
      </c>
      <c r="H183" s="107" t="inlineStr">
        <is>
          <t>B0GMGSMLQ1</t>
        </is>
      </c>
      <c r="I183" s="107" t="inlineStr">
        <is>
          <t>B09PYB9C45</t>
        </is>
      </c>
      <c r="J183" s="105" t="inlineStr">
        <is>
          <t>King</t>
        </is>
      </c>
      <c r="K183" s="105" t="inlineStr">
        <is>
          <t>Grey</t>
        </is>
      </c>
      <c r="L183" s="108" t="n">
        <v>51</v>
      </c>
      <c r="M183" s="39" t="inlineStr"/>
      <c r="N183" s="109" t="n">
        <v>69.98999999999999</v>
      </c>
      <c r="O183" s="109" t="n"/>
      <c r="P183" s="110">
        <f>IF(AND(ISNUMBER(O183),ISNUMBER(N183),N(N183)&gt;0),O183/N183-1,"")</f>
        <v/>
      </c>
      <c r="Q183" s="111">
        <f>IF(P183="","No List Price",IF(P183&lt;=0,"At/below price",IF(P183&lt;=0.12,"&lt;=12% STR zone",IF(P183&lt;=0.25,"12-25%","&gt;25% over"))))</f>
        <v/>
      </c>
      <c r="R183" s="109" t="n">
        <v>99.98999999999999</v>
      </c>
      <c r="S183" s="112">
        <f>IF(AND(ISNUMBER(N183),ISNUMBER(R183),N(R183)&gt;0),N183/R183-1,"")</f>
        <v/>
      </c>
      <c r="T183" s="39" t="inlineStr">
        <is>
          <t>Same size (King). Ours live: catalog price, 2026-10-13; 15 children</t>
        </is>
      </c>
      <c r="U183" s="108" t="n">
        <v>33423</v>
      </c>
      <c r="V183" s="108" t="n">
        <v>35</v>
      </c>
      <c r="W183" s="113">
        <f>IF(AND(ISNUMBER(N183),ISNUMBER(V183)),N183*V183*52/12,"")</f>
        <v/>
      </c>
      <c r="X183" s="114" t="n">
        <v>4.4</v>
      </c>
      <c r="Y183" s="108" t="n">
        <v>1040</v>
      </c>
      <c r="Z183" s="115" t="n">
        <v>46307</v>
      </c>
      <c r="AA183" s="115" t="n">
        <v>44681</v>
      </c>
      <c r="AB183" s="105" t="inlineStr">
        <is>
          <t>FBA</t>
        </is>
      </c>
      <c r="AC183" s="105" t="inlineStr">
        <is>
          <t>CN</t>
        </is>
      </c>
      <c r="AD183" s="108" t="n"/>
      <c r="AE183" s="108" t="n"/>
      <c r="AF183" s="116" t="n"/>
      <c r="AG183" s="116" t="n"/>
      <c r="AH183" s="39" t="n"/>
      <c r="AI183" s="116" t="n"/>
      <c r="AJ183" s="116" t="n"/>
      <c r="AK183" s="116" t="n"/>
      <c r="AL183" s="116" t="n"/>
      <c r="AM183" s="108" t="n"/>
      <c r="AN183" s="108" t="n"/>
      <c r="AO183" s="108" t="n"/>
      <c r="AP183" s="108" t="n"/>
      <c r="AQ183" s="108" t="n"/>
      <c r="AR183" s="108" t="n"/>
      <c r="AS183" s="117" t="n"/>
      <c r="AT183" s="112" t="n"/>
      <c r="AU183" s="118" t="inlineStr">
        <is>
          <t>N</t>
        </is>
      </c>
      <c r="AV183" s="118" t="inlineStr">
        <is>
          <t>none</t>
        </is>
      </c>
      <c r="AW183" s="124" t="n"/>
      <c r="AX183" s="119" t="n">
        <v>69.98999999999999</v>
      </c>
      <c r="AY183" s="118" t="inlineStr">
        <is>
          <t>none</t>
        </is>
      </c>
      <c r="AZ183" s="118" t="inlineStr">
        <is>
          <t>Y</t>
        </is>
      </c>
      <c r="BA183" s="118" t="inlineStr">
        <is>
          <t>2026-10-13 23:35:28</t>
        </is>
      </c>
      <c r="BB183" s="120" t="inlineStr">
        <is>
          <t>Prime Exclusive Discount</t>
        </is>
      </c>
      <c r="BC183" s="120" t="inlineStr">
        <is>
          <t>11-26 to 12-01</t>
        </is>
      </c>
      <c r="BD183" s="121" t="n">
        <v>59.49</v>
      </c>
      <c r="BE183" s="121" t="n">
        <v>59.49</v>
      </c>
      <c r="BF183" s="110">
        <f>IF(AND(ISNUMBER(BD183),ISNUMBER(BE183),N(BD183)&gt;0),1-BE183/BD183,"")</f>
        <v/>
      </c>
      <c r="BG183" s="122" t="n">
        <v>33899</v>
      </c>
      <c r="BH183" s="122" t="n">
        <v>51988</v>
      </c>
      <c r="BI183" s="123">
        <f>IF(AND(ISNUMBER(BG183),ISNUMBER(BH183),N(BH183)&gt;0),BG183/BH183,"")</f>
        <v/>
      </c>
      <c r="BJ183" s="120" t="inlineStr">
        <is>
          <t>N</t>
        </is>
      </c>
      <c r="BK183" s="120" t="inlineStr">
        <is>
          <t>Lightning Deal 11-13 to 11-13; Buy Box RAISED in BFCM week (median $74.99 vs $69.99 before); List Price $74.99</t>
        </is>
      </c>
    </row>
    <row r="184" ht="62" customHeight="1">
      <c r="A184" s="12">
        <f>_xlfn.IMAGE("https://images-na.ssl-images-amazon.com/images/I/81fpVjndH2L.jpg")</f>
        <v/>
      </c>
      <c r="B184" s="105" t="inlineStr">
        <is>
          <t>Shilucheng</t>
        </is>
      </c>
      <c r="C184" s="39" t="inlineStr">
        <is>
          <t>Shilucheng 4 Piece Queen Sheet Sets, Cooling Sheets, Dark Grey</t>
        </is>
      </c>
      <c r="D184" s="105" t="inlineStr">
        <is>
          <t>Untiered</t>
        </is>
      </c>
      <c r="E184" s="127" t="inlineStr">
        <is>
          <t>Material not verified</t>
        </is>
      </c>
      <c r="F184" s="105" t="n"/>
      <c r="G184" s="39" t="inlineStr">
        <is>
          <t>Sheet set like ours, but the material is not stated (material not stated on the page or in the title); verify before treating as direct.</t>
        </is>
      </c>
      <c r="H184" s="107" t="inlineStr">
        <is>
          <t>B0HJSVWNRS</t>
        </is>
      </c>
      <c r="I184" s="107" t="inlineStr">
        <is>
          <t>B0FWY1TGFK</t>
        </is>
      </c>
      <c r="J184" s="105" t="inlineStr">
        <is>
          <t>Queen</t>
        </is>
      </c>
      <c r="K184" s="105" t="inlineStr">
        <is>
          <t>Grey</t>
        </is>
      </c>
      <c r="L184" s="108" t="n">
        <v>49</v>
      </c>
      <c r="M184" s="39" t="inlineStr">
        <is>
          <t>B0FWY1TGFK (67%), B098JT1RF2 (22%)</t>
        </is>
      </c>
      <c r="N184" s="109" t="n">
        <v>34.99</v>
      </c>
      <c r="O184" s="109" t="n"/>
      <c r="P184" s="110">
        <f>IF(AND(ISNUMBER(O184),ISNUMBER(N184),N(N184)&gt;0),O184/N184-1,"")</f>
        <v/>
      </c>
      <c r="Q184" s="111">
        <f>IF(P184="","No List Price",IF(P184&lt;=0,"At/below price",IF(P184&lt;=0.12,"&lt;=12% STR zone",IF(P184&lt;=0.25,"12-25%","&gt;25% over"))))</f>
        <v/>
      </c>
      <c r="R184" s="109" t="n">
        <v>94.98999999999999</v>
      </c>
      <c r="S184" s="112">
        <f>IF(AND(ISNUMBER(N184),ISNUMBER(R184),N(R184)&gt;0),N184/R184-1,"")</f>
        <v/>
      </c>
      <c r="T184" s="39" t="inlineStr">
        <is>
          <t>Same size (Queen). Ours live: catalog price, 2026-10-13; 15 children</t>
        </is>
      </c>
      <c r="U184" s="108" t="n">
        <v>5396</v>
      </c>
      <c r="V184" s="108" t="n">
        <v>173</v>
      </c>
      <c r="W184" s="113">
        <f>IF(AND(ISNUMBER(N184),ISNUMBER(V184)),N184*V184*52/12,"")</f>
        <v/>
      </c>
      <c r="X184" s="114" t="n">
        <v>4.3</v>
      </c>
      <c r="Y184" s="108" t="n">
        <v>24352</v>
      </c>
      <c r="Z184" s="115" t="n">
        <v>46307</v>
      </c>
      <c r="AA184" s="115" t="n"/>
      <c r="AB184" s="105" t="n"/>
      <c r="AC184" s="105" t="n"/>
      <c r="AD184" s="108" t="n">
        <v>135323</v>
      </c>
      <c r="AE184" s="108" t="n">
        <v>1187</v>
      </c>
      <c r="AF184" s="116" t="n">
        <v>0.7652350080917514</v>
      </c>
      <c r="AG184" s="116" t="n">
        <v>0.234765015555375</v>
      </c>
      <c r="AH184" s="39" t="inlineStr">
        <is>
          <t>bamboo sheets</t>
        </is>
      </c>
      <c r="AI184" s="116" t="n">
        <v>0.4715236877692632</v>
      </c>
      <c r="AJ184" s="116" t="n"/>
      <c r="AK184" s="116" t="n"/>
      <c r="AL184" s="116" t="n">
        <v>0.03684517783377549</v>
      </c>
      <c r="AM184" s="108" t="n">
        <v>770</v>
      </c>
      <c r="AN184" s="108" t="n">
        <v>321</v>
      </c>
      <c r="AO184" s="108" t="n">
        <v>415</v>
      </c>
      <c r="AP184" s="108" t="n">
        <v>417</v>
      </c>
      <c r="AQ184" s="108" t="n">
        <v>346</v>
      </c>
      <c r="AR184" s="108" t="n">
        <v>43</v>
      </c>
      <c r="AS184" s="117" t="n"/>
      <c r="AT184" s="112" t="n">
        <v>-0.9497907949790795</v>
      </c>
      <c r="AU184" s="118" t="inlineStr">
        <is>
          <t>N</t>
        </is>
      </c>
      <c r="AV184" s="118" t="inlineStr">
        <is>
          <t>none</t>
        </is>
      </c>
      <c r="AW184" s="124" t="n"/>
      <c r="AX184" s="119" t="n">
        <v>34.99</v>
      </c>
      <c r="AY184" s="118" t="inlineStr">
        <is>
          <t>coupon 15%</t>
        </is>
      </c>
      <c r="AZ184" s="118" t="inlineStr">
        <is>
          <t>Y</t>
        </is>
      </c>
      <c r="BA184" s="118" t="inlineStr">
        <is>
          <t>2026-10-13 12:11:26</t>
        </is>
      </c>
      <c r="BB184" s="120" t="inlineStr">
        <is>
          <t>Coupon only</t>
        </is>
      </c>
      <c r="BC184" s="120" t="inlineStr">
        <is>
          <t>11-09 to 11-21</t>
        </is>
      </c>
      <c r="BD184" s="121" t="n">
        <v>34.9</v>
      </c>
      <c r="BE184" s="121" t="n">
        <v>28.18</v>
      </c>
      <c r="BF184" s="110">
        <f>IF(AND(ISNUMBER(BD184),ISNUMBER(BE184),N(BD184)&gt;0),1-BE184/BD184,"")</f>
        <v/>
      </c>
      <c r="BG184" s="122" t="n">
        <v>4671</v>
      </c>
      <c r="BH184" s="122" t="n">
        <v>3278</v>
      </c>
      <c r="BI184" s="123">
        <f>IF(AND(ISNUMBER(BG184),ISNUMBER(BH184),N(BH184)&gt;0),BG184/BH184,"")</f>
        <v/>
      </c>
      <c r="BJ184" s="120" t="inlineStr">
        <is>
          <t>N</t>
        </is>
      </c>
      <c r="BK184" s="120" t="inlineStr">
        <is>
          <t>Coupon 15%; List Price $34.90</t>
        </is>
      </c>
    </row>
    <row r="185" ht="62" customHeight="1">
      <c r="A185" s="12">
        <f>_xlfn.IMAGE("https://images-na.ssl-images-amazon.com/images/I/81fpVjndH2L.jpg")</f>
        <v/>
      </c>
      <c r="B185" s="105" t="inlineStr">
        <is>
          <t>Shilucheng</t>
        </is>
      </c>
      <c r="C185" s="39" t="inlineStr">
        <is>
          <t>Shilucheng 4 Piece King Sheet Sets, Cooling Sheets, Dark Grey</t>
        </is>
      </c>
      <c r="D185" s="105" t="inlineStr">
        <is>
          <t>Untiered</t>
        </is>
      </c>
      <c r="E185" s="127" t="inlineStr">
        <is>
          <t>Material not verified</t>
        </is>
      </c>
      <c r="F185" s="105" t="n"/>
      <c r="G185" s="39" t="inlineStr">
        <is>
          <t>Sheet set like ours, but the material is not stated (material not stated on the page or in the title); verify before treating as direct.</t>
        </is>
      </c>
      <c r="H185" s="107" t="inlineStr">
        <is>
          <t>B098JT1RF2</t>
        </is>
      </c>
      <c r="I185" s="107" t="inlineStr">
        <is>
          <t>B098JT1RF2</t>
        </is>
      </c>
      <c r="J185" s="105" t="inlineStr">
        <is>
          <t>King</t>
        </is>
      </c>
      <c r="K185" s="105" t="inlineStr">
        <is>
          <t>Grey</t>
        </is>
      </c>
      <c r="L185" s="108" t="n">
        <v>100</v>
      </c>
      <c r="M185" s="39" t="inlineStr">
        <is>
          <t>B0FWY1TGFK (65%), B098JT1RF2 (23%)</t>
        </is>
      </c>
      <c r="N185" s="109" t="n">
        <v>37.9</v>
      </c>
      <c r="O185" s="109" t="n"/>
      <c r="P185" s="110">
        <f>IF(AND(ISNUMBER(O185),ISNUMBER(N185),N(N185)&gt;0),O185/N185-1,"")</f>
        <v/>
      </c>
      <c r="Q185" s="111">
        <f>IF(P185="","No List Price",IF(P185&lt;=0,"At/below price",IF(P185&lt;=0.12,"&lt;=12% STR zone",IF(P185&lt;=0.25,"12-25%","&gt;25% over"))))</f>
        <v/>
      </c>
      <c r="R185" s="109" t="n">
        <v>99.98999999999999</v>
      </c>
      <c r="S185" s="112">
        <f>IF(AND(ISNUMBER(N185),ISNUMBER(R185),N(R185)&gt;0),N185/R185-1,"")</f>
        <v/>
      </c>
      <c r="T185" s="39" t="inlineStr">
        <is>
          <t>Same size (King). Ours live: catalog price, 2026-10-13; 15 children</t>
        </is>
      </c>
      <c r="U185" s="108" t="n">
        <v>9187</v>
      </c>
      <c r="V185" s="108" t="n">
        <v>18</v>
      </c>
      <c r="W185" s="113">
        <f>IF(AND(ISNUMBER(N185),ISNUMBER(V185)),N185*V185*52/12,"")</f>
        <v/>
      </c>
      <c r="X185" s="114" t="n">
        <v>4.3</v>
      </c>
      <c r="Y185" s="108" t="n">
        <v>24333</v>
      </c>
      <c r="Z185" s="115" t="n">
        <v>46286</v>
      </c>
      <c r="AA185" s="115" t="n">
        <v>44379</v>
      </c>
      <c r="AB185" s="105" t="inlineStr">
        <is>
          <t>FBA</t>
        </is>
      </c>
      <c r="AC185" s="105" t="inlineStr">
        <is>
          <t>CN</t>
        </is>
      </c>
      <c r="AD185" s="108" t="n">
        <v>23320</v>
      </c>
      <c r="AE185" s="108" t="n">
        <v>859</v>
      </c>
      <c r="AF185" s="116" t="n">
        <v>0.6141093996569467</v>
      </c>
      <c r="AG185" s="116" t="n">
        <v>0.3858907375643228</v>
      </c>
      <c r="AH185" s="39" t="inlineStr">
        <is>
          <t>bamboo sheets</t>
        </is>
      </c>
      <c r="AI185" s="116" t="n">
        <v>0.5330188679245284</v>
      </c>
      <c r="AJ185" s="116" t="n"/>
      <c r="AK185" s="116" t="n"/>
      <c r="AL185" s="116" t="n">
        <v>0.006989708404802744</v>
      </c>
      <c r="AM185" s="108" t="n">
        <v>600</v>
      </c>
      <c r="AN185" s="108" t="n">
        <v>368</v>
      </c>
      <c r="AO185" s="108" t="n">
        <v>208</v>
      </c>
      <c r="AP185" s="108" t="n">
        <v>259</v>
      </c>
      <c r="AQ185" s="108" t="n">
        <v>176</v>
      </c>
      <c r="AR185" s="108" t="n">
        <v>37</v>
      </c>
      <c r="AS185" s="117" t="n"/>
      <c r="AT185" s="112" t="n">
        <v>-0.9551569506726457</v>
      </c>
      <c r="AU185" s="118" t="inlineStr">
        <is>
          <t>N</t>
        </is>
      </c>
      <c r="AV185" s="118" t="inlineStr">
        <is>
          <t>none</t>
        </is>
      </c>
      <c r="AW185" s="124" t="n"/>
      <c r="AX185" s="119" t="n">
        <v>37.9</v>
      </c>
      <c r="AY185" s="118" t="inlineStr">
        <is>
          <t>coupon 15%</t>
        </is>
      </c>
      <c r="AZ185" s="118" t="inlineStr">
        <is>
          <t>Y</t>
        </is>
      </c>
      <c r="BA185" s="118" t="inlineStr">
        <is>
          <t>2026-10-13 12:11:29</t>
        </is>
      </c>
      <c r="BB185" s="120" t="inlineStr">
        <is>
          <t>Coupon only</t>
        </is>
      </c>
      <c r="BC185" s="120" t="inlineStr">
        <is>
          <t>11-05 to 12-05</t>
        </is>
      </c>
      <c r="BD185" s="121" t="n">
        <v>37.9</v>
      </c>
      <c r="BE185" s="121" t="n">
        <v>30.32</v>
      </c>
      <c r="BF185" s="110">
        <f>IF(AND(ISNUMBER(BD185),ISNUMBER(BE185),N(BD185)&gt;0),1-BE185/BD185,"")</f>
        <v/>
      </c>
      <c r="BG185" s="122" t="n">
        <v>4668</v>
      </c>
      <c r="BH185" s="122" t="n">
        <v>3277</v>
      </c>
      <c r="BI185" s="123">
        <f>IF(AND(ISNUMBER(BG185),ISNUMBER(BH185),N(BH185)&gt;0),BG185/BH185,"")</f>
        <v/>
      </c>
      <c r="BJ185" s="120" t="inlineStr">
        <is>
          <t>N</t>
        </is>
      </c>
      <c r="BK185" s="120" t="inlineStr">
        <is>
          <t>Coupon 15%; List Price $37.90</t>
        </is>
      </c>
    </row>
    <row r="186" ht="62" customHeight="1">
      <c r="A186" s="12">
        <f>_xlfn.IMAGE("https://m.media-amazon.com/images/I/71vDRpdS5DL._AC_SL1500_.jpg")</f>
        <v/>
      </c>
      <c r="B186" s="105" t="inlineStr">
        <is>
          <t>Pillcase</t>
        </is>
      </c>
      <c r="C186" s="39" t="inlineStr">
        <is>
          <t>100% Real Bamboo Viscose &amp; Lyocell Tencel Sheets Set Queen Size | Breathable &amp; C</t>
        </is>
      </c>
      <c r="D186" s="105" t="inlineStr">
        <is>
          <t>Beatable</t>
        </is>
      </c>
      <c r="E186" s="128" t="inlineStr">
        <is>
          <t>Alternative material</t>
        </is>
      </c>
      <c r="F186" s="105" t="inlineStr">
        <is>
          <t>Microfiber / polyester</t>
        </is>
      </c>
      <c r="G186" s="39" t="inlineStr">
        <is>
          <t>Sheet set in Microfiber / polyester (product page material: Microfiber); ours is Bamboo viscose (our listing: viscose from bamboo). Shopper may cross-shop, but not like-for-like.</t>
        </is>
      </c>
      <c r="H186" s="107" t="inlineStr">
        <is>
          <t>B0H1GGHHVN</t>
        </is>
      </c>
      <c r="I186" s="107" t="inlineStr">
        <is>
          <t>B0HFZQRXXQ</t>
        </is>
      </c>
      <c r="J186" s="105" t="inlineStr">
        <is>
          <t>Queen</t>
        </is>
      </c>
      <c r="K186" s="105" t="inlineStr">
        <is>
          <t>French Blue</t>
        </is>
      </c>
      <c r="L186" s="108" t="n">
        <v>20</v>
      </c>
      <c r="M186" s="39" t="inlineStr">
        <is>
          <t>B0H9K6WK34 (27%), B0H1GVML4Z (24%), B0HFXGSDF1 (22%), B0HBX793L8 (12%)</t>
        </is>
      </c>
      <c r="N186" s="109" t="n">
        <v>79</v>
      </c>
      <c r="O186" s="109" t="n">
        <v>109</v>
      </c>
      <c r="P186" s="110">
        <f>IF(AND(ISNUMBER(O186),ISNUMBER(N186),N(N186)&gt;0),O186/N186-1,"")</f>
        <v/>
      </c>
      <c r="Q186" s="111">
        <f>IF(P186="","No List Price",IF(P186&lt;=0,"At/below price",IF(P186&lt;=0.12,"&lt;=12% STR zone",IF(P186&lt;=0.25,"12-25%","&gt;25% over"))))</f>
        <v/>
      </c>
      <c r="R186" s="109" t="n">
        <v>94.98999999999999</v>
      </c>
      <c r="S186" s="112">
        <f>IF(AND(ISNUMBER(N186),ISNUMBER(R186),N(R186)&gt;0),N186/R186-1,"")</f>
        <v/>
      </c>
      <c r="T186" s="39" t="inlineStr">
        <is>
          <t>Same size (Queen). Ours live: catalog price, 2026-10-13; 15 children</t>
        </is>
      </c>
      <c r="U186" s="108" t="n">
        <v>28003</v>
      </c>
      <c r="V186" s="108" t="n">
        <v>35</v>
      </c>
      <c r="W186" s="113">
        <f>IF(AND(ISNUMBER(N186),ISNUMBER(V186)),N186*V186*52/12,"")</f>
        <v/>
      </c>
      <c r="X186" s="114" t="n">
        <v>4.8</v>
      </c>
      <c r="Y186" s="108" t="n">
        <v>279</v>
      </c>
      <c r="Z186" s="115" t="n">
        <v>46307</v>
      </c>
      <c r="AA186" s="115" t="n"/>
      <c r="AB186" s="105" t="n"/>
      <c r="AC186" s="105" t="n"/>
      <c r="AD186" s="108" t="n">
        <v>216953</v>
      </c>
      <c r="AE186" s="108" t="n">
        <v>1218</v>
      </c>
      <c r="AF186" s="116" t="n">
        <v>0.9703615419007803</v>
      </c>
      <c r="AG186" s="116" t="n">
        <v>0.02963845809921965</v>
      </c>
      <c r="AH186" s="39" t="inlineStr">
        <is>
          <t>king size sheets set</t>
        </is>
      </c>
      <c r="AI186" s="116" t="n">
        <v>0.1820394278945209</v>
      </c>
      <c r="AJ186" s="116" t="n"/>
      <c r="AK186" s="116" t="n"/>
      <c r="AL186" s="116" t="n">
        <v>0.01302125345120833</v>
      </c>
      <c r="AM186" s="108" t="n">
        <v>879</v>
      </c>
      <c r="AN186" s="108" t="n">
        <v>316</v>
      </c>
      <c r="AO186" s="108" t="n">
        <v>488</v>
      </c>
      <c r="AP186" s="108" t="n">
        <v>339</v>
      </c>
      <c r="AQ186" s="108" t="n">
        <v>8</v>
      </c>
      <c r="AR186" s="108" t="n">
        <v>3</v>
      </c>
      <c r="AS186" s="117" t="n"/>
      <c r="AT186" s="112" t="n"/>
      <c r="AU186" s="118" t="inlineStr">
        <is>
          <t>Y</t>
        </is>
      </c>
      <c r="AV186" s="118" t="inlineStr">
        <is>
          <t>List Price</t>
        </is>
      </c>
      <c r="AW186" s="119" t="n">
        <v>109</v>
      </c>
      <c r="AX186" s="119" t="n">
        <v>79</v>
      </c>
      <c r="AY186" s="118" t="inlineStr">
        <is>
          <t>none</t>
        </is>
      </c>
      <c r="AZ186" s="118" t="inlineStr">
        <is>
          <t>Y</t>
        </is>
      </c>
      <c r="BA186" s="118" t="inlineStr">
        <is>
          <t>2026-10-13 12:11:07</t>
        </is>
      </c>
      <c r="BB186" s="120" t="inlineStr">
        <is>
          <t>Not live in 2025</t>
        </is>
      </c>
      <c r="BC186" s="125" t="n"/>
      <c r="BD186" s="124" t="n"/>
      <c r="BE186" s="124" t="n"/>
      <c r="BF186" s="110">
        <f>IF(AND(ISNUMBER(BD186),ISNUMBER(BE186),N(BD186)&gt;0),1-BE186/BD186,"")</f>
        <v/>
      </c>
      <c r="BG186" s="126" t="n"/>
      <c r="BH186" s="126" t="n"/>
      <c r="BI186" s="123">
        <f>IF(AND(ISNUMBER(BG186),ISNUMBER(BH186),N(BH186)&gt;0),BG186/BH186,"")</f>
        <v/>
      </c>
      <c r="BJ186" s="125" t="n"/>
      <c r="BK186" s="125" t="n"/>
    </row>
    <row r="187" ht="62" customHeight="1">
      <c r="A187" s="12">
        <f>_xlfn.IMAGE("https://m.media-amazon.com/images/I/71F9T6wfwRL._AC_SL1500_.jpg")</f>
        <v/>
      </c>
      <c r="B187" s="105" t="inlineStr">
        <is>
          <t>Pillcase</t>
        </is>
      </c>
      <c r="C187" s="39" t="inlineStr">
        <is>
          <t>100% Real Bamboo Viscose &amp; Lyocell Tencel Sheets Set Queen Size | Breathable &amp; C</t>
        </is>
      </c>
      <c r="D187" s="105" t="inlineStr">
        <is>
          <t>Beatable</t>
        </is>
      </c>
      <c r="E187" s="128" t="inlineStr">
        <is>
          <t>Alternative material</t>
        </is>
      </c>
      <c r="F187" s="105" t="inlineStr">
        <is>
          <t>Microfiber / polyester</t>
        </is>
      </c>
      <c r="G187" s="39" t="inlineStr">
        <is>
          <t>Sheet set in Microfiber / polyester (product page material: Microfiber); ours is Bamboo viscose (our listing: viscose from bamboo). Shopper may cross-shop, but not like-for-like.</t>
        </is>
      </c>
      <c r="H187" s="107" t="inlineStr">
        <is>
          <t>B0HK71WHZW</t>
        </is>
      </c>
      <c r="I187" s="107" t="inlineStr">
        <is>
          <t>B0H1BWY4MD</t>
        </is>
      </c>
      <c r="J187" s="105" t="inlineStr">
        <is>
          <t>Queen</t>
        </is>
      </c>
      <c r="K187" s="105" t="inlineStr">
        <is>
          <t>Charcoal</t>
        </is>
      </c>
      <c r="L187" s="108" t="n">
        <v>22</v>
      </c>
      <c r="M187" s="39" t="inlineStr">
        <is>
          <t>B0HBXCGQM1 (57%), B0HF8HHN46 (7%), B0HBXK2Y4B (5%), B0H1BWY4MD (5%), B0H28FT5DH (4%)</t>
        </is>
      </c>
      <c r="N187" s="109" t="n">
        <v>79</v>
      </c>
      <c r="O187" s="109" t="n"/>
      <c r="P187" s="110">
        <f>IF(AND(ISNUMBER(O187),ISNUMBER(N187),N(N187)&gt;0),O187/N187-1,"")</f>
        <v/>
      </c>
      <c r="Q187" s="111">
        <f>IF(P187="","No List Price",IF(P187&lt;=0,"At/below price",IF(P187&lt;=0.12,"&lt;=12% STR zone",IF(P187&lt;=0.25,"12-25%","&gt;25% over"))))</f>
        <v/>
      </c>
      <c r="R187" s="109" t="n">
        <v>94.98999999999999</v>
      </c>
      <c r="S187" s="112">
        <f>IF(AND(ISNUMBER(N187),ISNUMBER(R187),N(R187)&gt;0),N187/R187-1,"")</f>
        <v/>
      </c>
      <c r="T187" s="39" t="inlineStr">
        <is>
          <t>Same size (Queen). Ours live: catalog price, 2026-10-13; 15 children</t>
        </is>
      </c>
      <c r="U187" s="108" t="n">
        <v>38116</v>
      </c>
      <c r="V187" s="108" t="n">
        <v>18</v>
      </c>
      <c r="W187" s="113">
        <f>IF(AND(ISNUMBER(N187),ISNUMBER(V187)),N187*V187*52/12,"")</f>
        <v/>
      </c>
      <c r="X187" s="114" t="n">
        <v>4.9</v>
      </c>
      <c r="Y187" s="108" t="n">
        <v>201</v>
      </c>
      <c r="Z187" s="115" t="n">
        <v>46307</v>
      </c>
      <c r="AA187" s="115" t="n"/>
      <c r="AB187" s="105" t="n"/>
      <c r="AC187" s="105" t="n"/>
      <c r="AD187" s="108" t="n">
        <v>116001</v>
      </c>
      <c r="AE187" s="108" t="n">
        <v>1002</v>
      </c>
      <c r="AF187" s="116" t="n">
        <v>0.8987684407893036</v>
      </c>
      <c r="AG187" s="116" t="n">
        <v>0.1012329385091508</v>
      </c>
      <c r="AH187" s="39" t="inlineStr">
        <is>
          <t>bamboo sheets</t>
        </is>
      </c>
      <c r="AI187" s="116" t="n">
        <v>0.5789691468176998</v>
      </c>
      <c r="AJ187" s="116" t="n"/>
      <c r="AK187" s="116" t="n"/>
      <c r="AL187" s="116" t="n">
        <v>0.01296540547064249</v>
      </c>
      <c r="AM187" s="108" t="n">
        <v>720</v>
      </c>
      <c r="AN187" s="108" t="n">
        <v>365</v>
      </c>
      <c r="AO187" s="108" t="n">
        <v>310</v>
      </c>
      <c r="AP187" s="108" t="n">
        <v>282</v>
      </c>
      <c r="AQ187" s="108" t="n">
        <v>39</v>
      </c>
      <c r="AR187" s="108" t="n">
        <v>16</v>
      </c>
      <c r="AS187" s="117" t="n"/>
      <c r="AT187" s="112" t="n"/>
      <c r="AU187" s="118" t="inlineStr">
        <is>
          <t>Y</t>
        </is>
      </c>
      <c r="AV187" s="118" t="inlineStr">
        <is>
          <t>List Price</t>
        </is>
      </c>
      <c r="AW187" s="119" t="n">
        <v>99</v>
      </c>
      <c r="AX187" s="119" t="n">
        <v>79</v>
      </c>
      <c r="AY187" s="118" t="inlineStr">
        <is>
          <t>none</t>
        </is>
      </c>
      <c r="AZ187" s="118" t="inlineStr">
        <is>
          <t>Y</t>
        </is>
      </c>
      <c r="BA187" s="118" t="inlineStr">
        <is>
          <t>2026-10-13 12:11:10</t>
        </is>
      </c>
      <c r="BB187" s="120" t="inlineStr">
        <is>
          <t>Not live in 2025</t>
        </is>
      </c>
      <c r="BC187" s="125" t="n"/>
      <c r="BD187" s="124" t="n"/>
      <c r="BE187" s="124" t="n"/>
      <c r="BF187" s="110">
        <f>IF(AND(ISNUMBER(BD187),ISNUMBER(BE187),N(BD187)&gt;0),1-BE187/BD187,"")</f>
        <v/>
      </c>
      <c r="BG187" s="126" t="n"/>
      <c r="BH187" s="126" t="n"/>
      <c r="BI187" s="123">
        <f>IF(AND(ISNUMBER(BG187),ISNUMBER(BH187),N(BH187)&gt;0),BG187/BH187,"")</f>
        <v/>
      </c>
      <c r="BJ187" s="125" t="n"/>
      <c r="BK187" s="125" t="n"/>
    </row>
    <row r="188" ht="62" customHeight="1">
      <c r="A188" s="12">
        <f>_xlfn.IMAGE("https://m.media-amazon.com/images/I/61mi8zwd8GL._AC_SL1500_.jpg")</f>
        <v/>
      </c>
      <c r="B188" s="105" t="inlineStr">
        <is>
          <t>Pillcase</t>
        </is>
      </c>
      <c r="C188" s="39" t="inlineStr">
        <is>
          <t>Cooling Hotel Bedding Sheet Set - 4pcs Bamboo Viscose &amp; Tencel Blend, Moisture-W</t>
        </is>
      </c>
      <c r="D188" s="105" t="inlineStr">
        <is>
          <t>Beatable</t>
        </is>
      </c>
      <c r="E188" s="128" t="inlineStr">
        <is>
          <t>Alternative material</t>
        </is>
      </c>
      <c r="F188" s="105" t="inlineStr">
        <is>
          <t>Microfiber / polyester</t>
        </is>
      </c>
      <c r="G188" s="39" t="inlineStr">
        <is>
          <t>Sheet set in Microfiber / polyester (product page material: Microfiber); ours is Bamboo viscose (our listing: viscose from bamboo). Shopper may cross-shop, but not like-for-like.</t>
        </is>
      </c>
      <c r="H188" s="107" t="inlineStr">
        <is>
          <t>B0HJYG8V9Q</t>
        </is>
      </c>
      <c r="I188" s="107" t="inlineStr">
        <is>
          <t>B0HJYG8V9Q</t>
        </is>
      </c>
      <c r="J188" s="105" t="inlineStr">
        <is>
          <t>King</t>
        </is>
      </c>
      <c r="K188" s="105" t="inlineStr">
        <is>
          <t>Pearl White</t>
        </is>
      </c>
      <c r="L188" s="108" t="n"/>
      <c r="M188" s="39" t="inlineStr"/>
      <c r="N188" s="109" t="n">
        <v>79.98999999999999</v>
      </c>
      <c r="O188" s="109" t="n"/>
      <c r="P188" s="110">
        <f>IF(AND(ISNUMBER(O188),ISNUMBER(N188),N(N188)&gt;0),O188/N188-1,"")</f>
        <v/>
      </c>
      <c r="Q188" s="111">
        <f>IF(P188="","No List Price",IF(P188&lt;=0,"At/below price",IF(P188&lt;=0.12,"&lt;=12% STR zone",IF(P188&lt;=0.25,"12-25%","&gt;25% over"))))</f>
        <v/>
      </c>
      <c r="R188" s="109" t="n">
        <v>99.98999999999999</v>
      </c>
      <c r="S188" s="112">
        <f>IF(AND(ISNUMBER(N188),ISNUMBER(R188),N(R188)&gt;0),N188/R188-1,"")</f>
        <v/>
      </c>
      <c r="T188" s="39" t="inlineStr">
        <is>
          <t>Same size (King). Ours live: catalog price, 2026-10-13; 15 children</t>
        </is>
      </c>
      <c r="U188" s="108" t="n">
        <v>762451</v>
      </c>
      <c r="V188" s="108" t="n">
        <v>5</v>
      </c>
      <c r="W188" s="113">
        <f>IF(AND(ISNUMBER(N188),ISNUMBER(V188)),N188*V188*52/12,"")</f>
        <v/>
      </c>
      <c r="X188" s="114" t="n">
        <v>4</v>
      </c>
      <c r="Y188" s="108" t="n"/>
      <c r="Z188" s="115" t="n">
        <v>46307</v>
      </c>
      <c r="AA188" s="115" t="n"/>
      <c r="AB188" s="105" t="n"/>
      <c r="AC188" s="105" t="n"/>
      <c r="AD188" s="108" t="n">
        <v>57075</v>
      </c>
      <c r="AE188" s="108" t="n">
        <v>90</v>
      </c>
      <c r="AF188" s="116" t="n"/>
      <c r="AG188" s="116" t="n"/>
      <c r="AH188" s="39" t="n"/>
      <c r="AI188" s="116" t="n"/>
      <c r="AJ188" s="116" t="n"/>
      <c r="AK188" s="116" t="n"/>
      <c r="AL188" s="116" t="n"/>
      <c r="AM188" s="108" t="n"/>
      <c r="AN188" s="108" t="n"/>
      <c r="AO188" s="108" t="n"/>
      <c r="AP188" s="108" t="n"/>
      <c r="AQ188" s="108" t="n"/>
      <c r="AR188" s="108" t="n"/>
      <c r="AS188" s="117" t="n"/>
      <c r="AT188" s="112" t="n"/>
      <c r="AU188" s="118" t="inlineStr">
        <is>
          <t>N</t>
        </is>
      </c>
      <c r="AV188" s="118" t="inlineStr">
        <is>
          <t>none</t>
        </is>
      </c>
      <c r="AW188" s="124" t="n"/>
      <c r="AX188" s="124" t="n"/>
      <c r="AY188" s="118" t="inlineStr">
        <is>
          <t>none</t>
        </is>
      </c>
      <c r="AZ188" s="118" t="inlineStr">
        <is>
          <t>N</t>
        </is>
      </c>
      <c r="BA188" s="118" t="inlineStr">
        <is>
          <t>2026-10-13 12:11:13</t>
        </is>
      </c>
      <c r="BB188" s="120" t="inlineStr">
        <is>
          <t>Not live in 2025</t>
        </is>
      </c>
      <c r="BC188" s="125" t="n"/>
      <c r="BD188" s="124" t="n"/>
      <c r="BE188" s="124" t="n"/>
      <c r="BF188" s="110">
        <f>IF(AND(ISNUMBER(BD188),ISNUMBER(BE188),N(BD188)&gt;0),1-BE188/BD188,"")</f>
        <v/>
      </c>
      <c r="BG188" s="126" t="n"/>
      <c r="BH188" s="126" t="n"/>
      <c r="BI188" s="123">
        <f>IF(AND(ISNUMBER(BG188),ISNUMBER(BH188),N(BH188)&gt;0),BG188/BH188,"")</f>
        <v/>
      </c>
      <c r="BJ188" s="125" t="n"/>
      <c r="BK188" s="125" t="n"/>
    </row>
    <row r="189" ht="62" customHeight="1">
      <c r="A189" s="12">
        <f>_xlfn.IMAGE("https://images-na.ssl-images-amazon.com/images/I/619BLF7gvdL.jpg")</f>
        <v/>
      </c>
      <c r="B189" s="105" t="inlineStr">
        <is>
          <t>Pillcase</t>
        </is>
      </c>
      <c r="C189" s="39" t="inlineStr">
        <is>
          <t>Pillcase Luxury Organic Tencel &amp; Viscose from Bamboo Cooling Sheet Set,Silky Soft Lyocell Sheets with Deep Pocket, Hypoallergenic &amp; Breathable Bedding with Pillowcases (White, King)</t>
        </is>
      </c>
      <c r="D189" s="105" t="inlineStr">
        <is>
          <t>Beatable</t>
        </is>
      </c>
      <c r="E189" s="128" t="inlineStr">
        <is>
          <t>Alternative material</t>
        </is>
      </c>
      <c r="F189" s="105" t="inlineStr">
        <is>
          <t>Lyocell / eucalyptus</t>
        </is>
      </c>
      <c r="G189" s="39" t="inlineStr">
        <is>
          <t>Sheet set in Lyocell / eucalyptus (title: Pillcase Luxury Organic Tencel &amp; Viscose from Bamboo Cooling); ours is Bamboo viscose (our listing: viscose from bamboo). Shopper may cross-shop, but not like-for-like.</t>
        </is>
      </c>
      <c r="H189" s="105" t="n"/>
      <c r="I189" s="107" t="inlineStr">
        <is>
          <t>B0GZ243WW5</t>
        </is>
      </c>
      <c r="J189" s="105" t="inlineStr">
        <is>
          <t>King</t>
        </is>
      </c>
      <c r="K189" s="105" t="inlineStr">
        <is>
          <t>White</t>
        </is>
      </c>
      <c r="L189" s="108" t="n">
        <v>1</v>
      </c>
      <c r="M189" s="39" t="inlineStr"/>
      <c r="N189" s="109" t="n">
        <v>99</v>
      </c>
      <c r="O189" s="109" t="n"/>
      <c r="P189" s="110">
        <f>IF(AND(ISNUMBER(O189),ISNUMBER(N189),N(N189)&gt;0),O189/N189-1,"")</f>
        <v/>
      </c>
      <c r="Q189" s="111">
        <f>IF(P189="","No List Price",IF(P189&lt;=0,"At/below price",IF(P189&lt;=0.12,"&lt;=12% STR zone",IF(P189&lt;=0.25,"12-25%","&gt;25% over"))))</f>
        <v/>
      </c>
      <c r="R189" s="109" t="n">
        <v>99.98999999999999</v>
      </c>
      <c r="S189" s="112">
        <f>IF(AND(ISNUMBER(N189),ISNUMBER(R189),N(R189)&gt;0),N189/R189-1,"")</f>
        <v/>
      </c>
      <c r="T189" s="39" t="inlineStr">
        <is>
          <t>Same size (King). Ours live: catalog price, 2026-10-13; 15 children</t>
        </is>
      </c>
      <c r="U189" s="108" t="n">
        <v>3440303</v>
      </c>
      <c r="V189" s="108" t="n"/>
      <c r="W189" s="113">
        <f>IF(AND(ISNUMBER(N189),ISNUMBER(V189)),N189*V189*52/12,"")</f>
        <v/>
      </c>
      <c r="X189" s="114" t="n">
        <v>4.9</v>
      </c>
      <c r="Y189" s="108" t="n">
        <v>201</v>
      </c>
      <c r="Z189" s="115" t="n">
        <v>46306</v>
      </c>
      <c r="AA189" s="115" t="n">
        <v>46143</v>
      </c>
      <c r="AB189" s="105" t="inlineStr">
        <is>
          <t>FBM</t>
        </is>
      </c>
      <c r="AC189" s="105" t="inlineStr">
        <is>
          <t>N/A</t>
        </is>
      </c>
      <c r="AD189" s="108" t="n"/>
      <c r="AE189" s="108" t="n"/>
      <c r="AF189" s="116" t="n"/>
      <c r="AG189" s="116" t="n"/>
      <c r="AH189" s="39" t="n"/>
      <c r="AI189" s="116" t="n"/>
      <c r="AJ189" s="116" t="n"/>
      <c r="AK189" s="116" t="n"/>
      <c r="AL189" s="116" t="n"/>
      <c r="AM189" s="108" t="n"/>
      <c r="AN189" s="108" t="n"/>
      <c r="AO189" s="108" t="n"/>
      <c r="AP189" s="108" t="n"/>
      <c r="AQ189" s="108" t="n"/>
      <c r="AR189" s="108" t="n"/>
      <c r="AS189" s="117" t="n"/>
      <c r="AT189" s="112" t="n"/>
      <c r="AU189" s="125" t="n"/>
      <c r="AV189" s="125" t="n"/>
      <c r="AW189" s="124" t="n"/>
      <c r="AX189" s="124" t="n"/>
      <c r="AY189" s="125" t="n"/>
      <c r="AZ189" s="125" t="n"/>
      <c r="BA189" s="125" t="n"/>
      <c r="BB189" s="120" t="inlineStr">
        <is>
          <t>Not live in 2025</t>
        </is>
      </c>
      <c r="BC189" s="125" t="n"/>
      <c r="BD189" s="124" t="n"/>
      <c r="BE189" s="124" t="n"/>
      <c r="BF189" s="110">
        <f>IF(AND(ISNUMBER(BD189),ISNUMBER(BE189),N(BD189)&gt;0),1-BE189/BD189,"")</f>
        <v/>
      </c>
      <c r="BG189" s="126" t="n"/>
      <c r="BH189" s="126" t="n"/>
      <c r="BI189" s="123">
        <f>IF(AND(ISNUMBER(BG189),ISNUMBER(BH189),N(BH189)&gt;0),BG189/BH189,"")</f>
        <v/>
      </c>
      <c r="BJ189" s="125" t="n"/>
      <c r="BK189" s="125" t="n"/>
    </row>
    <row r="190" ht="62" customHeight="1">
      <c r="A190" s="12">
        <f>_xlfn.IMAGE("https://m.media-amazon.com/images/I/71GPOg6dRqL._AC_SL1500_.jpg")</f>
        <v/>
      </c>
      <c r="B190" s="105" t="inlineStr">
        <is>
          <t>Amazon Basics</t>
        </is>
      </c>
      <c r="C190" s="39" t="inlineStr">
        <is>
          <t>Amazon Basics Bamboo Viscose Sheet Set, 4-Piece, Queen, White</t>
        </is>
      </c>
      <c r="D190" s="105" t="inlineStr">
        <is>
          <t>Untiered</t>
        </is>
      </c>
      <c r="E190" s="128" t="inlineStr">
        <is>
          <t>Alternative material</t>
        </is>
      </c>
      <c r="F190" s="105" t="inlineStr">
        <is>
          <t>Microfiber / polyester</t>
        </is>
      </c>
      <c r="G190" s="39" t="inlineStr">
        <is>
          <t>Sheet set in Microfiber / polyester (product page material: Polyester Blend); ours is Bamboo viscose (our listing: viscose from bamboo). Shopper may cross-shop, but not like-for-like.</t>
        </is>
      </c>
      <c r="H190" s="107" t="inlineStr">
        <is>
          <t>B0GFHP5V9H</t>
        </is>
      </c>
      <c r="I190" s="107" t="inlineStr">
        <is>
          <t>B0GFHGS4DP</t>
        </is>
      </c>
      <c r="J190" s="105" t="inlineStr">
        <is>
          <t>Queen</t>
        </is>
      </c>
      <c r="K190" s="105" t="inlineStr">
        <is>
          <t>White</t>
        </is>
      </c>
      <c r="L190" s="108" t="n"/>
      <c r="M190" s="39" t="inlineStr"/>
      <c r="N190" s="109" t="n">
        <v>29.99</v>
      </c>
      <c r="O190" s="109" t="n"/>
      <c r="P190" s="110">
        <f>IF(AND(ISNUMBER(O190),ISNUMBER(N190),N(N190)&gt;0),O190/N190-1,"")</f>
        <v/>
      </c>
      <c r="Q190" s="111">
        <f>IF(P190="","No List Price",IF(P190&lt;=0,"At/below price",IF(P190&lt;=0.12,"&lt;=12% STR zone",IF(P190&lt;=0.25,"12-25%","&gt;25% over"))))</f>
        <v/>
      </c>
      <c r="R190" s="109" t="n">
        <v>94.98999999999999</v>
      </c>
      <c r="S190" s="112">
        <f>IF(AND(ISNUMBER(N190),ISNUMBER(R190),N(R190)&gt;0),N190/R190-1,"")</f>
        <v/>
      </c>
      <c r="T190" s="39" t="inlineStr">
        <is>
          <t>Same size (Queen). Ours live: catalog price, 2026-10-13; 15 children</t>
        </is>
      </c>
      <c r="U190" s="108" t="n">
        <v>21965</v>
      </c>
      <c r="V190" s="108" t="n">
        <v>173</v>
      </c>
      <c r="W190" s="113">
        <f>IF(AND(ISNUMBER(N190),ISNUMBER(V190)),N190*V190*52/12,"")</f>
        <v/>
      </c>
      <c r="X190" s="114" t="n">
        <v>4</v>
      </c>
      <c r="Y190" s="108" t="n">
        <v>36</v>
      </c>
      <c r="Z190" s="115" t="n">
        <v>46307</v>
      </c>
      <c r="AA190" s="115" t="n"/>
      <c r="AB190" s="105" t="n"/>
      <c r="AC190" s="105" t="n"/>
      <c r="AD190" s="108" t="n"/>
      <c r="AE190" s="108" t="n"/>
      <c r="AF190" s="116" t="n"/>
      <c r="AG190" s="116" t="n"/>
      <c r="AH190" s="39" t="n"/>
      <c r="AI190" s="116" t="n"/>
      <c r="AJ190" s="116" t="n"/>
      <c r="AK190" s="116" t="n"/>
      <c r="AL190" s="116" t="n"/>
      <c r="AM190" s="108" t="n"/>
      <c r="AN190" s="108" t="n"/>
      <c r="AO190" s="108" t="n"/>
      <c r="AP190" s="108" t="n"/>
      <c r="AQ190" s="108" t="n"/>
      <c r="AR190" s="108" t="n"/>
      <c r="AS190" s="117" t="n"/>
      <c r="AT190" s="112" t="n"/>
      <c r="AU190" s="118" t="inlineStr">
        <is>
          <t>N</t>
        </is>
      </c>
      <c r="AV190" s="118" t="inlineStr">
        <is>
          <t>none</t>
        </is>
      </c>
      <c r="AW190" s="124" t="n"/>
      <c r="AX190" s="119" t="n">
        <v>29.99</v>
      </c>
      <c r="AY190" s="118" t="inlineStr">
        <is>
          <t>none</t>
        </is>
      </c>
      <c r="AZ190" s="118" t="inlineStr">
        <is>
          <t>Y</t>
        </is>
      </c>
      <c r="BA190" s="118" t="inlineStr">
        <is>
          <t>2026-10-13 23:35:34</t>
        </is>
      </c>
      <c r="BB190" s="120" t="inlineStr">
        <is>
          <t>Not live in 2025</t>
        </is>
      </c>
      <c r="BC190" s="125" t="n"/>
      <c r="BD190" s="124" t="n"/>
      <c r="BE190" s="124" t="n"/>
      <c r="BF190" s="110">
        <f>IF(AND(ISNUMBER(BD190),ISNUMBER(BE190),N(BD190)&gt;0),1-BE190/BD190,"")</f>
        <v/>
      </c>
      <c r="BG190" s="126" t="n"/>
      <c r="BH190" s="126" t="n"/>
      <c r="BI190" s="123">
        <f>IF(AND(ISNUMBER(BG190),ISNUMBER(BH190),N(BH190)&gt;0),BG190/BH190,"")</f>
        <v/>
      </c>
      <c r="BJ190" s="125" t="n"/>
      <c r="BK190" s="125" t="n"/>
    </row>
    <row r="191"/>
    <row r="192" ht="22" customHeight="1">
      <c r="A192" s="65" t="inlineStr">
        <is>
          <t>5 ▼</t>
        </is>
      </c>
      <c r="B192" s="66" t="inlineStr">
        <is>
          <t>WHAT THIS MEANS FOR BFCM</t>
        </is>
      </c>
      <c r="C192" s="67" t="n"/>
      <c r="D192" s="67" t="n"/>
      <c r="E192" s="67" t="n"/>
      <c r="F192" s="67" t="n"/>
      <c r="G192" s="67" t="n"/>
      <c r="H192" s="67" t="n"/>
      <c r="I192" s="67" t="n"/>
      <c r="J192" s="67" t="n"/>
      <c r="K192" s="67" t="n"/>
      <c r="L192" s="67" t="n"/>
      <c r="M192" s="67" t="n"/>
      <c r="N192" s="67" t="n"/>
      <c r="O192" s="67" t="n"/>
      <c r="P192" s="67" t="n"/>
      <c r="Q192" s="67" t="n"/>
      <c r="R192" s="67" t="n"/>
      <c r="S192" s="67" t="n"/>
      <c r="T192" s="67" t="n"/>
      <c r="U192" s="67" t="n"/>
      <c r="V192" s="67" t="n"/>
      <c r="W192" s="67" t="n"/>
      <c r="X192" s="67" t="n"/>
      <c r="Y192" s="67" t="n"/>
      <c r="Z192" s="67" t="n"/>
      <c r="AA192" s="67" t="n"/>
      <c r="AB192" s="67" t="n"/>
      <c r="AC192" s="67" t="n"/>
      <c r="AD192" s="67" t="n"/>
      <c r="AE192" s="67" t="n"/>
      <c r="AF192" s="67" t="n"/>
      <c r="AG192" s="67" t="n"/>
      <c r="AH192" s="67" t="n"/>
      <c r="AI192" s="67" t="n"/>
      <c r="AJ192" s="67" t="n"/>
      <c r="AK192" s="67" t="n"/>
      <c r="AL192" s="67" t="n"/>
      <c r="AM192" s="67" t="n"/>
      <c r="AN192" s="67" t="n"/>
      <c r="AO192" s="67" t="n"/>
      <c r="AP192" s="67" t="n"/>
      <c r="AQ192" s="67" t="n"/>
      <c r="AR192" s="67" t="n"/>
      <c r="AS192" s="67" t="n"/>
      <c r="AT192" s="67" t="n"/>
      <c r="AU192" s="67" t="n"/>
      <c r="AV192" s="67" t="n"/>
      <c r="AW192" s="67" t="n"/>
      <c r="AX192" s="67" t="n"/>
      <c r="AY192" s="67" t="n"/>
      <c r="AZ192" s="67" t="n"/>
      <c r="BA192" s="67" t="n"/>
      <c r="BB192" s="67" t="n"/>
      <c r="BC192" s="67" t="n"/>
      <c r="BD192" s="67" t="n"/>
      <c r="BE192" s="67" t="n"/>
      <c r="BF192" s="67" t="n"/>
      <c r="BG192" s="67" t="n"/>
      <c r="BH192" s="67" t="n"/>
      <c r="BI192" s="67" t="n"/>
      <c r="BJ192" s="67" t="n"/>
      <c r="BK192" s="67" t="n"/>
    </row>
    <row r="193" ht="30" customHeight="1">
      <c r="A193" s="129" t="inlineStr">
        <is>
          <t>• Who sells most: Love's cabin ~924/wk at $37.99 (List $44.99, +18%); Bedsure ~809/wk at $62.99 (List $69.99, +11%); Pure Bamboo ~809/wk at $109.99; Hotel Sheets Direct ~347/wk at $79.99; KRIMANO ~185/wk at $79.99. Tracked rivals ~5,455 units/wk; we sell ~476/wk (8.0% of the tracked set).</t>
        </is>
      </c>
    </row>
    <row r="194" ht="18" customHeight="1">
      <c r="A194" s="129" t="inlineStr">
        <is>
          <t>• Strikethrough: 14 of 61 rivals set a List Price above price; 2 within 12%: Bedsure +11%, AiAngu +7%.</t>
        </is>
      </c>
    </row>
    <row r="195" ht="30" customHeight="1">
      <c r="A195" s="129" t="inlineStr">
        <is>
          <t>• Price: 43 of 61 rivals sit below our price today (same size where the title states one). Cheapest strong rivals: Love's cabin $37.99, BAMPURE $37.99, DOZ by SIJO $55.00, SONORO KATE $59.99.</t>
        </is>
      </c>
    </row>
    <row r="196" ht="30" customHeight="1">
      <c r="A196" s="129" t="inlineStr">
        <is>
          <t>• Strikethrough on the page today (Oct 13 check): 18 of 55 checked rivals show one: Bedsure List Price $69.99 vs $62.99 (+11%), Love's cabin List Price $44.99 vs $37.99 (+18%), TRUE BAMBOO List Price $129.99 vs $79.99 (+63%), Bedsure List Price $119.99 vs $89.99 (+33%), BAMPURE List Price $99.99 vs $67.98 (+47%) with deal, BEDELITE List Price $99.89 vs $84.98 (+18%) with deal.</t>
        </is>
      </c>
    </row>
    <row r="197" ht="30" customHeight="1">
      <c r="A197" s="129" t="inlineStr">
        <is>
          <t>• Search: we lose most shared keywords to Bedsure (we win 174, lose 1559), Pure Bamboo (we win 155, lose 1506), Love's cabin (we win 267, lose 1198). Biggest ad gaps (they advertise where we don't or harder): Pure Bamboo 3,237 + 208 KWs, Bedsure 2,778 + 204 KWs, Bedsure 1,856 + 331 KWs.</t>
        </is>
      </c>
    </row>
    <row r="198" ht="30" customHeight="1">
      <c r="A198" s="129" t="inlineStr">
        <is>
          <t>• Brand ads: Bedsure (SB 94%, SBV 65%), Pure Bamboo (SB 82%, SBV 88%), Bedsure (SB 98%, SBV 53%), BC BELLA COTERIE (SB 57%, SBV 56%), GOKOTTA (SB 8%, SBV 85%) hold Sponsored Brands / video on most of their traffic - the plan has our SB, SBV and display live by Nov 1.</t>
        </is>
      </c>
    </row>
    <row r="199" ht="18" customHeight="1">
      <c r="A199" s="129" t="inlineStr">
        <is>
          <t>• Our BFCM 2025: 2.49x daily sales in BFCM week vs the 30 days before; TACoS 6.4% vs 7.4% before; December 1.36x.</t>
        </is>
      </c>
    </row>
    <row r="200" ht="18" customHeight="1">
      <c r="A200" s="129" t="inlineStr">
        <is>
          <t>• Prime Day 2026: our organic visibility 1.44x vs rivals' median 1.25x (n=14) - we held or out-gained rivals.</t>
        </is>
      </c>
    </row>
    <row r="201" ht="30" customHeight="1">
      <c r="A201" s="129" t="inlineStr">
        <is>
          <t>• BFCM 2025, 41 rivals with price history history: Prime Exclusive Discount 18, None 11, Price cut only 7, Coupon only 5. Median depth vs their Nov 1-19 price 16%; median BSR lift 1.18x. 10 raised their Buy Box in BFCM week, so their deal looked deeper than it was.</t>
        </is>
      </c>
    </row>
    <row r="202" ht="18" customHeight="1">
      <c r="A202" s="129" t="inlineStr">
        <is>
          <t>• 1 rival not in the price history pulls yet (yellow BFCM 2025 columns) - remaining P2 batches,.</t>
        </is>
      </c>
    </row>
  </sheetData>
  <autoFilter ref="B129:BK190"/>
  <mergeCells count="70">
    <mergeCell ref="BB128:BK128"/>
    <mergeCell ref="A108:C108"/>
    <mergeCell ref="A201:BK201"/>
    <mergeCell ref="N128:Z128"/>
    <mergeCell ref="L5:Q5"/>
    <mergeCell ref="A123:BK123"/>
    <mergeCell ref="Q11:T11"/>
    <mergeCell ref="L8:Q8"/>
    <mergeCell ref="A197:BK197"/>
    <mergeCell ref="A119:BK119"/>
    <mergeCell ref="L4:Q4"/>
    <mergeCell ref="D7:I7"/>
    <mergeCell ref="A13:D13"/>
    <mergeCell ref="A113:C113"/>
    <mergeCell ref="I13:L13"/>
    <mergeCell ref="A124:BK124"/>
    <mergeCell ref="AA128:AC128"/>
    <mergeCell ref="A196:BK196"/>
    <mergeCell ref="D4:I4"/>
    <mergeCell ref="L10:Q10"/>
    <mergeCell ref="E12:H12"/>
    <mergeCell ref="Q13:T13"/>
    <mergeCell ref="A128:K128"/>
    <mergeCell ref="D9:I9"/>
    <mergeCell ref="A193:BK193"/>
    <mergeCell ref="U12:X12"/>
    <mergeCell ref="L9:Q9"/>
    <mergeCell ref="Q12:T12"/>
    <mergeCell ref="A106:C106"/>
    <mergeCell ref="A11:D11"/>
    <mergeCell ref="A109:C109"/>
    <mergeCell ref="A118:BK118"/>
    <mergeCell ref="A120:BK120"/>
    <mergeCell ref="I11:L11"/>
    <mergeCell ref="AD128:AT128"/>
    <mergeCell ref="D8:I8"/>
    <mergeCell ref="L6:Q6"/>
    <mergeCell ref="A4:B9"/>
    <mergeCell ref="A198:BK198"/>
    <mergeCell ref="T6:Y6"/>
    <mergeCell ref="A112:C112"/>
    <mergeCell ref="A195:BK195"/>
    <mergeCell ref="AU128:BA128"/>
    <mergeCell ref="D5:I5"/>
    <mergeCell ref="A111:C111"/>
    <mergeCell ref="A194:BK194"/>
    <mergeCell ref="M11:P11"/>
    <mergeCell ref="A116:BK116"/>
    <mergeCell ref="U11:X11"/>
    <mergeCell ref="A114:C114"/>
    <mergeCell ref="E13:H13"/>
    <mergeCell ref="A122:BK122"/>
    <mergeCell ref="D10:I10"/>
    <mergeCell ref="L7:Q7"/>
    <mergeCell ref="T5:Y5"/>
    <mergeCell ref="A107:C107"/>
    <mergeCell ref="A200:BK200"/>
    <mergeCell ref="A12:D12"/>
    <mergeCell ref="M13:P13"/>
    <mergeCell ref="A121:BK121"/>
    <mergeCell ref="I12:L12"/>
    <mergeCell ref="U13:X13"/>
    <mergeCell ref="A115:BK115"/>
    <mergeCell ref="A199:BK199"/>
    <mergeCell ref="A202:BK202"/>
    <mergeCell ref="M12:P12"/>
    <mergeCell ref="T4:Y4"/>
    <mergeCell ref="A117:BK117"/>
    <mergeCell ref="D6:I6"/>
    <mergeCell ref="E11:H11"/>
  </mergeCells>
  <conditionalFormatting sqref="Q130:Q190">
    <cfRule type="expression" priority="1" dxfId="1">
      <formula>Q130="&lt;=12% STR zone"</formula>
    </cfRule>
  </conditionalFormatting>
  <conditionalFormatting sqref="Z130:Z190">
    <cfRule type="expression" priority="2" dxfId="0">
      <formula>AND(ISNUMBER(Z130),Z130&lt;DATE(2026,10,6))</formula>
    </cfRule>
  </conditionalFormatting>
  <conditionalFormatting sqref="T130:T190">
    <cfRule type="expression" priority="3" dxfId="0">
      <formula>ISNUMBER(SEARCH("STALE",T130))</formula>
    </cfRule>
  </conditionalFormatting>
  <conditionalFormatting sqref="S130:S190">
    <cfRule type="expression" priority="4" dxfId="0">
      <formula>AND(ISNUMBER(S130),S130&lt;0)</formula>
    </cfRule>
  </conditionalFormatting>
  <dataValidations count="3">
    <dataValidation sqref="AU130:AU190 BJ130:BJ190" showDropDown="0" showInputMessage="0" showErrorMessage="0" allowBlank="1" type="list">
      <formula1>"Y,N"</formula1>
    </dataValidation>
    <dataValidation sqref="AV130:AV190" showDropDown="0" showInputMessage="0" showErrorMessage="0" allowBlank="1" type="list">
      <formula1>"List Price,Typical price,Was price,None"</formula1>
    </dataValidation>
    <dataValidation sqref="BB130:BB190"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B6'!A3" display="1 Our product ↓"/>
    <hyperlink ref="D2" location="'US DC B6'!A15" display="2 Our variations ↓"/>
    <hyperlink ref="E2" location="'US DC B6'!A105" display="3 Our BFCM 2025 ↓"/>
    <hyperlink ref="F2" location="'US DC B6'!A126" display="4 COMPETITORS (61 mapped) ↓"/>
    <hyperlink ref="G2" location="'US DC B6'!A192" display="5 What it means ↓"/>
    <hyperlink xmlns:r="http://schemas.openxmlformats.org/officeDocument/2006/relationships" ref="H130" r:id="rId1"/>
    <hyperlink xmlns:r="http://schemas.openxmlformats.org/officeDocument/2006/relationships" ref="I130" r:id="rId2"/>
    <hyperlink xmlns:r="http://schemas.openxmlformats.org/officeDocument/2006/relationships" ref="H131" r:id="rId3"/>
    <hyperlink xmlns:r="http://schemas.openxmlformats.org/officeDocument/2006/relationships" ref="I131" r:id="rId4"/>
    <hyperlink xmlns:r="http://schemas.openxmlformats.org/officeDocument/2006/relationships" ref="H132" r:id="rId5"/>
    <hyperlink xmlns:r="http://schemas.openxmlformats.org/officeDocument/2006/relationships" ref="I132" r:id="rId6"/>
    <hyperlink xmlns:r="http://schemas.openxmlformats.org/officeDocument/2006/relationships" ref="H133" r:id="rId7"/>
    <hyperlink xmlns:r="http://schemas.openxmlformats.org/officeDocument/2006/relationships" ref="I133" r:id="rId8"/>
    <hyperlink xmlns:r="http://schemas.openxmlformats.org/officeDocument/2006/relationships" ref="H134" r:id="rId9"/>
    <hyperlink xmlns:r="http://schemas.openxmlformats.org/officeDocument/2006/relationships" ref="I134" r:id="rId10"/>
    <hyperlink xmlns:r="http://schemas.openxmlformats.org/officeDocument/2006/relationships" ref="H135" r:id="rId11"/>
    <hyperlink xmlns:r="http://schemas.openxmlformats.org/officeDocument/2006/relationships" ref="I135" r:id="rId12"/>
    <hyperlink xmlns:r="http://schemas.openxmlformats.org/officeDocument/2006/relationships" ref="H136" r:id="rId13"/>
    <hyperlink xmlns:r="http://schemas.openxmlformats.org/officeDocument/2006/relationships" ref="I136" r:id="rId14"/>
    <hyperlink xmlns:r="http://schemas.openxmlformats.org/officeDocument/2006/relationships" ref="H137" r:id="rId15"/>
    <hyperlink xmlns:r="http://schemas.openxmlformats.org/officeDocument/2006/relationships" ref="I137" r:id="rId16"/>
    <hyperlink xmlns:r="http://schemas.openxmlformats.org/officeDocument/2006/relationships" ref="H138" r:id="rId17"/>
    <hyperlink xmlns:r="http://schemas.openxmlformats.org/officeDocument/2006/relationships" ref="I138" r:id="rId18"/>
    <hyperlink xmlns:r="http://schemas.openxmlformats.org/officeDocument/2006/relationships" ref="H139" r:id="rId19"/>
    <hyperlink xmlns:r="http://schemas.openxmlformats.org/officeDocument/2006/relationships" ref="I139" r:id="rId20"/>
    <hyperlink xmlns:r="http://schemas.openxmlformats.org/officeDocument/2006/relationships" ref="H140" r:id="rId21"/>
    <hyperlink xmlns:r="http://schemas.openxmlformats.org/officeDocument/2006/relationships" ref="I140" r:id="rId22"/>
    <hyperlink xmlns:r="http://schemas.openxmlformats.org/officeDocument/2006/relationships" ref="H141" r:id="rId23"/>
    <hyperlink xmlns:r="http://schemas.openxmlformats.org/officeDocument/2006/relationships" ref="I141" r:id="rId24"/>
    <hyperlink xmlns:r="http://schemas.openxmlformats.org/officeDocument/2006/relationships" ref="H142" r:id="rId25"/>
    <hyperlink xmlns:r="http://schemas.openxmlformats.org/officeDocument/2006/relationships" ref="I142" r:id="rId26"/>
    <hyperlink xmlns:r="http://schemas.openxmlformats.org/officeDocument/2006/relationships" ref="H143" r:id="rId27"/>
    <hyperlink xmlns:r="http://schemas.openxmlformats.org/officeDocument/2006/relationships" ref="I143" r:id="rId28"/>
    <hyperlink xmlns:r="http://schemas.openxmlformats.org/officeDocument/2006/relationships" ref="H144" r:id="rId29"/>
    <hyperlink xmlns:r="http://schemas.openxmlformats.org/officeDocument/2006/relationships" ref="I144" r:id="rId30"/>
    <hyperlink xmlns:r="http://schemas.openxmlformats.org/officeDocument/2006/relationships" ref="H145" r:id="rId31"/>
    <hyperlink xmlns:r="http://schemas.openxmlformats.org/officeDocument/2006/relationships" ref="I145" r:id="rId32"/>
    <hyperlink xmlns:r="http://schemas.openxmlformats.org/officeDocument/2006/relationships" ref="H146" r:id="rId33"/>
    <hyperlink xmlns:r="http://schemas.openxmlformats.org/officeDocument/2006/relationships" ref="I146" r:id="rId34"/>
    <hyperlink xmlns:r="http://schemas.openxmlformats.org/officeDocument/2006/relationships" ref="H147" r:id="rId35"/>
    <hyperlink xmlns:r="http://schemas.openxmlformats.org/officeDocument/2006/relationships" ref="I147" r:id="rId36"/>
    <hyperlink xmlns:r="http://schemas.openxmlformats.org/officeDocument/2006/relationships" ref="H148" r:id="rId37"/>
    <hyperlink xmlns:r="http://schemas.openxmlformats.org/officeDocument/2006/relationships" ref="I148" r:id="rId38"/>
    <hyperlink xmlns:r="http://schemas.openxmlformats.org/officeDocument/2006/relationships" ref="H149" r:id="rId39"/>
    <hyperlink xmlns:r="http://schemas.openxmlformats.org/officeDocument/2006/relationships" ref="I149" r:id="rId40"/>
    <hyperlink xmlns:r="http://schemas.openxmlformats.org/officeDocument/2006/relationships" ref="H150" r:id="rId41"/>
    <hyperlink xmlns:r="http://schemas.openxmlformats.org/officeDocument/2006/relationships" ref="I150" r:id="rId42"/>
    <hyperlink xmlns:r="http://schemas.openxmlformats.org/officeDocument/2006/relationships" ref="H151" r:id="rId43"/>
    <hyperlink xmlns:r="http://schemas.openxmlformats.org/officeDocument/2006/relationships" ref="I151" r:id="rId44"/>
    <hyperlink xmlns:r="http://schemas.openxmlformats.org/officeDocument/2006/relationships" ref="H152" r:id="rId45"/>
    <hyperlink xmlns:r="http://schemas.openxmlformats.org/officeDocument/2006/relationships" ref="I152" r:id="rId46"/>
    <hyperlink xmlns:r="http://schemas.openxmlformats.org/officeDocument/2006/relationships" ref="H153" r:id="rId47"/>
    <hyperlink xmlns:r="http://schemas.openxmlformats.org/officeDocument/2006/relationships" ref="I153" r:id="rId48"/>
    <hyperlink xmlns:r="http://schemas.openxmlformats.org/officeDocument/2006/relationships" ref="I154" r:id="rId49"/>
    <hyperlink xmlns:r="http://schemas.openxmlformats.org/officeDocument/2006/relationships" ref="I155" r:id="rId50"/>
    <hyperlink xmlns:r="http://schemas.openxmlformats.org/officeDocument/2006/relationships" ref="H156" r:id="rId51"/>
    <hyperlink xmlns:r="http://schemas.openxmlformats.org/officeDocument/2006/relationships" ref="I156" r:id="rId52"/>
    <hyperlink xmlns:r="http://schemas.openxmlformats.org/officeDocument/2006/relationships" ref="H157" r:id="rId53"/>
    <hyperlink xmlns:r="http://schemas.openxmlformats.org/officeDocument/2006/relationships" ref="I157" r:id="rId54"/>
    <hyperlink xmlns:r="http://schemas.openxmlformats.org/officeDocument/2006/relationships" ref="H158" r:id="rId55"/>
    <hyperlink xmlns:r="http://schemas.openxmlformats.org/officeDocument/2006/relationships" ref="I158" r:id="rId56"/>
    <hyperlink xmlns:r="http://schemas.openxmlformats.org/officeDocument/2006/relationships" ref="H159" r:id="rId57"/>
    <hyperlink xmlns:r="http://schemas.openxmlformats.org/officeDocument/2006/relationships" ref="I159" r:id="rId58"/>
    <hyperlink xmlns:r="http://schemas.openxmlformats.org/officeDocument/2006/relationships" ref="H160" r:id="rId59"/>
    <hyperlink xmlns:r="http://schemas.openxmlformats.org/officeDocument/2006/relationships" ref="I160" r:id="rId60"/>
    <hyperlink xmlns:r="http://schemas.openxmlformats.org/officeDocument/2006/relationships" ref="H161" r:id="rId61"/>
    <hyperlink xmlns:r="http://schemas.openxmlformats.org/officeDocument/2006/relationships" ref="I161" r:id="rId62"/>
    <hyperlink xmlns:r="http://schemas.openxmlformats.org/officeDocument/2006/relationships" ref="H162" r:id="rId63"/>
    <hyperlink xmlns:r="http://schemas.openxmlformats.org/officeDocument/2006/relationships" ref="I162" r:id="rId64"/>
    <hyperlink xmlns:r="http://schemas.openxmlformats.org/officeDocument/2006/relationships" ref="H163" r:id="rId65"/>
    <hyperlink xmlns:r="http://schemas.openxmlformats.org/officeDocument/2006/relationships" ref="I163" r:id="rId66"/>
    <hyperlink xmlns:r="http://schemas.openxmlformats.org/officeDocument/2006/relationships" ref="H164" r:id="rId67"/>
    <hyperlink xmlns:r="http://schemas.openxmlformats.org/officeDocument/2006/relationships" ref="I164" r:id="rId68"/>
    <hyperlink xmlns:r="http://schemas.openxmlformats.org/officeDocument/2006/relationships" ref="H165" r:id="rId69"/>
    <hyperlink xmlns:r="http://schemas.openxmlformats.org/officeDocument/2006/relationships" ref="I165" r:id="rId70"/>
    <hyperlink xmlns:r="http://schemas.openxmlformats.org/officeDocument/2006/relationships" ref="H166" r:id="rId71"/>
    <hyperlink xmlns:r="http://schemas.openxmlformats.org/officeDocument/2006/relationships" ref="I166" r:id="rId72"/>
    <hyperlink xmlns:r="http://schemas.openxmlformats.org/officeDocument/2006/relationships" ref="H167" r:id="rId73"/>
    <hyperlink xmlns:r="http://schemas.openxmlformats.org/officeDocument/2006/relationships" ref="I167" r:id="rId74"/>
    <hyperlink xmlns:r="http://schemas.openxmlformats.org/officeDocument/2006/relationships" ref="H168" r:id="rId75"/>
    <hyperlink xmlns:r="http://schemas.openxmlformats.org/officeDocument/2006/relationships" ref="I168" r:id="rId76"/>
    <hyperlink xmlns:r="http://schemas.openxmlformats.org/officeDocument/2006/relationships" ref="H169" r:id="rId77"/>
    <hyperlink xmlns:r="http://schemas.openxmlformats.org/officeDocument/2006/relationships" ref="I169" r:id="rId78"/>
    <hyperlink xmlns:r="http://schemas.openxmlformats.org/officeDocument/2006/relationships" ref="H170" r:id="rId79"/>
    <hyperlink xmlns:r="http://schemas.openxmlformats.org/officeDocument/2006/relationships" ref="I170" r:id="rId80"/>
    <hyperlink xmlns:r="http://schemas.openxmlformats.org/officeDocument/2006/relationships" ref="H171" r:id="rId81"/>
    <hyperlink xmlns:r="http://schemas.openxmlformats.org/officeDocument/2006/relationships" ref="I171" r:id="rId82"/>
    <hyperlink xmlns:r="http://schemas.openxmlformats.org/officeDocument/2006/relationships" ref="H172" r:id="rId83"/>
    <hyperlink xmlns:r="http://schemas.openxmlformats.org/officeDocument/2006/relationships" ref="I172" r:id="rId84"/>
    <hyperlink xmlns:r="http://schemas.openxmlformats.org/officeDocument/2006/relationships" ref="I173" r:id="rId85"/>
    <hyperlink xmlns:r="http://schemas.openxmlformats.org/officeDocument/2006/relationships" ref="H174" r:id="rId86"/>
    <hyperlink xmlns:r="http://schemas.openxmlformats.org/officeDocument/2006/relationships" ref="I174" r:id="rId87"/>
    <hyperlink xmlns:r="http://schemas.openxmlformats.org/officeDocument/2006/relationships" ref="H175" r:id="rId88"/>
    <hyperlink xmlns:r="http://schemas.openxmlformats.org/officeDocument/2006/relationships" ref="I175" r:id="rId89"/>
    <hyperlink xmlns:r="http://schemas.openxmlformats.org/officeDocument/2006/relationships" ref="H176" r:id="rId90"/>
    <hyperlink xmlns:r="http://schemas.openxmlformats.org/officeDocument/2006/relationships" ref="I176" r:id="rId91"/>
    <hyperlink xmlns:r="http://schemas.openxmlformats.org/officeDocument/2006/relationships" ref="H177" r:id="rId92"/>
    <hyperlink xmlns:r="http://schemas.openxmlformats.org/officeDocument/2006/relationships" ref="I177" r:id="rId93"/>
    <hyperlink xmlns:r="http://schemas.openxmlformats.org/officeDocument/2006/relationships" ref="H178" r:id="rId94"/>
    <hyperlink xmlns:r="http://schemas.openxmlformats.org/officeDocument/2006/relationships" ref="I178" r:id="rId95"/>
    <hyperlink xmlns:r="http://schemas.openxmlformats.org/officeDocument/2006/relationships" ref="H179" r:id="rId96"/>
    <hyperlink xmlns:r="http://schemas.openxmlformats.org/officeDocument/2006/relationships" ref="I179" r:id="rId97"/>
    <hyperlink xmlns:r="http://schemas.openxmlformats.org/officeDocument/2006/relationships" ref="H180" r:id="rId98"/>
    <hyperlink xmlns:r="http://schemas.openxmlformats.org/officeDocument/2006/relationships" ref="I180" r:id="rId99"/>
    <hyperlink xmlns:r="http://schemas.openxmlformats.org/officeDocument/2006/relationships" ref="I181" r:id="rId100"/>
    <hyperlink xmlns:r="http://schemas.openxmlformats.org/officeDocument/2006/relationships" ref="I182" r:id="rId101"/>
    <hyperlink xmlns:r="http://schemas.openxmlformats.org/officeDocument/2006/relationships" ref="H183" r:id="rId102"/>
    <hyperlink xmlns:r="http://schemas.openxmlformats.org/officeDocument/2006/relationships" ref="I183" r:id="rId103"/>
    <hyperlink xmlns:r="http://schemas.openxmlformats.org/officeDocument/2006/relationships" ref="H184" r:id="rId104"/>
    <hyperlink xmlns:r="http://schemas.openxmlformats.org/officeDocument/2006/relationships" ref="I184" r:id="rId105"/>
    <hyperlink xmlns:r="http://schemas.openxmlformats.org/officeDocument/2006/relationships" ref="H185" r:id="rId106"/>
    <hyperlink xmlns:r="http://schemas.openxmlformats.org/officeDocument/2006/relationships" ref="I185" r:id="rId107"/>
    <hyperlink xmlns:r="http://schemas.openxmlformats.org/officeDocument/2006/relationships" ref="H186" r:id="rId108"/>
    <hyperlink xmlns:r="http://schemas.openxmlformats.org/officeDocument/2006/relationships" ref="I186" r:id="rId109"/>
    <hyperlink xmlns:r="http://schemas.openxmlformats.org/officeDocument/2006/relationships" ref="H187" r:id="rId110"/>
    <hyperlink xmlns:r="http://schemas.openxmlformats.org/officeDocument/2006/relationships" ref="I187" r:id="rId111"/>
    <hyperlink xmlns:r="http://schemas.openxmlformats.org/officeDocument/2006/relationships" ref="H188" r:id="rId112"/>
    <hyperlink xmlns:r="http://schemas.openxmlformats.org/officeDocument/2006/relationships" ref="I188" r:id="rId113"/>
    <hyperlink xmlns:r="http://schemas.openxmlformats.org/officeDocument/2006/relationships" ref="I189" r:id="rId114"/>
    <hyperlink xmlns:r="http://schemas.openxmlformats.org/officeDocument/2006/relationships" ref="H190" r:id="rId115"/>
    <hyperlink xmlns:r="http://schemas.openxmlformats.org/officeDocument/2006/relationships" ref="I190" r:id="rId116"/>
  </hyperlinks>
  <pageMargins left="0.75" right="0.75" top="1" bottom="1" header="0.5" footer="0.5"/>
  <drawing xmlns:r="http://schemas.openxmlformats.org/officeDocument/2006/relationships" r:id="rId117"/>
  <legacyDrawing xmlns:r="http://schemas.openxmlformats.org/officeDocument/2006/relationships" r:id="anysvml"/>
</worksheet>
</file>

<file path=xl/worksheets/sheet8.xml><?xml version="1.0" encoding="utf-8"?>
<worksheet xmlns="http://schemas.openxmlformats.org/spreadsheetml/2006/main">
  <sheetPr>
    <tabColor rgb="009DC3E6"/>
    <outlinePr summaryBelow="1" summaryRight="1"/>
    <pageSetUpPr/>
  </sheetPr>
  <dimension ref="A1:BK166"/>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Bamboo Sheets 6 Piece · Amazon.com (US) · Bamboo · BFCM role: Core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(30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_xlfn.IMAGE("https://m.media-amazon.com/images/I/81rHI1QN6jL._AC_SL1500_.jpg")</f>
        <v/>
      </c>
      <c r="C4" s="13" t="inlineStr">
        <is>
          <t>Title</t>
        </is>
      </c>
      <c r="D4" s="14" t="inlineStr">
        <is>
          <t>SLEEP SANCTUARY 100% Viscose Derived from Bamboo Sheets King Size, 6 Pc Set | Cooling BamBliss Comfort for Hot Sleepers | Cloud Soft | Deep 17" Pocket w Corner Straps | Luxury Bed Set | Taupe</t>
        </is>
      </c>
      <c r="K4" s="13" t="inlineStr">
        <is>
          <t>Sizes</t>
        </is>
      </c>
      <c r="L4" s="68" t="inlineStr">
        <is>
          <t>California King, Full, King, Queen, Twin</t>
        </is>
      </c>
      <c r="S4" s="13" t="inlineStr">
        <is>
          <t>Break-even ACoS</t>
        </is>
      </c>
      <c r="T4" s="68" t="inlineStr">
        <is>
          <t>24%</t>
        </is>
      </c>
    </row>
    <row r="5" ht="22" customHeight="1">
      <c r="C5" s="13" t="inlineStr">
        <is>
          <t>Brand</t>
        </is>
      </c>
      <c r="D5" s="68" t="inlineStr">
        <is>
          <t>Sleephoria</t>
        </is>
      </c>
      <c r="K5" s="13" t="inlineStr">
        <is>
          <t>Colours</t>
        </is>
      </c>
      <c r="L5" s="68" t="inlineStr">
        <is>
          <t>Black, Burgundy, Charcoal, Creme, Grey, Light Blue, Light Grey, Light Olive, Light Pink, Midgrey, Navy Blue, Olive, Purple, Sage Green, Taupe, White</t>
        </is>
      </c>
      <c r="S5" s="13" t="inlineStr">
        <is>
          <t>Units last 28 days</t>
        </is>
      </c>
      <c r="T5" s="68" t="inlineStr">
        <is>
          <t>91</t>
        </is>
      </c>
    </row>
    <row r="6" ht="22" customHeight="1">
      <c r="C6" s="13" t="inlineStr">
        <is>
          <t>Marketplace</t>
        </is>
      </c>
      <c r="D6" s="68" t="inlineStr">
        <is>
          <t>Amazon.com (US)</t>
        </is>
      </c>
      <c r="K6" s="13" t="inlineStr">
        <is>
          <t>Price now, best child</t>
        </is>
      </c>
      <c r="L6" s="68" t="inlineStr">
        <is>
          <t>$69.99 (catalog price, 2026-10-13)</t>
        </is>
      </c>
      <c r="S6" s="13" t="inlineStr">
        <is>
          <t>market data product ASIN</t>
        </is>
      </c>
      <c r="T6" s="68" t="inlineStr">
        <is>
          <t>B0DDTY8HFR (one of our child ASINs, not the Amazon parent)</t>
        </is>
      </c>
    </row>
    <row r="7" ht="22" customHeight="1">
      <c r="C7" s="13" t="inlineStr">
        <is>
          <t>Parent ASIN (Amazon)</t>
        </is>
      </c>
      <c r="D7" s="68" t="inlineStr">
        <is>
          <t>B0HBWXDWJ5</t>
        </is>
      </c>
      <c r="K7" s="13" t="inlineStr">
        <is>
          <t>Rating / reviews now</t>
        </is>
      </c>
      <c r="L7" s="68" t="inlineStr">
        <is>
          <t>4.5 / 320 (catalog price, 2026-10-13)</t>
        </is>
      </c>
    </row>
    <row r="8" ht="22" customHeight="1">
      <c r="C8" s="13" t="inlineStr">
        <is>
          <t>Best-selling child ASIN</t>
        </is>
      </c>
      <c r="D8" s="68" t="inlineStr">
        <is>
          <t>B0DDTYDHVB</t>
        </is>
      </c>
      <c r="K8" s="13" t="inlineStr">
        <is>
          <t>Live prices held</t>
        </is>
      </c>
      <c r="L8" s="68" t="inlineStr">
        <is>
          <t>38 of 82 variations</t>
        </is>
      </c>
    </row>
    <row r="9" ht="22" customHeight="1">
      <c r="C9" s="13" t="inlineStr">
        <is>
          <t>Stage</t>
        </is>
      </c>
      <c r="D9" s="68" t="inlineStr">
        <is>
          <t>Re-Launch</t>
        </is>
      </c>
      <c r="K9" s="13" t="inlineStr">
        <is>
          <t>Blended price (market data)</t>
        </is>
      </c>
      <c r="L9" s="68" t="inlineStr">
        <is>
          <t>$67.07 - fee feed as of 2026-03-30, STALE</t>
        </is>
      </c>
    </row>
    <row r="10">
      <c r="C10" s="13" t="inlineStr">
        <is>
          <t>Total variations (SKUs)</t>
        </is>
      </c>
      <c r="D10" s="68" t="n">
        <v>78</v>
      </c>
      <c r="K10" s="13" t="inlineStr">
        <is>
          <t>Contribution / unit</t>
        </is>
      </c>
      <c r="L10" s="68" t="inlineStr">
        <is>
          <t>$15.99</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1.20x</t>
        </is>
      </c>
      <c r="E12" s="70" t="inlineStr">
        <is>
          <t>18.7%</t>
        </is>
      </c>
      <c r="I12" s="70" t="inlineStr">
        <is>
          <t>2.27x</t>
        </is>
      </c>
      <c r="M12" s="70" t="inlineStr">
        <is>
          <t>30</t>
        </is>
      </c>
      <c r="Q12" s="70" t="inlineStr">
        <is>
          <t>9</t>
        </is>
      </c>
      <c r="U12" s="70" t="inlineStr">
        <is>
          <t>1</t>
        </is>
      </c>
    </row>
    <row r="13">
      <c r="A13" s="71" t="inlineStr">
        <is>
          <t>daily sales, BFCM wk vs 30 days before (account data actual)</t>
        </is>
      </c>
      <c r="E13" s="71" t="inlineStr">
        <is>
          <t>vs 35.5%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(82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_xlfn.IMAGE("https://m.media-amazon.com/images/I/81rHI1QN6jL.jpg")</f>
        <v/>
      </c>
      <c r="B18" s="39" t="inlineStr">
        <is>
          <t>B0DDTYDHVB</t>
        </is>
      </c>
      <c r="C18" s="39" t="inlineStr">
        <is>
          <t>SS-BAMBOO-TAUPE-KING-6PCS</t>
        </is>
      </c>
      <c r="D18" s="39" t="inlineStr">
        <is>
          <t>SLEEP SANCTUARY 100% Viscose Derived from Bamboo Sheets King Size, 6 Pc Set | Cooling BamBliss Comfort for Hot Sleepers | Cloud Soft | Deep 17" Pocket w Corner Straps | Luxury Bed Set | Taupe</t>
        </is>
      </c>
      <c r="E18" s="39" t="inlineStr">
        <is>
          <t>King</t>
        </is>
      </c>
      <c r="F18" s="39" t="inlineStr">
        <is>
          <t>Taupe</t>
        </is>
      </c>
      <c r="G18" s="73" t="n">
        <v>69.98999999999999</v>
      </c>
      <c r="H18" s="39" t="inlineStr">
        <is>
          <t>catalog price, 2026-10-13</t>
        </is>
      </c>
      <c r="I18" s="74" t="n">
        <v>69.98999999999999</v>
      </c>
      <c r="J18" s="75" t="inlineStr">
        <is>
          <t>2026-03-30</t>
        </is>
      </c>
      <c r="K18" s="40" t="n">
        <v>13.94</v>
      </c>
      <c r="L18" s="76" t="n">
        <v>0.1991713101871696</v>
      </c>
      <c r="M18" s="77" t="n">
        <v>26</v>
      </c>
      <c r="N18" s="39" t="inlineStr">
        <is>
          <t>Active</t>
        </is>
      </c>
      <c r="O18" s="39" t="inlineStr">
        <is>
          <t>Yes (63%)</t>
        </is>
      </c>
      <c r="P18" s="78" t="n">
        <v>4.5</v>
      </c>
      <c r="Q18" s="77" t="n">
        <v>320</v>
      </c>
      <c r="R18" s="77" t="n">
        <v>252428</v>
      </c>
      <c r="S18" s="77" t="n">
        <v>99</v>
      </c>
      <c r="T18" s="39" t="n"/>
    </row>
    <row r="19" ht="62" customHeight="1">
      <c r="A19" s="12">
        <f>_xlfn.IMAGE("https://m.media-amazon.com/images/I/81Aq2f-TgXL.jpg")</f>
        <v/>
      </c>
      <c r="B19" s="39" t="inlineStr">
        <is>
          <t>B0DDTZCKGQ</t>
        </is>
      </c>
      <c r="C19" s="39" t="inlineStr">
        <is>
          <t>SS-BAMBOO-CREME-QUEEN-6PCS</t>
        </is>
      </c>
      <c r="D19" s="39" t="inlineStr">
        <is>
          <t>SLEEP SANCTUARY 100% Viscose Derived from Bamboo Sheets Queen Size 6 Pc Set</t>
        </is>
      </c>
      <c r="E19" s="39" t="inlineStr">
        <is>
          <t>Queen</t>
        </is>
      </c>
      <c r="F19" s="39" t="inlineStr">
        <is>
          <t>Creme</t>
        </is>
      </c>
      <c r="G19" s="40" t="n"/>
      <c r="H19" s="39" t="n"/>
      <c r="I19" s="74" t="n">
        <v>64.98999999999999</v>
      </c>
      <c r="J19" s="75" t="inlineStr">
        <is>
          <t>2026-03-30</t>
        </is>
      </c>
      <c r="K19" s="40" t="n">
        <v>19.41</v>
      </c>
      <c r="L19" s="76" t="n">
        <v>0.2986613325126942</v>
      </c>
      <c r="M19" s="77" t="n">
        <v>10</v>
      </c>
      <c r="N19" s="39" t="inlineStr">
        <is>
          <t>Active</t>
        </is>
      </c>
      <c r="O19" s="39" t="n"/>
      <c r="P19" s="78" t="n"/>
      <c r="Q19" s="77" t="n"/>
      <c r="R19" s="77" t="n"/>
      <c r="S19" s="77" t="n"/>
      <c r="T19" s="39" t="n"/>
    </row>
    <row r="20" ht="62" customHeight="1">
      <c r="A20" s="12">
        <f>_xlfn.IMAGE("https://m.media-amazon.com/images/I/81mJdrNJffL.jpg")</f>
        <v/>
      </c>
      <c r="B20" s="39" t="inlineStr">
        <is>
          <t>B0DDTXFRNB</t>
        </is>
      </c>
      <c r="C20" s="39" t="inlineStr">
        <is>
          <t>SS-BAMBOO-OLIVE-KING-6PCS</t>
        </is>
      </c>
      <c r="D20" s="39" t="inlineStr">
        <is>
          <t>SLEEP SANCTUARY 100% Viscose Derived from Bamboo Sheets King Size, 6 Pc Set</t>
        </is>
      </c>
      <c r="E20" s="39" t="inlineStr">
        <is>
          <t>King</t>
        </is>
      </c>
      <c r="F20" s="39" t="inlineStr">
        <is>
          <t>Olive</t>
        </is>
      </c>
      <c r="G20" s="73" t="n">
        <v>69.98999999999999</v>
      </c>
      <c r="H20" s="39" t="inlineStr">
        <is>
          <t>catalog price, 2026-10-13</t>
        </is>
      </c>
      <c r="I20" s="74" t="n">
        <v>69.98999999999999</v>
      </c>
      <c r="J20" s="75" t="inlineStr">
        <is>
          <t>2026-03-30</t>
        </is>
      </c>
      <c r="K20" s="40" t="n">
        <v>14.06999999999999</v>
      </c>
      <c r="L20" s="76" t="n">
        <v>0.2010287183883411</v>
      </c>
      <c r="M20" s="77" t="n">
        <v>6</v>
      </c>
      <c r="N20" s="39" t="inlineStr">
        <is>
          <t>Active</t>
        </is>
      </c>
      <c r="O20" s="39" t="n"/>
      <c r="P20" s="78" t="n">
        <v>4.5</v>
      </c>
      <c r="Q20" s="77" t="n">
        <v>320</v>
      </c>
      <c r="R20" s="77" t="n">
        <v>252421</v>
      </c>
      <c r="S20" s="77" t="n">
        <v>1</v>
      </c>
      <c r="T20" s="39" t="n"/>
    </row>
    <row r="21" ht="62" customHeight="1">
      <c r="A21" s="12">
        <f>_xlfn.IMAGE("https://m.media-amazon.com/images/I/81EFLUe87PL.jpg")</f>
        <v/>
      </c>
      <c r="B21" s="39" t="inlineStr">
        <is>
          <t>B0DDTX24QR</t>
        </is>
      </c>
      <c r="C21" s="39" t="inlineStr">
        <is>
          <t>SS-BAMBOO-LIGHT-GREY-KING-6PCS</t>
        </is>
      </c>
      <c r="D21" s="39" t="inlineStr">
        <is>
          <t>SLEEP SANCTUARY 100% Viscose Derived from Bamboo Sheets King Size, 6 Pc Set</t>
        </is>
      </c>
      <c r="E21" s="39" t="inlineStr">
        <is>
          <t>King</t>
        </is>
      </c>
      <c r="F21" s="39" t="inlineStr">
        <is>
          <t>Light Grey</t>
        </is>
      </c>
      <c r="G21" s="73" t="n">
        <v>69.98999999999999</v>
      </c>
      <c r="H21" s="39" t="inlineStr">
        <is>
          <t>catalog price, 2026-10-13</t>
        </is>
      </c>
      <c r="I21" s="74" t="n">
        <v>69.98999999999999</v>
      </c>
      <c r="J21" s="75" t="inlineStr">
        <is>
          <t>2026-03-30</t>
        </is>
      </c>
      <c r="K21" s="40" t="n"/>
      <c r="L21" s="76" t="n"/>
      <c r="M21" s="77" t="n">
        <v>5</v>
      </c>
      <c r="N21" s="39" t="inlineStr">
        <is>
          <t>Active</t>
        </is>
      </c>
      <c r="O21" s="39" t="n"/>
      <c r="P21" s="78" t="n">
        <v>4.5</v>
      </c>
      <c r="Q21" s="77" t="n">
        <v>320</v>
      </c>
      <c r="R21" s="77" t="n">
        <v>252421</v>
      </c>
      <c r="S21" s="77" t="n">
        <v>0.6758999999999999</v>
      </c>
      <c r="T21" s="39" t="n"/>
    </row>
    <row r="22" ht="62" customHeight="1">
      <c r="A22" s="12">
        <f>_xlfn.IMAGE("https://m.media-amazon.com/images/I/81LhmKkL6uL.jpg")</f>
        <v/>
      </c>
      <c r="B22" s="39" t="inlineStr">
        <is>
          <t>B0DDV13P1L</t>
        </is>
      </c>
      <c r="C22" s="39" t="inlineStr">
        <is>
          <t>SS-BAMBOO-LIGHT-OLIVE-KING-6PCS</t>
        </is>
      </c>
      <c r="D22" s="39" t="inlineStr">
        <is>
          <t>SLEEP SANCTUARY 100% Viscose Derived from Bamboo Sheets King Size, 6 Pc Set</t>
        </is>
      </c>
      <c r="E22" s="39" t="inlineStr">
        <is>
          <t>King</t>
        </is>
      </c>
      <c r="F22" s="39" t="inlineStr">
        <is>
          <t>Light Olive</t>
        </is>
      </c>
      <c r="G22" s="73" t="n">
        <v>69.98999999999999</v>
      </c>
      <c r="H22" s="39" t="inlineStr">
        <is>
          <t>catalog price, 2026-10-13</t>
        </is>
      </c>
      <c r="I22" s="74" t="n">
        <v>69.98999999999999</v>
      </c>
      <c r="J22" s="75" t="inlineStr">
        <is>
          <t>2026-03-30</t>
        </is>
      </c>
      <c r="K22" s="40" t="n"/>
      <c r="L22" s="76" t="n"/>
      <c r="M22" s="77" t="n">
        <v>5</v>
      </c>
      <c r="N22" s="39" t="inlineStr">
        <is>
          <t>Active</t>
        </is>
      </c>
      <c r="O22" s="39" t="n"/>
      <c r="P22" s="78" t="n">
        <v>4.5</v>
      </c>
      <c r="Q22" s="77" t="n">
        <v>320</v>
      </c>
      <c r="R22" s="77" t="n">
        <v>252421</v>
      </c>
      <c r="S22" s="77" t="n">
        <v>0.589</v>
      </c>
      <c r="T22" s="39" t="n"/>
    </row>
    <row r="23" ht="62" customHeight="1">
      <c r="A23" s="12">
        <f>_xlfn.IMAGE("https://m.media-amazon.com/images/I/81gNwuW4tEL.jpg")</f>
        <v/>
      </c>
      <c r="B23" s="39" t="inlineStr">
        <is>
          <t>B0DDTZ92JW</t>
        </is>
      </c>
      <c r="C23" s="39" t="inlineStr">
        <is>
          <t>SS-BAMBOO-WHITE-KING-6PCS</t>
        </is>
      </c>
      <c r="D23" s="39" t="inlineStr">
        <is>
          <t>SLEEP SANCTUARY 100% Viscose Derived from Bamboo Sheets King Size, 6 Pc Set</t>
        </is>
      </c>
      <c r="E23" s="39" t="inlineStr">
        <is>
          <t>King</t>
        </is>
      </c>
      <c r="F23" s="39" t="inlineStr">
        <is>
          <t>White</t>
        </is>
      </c>
      <c r="G23" s="40" t="n"/>
      <c r="H23" s="39" t="n"/>
      <c r="I23" s="74" t="n">
        <v>69.98999999999999</v>
      </c>
      <c r="J23" s="75" t="inlineStr">
        <is>
          <t>2026-03-30</t>
        </is>
      </c>
      <c r="K23" s="40" t="n">
        <v>17.11</v>
      </c>
      <c r="L23" s="76" t="n">
        <v>0.2444634947849693</v>
      </c>
      <c r="M23" s="77" t="n">
        <v>5</v>
      </c>
      <c r="N23" s="39" t="inlineStr">
        <is>
          <t>Inactive</t>
        </is>
      </c>
      <c r="O23" s="39" t="n"/>
      <c r="P23" s="78" t="n"/>
      <c r="Q23" s="77" t="n"/>
      <c r="R23" s="77" t="n"/>
      <c r="S23" s="77" t="n"/>
      <c r="T23" s="39" t="n"/>
    </row>
    <row r="24" ht="62" customHeight="1">
      <c r="A24" s="12">
        <f>_xlfn.IMAGE("https://m.media-amazon.com/images/I/81mJdrNJffL.jpg")</f>
        <v/>
      </c>
      <c r="B24" s="39" t="inlineStr">
        <is>
          <t>B0DDTYXN15</t>
        </is>
      </c>
      <c r="C24" s="39" t="inlineStr">
        <is>
          <t>SS-BAMBOO-OLIVE-QUEEN-6PCS</t>
        </is>
      </c>
      <c r="D24" s="39" t="inlineStr">
        <is>
          <t>SLEEP SANCTUARY 100% Viscose Derived from Bamboo Sheets Queen Size 6 Pc Set</t>
        </is>
      </c>
      <c r="E24" s="39" t="inlineStr">
        <is>
          <t>Queen</t>
        </is>
      </c>
      <c r="F24" s="39" t="inlineStr">
        <is>
          <t>Olive</t>
        </is>
      </c>
      <c r="G24" s="73" t="n">
        <v>64.98999999999999</v>
      </c>
      <c r="H24" s="39" t="inlineStr">
        <is>
          <t>catalog price, 2026-10-13</t>
        </is>
      </c>
      <c r="I24" s="74" t="n">
        <v>64.98999999999999</v>
      </c>
      <c r="J24" s="75" t="inlineStr">
        <is>
          <t>2026-03-30</t>
        </is>
      </c>
      <c r="K24" s="40" t="n">
        <v>15.58</v>
      </c>
      <c r="L24" s="76" t="n">
        <v>0.2397291891060163</v>
      </c>
      <c r="M24" s="77" t="n">
        <v>5</v>
      </c>
      <c r="N24" s="39" t="inlineStr">
        <is>
          <t>Active</t>
        </is>
      </c>
      <c r="O24" s="39" t="inlineStr">
        <is>
          <t>Yes (28%)</t>
        </is>
      </c>
      <c r="P24" s="78" t="n">
        <v>4.5</v>
      </c>
      <c r="Q24" s="77" t="n">
        <v>320</v>
      </c>
      <c r="R24" s="77" t="n">
        <v>252421</v>
      </c>
      <c r="S24" s="77" t="n">
        <v>0.7991</v>
      </c>
      <c r="T24" s="39" t="n"/>
    </row>
    <row r="25" ht="62" customHeight="1">
      <c r="A25" s="12">
        <f>_xlfn.IMAGE("https://m.media-amazon.com/images/I/81RzJWI5XAL.jpg")</f>
        <v/>
      </c>
      <c r="B25" s="39" t="inlineStr">
        <is>
          <t>B0DDTZ7XW3</t>
        </is>
      </c>
      <c r="C25" s="39" t="inlineStr">
        <is>
          <t>SS-BAMBOO-MIDGREY-KING-6PCS</t>
        </is>
      </c>
      <c r="D25" s="39" t="inlineStr">
        <is>
          <t>SLEEP SANCTUARY 100% Viscose Derived from Bamboo Sheets King Size, 6 Pc Set</t>
        </is>
      </c>
      <c r="E25" s="39" t="inlineStr">
        <is>
          <t>King</t>
        </is>
      </c>
      <c r="F25" s="39" t="inlineStr">
        <is>
          <t>Midgrey</t>
        </is>
      </c>
      <c r="G25" s="73" t="n">
        <v>69.98999999999999</v>
      </c>
      <c r="H25" s="39" t="inlineStr">
        <is>
          <t>catalog price, 2026-10-13</t>
        </is>
      </c>
      <c r="I25" s="74" t="n">
        <v>69.98999999999999</v>
      </c>
      <c r="J25" s="75" t="inlineStr">
        <is>
          <t>2026-03-30</t>
        </is>
      </c>
      <c r="K25" s="40" t="n">
        <v>18.10999999999999</v>
      </c>
      <c r="L25" s="76" t="n">
        <v>0.2587512501785968</v>
      </c>
      <c r="M25" s="77" t="n">
        <v>4</v>
      </c>
      <c r="N25" s="39" t="inlineStr">
        <is>
          <t>Active</t>
        </is>
      </c>
      <c r="O25" s="39" t="n"/>
      <c r="P25" s="78" t="n">
        <v>4.5</v>
      </c>
      <c r="Q25" s="77" t="n">
        <v>320</v>
      </c>
      <c r="R25" s="77" t="n">
        <v>252421</v>
      </c>
      <c r="S25" s="77" t="n">
        <v>1</v>
      </c>
      <c r="T25" s="39" t="n"/>
    </row>
    <row r="26" ht="62" customHeight="1">
      <c r="A26" s="12">
        <f>_xlfn.IMAGE("https://m.media-amazon.com/images/I/81Aq2f-TgXL.jpg")</f>
        <v/>
      </c>
      <c r="B26" s="39" t="inlineStr">
        <is>
          <t>B0DDTZ9ZW9</t>
        </is>
      </c>
      <c r="C26" s="39" t="inlineStr">
        <is>
          <t>SS-BAMBOO-CREME-FULL-6PCS</t>
        </is>
      </c>
      <c r="D26" s="39" t="inlineStr">
        <is>
          <t>SLEEP SANCTUARY 100% Viscose Derived from Bamboo Sheets Full Size, 6 Pc Set</t>
        </is>
      </c>
      <c r="E26" s="39" t="inlineStr">
        <is>
          <t>Full</t>
        </is>
      </c>
      <c r="F26" s="39" t="inlineStr">
        <is>
          <t>Creme</t>
        </is>
      </c>
      <c r="G26" s="73" t="n">
        <v>59.99</v>
      </c>
      <c r="H26" s="39" t="inlineStr">
        <is>
          <t>catalog price, 2026-10-13</t>
        </is>
      </c>
      <c r="I26" s="74" t="n">
        <v>59.99</v>
      </c>
      <c r="J26" s="75" t="inlineStr">
        <is>
          <t>2026-03-30</t>
        </is>
      </c>
      <c r="K26" s="40" t="n">
        <v>13.31</v>
      </c>
      <c r="L26" s="76" t="n">
        <v>0.2218703117186198</v>
      </c>
      <c r="M26" s="77" t="n">
        <v>3</v>
      </c>
      <c r="N26" s="39" t="inlineStr">
        <is>
          <t>Active</t>
        </is>
      </c>
      <c r="O26" s="39" t="n"/>
      <c r="P26" s="78" t="n">
        <v>4.5</v>
      </c>
      <c r="Q26" s="77" t="n">
        <v>320</v>
      </c>
      <c r="R26" s="77" t="n">
        <v>252428</v>
      </c>
      <c r="S26" s="77" t="n">
        <v>1</v>
      </c>
      <c r="T26" s="39" t="n"/>
    </row>
    <row r="27" ht="62" customHeight="1">
      <c r="A27" s="12">
        <f>_xlfn.IMAGE("https://m.media-amazon.com/images/I/81-gFHGwlNL.jpg")</f>
        <v/>
      </c>
      <c r="B27" s="39" t="inlineStr">
        <is>
          <t>B0DDTY8HFR</t>
        </is>
      </c>
      <c r="C27" s="39" t="inlineStr">
        <is>
          <t>SS-BAMBOO-BLACK-CALIFKING-6PCS</t>
        </is>
      </c>
      <c r="D27" s="39" t="inlineStr">
        <is>
          <t>SLEEP SANCTUARY 100% Viscose Derived from Bamboo Sheets California King</t>
        </is>
      </c>
      <c r="E27" s="39" t="inlineStr">
        <is>
          <t>California King</t>
        </is>
      </c>
      <c r="F27" s="39" t="inlineStr">
        <is>
          <t>Black</t>
        </is>
      </c>
      <c r="G27" s="73" t="n">
        <v>69.98999999999999</v>
      </c>
      <c r="H27" s="39" t="inlineStr">
        <is>
          <t>catalog price, 2026-10-13</t>
        </is>
      </c>
      <c r="I27" s="74" t="n">
        <v>69.98999999999999</v>
      </c>
      <c r="J27" s="75" t="inlineStr">
        <is>
          <t>2026-03-30</t>
        </is>
      </c>
      <c r="K27" s="40" t="n">
        <v>16.91999999999999</v>
      </c>
      <c r="L27" s="76" t="n">
        <v>0.24174882126018</v>
      </c>
      <c r="M27" s="77" t="n">
        <v>2</v>
      </c>
      <c r="N27" s="39" t="inlineStr">
        <is>
          <t>Active</t>
        </is>
      </c>
      <c r="O27" s="39" t="n"/>
      <c r="P27" s="78" t="n">
        <v>4.5</v>
      </c>
      <c r="Q27" s="77" t="n">
        <v>320</v>
      </c>
      <c r="R27" s="77" t="n">
        <v>252421</v>
      </c>
      <c r="S27" s="77" t="n">
        <v>0.6452</v>
      </c>
      <c r="T27" s="39" t="n"/>
    </row>
    <row r="28" ht="62" customHeight="1">
      <c r="A28" s="12">
        <f>_xlfn.IMAGE("https://m.media-amazon.com/images/I/81NZ-ZpZiVL.jpg")</f>
        <v/>
      </c>
      <c r="B28" s="39" t="inlineStr">
        <is>
          <t>B0DDTXJYV4</t>
        </is>
      </c>
      <c r="C28" s="39" t="inlineStr">
        <is>
          <t>SS-BAMBOO-NAVY-BLUE-FULL-6PCS</t>
        </is>
      </c>
      <c r="D28" s="39" t="inlineStr">
        <is>
          <t>SLEEP SANCTUARY 100% Viscose Derived from Bamboo Sheets Full Size, 6 Pc Set</t>
        </is>
      </c>
      <c r="E28" s="39" t="inlineStr">
        <is>
          <t>Full</t>
        </is>
      </c>
      <c r="F28" s="39" t="inlineStr">
        <is>
          <t>Navy Blue</t>
        </is>
      </c>
      <c r="G28" s="73" t="n">
        <v>59.99</v>
      </c>
      <c r="H28" s="39" t="inlineStr">
        <is>
          <t>catalog price, 2026-10-13</t>
        </is>
      </c>
      <c r="I28" s="74" t="n">
        <v>59.99</v>
      </c>
      <c r="J28" s="75" t="inlineStr">
        <is>
          <t>2026-03-30</t>
        </is>
      </c>
      <c r="K28" s="40" t="n"/>
      <c r="L28" s="76" t="n"/>
      <c r="M28" s="77" t="n">
        <v>2</v>
      </c>
      <c r="N28" s="39" t="inlineStr">
        <is>
          <t>Active</t>
        </is>
      </c>
      <c r="O28" s="39" t="n"/>
      <c r="P28" s="78" t="n">
        <v>4.5</v>
      </c>
      <c r="Q28" s="77" t="n">
        <v>320</v>
      </c>
      <c r="R28" s="77" t="n">
        <v>252421</v>
      </c>
      <c r="S28" s="77" t="n">
        <v>2</v>
      </c>
      <c r="T28" s="39" t="n"/>
    </row>
    <row r="29" ht="62" customHeight="1">
      <c r="A29" s="12">
        <f>_xlfn.IMAGE("https://m.media-amazon.com/images/I/81rHI1QN6jL.jpg")</f>
        <v/>
      </c>
      <c r="B29" s="39" t="inlineStr">
        <is>
          <t>B0DDTX7FF7</t>
        </is>
      </c>
      <c r="C29" s="39" t="inlineStr">
        <is>
          <t>SS-BAMBOO-TAUPE-FULL-6PCS</t>
        </is>
      </c>
      <c r="D29" s="39" t="inlineStr">
        <is>
          <t>SLEEP SANCTUARY 100% Viscose Derived from Bamboo Sheets Full Size, 6 Pc Set</t>
        </is>
      </c>
      <c r="E29" s="39" t="inlineStr">
        <is>
          <t>Full</t>
        </is>
      </c>
      <c r="F29" s="39" t="inlineStr">
        <is>
          <t>Taupe</t>
        </is>
      </c>
      <c r="G29" s="73" t="n">
        <v>59.99</v>
      </c>
      <c r="H29" s="39" t="inlineStr">
        <is>
          <t>catalog price, 2026-10-13</t>
        </is>
      </c>
      <c r="I29" s="74" t="n">
        <v>59.99</v>
      </c>
      <c r="J29" s="75" t="inlineStr">
        <is>
          <t>2026-03-30</t>
        </is>
      </c>
      <c r="K29" s="40" t="n">
        <v>13.37</v>
      </c>
      <c r="L29" s="76" t="n">
        <v>0.2228704784130689</v>
      </c>
      <c r="M29" s="77" t="n">
        <v>2</v>
      </c>
      <c r="N29" s="39" t="inlineStr">
        <is>
          <t>Active</t>
        </is>
      </c>
      <c r="O29" s="39" t="n"/>
      <c r="P29" s="78" t="n">
        <v>4.5</v>
      </c>
      <c r="Q29" s="77" t="n">
        <v>320</v>
      </c>
      <c r="R29" s="77" t="n">
        <v>252428</v>
      </c>
      <c r="S29" s="77" t="n">
        <v>2</v>
      </c>
      <c r="T29" s="39" t="n"/>
    </row>
    <row r="30" ht="62" customHeight="1">
      <c r="A30" s="12">
        <f>_xlfn.IMAGE("https://m.media-amazon.com/images/I/81J8TKpSqnL.jpg")</f>
        <v/>
      </c>
      <c r="B30" s="39" t="inlineStr">
        <is>
          <t>B0DDTXJJCS</t>
        </is>
      </c>
      <c r="C30" s="39" t="inlineStr">
        <is>
          <t>SS-BAMBOO-NAVY-BLUE-KING-6PCS</t>
        </is>
      </c>
      <c r="D30" s="39" t="inlineStr">
        <is>
          <t>SLEEP SANCTUARY 100% Viscose Derived from Bamboo Sheets King Size, 6 Pc Set</t>
        </is>
      </c>
      <c r="E30" s="39" t="inlineStr">
        <is>
          <t>King</t>
        </is>
      </c>
      <c r="F30" s="39" t="inlineStr">
        <is>
          <t>Navy Blue</t>
        </is>
      </c>
      <c r="G30" s="40" t="n"/>
      <c r="H30" s="39" t="n"/>
      <c r="I30" s="74" t="n">
        <v>69.98999999999999</v>
      </c>
      <c r="J30" s="75" t="inlineStr">
        <is>
          <t>2026-03-30</t>
        </is>
      </c>
      <c r="K30" s="40" t="n">
        <v>20.23</v>
      </c>
      <c r="L30" s="76" t="n">
        <v>0.2890412916130876</v>
      </c>
      <c r="M30" s="77" t="n">
        <v>2</v>
      </c>
      <c r="N30" s="39" t="inlineStr">
        <is>
          <t>Inactive</t>
        </is>
      </c>
      <c r="O30" s="39" t="n"/>
      <c r="P30" s="78" t="n"/>
      <c r="Q30" s="77" t="n"/>
      <c r="R30" s="77" t="n"/>
      <c r="S30" s="77" t="n"/>
      <c r="T30" s="39" t="n"/>
    </row>
    <row r="31" ht="62" customHeight="1">
      <c r="A31" s="12">
        <f>_xlfn.IMAGE("https://m.media-amazon.com/images/I/816FDcFUTdL.jpg")</f>
        <v/>
      </c>
      <c r="B31" s="39" t="inlineStr">
        <is>
          <t>B0DDTX2YF4</t>
        </is>
      </c>
      <c r="C31" s="39" t="inlineStr">
        <is>
          <t>SS-BAMBOO-LIGHT-BLUE-TWIN-4PCS</t>
        </is>
      </c>
      <c r="D31" s="39" t="inlineStr">
        <is>
          <t>SLEEP SANCTUARY 100% Viscose Derived from Bamboo Sheets Twin Size, 4 Pc Set</t>
        </is>
      </c>
      <c r="E31" s="39" t="inlineStr">
        <is>
          <t>Twin</t>
        </is>
      </c>
      <c r="F31" s="39" t="inlineStr">
        <is>
          <t>Light Blue</t>
        </is>
      </c>
      <c r="G31" s="73" t="n">
        <v>54.99</v>
      </c>
      <c r="H31" s="39" t="inlineStr">
        <is>
          <t>catalog price, 2026-10-13</t>
        </is>
      </c>
      <c r="I31" s="74" t="n">
        <v>54.99</v>
      </c>
      <c r="J31" s="75" t="inlineStr">
        <is>
          <t>2026-03-30</t>
        </is>
      </c>
      <c r="K31" s="40" t="n">
        <v>18.52</v>
      </c>
      <c r="L31" s="76" t="n">
        <v>0.3367885070012729</v>
      </c>
      <c r="M31" s="77" t="n">
        <v>2</v>
      </c>
      <c r="N31" s="39" t="inlineStr">
        <is>
          <t>Active</t>
        </is>
      </c>
      <c r="O31" s="39" t="n"/>
      <c r="P31" s="78" t="n">
        <v>4.5</v>
      </c>
      <c r="Q31" s="77" t="n">
        <v>320</v>
      </c>
      <c r="R31" s="77" t="n">
        <v>252421</v>
      </c>
      <c r="S31" s="77" t="n">
        <v>3</v>
      </c>
      <c r="T31" s="39" t="n"/>
    </row>
    <row r="32" ht="62" customHeight="1">
      <c r="A32" s="12">
        <f>_xlfn.IMAGE("https://m.media-amazon.com/images/I/81m46CO0QIL.jpg")</f>
        <v/>
      </c>
      <c r="B32" s="39" t="inlineStr">
        <is>
          <t>B0DDTZD7T1</t>
        </is>
      </c>
      <c r="C32" s="39" t="inlineStr">
        <is>
          <t>SS-BAMBOO-LIGHT-PINK-TWIN-4PCS</t>
        </is>
      </c>
      <c r="D32" s="39" t="inlineStr">
        <is>
          <t>SLEEP SANCTUARY 100% Viscose Derived from Bamboo Sheets Twin Size, 4 Pc Set</t>
        </is>
      </c>
      <c r="E32" s="39" t="inlineStr">
        <is>
          <t>Twin</t>
        </is>
      </c>
      <c r="F32" s="39" t="inlineStr">
        <is>
          <t>Light Pink</t>
        </is>
      </c>
      <c r="G32" s="40" t="n"/>
      <c r="H32" s="39" t="n"/>
      <c r="I32" s="74" t="n">
        <v>59.99</v>
      </c>
      <c r="J32" s="75" t="inlineStr">
        <is>
          <t>2026-03-30</t>
        </is>
      </c>
      <c r="K32" s="40" t="n">
        <v>23.31</v>
      </c>
      <c r="L32" s="76" t="n">
        <v>0.3885647607934655</v>
      </c>
      <c r="M32" s="77" t="n">
        <v>2</v>
      </c>
      <c r="N32" s="39" t="inlineStr">
        <is>
          <t>Inactive</t>
        </is>
      </c>
      <c r="O32" s="39" t="n"/>
      <c r="P32" s="78" t="n"/>
      <c r="Q32" s="77" t="n"/>
      <c r="R32" s="77" t="n"/>
      <c r="S32" s="77" t="n"/>
      <c r="T32" s="39" t="n"/>
    </row>
    <row r="33" ht="62" customHeight="1">
      <c r="A33" s="12">
        <f>_xlfn.IMAGE("https://m.media-amazon.com/images/I/81m46CO0QIL.jpg")</f>
        <v/>
      </c>
      <c r="B33" s="39" t="inlineStr">
        <is>
          <t>B0DDTXV2V8</t>
        </is>
      </c>
      <c r="C33" s="39" t="inlineStr">
        <is>
          <t>SS-BAMBOO-LIGHT-PINK-CALIFKING-6PCS</t>
        </is>
      </c>
      <c r="D33" s="39" t="inlineStr">
        <is>
          <t>SLEEP SANCTUARY 100% Viscose Derived from Bamboo Sheets California King</t>
        </is>
      </c>
      <c r="E33" s="39" t="inlineStr">
        <is>
          <t>California King</t>
        </is>
      </c>
      <c r="F33" s="39" t="inlineStr">
        <is>
          <t>Light Pink</t>
        </is>
      </c>
      <c r="G33" s="73" t="n">
        <v>69.98999999999999</v>
      </c>
      <c r="H33" s="39" t="inlineStr">
        <is>
          <t>catalog price, 2026-10-13</t>
        </is>
      </c>
      <c r="I33" s="74" t="n">
        <v>69.98999999999999</v>
      </c>
      <c r="J33" s="75" t="inlineStr">
        <is>
          <t>2026-03-30</t>
        </is>
      </c>
      <c r="K33" s="40" t="n"/>
      <c r="L33" s="76" t="n"/>
      <c r="M33" s="77" t="n">
        <v>1</v>
      </c>
      <c r="N33" s="39" t="inlineStr">
        <is>
          <t>Active</t>
        </is>
      </c>
      <c r="O33" s="39" t="n"/>
      <c r="P33" s="78" t="n">
        <v>4.5</v>
      </c>
      <c r="Q33" s="77" t="n">
        <v>320</v>
      </c>
      <c r="R33" s="77" t="n">
        <v>252421</v>
      </c>
      <c r="S33" s="77" t="n">
        <v>0.9129</v>
      </c>
      <c r="T33" s="39" t="n"/>
    </row>
    <row r="34" ht="62" customHeight="1">
      <c r="A34" s="12">
        <f>_xlfn.IMAGE("https://m.media-amazon.com/images/I/81OYgRHDGkL.jpg")</f>
        <v/>
      </c>
      <c r="B34" s="39" t="inlineStr">
        <is>
          <t>B0DDTXTR71</t>
        </is>
      </c>
      <c r="C34" s="39" t="inlineStr">
        <is>
          <t>SS-BAMBOO-PURPLE-CALIFKING-6PCS</t>
        </is>
      </c>
      <c r="D34" s="39" t="inlineStr">
        <is>
          <t>SLEEP SANCTUARY 100% Viscose Derived from Bamboo Sheets California King</t>
        </is>
      </c>
      <c r="E34" s="39" t="inlineStr">
        <is>
          <t>California King</t>
        </is>
      </c>
      <c r="F34" s="39" t="inlineStr">
        <is>
          <t>Purple</t>
        </is>
      </c>
      <c r="G34" s="73" t="n">
        <v>69.98999999999999</v>
      </c>
      <c r="H34" s="39" t="inlineStr">
        <is>
          <t>catalog price, 2026-10-13</t>
        </is>
      </c>
      <c r="I34" s="74" t="n">
        <v>69.98999999999999</v>
      </c>
      <c r="J34" s="75" t="inlineStr">
        <is>
          <t>2026-03-30</t>
        </is>
      </c>
      <c r="K34" s="40" t="n">
        <v>14.09999999999999</v>
      </c>
      <c r="L34" s="76" t="n">
        <v>0.2014573510501499</v>
      </c>
      <c r="M34" s="77" t="n">
        <v>1</v>
      </c>
      <c r="N34" s="39" t="inlineStr">
        <is>
          <t>Active</t>
        </is>
      </c>
      <c r="O34" s="39" t="n"/>
      <c r="P34" s="78" t="n">
        <v>4.5</v>
      </c>
      <c r="Q34" s="77" t="n">
        <v>320</v>
      </c>
      <c r="R34" s="77" t="n">
        <v>252421</v>
      </c>
      <c r="S34" s="77" t="n">
        <v>0.6229</v>
      </c>
      <c r="T34" s="39" t="n"/>
    </row>
    <row r="35" ht="62" customHeight="1">
      <c r="A35" s="12">
        <f>_xlfn.IMAGE("https://m.media-amazon.com/images/I/81-gFHGwlNL.jpg")</f>
        <v/>
      </c>
      <c r="B35" s="39" t="inlineStr">
        <is>
          <t>B0DDTYX8VX</t>
        </is>
      </c>
      <c r="C35" s="39" t="inlineStr">
        <is>
          <t>SS-BAMBOO-BLACK-FULL-6PCS</t>
        </is>
      </c>
      <c r="D35" s="39" t="inlineStr">
        <is>
          <t>SLEEP SANCTUARY 100% Viscose Derived from Bamboo Sheets Full Size, 6 Pc Set</t>
        </is>
      </c>
      <c r="E35" s="39" t="inlineStr">
        <is>
          <t>Full</t>
        </is>
      </c>
      <c r="F35" s="39" t="inlineStr">
        <is>
          <t>Black</t>
        </is>
      </c>
      <c r="G35" s="73" t="n">
        <v>59.99</v>
      </c>
      <c r="H35" s="39" t="inlineStr">
        <is>
          <t>catalog price, 2026-10-13</t>
        </is>
      </c>
      <c r="I35" s="74" t="n">
        <v>59.99</v>
      </c>
      <c r="J35" s="75" t="inlineStr">
        <is>
          <t>2026-03-30</t>
        </is>
      </c>
      <c r="K35" s="40" t="n">
        <v>12.99</v>
      </c>
      <c r="L35" s="76" t="n">
        <v>0.2165360893482248</v>
      </c>
      <c r="M35" s="77" t="n">
        <v>1</v>
      </c>
      <c r="N35" s="39" t="inlineStr">
        <is>
          <t>Active</t>
        </is>
      </c>
      <c r="O35" s="39" t="n"/>
      <c r="P35" s="78" t="n">
        <v>4.5</v>
      </c>
      <c r="Q35" s="77" t="n">
        <v>320</v>
      </c>
      <c r="R35" s="77" t="n">
        <v>252421</v>
      </c>
      <c r="S35" s="77" t="n">
        <v>2</v>
      </c>
      <c r="T35" s="39" t="n"/>
    </row>
    <row r="36" ht="62" customHeight="1">
      <c r="A36" s="12">
        <f>_xlfn.IMAGE("https://m.media-amazon.com/images/I/81-K98kycZL.jpg")</f>
        <v/>
      </c>
      <c r="B36" s="39" t="inlineStr">
        <is>
          <t>B0DDTYHW5S</t>
        </is>
      </c>
      <c r="C36" s="39" t="inlineStr">
        <is>
          <t>SS-BAMBOO-LIGHT-BLUE-FULL-6PCS</t>
        </is>
      </c>
      <c r="D36" s="39" t="inlineStr">
        <is>
          <t>SLEEP SANCTUARY 100% Viscose Derived from Bamboo Sheets Full Size, 6 Pc Set</t>
        </is>
      </c>
      <c r="E36" s="39" t="inlineStr">
        <is>
          <t>Full</t>
        </is>
      </c>
      <c r="F36" s="39" t="inlineStr">
        <is>
          <t>Light Blue</t>
        </is>
      </c>
      <c r="G36" s="73" t="n">
        <v>59.99</v>
      </c>
      <c r="H36" s="39" t="inlineStr">
        <is>
          <t>catalog price, 2026-10-13</t>
        </is>
      </c>
      <c r="I36" s="74" t="n">
        <v>59.99</v>
      </c>
      <c r="J36" s="75" t="inlineStr">
        <is>
          <t>2026-03-30</t>
        </is>
      </c>
      <c r="K36" s="40" t="n"/>
      <c r="L36" s="76" t="n"/>
      <c r="M36" s="77" t="n">
        <v>1</v>
      </c>
      <c r="N36" s="39" t="inlineStr">
        <is>
          <t>Active</t>
        </is>
      </c>
      <c r="O36" s="39" t="n"/>
      <c r="P36" s="78" t="n">
        <v>4.5</v>
      </c>
      <c r="Q36" s="77" t="n">
        <v>320</v>
      </c>
      <c r="R36" s="77" t="n">
        <v>252421</v>
      </c>
      <c r="S36" s="77" t="n">
        <v>2</v>
      </c>
      <c r="T36" s="39" t="n"/>
    </row>
    <row r="37" ht="62" customHeight="1">
      <c r="A37" s="12">
        <f>_xlfn.IMAGE("https://m.media-amazon.com/images/I/81RzJWI5XAL.jpg")</f>
        <v/>
      </c>
      <c r="B37" s="39" t="inlineStr">
        <is>
          <t>B0DDTWSK28</t>
        </is>
      </c>
      <c r="C37" s="39" t="inlineStr">
        <is>
          <t>SS-BAMBOO-MIDGREY-FULL-6PCS</t>
        </is>
      </c>
      <c r="D37" s="39" t="inlineStr">
        <is>
          <t>SLEEP SANCTUARY 100% Viscose Derived from Bamboo Sheets Full Size, 6 Pc Set</t>
        </is>
      </c>
      <c r="E37" s="39" t="inlineStr">
        <is>
          <t>Full</t>
        </is>
      </c>
      <c r="F37" s="39" t="inlineStr">
        <is>
          <t>Midgrey</t>
        </is>
      </c>
      <c r="G37" s="73" t="n">
        <v>59.99</v>
      </c>
      <c r="H37" s="39" t="inlineStr">
        <is>
          <t>catalog price, 2026-10-13</t>
        </is>
      </c>
      <c r="I37" s="74" t="n">
        <v>59.99</v>
      </c>
      <c r="J37" s="75" t="inlineStr">
        <is>
          <t>2026-03-30</t>
        </is>
      </c>
      <c r="K37" s="40" t="n">
        <v>13.27</v>
      </c>
      <c r="L37" s="76" t="n">
        <v>0.2212035339223204</v>
      </c>
      <c r="M37" s="77" t="n">
        <v>1</v>
      </c>
      <c r="N37" s="39" t="inlineStr">
        <is>
          <t>Active</t>
        </is>
      </c>
      <c r="O37" s="39" t="n"/>
      <c r="P37" s="78" t="n">
        <v>4.5</v>
      </c>
      <c r="Q37" s="77" t="n">
        <v>320</v>
      </c>
      <c r="R37" s="77" t="n">
        <v>252421</v>
      </c>
      <c r="S37" s="77" t="n">
        <v>1</v>
      </c>
      <c r="T37" s="39" t="n"/>
    </row>
    <row r="38" ht="62" customHeight="1">
      <c r="A38" s="12">
        <f>_xlfn.IMAGE("https://m.media-amazon.com/images/I/81mJdrNJffL.jpg")</f>
        <v/>
      </c>
      <c r="B38" s="39" t="inlineStr">
        <is>
          <t>B0DDTY6Y4Q</t>
        </is>
      </c>
      <c r="C38" s="39" t="inlineStr">
        <is>
          <t>SS-BAMBOO-OLIVE-FULL-6PCS</t>
        </is>
      </c>
      <c r="D38" s="39" t="inlineStr">
        <is>
          <t>SLEEP SANCTUARY 100% Viscose Derived from Bamboo Sheets Full Size, 6 Pc Set</t>
        </is>
      </c>
      <c r="E38" s="39" t="inlineStr">
        <is>
          <t>Full</t>
        </is>
      </c>
      <c r="F38" s="39" t="inlineStr">
        <is>
          <t>Olive</t>
        </is>
      </c>
      <c r="G38" s="73" t="n">
        <v>59.99</v>
      </c>
      <c r="H38" s="39" t="inlineStr">
        <is>
          <t>catalog price, 2026-10-13</t>
        </is>
      </c>
      <c r="I38" s="74" t="n">
        <v>59.99</v>
      </c>
      <c r="J38" s="75" t="inlineStr">
        <is>
          <t>2026-03-30</t>
        </is>
      </c>
      <c r="K38" s="40" t="n">
        <v>13.27</v>
      </c>
      <c r="L38" s="76" t="n">
        <v>0.2212035339223204</v>
      </c>
      <c r="M38" s="77" t="n">
        <v>1</v>
      </c>
      <c r="N38" s="39" t="inlineStr">
        <is>
          <t>Active</t>
        </is>
      </c>
      <c r="O38" s="39" t="n"/>
      <c r="P38" s="78" t="n">
        <v>4.5</v>
      </c>
      <c r="Q38" s="77" t="n">
        <v>320</v>
      </c>
      <c r="R38" s="77" t="n">
        <v>252421</v>
      </c>
      <c r="S38" s="77" t="n">
        <v>1</v>
      </c>
      <c r="T38" s="39" t="n"/>
    </row>
    <row r="39" ht="62" customHeight="1">
      <c r="A39" s="12">
        <f>_xlfn.IMAGE("https://m.media-amazon.com/images/I/81ckcfUOuYL.jpg")</f>
        <v/>
      </c>
      <c r="B39" s="39" t="inlineStr">
        <is>
          <t>B0DDTZ1LKN</t>
        </is>
      </c>
      <c r="C39" s="39" t="inlineStr">
        <is>
          <t>SS-BAMBOO-CREME-KING-6PCS</t>
        </is>
      </c>
      <c r="D39" s="39" t="inlineStr">
        <is>
          <t>SLEEP SANCTUARY 100% Viscose Derived from Bamboo Sheets King Size, 6 Pc Set</t>
        </is>
      </c>
      <c r="E39" s="39" t="inlineStr">
        <is>
          <t>King</t>
        </is>
      </c>
      <c r="F39" s="39" t="inlineStr">
        <is>
          <t>Creme</t>
        </is>
      </c>
      <c r="G39" s="40" t="n"/>
      <c r="H39" s="39" t="n"/>
      <c r="I39" s="74" t="n">
        <v>69.98999999999999</v>
      </c>
      <c r="J39" s="75" t="inlineStr">
        <is>
          <t>2026-03-30</t>
        </is>
      </c>
      <c r="K39" s="40" t="n">
        <v>18.10999999999999</v>
      </c>
      <c r="L39" s="76" t="n">
        <v>0.2587512501785968</v>
      </c>
      <c r="M39" s="77" t="n">
        <v>1</v>
      </c>
      <c r="N39" s="39" t="inlineStr">
        <is>
          <t>Inactive</t>
        </is>
      </c>
      <c r="O39" s="39" t="n"/>
      <c r="P39" s="78" t="n"/>
      <c r="Q39" s="77" t="n"/>
      <c r="R39" s="77" t="n"/>
      <c r="S39" s="77" t="n"/>
      <c r="T39" s="39" t="n"/>
    </row>
    <row r="40" ht="62" customHeight="1">
      <c r="A40" s="12">
        <f>_xlfn.IMAGE("https://m.media-amazon.com/images/I/816FDcFUTdL.jpg")</f>
        <v/>
      </c>
      <c r="B40" s="39" t="inlineStr">
        <is>
          <t>B0DDV25KDZ</t>
        </is>
      </c>
      <c r="C40" s="39" t="inlineStr">
        <is>
          <t>SS-BAMBOO-LIGHT-BLUE-KING-6PCS</t>
        </is>
      </c>
      <c r="D40" s="39" t="inlineStr">
        <is>
          <t>SLEEP SANCTUARY 100% Viscose Derived from Bamboo Sheets King Size, 6 Pc Set</t>
        </is>
      </c>
      <c r="E40" s="39" t="inlineStr">
        <is>
          <t>King</t>
        </is>
      </c>
      <c r="F40" s="39" t="inlineStr">
        <is>
          <t>Light Blue</t>
        </is>
      </c>
      <c r="G40" s="40" t="n"/>
      <c r="H40" s="39" t="n"/>
      <c r="I40" s="74" t="n">
        <v>69.98999999999999</v>
      </c>
      <c r="J40" s="75" t="inlineStr">
        <is>
          <t>2026-03-30</t>
        </is>
      </c>
      <c r="K40" s="40" t="n">
        <v>18.83999999999999</v>
      </c>
      <c r="L40" s="76" t="n">
        <v>0.2691813116159451</v>
      </c>
      <c r="M40" s="77" t="n">
        <v>1</v>
      </c>
      <c r="N40" s="39" t="inlineStr">
        <is>
          <t>Inactive</t>
        </is>
      </c>
      <c r="O40" s="39" t="n"/>
      <c r="P40" s="78" t="n"/>
      <c r="Q40" s="77" t="n"/>
      <c r="R40" s="77" t="n"/>
      <c r="S40" s="77" t="n"/>
      <c r="T40" s="39" t="n"/>
    </row>
    <row r="41" ht="62" customHeight="1">
      <c r="A41" s="12">
        <f>_xlfn.IMAGE("https://m.media-amazon.com/images/I/81LhmKkL6uL.jpg")</f>
        <v/>
      </c>
      <c r="B41" s="39" t="inlineStr">
        <is>
          <t>B0DDTXLQCB</t>
        </is>
      </c>
      <c r="C41" s="39" t="inlineStr">
        <is>
          <t>SS-BAMBOO-LIGHT-OLIVE-QUEEN-6PCS</t>
        </is>
      </c>
      <c r="D41" s="39" t="inlineStr">
        <is>
          <t>SLEEP SANCTUARY 100% Viscose Derived from Bamboo Sheets Queen Size 6 Pc Set</t>
        </is>
      </c>
      <c r="E41" s="39" t="inlineStr">
        <is>
          <t>Queen</t>
        </is>
      </c>
      <c r="F41" s="39" t="inlineStr">
        <is>
          <t>Light Olive</t>
        </is>
      </c>
      <c r="G41" s="73" t="n">
        <v>71.98999999999999</v>
      </c>
      <c r="H41" s="39" t="inlineStr">
        <is>
          <t>catalog price, 2026-10-13</t>
        </is>
      </c>
      <c r="I41" s="74" t="n">
        <v>64.98999999999999</v>
      </c>
      <c r="J41" s="75" t="inlineStr">
        <is>
          <t>2026-03-30</t>
        </is>
      </c>
      <c r="K41" s="40" t="n">
        <v>20.88</v>
      </c>
      <c r="L41" s="76" t="n">
        <v>0.3212801969533774</v>
      </c>
      <c r="M41" s="77" t="n">
        <v>1</v>
      </c>
      <c r="N41" s="39" t="inlineStr">
        <is>
          <t>Active</t>
        </is>
      </c>
      <c r="O41" s="39" t="n"/>
      <c r="P41" s="78" t="n">
        <v>4.5</v>
      </c>
      <c r="Q41" s="77" t="n">
        <v>320</v>
      </c>
      <c r="R41" s="77" t="n">
        <v>252421</v>
      </c>
      <c r="S41" s="77" t="n">
        <v>0.372</v>
      </c>
      <c r="T41" s="39" t="n"/>
    </row>
    <row r="42" ht="62" customHeight="1">
      <c r="A42" s="12">
        <f>_xlfn.IMAGE("https://m.media-amazon.com/images/I/81J8TKpSqnL.jpg")</f>
        <v/>
      </c>
      <c r="B42" s="39" t="inlineStr">
        <is>
          <t>B0DDTZ4C2J</t>
        </is>
      </c>
      <c r="C42" s="39" t="inlineStr">
        <is>
          <t>SS-BAMBOO-NAVY-BLUE-TWIN-4PCS</t>
        </is>
      </c>
      <c r="D42" s="39" t="inlineStr">
        <is>
          <t>SLEEP SANCTUARY 100% Viscose Derived from Bamboo Sheets Twin Size, 4 Pc Set</t>
        </is>
      </c>
      <c r="E42" s="39" t="inlineStr">
        <is>
          <t>Twin</t>
        </is>
      </c>
      <c r="F42" s="39" t="inlineStr">
        <is>
          <t>Navy Blue</t>
        </is>
      </c>
      <c r="G42" s="73" t="n">
        <v>54.99</v>
      </c>
      <c r="H42" s="39" t="inlineStr">
        <is>
          <t>catalog price, 2026-10-13</t>
        </is>
      </c>
      <c r="I42" s="74" t="n">
        <v>54.99</v>
      </c>
      <c r="J42" s="75" t="inlineStr">
        <is>
          <t>2026-03-30</t>
        </is>
      </c>
      <c r="K42" s="40" t="n">
        <v>18.52</v>
      </c>
      <c r="L42" s="76" t="n">
        <v>0.3367885070012729</v>
      </c>
      <c r="M42" s="77" t="n">
        <v>1</v>
      </c>
      <c r="N42" s="39" t="inlineStr">
        <is>
          <t>Active</t>
        </is>
      </c>
      <c r="O42" s="39" t="n"/>
      <c r="P42" s="78" t="n">
        <v>4.5</v>
      </c>
      <c r="Q42" s="77" t="n">
        <v>320</v>
      </c>
      <c r="R42" s="77" t="n">
        <v>252421</v>
      </c>
      <c r="S42" s="77" t="n">
        <v>3</v>
      </c>
      <c r="T42" s="39" t="n"/>
    </row>
    <row r="43" ht="62" customHeight="1">
      <c r="A43" s="12">
        <f>_xlfn.IMAGE("https://m.media-amazon.com/images/I/81O1Qx5WReL.jpg")</f>
        <v/>
      </c>
      <c r="B43" s="39" t="inlineStr">
        <is>
          <t>B0DDTXNVYK</t>
        </is>
      </c>
      <c r="C43" s="39" t="inlineStr">
        <is>
          <t>SS-BAMBOO-BURGUNDY-CALIFKING-6PCS</t>
        </is>
      </c>
      <c r="D43" s="39" t="inlineStr">
        <is>
          <t>SLEEP SANCTUARY 100% Viscose Derived from Bamboo Sheets California King</t>
        </is>
      </c>
      <c r="E43" s="39" t="inlineStr">
        <is>
          <t>California King</t>
        </is>
      </c>
      <c r="F43" s="39" t="inlineStr">
        <is>
          <t>Burgundy</t>
        </is>
      </c>
      <c r="G43" s="40" t="n"/>
      <c r="H43" s="39" t="n"/>
      <c r="I43" s="74" t="n">
        <v>69.98999999999999</v>
      </c>
      <c r="J43" s="75" t="inlineStr">
        <is>
          <t>2026-03-30</t>
        </is>
      </c>
      <c r="K43" s="40" t="n">
        <v>16.91999999999999</v>
      </c>
      <c r="L43" s="76" t="n">
        <v>0.24174882126018</v>
      </c>
      <c r="M43" s="77" t="n"/>
      <c r="N43" s="39" t="inlineStr">
        <is>
          <t>Inactive</t>
        </is>
      </c>
      <c r="O43" s="39" t="n"/>
      <c r="P43" s="78" t="n"/>
      <c r="Q43" s="77" t="n"/>
      <c r="R43" s="77" t="n"/>
      <c r="S43" s="77" t="n"/>
      <c r="T43" s="39" t="n"/>
    </row>
    <row r="44" ht="62" customHeight="1">
      <c r="A44" s="12">
        <f>_xlfn.IMAGE("https://m.media-amazon.com/images/I/81ErpAIAdIL.jpg")</f>
        <v/>
      </c>
      <c r="B44" s="39" t="inlineStr">
        <is>
          <t>B0DDTWZT86</t>
        </is>
      </c>
      <c r="C44" s="39" t="inlineStr">
        <is>
          <t>SS-BAMBOO-CHARCOAL-CALIFKING-6PCS</t>
        </is>
      </c>
      <c r="D44" s="39" t="inlineStr">
        <is>
          <t>SLEEP SANCTUARY 100% Viscose Derived from Bamboo Sheets California King</t>
        </is>
      </c>
      <c r="E44" s="39" t="inlineStr">
        <is>
          <t>California King</t>
        </is>
      </c>
      <c r="F44" s="39" t="inlineStr">
        <is>
          <t>Charcoal</t>
        </is>
      </c>
      <c r="G44" s="40" t="n"/>
      <c r="H44" s="39" t="n"/>
      <c r="I44" s="74" t="n">
        <v>69.98999999999999</v>
      </c>
      <c r="J44" s="75" t="inlineStr">
        <is>
          <t>2026-03-30</t>
        </is>
      </c>
      <c r="K44" s="40" t="n">
        <v>16.91999999999999</v>
      </c>
      <c r="L44" s="76" t="n">
        <v>0.24174882126018</v>
      </c>
      <c r="M44" s="77" t="n"/>
      <c r="N44" s="39" t="inlineStr">
        <is>
          <t>Inactive</t>
        </is>
      </c>
      <c r="O44" s="39" t="n"/>
      <c r="P44" s="78" t="n"/>
      <c r="Q44" s="77" t="n"/>
      <c r="R44" s="77" t="n"/>
      <c r="S44" s="77" t="n"/>
      <c r="T44" s="39" t="n"/>
    </row>
    <row r="45" ht="62" customHeight="1">
      <c r="A45" s="12">
        <f>_xlfn.IMAGE("https://m.media-amazon.com/images/I/81ckcfUOuYL.jpg")</f>
        <v/>
      </c>
      <c r="B45" s="39" t="inlineStr">
        <is>
          <t>B0DDTZ2YH2</t>
        </is>
      </c>
      <c r="C45" s="39" t="inlineStr">
        <is>
          <t>SS-BAMBOO-CREME-CALIFKING-6PCS</t>
        </is>
      </c>
      <c r="D45" s="39" t="inlineStr">
        <is>
          <t>SLEEP SANCTUARY 100% Viscose Derived from Bamboo Sheets California King</t>
        </is>
      </c>
      <c r="E45" s="39" t="inlineStr">
        <is>
          <t>California King</t>
        </is>
      </c>
      <c r="F45" s="39" t="inlineStr">
        <is>
          <t>Creme</t>
        </is>
      </c>
      <c r="G45" s="40" t="n"/>
      <c r="H45" s="39" t="n"/>
      <c r="I45" s="74" t="n">
        <v>69.98999999999999</v>
      </c>
      <c r="J45" s="75" t="inlineStr">
        <is>
          <t>2026-03-28</t>
        </is>
      </c>
      <c r="K45" s="40" t="n">
        <v>16.91999999999999</v>
      </c>
      <c r="L45" s="76" t="n">
        <v>0.24174882126018</v>
      </c>
      <c r="M45" s="77" t="n"/>
      <c r="N45" s="39" t="inlineStr">
        <is>
          <t>Inactive</t>
        </is>
      </c>
      <c r="O45" s="39" t="n"/>
      <c r="P45" s="78" t="n"/>
      <c r="Q45" s="77" t="n"/>
      <c r="R45" s="77" t="n"/>
      <c r="S45" s="77" t="n"/>
      <c r="T45" s="39" t="n"/>
    </row>
    <row r="46" ht="62" customHeight="1">
      <c r="A46" s="12">
        <f>_xlfn.IMAGE("https://m.media-amazon.com/images/I/81PScXYeYiL.jpg")</f>
        <v/>
      </c>
      <c r="B46" s="39" t="inlineStr">
        <is>
          <t>B0DDTXZX13</t>
        </is>
      </c>
      <c r="C46" s="39" t="inlineStr">
        <is>
          <t>SS-BAMBOO-GREY-CALIFKING-6PCS</t>
        </is>
      </c>
      <c r="D46" s="39" t="inlineStr">
        <is>
          <t>SLEEP SANCTUARY 100% Viscose Derived from Bamboo Sheets California King</t>
        </is>
      </c>
      <c r="E46" s="39" t="inlineStr">
        <is>
          <t>California King</t>
        </is>
      </c>
      <c r="F46" s="39" t="inlineStr">
        <is>
          <t>Grey</t>
        </is>
      </c>
      <c r="G46" s="40" t="n"/>
      <c r="H46" s="39" t="n"/>
      <c r="I46" s="74" t="n">
        <v>69.98999999999999</v>
      </c>
      <c r="J46" s="75" t="inlineStr">
        <is>
          <t>2026-03-30</t>
        </is>
      </c>
      <c r="K46" s="40" t="n">
        <v>16.91999999999999</v>
      </c>
      <c r="L46" s="76" t="n">
        <v>0.24174882126018</v>
      </c>
      <c r="M46" s="77" t="n"/>
      <c r="N46" s="39" t="inlineStr">
        <is>
          <t>Inactive</t>
        </is>
      </c>
      <c r="O46" s="39" t="n"/>
      <c r="P46" s="78" t="n"/>
      <c r="Q46" s="77" t="n"/>
      <c r="R46" s="77" t="n"/>
      <c r="S46" s="77" t="n"/>
      <c r="T46" s="39" t="n"/>
    </row>
    <row r="47" ht="62" customHeight="1">
      <c r="A47" s="12">
        <f>_xlfn.IMAGE("https://m.media-amazon.com/images/I/816FDcFUTdL.jpg")</f>
        <v/>
      </c>
      <c r="B47" s="39" t="inlineStr">
        <is>
          <t>B0DDTYVFCL</t>
        </is>
      </c>
      <c r="C47" s="39" t="inlineStr">
        <is>
          <t>SS-BAMBOO-LIGHT-BLUE-CALIFKING-6PCS</t>
        </is>
      </c>
      <c r="D47" s="39" t="inlineStr">
        <is>
          <t>SLEEP SANCTUARY 100% Viscose Derived from Bamboo Sheets California King</t>
        </is>
      </c>
      <c r="E47" s="39" t="inlineStr">
        <is>
          <t>California King</t>
        </is>
      </c>
      <c r="F47" s="39" t="inlineStr">
        <is>
          <t>Light Blue</t>
        </is>
      </c>
      <c r="G47" s="40" t="n"/>
      <c r="H47" s="39" t="n"/>
      <c r="I47" s="74" t="n">
        <v>69.98999999999999</v>
      </c>
      <c r="J47" s="75" t="inlineStr">
        <is>
          <t>2026-03-30</t>
        </is>
      </c>
      <c r="K47" s="40" t="n">
        <v>18.88</v>
      </c>
      <c r="L47" s="76" t="n">
        <v>0.2697528218316902</v>
      </c>
      <c r="M47" s="77" t="n"/>
      <c r="N47" s="39" t="inlineStr">
        <is>
          <t>Inactive</t>
        </is>
      </c>
      <c r="O47" s="39" t="n"/>
      <c r="P47" s="78" t="n"/>
      <c r="Q47" s="77" t="n"/>
      <c r="R47" s="77" t="n"/>
      <c r="S47" s="77" t="n"/>
      <c r="T47" s="39" t="n"/>
    </row>
    <row r="48" ht="62" customHeight="1">
      <c r="A48" s="12">
        <f>_xlfn.IMAGE("https://m.media-amazon.com/images/I/81HYlJCAVCL.jpg")</f>
        <v/>
      </c>
      <c r="B48" s="39" t="inlineStr">
        <is>
          <t>B0DDTYRRKS</t>
        </is>
      </c>
      <c r="C48" s="39" t="inlineStr">
        <is>
          <t>SS-BAMBOO-LIGHT-GREY-CALIFKING-6PCS</t>
        </is>
      </c>
      <c r="D48" s="39" t="inlineStr">
        <is>
          <t>SLEEP SANCTUARY 100% Viscose Derived from Bamboo Sheets California King</t>
        </is>
      </c>
      <c r="E48" s="39" t="inlineStr">
        <is>
          <t>California King</t>
        </is>
      </c>
      <c r="F48" s="39" t="inlineStr">
        <is>
          <t>Light Grey</t>
        </is>
      </c>
      <c r="G48" s="40" t="n"/>
      <c r="H48" s="39" t="n"/>
      <c r="I48" s="74" t="n">
        <v>69.98999999999999</v>
      </c>
      <c r="J48" s="75" t="inlineStr">
        <is>
          <t>2026-03-30</t>
        </is>
      </c>
      <c r="K48" s="40" t="n">
        <v>18.88</v>
      </c>
      <c r="L48" s="76" t="n">
        <v>0.2697528218316902</v>
      </c>
      <c r="M48" s="77" t="n"/>
      <c r="N48" s="39" t="inlineStr">
        <is>
          <t>Inactive</t>
        </is>
      </c>
      <c r="O48" s="39" t="n"/>
      <c r="P48" s="78" t="n"/>
      <c r="Q48" s="77" t="n"/>
      <c r="R48" s="77" t="n"/>
      <c r="S48" s="77" t="n"/>
      <c r="T48" s="39" t="n"/>
    </row>
    <row r="49" ht="62" customHeight="1">
      <c r="A49" s="12">
        <f>_xlfn.IMAGE("https://m.media-amazon.com/images/I/81LhmKkL6uL.jpg")</f>
        <v/>
      </c>
      <c r="B49" s="39" t="inlineStr">
        <is>
          <t>B0DDTXFQ29</t>
        </is>
      </c>
      <c r="C49" s="39" t="inlineStr">
        <is>
          <t>SS-BAMBOO-LIGHT-OLIVE-CALIFKING-6PCS</t>
        </is>
      </c>
      <c r="D49" s="39" t="inlineStr">
        <is>
          <t>SLEEP SANCTUARY 100% Viscose Derived from Bamboo Sheets California King</t>
        </is>
      </c>
      <c r="E49" s="39" t="inlineStr">
        <is>
          <t>California King</t>
        </is>
      </c>
      <c r="F49" s="39" t="inlineStr">
        <is>
          <t>Light Olive</t>
        </is>
      </c>
      <c r="G49" s="73" t="n">
        <v>76.98999999999999</v>
      </c>
      <c r="H49" s="39" t="inlineStr">
        <is>
          <t>catalog price, 2026-10-13</t>
        </is>
      </c>
      <c r="I49" s="74" t="n">
        <v>69.98999999999999</v>
      </c>
      <c r="J49" s="75" t="inlineStr">
        <is>
          <t>2026-03-30</t>
        </is>
      </c>
      <c r="K49" s="40" t="n"/>
      <c r="L49" s="76" t="n"/>
      <c r="M49" s="77" t="n">
        <v>0</v>
      </c>
      <c r="N49" s="39" t="inlineStr">
        <is>
          <t>Active</t>
        </is>
      </c>
      <c r="O49" s="39" t="n"/>
      <c r="P49" s="78" t="n">
        <v>4.5</v>
      </c>
      <c r="Q49" s="77" t="n">
        <v>320</v>
      </c>
      <c r="R49" s="77" t="n">
        <v>252428</v>
      </c>
      <c r="S49" s="77" t="n">
        <v>0.3475</v>
      </c>
      <c r="T49" s="39" t="n"/>
    </row>
    <row r="50" ht="62" customHeight="1">
      <c r="A50" s="12">
        <f>_xlfn.IMAGE("https://m.media-amazon.com/images/I/813SaO-0dfL.jpg")</f>
        <v/>
      </c>
      <c r="B50" s="39" t="inlineStr">
        <is>
          <t>B0DDTZ8TM1</t>
        </is>
      </c>
      <c r="C50" s="39" t="inlineStr">
        <is>
          <t>SS-BAMBOO-MIDGREY-CALIFKING-6PCS</t>
        </is>
      </c>
      <c r="D50" s="39" t="inlineStr">
        <is>
          <t>SLEEP SANCTUARY 100% Viscose Derived from Bamboo Sheets California King</t>
        </is>
      </c>
      <c r="E50" s="39" t="inlineStr">
        <is>
          <t>California King</t>
        </is>
      </c>
      <c r="F50" s="39" t="inlineStr">
        <is>
          <t>Midgrey</t>
        </is>
      </c>
      <c r="G50" s="40" t="n"/>
      <c r="H50" s="39" t="n"/>
      <c r="I50" s="74" t="n">
        <v>69.98999999999999</v>
      </c>
      <c r="J50" s="75" t="inlineStr">
        <is>
          <t>2026-03-30</t>
        </is>
      </c>
      <c r="K50" s="40" t="n">
        <v>16.91999999999999</v>
      </c>
      <c r="L50" s="76" t="n">
        <v>0.24174882126018</v>
      </c>
      <c r="M50" s="77" t="n"/>
      <c r="N50" s="39" t="inlineStr">
        <is>
          <t>Inactive</t>
        </is>
      </c>
      <c r="O50" s="39" t="n"/>
      <c r="P50" s="78" t="n"/>
      <c r="Q50" s="77" t="n"/>
      <c r="R50" s="77" t="n"/>
      <c r="S50" s="77" t="n"/>
      <c r="T50" s="39" t="n"/>
    </row>
    <row r="51" ht="62" customHeight="1">
      <c r="A51" s="12">
        <f>_xlfn.IMAGE("https://m.media-amazon.com/images/I/81J8TKpSqnL.jpg")</f>
        <v/>
      </c>
      <c r="B51" s="39" t="inlineStr">
        <is>
          <t>B0DDTZ65CP</t>
        </is>
      </c>
      <c r="C51" s="39" t="inlineStr">
        <is>
          <t>SS-BAMBOO-NAVY-BLUE-CALIFKING-6PCS</t>
        </is>
      </c>
      <c r="D51" s="39" t="inlineStr">
        <is>
          <t>SLEEP SANCTUARY 100% Viscose Derived from Bamboo Sheets California King</t>
        </is>
      </c>
      <c r="E51" s="39" t="inlineStr">
        <is>
          <t>California King</t>
        </is>
      </c>
      <c r="F51" s="39" t="inlineStr">
        <is>
          <t>Navy Blue</t>
        </is>
      </c>
      <c r="G51" s="40" t="n"/>
      <c r="H51" s="39" t="n"/>
      <c r="I51" s="74" t="n">
        <v>69.98999999999999</v>
      </c>
      <c r="J51" s="75" t="inlineStr">
        <is>
          <t>2026-03-30</t>
        </is>
      </c>
      <c r="K51" s="40" t="n">
        <v>18.88</v>
      </c>
      <c r="L51" s="76" t="n">
        <v>0.2697528218316902</v>
      </c>
      <c r="M51" s="77" t="n"/>
      <c r="N51" s="39" t="inlineStr">
        <is>
          <t>Inactive</t>
        </is>
      </c>
      <c r="O51" s="39" t="n"/>
      <c r="P51" s="78" t="n"/>
      <c r="Q51" s="77" t="n"/>
      <c r="R51" s="77" t="n"/>
      <c r="S51" s="77" t="n"/>
      <c r="T51" s="39" t="n"/>
    </row>
    <row r="52" ht="62" customHeight="1">
      <c r="A52" s="12">
        <f>_xlfn.IMAGE("https://m.media-amazon.com/images/I/814QsrCzWrL.jpg")</f>
        <v/>
      </c>
      <c r="B52" s="39" t="inlineStr">
        <is>
          <t>B0DDTZGP9X</t>
        </is>
      </c>
      <c r="C52" s="39" t="inlineStr">
        <is>
          <t>SS-BAMBOO-OLIVE-CALIFKING-6PCS</t>
        </is>
      </c>
      <c r="D52" s="39" t="inlineStr">
        <is>
          <t>SLEEP SANCTUARY 100% Viscose Derived from Bamboo Sheets California King</t>
        </is>
      </c>
      <c r="E52" s="39" t="inlineStr">
        <is>
          <t>California King</t>
        </is>
      </c>
      <c r="F52" s="39" t="inlineStr">
        <is>
          <t>Olive</t>
        </is>
      </c>
      <c r="G52" s="73" t="n">
        <v>69.98999999999999</v>
      </c>
      <c r="H52" s="39" t="inlineStr">
        <is>
          <t>catalog price, 2026-10-13</t>
        </is>
      </c>
      <c r="I52" s="74" t="n">
        <v>69.98999999999999</v>
      </c>
      <c r="J52" s="75" t="inlineStr">
        <is>
          <t>2026-03-30</t>
        </is>
      </c>
      <c r="K52" s="40" t="n">
        <v>14.20999999999999</v>
      </c>
      <c r="L52" s="76" t="n">
        <v>0.203029004143449</v>
      </c>
      <c r="M52" s="77" t="n">
        <v>0</v>
      </c>
      <c r="N52" s="39" t="inlineStr">
        <is>
          <t>Active</t>
        </is>
      </c>
      <c r="O52" s="39" t="n"/>
      <c r="P52" s="78" t="n">
        <v>4.5</v>
      </c>
      <c r="Q52" s="77" t="n">
        <v>320</v>
      </c>
      <c r="R52" s="77" t="n">
        <v>252428</v>
      </c>
      <c r="S52" s="77" t="n">
        <v>0.6048</v>
      </c>
      <c r="T52" s="39" t="n"/>
    </row>
    <row r="53" ht="62" customHeight="1">
      <c r="A53" s="12">
        <f>_xlfn.IMAGE("https://m.media-amazon.com/images/I/81WXKFpyLHL.jpg")</f>
        <v/>
      </c>
      <c r="B53" s="39" t="inlineStr">
        <is>
          <t>B0DDTYS6CK</t>
        </is>
      </c>
      <c r="C53" s="39" t="inlineStr">
        <is>
          <t>SS-BAMBOO-SAGE-GREEN-CALIFKING-6PCS</t>
        </is>
      </c>
      <c r="D53" s="39" t="inlineStr">
        <is>
          <t>SLEEP SANCTUARY 100% Viscose Derived from Bamboo Sheets California King</t>
        </is>
      </c>
      <c r="E53" s="39" t="inlineStr">
        <is>
          <t>California King</t>
        </is>
      </c>
      <c r="F53" s="39" t="inlineStr">
        <is>
          <t>Sage Green</t>
        </is>
      </c>
      <c r="G53" s="40" t="n"/>
      <c r="H53" s="39" t="n"/>
      <c r="I53" s="74" t="n">
        <v>69.98999999999999</v>
      </c>
      <c r="J53" s="75" t="inlineStr">
        <is>
          <t>2026-03-30</t>
        </is>
      </c>
      <c r="K53" s="40" t="n">
        <v>20.54</v>
      </c>
      <c r="L53" s="76" t="n">
        <v>0.2934704957851121</v>
      </c>
      <c r="M53" s="77" t="n"/>
      <c r="N53" s="39" t="inlineStr">
        <is>
          <t>Inactive</t>
        </is>
      </c>
      <c r="O53" s="39" t="n"/>
      <c r="P53" s="78" t="n"/>
      <c r="Q53" s="77" t="n"/>
      <c r="R53" s="77" t="n"/>
      <c r="S53" s="77" t="n"/>
      <c r="T53" s="39" t="n"/>
    </row>
    <row r="54" ht="62" customHeight="1">
      <c r="A54" s="12">
        <f>_xlfn.IMAGE("https://m.media-amazon.com/images/I/81jP+dXApgL.jpg")</f>
        <v/>
      </c>
      <c r="B54" s="39" t="inlineStr">
        <is>
          <t>B0DDTYF7D3</t>
        </is>
      </c>
      <c r="C54" s="39" t="inlineStr">
        <is>
          <t>SS-BAMBOO-TAUPE-CALIFKING-6PCS</t>
        </is>
      </c>
      <c r="D54" s="39" t="inlineStr">
        <is>
          <t>SLEEP SANCTUARY 100% Viscose Derived from Bamboo Sheets California King</t>
        </is>
      </c>
      <c r="E54" s="39" t="inlineStr">
        <is>
          <t>California King</t>
        </is>
      </c>
      <c r="F54" s="39" t="inlineStr">
        <is>
          <t>Taupe</t>
        </is>
      </c>
      <c r="G54" s="40" t="n"/>
      <c r="H54" s="39" t="n"/>
      <c r="I54" s="40" t="n"/>
      <c r="J54" s="39" t="n"/>
      <c r="K54" s="40" t="n"/>
      <c r="L54" s="76" t="n"/>
      <c r="M54" s="77" t="n"/>
      <c r="N54" s="39" t="inlineStr">
        <is>
          <t>Inactive</t>
        </is>
      </c>
      <c r="O54" s="39" t="n"/>
      <c r="P54" s="78" t="n"/>
      <c r="Q54" s="77" t="n"/>
      <c r="R54" s="77" t="n"/>
      <c r="S54" s="77" t="n"/>
      <c r="T54" s="39" t="n"/>
    </row>
    <row r="55" ht="62" customHeight="1">
      <c r="A55" s="12">
        <f>_xlfn.IMAGE("https://m.media-amazon.com/images/I/81gNwuW4tEL.jpg")</f>
        <v/>
      </c>
      <c r="B55" s="39" t="inlineStr">
        <is>
          <t>B0DDTX22QM</t>
        </is>
      </c>
      <c r="C55" s="39" t="inlineStr">
        <is>
          <t>SS-BAMBOO-WHITE-CALIFKING-6PCS</t>
        </is>
      </c>
      <c r="D55" s="39" t="inlineStr">
        <is>
          <t>SLEEP SANCTUARY 100% Viscose Derived from Bamboo Sheets California King</t>
        </is>
      </c>
      <c r="E55" s="39" t="inlineStr">
        <is>
          <t>California King</t>
        </is>
      </c>
      <c r="F55" s="39" t="inlineStr">
        <is>
          <t>White</t>
        </is>
      </c>
      <c r="G55" s="40" t="n"/>
      <c r="H55" s="39" t="n"/>
      <c r="I55" s="74" t="n">
        <v>69.98999999999999</v>
      </c>
      <c r="J55" s="75" t="inlineStr">
        <is>
          <t>2026-03-30</t>
        </is>
      </c>
      <c r="K55" s="40" t="n">
        <v>17.87</v>
      </c>
      <c r="L55" s="76" t="n">
        <v>0.2553221888841263</v>
      </c>
      <c r="M55" s="77" t="n"/>
      <c r="N55" s="39" t="inlineStr">
        <is>
          <t>Inactive</t>
        </is>
      </c>
      <c r="O55" s="39" t="n"/>
      <c r="P55" s="78" t="n"/>
      <c r="Q55" s="77" t="n"/>
      <c r="R55" s="77" t="n"/>
      <c r="S55" s="77" t="n"/>
      <c r="T55" s="39" t="n"/>
    </row>
    <row r="56" ht="62" customHeight="1">
      <c r="A56" s="12">
        <f>_xlfn.IMAGE("https://m.media-amazon.com/images/I/81O1Qx5WReL.jpg")</f>
        <v/>
      </c>
      <c r="B56" s="39" t="inlineStr">
        <is>
          <t>B0DDTZ6W3S</t>
        </is>
      </c>
      <c r="C56" s="39" t="inlineStr">
        <is>
          <t>SS-BAMBOO-BURGUNDY-FULL-6PCS</t>
        </is>
      </c>
      <c r="D56" s="39" t="inlineStr">
        <is>
          <t>SLEEP SANCTUARY 100% Viscose Derived from Bamboo Sheets Full Size, 6 Pc Set</t>
        </is>
      </c>
      <c r="E56" s="39" t="inlineStr">
        <is>
          <t>Full</t>
        </is>
      </c>
      <c r="F56" s="39" t="inlineStr">
        <is>
          <t>Burgundy</t>
        </is>
      </c>
      <c r="G56" s="40" t="n"/>
      <c r="H56" s="39" t="n"/>
      <c r="I56" s="74" t="n">
        <v>59.99</v>
      </c>
      <c r="J56" s="75" t="inlineStr">
        <is>
          <t>2026-03-30</t>
        </is>
      </c>
      <c r="K56" s="40" t="n">
        <v>16.43</v>
      </c>
      <c r="L56" s="76" t="n">
        <v>0.2738789798299717</v>
      </c>
      <c r="M56" s="77" t="n"/>
      <c r="N56" s="39" t="inlineStr">
        <is>
          <t>Inactive</t>
        </is>
      </c>
      <c r="O56" s="39" t="n"/>
      <c r="P56" s="78" t="n"/>
      <c r="Q56" s="77" t="n"/>
      <c r="R56" s="77" t="n"/>
      <c r="S56" s="77" t="n"/>
      <c r="T56" s="39" t="n"/>
    </row>
    <row r="57" ht="62" customHeight="1">
      <c r="A57" s="12">
        <f>_xlfn.IMAGE("https://m.media-amazon.com/images/I/81FcxkIcVSL.jpg")</f>
        <v/>
      </c>
      <c r="B57" s="39" t="inlineStr">
        <is>
          <t>B0DDTZ27T7</t>
        </is>
      </c>
      <c r="C57" s="39" t="inlineStr">
        <is>
          <t>SS-BAMBOO-CHARCOAL-FULL-6PCS</t>
        </is>
      </c>
      <c r="D57" s="39" t="inlineStr">
        <is>
          <t>SLEEP SANCTUARY 100% Viscose Derived from Bamboo Sheets Full Size, 6 Pc Set</t>
        </is>
      </c>
      <c r="E57" s="39" t="inlineStr">
        <is>
          <t>Full</t>
        </is>
      </c>
      <c r="F57" s="39" t="inlineStr">
        <is>
          <t>Charcoal</t>
        </is>
      </c>
      <c r="G57" s="73" t="n">
        <v>66.98999999999999</v>
      </c>
      <c r="H57" s="39" t="inlineStr">
        <is>
          <t>catalog price, 2026-10-13</t>
        </is>
      </c>
      <c r="I57" s="74" t="n">
        <v>59.99</v>
      </c>
      <c r="J57" s="75" t="inlineStr">
        <is>
          <t>2026-03-30</t>
        </is>
      </c>
      <c r="K57" s="40" t="n">
        <v>13.24</v>
      </c>
      <c r="L57" s="76" t="n">
        <v>0.2207034505750959</v>
      </c>
      <c r="M57" s="77" t="n">
        <v>0</v>
      </c>
      <c r="N57" s="39" t="inlineStr">
        <is>
          <t>Active</t>
        </is>
      </c>
      <c r="O57" s="39" t="n"/>
      <c r="P57" s="78" t="n">
        <v>4.5</v>
      </c>
      <c r="Q57" s="77" t="n">
        <v>320</v>
      </c>
      <c r="R57" s="77" t="n">
        <v>252421</v>
      </c>
      <c r="S57" s="77" t="n">
        <v>0.7622</v>
      </c>
      <c r="T57" s="39" t="n"/>
    </row>
    <row r="58" ht="62" customHeight="1">
      <c r="A58" s="12">
        <f>_xlfn.IMAGE("https://m.media-amazon.com/images/I/814jLt7UMxL.jpg")</f>
        <v/>
      </c>
      <c r="B58" s="39" t="inlineStr">
        <is>
          <t>B0DDTYWKG7</t>
        </is>
      </c>
      <c r="C58" s="39" t="inlineStr">
        <is>
          <t>SS-BAMBOO-GREY-FULL-6PCS</t>
        </is>
      </c>
      <c r="D58" s="39" t="inlineStr">
        <is>
          <t>SLEEP SANCTUARY 100% Viscose Derived from Bamboo Sheets Full Size, 6 Pc Set</t>
        </is>
      </c>
      <c r="E58" s="39" t="inlineStr">
        <is>
          <t>Full</t>
        </is>
      </c>
      <c r="F58" s="39" t="inlineStr">
        <is>
          <t>Grey</t>
        </is>
      </c>
      <c r="G58" s="73" t="n">
        <v>59.99</v>
      </c>
      <c r="H58" s="39" t="inlineStr">
        <is>
          <t>catalog price, 2026-10-13</t>
        </is>
      </c>
      <c r="I58" s="74" t="n">
        <v>59.99</v>
      </c>
      <c r="J58" s="75" t="inlineStr">
        <is>
          <t>2026-03-30</t>
        </is>
      </c>
      <c r="K58" s="40" t="n">
        <v>13.3</v>
      </c>
      <c r="L58" s="76" t="n">
        <v>0.2217036172695449</v>
      </c>
      <c r="M58" s="77" t="n">
        <v>0</v>
      </c>
      <c r="N58" s="39" t="inlineStr">
        <is>
          <t>Active</t>
        </is>
      </c>
      <c r="O58" s="39" t="n"/>
      <c r="P58" s="78" t="n">
        <v>4.5</v>
      </c>
      <c r="Q58" s="77" t="n">
        <v>320</v>
      </c>
      <c r="R58" s="77" t="n">
        <v>252428</v>
      </c>
      <c r="S58" s="77" t="n">
        <v>1</v>
      </c>
      <c r="T58" s="39" t="n"/>
    </row>
    <row r="59" ht="62" customHeight="1">
      <c r="A59" s="12">
        <f>_xlfn.IMAGE("https://m.media-amazon.com/images/I/81EFLUe87PL.jpg")</f>
        <v/>
      </c>
      <c r="B59" s="39" t="inlineStr">
        <is>
          <t>B0DDTZB4RQ</t>
        </is>
      </c>
      <c r="C59" s="39" t="inlineStr">
        <is>
          <t>SS-BAMBOO-LIGHT-GREY-FULL-6PCS</t>
        </is>
      </c>
      <c r="D59" s="39" t="inlineStr">
        <is>
          <t>SLEEP SANCTUARY 100% Viscose Derived from Bamboo Sheets Full Size, 6 Pc Set</t>
        </is>
      </c>
      <c r="E59" s="39" t="inlineStr">
        <is>
          <t>Full</t>
        </is>
      </c>
      <c r="F59" s="39" t="inlineStr">
        <is>
          <t>Light Grey</t>
        </is>
      </c>
      <c r="G59" s="73" t="n">
        <v>59.99</v>
      </c>
      <c r="H59" s="39" t="inlineStr">
        <is>
          <t>catalog price, 2026-10-13</t>
        </is>
      </c>
      <c r="I59" s="74" t="n">
        <v>59.99</v>
      </c>
      <c r="J59" s="75" t="inlineStr">
        <is>
          <t>2026-03-30</t>
        </is>
      </c>
      <c r="K59" s="40" t="n"/>
      <c r="L59" s="76" t="n"/>
      <c r="M59" s="77" t="n">
        <v>0</v>
      </c>
      <c r="N59" s="39" t="inlineStr">
        <is>
          <t>Active</t>
        </is>
      </c>
      <c r="O59" s="39" t="n"/>
      <c r="P59" s="78" t="n">
        <v>4.5</v>
      </c>
      <c r="Q59" s="77" t="n">
        <v>320</v>
      </c>
      <c r="R59" s="77" t="n">
        <v>252421</v>
      </c>
      <c r="S59" s="77" t="n">
        <v>1</v>
      </c>
      <c r="T59" s="39" t="n"/>
    </row>
    <row r="60" ht="62" customHeight="1">
      <c r="A60" s="12">
        <f>_xlfn.IMAGE("https://m.media-amazon.com/images/I/81LhmKkL6uL.jpg")</f>
        <v/>
      </c>
      <c r="B60" s="39" t="inlineStr">
        <is>
          <t>B0DDTZ2Z31</t>
        </is>
      </c>
      <c r="C60" s="39" t="inlineStr">
        <is>
          <t>SS-BAMBOO-LIGHT-OLIVE-FULL-6PCS</t>
        </is>
      </c>
      <c r="D60" s="39" t="inlineStr">
        <is>
          <t>SLEEP SANCTUARY 100% Viscose Derived from Bamboo Sheets Full Size, 6 Pc Set</t>
        </is>
      </c>
      <c r="E60" s="39" t="inlineStr">
        <is>
          <t>Full</t>
        </is>
      </c>
      <c r="F60" s="39" t="inlineStr">
        <is>
          <t>Light Olive</t>
        </is>
      </c>
      <c r="G60" s="73" t="n">
        <v>66.98999999999999</v>
      </c>
      <c r="H60" s="39" t="inlineStr">
        <is>
          <t>catalog price, 2026-10-13</t>
        </is>
      </c>
      <c r="I60" s="74" t="n">
        <v>59.99</v>
      </c>
      <c r="J60" s="75" t="inlineStr">
        <is>
          <t>2026-03-30</t>
        </is>
      </c>
      <c r="K60" s="40" t="n"/>
      <c r="L60" s="76" t="n"/>
      <c r="M60" s="77" t="n">
        <v>0</v>
      </c>
      <c r="N60" s="39" t="inlineStr">
        <is>
          <t>Active</t>
        </is>
      </c>
      <c r="O60" s="39" t="n"/>
      <c r="P60" s="78" t="n">
        <v>4.5</v>
      </c>
      <c r="Q60" s="77" t="n">
        <v>320</v>
      </c>
      <c r="R60" s="77" t="n">
        <v>252421</v>
      </c>
      <c r="S60" s="77" t="n">
        <v>0.6412</v>
      </c>
      <c r="T60" s="39" t="n"/>
    </row>
    <row r="61" ht="62" customHeight="1">
      <c r="A61" s="12">
        <f>_xlfn.IMAGE("https://m.media-amazon.com/images/I/81m46CO0QIL.jpg")</f>
        <v/>
      </c>
      <c r="B61" s="39" t="inlineStr">
        <is>
          <t>B0DDTXRQM7</t>
        </is>
      </c>
      <c r="C61" s="39" t="inlineStr">
        <is>
          <t>SS-BAMBOO-LIGHT-PINK-FULL-6PCS</t>
        </is>
      </c>
      <c r="D61" s="39" t="inlineStr">
        <is>
          <t>SLEEP SANCTUARY 100% Viscose Derived from Bamboo Sheets Full Size, 6 Pc Set</t>
        </is>
      </c>
      <c r="E61" s="39" t="inlineStr">
        <is>
          <t>Full</t>
        </is>
      </c>
      <c r="F61" s="39" t="inlineStr">
        <is>
          <t>Light Pink</t>
        </is>
      </c>
      <c r="G61" s="40" t="n"/>
      <c r="H61" s="39" t="n"/>
      <c r="I61" s="74" t="n">
        <v>59.99</v>
      </c>
      <c r="J61" s="75" t="inlineStr">
        <is>
          <t>2026-03-30</t>
        </is>
      </c>
      <c r="K61" s="40" t="n">
        <v>17.54</v>
      </c>
      <c r="L61" s="76" t="n">
        <v>0.2923820636772795</v>
      </c>
      <c r="M61" s="77" t="n"/>
      <c r="N61" s="39" t="inlineStr">
        <is>
          <t>Inactive</t>
        </is>
      </c>
      <c r="O61" s="39" t="n"/>
      <c r="P61" s="78" t="n"/>
      <c r="Q61" s="77" t="n"/>
      <c r="R61" s="77" t="n"/>
      <c r="S61" s="77" t="n"/>
      <c r="T61" s="39" t="n"/>
    </row>
    <row r="62" ht="62" customHeight="1">
      <c r="A62" s="12">
        <f>_xlfn.IMAGE("https://m.media-amazon.com/images/I/81qAQB1aouL.jpg")</f>
        <v/>
      </c>
      <c r="B62" s="39" t="inlineStr">
        <is>
          <t>B0DDTXKT5F</t>
        </is>
      </c>
      <c r="C62" s="39" t="inlineStr">
        <is>
          <t>SS-BAMBOO-PURPLE-FULL-6PCS</t>
        </is>
      </c>
      <c r="D62" s="39" t="inlineStr">
        <is>
          <t>SLEEP SANCTUARY 100% Viscose Derived from Bamboo Sheets Full Size, 6 Pc Set</t>
        </is>
      </c>
      <c r="E62" s="39" t="inlineStr">
        <is>
          <t>Full</t>
        </is>
      </c>
      <c r="F62" s="39" t="inlineStr">
        <is>
          <t>Purple</t>
        </is>
      </c>
      <c r="G62" s="40" t="n"/>
      <c r="H62" s="39" t="n"/>
      <c r="I62" s="74" t="n">
        <v>59.99</v>
      </c>
      <c r="J62" s="75" t="inlineStr">
        <is>
          <t>2026-03-30</t>
        </is>
      </c>
      <c r="K62" s="40" t="n">
        <v>16.43</v>
      </c>
      <c r="L62" s="76" t="n">
        <v>0.2738789798299717</v>
      </c>
      <c r="M62" s="77" t="n"/>
      <c r="N62" s="39" t="inlineStr">
        <is>
          <t>Inactive</t>
        </is>
      </c>
      <c r="O62" s="39" t="n"/>
      <c r="P62" s="78" t="n"/>
      <c r="Q62" s="77" t="n"/>
      <c r="R62" s="77" t="n"/>
      <c r="S62" s="77" t="n"/>
      <c r="T62" s="39" t="n"/>
    </row>
    <row r="63" ht="62" customHeight="1">
      <c r="A63" s="12">
        <f>_xlfn.IMAGE("https://m.media-amazon.com/images/I/81lsX2JzvHL.jpg")</f>
        <v/>
      </c>
      <c r="B63" s="39" t="inlineStr">
        <is>
          <t>B0DDTZ34FW</t>
        </is>
      </c>
      <c r="C63" s="39" t="inlineStr">
        <is>
          <t>SS-BAMBOO-SAGE-GREEN-FULL-6PCS</t>
        </is>
      </c>
      <c r="D63" s="39" t="inlineStr">
        <is>
          <t>SLEEP SANCTUARY 100% Viscose Derived from Bamboo Sheets Full Size, 6 Pc Set</t>
        </is>
      </c>
      <c r="E63" s="39" t="inlineStr">
        <is>
          <t>Full</t>
        </is>
      </c>
      <c r="F63" s="39" t="inlineStr">
        <is>
          <t>Sage Green</t>
        </is>
      </c>
      <c r="G63" s="73" t="n">
        <v>59.99</v>
      </c>
      <c r="H63" s="39" t="inlineStr">
        <is>
          <t>catalog price, 2026-10-13</t>
        </is>
      </c>
      <c r="I63" s="74" t="n">
        <v>59.99</v>
      </c>
      <c r="J63" s="75" t="inlineStr">
        <is>
          <t>2026-03-30</t>
        </is>
      </c>
      <c r="K63" s="40" t="n">
        <v>18.36</v>
      </c>
      <c r="L63" s="76" t="n">
        <v>0.3060510085014169</v>
      </c>
      <c r="M63" s="77" t="n">
        <v>0</v>
      </c>
      <c r="N63" s="39" t="inlineStr">
        <is>
          <t>Active</t>
        </is>
      </c>
      <c r="O63" s="39" t="n"/>
      <c r="P63" s="78" t="n">
        <v>4.5</v>
      </c>
      <c r="Q63" s="77" t="n">
        <v>320</v>
      </c>
      <c r="R63" s="77" t="n">
        <v>252421</v>
      </c>
      <c r="S63" s="77" t="n">
        <v>1</v>
      </c>
      <c r="T63" s="39" t="n"/>
    </row>
    <row r="64" ht="62" customHeight="1">
      <c r="A64" s="12">
        <f>_xlfn.IMAGE("https://m.media-amazon.com/images/I/81gNwuW4tEL.jpg")</f>
        <v/>
      </c>
      <c r="B64" s="39" t="inlineStr">
        <is>
          <t>B0DDTZG44H</t>
        </is>
      </c>
      <c r="C64" s="39" t="inlineStr">
        <is>
          <t>SS-BAMBOO-WHITE-FULL-6PCS</t>
        </is>
      </c>
      <c r="D64" s="39" t="inlineStr">
        <is>
          <t>SLEEP SANCTUARY 100% Viscose Derived from Bamboo Sheets Full Size, 6 Pc Set</t>
        </is>
      </c>
      <c r="E64" s="39" t="inlineStr">
        <is>
          <t>Full</t>
        </is>
      </c>
      <c r="F64" s="39" t="inlineStr">
        <is>
          <t>White</t>
        </is>
      </c>
      <c r="G64" s="40" t="n"/>
      <c r="H64" s="39" t="n"/>
      <c r="I64" s="74" t="n">
        <v>59.99</v>
      </c>
      <c r="J64" s="75" t="inlineStr">
        <is>
          <t>2026-03-30</t>
        </is>
      </c>
      <c r="K64" s="40" t="n">
        <v>16.03</v>
      </c>
      <c r="L64" s="76" t="n">
        <v>0.2672112018669778</v>
      </c>
      <c r="M64" s="77" t="n"/>
      <c r="N64" s="39" t="inlineStr">
        <is>
          <t>Inactive</t>
        </is>
      </c>
      <c r="O64" s="39" t="n"/>
      <c r="P64" s="78" t="n"/>
      <c r="Q64" s="77" t="n"/>
      <c r="R64" s="77" t="n"/>
      <c r="S64" s="77" t="n"/>
      <c r="T64" s="39" t="n"/>
    </row>
    <row r="65" ht="62" customHeight="1">
      <c r="A65" s="12">
        <f>_xlfn.IMAGE("https://m.media-amazon.com/images/I/81gNwuW4tEL.jpg")</f>
        <v/>
      </c>
      <c r="B65" s="39" t="inlineStr">
        <is>
          <t>B0DDTVZRYJ</t>
        </is>
      </c>
      <c r="C65" s="39" t="inlineStr">
        <is>
          <t>SS-BAMBOO-BLACK-KING-6PCS</t>
        </is>
      </c>
      <c r="D65" s="39" t="inlineStr">
        <is>
          <t>SLEEP SANCTUARY 100% Viscose Derived from Bamboo Sheets King Size, 6 Pc Set</t>
        </is>
      </c>
      <c r="E65" s="39" t="inlineStr">
        <is>
          <t>King</t>
        </is>
      </c>
      <c r="F65" s="39" t="inlineStr">
        <is>
          <t>Black</t>
        </is>
      </c>
      <c r="G65" s="40" t="n"/>
      <c r="H65" s="39" t="n"/>
      <c r="I65" s="74" t="n">
        <v>69.98999999999999</v>
      </c>
      <c r="J65" s="75" t="inlineStr">
        <is>
          <t>2026-03-24</t>
        </is>
      </c>
      <c r="K65" s="40" t="n">
        <v>13.88999999999999</v>
      </c>
      <c r="L65" s="76" t="n">
        <v>0.1984569224174881</v>
      </c>
      <c r="M65" s="77" t="n"/>
      <c r="N65" s="39" t="inlineStr">
        <is>
          <t>Inactive</t>
        </is>
      </c>
      <c r="O65" s="39" t="n"/>
      <c r="P65" s="78" t="n"/>
      <c r="Q65" s="77" t="n"/>
      <c r="R65" s="77" t="n"/>
      <c r="S65" s="77" t="n"/>
      <c r="T65" s="39" t="n"/>
    </row>
    <row r="66" ht="62" customHeight="1">
      <c r="A66" s="12">
        <f>_xlfn.IMAGE("https://m.media-amazon.com/images/I/81O1Qx5WReL.jpg")</f>
        <v/>
      </c>
      <c r="B66" s="39" t="inlineStr">
        <is>
          <t>B0DDTYGGJV</t>
        </is>
      </c>
      <c r="C66" s="39" t="inlineStr">
        <is>
          <t>SS-BAMBOO-BURGUNDY-KING-6PCS</t>
        </is>
      </c>
      <c r="D66" s="39" t="inlineStr">
        <is>
          <t>SLEEP SANCTUARY 100% Viscose Derived from Bamboo Sheets King Size, 6 Pc Set</t>
        </is>
      </c>
      <c r="E66" s="39" t="inlineStr">
        <is>
          <t>King</t>
        </is>
      </c>
      <c r="F66" s="39" t="inlineStr">
        <is>
          <t>Burgundy</t>
        </is>
      </c>
      <c r="G66" s="40" t="n"/>
      <c r="H66" s="39" t="n"/>
      <c r="I66" s="74" t="n">
        <v>69.98999999999999</v>
      </c>
      <c r="J66" s="75" t="inlineStr">
        <is>
          <t>2026-03-30</t>
        </is>
      </c>
      <c r="K66" s="40" t="n">
        <v>16.88</v>
      </c>
      <c r="L66" s="76" t="n">
        <v>0.2411773110444349</v>
      </c>
      <c r="M66" s="77" t="n"/>
      <c r="N66" s="39" t="inlineStr">
        <is>
          <t>Inactive</t>
        </is>
      </c>
      <c r="O66" s="39" t="n"/>
      <c r="P66" s="78" t="n"/>
      <c r="Q66" s="77" t="n"/>
      <c r="R66" s="77" t="n"/>
      <c r="S66" s="77" t="n"/>
      <c r="T66" s="39" t="n"/>
    </row>
    <row r="67" ht="62" customHeight="1">
      <c r="A67" s="12">
        <f>_xlfn.IMAGE("https://m.media-amazon.com/images/I/81ErpAIAdIL.jpg")</f>
        <v/>
      </c>
      <c r="B67" s="39" t="inlineStr">
        <is>
          <t>B0DDTY7F8M</t>
        </is>
      </c>
      <c r="C67" s="39" t="inlineStr">
        <is>
          <t>SS-BAMBOO-CHARCOAL-KING-6PCS</t>
        </is>
      </c>
      <c r="D67" s="39" t="inlineStr">
        <is>
          <t>SLEEP SANCTUARY 100% Viscose Derived from Bamboo Sheets King Size, 6 Pc Set</t>
        </is>
      </c>
      <c r="E67" s="39" t="inlineStr">
        <is>
          <t>King</t>
        </is>
      </c>
      <c r="F67" s="39" t="inlineStr">
        <is>
          <t>Charcoal</t>
        </is>
      </c>
      <c r="G67" s="40" t="n"/>
      <c r="H67" s="39" t="n"/>
      <c r="I67" s="74" t="n">
        <v>69.98999999999999</v>
      </c>
      <c r="J67" s="75" t="inlineStr">
        <is>
          <t>2026-03-30</t>
        </is>
      </c>
      <c r="K67" s="40" t="n">
        <v>16.88</v>
      </c>
      <c r="L67" s="76" t="n">
        <v>0.2411773110444349</v>
      </c>
      <c r="M67" s="77" t="n"/>
      <c r="N67" s="39" t="inlineStr">
        <is>
          <t>Inactive</t>
        </is>
      </c>
      <c r="O67" s="39" t="n"/>
      <c r="P67" s="78" t="n"/>
      <c r="Q67" s="77" t="n"/>
      <c r="R67" s="77" t="n"/>
      <c r="S67" s="77" t="n"/>
      <c r="T67" s="39" t="n"/>
    </row>
    <row r="68" ht="62" customHeight="1">
      <c r="A68" s="12">
        <f>_xlfn.IMAGE("https://m.media-amazon.com/images/I/81PScXYeYiL.jpg")</f>
        <v/>
      </c>
      <c r="B68" s="39" t="inlineStr">
        <is>
          <t>B0DDTWV24K</t>
        </is>
      </c>
      <c r="C68" s="39" t="inlineStr">
        <is>
          <t>SS-BAMBOO-GREY-KING-6PCS</t>
        </is>
      </c>
      <c r="D68" s="39" t="inlineStr">
        <is>
          <t>SLEEP SANCTUARY 100% Viscose Derived from Bamboo Sheets King Size, 6 Pc Set</t>
        </is>
      </c>
      <c r="E68" s="39" t="inlineStr">
        <is>
          <t>King</t>
        </is>
      </c>
      <c r="F68" s="39" t="inlineStr">
        <is>
          <t>Grey</t>
        </is>
      </c>
      <c r="G68" s="40" t="n"/>
      <c r="H68" s="39" t="n"/>
      <c r="I68" s="74" t="n">
        <v>69.98999999999999</v>
      </c>
      <c r="J68" s="75" t="inlineStr">
        <is>
          <t>2026-03-30</t>
        </is>
      </c>
      <c r="K68" s="40" t="n">
        <v>18.19</v>
      </c>
      <c r="L68" s="76" t="n">
        <v>0.2598942706100871</v>
      </c>
      <c r="M68" s="77" t="n"/>
      <c r="N68" s="39" t="inlineStr">
        <is>
          <t>Inactive</t>
        </is>
      </c>
      <c r="O68" s="39" t="n"/>
      <c r="P68" s="78" t="n"/>
      <c r="Q68" s="77" t="n"/>
      <c r="R68" s="77" t="n"/>
      <c r="S68" s="77" t="n"/>
      <c r="T68" s="39" t="n"/>
    </row>
    <row r="69" ht="62" customHeight="1">
      <c r="A69" s="12">
        <f>_xlfn.IMAGE("https://m.media-amazon.com/images/I/81m46CO0QIL.jpg")</f>
        <v/>
      </c>
      <c r="B69" s="39" t="inlineStr">
        <is>
          <t>B0DDTYD1RX</t>
        </is>
      </c>
      <c r="C69" s="39" t="inlineStr">
        <is>
          <t>SS-BAMBOO-LIGHT-PINK-KING-6PCS</t>
        </is>
      </c>
      <c r="D69" s="39" t="inlineStr">
        <is>
          <t>SLEEP SANCTUARY 100% Viscose Derived from Bamboo Sheets King Size, 6 Pc Set</t>
        </is>
      </c>
      <c r="E69" s="39" t="inlineStr">
        <is>
          <t>King</t>
        </is>
      </c>
      <c r="F69" s="39" t="inlineStr">
        <is>
          <t>Light Pink</t>
        </is>
      </c>
      <c r="G69" s="40" t="n"/>
      <c r="H69" s="39" t="n"/>
      <c r="I69" s="74" t="n">
        <v>69.98999999999999</v>
      </c>
      <c r="J69" s="75" t="inlineStr">
        <is>
          <t>2026-03-30</t>
        </is>
      </c>
      <c r="K69" s="40" t="n">
        <v>20.21999999999999</v>
      </c>
      <c r="L69" s="76" t="n">
        <v>0.2888984140591512</v>
      </c>
      <c r="M69" s="77" t="n"/>
      <c r="N69" s="39" t="inlineStr">
        <is>
          <t>Inactive</t>
        </is>
      </c>
      <c r="O69" s="39" t="n"/>
      <c r="P69" s="78" t="n"/>
      <c r="Q69" s="77" t="n"/>
      <c r="R69" s="77" t="n"/>
      <c r="S69" s="77" t="n"/>
      <c r="T69" s="39" t="n"/>
    </row>
    <row r="70" ht="62" customHeight="1">
      <c r="A70" s="12">
        <f>_xlfn.IMAGE("https://m.media-amazon.com/images/I/81qAQB1aouL.jpg")</f>
        <v/>
      </c>
      <c r="B70" s="39" t="inlineStr">
        <is>
          <t>B0DDV1G96X</t>
        </is>
      </c>
      <c r="C70" s="39" t="inlineStr">
        <is>
          <t>SS-BAMBOO-PURPLE-KING-6PCS</t>
        </is>
      </c>
      <c r="D70" s="39" t="inlineStr">
        <is>
          <t>SLEEP SANCTUARY 100% Viscose Derived from Bamboo Sheets King Size, 6 Pc Set</t>
        </is>
      </c>
      <c r="E70" s="39" t="inlineStr">
        <is>
          <t>King</t>
        </is>
      </c>
      <c r="F70" s="39" t="inlineStr">
        <is>
          <t>Purple</t>
        </is>
      </c>
      <c r="G70" s="40" t="n"/>
      <c r="H70" s="39" t="n"/>
      <c r="I70" s="74" t="n">
        <v>69.98999999999999</v>
      </c>
      <c r="J70" s="75" t="inlineStr">
        <is>
          <t>2026-03-30</t>
        </is>
      </c>
      <c r="K70" s="40" t="n">
        <v>18.10999999999999</v>
      </c>
      <c r="L70" s="76" t="n">
        <v>0.2587512501785968</v>
      </c>
      <c r="M70" s="77" t="n"/>
      <c r="N70" s="39" t="inlineStr">
        <is>
          <t>Inactive</t>
        </is>
      </c>
      <c r="O70" s="39" t="n"/>
      <c r="P70" s="78" t="n"/>
      <c r="Q70" s="77" t="n"/>
      <c r="R70" s="77" t="n"/>
      <c r="S70" s="77" t="n"/>
      <c r="T70" s="39" t="n"/>
    </row>
    <row r="71" ht="62" customHeight="1">
      <c r="A71" s="12">
        <f>_xlfn.IMAGE("https://m.media-amazon.com/images/I/81WXKFpyLHL.jpg")</f>
        <v/>
      </c>
      <c r="B71" s="39" t="inlineStr">
        <is>
          <t>B0DDTZ7Z4W</t>
        </is>
      </c>
      <c r="C71" s="39" t="inlineStr">
        <is>
          <t>SS-BAMBOO-SAGE-GREEN-KING-6PCS</t>
        </is>
      </c>
      <c r="D71" s="39" t="inlineStr">
        <is>
          <t>SLEEP SANCTUARY 100% Viscose Derived from Bamboo Sheets King Size, 6 Pc Set</t>
        </is>
      </c>
      <c r="E71" s="39" t="inlineStr">
        <is>
          <t>King</t>
        </is>
      </c>
      <c r="F71" s="39" t="inlineStr">
        <is>
          <t>Sage Green</t>
        </is>
      </c>
      <c r="G71" s="40" t="n"/>
      <c r="H71" s="39" t="n"/>
      <c r="I71" s="74" t="n">
        <v>64.98999999999999</v>
      </c>
      <c r="J71" s="75" t="inlineStr">
        <is>
          <t>2026-03-30</t>
        </is>
      </c>
      <c r="K71" s="40" t="n">
        <v>14.67</v>
      </c>
      <c r="L71" s="76" t="n">
        <v>0.2257270349284505</v>
      </c>
      <c r="M71" s="77" t="n"/>
      <c r="N71" s="39" t="inlineStr">
        <is>
          <t>Inactive</t>
        </is>
      </c>
      <c r="O71" s="39" t="n"/>
      <c r="P71" s="78" t="n"/>
      <c r="Q71" s="77" t="n"/>
      <c r="R71" s="77" t="n"/>
      <c r="S71" s="77" t="n"/>
      <c r="T71" s="39" t="n"/>
    </row>
    <row r="72" ht="62" customHeight="1">
      <c r="A72" s="12">
        <f>_xlfn.IMAGE("https://m.media-amazon.com/images/I/81gNwuW4tEL.jpg")</f>
        <v/>
      </c>
      <c r="B72" s="39" t="inlineStr">
        <is>
          <t>B0DDTXH82N</t>
        </is>
      </c>
      <c r="C72" s="39" t="inlineStr">
        <is>
          <t>SS-BAMBOO-BLACK-QUEEN-6PCS</t>
        </is>
      </c>
      <c r="D72" s="39" t="inlineStr">
        <is>
          <t>SLEEP SANCTUARY 100% Viscose Derived from Bamboo Sheets Queen Size 6 Pc Set</t>
        </is>
      </c>
      <c r="E72" s="39" t="inlineStr">
        <is>
          <t>Queen</t>
        </is>
      </c>
      <c r="F72" s="39" t="inlineStr">
        <is>
          <t>Black</t>
        </is>
      </c>
      <c r="G72" s="40" t="n"/>
      <c r="H72" s="39" t="n"/>
      <c r="I72" s="40" t="n"/>
      <c r="J72" s="39" t="n"/>
      <c r="K72" s="40" t="n"/>
      <c r="L72" s="76" t="n"/>
      <c r="M72" s="77" t="n"/>
      <c r="N72" s="39" t="inlineStr">
        <is>
          <t>Inactive</t>
        </is>
      </c>
      <c r="O72" s="39" t="n"/>
      <c r="P72" s="78" t="n"/>
      <c r="Q72" s="77" t="n"/>
      <c r="R72" s="77" t="n"/>
      <c r="S72" s="77" t="n"/>
      <c r="T72" s="39" t="n"/>
    </row>
    <row r="73" ht="62" customHeight="1">
      <c r="A73" s="12">
        <f>_xlfn.IMAGE("https://m.media-amazon.com/images/I/81O1Qx5WReL.jpg")</f>
        <v/>
      </c>
      <c r="B73" s="39" t="inlineStr">
        <is>
          <t>B0DDTX1L6C</t>
        </is>
      </c>
      <c r="C73" s="39" t="inlineStr">
        <is>
          <t>SS-BAMBOO-BURGUNDY-QUEEN-6PCS</t>
        </is>
      </c>
      <c r="D73" s="39" t="inlineStr">
        <is>
          <t>SLEEP SANCTUARY 100% Viscose Derived from Bamboo Sheets Queen Size 6 Pc Set</t>
        </is>
      </c>
      <c r="E73" s="39" t="inlineStr">
        <is>
          <t>Queen</t>
        </is>
      </c>
      <c r="F73" s="39" t="inlineStr">
        <is>
          <t>Burgundy</t>
        </is>
      </c>
      <c r="G73" s="40" t="n"/>
      <c r="H73" s="39" t="n"/>
      <c r="I73" s="74" t="n">
        <v>64.98999999999999</v>
      </c>
      <c r="J73" s="75" t="inlineStr">
        <is>
          <t>2026-03-02</t>
        </is>
      </c>
      <c r="K73" s="40" t="n">
        <v>19.41</v>
      </c>
      <c r="L73" s="76" t="n">
        <v>0.2986613325126942</v>
      </c>
      <c r="M73" s="77" t="n"/>
      <c r="N73" s="39" t="inlineStr">
        <is>
          <t>Inactive</t>
        </is>
      </c>
      <c r="O73" s="39" t="n"/>
      <c r="P73" s="78" t="n"/>
      <c r="Q73" s="77" t="n"/>
      <c r="R73" s="77" t="n"/>
      <c r="S73" s="77" t="n"/>
      <c r="T73" s="39" t="n"/>
    </row>
    <row r="74" ht="62" customHeight="1">
      <c r="A74" s="12">
        <f>_xlfn.IMAGE("https://m.media-amazon.com/images/I/81ErpAIAdIL.jpg")</f>
        <v/>
      </c>
      <c r="B74" s="39" t="inlineStr">
        <is>
          <t>B0DDTZ56BM</t>
        </is>
      </c>
      <c r="C74" s="39" t="inlineStr">
        <is>
          <t>SS-BAMBOO-CHARCOAL-QUEEN-6PCS</t>
        </is>
      </c>
      <c r="D74" s="39" t="inlineStr">
        <is>
          <t>SLEEP SANCTUARY 100% Viscose Derived from Bamboo Sheets Queen Size 6 Pc Set</t>
        </is>
      </c>
      <c r="E74" s="39" t="inlineStr">
        <is>
          <t>Queen</t>
        </is>
      </c>
      <c r="F74" s="39" t="inlineStr">
        <is>
          <t>Charcoal</t>
        </is>
      </c>
      <c r="G74" s="40" t="n"/>
      <c r="H74" s="39" t="n"/>
      <c r="I74" s="74" t="n">
        <v>64.98999999999999</v>
      </c>
      <c r="J74" s="75" t="inlineStr">
        <is>
          <t>2026-03-30</t>
        </is>
      </c>
      <c r="K74" s="40" t="n">
        <v>18.66999999999999</v>
      </c>
      <c r="L74" s="76" t="n">
        <v>0.287274965379289</v>
      </c>
      <c r="M74" s="77" t="n"/>
      <c r="N74" s="39" t="inlineStr">
        <is>
          <t>Inactive</t>
        </is>
      </c>
      <c r="O74" s="39" t="n"/>
      <c r="P74" s="78" t="n"/>
      <c r="Q74" s="77" t="n"/>
      <c r="R74" s="77" t="n"/>
      <c r="S74" s="77" t="n"/>
      <c r="T74" s="39" t="n"/>
    </row>
    <row r="75" ht="62" customHeight="1">
      <c r="A75" s="12">
        <f>_xlfn.IMAGE("https://m.media-amazon.com/images/I/81PScXYeYiL.jpg")</f>
        <v/>
      </c>
      <c r="B75" s="39" t="inlineStr">
        <is>
          <t>B0DDTYFDJX</t>
        </is>
      </c>
      <c r="C75" s="39" t="inlineStr">
        <is>
          <t>SS-BAMBOO-GREY-QUEEN-6PCS</t>
        </is>
      </c>
      <c r="D75" s="39" t="inlineStr">
        <is>
          <t>SLEEP SANCTUARY 100% Viscose Derived from Bamboo Sheets Queen Size 6 Pc Set</t>
        </is>
      </c>
      <c r="E75" s="39" t="inlineStr">
        <is>
          <t>Queen</t>
        </is>
      </c>
      <c r="F75" s="39" t="inlineStr">
        <is>
          <t>Grey</t>
        </is>
      </c>
      <c r="G75" s="40" t="n"/>
      <c r="H75" s="39" t="n"/>
      <c r="I75" s="74" t="n">
        <v>64.98999999999999</v>
      </c>
      <c r="J75" s="75" t="inlineStr">
        <is>
          <t>2026-03-20</t>
        </is>
      </c>
      <c r="K75" s="40" t="n">
        <v>19.26</v>
      </c>
      <c r="L75" s="76" t="n">
        <v>0.2963532851207878</v>
      </c>
      <c r="M75" s="77" t="n"/>
      <c r="N75" s="39" t="inlineStr">
        <is>
          <t>Inactive</t>
        </is>
      </c>
      <c r="O75" s="39" t="n"/>
      <c r="P75" s="78" t="n"/>
      <c r="Q75" s="77" t="n"/>
      <c r="R75" s="77" t="n"/>
      <c r="S75" s="77" t="n"/>
      <c r="T75" s="39" t="n"/>
    </row>
    <row r="76" ht="62" customHeight="1">
      <c r="A76" s="12">
        <f>_xlfn.IMAGE("https://m.media-amazon.com/images/I/81cNWDfMD9L.jpg")</f>
        <v/>
      </c>
      <c r="B76" s="39" t="inlineStr">
        <is>
          <t>B0DDV1B2T2</t>
        </is>
      </c>
      <c r="C76" s="39" t="inlineStr">
        <is>
          <t>SS-BAMBOO-LIGHT-BLUE-QUEEN-6PCS</t>
        </is>
      </c>
      <c r="D76" s="39" t="inlineStr">
        <is>
          <t>SLEEP SANCTUARY 100% Viscose Derived from Bamboo Sheets Queen Size 6pcs – BamBliss Luxury Cooling Sheets - Cloud Soft, 17" Deep Pocket, Ultra Durable Bed Set (Light Blue-01)</t>
        </is>
      </c>
      <c r="E76" s="39" t="inlineStr">
        <is>
          <t>Queen</t>
        </is>
      </c>
      <c r="F76" s="39" t="inlineStr">
        <is>
          <t>Light Blue</t>
        </is>
      </c>
      <c r="G76" s="40" t="n"/>
      <c r="H76" s="39" t="n"/>
      <c r="I76" s="74" t="n">
        <v>64.98999999999999</v>
      </c>
      <c r="J76" s="75" t="inlineStr">
        <is>
          <t>2026-03-30</t>
        </is>
      </c>
      <c r="K76" s="40" t="n">
        <v>19.98</v>
      </c>
      <c r="L76" s="76" t="n">
        <v>0.3074319126019388</v>
      </c>
      <c r="M76" s="77" t="n"/>
      <c r="N76" s="39" t="inlineStr">
        <is>
          <t>Inactive</t>
        </is>
      </c>
      <c r="O76" s="39" t="n"/>
      <c r="P76" s="78" t="n"/>
      <c r="Q76" s="77" t="n"/>
      <c r="R76" s="77" t="n"/>
      <c r="S76" s="77" t="n"/>
      <c r="T76" s="39" t="n"/>
    </row>
    <row r="77" ht="62" customHeight="1">
      <c r="A77" s="12">
        <f>_xlfn.IMAGE("https://m.media-amazon.com/images/I/816FDcFUTdL.jpg")</f>
        <v/>
      </c>
      <c r="B77" s="39" t="inlineStr">
        <is>
          <t>B0HD12VBH5</t>
        </is>
      </c>
      <c r="C77" s="39" t="inlineStr">
        <is>
          <t>SS-BAMBOO-LIGHT-BLUE-6PCS-QUEEN</t>
        </is>
      </c>
      <c r="D77" s="39" t="inlineStr">
        <is>
          <t>SLEEP SANCTUARY 100% Viscose Derived from Bamboo Sheets Queen Size 6 Pc Set</t>
        </is>
      </c>
      <c r="E77" s="39" t="inlineStr">
        <is>
          <t>Queen</t>
        </is>
      </c>
      <c r="F77" s="39" t="inlineStr">
        <is>
          <t>Light Blue</t>
        </is>
      </c>
      <c r="G77" s="40" t="n"/>
      <c r="H77" s="39" t="n"/>
      <c r="I77" s="40" t="n"/>
      <c r="J77" s="39" t="n"/>
      <c r="K77" s="40" t="n"/>
      <c r="L77" s="76" t="n"/>
      <c r="M77" s="77" t="n"/>
      <c r="N77" s="39" t="inlineStr">
        <is>
          <t>Inactive</t>
        </is>
      </c>
      <c r="O77" s="39" t="n"/>
      <c r="P77" s="78" t="n"/>
      <c r="Q77" s="77" t="n"/>
      <c r="R77" s="77" t="n"/>
      <c r="S77" s="77" t="n"/>
      <c r="T77" s="39" t="n"/>
    </row>
    <row r="78" ht="62" customHeight="1">
      <c r="A78" s="12">
        <f>_xlfn.IMAGE("https://m.media-amazon.com/images/I/81cNWDfMD9L.jpg")</f>
        <v/>
      </c>
      <c r="B78" s="39" t="inlineStr">
        <is>
          <t>B0DDV1B2T2</t>
        </is>
      </c>
      <c r="C78" s="39" t="inlineStr">
        <is>
          <t>SS-BAMBOO-LIGHT-BLUE-QUEEN-6PC</t>
        </is>
      </c>
      <c r="D78" s="39" t="inlineStr">
        <is>
          <t>SLEEP SANCTUARY 100% Viscose Derived from Bamboo Sheets Queen Size 6pcs – BamBliss Luxury Cooling Sheets - Cloud Soft, 17" Deep Pocket, Ultra Durable Bed Set (Light Blue-01)</t>
        </is>
      </c>
      <c r="E78" s="39" t="inlineStr">
        <is>
          <t>Queen</t>
        </is>
      </c>
      <c r="F78" s="39" t="inlineStr">
        <is>
          <t>Light Blue</t>
        </is>
      </c>
      <c r="G78" s="40" t="n"/>
      <c r="H78" s="39" t="n"/>
      <c r="I78" s="40" t="n"/>
      <c r="J78" s="39" t="n"/>
      <c r="K78" s="40" t="n"/>
      <c r="L78" s="76" t="n"/>
      <c r="M78" s="77" t="n"/>
      <c r="N78" s="39" t="inlineStr">
        <is>
          <t>Inactive</t>
        </is>
      </c>
      <c r="O78" s="39" t="n"/>
      <c r="P78" s="78" t="n"/>
      <c r="Q78" s="77" t="n"/>
      <c r="R78" s="77" t="n"/>
      <c r="S78" s="77" t="n"/>
      <c r="T78" s="39" t="n"/>
    </row>
    <row r="79" ht="62" customHeight="1">
      <c r="A79" s="12">
        <f>_xlfn.IMAGE("https://m.media-amazon.com/images/I/81HYlJCAVCL.jpg")</f>
        <v/>
      </c>
      <c r="B79" s="39" t="inlineStr">
        <is>
          <t>B0DDTVMMYW</t>
        </is>
      </c>
      <c r="C79" s="39" t="inlineStr">
        <is>
          <t>SS-BAMBOO-LIGHT-GREY-QUEEN-6PCS</t>
        </is>
      </c>
      <c r="D79" s="39" t="inlineStr">
        <is>
          <t>SLEEP SANCTUARY 100% Viscose Derived from Bamboo Sheets Queen Size 6 Pc Set</t>
        </is>
      </c>
      <c r="E79" s="39" t="inlineStr">
        <is>
          <t>Queen</t>
        </is>
      </c>
      <c r="F79" s="39" t="inlineStr">
        <is>
          <t>Light Grey</t>
        </is>
      </c>
      <c r="G79" s="40" t="n"/>
      <c r="H79" s="39" t="n"/>
      <c r="I79" s="74" t="n">
        <v>64.98999999999999</v>
      </c>
      <c r="J79" s="75" t="inlineStr">
        <is>
          <t>2026-03-30</t>
        </is>
      </c>
      <c r="K79" s="40" t="n">
        <v>20.8</v>
      </c>
      <c r="L79" s="76" t="n">
        <v>0.3200492383443606</v>
      </c>
      <c r="M79" s="77" t="n"/>
      <c r="N79" s="39" t="inlineStr">
        <is>
          <t>Inactive</t>
        </is>
      </c>
      <c r="O79" s="39" t="n"/>
      <c r="P79" s="78" t="n"/>
      <c r="Q79" s="77" t="n"/>
      <c r="R79" s="77" t="n"/>
      <c r="S79" s="77" t="n"/>
      <c r="T79" s="39" t="n"/>
    </row>
    <row r="80" ht="62" customHeight="1">
      <c r="A80" s="12">
        <f>_xlfn.IMAGE("https://m.media-amazon.com/images/I/81m46CO0QIL.jpg")</f>
        <v/>
      </c>
      <c r="B80" s="39" t="inlineStr">
        <is>
          <t>B0DDV1PKM6</t>
        </is>
      </c>
      <c r="C80" s="39" t="inlineStr">
        <is>
          <t>SS-BAMBOO-LIGHT-PINK-QUEEN-6PCS</t>
        </is>
      </c>
      <c r="D80" s="39" t="inlineStr">
        <is>
          <t>SLEEP SANCTUARY 100% Viscose Derived from Bamboo Sheets Queen Size 6 Pc Set</t>
        </is>
      </c>
      <c r="E80" s="39" t="inlineStr">
        <is>
          <t>Queen</t>
        </is>
      </c>
      <c r="F80" s="39" t="inlineStr">
        <is>
          <t>Light Pink</t>
        </is>
      </c>
      <c r="G80" s="40" t="n"/>
      <c r="H80" s="39" t="n"/>
      <c r="I80" s="74" t="n">
        <v>64.98999999999999</v>
      </c>
      <c r="J80" s="75" t="inlineStr">
        <is>
          <t>2026-03-30</t>
        </is>
      </c>
      <c r="K80" s="40" t="n">
        <v>20.8</v>
      </c>
      <c r="L80" s="76" t="n">
        <v>0.3200492383443606</v>
      </c>
      <c r="M80" s="77" t="n"/>
      <c r="N80" s="39" t="inlineStr">
        <is>
          <t>Inactive</t>
        </is>
      </c>
      <c r="O80" s="39" t="n"/>
      <c r="P80" s="78" t="n"/>
      <c r="Q80" s="77" t="n"/>
      <c r="R80" s="77" t="n"/>
      <c r="S80" s="77" t="n"/>
      <c r="T80" s="39" t="n"/>
    </row>
    <row r="81" ht="62" customHeight="1">
      <c r="A81" s="12">
        <f>_xlfn.IMAGE("https://m.media-amazon.com/images/I/813SaO-0dfL.jpg")</f>
        <v/>
      </c>
      <c r="B81" s="39" t="inlineStr">
        <is>
          <t>B0DDTYBVY6</t>
        </is>
      </c>
      <c r="C81" s="39" t="inlineStr">
        <is>
          <t>SS-BAMBOO-MIDGREY-QUEEN-6PCS</t>
        </is>
      </c>
      <c r="D81" s="39" t="inlineStr">
        <is>
          <t>SLEEP SANCTUARY 100% Viscose Derived from Bamboo Sheets Queen Size 6 Pc Set</t>
        </is>
      </c>
      <c r="E81" s="39" t="inlineStr">
        <is>
          <t>Queen</t>
        </is>
      </c>
      <c r="F81" s="39" t="inlineStr">
        <is>
          <t>Midgrey</t>
        </is>
      </c>
      <c r="G81" s="40" t="n"/>
      <c r="H81" s="39" t="n"/>
      <c r="I81" s="74" t="n">
        <v>64.98999999999999</v>
      </c>
      <c r="J81" s="75" t="inlineStr">
        <is>
          <t>2026-03-22</t>
        </is>
      </c>
      <c r="K81" s="40" t="n">
        <v>19.58</v>
      </c>
      <c r="L81" s="76" t="n">
        <v>0.3012771195568549</v>
      </c>
      <c r="M81" s="77" t="n"/>
      <c r="N81" s="39" t="inlineStr">
        <is>
          <t>Inactive</t>
        </is>
      </c>
      <c r="O81" s="39" t="n"/>
      <c r="P81" s="78" t="n"/>
      <c r="Q81" s="77" t="n"/>
      <c r="R81" s="77" t="n"/>
      <c r="S81" s="77" t="n"/>
      <c r="T81" s="39" t="n"/>
    </row>
    <row r="82" ht="62" customHeight="1">
      <c r="A82" s="12">
        <f>_xlfn.IMAGE("https://m.media-amazon.com/images/I/81J8TKpSqnL.jpg")</f>
        <v/>
      </c>
      <c r="B82" s="39" t="inlineStr">
        <is>
          <t>B0DDTZL244</t>
        </is>
      </c>
      <c r="C82" s="39" t="inlineStr">
        <is>
          <t>SS-BAMBOO-NAVY-BLUE-QUEEN-6PCS</t>
        </is>
      </c>
      <c r="D82" s="39" t="inlineStr">
        <is>
          <t>SLEEP SANCTUARY 100% Viscose Derived from Bamboo Sheets Queen Size 6 Pc Set</t>
        </is>
      </c>
      <c r="E82" s="39" t="inlineStr">
        <is>
          <t>Queen</t>
        </is>
      </c>
      <c r="F82" s="39" t="inlineStr">
        <is>
          <t>Navy Blue</t>
        </is>
      </c>
      <c r="G82" s="40" t="n"/>
      <c r="H82" s="39" t="n"/>
      <c r="I82" s="74" t="n">
        <v>64.98999999999999</v>
      </c>
      <c r="J82" s="75" t="inlineStr">
        <is>
          <t>2026-03-30</t>
        </is>
      </c>
      <c r="K82" s="40" t="n">
        <v>20.88</v>
      </c>
      <c r="L82" s="76" t="n">
        <v>0.3212801969533774</v>
      </c>
      <c r="M82" s="77" t="n"/>
      <c r="N82" s="39" t="inlineStr">
        <is>
          <t>Inactive</t>
        </is>
      </c>
      <c r="O82" s="39" t="n"/>
      <c r="P82" s="78" t="n"/>
      <c r="Q82" s="77" t="n"/>
      <c r="R82" s="77" t="n"/>
      <c r="S82" s="77" t="n"/>
      <c r="T82" s="39" t="n"/>
    </row>
    <row r="83" ht="62" customHeight="1">
      <c r="A83" s="12">
        <f>_xlfn.IMAGE("https://m.media-amazon.com/images/I/81qAQB1aouL.jpg")</f>
        <v/>
      </c>
      <c r="B83" s="39" t="inlineStr">
        <is>
          <t>B0DDTXHPMK</t>
        </is>
      </c>
      <c r="C83" s="39" t="inlineStr">
        <is>
          <t>SS-BAMBOO-PURPLE-QUEEN-6PCS</t>
        </is>
      </c>
      <c r="D83" s="39" t="inlineStr">
        <is>
          <t>SLEEP SANCTUARY 100% Viscose Derived from Bamboo Sheets Queen Size 6 Pc Set</t>
        </is>
      </c>
      <c r="E83" s="39" t="inlineStr">
        <is>
          <t>Queen</t>
        </is>
      </c>
      <c r="F83" s="39" t="inlineStr">
        <is>
          <t>Purple</t>
        </is>
      </c>
      <c r="G83" s="40" t="n"/>
      <c r="H83" s="39" t="n"/>
      <c r="I83" s="74" t="n">
        <v>64.98999999999999</v>
      </c>
      <c r="J83" s="75" t="inlineStr">
        <is>
          <t>2026-03-12</t>
        </is>
      </c>
      <c r="K83" s="40" t="n">
        <v>19.58</v>
      </c>
      <c r="L83" s="76" t="n">
        <v>0.3012771195568549</v>
      </c>
      <c r="M83" s="77" t="n"/>
      <c r="N83" s="39" t="inlineStr">
        <is>
          <t>Inactive</t>
        </is>
      </c>
      <c r="O83" s="39" t="n"/>
      <c r="P83" s="78" t="n"/>
      <c r="Q83" s="77" t="n"/>
      <c r="R83" s="77" t="n"/>
      <c r="S83" s="77" t="n"/>
      <c r="T83" s="39" t="n"/>
    </row>
    <row r="84" ht="62" customHeight="1">
      <c r="A84" s="12">
        <f>_xlfn.IMAGE("https://m.media-amazon.com/images/I/81WXKFpyLHL.jpg")</f>
        <v/>
      </c>
      <c r="B84" s="39" t="inlineStr">
        <is>
          <t>B0DDTYMBWR</t>
        </is>
      </c>
      <c r="C84" s="39" t="inlineStr">
        <is>
          <t>SS-BAMBOO-SAGE-GREEN-QUEEN-6PCS</t>
        </is>
      </c>
      <c r="D84" s="39" t="inlineStr">
        <is>
          <t>SLEEP SANCTUARY 100% Viscose Derived from Bamboo Sheets Queen Size 6 Pc Set</t>
        </is>
      </c>
      <c r="E84" s="39" t="inlineStr">
        <is>
          <t>Queen</t>
        </is>
      </c>
      <c r="F84" s="39" t="inlineStr">
        <is>
          <t>Sage Green</t>
        </is>
      </c>
      <c r="G84" s="40" t="n"/>
      <c r="H84" s="39" t="n"/>
      <c r="I84" s="74" t="n">
        <v>64.98999999999999</v>
      </c>
      <c r="J84" s="75" t="inlineStr">
        <is>
          <t>2026-03-30</t>
        </is>
      </c>
      <c r="K84" s="40" t="n">
        <v>21.52999999999999</v>
      </c>
      <c r="L84" s="76" t="n">
        <v>0.3312817356516387</v>
      </c>
      <c r="M84" s="77" t="n"/>
      <c r="N84" s="39" t="inlineStr">
        <is>
          <t>Inactive</t>
        </is>
      </c>
      <c r="O84" s="39" t="n"/>
      <c r="P84" s="78" t="n"/>
      <c r="Q84" s="77" t="n"/>
      <c r="R84" s="77" t="n"/>
      <c r="S84" s="77" t="n"/>
      <c r="T84" s="39" t="n"/>
    </row>
    <row r="85" ht="62" customHeight="1">
      <c r="A85" s="12">
        <f>_xlfn.IMAGE("https://m.media-amazon.com/images/I/81jP+dXApgL.jpg")</f>
        <v/>
      </c>
      <c r="B85" s="39" t="inlineStr">
        <is>
          <t>B0DDTXJJCN</t>
        </is>
      </c>
      <c r="C85" s="39" t="inlineStr">
        <is>
          <t>SS-BAMBOO-TAUPE-QUEEN-6PCS</t>
        </is>
      </c>
      <c r="D85" s="39" t="inlineStr">
        <is>
          <t>SLEEP SANCTUARY 100% Viscose Derived from Bamboo Sheets Queen Size 6 Pc Set</t>
        </is>
      </c>
      <c r="E85" s="39" t="inlineStr">
        <is>
          <t>Queen</t>
        </is>
      </c>
      <c r="F85" s="39" t="inlineStr">
        <is>
          <t>Taupe</t>
        </is>
      </c>
      <c r="G85" s="40" t="n"/>
      <c r="H85" s="39" t="n"/>
      <c r="I85" s="74" t="n">
        <v>64.98999999999999</v>
      </c>
      <c r="J85" s="75" t="inlineStr">
        <is>
          <t>2026-02-26</t>
        </is>
      </c>
      <c r="K85" s="40" t="n">
        <v>18.44</v>
      </c>
      <c r="L85" s="76" t="n">
        <v>0.2837359593783659</v>
      </c>
      <c r="M85" s="77" t="n"/>
      <c r="N85" s="39" t="inlineStr">
        <is>
          <t>Inactive</t>
        </is>
      </c>
      <c r="O85" s="39" t="n"/>
      <c r="P85" s="78" t="n"/>
      <c r="Q85" s="77" t="n"/>
      <c r="R85" s="77" t="n"/>
      <c r="S85" s="77" t="n"/>
      <c r="T85" s="39" t="n"/>
    </row>
    <row r="86" ht="62" customHeight="1">
      <c r="A86" s="12">
        <f>_xlfn.IMAGE("https://m.media-amazon.com/images/I/81gNwuW4tEL.jpg")</f>
        <v/>
      </c>
      <c r="B86" s="39" t="inlineStr">
        <is>
          <t>B0DDTY4QSP</t>
        </is>
      </c>
      <c r="C86" s="39" t="inlineStr">
        <is>
          <t>SS-BAMBOO-WHITE-QUEEN-6PCS</t>
        </is>
      </c>
      <c r="D86" s="39" t="inlineStr">
        <is>
          <t>SLEEP SANCTUARY 100% Viscose Derived from Bamboo Sheets Queen Size 6 Pc Set</t>
        </is>
      </c>
      <c r="E86" s="39" t="inlineStr">
        <is>
          <t>Queen</t>
        </is>
      </c>
      <c r="F86" s="39" t="inlineStr">
        <is>
          <t>White</t>
        </is>
      </c>
      <c r="G86" s="40" t="n"/>
      <c r="H86" s="39" t="n"/>
      <c r="I86" s="74" t="n">
        <v>64.98999999999999</v>
      </c>
      <c r="J86" s="75" t="inlineStr">
        <is>
          <t>2026-03-30</t>
        </is>
      </c>
      <c r="K86" s="40" t="n">
        <v>18.59</v>
      </c>
      <c r="L86" s="76" t="n">
        <v>0.2860440067702723</v>
      </c>
      <c r="M86" s="77" t="n"/>
      <c r="N86" s="39" t="inlineStr">
        <is>
          <t>Inactive</t>
        </is>
      </c>
      <c r="O86" s="39" t="n"/>
      <c r="P86" s="78" t="n"/>
      <c r="Q86" s="77" t="n"/>
      <c r="R86" s="77" t="n"/>
      <c r="S86" s="77" t="n"/>
      <c r="T86" s="39" t="n"/>
    </row>
    <row r="87" ht="62" customHeight="1">
      <c r="A87" s="12">
        <f>_xlfn.IMAGE("https://m.media-amazon.com/images/I/81ErpAIAdIL.jpg")</f>
        <v/>
      </c>
      <c r="B87" s="39" t="inlineStr">
        <is>
          <t>B0DDTY5RQX</t>
        </is>
      </c>
      <c r="C87" s="39" t="n"/>
      <c r="D87" s="39" t="inlineStr">
        <is>
          <t>SLEEP SANCTUARY 100% Viscose Derived from Bamboo Sheets Twin Size, 4 Pc Set</t>
        </is>
      </c>
      <c r="E87" s="39" t="inlineStr">
        <is>
          <t>Twin</t>
        </is>
      </c>
      <c r="F87" s="39" t="n"/>
      <c r="G87" s="73" t="n">
        <v>61.99</v>
      </c>
      <c r="H87" s="39" t="inlineStr">
        <is>
          <t>catalog price, 2026-10-13</t>
        </is>
      </c>
      <c r="I87" s="40" t="n"/>
      <c r="J87" s="39" t="n"/>
      <c r="K87" s="40" t="n"/>
      <c r="L87" s="76" t="n"/>
      <c r="M87" s="77" t="n"/>
      <c r="N87" s="39" t="inlineStr">
        <is>
          <t>Active</t>
        </is>
      </c>
      <c r="O87" s="39" t="n"/>
      <c r="P87" s="78" t="n">
        <v>4.5</v>
      </c>
      <c r="Q87" s="77" t="n">
        <v>320</v>
      </c>
      <c r="R87" s="77" t="n">
        <v>252421</v>
      </c>
      <c r="S87" s="77" t="n">
        <v>0.8569</v>
      </c>
      <c r="T87" s="39" t="n"/>
    </row>
    <row r="88" ht="62" customHeight="1">
      <c r="A88" s="12">
        <f>_xlfn.IMAGE("https://m.media-amazon.com/images/I/81O1Qx5WReL.jpg")</f>
        <v/>
      </c>
      <c r="B88" s="39" t="inlineStr">
        <is>
          <t>B0DDV12K7H</t>
        </is>
      </c>
      <c r="C88" s="39" t="n"/>
      <c r="D88" s="39" t="inlineStr">
        <is>
          <t>SLEEP SANCTUARY 100% Viscose Derived from Bamboo Sheets Twin Size, 4 Pc Set</t>
        </is>
      </c>
      <c r="E88" s="39" t="inlineStr">
        <is>
          <t>Twin</t>
        </is>
      </c>
      <c r="F88" s="39" t="n"/>
      <c r="G88" s="73" t="n">
        <v>54.99</v>
      </c>
      <c r="H88" s="39" t="inlineStr">
        <is>
          <t>catalog price, 2026-10-13</t>
        </is>
      </c>
      <c r="I88" s="40" t="n"/>
      <c r="J88" s="39" t="n"/>
      <c r="K88" s="40" t="n"/>
      <c r="L88" s="76" t="n"/>
      <c r="M88" s="77" t="n"/>
      <c r="N88" s="39" t="inlineStr">
        <is>
          <t>Active</t>
        </is>
      </c>
      <c r="O88" s="39" t="n"/>
      <c r="P88" s="78" t="n">
        <v>4.5</v>
      </c>
      <c r="Q88" s="77" t="n">
        <v>320</v>
      </c>
      <c r="R88" s="77" t="n">
        <v>252421</v>
      </c>
      <c r="S88" s="77" t="n">
        <v>3</v>
      </c>
      <c r="T88" s="39" t="n"/>
    </row>
    <row r="89" ht="62" customHeight="1">
      <c r="A89" s="12">
        <f>_xlfn.IMAGE("https://m.media-amazon.com/images/I/81ckcfUOuYL.jpg")</f>
        <v/>
      </c>
      <c r="B89" s="39" t="inlineStr">
        <is>
          <t>B0DDV13P1G</t>
        </is>
      </c>
      <c r="C89" s="39" t="n"/>
      <c r="D89" s="39" t="inlineStr">
        <is>
          <t>SLEEP SANCTUARY 100% Viscose Derived from Bamboo Sheets Twin Size, 4 Pc Set</t>
        </is>
      </c>
      <c r="E89" s="39" t="inlineStr">
        <is>
          <t>Twin</t>
        </is>
      </c>
      <c r="F89" s="39" t="n"/>
      <c r="G89" s="73" t="n">
        <v>61.99</v>
      </c>
      <c r="H89" s="39" t="inlineStr">
        <is>
          <t>catalog price, 2026-10-13</t>
        </is>
      </c>
      <c r="I89" s="40" t="n"/>
      <c r="J89" s="39" t="n"/>
      <c r="K89" s="40" t="n"/>
      <c r="L89" s="76" t="n"/>
      <c r="M89" s="77" t="n"/>
      <c r="N89" s="39" t="inlineStr">
        <is>
          <t>Active</t>
        </is>
      </c>
      <c r="O89" s="39" t="n"/>
      <c r="P89" s="78" t="n">
        <v>4.5</v>
      </c>
      <c r="Q89" s="77" t="n">
        <v>320</v>
      </c>
      <c r="R89" s="77" t="n">
        <v>252428</v>
      </c>
      <c r="S89" s="77" t="n">
        <v>0.9066</v>
      </c>
      <c r="T89" s="39" t="n"/>
    </row>
    <row r="90" ht="62" customHeight="1">
      <c r="A90" s="12">
        <f>_xlfn.IMAGE("https://m.media-amazon.com/images/I/81gNwuW4tEL.jpg")</f>
        <v/>
      </c>
      <c r="B90" s="39" t="inlineStr">
        <is>
          <t>B0DDTWR1JB</t>
        </is>
      </c>
      <c r="C90" s="39" t="n"/>
      <c r="D90" s="39" t="inlineStr">
        <is>
          <t>SLEEP SANCTUARY 100% Viscose Derived from Bamboo Sheets Twin Size, 4 Pc Set</t>
        </is>
      </c>
      <c r="E90" s="39" t="inlineStr">
        <is>
          <t>Twin</t>
        </is>
      </c>
      <c r="F90" s="39" t="n"/>
      <c r="G90" s="73" t="n">
        <v>54.99</v>
      </c>
      <c r="H90" s="39" t="inlineStr">
        <is>
          <t>catalog price, 2026-10-13</t>
        </is>
      </c>
      <c r="I90" s="40" t="n"/>
      <c r="J90" s="39" t="n"/>
      <c r="K90" s="40" t="n"/>
      <c r="L90" s="76" t="n"/>
      <c r="M90" s="77" t="n"/>
      <c r="N90" s="39" t="inlineStr">
        <is>
          <t>Active</t>
        </is>
      </c>
      <c r="O90" s="39" t="n"/>
      <c r="P90" s="78" t="n">
        <v>4.5</v>
      </c>
      <c r="Q90" s="77" t="n">
        <v>320</v>
      </c>
      <c r="R90" s="77" t="n">
        <v>252428</v>
      </c>
      <c r="S90" s="77" t="n">
        <v>3</v>
      </c>
      <c r="T90" s="39" t="n"/>
    </row>
    <row r="91" ht="62" customHeight="1">
      <c r="A91" s="12">
        <f>_xlfn.IMAGE("https://m.media-amazon.com/images/I/81PScXYeYiL.jpg")</f>
        <v/>
      </c>
      <c r="B91" s="39" t="inlineStr">
        <is>
          <t>B0DDV3BVSH</t>
        </is>
      </c>
      <c r="C91" s="39" t="inlineStr">
        <is>
          <t>SS-BAMBOO-GREY-TWIN-4PCS</t>
        </is>
      </c>
      <c r="D91" s="39" t="inlineStr">
        <is>
          <t>SLEEP SANCTUARY 100% Viscose Derived from Bamboo Sheets Twin Size, 4 Pc Set</t>
        </is>
      </c>
      <c r="E91" s="39" t="inlineStr">
        <is>
          <t>Twin</t>
        </is>
      </c>
      <c r="F91" s="39" t="inlineStr">
        <is>
          <t>Grey</t>
        </is>
      </c>
      <c r="G91" s="73" t="n">
        <v>61.99</v>
      </c>
      <c r="H91" s="39" t="inlineStr">
        <is>
          <t>catalog price, 2026-10-13</t>
        </is>
      </c>
      <c r="I91" s="74" t="n">
        <v>54.99</v>
      </c>
      <c r="J91" s="75" t="inlineStr">
        <is>
          <t>2026-03-30</t>
        </is>
      </c>
      <c r="K91" s="40" t="n">
        <v>15.86</v>
      </c>
      <c r="L91" s="76" t="n">
        <v>0.2884160756501182</v>
      </c>
      <c r="M91" s="77" t="n">
        <v>0</v>
      </c>
      <c r="N91" s="39" t="inlineStr">
        <is>
          <t>Active</t>
        </is>
      </c>
      <c r="O91" s="39" t="n"/>
      <c r="P91" s="78" t="n">
        <v>4.5</v>
      </c>
      <c r="Q91" s="77" t="n">
        <v>320</v>
      </c>
      <c r="R91" s="77" t="n">
        <v>252421</v>
      </c>
      <c r="S91" s="77" t="n">
        <v>0.9165</v>
      </c>
      <c r="T91" s="39" t="n"/>
    </row>
    <row r="92" ht="62" customHeight="1">
      <c r="A92" s="12">
        <f>_xlfn.IMAGE("https://m.media-amazon.com/images/I/81HYlJCAVCL.jpg")</f>
        <v/>
      </c>
      <c r="B92" s="39" t="inlineStr">
        <is>
          <t>B0DDTY5FXV</t>
        </is>
      </c>
      <c r="C92" s="39" t="inlineStr">
        <is>
          <t>SS-BAMBOO-LIGHT-GREY-TWIN-4PCS</t>
        </is>
      </c>
      <c r="D92" s="39" t="inlineStr">
        <is>
          <t>SLEEP SANCTUARY 100% Viscose Derived from Bamboo Sheets Twin Size, 4 Pc Set</t>
        </is>
      </c>
      <c r="E92" s="39" t="inlineStr">
        <is>
          <t>Twin</t>
        </is>
      </c>
      <c r="F92" s="39" t="inlineStr">
        <is>
          <t>Light Grey</t>
        </is>
      </c>
      <c r="G92" s="73" t="n">
        <v>54.99</v>
      </c>
      <c r="H92" s="39" t="inlineStr">
        <is>
          <t>catalog price, 2026-10-13</t>
        </is>
      </c>
      <c r="I92" s="74" t="n">
        <v>54.99</v>
      </c>
      <c r="J92" s="75" t="inlineStr">
        <is>
          <t>2026-03-30</t>
        </is>
      </c>
      <c r="K92" s="40" t="n">
        <v>18.52</v>
      </c>
      <c r="L92" s="76" t="n">
        <v>0.3367885070012729</v>
      </c>
      <c r="M92" s="77" t="n">
        <v>0</v>
      </c>
      <c r="N92" s="39" t="inlineStr">
        <is>
          <t>Active</t>
        </is>
      </c>
      <c r="O92" s="39" t="n"/>
      <c r="P92" s="78" t="n">
        <v>4.5</v>
      </c>
      <c r="Q92" s="77" t="n">
        <v>320</v>
      </c>
      <c r="R92" s="77" t="n">
        <v>252421</v>
      </c>
      <c r="S92" s="77" t="n">
        <v>2</v>
      </c>
      <c r="T92" s="39" t="n"/>
    </row>
    <row r="93" ht="62" customHeight="1">
      <c r="A93" s="12">
        <f>_xlfn.IMAGE("https://m.media-amazon.com/images/I/813KjW0jX8L.jpg")</f>
        <v/>
      </c>
      <c r="B93" s="39" t="inlineStr">
        <is>
          <t>B0DDTVSFDH</t>
        </is>
      </c>
      <c r="C93" s="39" t="inlineStr">
        <is>
          <t>SS-BAMBOO-LIGHT-OLIVE-TWIN-4PCS</t>
        </is>
      </c>
      <c r="D93" s="39" t="inlineStr">
        <is>
          <t>SLEEP SANCTUARY 100% Viscose Derived from Bamboo Sheets Twin Size, 4 Pc Set</t>
        </is>
      </c>
      <c r="E93" s="39" t="inlineStr">
        <is>
          <t>Twin</t>
        </is>
      </c>
      <c r="F93" s="39" t="inlineStr">
        <is>
          <t>Light Olive</t>
        </is>
      </c>
      <c r="G93" s="73" t="n">
        <v>54.99</v>
      </c>
      <c r="H93" s="39" t="inlineStr">
        <is>
          <t>catalog price, 2026-10-13</t>
        </is>
      </c>
      <c r="I93" s="74" t="n">
        <v>59.99</v>
      </c>
      <c r="J93" s="75" t="inlineStr">
        <is>
          <t>2026-03-30</t>
        </is>
      </c>
      <c r="K93" s="40" t="n">
        <v>20.16</v>
      </c>
      <c r="L93" s="76" t="n">
        <v>0.3360560093348892</v>
      </c>
      <c r="M93" s="77" t="n">
        <v>0</v>
      </c>
      <c r="N93" s="39" t="inlineStr">
        <is>
          <t>Active</t>
        </is>
      </c>
      <c r="O93" s="39" t="n"/>
      <c r="P93" s="78" t="n">
        <v>4.5</v>
      </c>
      <c r="Q93" s="77" t="n">
        <v>320</v>
      </c>
      <c r="R93" s="77" t="n">
        <v>252421</v>
      </c>
      <c r="S93" s="77" t="n">
        <v>3</v>
      </c>
      <c r="T93" s="39" t="n"/>
    </row>
    <row r="94" ht="62" customHeight="1">
      <c r="A94" s="12">
        <f>_xlfn.IMAGE("https://m.media-amazon.com/images/I/813SaO-0dfL.jpg")</f>
        <v/>
      </c>
      <c r="B94" s="39" t="inlineStr">
        <is>
          <t>B0DDTZR3SH</t>
        </is>
      </c>
      <c r="C94" s="39" t="inlineStr">
        <is>
          <t>SS-BAMBOO-MIDGREY-TWIN-4PCS</t>
        </is>
      </c>
      <c r="D94" s="39" t="inlineStr">
        <is>
          <t>SLEEP SANCTUARY 100% Viscose Derived from Bamboo Sheets Twin Size, 4 Pc Set</t>
        </is>
      </c>
      <c r="E94" s="39" t="inlineStr">
        <is>
          <t>Twin</t>
        </is>
      </c>
      <c r="F94" s="39" t="inlineStr">
        <is>
          <t>Midgrey</t>
        </is>
      </c>
      <c r="G94" s="73" t="n">
        <v>61.99</v>
      </c>
      <c r="H94" s="39" t="inlineStr">
        <is>
          <t>catalog price, 2026-10-13</t>
        </is>
      </c>
      <c r="I94" s="74" t="n">
        <v>54.99</v>
      </c>
      <c r="J94" s="75" t="inlineStr">
        <is>
          <t>2026-03-30</t>
        </is>
      </c>
      <c r="K94" s="40" t="n">
        <v>18.52</v>
      </c>
      <c r="L94" s="76" t="n">
        <v>0.3367885070012729</v>
      </c>
      <c r="M94" s="77" t="n">
        <v>0</v>
      </c>
      <c r="N94" s="39" t="inlineStr">
        <is>
          <t>Active</t>
        </is>
      </c>
      <c r="O94" s="39" t="n"/>
      <c r="P94" s="78" t="n">
        <v>4.5</v>
      </c>
      <c r="Q94" s="77" t="n">
        <v>320</v>
      </c>
      <c r="R94" s="77" t="n">
        <v>252428</v>
      </c>
      <c r="S94" s="77" t="n">
        <v>0.89</v>
      </c>
      <c r="T94" s="39" t="n"/>
    </row>
    <row r="95" ht="62" customHeight="1">
      <c r="A95" s="12">
        <f>_xlfn.IMAGE("https://m.media-amazon.com/images/I/81VqIAGm8uL.jpg")</f>
        <v/>
      </c>
      <c r="B95" s="39" t="inlineStr">
        <is>
          <t>B0DDTY7F93</t>
        </is>
      </c>
      <c r="C95" s="39" t="inlineStr">
        <is>
          <t>SS-BAMBOO-OLIVE-TWIN-4PCS</t>
        </is>
      </c>
      <c r="D95" s="39" t="inlineStr">
        <is>
          <t>SLEEP SANCTUARY 100% Viscose Derived from Bamboo Sheets Twin Size, 4 Pc Set</t>
        </is>
      </c>
      <c r="E95" s="39" t="inlineStr">
        <is>
          <t>Twin</t>
        </is>
      </c>
      <c r="F95" s="39" t="inlineStr">
        <is>
          <t>Olive</t>
        </is>
      </c>
      <c r="G95" s="73" t="n">
        <v>54.99</v>
      </c>
      <c r="H95" s="39" t="inlineStr">
        <is>
          <t>catalog price, 2026-10-13</t>
        </is>
      </c>
      <c r="I95" s="74" t="n">
        <v>54.99</v>
      </c>
      <c r="J95" s="75" t="inlineStr">
        <is>
          <t>2026-03-30</t>
        </is>
      </c>
      <c r="K95" s="40" t="n">
        <v>18.52</v>
      </c>
      <c r="L95" s="76" t="n">
        <v>0.3367885070012729</v>
      </c>
      <c r="M95" s="77" t="n">
        <v>0</v>
      </c>
      <c r="N95" s="39" t="inlineStr">
        <is>
          <t>Active</t>
        </is>
      </c>
      <c r="O95" s="39" t="n"/>
      <c r="P95" s="78" t="n">
        <v>4.5</v>
      </c>
      <c r="Q95" s="77" t="n">
        <v>320</v>
      </c>
      <c r="R95" s="77" t="n">
        <v>252421</v>
      </c>
      <c r="S95" s="77" t="n">
        <v>2</v>
      </c>
      <c r="T95" s="39" t="n"/>
    </row>
    <row r="96" ht="62" customHeight="1">
      <c r="A96" s="12">
        <f>_xlfn.IMAGE("https://m.media-amazon.com/images/I/81qAQB1aouL.jpg")</f>
        <v/>
      </c>
      <c r="B96" s="39" t="inlineStr">
        <is>
          <t>B0DDTZJVSL</t>
        </is>
      </c>
      <c r="C96" s="39" t="inlineStr">
        <is>
          <t>SS-BAMBOO-PURPLE-TWIN-4PCS</t>
        </is>
      </c>
      <c r="D96" s="39" t="inlineStr">
        <is>
          <t>SLEEP SANCTUARY 100% Viscose Derived from Bamboo Sheets Twin Size, 4 Pc Set</t>
        </is>
      </c>
      <c r="E96" s="39" t="inlineStr">
        <is>
          <t>Twin</t>
        </is>
      </c>
      <c r="F96" s="39" t="inlineStr">
        <is>
          <t>Purple</t>
        </is>
      </c>
      <c r="G96" s="73" t="n">
        <v>54.99</v>
      </c>
      <c r="H96" s="39" t="inlineStr">
        <is>
          <t>catalog price, 2026-10-13</t>
        </is>
      </c>
      <c r="I96" s="74" t="n">
        <v>54.99</v>
      </c>
      <c r="J96" s="75" t="inlineStr">
        <is>
          <t>2026-03-30</t>
        </is>
      </c>
      <c r="K96" s="40" t="n">
        <v>15.89</v>
      </c>
      <c r="L96" s="76" t="n">
        <v>0.2889616293871613</v>
      </c>
      <c r="M96" s="77" t="n">
        <v>0</v>
      </c>
      <c r="N96" s="39" t="inlineStr">
        <is>
          <t>Active</t>
        </is>
      </c>
      <c r="O96" s="39" t="n"/>
      <c r="P96" s="78" t="n">
        <v>4.5</v>
      </c>
      <c r="Q96" s="77" t="n">
        <v>320</v>
      </c>
      <c r="R96" s="77" t="n">
        <v>252428</v>
      </c>
      <c r="S96" s="77" t="n">
        <v>2</v>
      </c>
      <c r="T96" s="39" t="n"/>
    </row>
    <row r="97" ht="62" customHeight="1">
      <c r="A97" s="12">
        <f>_xlfn.IMAGE("https://m.media-amazon.com/images/I/81WXKFpyLHL.jpg")</f>
        <v/>
      </c>
      <c r="B97" s="39" t="inlineStr">
        <is>
          <t>B0DDTZLDHH</t>
        </is>
      </c>
      <c r="C97" s="39" t="inlineStr">
        <is>
          <t>SS-BAMBOO-SAGE-GREEN-TWIN-4PCS</t>
        </is>
      </c>
      <c r="D97" s="39" t="inlineStr">
        <is>
          <t>SLEEP SANCTUARY 100% Viscose Derived from Bamboo Sheets Twin Size, 4 Pc Set</t>
        </is>
      </c>
      <c r="E97" s="39" t="inlineStr">
        <is>
          <t>Twin</t>
        </is>
      </c>
      <c r="F97" s="39" t="inlineStr">
        <is>
          <t>Sage Green</t>
        </is>
      </c>
      <c r="G97" s="73" t="n">
        <v>54.99</v>
      </c>
      <c r="H97" s="39" t="inlineStr">
        <is>
          <t>catalog price, 2026-10-13</t>
        </is>
      </c>
      <c r="I97" s="74" t="n">
        <v>59.99</v>
      </c>
      <c r="J97" s="75" t="inlineStr">
        <is>
          <t>2026-03-30</t>
        </is>
      </c>
      <c r="K97" s="40" t="n">
        <v>22.77</v>
      </c>
      <c r="L97" s="76" t="n">
        <v>0.3795632605434239</v>
      </c>
      <c r="M97" s="77" t="n">
        <v>0</v>
      </c>
      <c r="N97" s="39" t="inlineStr">
        <is>
          <t>Active</t>
        </is>
      </c>
      <c r="O97" s="39" t="n"/>
      <c r="P97" s="78" t="n">
        <v>4.5</v>
      </c>
      <c r="Q97" s="77" t="n">
        <v>320</v>
      </c>
      <c r="R97" s="77" t="n">
        <v>252428</v>
      </c>
      <c r="S97" s="77" t="n">
        <v>2</v>
      </c>
      <c r="T97" s="39" t="n"/>
    </row>
    <row r="98" ht="62" customHeight="1">
      <c r="A98" s="12">
        <f>_xlfn.IMAGE("https://m.media-amazon.com/images/I/81jP+dXApgL.jpg")</f>
        <v/>
      </c>
      <c r="B98" s="39" t="inlineStr">
        <is>
          <t>B0DDTYZ5R2</t>
        </is>
      </c>
      <c r="C98" s="39" t="inlineStr">
        <is>
          <t>SS-BAMBOO-TAUPE-TWIN-4PCS</t>
        </is>
      </c>
      <c r="D98" s="39" t="inlineStr">
        <is>
          <t>SLEEP SANCTUARY 100% Viscose Derived from Bamboo Sheets Twin Size, 4 Pc Set</t>
        </is>
      </c>
      <c r="E98" s="39" t="inlineStr">
        <is>
          <t>Twin</t>
        </is>
      </c>
      <c r="F98" s="39" t="inlineStr">
        <is>
          <t>Taupe</t>
        </is>
      </c>
      <c r="G98" s="73" t="n">
        <v>54.99</v>
      </c>
      <c r="H98" s="39" t="inlineStr">
        <is>
          <t>catalog price, 2026-10-13</t>
        </is>
      </c>
      <c r="I98" s="74" t="n">
        <v>54.99</v>
      </c>
      <c r="J98" s="75" t="inlineStr">
        <is>
          <t>2026-03-30</t>
        </is>
      </c>
      <c r="K98" s="40" t="n">
        <v>18.52</v>
      </c>
      <c r="L98" s="76" t="n">
        <v>0.3367885070012729</v>
      </c>
      <c r="M98" s="77" t="n">
        <v>0</v>
      </c>
      <c r="N98" s="39" t="inlineStr">
        <is>
          <t>Active</t>
        </is>
      </c>
      <c r="O98" s="39" t="n"/>
      <c r="P98" s="78" t="n">
        <v>4.5</v>
      </c>
      <c r="Q98" s="77" t="n">
        <v>320</v>
      </c>
      <c r="R98" s="77" t="n">
        <v>252421</v>
      </c>
      <c r="S98" s="77" t="n">
        <v>3</v>
      </c>
      <c r="T98" s="39" t="n"/>
    </row>
    <row r="99" ht="62" customHeight="1">
      <c r="A99" s="12">
        <f>_xlfn.IMAGE("https://m.media-amazon.com/images/I/81gNwuW4tEL.jpg")</f>
        <v/>
      </c>
      <c r="B99" s="39" t="inlineStr">
        <is>
          <t>B0DDTZ2DRM</t>
        </is>
      </c>
      <c r="C99" s="39" t="inlineStr">
        <is>
          <t>SS-BAMBOO-WHITE-TWIN-4PCS</t>
        </is>
      </c>
      <c r="D99" s="39" t="inlineStr">
        <is>
          <t>SLEEP SANCTUARY 100% Viscose Derived from Bamboo Sheets Twin Size, 4 Pc Set</t>
        </is>
      </c>
      <c r="E99" s="39" t="inlineStr">
        <is>
          <t>Twin</t>
        </is>
      </c>
      <c r="F99" s="39" t="inlineStr">
        <is>
          <t>White</t>
        </is>
      </c>
      <c r="G99" s="40" t="n"/>
      <c r="H99" s="39" t="n"/>
      <c r="I99" s="74" t="n">
        <v>54.99</v>
      </c>
      <c r="J99" s="75" t="inlineStr">
        <is>
          <t>2026-03-30</t>
        </is>
      </c>
      <c r="K99" s="40" t="n">
        <v>18.52</v>
      </c>
      <c r="L99" s="76" t="n">
        <v>0.3367885070012729</v>
      </c>
      <c r="M99" s="77" t="n"/>
      <c r="N99" s="39" t="inlineStr">
        <is>
          <t>Inactive</t>
        </is>
      </c>
      <c r="O99" s="39" t="n"/>
      <c r="P99" s="78" t="n"/>
      <c r="Q99" s="77" t="n"/>
      <c r="R99" s="77" t="n"/>
      <c r="S99" s="77" t="n"/>
      <c r="T99" s="39" t="n"/>
    </row>
    <row r="100"/>
    <row r="101" ht="22" customHeight="1">
      <c r="A101" s="65" t="inlineStr">
        <is>
          <t>3 ▼</t>
        </is>
      </c>
      <c r="B101" s="66" t="inlineStr">
        <is>
          <t>OUR BFCM 2025 RESULT &amp; EVENT VISIBILITY</t>
        </is>
      </c>
      <c r="C101" s="67" t="n"/>
      <c r="D101" s="67" t="n"/>
      <c r="E101" s="67" t="n"/>
      <c r="F101" s="67" t="n"/>
      <c r="G101" s="67" t="n"/>
      <c r="H101" s="67" t="n"/>
      <c r="I101" s="67" t="n"/>
      <c r="J101" s="67" t="n"/>
      <c r="K101" s="67" t="n"/>
      <c r="L101" s="67" t="n"/>
      <c r="M101" s="67" t="n"/>
      <c r="N101" s="67" t="n"/>
      <c r="O101" s="67" t="n"/>
      <c r="P101" s="67" t="n"/>
      <c r="Q101" s="67" t="n"/>
      <c r="R101" s="67" t="n"/>
      <c r="S101" s="67" t="n"/>
      <c r="T101" s="67" t="n"/>
      <c r="U101" s="67" t="n"/>
      <c r="V101" s="67" t="n"/>
      <c r="W101" s="67" t="n"/>
      <c r="X101" s="67" t="n"/>
      <c r="Y101" s="67" t="n"/>
      <c r="Z101" s="67" t="n"/>
      <c r="AA101" s="67" t="n"/>
      <c r="AB101" s="67" t="n"/>
      <c r="AC101" s="67" t="n"/>
      <c r="AD101" s="67" t="n"/>
      <c r="AE101" s="67" t="n"/>
      <c r="AF101" s="67" t="n"/>
      <c r="AG101" s="67" t="n"/>
      <c r="AH101" s="67" t="n"/>
      <c r="AI101" s="67" t="n"/>
      <c r="AJ101" s="67" t="n"/>
      <c r="AK101" s="67" t="n"/>
      <c r="AL101" s="67" t="n"/>
      <c r="AM101" s="67" t="n"/>
      <c r="AN101" s="67" t="n"/>
      <c r="AO101" s="67" t="n"/>
      <c r="AP101" s="67" t="n"/>
      <c r="AQ101" s="67" t="n"/>
      <c r="AR101" s="67" t="n"/>
      <c r="AS101" s="67" t="n"/>
      <c r="AT101" s="67" t="n"/>
      <c r="AU101" s="67" t="n"/>
      <c r="AV101" s="67" t="n"/>
      <c r="AW101" s="67" t="n"/>
      <c r="AX101" s="67" t="n"/>
      <c r="AY101" s="67" t="n"/>
      <c r="AZ101" s="67" t="n"/>
      <c r="BA101" s="67" t="n"/>
      <c r="BB101" s="67" t="n"/>
      <c r="BC101" s="67" t="n"/>
      <c r="BD101" s="67" t="n"/>
      <c r="BE101" s="67" t="n"/>
      <c r="BF101" s="67" t="n"/>
      <c r="BG101" s="67" t="n"/>
      <c r="BH101" s="67" t="n"/>
      <c r="BI101" s="67" t="n"/>
      <c r="BJ101" s="67" t="n"/>
      <c r="BK101" s="67" t="n"/>
    </row>
    <row r="102">
      <c r="A102" s="80" t="inlineStr">
        <is>
          <t>Window</t>
        </is>
      </c>
      <c r="B102" s="81" t="n"/>
      <c r="C102" s="82" t="n"/>
      <c r="D102" s="80" t="inlineStr">
        <is>
          <t>Ad spend</t>
        </is>
      </c>
      <c r="E102" s="80" t="inlineStr">
        <is>
          <t>Ad sales</t>
        </is>
      </c>
      <c r="F102" s="80" t="inlineStr">
        <is>
          <t>ACoS</t>
        </is>
      </c>
      <c r="G102" s="80" t="inlineStr">
        <is>
          <t>TACoS</t>
        </is>
      </c>
      <c r="H102" s="80" t="inlineStr">
        <is>
          <t>Total sales (derived)</t>
        </is>
      </c>
      <c r="J102" s="80" t="inlineStr">
        <is>
          <t>Ad orders</t>
        </is>
      </c>
      <c r="K102" s="80" t="inlineStr">
        <is>
          <t>CVR</t>
        </is>
      </c>
    </row>
    <row r="103">
      <c r="A103" s="83" t="inlineStr">
        <is>
          <t>Pre-event Oct 21 - Nov 19, 2025 (30d)</t>
        </is>
      </c>
      <c r="B103" s="81" t="n"/>
      <c r="C103" s="82" t="n"/>
      <c r="D103" s="84" t="n">
        <v>9894.259999999998</v>
      </c>
      <c r="E103" s="84" t="n">
        <v>17274.95</v>
      </c>
      <c r="F103" s="85" t="n">
        <v>57.3</v>
      </c>
      <c r="G103" s="85" t="n">
        <v>35.48896657152019</v>
      </c>
      <c r="H103" s="84" t="n">
        <v>27879.82</v>
      </c>
      <c r="J103" s="86" t="n">
        <v>248</v>
      </c>
      <c r="K103" s="87" t="n">
        <v>14.84</v>
      </c>
    </row>
    <row r="104">
      <c r="A104" s="83" t="inlineStr">
        <is>
          <t>BFCM week Nov 20 - Dec 1, 2025 (12d)</t>
        </is>
      </c>
      <c r="B104" s="81" t="n"/>
      <c r="C104" s="82" t="n"/>
      <c r="D104" s="84" t="n">
        <v>2505.4</v>
      </c>
      <c r="E104" s="84" t="n">
        <v>6125.46</v>
      </c>
      <c r="F104" s="85" t="n">
        <v>40.9</v>
      </c>
      <c r="G104" s="85" t="n">
        <v>18.70162054834399</v>
      </c>
      <c r="H104" s="84" t="n">
        <v>13396.7</v>
      </c>
      <c r="J104" s="86" t="n">
        <v>105</v>
      </c>
      <c r="K104" s="87" t="n">
        <v>20.43</v>
      </c>
    </row>
    <row r="105">
      <c r="A105" s="83" t="inlineStr">
        <is>
          <t>December 2 - 31, 2025 (30d)</t>
        </is>
      </c>
      <c r="B105" s="81" t="n"/>
      <c r="C105" s="82" t="n"/>
      <c r="D105" s="84" t="n">
        <v>15155.59</v>
      </c>
      <c r="E105" s="84" t="n">
        <v>38951.74000000001</v>
      </c>
      <c r="F105" s="85" t="n">
        <v>38.9</v>
      </c>
      <c r="G105" s="85" t="n">
        <v>24.00677517528382</v>
      </c>
      <c r="H105" s="84" t="n">
        <v>63130.47</v>
      </c>
      <c r="J105" s="86" t="n">
        <v>572</v>
      </c>
      <c r="K105" s="87" t="n">
        <v>19.56</v>
      </c>
    </row>
    <row r="106"/>
    <row r="107">
      <c r="A107" s="80" t="inlineStr">
        <is>
          <t>Actual sales (account data)</t>
        </is>
      </c>
      <c r="B107" s="81" t="n"/>
      <c r="C107" s="82" t="n"/>
      <c r="D107" s="80" t="inlineStr">
        <is>
          <t>Sales</t>
        </is>
      </c>
      <c r="E107" s="80" t="inlineStr">
        <is>
          <t>Units</t>
        </is>
      </c>
      <c r="F107" s="80" t="inlineStr">
        <is>
          <t>Organic units</t>
        </is>
      </c>
      <c r="G107" s="80" t="inlineStr">
        <is>
          <t>Ad units</t>
        </is>
      </c>
      <c r="H107" s="80" t="inlineStr">
        <is>
          <t>Ad cost</t>
        </is>
      </c>
      <c r="J107" s="80" t="inlineStr">
        <is>
          <t>TACoS (actual)</t>
        </is>
      </c>
      <c r="K107" s="80" t="inlineStr">
        <is>
          <t>Sessions</t>
        </is>
      </c>
      <c r="L107" s="80" t="inlineStr">
        <is>
          <t>Unit session %</t>
        </is>
      </c>
      <c r="M107" s="80" t="inlineStr">
        <is>
          <t>Avg price</t>
        </is>
      </c>
      <c r="N107" s="80" t="inlineStr">
        <is>
          <t>Refunds</t>
        </is>
      </c>
    </row>
    <row r="108">
      <c r="A108" s="83" t="inlineStr">
        <is>
          <t>Pre-event Oct 21 - Nov 19, 2025 (30d)</t>
        </is>
      </c>
      <c r="B108" s="81" t="n"/>
      <c r="C108" s="82" t="n"/>
      <c r="D108" s="84" t="n">
        <v>27879.82</v>
      </c>
      <c r="E108" s="86" t="n">
        <v>423</v>
      </c>
      <c r="F108" s="86" t="n">
        <v>376</v>
      </c>
      <c r="G108" s="86" t="n">
        <v>47</v>
      </c>
      <c r="H108" s="84" t="n">
        <v>9894.26</v>
      </c>
      <c r="J108" s="88" t="n">
        <v>0.3548896657152019</v>
      </c>
      <c r="K108" s="86" t="n">
        <v>6527</v>
      </c>
      <c r="L108" s="88" t="n">
        <v>0.06480772177110464</v>
      </c>
      <c r="M108" s="89" t="n">
        <v>65.90973995271868</v>
      </c>
      <c r="N108" s="86" t="n">
        <v>40</v>
      </c>
    </row>
    <row r="109">
      <c r="A109" s="83" t="inlineStr">
        <is>
          <t>BFCM week Nov 20 - Dec 1, 2025 (12d)</t>
        </is>
      </c>
      <c r="B109" s="81" t="n"/>
      <c r="C109" s="82" t="n"/>
      <c r="D109" s="84" t="n">
        <v>13396.7</v>
      </c>
      <c r="E109" s="86" t="n">
        <v>231</v>
      </c>
      <c r="F109" s="86" t="n">
        <v>213</v>
      </c>
      <c r="G109" s="86" t="n">
        <v>18</v>
      </c>
      <c r="H109" s="84" t="n">
        <v>2505.46</v>
      </c>
      <c r="J109" s="88" t="n">
        <v>0.1870206841983474</v>
      </c>
      <c r="K109" s="86" t="n">
        <v>2834</v>
      </c>
      <c r="L109" s="88" t="n">
        <v>0.08151023288637967</v>
      </c>
      <c r="M109" s="89" t="n">
        <v>57.9943722943723</v>
      </c>
      <c r="N109" s="86" t="n">
        <v>7</v>
      </c>
    </row>
    <row r="110">
      <c r="A110" s="83" t="inlineStr">
        <is>
          <t>December 2 - 31, 2025 (30d)</t>
        </is>
      </c>
      <c r="B110" s="81" t="n"/>
      <c r="C110" s="82" t="n"/>
      <c r="D110" s="84" t="n">
        <v>63405.42</v>
      </c>
      <c r="E110" s="86" t="n">
        <v>963</v>
      </c>
      <c r="F110" s="86" t="n">
        <v>869</v>
      </c>
      <c r="G110" s="86" t="n">
        <v>94</v>
      </c>
      <c r="H110" s="84" t="n">
        <v>15155.59</v>
      </c>
      <c r="J110" s="88" t="n">
        <v>0.2390267267372411</v>
      </c>
      <c r="K110" s="86" t="n">
        <v>11372</v>
      </c>
      <c r="L110" s="88" t="n">
        <v>0.08468167428772423</v>
      </c>
      <c r="M110" s="89" t="n">
        <v>65.84155763239875</v>
      </c>
      <c r="N110" s="86" t="n">
        <v>51</v>
      </c>
    </row>
    <row r="111">
      <c r="A111" s="90" t="inlineStr">
        <is>
          <t>account data, Amazon parent B0HBWXDWJ5 plus any of this product's child ASINs account data lists on their own, UTC days. Lift above uses these actual sales (1.20x; the ad-spend estimate was 1.20x).</t>
        </is>
      </c>
    </row>
    <row r="112" ht="18" customHeight="1">
      <c r="A112" s="91" t="inlineStr">
        <is>
          <t>Deals Nov 1 - Dec 5, 2025: no record returned by the deal records promotions feed. Unknown, not proof that no deal ran.</t>
        </is>
      </c>
    </row>
    <row r="113" ht="18" customHeight="1">
      <c r="A113" s="92" t="inlineStr">
        <is>
          <t>BFCM 2026 plan: Best Deal 11/19-11/30. Deal price and depth not yet given; not yet visible in Amazon's deal feed.</t>
        </is>
      </c>
    </row>
    <row r="114" ht="18" customHeight="1">
      <c r="A114" s="93" t="inlineStr">
        <is>
          <t>Pre-BFCM deal decision: Oct 14-27 Best Deal: cancel recommended (4.3 units a day Oct 1-10, no lift from Prime Big Deal Days).</t>
        </is>
      </c>
    </row>
    <row r="115" ht="30" customHeight="1">
      <c r="A115" s="94" t="inlineStr">
        <is>
          <t>BFCM 2026 stock (account data, Oct 15): 912 units at Amazon + 0 already sent (no ETA in account data); selling 3.4 a day; need about 165 to Nov 30 with a 1.20x BFCM lift (own BFCM 2025 lift (account data)). Variations: 33 covered, 0 need the inbound in time, 7 short even with inbound (26 units), 4 out of stock now. Detail: BFCM Stock tab.</t>
        </is>
      </c>
    </row>
    <row r="116" ht="18" customHeight="1">
      <c r="A116" s="95" t="inlineStr">
        <is>
          <t>ASSUMED 2026 deal prices, until the team's final: B0DDTYDHVB today $69.99; $59.49 at 15% off (Nov 19-26) and $55.99 at 20% off (Nov 27-30, Black Friday to Cyber Monday). Rule: team rule agreed Oct 15, 2026. Evidence: our BFCM 2025 deal on B0DDTYDHVB (US, price history): $69.99 before, $69.99 during, 0% off; US competitors' median price cut in BFCM 2025: 24% (4 rivals). Amazon may use a lower reference price than today's (it sets it the day before the deal), which would lower the deal price.</t>
        </is>
      </c>
    </row>
    <row r="117" ht="30" customHeight="1">
      <c r="A117" s="91" t="inlineStr">
        <is>
          <t>Our hero child B0DDTYDHVB in price history (market data, US): price $69.99 before (median Nov 1-19) → $69.99 in BFCM week (median Nov 20 - Dec 1), no cut; lowest $55.99; Best Seller Rank 104,479 → 165,550 (1.58x worse); Prime Exclusive price seen 11-28 to 12-01 (4 days). Price is price history's lowest new offer (price history holds no Buy Box series for our own ASINs; we are the only seller).</t>
        </is>
      </c>
    </row>
    <row r="118" ht="30" customHeight="1">
      <c r="A118" s="130" t="inlineStr">
        <is>
          <t>Prime Exclusive Discount seen in price history, BFCM 2025 (not in the deal records deal feed): B0DDTVMMYW $51.99 11-28 to 12-03; B0DDTVZRYJ $55.99 11-28 to 11-30; B0DDTWSK28 $47.99 11-28 to 12-03; B0DDTYDHVB $55.99 11-28 to 12-02. price history observation only - campaign, scheduled dates and discount depth not confirmed.</t>
        </is>
      </c>
    </row>
    <row r="119" ht="40" customHeight="1">
      <c r="A119" s="91" t="inlineStr">
        <is>
          <t>Stock in BFCM week 2025 (FBA inventory snapshots, child-ASIN level, revision 2): 0 of 80 variations hit zero FBA stock on at least one observed day; weighted by today's sales mix that is ~0.0% of variation-days lost. Days with no snapshot (Nov 26-27 and Dec 1, Cyber Monday), inferred from sales that day and the readings either side: 240 of 240 variation-days in stock, 0 out of stock, 0 unknown. Inferred, not a stock reading.</t>
        </is>
      </c>
    </row>
    <row r="120">
      <c r="A120" s="90" t="inlineStr">
        <is>
          <t>market data visibility for our best child B0DDTYDHVB: organic score 0.5 before BFCM 2025 → 1.0 in BFCM week; Prime Day 2026 31.2 → 6.2; Aug-Sep 2026 45.3.</t>
        </is>
      </c>
    </row>
    <row r="121"/>
    <row r="122" ht="22" customHeight="1">
      <c r="A122" s="65" t="inlineStr">
        <is>
          <t>4 ▼</t>
        </is>
      </c>
      <c r="B122" s="66" t="inlineStr">
        <is>
          <t>COMPETITOR LANDSCAPE (30 mapped)</t>
        </is>
      </c>
      <c r="C122" s="67" t="n"/>
      <c r="D122" s="67" t="n"/>
      <c r="E122" s="67" t="n"/>
      <c r="F122" s="67" t="n"/>
      <c r="G122" s="67" t="n"/>
      <c r="H122" s="67" t="n"/>
      <c r="I122" s="67" t="n"/>
      <c r="J122" s="67" t="n"/>
      <c r="K122" s="67" t="n"/>
      <c r="L122" s="67" t="n"/>
      <c r="M122" s="67" t="n"/>
      <c r="N122" s="67" t="n"/>
      <c r="O122" s="67" t="n"/>
      <c r="P122" s="67" t="n"/>
      <c r="Q122" s="67" t="n"/>
      <c r="R122" s="67" t="n"/>
      <c r="S122" s="67" t="n"/>
      <c r="T122" s="67" t="n"/>
      <c r="U122" s="67" t="n"/>
      <c r="V122" s="67" t="n"/>
      <c r="W122" s="67" t="n"/>
      <c r="X122" s="67" t="n"/>
      <c r="Y122" s="67" t="n"/>
      <c r="Z122" s="67" t="n"/>
      <c r="AA122" s="67" t="n"/>
      <c r="AB122" s="67" t="n"/>
      <c r="AC122" s="67" t="n"/>
      <c r="AD122" s="67" t="n"/>
      <c r="AE122" s="67" t="n"/>
      <c r="AF122" s="67" t="n"/>
      <c r="AG122" s="67" t="n"/>
      <c r="AH122" s="67" t="n"/>
      <c r="AI122" s="67" t="n"/>
      <c r="AJ122" s="67" t="n"/>
      <c r="AK122" s="67" t="n"/>
      <c r="AL122" s="67" t="n"/>
      <c r="AM122" s="67" t="n"/>
      <c r="AN122" s="67" t="n"/>
      <c r="AO122" s="67" t="n"/>
      <c r="AP122" s="67" t="n"/>
      <c r="AQ122" s="67" t="n"/>
      <c r="AR122" s="67" t="n"/>
      <c r="AS122" s="67" t="n"/>
      <c r="AT122" s="67" t="n"/>
      <c r="AU122" s="67" t="n"/>
      <c r="AV122" s="67" t="n"/>
      <c r="AW122" s="67" t="n"/>
      <c r="AX122" s="67" t="n"/>
      <c r="AY122" s="67" t="n"/>
      <c r="AZ122" s="67" t="n"/>
      <c r="BA122" s="67" t="n"/>
      <c r="BB122" s="67" t="n"/>
      <c r="BC122" s="67" t="n"/>
      <c r="BD122" s="67" t="n"/>
      <c r="BE122" s="67" t="n"/>
      <c r="BF122" s="67" t="n"/>
      <c r="BG122" s="67" t="n"/>
      <c r="BH122" s="67" t="n"/>
      <c r="BI122" s="67" t="n"/>
      <c r="BJ122" s="67" t="n"/>
      <c r="BK122" s="67" t="n"/>
    </row>
    <row r="123" ht="20" customHeight="1">
      <c r="A123" s="96" t="inlineStr">
        <is>
          <t>▼▼▼</t>
        </is>
      </c>
      <c r="B123" s="97" t="inlineStr">
        <is>
          <t>COMPETITOR DATA BELOW: one row per competitor (29 direct first, then alternative material). Scroll right for listing, search, strikethrough now and BFCM 2025 history (deal type, price, discount, rank change).</t>
        </is>
      </c>
      <c r="C123" s="98" t="n"/>
      <c r="D123" s="98" t="n"/>
      <c r="E123" s="98" t="n"/>
      <c r="F123" s="98" t="n"/>
      <c r="G123" s="98" t="n"/>
      <c r="H123" s="98" t="n"/>
      <c r="I123" s="98" t="n"/>
      <c r="J123" s="98" t="n"/>
      <c r="K123" s="98" t="n"/>
      <c r="L123" s="98" t="n"/>
      <c r="M123" s="98" t="n"/>
      <c r="N123" s="98" t="n"/>
      <c r="O123" s="98" t="n"/>
      <c r="P123" s="98" t="n"/>
      <c r="Q123" s="98" t="n"/>
      <c r="R123" s="98" t="n"/>
      <c r="S123" s="98" t="n"/>
      <c r="T123" s="98" t="n"/>
      <c r="U123" s="98" t="n"/>
      <c r="V123" s="98" t="n"/>
      <c r="W123" s="98" t="n"/>
      <c r="X123" s="98" t="n"/>
      <c r="Y123" s="98" t="n"/>
      <c r="Z123" s="98" t="n"/>
      <c r="AA123" s="98" t="n"/>
      <c r="AB123" s="98" t="n"/>
      <c r="AC123" s="98" t="n"/>
      <c r="AD123" s="98" t="n"/>
      <c r="AE123" s="98" t="n"/>
      <c r="AF123" s="98" t="n"/>
      <c r="AG123" s="98" t="n"/>
      <c r="AH123" s="98" t="n"/>
      <c r="AI123" s="98" t="n"/>
      <c r="AJ123" s="98" t="n"/>
      <c r="AK123" s="98" t="n"/>
      <c r="AL123" s="98" t="n"/>
      <c r="AM123" s="98" t="n"/>
      <c r="AN123" s="98" t="n"/>
      <c r="AO123" s="98" t="n"/>
      <c r="AP123" s="98" t="n"/>
      <c r="AQ123" s="98" t="n"/>
      <c r="AR123" s="98" t="n"/>
      <c r="AS123" s="98" t="n"/>
      <c r="AT123" s="98" t="n"/>
      <c r="AU123" s="98" t="n"/>
      <c r="AV123" s="98" t="n"/>
      <c r="AW123" s="98" t="n"/>
      <c r="AX123" s="98" t="n"/>
      <c r="AY123" s="98" t="n"/>
      <c r="AZ123" s="98" t="n"/>
      <c r="BA123" s="98" t="n"/>
      <c r="BB123" s="98" t="n"/>
      <c r="BC123" s="98" t="n"/>
      <c r="BD123" s="98" t="n"/>
      <c r="BE123" s="98" t="n"/>
      <c r="BF123" s="98" t="n"/>
      <c r="BG123" s="98" t="n"/>
      <c r="BH123" s="98" t="n"/>
      <c r="BI123" s="98" t="n"/>
      <c r="BJ123" s="98" t="n"/>
      <c r="BK123" s="98" t="n"/>
    </row>
    <row r="124">
      <c r="A124" s="99" t="inlineStr">
        <is>
          <t>COMPETITOR</t>
        </is>
      </c>
      <c r="L124" s="100" t="inlineStr">
        <is>
          <t>LISTING - catalog data</t>
        </is>
      </c>
      <c r="M124" s="101" t="inlineStr">
        <is>
          <t>SEARCH STRATEGY - market data search data</t>
        </is>
      </c>
      <c r="N124" s="102" t="inlineStr">
        <is>
          <t>PRICE &amp; SALES - market data snapshot (date per row)</t>
        </is>
      </c>
      <c r="AA124" s="100" t="inlineStr">
        <is>
          <t>LISTING - catalog data</t>
        </is>
      </c>
      <c r="AD124" s="101" t="inlineStr">
        <is>
          <t>SEARCH STRATEGY - market data search data</t>
        </is>
      </c>
      <c r="AU124" s="103" t="inlineStr">
        <is>
          <t>STR NOW - Amazon page check (Oct 13, P1 + P2)</t>
        </is>
      </c>
      <c r="BB124" s="104" t="inlineStr">
        <is>
          <t>BFCM 2025 - price history (P1 filled; yellow = not pulled yet)</t>
        </is>
      </c>
    </row>
    <row r="125" ht="48" customHeight="1">
      <c r="A125" s="26" t="inlineStr">
        <is>
          <t>Image</t>
        </is>
      </c>
      <c r="B125" s="26" t="inlineStr">
        <is>
          <t>Brand</t>
        </is>
      </c>
      <c r="C125" s="26" t="inlineStr">
        <is>
          <t>Product title</t>
        </is>
      </c>
      <c r="D125" s="26" t="inlineStr">
        <is>
          <t>Tier</t>
        </is>
      </c>
      <c r="E125" s="26" t="inlineStr">
        <is>
          <t>Competitor type</t>
        </is>
      </c>
      <c r="F125" s="26" t="inlineStr">
        <is>
          <t>Material</t>
        </is>
      </c>
      <c r="G125" s="26" t="inlineStr">
        <is>
          <t>Why this type</t>
        </is>
      </c>
      <c r="H125" s="26" t="inlineStr">
        <is>
          <t>Parent ASIN</t>
        </is>
      </c>
      <c r="I125" s="26" t="inlineStr">
        <is>
          <t>Tracked child ASIN</t>
        </is>
      </c>
      <c r="J125" s="26" t="inlineStr">
        <is>
          <t>Size</t>
        </is>
      </c>
      <c r="K125" s="26" t="inlineStr">
        <is>
          <t>Colour</t>
        </is>
      </c>
      <c r="L125" s="26" t="inlineStr">
        <is>
          <t>Variations</t>
        </is>
      </c>
      <c r="M125" s="26" t="inlineStr">
        <is>
          <t>Hero child ASINs (share of their visibility)</t>
        </is>
      </c>
      <c r="N125" s="26" t="inlineStr">
        <is>
          <t>Price ($)</t>
        </is>
      </c>
      <c r="O125" s="26" t="inlineStr">
        <is>
          <t>List Price ($)</t>
        </is>
      </c>
      <c r="P125" s="26" t="inlineStr">
        <is>
          <t>List Price % over</t>
        </is>
      </c>
      <c r="Q125" s="26" t="inlineStr">
        <is>
          <t>STR band</t>
        </is>
      </c>
      <c r="R125" s="26" t="inlineStr">
        <is>
          <t>Our price, same size ($)</t>
        </is>
      </c>
      <c r="S125" s="26" t="inlineStr">
        <is>
          <t>Their price vs ours</t>
        </is>
      </c>
      <c r="T125" s="26" t="inlineStr">
        <is>
          <t>Comparison basis</t>
        </is>
      </c>
      <c r="U125" s="26" t="inlineStr">
        <is>
          <t>BSR</t>
        </is>
      </c>
      <c r="V125" s="26" t="inlineStr">
        <is>
          <t>Est weekly units</t>
        </is>
      </c>
      <c r="W125" s="26" t="inlineStr">
        <is>
          <t>Est monthly revenue ($)</t>
        </is>
      </c>
      <c r="X125" s="26" t="inlineStr">
        <is>
          <t>Rating</t>
        </is>
      </c>
      <c r="Y125" s="26" t="inlineStr">
        <is>
          <t>Reviews</t>
        </is>
      </c>
      <c r="Z125" s="26" t="inlineStr">
        <is>
          <t>Snapshot date</t>
        </is>
      </c>
      <c r="AA125" s="26" t="inlineStr">
        <is>
          <t>Listed</t>
        </is>
      </c>
      <c r="AB125" s="26" t="inlineStr">
        <is>
          <t>Fulfil.</t>
        </is>
      </c>
      <c r="AC125" s="26" t="inlineStr">
        <is>
          <t>Seller country</t>
        </is>
      </c>
      <c r="AD125" s="26" t="inlineStr">
        <is>
          <t>search data 7d traffic</t>
        </is>
      </c>
      <c r="AE125" s="26" t="inlineStr">
        <is>
          <t>Keywords ranked</t>
        </is>
      </c>
      <c r="AF125" s="26" t="inlineStr">
        <is>
          <t>Organic share of traffic</t>
        </is>
      </c>
      <c r="AG125" s="26" t="inlineStr">
        <is>
          <t>Ad share of traffic</t>
        </is>
      </c>
      <c r="AH125" s="26" t="inlineStr">
        <is>
          <t>Top keyword</t>
        </is>
      </c>
      <c r="AI125" s="26" t="inlineStr">
        <is>
          <t>SP reach</t>
        </is>
      </c>
      <c r="AJ125" s="26" t="inlineStr">
        <is>
          <t>SB reach</t>
        </is>
      </c>
      <c r="AK125" s="26" t="inlineStr">
        <is>
          <t>SB video reach</t>
        </is>
      </c>
      <c r="AL125" s="26" t="inlineStr">
        <is>
          <t>Amazon's Choice reach</t>
        </is>
      </c>
      <c r="AM125" s="26" t="inlineStr">
        <is>
          <t>Shared keywords</t>
        </is>
      </c>
      <c r="AN125" s="26" t="inlineStr">
        <is>
          <t>We win</t>
        </is>
      </c>
      <c r="AO125" s="26" t="inlineStr">
        <is>
          <t>We lose</t>
        </is>
      </c>
      <c r="AP125" s="26" t="inlineStr">
        <is>
          <t>Their keywords we miss</t>
        </is>
      </c>
      <c r="AQ125" s="26" t="inlineStr">
        <is>
          <t>KWs they advertise, we don't</t>
        </is>
      </c>
      <c r="AR125" s="26" t="inlineStr">
        <is>
          <t>KWs they out-advertise us</t>
        </is>
      </c>
      <c r="AS125" s="26" t="inlineStr">
        <is>
          <t>Prime Day 2026 organic vis lift</t>
        </is>
      </c>
      <c r="AT125" s="26" t="inlineStr">
        <is>
          <t>Organic trend (Aug-Sep vs Q2)</t>
        </is>
      </c>
      <c r="AU125" s="26" t="inlineStr">
        <is>
          <t>STR showing now? (Y/N)</t>
        </is>
      </c>
      <c r="AV125" s="26" t="inlineStr">
        <is>
          <t>STR label</t>
        </is>
      </c>
      <c r="AW125" s="26" t="inlineStr">
        <is>
          <t>Strikethrough price ($)</t>
        </is>
      </c>
      <c r="AX125" s="26" t="inlineStr">
        <is>
          <t>Page price at check ($)</t>
        </is>
      </c>
      <c r="AY125" s="26" t="inlineStr">
        <is>
          <t>Deal / coupon now</t>
        </is>
      </c>
      <c r="AZ125" s="26" t="inlineStr">
        <is>
          <t>Orderable now (Y/N)</t>
        </is>
      </c>
      <c r="BA125" s="26" t="inlineStr">
        <is>
          <t>Checked (ET)</t>
        </is>
      </c>
      <c r="BB125" s="26" t="inlineStr">
        <is>
          <t>BFCM 2025 deal type</t>
        </is>
      </c>
      <c r="BC125" s="26" t="inlineStr">
        <is>
          <t>BFCM 2025 deal dates</t>
        </is>
      </c>
      <c r="BD125" s="26" t="inlineStr">
        <is>
          <t>Pre-event price ($)</t>
        </is>
      </c>
      <c r="BE125" s="26" t="inlineStr">
        <is>
          <t>BFCM 2025 low ($)</t>
        </is>
      </c>
      <c r="BF125" s="26" t="inlineStr">
        <is>
          <t>BFCM 2025 discount</t>
        </is>
      </c>
      <c r="BG125" s="26" t="inlineStr">
        <is>
          <t>BSR pre-event</t>
        </is>
      </c>
      <c r="BH125" s="26" t="inlineStr">
        <is>
          <t>BSR BFCM wk</t>
        </is>
      </c>
      <c r="BI125" s="26" t="inlineStr">
        <is>
          <t>BSR lift (x)</t>
        </is>
      </c>
      <c r="BJ125" s="26" t="inlineStr">
        <is>
          <t>OOS in BFCM? (Y/N)</t>
        </is>
      </c>
      <c r="BK125" s="26" t="inlineStr">
        <is>
          <t>Notes</t>
        </is>
      </c>
    </row>
    <row r="126" ht="62" customHeight="1">
      <c r="A126" s="12">
        <f>_xlfn.IMAGE("https://images-na.ssl-images-amazon.com/images/I/91dfner9BkL.jpg")</f>
        <v/>
      </c>
      <c r="B126" s="105" t="inlineStr">
        <is>
          <t>Pure Bamboo</t>
        </is>
      </c>
      <c r="C126" s="39" t="inlineStr">
        <is>
          <t>Pure Bamboo King Sheets, Genuine 100% Organic Viscose Derived from Bamboo Bed Sheet Set, Luxuriously Soft &amp; Cooling, Double Stitching, 2 Year Quality Promise (King, Ivory)</t>
        </is>
      </c>
      <c r="D126" s="105" t="inlineStr">
        <is>
          <t>Aspirational</t>
        </is>
      </c>
      <c r="E126" s="106" t="inlineStr">
        <is>
          <t>Direct</t>
        </is>
      </c>
      <c r="F126" s="105" t="inlineStr">
        <is>
          <t>Bamboo viscose</t>
        </is>
      </c>
      <c r="G126" s="39" t="inlineStr">
        <is>
          <t>Same product (sheet set) in the same material family: Bamboo viscose (title: Pure Bamboo King Sheets, Genuine 100% Organic Viscose Derive); ours: our listing: viscose from bamboo.</t>
        </is>
      </c>
      <c r="H126" s="107" t="inlineStr">
        <is>
          <t>B0CZQ52MTQ</t>
        </is>
      </c>
      <c r="I126" s="107" t="inlineStr">
        <is>
          <t>B07DZTQ4JC</t>
        </is>
      </c>
      <c r="J126" s="105" t="inlineStr">
        <is>
          <t>King</t>
        </is>
      </c>
      <c r="K126" s="105" t="inlineStr">
        <is>
          <t>Ivory</t>
        </is>
      </c>
      <c r="L126" s="108" t="n">
        <v>181</v>
      </c>
      <c r="M126" s="39" t="inlineStr">
        <is>
          <t>B07MZ4GKZH (30%), B079RXWGSD (12%), B07DZTQ4JC (11%), B074CHDX7V (10%), B07DZMB498 (5%)</t>
        </is>
      </c>
      <c r="N126" s="109" t="n">
        <v>109.99</v>
      </c>
      <c r="O126" s="109" t="n"/>
      <c r="P126" s="110">
        <f>IF(AND(ISNUMBER(O126),ISNUMBER(N126),N(N126)&gt;0),O126/N126-1,"")</f>
        <v/>
      </c>
      <c r="Q126" s="111">
        <f>IF(P126="","No List Price",IF(P126&lt;=0,"At/below price",IF(P126&lt;=0.12,"&lt;=12% STR zone",IF(P126&lt;=0.25,"12-25%","&gt;25% over"))))</f>
        <v/>
      </c>
      <c r="R126" s="109" t="n">
        <v>69.98999999999999</v>
      </c>
      <c r="S126" s="112">
        <f>IF(AND(ISNUMBER(N126),ISNUMBER(R126),N(R126)&gt;0),N126/R126-1,"")</f>
        <v/>
      </c>
      <c r="T126" s="39" t="inlineStr">
        <is>
          <t>Same size (King). Ours live: catalog price, 2026-10-13; 5 children</t>
        </is>
      </c>
      <c r="U126" s="108" t="n">
        <v>304</v>
      </c>
      <c r="V126" s="108" t="n">
        <v>809</v>
      </c>
      <c r="W126" s="113">
        <f>IF(AND(ISNUMBER(N126),ISNUMBER(V126)),N126*V126*52/12,"")</f>
        <v/>
      </c>
      <c r="X126" s="114" t="n">
        <v>4.5</v>
      </c>
      <c r="Y126" s="108" t="n">
        <v>21927</v>
      </c>
      <c r="Z126" s="115" t="n">
        <v>46307</v>
      </c>
      <c r="AA126" s="115" t="n">
        <v>43281</v>
      </c>
      <c r="AB126" s="105" t="inlineStr">
        <is>
          <t>FBA</t>
        </is>
      </c>
      <c r="AC126" s="105" t="inlineStr">
        <is>
          <t>US</t>
        </is>
      </c>
      <c r="AD126" s="108" t="n">
        <v>2565055</v>
      </c>
      <c r="AE126" s="108" t="n">
        <v>8283</v>
      </c>
      <c r="AF126" s="116" t="n">
        <v>0.4648594811807159</v>
      </c>
      <c r="AG126" s="116" t="n">
        <v>0.5351407059497737</v>
      </c>
      <c r="AH126" s="39" t="inlineStr">
        <is>
          <t>bamboo sheets</t>
        </is>
      </c>
      <c r="AI126" s="116" t="n">
        <v>0.8806310196077667</v>
      </c>
      <c r="AJ126" s="116" t="n">
        <v>0.8210506207469236</v>
      </c>
      <c r="AK126" s="116" t="n">
        <v>0.8831019217911507</v>
      </c>
      <c r="AL126" s="116" t="n">
        <v>0.2663467255088098</v>
      </c>
      <c r="AM126" s="108" t="n">
        <v>435</v>
      </c>
      <c r="AN126" s="108" t="n">
        <v>14</v>
      </c>
      <c r="AO126" s="108" t="n">
        <v>407</v>
      </c>
      <c r="AP126" s="108" t="n">
        <v>7848</v>
      </c>
      <c r="AQ126" s="108" t="n">
        <v>3784</v>
      </c>
      <c r="AR126" s="108" t="n">
        <v>10</v>
      </c>
      <c r="AS126" s="117" t="n">
        <v>1.180104147961932</v>
      </c>
      <c r="AT126" s="112" t="n">
        <v>1.570823710546574</v>
      </c>
      <c r="AU126" s="118" t="inlineStr">
        <is>
          <t>N</t>
        </is>
      </c>
      <c r="AV126" s="118" t="inlineStr">
        <is>
          <t>none</t>
        </is>
      </c>
      <c r="AW126" s="124" t="n"/>
      <c r="AX126" s="119" t="n">
        <v>109.99</v>
      </c>
      <c r="AY126" s="118" t="inlineStr">
        <is>
          <t>none</t>
        </is>
      </c>
      <c r="AZ126" s="118" t="inlineStr">
        <is>
          <t>Y</t>
        </is>
      </c>
      <c r="BA126" s="118" t="inlineStr">
        <is>
          <t>2026-10-13 12:11:16</t>
        </is>
      </c>
      <c r="BB126" s="120" t="inlineStr">
        <is>
          <t>None</t>
        </is>
      </c>
      <c r="BC126" s="125" t="n"/>
      <c r="BD126" s="121" t="n">
        <v>109.99</v>
      </c>
      <c r="BE126" s="121" t="n">
        <v>109.99</v>
      </c>
      <c r="BF126" s="110">
        <f>IF(AND(ISNUMBER(BD126),ISNUMBER(BE126),N(BD126)&gt;0),1-BE126/BD126,"")</f>
        <v/>
      </c>
      <c r="BG126" s="122" t="n">
        <v>287</v>
      </c>
      <c r="BH126" s="122" t="n">
        <v>598</v>
      </c>
      <c r="BI126" s="123">
        <f>IF(AND(ISNUMBER(BG126),ISNUMBER(BH126),N(BH126)&gt;0),BG126/BH126,"")</f>
        <v/>
      </c>
      <c r="BJ126" s="120" t="inlineStr">
        <is>
          <t>N</t>
        </is>
      </c>
      <c r="BK126" s="120" t="inlineStr">
        <is>
          <t>List Price $139.99/$149.99</t>
        </is>
      </c>
    </row>
    <row r="127" ht="62" customHeight="1">
      <c r="A127" s="12">
        <f>_xlfn.IMAGE("https://images-na.ssl-images-amazon.com/images/I/71oEhkRYQ+L.jpg")</f>
        <v/>
      </c>
      <c r="B127" s="105" t="inlineStr">
        <is>
          <t>Hotel Sheets Direct</t>
        </is>
      </c>
      <c r="C127" s="39" t="inlineStr">
        <is>
          <t>Hotel Sheets Direct 4 Piece Bed Sheet Set Queen Size, 100% Viscose Derived from Bamboo Sheets Set with 2 Pillowcases, Cooling &amp; Breathable Luxury Bedding, Moisture-Wicking &amp; Silky Soft Texture, White</t>
        </is>
      </c>
      <c r="D127" s="105" t="inlineStr">
        <is>
          <t>Aspirational</t>
        </is>
      </c>
      <c r="E127" s="106" t="inlineStr">
        <is>
          <t>Direct</t>
        </is>
      </c>
      <c r="F127" s="105" t="inlineStr">
        <is>
          <t>Bamboo viscose</t>
        </is>
      </c>
      <c r="G127" s="39" t="inlineStr">
        <is>
          <t>Same product (sheet set) in the same material family: Bamboo viscose (title: Hotel Sheets Direct 4 Piece Bed Sheet Set Queen Size, 100% V); ours: our listing: viscose from bamboo.</t>
        </is>
      </c>
      <c r="H127" s="107" t="inlineStr">
        <is>
          <t>B0G5N99X9R</t>
        </is>
      </c>
      <c r="I127" s="107" t="inlineStr">
        <is>
          <t>B01N9L2O9P</t>
        </is>
      </c>
      <c r="J127" s="105" t="inlineStr">
        <is>
          <t>Queen</t>
        </is>
      </c>
      <c r="K127" s="105" t="inlineStr">
        <is>
          <t>White</t>
        </is>
      </c>
      <c r="L127" s="108" t="n">
        <v>61</v>
      </c>
      <c r="M127" s="39" t="inlineStr">
        <is>
          <t>B01N9L2O9P (30%), B01N0UB2GO (20%), B072WD91XH (10%), B072WV76WK (6%), B07RJBYJ9L (5%)</t>
        </is>
      </c>
      <c r="N127" s="109" t="n">
        <v>79.98999999999999</v>
      </c>
      <c r="O127" s="109" t="n"/>
      <c r="P127" s="110">
        <f>IF(AND(ISNUMBER(O127),ISNUMBER(N127),N(N127)&gt;0),O127/N127-1,"")</f>
        <v/>
      </c>
      <c r="Q127" s="111">
        <f>IF(P127="","No List Price",IF(P127&lt;=0,"At/below price",IF(P127&lt;=0.12,"&lt;=12% STR zone",IF(P127&lt;=0.25,"12-25%","&gt;25% over"))))</f>
        <v/>
      </c>
      <c r="R127" s="109" t="n">
        <v>68.48999999999999</v>
      </c>
      <c r="S127" s="112">
        <f>IF(AND(ISNUMBER(N127),ISNUMBER(R127),N(R127)&gt;0),N127/R127-1,"")</f>
        <v/>
      </c>
      <c r="T127" s="39" t="inlineStr">
        <is>
          <t>Same size (Queen). Ours live: catalog price, 2026-10-13; 2 children</t>
        </is>
      </c>
      <c r="U127" s="108" t="n">
        <v>2984</v>
      </c>
      <c r="V127" s="108" t="n">
        <v>347</v>
      </c>
      <c r="W127" s="113">
        <f>IF(AND(ISNUMBER(N127),ISNUMBER(V127)),N127*V127*52/12,"")</f>
        <v/>
      </c>
      <c r="X127" s="114" t="n">
        <v>4.4</v>
      </c>
      <c r="Y127" s="108" t="n">
        <v>37179</v>
      </c>
      <c r="Z127" s="115" t="n">
        <v>46307</v>
      </c>
      <c r="AA127" s="115" t="n">
        <v>42729</v>
      </c>
      <c r="AB127" s="105" t="inlineStr">
        <is>
          <t>FBA</t>
        </is>
      </c>
      <c r="AC127" s="105" t="inlineStr">
        <is>
          <t>US</t>
        </is>
      </c>
      <c r="AD127" s="108" t="n">
        <v>451969</v>
      </c>
      <c r="AE127" s="108" t="n">
        <v>4094</v>
      </c>
      <c r="AF127" s="116" t="n">
        <v>0.6071584272372669</v>
      </c>
      <c r="AG127" s="116" t="n">
        <v>0.3928415727627336</v>
      </c>
      <c r="AH127" s="39" t="inlineStr">
        <is>
          <t>hotel</t>
        </is>
      </c>
      <c r="AI127" s="116" t="n">
        <v>0.9036371963563873</v>
      </c>
      <c r="AJ127" s="116" t="n">
        <v>0.4767871247806819</v>
      </c>
      <c r="AK127" s="116" t="n">
        <v>0.1264024745059949</v>
      </c>
      <c r="AL127" s="116" t="n">
        <v>0.3227168234989568</v>
      </c>
      <c r="AM127" s="108" t="n">
        <v>412</v>
      </c>
      <c r="AN127" s="108" t="n">
        <v>27</v>
      </c>
      <c r="AO127" s="108" t="n">
        <v>355</v>
      </c>
      <c r="AP127" s="108" t="n">
        <v>3682</v>
      </c>
      <c r="AQ127" s="108" t="n">
        <v>948</v>
      </c>
      <c r="AR127" s="108" t="n">
        <v>3</v>
      </c>
      <c r="AS127" s="117" t="n">
        <v>1.799620493358634</v>
      </c>
      <c r="AT127" s="112" t="n">
        <v>0.004829621679635077</v>
      </c>
      <c r="AU127" s="118" t="inlineStr">
        <is>
          <t>N</t>
        </is>
      </c>
      <c r="AV127" s="118" t="inlineStr">
        <is>
          <t>none</t>
        </is>
      </c>
      <c r="AW127" s="124" t="n"/>
      <c r="AX127" s="119" t="n">
        <v>79.98999999999999</v>
      </c>
      <c r="AY127" s="118" t="inlineStr">
        <is>
          <t>none</t>
        </is>
      </c>
      <c r="AZ127" s="118" t="inlineStr">
        <is>
          <t>Y</t>
        </is>
      </c>
      <c r="BA127" s="118" t="inlineStr">
        <is>
          <t>2026-10-13 12:10:54</t>
        </is>
      </c>
      <c r="BB127" s="120" t="inlineStr">
        <is>
          <t>Price cut only</t>
        </is>
      </c>
      <c r="BC127" s="120" t="inlineStr">
        <is>
          <t>11-20 to 12-01</t>
        </is>
      </c>
      <c r="BD127" s="121" t="n">
        <v>72.98999999999999</v>
      </c>
      <c r="BE127" s="121" t="n">
        <v>57.99</v>
      </c>
      <c r="BF127" s="110">
        <f>IF(AND(ISNUMBER(BD127),ISNUMBER(BE127),N(BD127)&gt;0),1-BE127/BD127,"")</f>
        <v/>
      </c>
      <c r="BG127" s="122" t="n">
        <v>3871</v>
      </c>
      <c r="BH127" s="122" t="n">
        <v>1703</v>
      </c>
      <c r="BI127" s="123">
        <f>IF(AND(ISNUMBER(BG127),ISNUMBER(BH127),N(BH127)&gt;0),BG127/BH127,"")</f>
        <v/>
      </c>
      <c r="BJ127" s="120" t="inlineStr">
        <is>
          <t>N</t>
        </is>
      </c>
      <c r="BK127" s="120" t="inlineStr">
        <is>
          <t>Lightning Deal 11-07 to 11-11; Coupon 20% (11-12 to 12-02); List Price $72.99</t>
        </is>
      </c>
    </row>
    <row r="128" ht="62" customHeight="1">
      <c r="A128" s="12">
        <f>_xlfn.IMAGE("https://m.media-amazon.com/images/I/61A6QLdfwQL._AC_SL1500_.jpg")</f>
        <v/>
      </c>
      <c r="B128" s="105" t="inlineStr">
        <is>
          <t>BAMPURE</t>
        </is>
      </c>
      <c r="C128" s="39" t="inlineStr">
        <is>
          <t>Bamboo Sheets</t>
        </is>
      </c>
      <c r="D128" s="105" t="inlineStr">
        <is>
          <t>Aspirational</t>
        </is>
      </c>
      <c r="E128" s="106" t="inlineStr">
        <is>
          <t>Direct</t>
        </is>
      </c>
      <c r="F128" s="105" t="inlineStr">
        <is>
          <t>Bamboo viscose</t>
        </is>
      </c>
      <c r="G128" s="39" t="inlineStr">
        <is>
          <t>Same product (sheet set) in the same material family: Bamboo viscose (product page material: Viscose derived from Bamboo); ours: our listing: viscose from bamboo.</t>
        </is>
      </c>
      <c r="H128" s="107" t="inlineStr">
        <is>
          <t>B07XC2KVM7</t>
        </is>
      </c>
      <c r="I128" s="107" t="inlineStr">
        <is>
          <t>B07XC2KVM7</t>
        </is>
      </c>
      <c r="J128" s="105" t="inlineStr">
        <is>
          <t>Twin - 3 Pieces Set</t>
        </is>
      </c>
      <c r="K128" s="105" t="inlineStr">
        <is>
          <t>White</t>
        </is>
      </c>
      <c r="L128" s="108" t="n"/>
      <c r="M128" s="39" t="inlineStr"/>
      <c r="N128" s="109" t="n">
        <v>37.99</v>
      </c>
      <c r="O128" s="109" t="n"/>
      <c r="P128" s="110">
        <f>IF(AND(ISNUMBER(O128),ISNUMBER(N128),N(N128)&gt;0),O128/N128-1,"")</f>
        <v/>
      </c>
      <c r="Q128" s="111">
        <f>IF(P128="","No List Price",IF(P128&lt;=0,"At/below price",IF(P128&lt;=0.12,"&lt;=12% STR zone",IF(P128&lt;=0.25,"12-25%","&gt;25% over"))))</f>
        <v/>
      </c>
      <c r="R128" s="109" t="n">
        <v>54.99</v>
      </c>
      <c r="S128" s="112">
        <f>IF(AND(ISNUMBER(N128),ISNUMBER(R128),N(R128)&gt;0),N128/R128-1,"")</f>
        <v/>
      </c>
      <c r="T128" s="39" t="inlineStr">
        <is>
          <t>Same size (Twin). Ours live: catalog price, 2026-10-13; 14 children</t>
        </is>
      </c>
      <c r="U128" s="108" t="n">
        <v>2541068</v>
      </c>
      <c r="V128" s="108" t="n">
        <v>5</v>
      </c>
      <c r="W128" s="113">
        <f>IF(AND(ISNUMBER(N128),ISNUMBER(V128)),N128*V128*52/12,"")</f>
        <v/>
      </c>
      <c r="X128" s="114" t="n">
        <v>4.4</v>
      </c>
      <c r="Y128" s="108" t="n">
        <v>30</v>
      </c>
      <c r="Z128" s="115" t="n">
        <v>46307</v>
      </c>
      <c r="AA128" s="115" t="n"/>
      <c r="AB128" s="105" t="n"/>
      <c r="AC128" s="105" t="n"/>
      <c r="AD128" s="108" t="n"/>
      <c r="AE128" s="108" t="n"/>
      <c r="AF128" s="116" t="n"/>
      <c r="AG128" s="116" t="n"/>
      <c r="AH128" s="39" t="n"/>
      <c r="AI128" s="116" t="n"/>
      <c r="AJ128" s="116" t="n"/>
      <c r="AK128" s="116" t="n"/>
      <c r="AL128" s="116" t="n"/>
      <c r="AM128" s="108" t="n"/>
      <c r="AN128" s="108" t="n"/>
      <c r="AO128" s="108" t="n"/>
      <c r="AP128" s="108" t="n"/>
      <c r="AQ128" s="108" t="n"/>
      <c r="AR128" s="108" t="n"/>
      <c r="AS128" s="117" t="n"/>
      <c r="AT128" s="112" t="n"/>
      <c r="AU128" s="118" t="inlineStr">
        <is>
          <t>N</t>
        </is>
      </c>
      <c r="AV128" s="118" t="inlineStr">
        <is>
          <t>none</t>
        </is>
      </c>
      <c r="AW128" s="124" t="n"/>
      <c r="AX128" s="124" t="n"/>
      <c r="AY128" s="118" t="inlineStr">
        <is>
          <t>none</t>
        </is>
      </c>
      <c r="AZ128" s="118" t="inlineStr">
        <is>
          <t>N</t>
        </is>
      </c>
      <c r="BA128" s="118" t="inlineStr">
        <is>
          <t>2026-10-13 12:10:15</t>
        </is>
      </c>
      <c r="BB128" s="120" t="inlineStr">
        <is>
          <t>None</t>
        </is>
      </c>
      <c r="BC128" s="125" t="n"/>
      <c r="BD128" s="121" t="n">
        <v>69.98999999999999</v>
      </c>
      <c r="BE128" s="121" t="n">
        <v>69.98999999999999</v>
      </c>
      <c r="BF128" s="110">
        <f>IF(AND(ISNUMBER(BD128),ISNUMBER(BE128),N(BD128)&gt;0),1-BE128/BD128,"")</f>
        <v/>
      </c>
      <c r="BG128" s="122" t="n">
        <v>31768</v>
      </c>
      <c r="BH128" s="122" t="n">
        <v>27950</v>
      </c>
      <c r="BI128" s="123">
        <f>IF(AND(ISNUMBER(BG128),ISNUMBER(BH128),N(BH128)&gt;0),BG128/BH128,"")</f>
        <v/>
      </c>
      <c r="BJ128" s="120" t="inlineStr">
        <is>
          <t>N</t>
        </is>
      </c>
      <c r="BK128" s="120" t="inlineStr">
        <is>
          <t>List Price $69.99</t>
        </is>
      </c>
    </row>
    <row r="129" ht="62" customHeight="1">
      <c r="A129" s="12">
        <f>_xlfn.IMAGE("https://m.media-amazon.com/images/I/81BvQVXWCLL._AC_SL1500_.jpg")</f>
        <v/>
      </c>
      <c r="B129" s="105" t="inlineStr">
        <is>
          <t>BC BELLA COTERIE</t>
        </is>
      </c>
      <c r="C129" s="39" t="inlineStr">
        <is>
          <t>4 Piece Bamboo Sheet Set</t>
        </is>
      </c>
      <c r="D129" s="105" t="inlineStr">
        <is>
          <t>Aspirational</t>
        </is>
      </c>
      <c r="E129" s="106" t="inlineStr">
        <is>
          <t>Direct</t>
        </is>
      </c>
      <c r="F129" s="105" t="inlineStr">
        <is>
          <t>Bamboo viscose</t>
        </is>
      </c>
      <c r="G129" s="39" t="inlineStr">
        <is>
          <t>Same product (sheet set) in the same material family: Bamboo viscose (product page material: Organically Grown | Viscose Made From Bamboo); ours: our listing: viscose from bamboo.</t>
        </is>
      </c>
      <c r="H129" s="107" t="inlineStr">
        <is>
          <t>B0H29V113N</t>
        </is>
      </c>
      <c r="I129" s="107" t="inlineStr">
        <is>
          <t>B0G674ZDTV</t>
        </is>
      </c>
      <c r="J129" s="105" t="inlineStr">
        <is>
          <t>Queen - 2 Pillowcases</t>
        </is>
      </c>
      <c r="K129" s="105" t="inlineStr">
        <is>
          <t>22 - Striped Dune</t>
        </is>
      </c>
      <c r="L129" s="108" t="n"/>
      <c r="M129" s="39" t="inlineStr"/>
      <c r="N129" s="109" t="n">
        <v>159.99</v>
      </c>
      <c r="O129" s="109" t="n"/>
      <c r="P129" s="110">
        <f>IF(AND(ISNUMBER(O129),ISNUMBER(N129),N(N129)&gt;0),O129/N129-1,"")</f>
        <v/>
      </c>
      <c r="Q129" s="111">
        <f>IF(P129="","No List Price",IF(P129&lt;=0,"At/below price",IF(P129&lt;=0.12,"&lt;=12% STR zone",IF(P129&lt;=0.25,"12-25%","&gt;25% over"))))</f>
        <v/>
      </c>
      <c r="R129" s="109" t="n">
        <v>68.48999999999999</v>
      </c>
      <c r="S129" s="112">
        <f>IF(AND(ISNUMBER(N129),ISNUMBER(R129),N(R129)&gt;0),N129/R129-1,"")</f>
        <v/>
      </c>
      <c r="T129" s="39" t="inlineStr">
        <is>
          <t>Same size (Queen). Ours live: catalog price, 2026-10-13; 2 children</t>
        </is>
      </c>
      <c r="U129" s="108" t="n">
        <v>1577</v>
      </c>
      <c r="V129" s="108" t="n">
        <v>5</v>
      </c>
      <c r="W129" s="113">
        <f>IF(AND(ISNUMBER(N129),ISNUMBER(V129)),N129*V129*52/12,"")</f>
        <v/>
      </c>
      <c r="X129" s="114" t="n">
        <v>4.4</v>
      </c>
      <c r="Y129" s="108" t="n">
        <v>5652</v>
      </c>
      <c r="Z129" s="115" t="n">
        <v>46223</v>
      </c>
      <c r="AA129" s="115" t="n"/>
      <c r="AB129" s="105" t="n"/>
      <c r="AC129" s="105" t="n"/>
      <c r="AD129" s="108" t="n"/>
      <c r="AE129" s="108" t="n"/>
      <c r="AF129" s="116" t="n"/>
      <c r="AG129" s="116" t="n"/>
      <c r="AH129" s="39" t="n"/>
      <c r="AI129" s="116" t="n"/>
      <c r="AJ129" s="116" t="n"/>
      <c r="AK129" s="116" t="n"/>
      <c r="AL129" s="116" t="n"/>
      <c r="AM129" s="108" t="n"/>
      <c r="AN129" s="108" t="n"/>
      <c r="AO129" s="108" t="n"/>
      <c r="AP129" s="108" t="n"/>
      <c r="AQ129" s="108" t="n"/>
      <c r="AR129" s="108" t="n"/>
      <c r="AS129" s="117" t="n"/>
      <c r="AT129" s="112" t="n"/>
      <c r="AU129" s="118" t="inlineStr">
        <is>
          <t>N</t>
        </is>
      </c>
      <c r="AV129" s="118" t="inlineStr">
        <is>
          <t>none</t>
        </is>
      </c>
      <c r="AW129" s="124" t="n"/>
      <c r="AX129" s="119" t="n">
        <v>159.99</v>
      </c>
      <c r="AY129" s="118" t="inlineStr">
        <is>
          <t>none</t>
        </is>
      </c>
      <c r="AZ129" s="118" t="inlineStr">
        <is>
          <t>Y</t>
        </is>
      </c>
      <c r="BA129" s="118" t="inlineStr">
        <is>
          <t>2026-10-13 12:10:21</t>
        </is>
      </c>
      <c r="BB129" s="120" t="inlineStr">
        <is>
          <t>Not live in 2025</t>
        </is>
      </c>
      <c r="BC129" s="125" t="n"/>
      <c r="BD129" s="124" t="n"/>
      <c r="BE129" s="124" t="n"/>
      <c r="BF129" s="110">
        <f>IF(AND(ISNUMBER(BD129),ISNUMBER(BE129),N(BD129)&gt;0),1-BE129/BD129,"")</f>
        <v/>
      </c>
      <c r="BG129" s="126" t="n"/>
      <c r="BH129" s="126" t="n"/>
      <c r="BI129" s="123">
        <f>IF(AND(ISNUMBER(BG129),ISNUMBER(BH129),N(BH129)&gt;0),BG129/BH129,"")</f>
        <v/>
      </c>
      <c r="BJ129" s="125" t="n"/>
      <c r="BK129" s="125" t="n"/>
    </row>
    <row r="130" ht="62" customHeight="1">
      <c r="A130" s="12">
        <f>_xlfn.IMAGE("https://images-na.ssl-images-amazon.com/images/I/61-LBYlR5KL.jpg")</f>
        <v/>
      </c>
      <c r="B130" s="105" t="inlineStr">
        <is>
          <t>KRIMANO</t>
        </is>
      </c>
      <c r="C130" s="39" t="inlineStr">
        <is>
          <t>KRIMANO Bamboo Viscose Sheet Set King Size, Cooling Sheets Bed Set</t>
        </is>
      </c>
      <c r="D130" s="105" t="inlineStr">
        <is>
          <t>Beatable</t>
        </is>
      </c>
      <c r="E130" s="106" t="inlineStr">
        <is>
          <t>Direct</t>
        </is>
      </c>
      <c r="F130" s="105" t="inlineStr">
        <is>
          <t>Bamboo viscose</t>
        </is>
      </c>
      <c r="G130" s="39" t="inlineStr">
        <is>
          <t>Same product (sheet set) in the same material family: Bamboo viscose (product page material: Viscose Derived from Bamboo); ours: our listing: viscose from bamboo.</t>
        </is>
      </c>
      <c r="H130" s="107" t="inlineStr">
        <is>
          <t>B0FT7L9RSX</t>
        </is>
      </c>
      <c r="I130" s="107" t="inlineStr">
        <is>
          <t>B0FT7LZ2CD</t>
        </is>
      </c>
      <c r="J130" s="105" t="inlineStr">
        <is>
          <t>King</t>
        </is>
      </c>
      <c r="K130" s="105" t="inlineStr">
        <is>
          <t>1.navy Blue</t>
        </is>
      </c>
      <c r="L130" s="108" t="n">
        <v>43</v>
      </c>
      <c r="M130" s="39" t="inlineStr">
        <is>
          <t>B0FT7LV7PP (47%), B0FT7LZ2CD (42%)</t>
        </is>
      </c>
      <c r="N130" s="109" t="n">
        <v>79.98999999999999</v>
      </c>
      <c r="O130" s="109" t="n"/>
      <c r="P130" s="110">
        <f>IF(AND(ISNUMBER(O130),ISNUMBER(N130),N(N130)&gt;0),O130/N130-1,"")</f>
        <v/>
      </c>
      <c r="Q130" s="111">
        <f>IF(P130="","No List Price",IF(P130&lt;=0,"At/below price",IF(P130&lt;=0.12,"&lt;=12% STR zone",IF(P130&lt;=0.25,"12-25%","&gt;25% over"))))</f>
        <v/>
      </c>
      <c r="R130" s="109" t="n">
        <v>69.98999999999999</v>
      </c>
      <c r="S130" s="112">
        <f>IF(AND(ISNUMBER(N130),ISNUMBER(R130),N(R130)&gt;0),N130/R130-1,"")</f>
        <v/>
      </c>
      <c r="T130" s="39" t="inlineStr">
        <is>
          <t>Same size (King). Ours live: catalog price, 2026-10-13; 5 children</t>
        </is>
      </c>
      <c r="U130" s="108" t="n">
        <v>5664</v>
      </c>
      <c r="V130" s="108" t="n">
        <v>185</v>
      </c>
      <c r="W130" s="113">
        <f>IF(AND(ISNUMBER(N130),ISNUMBER(V130)),N130*V130*52/12,"")</f>
        <v/>
      </c>
      <c r="X130" s="114" t="n">
        <v>4.5</v>
      </c>
      <c r="Y130" s="108" t="n">
        <v>263</v>
      </c>
      <c r="Z130" s="115" t="n">
        <v>46307</v>
      </c>
      <c r="AA130" s="115" t="n">
        <v>45944</v>
      </c>
      <c r="AB130" s="105" t="inlineStr">
        <is>
          <t>FBA</t>
        </is>
      </c>
      <c r="AC130" s="105" t="inlineStr">
        <is>
          <t>HK</t>
        </is>
      </c>
      <c r="AD130" s="108" t="n">
        <v>334819</v>
      </c>
      <c r="AE130" s="108" t="n">
        <v>2638</v>
      </c>
      <c r="AF130" s="116" t="n">
        <v>0.6137371774003271</v>
      </c>
      <c r="AG130" s="116" t="n">
        <v>0.3862628512718813</v>
      </c>
      <c r="AH130" s="39" t="inlineStr">
        <is>
          <t>bamboo sheets</t>
        </is>
      </c>
      <c r="AI130" s="116" t="n">
        <v>0.9348573408319122</v>
      </c>
      <c r="AJ130" s="116" t="n">
        <v>0.3304382367786775</v>
      </c>
      <c r="AK130" s="116" t="n"/>
      <c r="AL130" s="116" t="n">
        <v>0.007908750698138397</v>
      </c>
      <c r="AM130" s="108" t="n">
        <v>417</v>
      </c>
      <c r="AN130" s="108" t="n">
        <v>16</v>
      </c>
      <c r="AO130" s="108" t="n">
        <v>323</v>
      </c>
      <c r="AP130" s="108" t="n">
        <v>2221</v>
      </c>
      <c r="AQ130" s="108" t="n">
        <v>491</v>
      </c>
      <c r="AR130" s="108" t="n">
        <v>8</v>
      </c>
      <c r="AS130" s="117" t="n">
        <v>1.312468450277638</v>
      </c>
      <c r="AT130" s="112" t="n">
        <v>0.2565502183406114</v>
      </c>
      <c r="AU130" s="118" t="inlineStr">
        <is>
          <t>N</t>
        </is>
      </c>
      <c r="AV130" s="118" t="inlineStr">
        <is>
          <t>none</t>
        </is>
      </c>
      <c r="AW130" s="124" t="n"/>
      <c r="AX130" s="119" t="n">
        <v>84.98999999999999</v>
      </c>
      <c r="AY130" s="118" t="inlineStr">
        <is>
          <t>none</t>
        </is>
      </c>
      <c r="AZ130" s="118" t="inlineStr">
        <is>
          <t>Y</t>
        </is>
      </c>
      <c r="BA130" s="118" t="inlineStr">
        <is>
          <t>2026-10-13 12:11:00</t>
        </is>
      </c>
      <c r="BB130" s="120" t="inlineStr">
        <is>
          <t>None</t>
        </is>
      </c>
      <c r="BC130" s="125" t="n"/>
      <c r="BD130" s="121" t="n">
        <v>72.98999999999999</v>
      </c>
      <c r="BE130" s="121" t="n">
        <v>72.98999999999999</v>
      </c>
      <c r="BF130" s="110">
        <f>IF(AND(ISNUMBER(BD130),ISNUMBER(BE130),N(BD130)&gt;0),1-BE130/BD130,"")</f>
        <v/>
      </c>
      <c r="BG130" s="122" t="n">
        <v>1190634</v>
      </c>
      <c r="BH130" s="122" t="n">
        <v>628461</v>
      </c>
      <c r="BI130" s="123">
        <f>IF(AND(ISNUMBER(BG130),ISNUMBER(BH130),N(BH130)&gt;0),BG130/BH130,"")</f>
        <v/>
      </c>
      <c r="BJ130" s="120" t="inlineStr">
        <is>
          <t>N</t>
        </is>
      </c>
      <c r="BK130" s="120" t="inlineStr">
        <is>
          <t>List Price $94.89</t>
        </is>
      </c>
    </row>
    <row r="131" ht="62" customHeight="1">
      <c r="A131" s="12">
        <f>_xlfn.IMAGE("https://images-na.ssl-images-amazon.com/images/I/81svKInu7aL.jpg")</f>
        <v/>
      </c>
      <c r="B131" s="105" t="inlineStr">
        <is>
          <t>Bambaw</t>
        </is>
      </c>
      <c r="C131" s="39" t="inlineStr">
        <is>
          <t>Bambaw 100% Viscose Derived from Bamboo Sheets Queen Size Set – 4pcs Cooling Sheet Set, Super Soft Sheets Queen Size, Luxury Bed Sheets, Deep Pocket Fits Up to 16'' Mattresses (Charcoal)</t>
        </is>
      </c>
      <c r="D131" s="105" t="inlineStr">
        <is>
          <t>Beatable</t>
        </is>
      </c>
      <c r="E131" s="106" t="inlineStr">
        <is>
          <t>Direct</t>
        </is>
      </c>
      <c r="F131" s="105" t="inlineStr">
        <is>
          <t>Bamboo viscose</t>
        </is>
      </c>
      <c r="G131" s="39" t="inlineStr">
        <is>
          <t>Same product (sheet set) in the same material family: Bamboo viscose (title: Bambaw 100% Viscose Derived from Bamboo Sheets Queen Size Se); ours: our listing: viscose from bamboo.</t>
        </is>
      </c>
      <c r="H131" s="107" t="inlineStr">
        <is>
          <t>B07K6SYX8L</t>
        </is>
      </c>
      <c r="I131" s="107" t="inlineStr">
        <is>
          <t>B0DR99Q37Y</t>
        </is>
      </c>
      <c r="J131" s="105" t="inlineStr">
        <is>
          <t>Queen</t>
        </is>
      </c>
      <c r="K131" s="105" t="inlineStr">
        <is>
          <t>Charcoal</t>
        </is>
      </c>
      <c r="L131" s="108" t="n">
        <v>104</v>
      </c>
      <c r="M131" s="39" t="inlineStr">
        <is>
          <t>B0DR99Q37Y (55%), B0DR98VW37 (10%), B0F2J1742T (7%), B0DR98HVG3 (5%), B0H3BQSQ1X (5%)</t>
        </is>
      </c>
      <c r="N131" s="109" t="n">
        <v>89.98999999999999</v>
      </c>
      <c r="O131" s="109" t="n"/>
      <c r="P131" s="110">
        <f>IF(AND(ISNUMBER(O131),ISNUMBER(N131),N(N131)&gt;0),O131/N131-1,"")</f>
        <v/>
      </c>
      <c r="Q131" s="111">
        <f>IF(P131="","No List Price",IF(P131&lt;=0,"At/below price",IF(P131&lt;=0.12,"&lt;=12% STR zone",IF(P131&lt;=0.25,"12-25%","&gt;25% over"))))</f>
        <v/>
      </c>
      <c r="R131" s="109" t="n">
        <v>68.48999999999999</v>
      </c>
      <c r="S131" s="112">
        <f>IF(AND(ISNUMBER(N131),ISNUMBER(R131),N(R131)&gt;0),N131/R131-1,"")</f>
        <v/>
      </c>
      <c r="T131" s="39" t="inlineStr">
        <is>
          <t>Same size (Queen). Ours live: catalog price, 2026-10-13; 2 children</t>
        </is>
      </c>
      <c r="U131" s="108" t="n">
        <v>6971</v>
      </c>
      <c r="V131" s="108" t="n">
        <v>104</v>
      </c>
      <c r="W131" s="113">
        <f>IF(AND(ISNUMBER(N131),ISNUMBER(V131)),N131*V131*52/12,"")</f>
        <v/>
      </c>
      <c r="X131" s="114" t="n">
        <v>4.3</v>
      </c>
      <c r="Y131" s="108" t="n">
        <v>2766</v>
      </c>
      <c r="Z131" s="115" t="n">
        <v>46307</v>
      </c>
      <c r="AA131" s="115" t="n">
        <v>45649</v>
      </c>
      <c r="AB131" s="105" t="inlineStr">
        <is>
          <t>FBA</t>
        </is>
      </c>
      <c r="AC131" s="105" t="inlineStr">
        <is>
          <t>BE</t>
        </is>
      </c>
      <c r="AD131" s="108" t="n">
        <v>407949</v>
      </c>
      <c r="AE131" s="108" t="n">
        <v>2137</v>
      </c>
      <c r="AF131" s="116" t="n">
        <v>0.5037485506766772</v>
      </c>
      <c r="AG131" s="116" t="n">
        <v>0.4962515277645003</v>
      </c>
      <c r="AH131" s="39" t="inlineStr">
        <is>
          <t>bamboo sheets</t>
        </is>
      </c>
      <c r="AI131" s="116" t="n">
        <v>0.8267479513370544</v>
      </c>
      <c r="AJ131" s="116" t="n">
        <v>0.000431426477329274</v>
      </c>
      <c r="AK131" s="116" t="n">
        <v>0.3636508485129268</v>
      </c>
      <c r="AL131" s="116" t="n">
        <v>0.003414642516589083</v>
      </c>
      <c r="AM131" s="108" t="n">
        <v>400</v>
      </c>
      <c r="AN131" s="108" t="n">
        <v>25</v>
      </c>
      <c r="AO131" s="108" t="n">
        <v>350</v>
      </c>
      <c r="AP131" s="108" t="n">
        <v>1737</v>
      </c>
      <c r="AQ131" s="108" t="n">
        <v>594</v>
      </c>
      <c r="AR131" s="108" t="n">
        <v>6</v>
      </c>
      <c r="AS131" s="117" t="n">
        <v>1.374474053295933</v>
      </c>
      <c r="AT131" s="112" t="n">
        <v>1.381825760733639</v>
      </c>
      <c r="AU131" s="118" t="inlineStr">
        <is>
          <t>N</t>
        </is>
      </c>
      <c r="AV131" s="118" t="inlineStr">
        <is>
          <t>none</t>
        </is>
      </c>
      <c r="AW131" s="124" t="n"/>
      <c r="AX131" s="119" t="n">
        <v>89.98999999999999</v>
      </c>
      <c r="AY131" s="118" t="inlineStr">
        <is>
          <t>none</t>
        </is>
      </c>
      <c r="AZ131" s="118" t="inlineStr">
        <is>
          <t>Y</t>
        </is>
      </c>
      <c r="BA131" s="118" t="inlineStr">
        <is>
          <t>2026-10-13 12:10:28</t>
        </is>
      </c>
      <c r="BB131" s="120" t="inlineStr">
        <is>
          <t>None</t>
        </is>
      </c>
      <c r="BC131" s="125" t="n"/>
      <c r="BD131" s="121" t="n">
        <v>89.98999999999999</v>
      </c>
      <c r="BE131" s="121" t="n">
        <v>89.98999999999999</v>
      </c>
      <c r="BF131" s="110">
        <f>IF(AND(ISNUMBER(BD131),ISNUMBER(BE131),N(BD131)&gt;0),1-BE131/BD131,"")</f>
        <v/>
      </c>
      <c r="BG131" s="122" t="n">
        <v>12712</v>
      </c>
      <c r="BH131" s="122" t="n">
        <v>10881</v>
      </c>
      <c r="BI131" s="123">
        <f>IF(AND(ISNUMBER(BG131),ISNUMBER(BH131),N(BH131)&gt;0),BG131/BH131,"")</f>
        <v/>
      </c>
      <c r="BJ131" s="120" t="inlineStr">
        <is>
          <t>N</t>
        </is>
      </c>
      <c r="BK131" s="120" t="inlineStr">
        <is>
          <t>List Price $103.45</t>
        </is>
      </c>
    </row>
    <row r="132" ht="62" customHeight="1">
      <c r="A132" s="12">
        <f>_xlfn.IMAGE("https://images-na.ssl-images-amazon.com/images/I/81suQgVR0GL.jpg")</f>
        <v/>
      </c>
      <c r="B132" s="105" t="inlineStr">
        <is>
          <t>Bedsure</t>
        </is>
      </c>
      <c r="C132" s="39" t="inlineStr">
        <is>
          <t>Bedsure PureWoven Organically Grown Bamboo Viscose Queen Sheet Set, 4PCS</t>
        </is>
      </c>
      <c r="D132" s="105" t="inlineStr">
        <is>
          <t>Beatable</t>
        </is>
      </c>
      <c r="E132" s="106" t="inlineStr">
        <is>
          <t>Direct</t>
        </is>
      </c>
      <c r="F132" s="105" t="inlineStr">
        <is>
          <t>Bamboo viscose</t>
        </is>
      </c>
      <c r="G132" s="39" t="inlineStr">
        <is>
          <t>Same product (sheet set) in the same material family: Bamboo viscose (product page material: Viscose Derived from Bamboo); ours: our listing: viscose from bamboo.</t>
        </is>
      </c>
      <c r="H132" s="107" t="inlineStr">
        <is>
          <t>B0FB8XS4D1</t>
        </is>
      </c>
      <c r="I132" s="107" t="inlineStr">
        <is>
          <t>B0FB8XR43Q</t>
        </is>
      </c>
      <c r="J132" s="105" t="inlineStr">
        <is>
          <t>Queen</t>
        </is>
      </c>
      <c r="K132" s="105" t="inlineStr">
        <is>
          <t>01 - White</t>
        </is>
      </c>
      <c r="L132" s="108" t="n">
        <v>39</v>
      </c>
      <c r="M132" s="39" t="inlineStr">
        <is>
          <t>B0FB8XR43Q (31%), B0FB8ZTD7M (18%), B0GLN6VP9Y (11%), B0FB8YV6C7 (10%), B0FB8Z4GGW (10%)</t>
        </is>
      </c>
      <c r="N132" s="109" t="n">
        <v>89.98999999999999</v>
      </c>
      <c r="O132" s="109" t="n">
        <v>119.99</v>
      </c>
      <c r="P132" s="110">
        <f>IF(AND(ISNUMBER(O132),ISNUMBER(N132),N(N132)&gt;0),O132/N132-1,"")</f>
        <v/>
      </c>
      <c r="Q132" s="111">
        <f>IF(P132="","No List Price",IF(P132&lt;=0,"At/below price",IF(P132&lt;=0.12,"&lt;=12% STR zone",IF(P132&lt;=0.25,"12-25%","&gt;25% over"))))</f>
        <v/>
      </c>
      <c r="R132" s="109" t="n">
        <v>68.48999999999999</v>
      </c>
      <c r="S132" s="112">
        <f>IF(AND(ISNUMBER(N132),ISNUMBER(R132),N(R132)&gt;0),N132/R132-1,"")</f>
        <v/>
      </c>
      <c r="T132" s="39" t="inlineStr">
        <is>
          <t>Same size (Queen). Ours live: catalog price, 2026-10-13; 2 children</t>
        </is>
      </c>
      <c r="U132" s="108" t="n">
        <v>8938</v>
      </c>
      <c r="V132" s="108" t="n">
        <v>104</v>
      </c>
      <c r="W132" s="113">
        <f>IF(AND(ISNUMBER(N132),ISNUMBER(V132)),N132*V132*52/12,"")</f>
        <v/>
      </c>
      <c r="X132" s="114" t="n">
        <v>4.5</v>
      </c>
      <c r="Y132" s="108" t="n">
        <v>588</v>
      </c>
      <c r="Z132" s="115" t="n">
        <v>46307</v>
      </c>
      <c r="AA132" s="115" t="n">
        <v>45936</v>
      </c>
      <c r="AB132" s="105" t="inlineStr">
        <is>
          <t>FBA</t>
        </is>
      </c>
      <c r="AC132" s="105" t="inlineStr">
        <is>
          <t>US</t>
        </is>
      </c>
      <c r="AD132" s="108" t="n">
        <v>840292</v>
      </c>
      <c r="AE132" s="108" t="n">
        <v>3961</v>
      </c>
      <c r="AF132" s="116" t="n">
        <v>0.1404099194089678</v>
      </c>
      <c r="AG132" s="116" t="n">
        <v>0.8595901834124341</v>
      </c>
      <c r="AH132" s="39" t="inlineStr">
        <is>
          <t>bamboo sheets</t>
        </is>
      </c>
      <c r="AI132" s="116" t="n">
        <v>0.9284082199997143</v>
      </c>
      <c r="AJ132" s="116" t="n">
        <v>0.9843340172225845</v>
      </c>
      <c r="AK132" s="116" t="n">
        <v>0.5269953777972419</v>
      </c>
      <c r="AL132" s="116" t="n">
        <v>0.000478405125837209</v>
      </c>
      <c r="AM132" s="108" t="n">
        <v>418</v>
      </c>
      <c r="AN132" s="108" t="n">
        <v>21</v>
      </c>
      <c r="AO132" s="108" t="n">
        <v>375</v>
      </c>
      <c r="AP132" s="108" t="n">
        <v>3543</v>
      </c>
      <c r="AQ132" s="108" t="n">
        <v>2450</v>
      </c>
      <c r="AR132" s="108" t="n">
        <v>14</v>
      </c>
      <c r="AS132" s="117" t="n">
        <v>1.764832022873481</v>
      </c>
      <c r="AT132" s="112" t="n">
        <v>-0.09047044632086854</v>
      </c>
      <c r="AU132" s="118" t="inlineStr">
        <is>
          <t>Y</t>
        </is>
      </c>
      <c r="AV132" s="118" t="inlineStr">
        <is>
          <t>List Price</t>
        </is>
      </c>
      <c r="AW132" s="119" t="n">
        <v>119.99</v>
      </c>
      <c r="AX132" s="119" t="n">
        <v>89.98999999999999</v>
      </c>
      <c r="AY132" s="118" t="inlineStr">
        <is>
          <t>none</t>
        </is>
      </c>
      <c r="AZ132" s="118" t="inlineStr">
        <is>
          <t>Y</t>
        </is>
      </c>
      <c r="BA132" s="118" t="inlineStr">
        <is>
          <t>2026-10-13 12:10:38</t>
        </is>
      </c>
      <c r="BB132" s="120" t="inlineStr">
        <is>
          <t>Prime Exclusive Discount</t>
        </is>
      </c>
      <c r="BC132" s="120" t="inlineStr">
        <is>
          <t>11-10 to 12-05</t>
        </is>
      </c>
      <c r="BD132" s="121" t="n">
        <v>99.98999999999999</v>
      </c>
      <c r="BE132" s="121" t="n">
        <v>72.64</v>
      </c>
      <c r="BF132" s="110">
        <f>IF(AND(ISNUMBER(BD132),ISNUMBER(BE132),N(BD132)&gt;0),1-BE132/BD132,"")</f>
        <v/>
      </c>
      <c r="BG132" s="122" t="n">
        <v>53160</v>
      </c>
      <c r="BH132" s="122" t="n">
        <v>53782</v>
      </c>
      <c r="BI132" s="123">
        <f>IF(AND(ISNUMBER(BG132),ISNUMBER(BH132),N(BH132)&gt;0),BG132/BH132,"")</f>
        <v/>
      </c>
      <c r="BJ132" s="120" t="inlineStr">
        <is>
          <t>N</t>
        </is>
      </c>
      <c r="BK132" s="120" t="inlineStr">
        <is>
          <t>Prime Exclusive already running before BFCM week; List Price $114.99</t>
        </is>
      </c>
    </row>
    <row r="133" ht="62" customHeight="1">
      <c r="A133" s="12">
        <f>_xlfn.IMAGE("https://images-na.ssl-images-amazon.com/images/I/71sqxa1EquL.jpg")</f>
        <v/>
      </c>
      <c r="B133" s="105" t="inlineStr">
        <is>
          <t>SONORO KATE</t>
        </is>
      </c>
      <c r="C133" s="39" t="inlineStr">
        <is>
          <t>Bamboo Sheets</t>
        </is>
      </c>
      <c r="D133" s="105" t="inlineStr">
        <is>
          <t>Beatable</t>
        </is>
      </c>
      <c r="E133" s="106" t="inlineStr">
        <is>
          <t>Direct</t>
        </is>
      </c>
      <c r="F133" s="105" t="inlineStr">
        <is>
          <t>Bamboo viscose</t>
        </is>
      </c>
      <c r="G133" s="39" t="inlineStr">
        <is>
          <t>Same product (sheet set) in the same material family: Bamboo viscose (product page material: Viscose Derived From Bamboo); ours: our listing: viscose from bamboo.</t>
        </is>
      </c>
      <c r="H133" s="107" t="inlineStr">
        <is>
          <t>B0F4852T9V</t>
        </is>
      </c>
      <c r="I133" s="107" t="inlineStr">
        <is>
          <t>B0F4873G4H</t>
        </is>
      </c>
      <c r="J133" s="105" t="inlineStr">
        <is>
          <t>King</t>
        </is>
      </c>
      <c r="K133" s="105" t="inlineStr">
        <is>
          <t>Dark Grey</t>
        </is>
      </c>
      <c r="L133" s="108" t="n">
        <v>33</v>
      </c>
      <c r="M133" s="39" t="inlineStr">
        <is>
          <t>B0F486MGJ1 (46%), B0F4873G4H (45%)</t>
        </is>
      </c>
      <c r="N133" s="109" t="n">
        <v>79.98999999999999</v>
      </c>
      <c r="O133" s="109" t="n"/>
      <c r="P133" s="110">
        <f>IF(AND(ISNUMBER(O133),ISNUMBER(N133),N(N133)&gt;0),O133/N133-1,"")</f>
        <v/>
      </c>
      <c r="Q133" s="111">
        <f>IF(P133="","No List Price",IF(P133&lt;=0,"At/below price",IF(P133&lt;=0.12,"&lt;=12% STR zone",IF(P133&lt;=0.25,"12-25%","&gt;25% over"))))</f>
        <v/>
      </c>
      <c r="R133" s="109" t="n">
        <v>69.98999999999999</v>
      </c>
      <c r="S133" s="112">
        <f>IF(AND(ISNUMBER(N133),ISNUMBER(R133),N(R133)&gt;0),N133/R133-1,"")</f>
        <v/>
      </c>
      <c r="T133" s="39" t="inlineStr">
        <is>
          <t>Same size (King). Ours live: catalog price, 2026-10-13; 5 children</t>
        </is>
      </c>
      <c r="U133" s="108" t="n">
        <v>7961</v>
      </c>
      <c r="V133" s="108" t="n">
        <v>104</v>
      </c>
      <c r="W133" s="113">
        <f>IF(AND(ISNUMBER(N133),ISNUMBER(V133)),N133*V133*52/12,"")</f>
        <v/>
      </c>
      <c r="X133" s="114" t="n">
        <v>4.5</v>
      </c>
      <c r="Y133" s="108" t="n">
        <v>3776</v>
      </c>
      <c r="Z133" s="115" t="n">
        <v>46307</v>
      </c>
      <c r="AA133" s="115" t="n"/>
      <c r="AB133" s="105" t="n"/>
      <c r="AC133" s="105" t="n"/>
      <c r="AD133" s="108" t="n">
        <v>185157</v>
      </c>
      <c r="AE133" s="108" t="n">
        <v>1447</v>
      </c>
      <c r="AF133" s="116" t="n">
        <v>0.9776013545261586</v>
      </c>
      <c r="AG133" s="116" t="n">
        <v>0.02239928493116653</v>
      </c>
      <c r="AH133" s="39" t="inlineStr">
        <is>
          <t>bamboo sheets</t>
        </is>
      </c>
      <c r="AI133" s="116" t="n">
        <v>0.4342476924987983</v>
      </c>
      <c r="AJ133" s="116" t="n"/>
      <c r="AK133" s="116" t="n"/>
      <c r="AL133" s="116" t="n">
        <v>0.1639959601851402</v>
      </c>
      <c r="AM133" s="108" t="n">
        <v>332</v>
      </c>
      <c r="AN133" s="108" t="n">
        <v>22</v>
      </c>
      <c r="AO133" s="108" t="n">
        <v>293</v>
      </c>
      <c r="AP133" s="108" t="n">
        <v>1115</v>
      </c>
      <c r="AQ133" s="108" t="n">
        <v>123</v>
      </c>
      <c r="AR133" s="108" t="n">
        <v>0</v>
      </c>
      <c r="AS133" s="117" t="n">
        <v>1.314808539478143</v>
      </c>
      <c r="AT133" s="112" t="n">
        <v>0.6186540731995278</v>
      </c>
      <c r="AU133" s="118" t="inlineStr">
        <is>
          <t>N</t>
        </is>
      </c>
      <c r="AV133" s="118" t="inlineStr">
        <is>
          <t>none</t>
        </is>
      </c>
      <c r="AW133" s="124" t="n"/>
      <c r="AX133" s="119" t="n">
        <v>79.98999999999999</v>
      </c>
      <c r="AY133" s="118" t="inlineStr">
        <is>
          <t>coupon $5</t>
        </is>
      </c>
      <c r="AZ133" s="118" t="inlineStr">
        <is>
          <t>Y</t>
        </is>
      </c>
      <c r="BA133" s="118" t="inlineStr">
        <is>
          <t>2026-10-13 12:11:19</t>
        </is>
      </c>
      <c r="BB133" s="120" t="inlineStr">
        <is>
          <t>Prime Exclusive Discount</t>
        </is>
      </c>
      <c r="BC133" s="120" t="inlineStr">
        <is>
          <t>11-20 to 12-01</t>
        </is>
      </c>
      <c r="BD133" s="121" t="n">
        <v>79.98999999999999</v>
      </c>
      <c r="BE133" s="121" t="n">
        <v>63.99</v>
      </c>
      <c r="BF133" s="110">
        <f>IF(AND(ISNUMBER(BD133),ISNUMBER(BE133),N(BD133)&gt;0),1-BE133/BD133,"")</f>
        <v/>
      </c>
      <c r="BG133" s="122" t="n">
        <v>36662</v>
      </c>
      <c r="BH133" s="122" t="n">
        <v>23612</v>
      </c>
      <c r="BI133" s="123">
        <f>IF(AND(ISNUMBER(BG133),ISNUMBER(BH133),N(BH133)&gt;0),BG133/BH133,"")</f>
        <v/>
      </c>
      <c r="BJ133" s="120" t="inlineStr">
        <is>
          <t>N</t>
        </is>
      </c>
      <c r="BK133" s="120" t="inlineStr">
        <is>
          <t>Coupon 15% (11-06 to 11-19); List Price $79.99</t>
        </is>
      </c>
    </row>
    <row r="134" ht="62" customHeight="1">
      <c r="A134" s="12">
        <f>_xlfn.IMAGE("https://images-na.ssl-images-amazon.com/images/I/71Pl57-j67L.jpg")</f>
        <v/>
      </c>
      <c r="B134" s="105" t="inlineStr">
        <is>
          <t>BC BELLA COTERIE</t>
        </is>
      </c>
      <c r="C134" s="39" t="inlineStr">
        <is>
          <t>Bella Coterie Luxury Bamboo Viscose King Size Sheet Set</t>
        </is>
      </c>
      <c r="D134" s="105" t="inlineStr">
        <is>
          <t>Beatable</t>
        </is>
      </c>
      <c r="E134" s="106" t="inlineStr">
        <is>
          <t>Direct</t>
        </is>
      </c>
      <c r="F134" s="105" t="inlineStr">
        <is>
          <t>Bamboo viscose</t>
        </is>
      </c>
      <c r="G134" s="39" t="inlineStr">
        <is>
          <t>Same product (sheet set) in the same material family: Bamboo viscose (product page material: Organically Grown | Viscose Made From Bamboo); ours: our listing: viscose from bamboo.</t>
        </is>
      </c>
      <c r="H134" s="107" t="inlineStr">
        <is>
          <t>B0H29V113N</t>
        </is>
      </c>
      <c r="I134" s="107" t="inlineStr">
        <is>
          <t>B08L86VLZB</t>
        </is>
      </c>
      <c r="J134" s="105" t="inlineStr">
        <is>
          <t>King - 2 Pillowcases</t>
        </is>
      </c>
      <c r="K134" s="105" t="inlineStr">
        <is>
          <t>01 - White</t>
        </is>
      </c>
      <c r="L134" s="108" t="n">
        <v>258</v>
      </c>
      <c r="M134" s="39" t="inlineStr">
        <is>
          <t>B0C979FD5Z (12%), B09JTQMF5C (11%), B08L86VLZB (6%), B08L85SV5Z (5%), B09JV1NG9R (4%)</t>
        </is>
      </c>
      <c r="N134" s="109" t="n">
        <v>154.99</v>
      </c>
      <c r="O134" s="109" t="n"/>
      <c r="P134" s="110">
        <f>IF(AND(ISNUMBER(O134),ISNUMBER(N134),N(N134)&gt;0),O134/N134-1,"")</f>
        <v/>
      </c>
      <c r="Q134" s="111">
        <f>IF(P134="","No List Price",IF(P134&lt;=0,"At/below price",IF(P134&lt;=0.12,"&lt;=12% STR zone",IF(P134&lt;=0.25,"12-25%","&gt;25% over"))))</f>
        <v/>
      </c>
      <c r="R134" s="109" t="n">
        <v>69.98999999999999</v>
      </c>
      <c r="S134" s="112">
        <f>IF(AND(ISNUMBER(N134),ISNUMBER(R134),N(R134)&gt;0),N134/R134-1,"")</f>
        <v/>
      </c>
      <c r="T134" s="39" t="inlineStr">
        <is>
          <t>Same size (King). Ours live: catalog price, 2026-10-13; 5 children</t>
        </is>
      </c>
      <c r="U134" s="108" t="n">
        <v>1358</v>
      </c>
      <c r="V134" s="108" t="n">
        <v>92</v>
      </c>
      <c r="W134" s="113">
        <f>IF(AND(ISNUMBER(N134),ISNUMBER(V134)),N134*V134*52/12,"")</f>
        <v/>
      </c>
      <c r="X134" s="114" t="n">
        <v>4.4</v>
      </c>
      <c r="Y134" s="108" t="n">
        <v>5871</v>
      </c>
      <c r="Z134" s="115" t="n">
        <v>46307</v>
      </c>
      <c r="AA134" s="115" t="n">
        <v>44154</v>
      </c>
      <c r="AB134" s="105" t="inlineStr">
        <is>
          <t>FBA</t>
        </is>
      </c>
      <c r="AC134" s="105" t="inlineStr">
        <is>
          <t>US</t>
        </is>
      </c>
      <c r="AD134" s="108" t="n">
        <v>591713</v>
      </c>
      <c r="AE134" s="108" t="n">
        <v>5504</v>
      </c>
      <c r="AF134" s="116" t="n">
        <v>0.3622702587234016</v>
      </c>
      <c r="AG134" s="116" t="n">
        <v>0.6377298332130611</v>
      </c>
      <c r="AH134" s="39" t="inlineStr">
        <is>
          <t>bamboo sheets</t>
        </is>
      </c>
      <c r="AI134" s="116" t="n">
        <v>0.9808184035165697</v>
      </c>
      <c r="AJ134" s="116" t="n">
        <v>0.5730548424658576</v>
      </c>
      <c r="AK134" s="116" t="n">
        <v>0.5581810776508206</v>
      </c>
      <c r="AL134" s="116" t="n">
        <v>0.03836488297536136</v>
      </c>
      <c r="AM134" s="108" t="n">
        <v>439</v>
      </c>
      <c r="AN134" s="108" t="n">
        <v>21</v>
      </c>
      <c r="AO134" s="108" t="n">
        <v>390</v>
      </c>
      <c r="AP134" s="108" t="n">
        <v>5065</v>
      </c>
      <c r="AQ134" s="108" t="n">
        <v>2437</v>
      </c>
      <c r="AR134" s="108" t="n">
        <v>11</v>
      </c>
      <c r="AS134" s="117" t="n">
        <v>1.778087279480037</v>
      </c>
      <c r="AT134" s="112" t="n">
        <v>0.3772549019607843</v>
      </c>
      <c r="AU134" s="118" t="inlineStr">
        <is>
          <t>N</t>
        </is>
      </c>
      <c r="AV134" s="118" t="inlineStr">
        <is>
          <t>none</t>
        </is>
      </c>
      <c r="AW134" s="124" t="n"/>
      <c r="AX134" s="119" t="n">
        <v>169.99</v>
      </c>
      <c r="AY134" s="118" t="inlineStr">
        <is>
          <t>none</t>
        </is>
      </c>
      <c r="AZ134" s="118" t="inlineStr">
        <is>
          <t>Y</t>
        </is>
      </c>
      <c r="BA134" s="118" t="inlineStr">
        <is>
          <t>2026-10-13 12:14:18</t>
        </is>
      </c>
      <c r="BB134" s="120" t="inlineStr">
        <is>
          <t>Price cut only</t>
        </is>
      </c>
      <c r="BC134" s="120" t="inlineStr">
        <is>
          <t>11-20 to 12-01</t>
        </is>
      </c>
      <c r="BD134" s="121" t="n">
        <v>134.99</v>
      </c>
      <c r="BE134" s="121" t="n">
        <v>110.5</v>
      </c>
      <c r="BF134" s="110">
        <f>IF(AND(ISNUMBER(BD134),ISNUMBER(BE134),N(BD134)&gt;0),1-BE134/BD134,"")</f>
        <v/>
      </c>
      <c r="BG134" s="122" t="n">
        <v>3072</v>
      </c>
      <c r="BH134" s="122" t="n">
        <v>1155</v>
      </c>
      <c r="BI134" s="123">
        <f>IF(AND(ISNUMBER(BG134),ISNUMBER(BH134),N(BH134)&gt;0),BG134/BH134,"")</f>
        <v/>
      </c>
      <c r="BJ134" s="120" t="inlineStr">
        <is>
          <t>N</t>
        </is>
      </c>
      <c r="BK134" s="120" t="inlineStr">
        <is>
          <t>Coupon 20.00 USD (12-03 to 12-05); List Price $169.99</t>
        </is>
      </c>
    </row>
    <row r="135" ht="62" customHeight="1">
      <c r="A135" s="12">
        <f>_xlfn.IMAGE("https://images-na.ssl-images-amazon.com/images/I/61fbapIObwL.jpg")</f>
        <v/>
      </c>
      <c r="B135" s="105" t="inlineStr">
        <is>
          <t>BAMPURE</t>
        </is>
      </c>
      <c r="C135" s="39" t="inlineStr">
        <is>
          <t>BAMPURE 100% Rayon from Bamboo Sheets King Size - 4pc Cooling King Sheets</t>
        </is>
      </c>
      <c r="D135" s="105" t="inlineStr">
        <is>
          <t>Beatable</t>
        </is>
      </c>
      <c r="E135" s="106" t="inlineStr">
        <is>
          <t>Direct</t>
        </is>
      </c>
      <c r="F135" s="105" t="inlineStr">
        <is>
          <t>Bamboo viscose</t>
        </is>
      </c>
      <c r="G135" s="39" t="inlineStr">
        <is>
          <t>Same product (sheet set) in the same material family: Bamboo viscose (product page material: Viscose Derived from Bamboo); ours: our listing: viscose from bamboo.</t>
        </is>
      </c>
      <c r="H135" s="107" t="inlineStr">
        <is>
          <t>B0HC778XB4</t>
        </is>
      </c>
      <c r="I135" s="107" t="inlineStr">
        <is>
          <t>B07XFP6BY2</t>
        </is>
      </c>
      <c r="J135" s="105" t="inlineStr">
        <is>
          <t>King</t>
        </is>
      </c>
      <c r="K135" s="105" t="inlineStr">
        <is>
          <t>White</t>
        </is>
      </c>
      <c r="L135" s="108" t="n">
        <v>40</v>
      </c>
      <c r="M135" s="39" t="inlineStr">
        <is>
          <t>B07XBJY2JR (65%), B07XFP6BY2 (21%)</t>
        </is>
      </c>
      <c r="N135" s="109" t="n">
        <v>67.98</v>
      </c>
      <c r="O135" s="109" t="n">
        <v>99.98999999999999</v>
      </c>
      <c r="P135" s="110">
        <f>IF(AND(ISNUMBER(O135),ISNUMBER(N135),N(N135)&gt;0),O135/N135-1,"")</f>
        <v/>
      </c>
      <c r="Q135" s="111">
        <f>IF(P135="","No List Price",IF(P135&lt;=0,"At/below price",IF(P135&lt;=0.12,"&lt;=12% STR zone",IF(P135&lt;=0.25,"12-25%","&gt;25% over"))))</f>
        <v/>
      </c>
      <c r="R135" s="109" t="n">
        <v>69.98999999999999</v>
      </c>
      <c r="S135" s="112">
        <f>IF(AND(ISNUMBER(N135),ISNUMBER(R135),N(R135)&gt;0),N135/R135-1,"")</f>
        <v/>
      </c>
      <c r="T135" s="39" t="inlineStr">
        <is>
          <t>Same size (King). Ours live: catalog price, 2026-10-13; 5 children</t>
        </is>
      </c>
      <c r="U135" s="108" t="n">
        <v>14479</v>
      </c>
      <c r="V135" s="108" t="n">
        <v>81</v>
      </c>
      <c r="W135" s="113">
        <f>IF(AND(ISNUMBER(N135),ISNUMBER(V135)),N135*V135*52/12,"")</f>
        <v/>
      </c>
      <c r="X135" s="114" t="n">
        <v>4.4</v>
      </c>
      <c r="Y135" s="108" t="n">
        <v>4095</v>
      </c>
      <c r="Z135" s="115" t="n">
        <v>46307</v>
      </c>
      <c r="AA135" s="115" t="n">
        <v>43776</v>
      </c>
      <c r="AB135" s="105" t="inlineStr">
        <is>
          <t>FBA</t>
        </is>
      </c>
      <c r="AC135" s="105" t="inlineStr">
        <is>
          <t>US</t>
        </is>
      </c>
      <c r="AD135" s="108" t="n">
        <v>67699</v>
      </c>
      <c r="AE135" s="108" t="n">
        <v>1687</v>
      </c>
      <c r="AF135" s="116" t="n">
        <v>0.8589487052984534</v>
      </c>
      <c r="AG135" s="116" t="n">
        <v>0.1410512947015465</v>
      </c>
      <c r="AH135" s="39" t="inlineStr">
        <is>
          <t>bamboo sheets</t>
        </is>
      </c>
      <c r="AI135" s="116" t="n">
        <v>0.9117121375500377</v>
      </c>
      <c r="AJ135" s="116" t="n"/>
      <c r="AK135" s="116" t="n"/>
      <c r="AL135" s="116" t="n"/>
      <c r="AM135" s="108" t="n">
        <v>376</v>
      </c>
      <c r="AN135" s="108" t="n">
        <v>55</v>
      </c>
      <c r="AO135" s="108" t="n">
        <v>265</v>
      </c>
      <c r="AP135" s="108" t="n">
        <v>1311</v>
      </c>
      <c r="AQ135" s="108" t="n">
        <v>294</v>
      </c>
      <c r="AR135" s="108" t="n">
        <v>1</v>
      </c>
      <c r="AS135" s="117" t="n">
        <v>1.016706443914081</v>
      </c>
      <c r="AT135" s="112" t="n">
        <v>-0.2868217054263565</v>
      </c>
      <c r="AU135" s="118" t="inlineStr">
        <is>
          <t>Y</t>
        </is>
      </c>
      <c r="AV135" s="118" t="inlineStr">
        <is>
          <t>List Price</t>
        </is>
      </c>
      <c r="AW135" s="119" t="n">
        <v>99.98999999999999</v>
      </c>
      <c r="AX135" s="119" t="n">
        <v>67.98</v>
      </c>
      <c r="AY135" s="118" t="inlineStr">
        <is>
          <t>Limited time deal</t>
        </is>
      </c>
      <c r="AZ135" s="118" t="inlineStr">
        <is>
          <t>Y</t>
        </is>
      </c>
      <c r="BA135" s="118" t="inlineStr">
        <is>
          <t>2026-10-13 12:10:12</t>
        </is>
      </c>
      <c r="BB135" s="120" t="inlineStr">
        <is>
          <t>Prime Exclusive Discount</t>
        </is>
      </c>
      <c r="BC135" s="120" t="inlineStr">
        <is>
          <t>11-22 to 12-01</t>
        </is>
      </c>
      <c r="BD135" s="121" t="n">
        <v>84.98999999999999</v>
      </c>
      <c r="BE135" s="121" t="n">
        <v>79.98999999999999</v>
      </c>
      <c r="BF135" s="110">
        <f>IF(AND(ISNUMBER(BD135),ISNUMBER(BE135),N(BD135)&gt;0),1-BE135/BD135,"")</f>
        <v/>
      </c>
      <c r="BG135" s="122" t="n">
        <v>31768</v>
      </c>
      <c r="BH135" s="122" t="n">
        <v>27833</v>
      </c>
      <c r="BI135" s="123">
        <f>IF(AND(ISNUMBER(BG135),ISNUMBER(BH135),N(BH135)&gt;0),BG135/BH135,"")</f>
        <v/>
      </c>
      <c r="BJ135" s="120" t="inlineStr">
        <is>
          <t>N</t>
        </is>
      </c>
      <c r="BK135" s="120" t="inlineStr">
        <is>
          <t>Coupon 5.00 USD (11-01 to 11-04); Buy Box RAISED in BFCM week (median $99.99 vs $84.99 before); List Price $99.99</t>
        </is>
      </c>
    </row>
    <row r="136" ht="62" customHeight="1">
      <c r="A136" s="12">
        <f>_xlfn.IMAGE("https://images-na.ssl-images-amazon.com/images/I/71HeTCWM4hL.jpg")</f>
        <v/>
      </c>
      <c r="B136" s="105" t="inlineStr">
        <is>
          <t>SONORO KATE</t>
        </is>
      </c>
      <c r="C136" s="39" t="inlineStr">
        <is>
          <t>SONORO KATE 100% Viscose Derived from Bamboo_Sheets Queen Size,4PC</t>
        </is>
      </c>
      <c r="D136" s="105" t="inlineStr">
        <is>
          <t>Beatable</t>
        </is>
      </c>
      <c r="E136" s="106" t="inlineStr">
        <is>
          <t>Direct</t>
        </is>
      </c>
      <c r="F136" s="105" t="inlineStr">
        <is>
          <t>Bamboo viscose</t>
        </is>
      </c>
      <c r="G136" s="39" t="inlineStr">
        <is>
          <t>Same product (sheet set) in the same material family: Bamboo viscose (product page material: Viscose Derived From Bamboo); ours: our listing: viscose from bamboo.</t>
        </is>
      </c>
      <c r="H136" s="107" t="inlineStr">
        <is>
          <t>B0F29FQLFD</t>
        </is>
      </c>
      <c r="I136" s="107" t="inlineStr">
        <is>
          <t>B0F29F1JM5</t>
        </is>
      </c>
      <c r="J136" s="105" t="inlineStr">
        <is>
          <t>Queen</t>
        </is>
      </c>
      <c r="K136" s="105" t="inlineStr">
        <is>
          <t>Dark Grey</t>
        </is>
      </c>
      <c r="L136" s="108" t="n">
        <v>42</v>
      </c>
      <c r="M136" s="39" t="inlineStr">
        <is>
          <t>B0F29F1JM5 (71%), B0F29HFNNS (19%)</t>
        </is>
      </c>
      <c r="N136" s="109" t="n">
        <v>59.99</v>
      </c>
      <c r="O136" s="109" t="n"/>
      <c r="P136" s="110">
        <f>IF(AND(ISNUMBER(O136),ISNUMBER(N136),N(N136)&gt;0),O136/N136-1,"")</f>
        <v/>
      </c>
      <c r="Q136" s="111">
        <f>IF(P136="","No List Price",IF(P136&lt;=0,"At/below price",IF(P136&lt;=0.12,"&lt;=12% STR zone",IF(P136&lt;=0.25,"12-25%","&gt;25% over"))))</f>
        <v/>
      </c>
      <c r="R136" s="109" t="n">
        <v>68.48999999999999</v>
      </c>
      <c r="S136" s="112">
        <f>IF(AND(ISNUMBER(N136),ISNUMBER(R136),N(R136)&gt;0),N136/R136-1,"")</f>
        <v/>
      </c>
      <c r="T136" s="39" t="inlineStr">
        <is>
          <t>Same size (Queen). Ours live: catalog price, 2026-10-13; 2 children</t>
        </is>
      </c>
      <c r="U136" s="108" t="n">
        <v>23979</v>
      </c>
      <c r="V136" s="108" t="n">
        <v>81</v>
      </c>
      <c r="W136" s="113">
        <f>IF(AND(ISNUMBER(N136),ISNUMBER(V136)),N136*V136*52/12,"")</f>
        <v/>
      </c>
      <c r="X136" s="114" t="n">
        <v>4.5</v>
      </c>
      <c r="Y136" s="108" t="n">
        <v>3911</v>
      </c>
      <c r="Z136" s="115" t="n">
        <v>46307</v>
      </c>
      <c r="AA136" s="115" t="n">
        <v>45740</v>
      </c>
      <c r="AB136" s="105" t="inlineStr">
        <is>
          <t>FBA</t>
        </is>
      </c>
      <c r="AC136" s="105" t="inlineStr">
        <is>
          <t>CN</t>
        </is>
      </c>
      <c r="AD136" s="108" t="n">
        <v>114504</v>
      </c>
      <c r="AE136" s="108" t="n">
        <v>947</v>
      </c>
      <c r="AF136" s="116" t="n">
        <v>0.8792897182631171</v>
      </c>
      <c r="AG136" s="116" t="n">
        <v>0.1207102817368825</v>
      </c>
      <c r="AH136" s="39" t="inlineStr">
        <is>
          <t>bamboo sheets</t>
        </is>
      </c>
      <c r="AI136" s="116" t="n">
        <v>0.3106878362327953</v>
      </c>
      <c r="AJ136" s="116" t="n"/>
      <c r="AK136" s="116" t="n"/>
      <c r="AL136" s="116" t="n">
        <v>0.03587647593097185</v>
      </c>
      <c r="AM136" s="108" t="n">
        <v>327</v>
      </c>
      <c r="AN136" s="108" t="n">
        <v>22</v>
      </c>
      <c r="AO136" s="108" t="n">
        <v>286</v>
      </c>
      <c r="AP136" s="108" t="n">
        <v>620</v>
      </c>
      <c r="AQ136" s="108" t="n">
        <v>88</v>
      </c>
      <c r="AR136" s="108" t="n">
        <v>0</v>
      </c>
      <c r="AS136" s="117" t="n">
        <v>1.095271210013908</v>
      </c>
      <c r="AT136" s="112" t="n">
        <v>-0.1040240897892143</v>
      </c>
      <c r="AU136" s="118" t="inlineStr">
        <is>
          <t>N</t>
        </is>
      </c>
      <c r="AV136" s="118" t="inlineStr">
        <is>
          <t>none</t>
        </is>
      </c>
      <c r="AW136" s="124" t="n"/>
      <c r="AX136" s="119" t="n">
        <v>59.99</v>
      </c>
      <c r="AY136" s="118" t="inlineStr">
        <is>
          <t>coupon 15%</t>
        </is>
      </c>
      <c r="AZ136" s="118" t="inlineStr">
        <is>
          <t>Y</t>
        </is>
      </c>
      <c r="BA136" s="118" t="inlineStr">
        <is>
          <t>2026-10-13 12:11:22</t>
        </is>
      </c>
      <c r="BB136" s="120" t="inlineStr">
        <is>
          <t>Prime Exclusive Discount</t>
        </is>
      </c>
      <c r="BC136" s="120" t="inlineStr">
        <is>
          <t>11-20 to 12-01</t>
        </is>
      </c>
      <c r="BD136" s="121" t="n">
        <v>59.99</v>
      </c>
      <c r="BE136" s="121" t="n">
        <v>47.99</v>
      </c>
      <c r="BF136" s="110">
        <f>IF(AND(ISNUMBER(BD136),ISNUMBER(BE136),N(BD136)&gt;0),1-BE136/BD136,"")</f>
        <v/>
      </c>
      <c r="BG136" s="122" t="n">
        <v>22774</v>
      </c>
      <c r="BH136" s="122" t="n">
        <v>19002</v>
      </c>
      <c r="BI136" s="123">
        <f>IF(AND(ISNUMBER(BG136),ISNUMBER(BH136),N(BH136)&gt;0),BG136/BH136,"")</f>
        <v/>
      </c>
      <c r="BJ136" s="120" t="inlineStr">
        <is>
          <t>N</t>
        </is>
      </c>
      <c r="BK136" s="120" t="inlineStr">
        <is>
          <t>Coupon 10% (11-04 to 12-05); List Price $59.99</t>
        </is>
      </c>
    </row>
    <row r="137" ht="62" customHeight="1">
      <c r="A137" s="12">
        <f>_xlfn.IMAGE("https://images-na.ssl-images-amazon.com/images/I/710aWpCd4AL.jpg")</f>
        <v/>
      </c>
      <c r="B137" s="105" t="inlineStr">
        <is>
          <t>DOZ by SIJO</t>
        </is>
      </c>
      <c r="C137" s="39" t="inlineStr">
        <is>
          <t>Bamboo Sheets</t>
        </is>
      </c>
      <c r="D137" s="105" t="inlineStr">
        <is>
          <t>Beatable</t>
        </is>
      </c>
      <c r="E137" s="106" t="inlineStr">
        <is>
          <t>Direct</t>
        </is>
      </c>
      <c r="F137" s="105" t="inlineStr">
        <is>
          <t>Bamboo viscose</t>
        </is>
      </c>
      <c r="G137" s="39" t="inlineStr">
        <is>
          <t>Same product (sheet set) in the same material family: Bamboo viscose (product page material: Rayon); ours: our listing: viscose from bamboo.</t>
        </is>
      </c>
      <c r="H137" s="107" t="inlineStr">
        <is>
          <t>B0DCZGYVZ9</t>
        </is>
      </c>
      <c r="I137" s="107" t="inlineStr">
        <is>
          <t>B0F24TRXCZ</t>
        </is>
      </c>
      <c r="J137" s="105" t="inlineStr">
        <is>
          <t>Queen</t>
        </is>
      </c>
      <c r="K137" s="105" t="inlineStr">
        <is>
          <t>Olive</t>
        </is>
      </c>
      <c r="L137" s="108" t="n">
        <v>131</v>
      </c>
      <c r="M137" s="39" t="inlineStr">
        <is>
          <t>B0B8JLLT45 (39%), B0B8JK78HR (6%), B0CS36MKM9 (5%), B0BRWD6PRK (4%), B0B9T44SJV (4%)</t>
        </is>
      </c>
      <c r="N137" s="109" t="n">
        <v>55</v>
      </c>
      <c r="O137" s="109" t="n"/>
      <c r="P137" s="110">
        <f>IF(AND(ISNUMBER(O137),ISNUMBER(N137),N(N137)&gt;0),O137/N137-1,"")</f>
        <v/>
      </c>
      <c r="Q137" s="111">
        <f>IF(P137="","No List Price",IF(P137&lt;=0,"At/below price",IF(P137&lt;=0.12,"&lt;=12% STR zone",IF(P137&lt;=0.25,"12-25%","&gt;25% over"))))</f>
        <v/>
      </c>
      <c r="R137" s="109" t="n">
        <v>68.48999999999999</v>
      </c>
      <c r="S137" s="112">
        <f>IF(AND(ISNUMBER(N137),ISNUMBER(R137),N(R137)&gt;0),N137/R137-1,"")</f>
        <v/>
      </c>
      <c r="T137" s="39" t="inlineStr">
        <is>
          <t>Same size (Queen). Ours live: catalog price, 2026-10-13; 2 children</t>
        </is>
      </c>
      <c r="U137" s="108" t="n">
        <v>4051</v>
      </c>
      <c r="V137" s="108" t="n">
        <v>35</v>
      </c>
      <c r="W137" s="113">
        <f>IF(AND(ISNUMBER(N137),ISNUMBER(V137)),N137*V137*52/12,"")</f>
        <v/>
      </c>
      <c r="X137" s="114" t="n">
        <v>4.4</v>
      </c>
      <c r="Y137" s="108" t="n">
        <v>1909</v>
      </c>
      <c r="Z137" s="115" t="n">
        <v>46307</v>
      </c>
      <c r="AA137" s="115" t="n"/>
      <c r="AB137" s="105" t="n"/>
      <c r="AC137" s="105" t="n"/>
      <c r="AD137" s="108" t="n">
        <v>171534</v>
      </c>
      <c r="AE137" s="108" t="n">
        <v>2682</v>
      </c>
      <c r="AF137" s="116" t="n">
        <v>0.5544749851341424</v>
      </c>
      <c r="AG137" s="116" t="n">
        <v>0.4455250335210511</v>
      </c>
      <c r="AH137" s="39" t="inlineStr">
        <is>
          <t>bamboo sheets</t>
        </is>
      </c>
      <c r="AI137" s="116" t="n">
        <v>0.8981426422750008</v>
      </c>
      <c r="AJ137" s="116" t="n">
        <v>0.06748516329124256</v>
      </c>
      <c r="AK137" s="116" t="n">
        <v>0.2462310678932456</v>
      </c>
      <c r="AL137" s="116" t="n">
        <v>0.0526193057936036</v>
      </c>
      <c r="AM137" s="108" t="n">
        <v>401</v>
      </c>
      <c r="AN137" s="108" t="n">
        <v>33</v>
      </c>
      <c r="AO137" s="108" t="n">
        <v>341</v>
      </c>
      <c r="AP137" s="108" t="n">
        <v>2281</v>
      </c>
      <c r="AQ137" s="108" t="n">
        <v>820</v>
      </c>
      <c r="AR137" s="108" t="n">
        <v>5</v>
      </c>
      <c r="AS137" s="117" t="n"/>
      <c r="AT137" s="112" t="n"/>
      <c r="AU137" s="118" t="inlineStr">
        <is>
          <t>N</t>
        </is>
      </c>
      <c r="AV137" s="118" t="inlineStr">
        <is>
          <t>none</t>
        </is>
      </c>
      <c r="AW137" s="124" t="n"/>
      <c r="AX137" s="119" t="n">
        <v>55</v>
      </c>
      <c r="AY137" s="118" t="inlineStr">
        <is>
          <t>none</t>
        </is>
      </c>
      <c r="AZ137" s="118" t="inlineStr">
        <is>
          <t>Y</t>
        </is>
      </c>
      <c r="BA137" s="118" t="inlineStr">
        <is>
          <t>2026-10-13 12:10:45</t>
        </is>
      </c>
      <c r="BB137" s="120" t="inlineStr">
        <is>
          <t>None</t>
        </is>
      </c>
      <c r="BC137" s="125" t="n"/>
      <c r="BD137" s="121" t="n">
        <v>55</v>
      </c>
      <c r="BE137" s="121" t="n">
        <v>55</v>
      </c>
      <c r="BF137" s="110">
        <f>IF(AND(ISNUMBER(BD137),ISNUMBER(BE137),N(BD137)&gt;0),1-BE137/BD137,"")</f>
        <v/>
      </c>
      <c r="BG137" s="122" t="n">
        <v>3634538</v>
      </c>
      <c r="BH137" s="122" t="n">
        <v>3088925</v>
      </c>
      <c r="BI137" s="123">
        <f>IF(AND(ISNUMBER(BG137),ISNUMBER(BH137),N(BH137)&gt;0),BG137/BH137,"")</f>
        <v/>
      </c>
      <c r="BJ137" s="120" t="inlineStr">
        <is>
          <t>N</t>
        </is>
      </c>
      <c r="BK137" s="120" t="inlineStr">
        <is>
          <t>List Price $55.00</t>
        </is>
      </c>
    </row>
    <row r="138" ht="62" customHeight="1">
      <c r="A138" s="12">
        <f>_xlfn.IMAGE("https://m.media-amazon.com/images/I/71m+WEzQwhL._AC_SL1500_.jpg")</f>
        <v/>
      </c>
      <c r="B138" s="105" t="inlineStr">
        <is>
          <t>AiAngu</t>
        </is>
      </c>
      <c r="C138" s="39" t="inlineStr">
        <is>
          <t>Bamboo Sheets</t>
        </is>
      </c>
      <c r="D138" s="105" t="inlineStr">
        <is>
          <t>Poor</t>
        </is>
      </c>
      <c r="E138" s="106" t="inlineStr">
        <is>
          <t>Direct</t>
        </is>
      </c>
      <c r="F138" s="105" t="inlineStr">
        <is>
          <t>Bamboo viscose</t>
        </is>
      </c>
      <c r="G138" s="39" t="inlineStr">
        <is>
          <t>Same product (sheet set) in the same material family: Bamboo viscose (product page material: Rayon Derived from Bamboo); ours: our listing: viscose from bamboo.</t>
        </is>
      </c>
      <c r="H138" s="107" t="inlineStr">
        <is>
          <t>B0GX135KCN</t>
        </is>
      </c>
      <c r="I138" s="107" t="inlineStr">
        <is>
          <t>B0GX15Y7TT</t>
        </is>
      </c>
      <c r="J138" s="105" t="inlineStr">
        <is>
          <t>Queen</t>
        </is>
      </c>
      <c r="K138" s="105" t="inlineStr">
        <is>
          <t>Dark Grey</t>
        </is>
      </c>
      <c r="L138" s="108" t="n"/>
      <c r="M138" s="39" t="inlineStr"/>
      <c r="N138" s="109" t="n">
        <v>74.98999999999999</v>
      </c>
      <c r="O138" s="109" t="n">
        <v>79.98999999999999</v>
      </c>
      <c r="P138" s="110">
        <f>IF(AND(ISNUMBER(O138),ISNUMBER(N138),N(N138)&gt;0),O138/N138-1,"")</f>
        <v/>
      </c>
      <c r="Q138" s="111">
        <f>IF(P138="","No List Price",IF(P138&lt;=0,"At/below price",IF(P138&lt;=0.12,"&lt;=12% STR zone",IF(P138&lt;=0.25,"12-25%","&gt;25% over"))))</f>
        <v/>
      </c>
      <c r="R138" s="109" t="n">
        <v>68.48999999999999</v>
      </c>
      <c r="S138" s="112">
        <f>IF(AND(ISNUMBER(N138),ISNUMBER(R138),N(R138)&gt;0),N138/R138-1,"")</f>
        <v/>
      </c>
      <c r="T138" s="39" t="inlineStr">
        <is>
          <t>Same size (Queen). Ours live: catalog price, 2026-10-13; 2 children</t>
        </is>
      </c>
      <c r="U138" s="108" t="n">
        <v>39296</v>
      </c>
      <c r="V138" s="108" t="n">
        <v>81</v>
      </c>
      <c r="W138" s="113">
        <f>IF(AND(ISNUMBER(N138),ISNUMBER(V138)),N138*V138*52/12,"")</f>
        <v/>
      </c>
      <c r="X138" s="114" t="n">
        <v>4.6</v>
      </c>
      <c r="Y138" s="108" t="n">
        <v>121</v>
      </c>
      <c r="Z138" s="115" t="n">
        <v>46307</v>
      </c>
      <c r="AA138" s="115" t="n"/>
      <c r="AB138" s="105" t="n"/>
      <c r="AC138" s="105" t="n"/>
      <c r="AD138" s="108" t="n"/>
      <c r="AE138" s="108" t="n"/>
      <c r="AF138" s="116" t="n"/>
      <c r="AG138" s="116" t="n"/>
      <c r="AH138" s="39" t="n"/>
      <c r="AI138" s="116" t="n"/>
      <c r="AJ138" s="116" t="n"/>
      <c r="AK138" s="116" t="n"/>
      <c r="AL138" s="116" t="n"/>
      <c r="AM138" s="108" t="n"/>
      <c r="AN138" s="108" t="n"/>
      <c r="AO138" s="108" t="n"/>
      <c r="AP138" s="108" t="n"/>
      <c r="AQ138" s="108" t="n"/>
      <c r="AR138" s="108" t="n"/>
      <c r="AS138" s="117" t="n"/>
      <c r="AT138" s="112" t="n"/>
      <c r="AU138" s="118" t="inlineStr">
        <is>
          <t>Y</t>
        </is>
      </c>
      <c r="AV138" s="118" t="inlineStr">
        <is>
          <t>List Price</t>
        </is>
      </c>
      <c r="AW138" s="119" t="n">
        <v>79.98999999999999</v>
      </c>
      <c r="AX138" s="119" t="n">
        <v>74.98999999999999</v>
      </c>
      <c r="AY138" s="118" t="inlineStr">
        <is>
          <t>coupon 25%</t>
        </is>
      </c>
      <c r="AZ138" s="118" t="inlineStr">
        <is>
          <t>Y</t>
        </is>
      </c>
      <c r="BA138" s="118" t="inlineStr">
        <is>
          <t>2026-10-13 23:35:32</t>
        </is>
      </c>
      <c r="BB138" s="120" t="inlineStr">
        <is>
          <t>Not live in 2025</t>
        </is>
      </c>
      <c r="BC138" s="125" t="n"/>
      <c r="BD138" s="124" t="n"/>
      <c r="BE138" s="124" t="n"/>
      <c r="BF138" s="110">
        <f>IF(AND(ISNUMBER(BD138),ISNUMBER(BE138),N(BD138)&gt;0),1-BE138/BD138,"")</f>
        <v/>
      </c>
      <c r="BG138" s="126" t="n"/>
      <c r="BH138" s="126" t="n"/>
      <c r="BI138" s="123">
        <f>IF(AND(ISNUMBER(BG138),ISNUMBER(BH138),N(BH138)&gt;0),BG138/BH138,"")</f>
        <v/>
      </c>
      <c r="BJ138" s="125" t="n"/>
      <c r="BK138" s="125" t="n"/>
    </row>
    <row r="139" ht="62" customHeight="1">
      <c r="A139" s="12">
        <f>_xlfn.IMAGE("https://images-na.ssl-images-amazon.com/images/I/71Kvq1YdGJL.jpg")</f>
        <v/>
      </c>
      <c r="B139" s="105" t="inlineStr">
        <is>
          <t>Cariloha</t>
        </is>
      </c>
      <c r="C139" s="39" t="inlineStr">
        <is>
          <t>Cariloha Aloha Soft Bamboo Viscose Sheet Set - Natural - Queen</t>
        </is>
      </c>
      <c r="D139" s="105" t="inlineStr">
        <is>
          <t>Poor</t>
        </is>
      </c>
      <c r="E139" s="106" t="inlineStr">
        <is>
          <t>Direct</t>
        </is>
      </c>
      <c r="F139" s="105" t="inlineStr">
        <is>
          <t>Bamboo viscose</t>
        </is>
      </c>
      <c r="G139" s="39" t="inlineStr">
        <is>
          <t>Same product (sheet set) in the same material family: Bamboo viscose (product page material: Viscose derived from Bamboo); ours: our listing: viscose from bamboo.</t>
        </is>
      </c>
      <c r="H139" s="107" t="inlineStr">
        <is>
          <t>B0F89K7BXJ</t>
        </is>
      </c>
      <c r="I139" s="107" t="inlineStr">
        <is>
          <t>B0DJV1K332</t>
        </is>
      </c>
      <c r="J139" s="105" t="inlineStr">
        <is>
          <t>Queen</t>
        </is>
      </c>
      <c r="K139" s="105" t="inlineStr">
        <is>
          <t>Natural</t>
        </is>
      </c>
      <c r="L139" s="108" t="n">
        <v>35</v>
      </c>
      <c r="M139" s="39" t="inlineStr"/>
      <c r="N139" s="109" t="n">
        <v>107.1</v>
      </c>
      <c r="O139" s="109" t="n"/>
      <c r="P139" s="110">
        <f>IF(AND(ISNUMBER(O139),ISNUMBER(N139),N(N139)&gt;0),O139/N139-1,"")</f>
        <v/>
      </c>
      <c r="Q139" s="111">
        <f>IF(P139="","No List Price",IF(P139&lt;=0,"At/below price",IF(P139&lt;=0.12,"&lt;=12% STR zone",IF(P139&lt;=0.25,"12-25%","&gt;25% over"))))</f>
        <v/>
      </c>
      <c r="R139" s="109" t="n">
        <v>68.48999999999999</v>
      </c>
      <c r="S139" s="112">
        <f>IF(AND(ISNUMBER(N139),ISNUMBER(R139),N(R139)&gt;0),N139/R139-1,"")</f>
        <v/>
      </c>
      <c r="T139" s="39" t="inlineStr">
        <is>
          <t>Same size (Queen). Ours live: catalog price, 2026-10-13; 2 children</t>
        </is>
      </c>
      <c r="U139" s="108" t="n">
        <v>15882</v>
      </c>
      <c r="V139" s="108" t="n">
        <v>81</v>
      </c>
      <c r="W139" s="113">
        <f>IF(AND(ISNUMBER(N139),ISNUMBER(V139)),N139*V139*52/12,"")</f>
        <v/>
      </c>
      <c r="X139" s="114" t="n">
        <v>4.4</v>
      </c>
      <c r="Y139" s="108" t="n">
        <v>426</v>
      </c>
      <c r="Z139" s="115" t="n">
        <v>46307</v>
      </c>
      <c r="AA139" s="115" t="n">
        <v>45575</v>
      </c>
      <c r="AB139" s="105" t="inlineStr">
        <is>
          <t>FBA</t>
        </is>
      </c>
      <c r="AC139" s="105" t="inlineStr">
        <is>
          <t>US</t>
        </is>
      </c>
      <c r="AD139" s="108" t="n"/>
      <c r="AE139" s="108" t="n"/>
      <c r="AF139" s="116" t="n"/>
      <c r="AG139" s="116" t="n"/>
      <c r="AH139" s="39" t="n"/>
      <c r="AI139" s="116" t="n"/>
      <c r="AJ139" s="116" t="n"/>
      <c r="AK139" s="116" t="n"/>
      <c r="AL139" s="116" t="n"/>
      <c r="AM139" s="108" t="n"/>
      <c r="AN139" s="108" t="n"/>
      <c r="AO139" s="108" t="n"/>
      <c r="AP139" s="108" t="n"/>
      <c r="AQ139" s="108" t="n"/>
      <c r="AR139" s="108" t="n"/>
      <c r="AS139" s="117" t="n"/>
      <c r="AT139" s="112" t="n"/>
      <c r="AU139" s="118" t="inlineStr">
        <is>
          <t>Y</t>
        </is>
      </c>
      <c r="AV139" s="118" t="inlineStr">
        <is>
          <t>List Price</t>
        </is>
      </c>
      <c r="AW139" s="119" t="n">
        <v>119</v>
      </c>
      <c r="AX139" s="119" t="n">
        <v>107.1</v>
      </c>
      <c r="AY139" s="118" t="inlineStr">
        <is>
          <t>none</t>
        </is>
      </c>
      <c r="AZ139" s="118" t="inlineStr">
        <is>
          <t>Y</t>
        </is>
      </c>
      <c r="BA139" s="118" t="inlineStr">
        <is>
          <t>2026-10-13 23:35:56</t>
        </is>
      </c>
      <c r="BB139" s="120" t="inlineStr">
        <is>
          <t>Prime Exclusive Discount</t>
        </is>
      </c>
      <c r="BC139" s="120" t="inlineStr">
        <is>
          <t>11-23 to 11-30</t>
        </is>
      </c>
      <c r="BD139" s="121" t="n">
        <v>119</v>
      </c>
      <c r="BE139" s="121" t="n">
        <v>71.40000000000001</v>
      </c>
      <c r="BF139" s="110">
        <f>IF(AND(ISNUMBER(BD139),ISNUMBER(BE139),N(BD139)&gt;0),1-BE139/BD139,"")</f>
        <v/>
      </c>
      <c r="BG139" s="122" t="n">
        <v>52063</v>
      </c>
      <c r="BH139" s="122" t="n">
        <v>37342</v>
      </c>
      <c r="BI139" s="123">
        <f>IF(AND(ISNUMBER(BG139),ISNUMBER(BH139),N(BH139)&gt;0),BG139/BH139,"")</f>
        <v/>
      </c>
      <c r="BJ139" s="120" t="inlineStr">
        <is>
          <t>N</t>
        </is>
      </c>
      <c r="BK139" s="120" t="inlineStr">
        <is>
          <t>Coupon 20%, 30% (11-01 to 12-05); List Price $119.00</t>
        </is>
      </c>
    </row>
    <row r="140" ht="62" customHeight="1">
      <c r="A140" s="12">
        <f>_xlfn.IMAGE("https://images-na.ssl-images-amazon.com/images/I/61NbNWE+BJL.jpg")</f>
        <v/>
      </c>
      <c r="B140" s="105" t="inlineStr">
        <is>
          <t>Cozy Earth</t>
        </is>
      </c>
      <c r="C140" s="39" t="inlineStr">
        <is>
          <t>Cozy Earth Luxury Bed Sheet Set, 100% Viscose from Bamboo Fabric</t>
        </is>
      </c>
      <c r="D140" s="105" t="inlineStr">
        <is>
          <t>Poor</t>
        </is>
      </c>
      <c r="E140" s="106" t="inlineStr">
        <is>
          <t>Direct</t>
        </is>
      </c>
      <c r="F140" s="105" t="inlineStr">
        <is>
          <t>Bamboo viscose</t>
        </is>
      </c>
      <c r="G140" s="39" t="inlineStr">
        <is>
          <t>Same product (sheet set) in the same material family: Bamboo viscose (product page material: Viscose from Bamboo); ours: our listing: viscose from bamboo.</t>
        </is>
      </c>
      <c r="H140" s="107" t="inlineStr">
        <is>
          <t>B0DSQ9V4ML</t>
        </is>
      </c>
      <c r="I140" s="107" t="inlineStr">
        <is>
          <t>B0F22JR4S8</t>
        </is>
      </c>
      <c r="J140" s="105" t="inlineStr">
        <is>
          <t>King</t>
        </is>
      </c>
      <c r="K140" s="105" t="inlineStr">
        <is>
          <t>White</t>
        </is>
      </c>
      <c r="L140" s="108" t="n">
        <v>54</v>
      </c>
      <c r="M140" s="39" t="inlineStr"/>
      <c r="N140" s="109" t="n">
        <v>328</v>
      </c>
      <c r="O140" s="109" t="n"/>
      <c r="P140" s="110">
        <f>IF(AND(ISNUMBER(O140),ISNUMBER(N140),N(N140)&gt;0),O140/N140-1,"")</f>
        <v/>
      </c>
      <c r="Q140" s="111">
        <f>IF(P140="","No List Price",IF(P140&lt;=0,"At/below price",IF(P140&lt;=0.12,"&lt;=12% STR zone",IF(P140&lt;=0.25,"12-25%","&gt;25% over"))))</f>
        <v/>
      </c>
      <c r="R140" s="109" t="n">
        <v>69.98999999999999</v>
      </c>
      <c r="S140" s="112">
        <f>IF(AND(ISNUMBER(N140),ISNUMBER(R140),N(R140)&gt;0),N140/R140-1,"")</f>
        <v/>
      </c>
      <c r="T140" s="39" t="inlineStr">
        <is>
          <t>Same size (King). Ours live: catalog price, 2026-10-13; 5 children</t>
        </is>
      </c>
      <c r="U140" s="108" t="n">
        <v>45709</v>
      </c>
      <c r="V140" s="108" t="n">
        <v>35</v>
      </c>
      <c r="W140" s="113">
        <f>IF(AND(ISNUMBER(N140),ISNUMBER(V140)),N140*V140*52/12,"")</f>
        <v/>
      </c>
      <c r="X140" s="114" t="n">
        <v>3.9</v>
      </c>
      <c r="Y140" s="108" t="n">
        <v>425</v>
      </c>
      <c r="Z140" s="115" t="n">
        <v>46307</v>
      </c>
      <c r="AA140" s="115" t="n">
        <v>41624</v>
      </c>
      <c r="AB140" s="105" t="inlineStr">
        <is>
          <t>FBA</t>
        </is>
      </c>
      <c r="AC140" s="105" t="inlineStr">
        <is>
          <t>US</t>
        </is>
      </c>
      <c r="AD140" s="108" t="n"/>
      <c r="AE140" s="108" t="n"/>
      <c r="AF140" s="116" t="n"/>
      <c r="AG140" s="116" t="n"/>
      <c r="AH140" s="39" t="n"/>
      <c r="AI140" s="116" t="n"/>
      <c r="AJ140" s="116" t="n"/>
      <c r="AK140" s="116" t="n"/>
      <c r="AL140" s="116" t="n"/>
      <c r="AM140" s="108" t="n"/>
      <c r="AN140" s="108" t="n"/>
      <c r="AO140" s="108" t="n"/>
      <c r="AP140" s="108" t="n"/>
      <c r="AQ140" s="108" t="n"/>
      <c r="AR140" s="108" t="n"/>
      <c r="AS140" s="117" t="n"/>
      <c r="AT140" s="112" t="n"/>
      <c r="AU140" s="118" t="inlineStr">
        <is>
          <t>N</t>
        </is>
      </c>
      <c r="AV140" s="118" t="inlineStr">
        <is>
          <t>none</t>
        </is>
      </c>
      <c r="AW140" s="124" t="n"/>
      <c r="AX140" s="119" t="n">
        <v>328</v>
      </c>
      <c r="AY140" s="118" t="inlineStr">
        <is>
          <t>none</t>
        </is>
      </c>
      <c r="AZ140" s="118" t="inlineStr">
        <is>
          <t>Y</t>
        </is>
      </c>
      <c r="BA140" s="118" t="inlineStr">
        <is>
          <t>2026-10-13 23:36:06</t>
        </is>
      </c>
      <c r="BB140" s="120" t="inlineStr">
        <is>
          <t>Prime Exclusive Discount</t>
        </is>
      </c>
      <c r="BC140" s="120" t="inlineStr">
        <is>
          <t>11-27 to 12-01</t>
        </is>
      </c>
      <c r="BD140" s="121" t="n">
        <v>262.4</v>
      </c>
      <c r="BE140" s="121" t="n">
        <v>229.6</v>
      </c>
      <c r="BF140" s="110">
        <f>IF(AND(ISNUMBER(BD140),ISNUMBER(BE140),N(BD140)&gt;0),1-BE140/BD140,"")</f>
        <v/>
      </c>
      <c r="BG140" s="122" t="n">
        <v>51830</v>
      </c>
      <c r="BH140" s="122" t="n">
        <v>28404</v>
      </c>
      <c r="BI140" s="123">
        <f>IF(AND(ISNUMBER(BG140),ISNUMBER(BH140),N(BH140)&gt;0),BG140/BH140,"")</f>
        <v/>
      </c>
      <c r="BJ140" s="120" t="inlineStr">
        <is>
          <t>N</t>
        </is>
      </c>
      <c r="BK140" s="120" t="inlineStr">
        <is>
          <t>List Price $328.00</t>
        </is>
      </c>
    </row>
    <row r="141" ht="62" customHeight="1">
      <c r="A141" s="12">
        <f>_xlfn.IMAGE("https://images-na.ssl-images-amazon.com/images/I/61iqSV9TaLL.jpg")</f>
        <v/>
      </c>
      <c r="B141" s="105" t="inlineStr">
        <is>
          <t>DREAMCARE</t>
        </is>
      </c>
      <c r="C141" s="39" t="inlineStr">
        <is>
          <t>DREAMCARE 100% Rayon Bamboo Sheets King Size - 4pc Cooling Sheets King Size</t>
        </is>
      </c>
      <c r="D141" s="105" t="inlineStr">
        <is>
          <t>Poor</t>
        </is>
      </c>
      <c r="E141" s="106" t="inlineStr">
        <is>
          <t>Direct</t>
        </is>
      </c>
      <c r="F141" s="105" t="inlineStr">
        <is>
          <t>Bamboo viscose</t>
        </is>
      </c>
      <c r="G141" s="39" t="inlineStr">
        <is>
          <t>Same product (sheet set) in the same material family: Bamboo viscose (product page material: Viscose derived from Bamboo); ours: our listing: viscose from bamboo.</t>
        </is>
      </c>
      <c r="H141" s="107" t="inlineStr">
        <is>
          <t>B0DVZFLVMG</t>
        </is>
      </c>
      <c r="I141" s="107" t="inlineStr">
        <is>
          <t>B0CF2MND41</t>
        </is>
      </c>
      <c r="J141" s="105" t="inlineStr">
        <is>
          <t>King</t>
        </is>
      </c>
      <c r="K141" s="105" t="inlineStr">
        <is>
          <t>5 - Gray</t>
        </is>
      </c>
      <c r="L141" s="108" t="n">
        <v>30</v>
      </c>
      <c r="M141" s="39" t="inlineStr"/>
      <c r="N141" s="109" t="n">
        <v>46.74</v>
      </c>
      <c r="O141" s="109" t="n">
        <v>59.99</v>
      </c>
      <c r="P141" s="110">
        <f>IF(AND(ISNUMBER(O141),ISNUMBER(N141),N(N141)&gt;0),O141/N141-1,"")</f>
        <v/>
      </c>
      <c r="Q141" s="111">
        <f>IF(P141="","No List Price",IF(P141&lt;=0,"At/below price",IF(P141&lt;=0.12,"&lt;=12% STR zone",IF(P141&lt;=0.25,"12-25%","&gt;25% over"))))</f>
        <v/>
      </c>
      <c r="R141" s="109" t="n">
        <v>69.98999999999999</v>
      </c>
      <c r="S141" s="112">
        <f>IF(AND(ISNUMBER(N141),ISNUMBER(R141),N(R141)&gt;0),N141/R141-1,"")</f>
        <v/>
      </c>
      <c r="T141" s="39" t="inlineStr">
        <is>
          <t>Same size (King). Ours live: catalog price, 2026-10-13; 5 children</t>
        </is>
      </c>
      <c r="U141" s="108" t="n">
        <v>37217</v>
      </c>
      <c r="V141" s="108" t="n">
        <v>35</v>
      </c>
      <c r="W141" s="113">
        <f>IF(AND(ISNUMBER(N141),ISNUMBER(V141)),N141*V141*52/12,"")</f>
        <v/>
      </c>
      <c r="X141" s="114" t="n">
        <v>4.5</v>
      </c>
      <c r="Y141" s="108" t="n">
        <v>2261</v>
      </c>
      <c r="Z141" s="115" t="n">
        <v>46307</v>
      </c>
      <c r="AA141" s="115" t="n">
        <v>45146</v>
      </c>
      <c r="AB141" s="105" t="inlineStr">
        <is>
          <t>FBA</t>
        </is>
      </c>
      <c r="AC141" s="105" t="inlineStr">
        <is>
          <t>US</t>
        </is>
      </c>
      <c r="AD141" s="108" t="n"/>
      <c r="AE141" s="108" t="n"/>
      <c r="AF141" s="116" t="n"/>
      <c r="AG141" s="116" t="n"/>
      <c r="AH141" s="39" t="n"/>
      <c r="AI141" s="116" t="n"/>
      <c r="AJ141" s="116" t="n"/>
      <c r="AK141" s="116" t="n"/>
      <c r="AL141" s="116" t="n"/>
      <c r="AM141" s="108" t="n"/>
      <c r="AN141" s="108" t="n"/>
      <c r="AO141" s="108" t="n"/>
      <c r="AP141" s="108" t="n"/>
      <c r="AQ141" s="108" t="n"/>
      <c r="AR141" s="108" t="n"/>
      <c r="AS141" s="117" t="n"/>
      <c r="AT141" s="112" t="n"/>
      <c r="AU141" s="118" t="inlineStr">
        <is>
          <t>Y</t>
        </is>
      </c>
      <c r="AV141" s="118" t="inlineStr">
        <is>
          <t>List Price</t>
        </is>
      </c>
      <c r="AW141" s="119" t="n">
        <v>59.99</v>
      </c>
      <c r="AX141" s="119" t="n">
        <v>46.74</v>
      </c>
      <c r="AY141" s="118" t="inlineStr">
        <is>
          <t>Limited time deal</t>
        </is>
      </c>
      <c r="AZ141" s="118" t="inlineStr">
        <is>
          <t>Y</t>
        </is>
      </c>
      <c r="BA141" s="118" t="inlineStr">
        <is>
          <t>2026-10-13 23:36:12</t>
        </is>
      </c>
      <c r="BB141" s="120" t="inlineStr">
        <is>
          <t>Prime Exclusive Discount</t>
        </is>
      </c>
      <c r="BC141" s="120" t="inlineStr">
        <is>
          <t>11-22 to 12-01</t>
        </is>
      </c>
      <c r="BD141" s="121" t="n">
        <v>58.99</v>
      </c>
      <c r="BE141" s="121" t="n">
        <v>49.99</v>
      </c>
      <c r="BF141" s="110">
        <f>IF(AND(ISNUMBER(BD141),ISNUMBER(BE141),N(BD141)&gt;0),1-BE141/BD141,"")</f>
        <v/>
      </c>
      <c r="BG141" s="122" t="n">
        <v>209915</v>
      </c>
      <c r="BH141" s="122" t="n">
        <v>169120</v>
      </c>
      <c r="BI141" s="123">
        <f>IF(AND(ISNUMBER(BG141),ISNUMBER(BH141),N(BH141)&gt;0),BG141/BH141,"")</f>
        <v/>
      </c>
      <c r="BJ141" s="120" t="inlineStr">
        <is>
          <t>N</t>
        </is>
      </c>
      <c r="BK141" s="120" t="inlineStr">
        <is>
          <t>Buy Box RAISED in BFCM week (median $62.88 vs $58.99 before); List Price $58.99</t>
        </is>
      </c>
    </row>
    <row r="142" ht="62" customHeight="1">
      <c r="A142" s="12">
        <f>_xlfn.IMAGE("https://images-na.ssl-images-amazon.com/images/I/81noqNc+ZjL.jpg")</f>
        <v/>
      </c>
      <c r="B142" s="105" t="inlineStr">
        <is>
          <t>HOT SLEEPER SHEETS</t>
        </is>
      </c>
      <c r="C142" s="39" t="inlineStr">
        <is>
          <t>Cooling Sheets Set Queen Size, Viscose Derived from Bamboo for Hot Sleepers | Deep Pocket Up to 16 Inch | Silky Soft &amp; Breathable Bedding - 4PC (Queen, Navy)</t>
        </is>
      </c>
      <c r="D142" s="105" t="inlineStr">
        <is>
          <t>Poor</t>
        </is>
      </c>
      <c r="E142" s="106" t="inlineStr">
        <is>
          <t>Direct</t>
        </is>
      </c>
      <c r="F142" s="105" t="inlineStr">
        <is>
          <t>Bamboo viscose</t>
        </is>
      </c>
      <c r="G142" s="39" t="inlineStr">
        <is>
          <t>Same product (sheet set) in the same material family: Bamboo viscose (title: Cooling Sheets Set Queen Size, Viscose Derived from Bamboo f); ours: our listing: viscose from bamboo.</t>
        </is>
      </c>
      <c r="H142" s="107" t="inlineStr">
        <is>
          <t>B0DM3GDCTR</t>
        </is>
      </c>
      <c r="I142" s="107" t="inlineStr">
        <is>
          <t>B0D3XQM7DL</t>
        </is>
      </c>
      <c r="J142" s="105" t="inlineStr">
        <is>
          <t>Queen</t>
        </is>
      </c>
      <c r="K142" s="105" t="inlineStr">
        <is>
          <t>Navy</t>
        </is>
      </c>
      <c r="L142" s="108" t="n">
        <v>74</v>
      </c>
      <c r="M142" s="39" t="inlineStr"/>
      <c r="N142" s="109" t="n">
        <v>51.29</v>
      </c>
      <c r="O142" s="109" t="n">
        <v>62.99</v>
      </c>
      <c r="P142" s="110">
        <f>IF(AND(ISNUMBER(O142),ISNUMBER(N142),N(N142)&gt;0),O142/N142-1,"")</f>
        <v/>
      </c>
      <c r="Q142" s="111">
        <f>IF(P142="","No List Price",IF(P142&lt;=0,"At/below price",IF(P142&lt;=0.12,"&lt;=12% STR zone",IF(P142&lt;=0.25,"12-25%","&gt;25% over"))))</f>
        <v/>
      </c>
      <c r="R142" s="109" t="n">
        <v>68.48999999999999</v>
      </c>
      <c r="S142" s="112">
        <f>IF(AND(ISNUMBER(N142),ISNUMBER(R142),N(R142)&gt;0),N142/R142-1,"")</f>
        <v/>
      </c>
      <c r="T142" s="39" t="inlineStr">
        <is>
          <t>Same size (Queen). Ours live: catalog price, 2026-10-13; 2 children</t>
        </is>
      </c>
      <c r="U142" s="108" t="n">
        <v>33959</v>
      </c>
      <c r="V142" s="108" t="n">
        <v>35</v>
      </c>
      <c r="W142" s="113">
        <f>IF(AND(ISNUMBER(N142),ISNUMBER(V142)),N142*V142*52/12,"")</f>
        <v/>
      </c>
      <c r="X142" s="114" t="n">
        <v>4.4</v>
      </c>
      <c r="Y142" s="108" t="n">
        <v>674</v>
      </c>
      <c r="Z142" s="115" t="n">
        <v>46307</v>
      </c>
      <c r="AA142" s="115" t="n">
        <v>45423</v>
      </c>
      <c r="AB142" s="105" t="inlineStr">
        <is>
          <t>FBA</t>
        </is>
      </c>
      <c r="AC142" s="105" t="inlineStr">
        <is>
          <t>CN</t>
        </is>
      </c>
      <c r="AD142" s="108" t="n"/>
      <c r="AE142" s="108" t="n"/>
      <c r="AF142" s="116" t="n"/>
      <c r="AG142" s="116" t="n"/>
      <c r="AH142" s="39" t="n"/>
      <c r="AI142" s="116" t="n"/>
      <c r="AJ142" s="116" t="n"/>
      <c r="AK142" s="116" t="n"/>
      <c r="AL142" s="116" t="n"/>
      <c r="AM142" s="108" t="n"/>
      <c r="AN142" s="108" t="n"/>
      <c r="AO142" s="108" t="n"/>
      <c r="AP142" s="108" t="n"/>
      <c r="AQ142" s="108" t="n"/>
      <c r="AR142" s="108" t="n"/>
      <c r="AS142" s="117" t="n"/>
      <c r="AT142" s="112" t="n"/>
      <c r="AU142" s="118" t="inlineStr">
        <is>
          <t>Y</t>
        </is>
      </c>
      <c r="AV142" s="118" t="inlineStr">
        <is>
          <t>Typical price</t>
        </is>
      </c>
      <c r="AW142" s="119" t="n">
        <v>62.99</v>
      </c>
      <c r="AX142" s="119" t="n">
        <v>51.29</v>
      </c>
      <c r="AY142" s="118" t="inlineStr">
        <is>
          <t>Limited time deal</t>
        </is>
      </c>
      <c r="AZ142" s="118" t="inlineStr">
        <is>
          <t>Y</t>
        </is>
      </c>
      <c r="BA142" s="118" t="inlineStr">
        <is>
          <t>2026-10-13 23:36:21</t>
        </is>
      </c>
      <c r="BB142" s="120" t="inlineStr">
        <is>
          <t>Price cut only</t>
        </is>
      </c>
      <c r="BC142" s="120" t="inlineStr">
        <is>
          <t>11-20 to 12-01</t>
        </is>
      </c>
      <c r="BD142" s="121" t="n">
        <v>62.99</v>
      </c>
      <c r="BE142" s="121" t="n">
        <v>45.89</v>
      </c>
      <c r="BF142" s="110">
        <f>IF(AND(ISNUMBER(BD142),ISNUMBER(BE142),N(BD142)&gt;0),1-BE142/BD142,"")</f>
        <v/>
      </c>
      <c r="BG142" s="122" t="n">
        <v>44317</v>
      </c>
      <c r="BH142" s="122" t="n">
        <v>18465</v>
      </c>
      <c r="BI142" s="123">
        <f>IF(AND(ISNUMBER(BG142),ISNUMBER(BH142),N(BH142)&gt;0),BG142/BH142,"")</f>
        <v/>
      </c>
      <c r="BJ142" s="120" t="inlineStr">
        <is>
          <t>N</t>
        </is>
      </c>
      <c r="BK142" s="120" t="inlineStr">
        <is>
          <t>List Price $107.98</t>
        </is>
      </c>
    </row>
    <row r="143" ht="62" customHeight="1">
      <c r="A143" s="12">
        <f>_xlfn.IMAGE("https://images-na.ssl-images-amazon.com/images/I/71+O+E9PlaL.jpg")</f>
        <v/>
      </c>
      <c r="B143" s="105" t="inlineStr">
        <is>
          <t>Shilucheng</t>
        </is>
      </c>
      <c r="C143" s="39" t="inlineStr">
        <is>
          <t>Shilucheng 100% Viscose Derived from Bamboo_ Sheets Queen Size 4pcs</t>
        </is>
      </c>
      <c r="D143" s="105" t="inlineStr">
        <is>
          <t>Poor</t>
        </is>
      </c>
      <c r="E143" s="106" t="inlineStr">
        <is>
          <t>Direct</t>
        </is>
      </c>
      <c r="F143" s="105" t="inlineStr">
        <is>
          <t>Bamboo viscose</t>
        </is>
      </c>
      <c r="G143" s="39" t="inlineStr">
        <is>
          <t>Same product (sheet set) in the same material family: Bamboo viscose (product page material: Viscose Derived from Bamboo); ours: our listing: viscose from bamboo.</t>
        </is>
      </c>
      <c r="H143" s="107" t="inlineStr">
        <is>
          <t>B0HK5V5KL1</t>
        </is>
      </c>
      <c r="I143" s="107" t="inlineStr">
        <is>
          <t>B09PYKYCCF</t>
        </is>
      </c>
      <c r="J143" s="105" t="inlineStr">
        <is>
          <t>Queen</t>
        </is>
      </c>
      <c r="K143" s="105" t="inlineStr">
        <is>
          <t>01 - Dark Grey</t>
        </is>
      </c>
      <c r="L143" s="108" t="n">
        <v>79</v>
      </c>
      <c r="M143" s="39" t="inlineStr"/>
      <c r="N143" s="109" t="n">
        <v>46.66</v>
      </c>
      <c r="O143" s="109" t="n">
        <v>54.9</v>
      </c>
      <c r="P143" s="110">
        <f>IF(AND(ISNUMBER(O143),ISNUMBER(N143),N(N143)&gt;0),O143/N143-1,"")</f>
        <v/>
      </c>
      <c r="Q143" s="111">
        <f>IF(P143="","No List Price",IF(P143&lt;=0,"At/below price",IF(P143&lt;=0.12,"&lt;=12% STR zone",IF(P143&lt;=0.25,"12-25%","&gt;25% over"))))</f>
        <v/>
      </c>
      <c r="R143" s="109" t="n">
        <v>68.48999999999999</v>
      </c>
      <c r="S143" s="112">
        <f>IF(AND(ISNUMBER(N143),ISNUMBER(R143),N(R143)&gt;0),N143/R143-1,"")</f>
        <v/>
      </c>
      <c r="T143" s="39" t="inlineStr">
        <is>
          <t>Same size (Queen). Ours live: catalog price, 2026-10-13; 2 children</t>
        </is>
      </c>
      <c r="U143" s="108" t="n">
        <v>26043</v>
      </c>
      <c r="V143" s="108" t="n">
        <v>35</v>
      </c>
      <c r="W143" s="113">
        <f>IF(AND(ISNUMBER(N143),ISNUMBER(V143)),N143*V143*52/12,"")</f>
        <v/>
      </c>
      <c r="X143" s="114" t="n">
        <v>4.4</v>
      </c>
      <c r="Y143" s="108" t="n">
        <v>6629</v>
      </c>
      <c r="Z143" s="115" t="n">
        <v>46307</v>
      </c>
      <c r="AA143" s="115" t="n">
        <v>44652</v>
      </c>
      <c r="AB143" s="105" t="inlineStr">
        <is>
          <t>FBA</t>
        </is>
      </c>
      <c r="AC143" s="105" t="inlineStr">
        <is>
          <t>CN</t>
        </is>
      </c>
      <c r="AD143" s="108" t="n"/>
      <c r="AE143" s="108" t="n"/>
      <c r="AF143" s="116" t="n"/>
      <c r="AG143" s="116" t="n"/>
      <c r="AH143" s="39" t="n"/>
      <c r="AI143" s="116" t="n"/>
      <c r="AJ143" s="116" t="n"/>
      <c r="AK143" s="116" t="n"/>
      <c r="AL143" s="116" t="n"/>
      <c r="AM143" s="108" t="n"/>
      <c r="AN143" s="108" t="n"/>
      <c r="AO143" s="108" t="n"/>
      <c r="AP143" s="108" t="n"/>
      <c r="AQ143" s="108" t="n"/>
      <c r="AR143" s="108" t="n"/>
      <c r="AS143" s="117" t="n"/>
      <c r="AT143" s="112" t="n">
        <v>-0.9774436090225564</v>
      </c>
      <c r="AU143" s="118" t="inlineStr">
        <is>
          <t>Y</t>
        </is>
      </c>
      <c r="AV143" s="118" t="inlineStr">
        <is>
          <t>List Price</t>
        </is>
      </c>
      <c r="AW143" s="119" t="n">
        <v>54.9</v>
      </c>
      <c r="AX143" s="119" t="n">
        <v>46.66</v>
      </c>
      <c r="AY143" s="118" t="inlineStr">
        <is>
          <t>Limited time deal</t>
        </is>
      </c>
      <c r="AZ143" s="118" t="inlineStr">
        <is>
          <t>Y</t>
        </is>
      </c>
      <c r="BA143" s="118" t="inlineStr">
        <is>
          <t>2026-10-13 23:36:49</t>
        </is>
      </c>
      <c r="BB143" s="120" t="inlineStr">
        <is>
          <t>Prime Exclusive Discount</t>
        </is>
      </c>
      <c r="BC143" s="120" t="inlineStr">
        <is>
          <t>11-23 to 12-01</t>
        </is>
      </c>
      <c r="BD143" s="121" t="n">
        <v>54.9</v>
      </c>
      <c r="BE143" s="121" t="n">
        <v>46.64</v>
      </c>
      <c r="BF143" s="110">
        <f>IF(AND(ISNUMBER(BD143),ISNUMBER(BE143),N(BD143)&gt;0),1-BE143/BD143,"")</f>
        <v/>
      </c>
      <c r="BG143" s="122" t="n">
        <v>15970</v>
      </c>
      <c r="BH143" s="122" t="n">
        <v>18592</v>
      </c>
      <c r="BI143" s="123">
        <f>IF(AND(ISNUMBER(BG143),ISNUMBER(BH143),N(BH143)&gt;0),BG143/BH143,"")</f>
        <v/>
      </c>
      <c r="BJ143" s="120" t="inlineStr">
        <is>
          <t>N</t>
        </is>
      </c>
      <c r="BK143" s="120" t="inlineStr">
        <is>
          <t>Buy Box RAISED in BFCM week (median $58.30 vs $54.90 before); List Price $59.90</t>
        </is>
      </c>
    </row>
    <row r="144" ht="62" customHeight="1">
      <c r="A144" s="12">
        <f>_xlfn.IMAGE("https://m.media-amazon.com/images/I/71zexS-HoPL._AC_SL1500_.jpg")</f>
        <v/>
      </c>
      <c r="B144" s="105" t="inlineStr">
        <is>
          <t>Bamtek</t>
        </is>
      </c>
      <c r="C144" s="39" t="inlineStr">
        <is>
          <t>Viscose Bamboo Sheets Queen Size 4PC Set - Cooling Bedding for Hot Sleepers with</t>
        </is>
      </c>
      <c r="D144" s="105" t="inlineStr">
        <is>
          <t>Poor</t>
        </is>
      </c>
      <c r="E144" s="106" t="inlineStr">
        <is>
          <t>Direct</t>
        </is>
      </c>
      <c r="F144" s="105" t="inlineStr">
        <is>
          <t>Bamboo viscose</t>
        </is>
      </c>
      <c r="G144" s="39" t="inlineStr">
        <is>
          <t>Same product (sheet set) in the same material family: Bamboo viscose (product page material: Bamboo, Bamboo Viscose); ours: our listing: viscose from bamboo.</t>
        </is>
      </c>
      <c r="H144" s="107" t="inlineStr">
        <is>
          <t>B0CZHCZQZ3</t>
        </is>
      </c>
      <c r="I144" s="107" t="inlineStr">
        <is>
          <t>B09TQ6ZVKZ</t>
        </is>
      </c>
      <c r="J144" s="105" t="inlineStr">
        <is>
          <t>Queen</t>
        </is>
      </c>
      <c r="K144" s="105" t="inlineStr">
        <is>
          <t>Sage</t>
        </is>
      </c>
      <c r="L144" s="108" t="n"/>
      <c r="M144" s="39" t="inlineStr"/>
      <c r="N144" s="109" t="n">
        <v>94.98999999999999</v>
      </c>
      <c r="O144" s="109" t="n"/>
      <c r="P144" s="110">
        <f>IF(AND(ISNUMBER(O144),ISNUMBER(N144),N(N144)&gt;0),O144/N144-1,"")</f>
        <v/>
      </c>
      <c r="Q144" s="111">
        <f>IF(P144="","No List Price",IF(P144&lt;=0,"At/below price",IF(P144&lt;=0.12,"&lt;=12% STR zone",IF(P144&lt;=0.25,"12-25%","&gt;25% over"))))</f>
        <v/>
      </c>
      <c r="R144" s="109" t="n">
        <v>68.48999999999999</v>
      </c>
      <c r="S144" s="112">
        <f>IF(AND(ISNUMBER(N144),ISNUMBER(R144),N(R144)&gt;0),N144/R144-1,"")</f>
        <v/>
      </c>
      <c r="T144" s="39" t="inlineStr">
        <is>
          <t>Same size (Queen). Ours live: catalog price, 2026-10-13; 2 children</t>
        </is>
      </c>
      <c r="U144" s="108" t="n">
        <v>79376</v>
      </c>
      <c r="V144" s="108" t="n">
        <v>18</v>
      </c>
      <c r="W144" s="113">
        <f>IF(AND(ISNUMBER(N144),ISNUMBER(V144)),N144*V144*52/12,"")</f>
        <v/>
      </c>
      <c r="X144" s="114" t="n">
        <v>4.4</v>
      </c>
      <c r="Y144" s="108" t="n">
        <v>641</v>
      </c>
      <c r="Z144" s="115" t="n">
        <v>46307</v>
      </c>
      <c r="AA144" s="115" t="n"/>
      <c r="AB144" s="105" t="n"/>
      <c r="AC144" s="105" t="n"/>
      <c r="AD144" s="108" t="n"/>
      <c r="AE144" s="108" t="n"/>
      <c r="AF144" s="116" t="n"/>
      <c r="AG144" s="116" t="n"/>
      <c r="AH144" s="39" t="n"/>
      <c r="AI144" s="116" t="n"/>
      <c r="AJ144" s="116" t="n"/>
      <c r="AK144" s="116" t="n"/>
      <c r="AL144" s="116" t="n"/>
      <c r="AM144" s="108" t="n"/>
      <c r="AN144" s="108" t="n"/>
      <c r="AO144" s="108" t="n"/>
      <c r="AP144" s="108" t="n"/>
      <c r="AQ144" s="108" t="n"/>
      <c r="AR144" s="108" t="n"/>
      <c r="AS144" s="117" t="n"/>
      <c r="AT144" s="112" t="n"/>
      <c r="AU144" s="118" t="inlineStr">
        <is>
          <t>N</t>
        </is>
      </c>
      <c r="AV144" s="118" t="inlineStr">
        <is>
          <t>none</t>
        </is>
      </c>
      <c r="AW144" s="124" t="n"/>
      <c r="AX144" s="119" t="n">
        <v>94.98999999999999</v>
      </c>
      <c r="AY144" s="118" t="inlineStr">
        <is>
          <t>none</t>
        </is>
      </c>
      <c r="AZ144" s="118" t="inlineStr">
        <is>
          <t>Y</t>
        </is>
      </c>
      <c r="BA144" s="118" t="inlineStr">
        <is>
          <t>2026-10-13 23:35:47</t>
        </is>
      </c>
      <c r="BB144" s="120" t="inlineStr">
        <is>
          <t>Prime Exclusive Discount</t>
        </is>
      </c>
      <c r="BC144" s="120" t="inlineStr">
        <is>
          <t>11-24 to 12-01</t>
        </is>
      </c>
      <c r="BD144" s="121" t="n">
        <v>104.99</v>
      </c>
      <c r="BE144" s="121" t="n">
        <v>83.98999999999999</v>
      </c>
      <c r="BF144" s="110">
        <f>IF(AND(ISNUMBER(BD144),ISNUMBER(BE144),N(BD144)&gt;0),1-BE144/BD144,"")</f>
        <v/>
      </c>
      <c r="BG144" s="122" t="n">
        <v>99218</v>
      </c>
      <c r="BH144" s="122" t="n">
        <v>70530</v>
      </c>
      <c r="BI144" s="123">
        <f>IF(AND(ISNUMBER(BG144),ISNUMBER(BH144),N(BH144)&gt;0),BG144/BH144,"")</f>
        <v/>
      </c>
      <c r="BJ144" s="120" t="inlineStr">
        <is>
          <t>N</t>
        </is>
      </c>
      <c r="BK144" s="120" t="inlineStr">
        <is>
          <t>Coupon 40.00 USD (11-01 to 11-10); List Price $129.99</t>
        </is>
      </c>
    </row>
    <row r="145" ht="62" customHeight="1">
      <c r="A145" s="12">
        <f>_xlfn.IMAGE("https://images-na.ssl-images-amazon.com/images/I/61imzycbiwL.jpg")</f>
        <v/>
      </c>
      <c r="B145" s="105" t="inlineStr">
        <is>
          <t>JSD</t>
        </is>
      </c>
      <c r="C145" s="39" t="inlineStr">
        <is>
          <t>JSD Sage Green 100% Viscose Derived from Bamboo Cooling Sheet Set Queen</t>
        </is>
      </c>
      <c r="D145" s="105" t="inlineStr">
        <is>
          <t>Poor</t>
        </is>
      </c>
      <c r="E145" s="106" t="inlineStr">
        <is>
          <t>Direct</t>
        </is>
      </c>
      <c r="F145" s="105" t="inlineStr">
        <is>
          <t>Bamboo viscose</t>
        </is>
      </c>
      <c r="G145" s="39" t="inlineStr">
        <is>
          <t>Same product (sheet set) in the same material family: Bamboo viscose (title: JSD Sage Green 100% Viscose Derived from Bamboo Cooling Shee); ours: our listing: viscose from bamboo.</t>
        </is>
      </c>
      <c r="H145" s="107" t="inlineStr">
        <is>
          <t>B0DTY15N29</t>
        </is>
      </c>
      <c r="I145" s="107" t="inlineStr">
        <is>
          <t>B0DSZTLBV1</t>
        </is>
      </c>
      <c r="J145" s="105" t="inlineStr">
        <is>
          <t>Queen</t>
        </is>
      </c>
      <c r="K145" s="105" t="inlineStr">
        <is>
          <t>Green</t>
        </is>
      </c>
      <c r="L145" s="108" t="n">
        <v>32</v>
      </c>
      <c r="M145" s="39" t="inlineStr"/>
      <c r="N145" s="109" t="n">
        <v>56.99</v>
      </c>
      <c r="O145" s="109" t="n"/>
      <c r="P145" s="110">
        <f>IF(AND(ISNUMBER(O145),ISNUMBER(N145),N(N145)&gt;0),O145/N145-1,"")</f>
        <v/>
      </c>
      <c r="Q145" s="111">
        <f>IF(P145="","No List Price",IF(P145&lt;=0,"At/below price",IF(P145&lt;=0.12,"&lt;=12% STR zone",IF(P145&lt;=0.25,"12-25%","&gt;25% over"))))</f>
        <v/>
      </c>
      <c r="R145" s="109" t="n">
        <v>68.48999999999999</v>
      </c>
      <c r="S145" s="112">
        <f>IF(AND(ISNUMBER(N145),ISNUMBER(R145),N(R145)&gt;0),N145/R145-1,"")</f>
        <v/>
      </c>
      <c r="T145" s="39" t="inlineStr">
        <is>
          <t>Same size (Queen). Ours live: catalog price, 2026-10-13; 2 children</t>
        </is>
      </c>
      <c r="U145" s="108" t="n">
        <v>76312</v>
      </c>
      <c r="V145" s="108" t="n">
        <v>18</v>
      </c>
      <c r="W145" s="113">
        <f>IF(AND(ISNUMBER(N145),ISNUMBER(V145)),N145*V145*52/12,"")</f>
        <v/>
      </c>
      <c r="X145" s="114" t="n">
        <v>4.3</v>
      </c>
      <c r="Y145" s="108" t="n">
        <v>281</v>
      </c>
      <c r="Z145" s="115" t="n">
        <v>46307</v>
      </c>
      <c r="AA145" s="115" t="n">
        <v>45671</v>
      </c>
      <c r="AB145" s="105" t="inlineStr">
        <is>
          <t>FBA</t>
        </is>
      </c>
      <c r="AC145" s="105" t="inlineStr">
        <is>
          <t>CN</t>
        </is>
      </c>
      <c r="AD145" s="108" t="n"/>
      <c r="AE145" s="108" t="n"/>
      <c r="AF145" s="116" t="n"/>
      <c r="AG145" s="116" t="n"/>
      <c r="AH145" s="39" t="n"/>
      <c r="AI145" s="116" t="n"/>
      <c r="AJ145" s="116" t="n"/>
      <c r="AK145" s="116" t="n"/>
      <c r="AL145" s="116" t="n"/>
      <c r="AM145" s="108" t="n"/>
      <c r="AN145" s="108" t="n"/>
      <c r="AO145" s="108" t="n"/>
      <c r="AP145" s="108" t="n"/>
      <c r="AQ145" s="108" t="n"/>
      <c r="AR145" s="108" t="n"/>
      <c r="AS145" s="117" t="n"/>
      <c r="AT145" s="112" t="n"/>
      <c r="AU145" s="118" t="inlineStr">
        <is>
          <t>N</t>
        </is>
      </c>
      <c r="AV145" s="118" t="inlineStr">
        <is>
          <t>none</t>
        </is>
      </c>
      <c r="AW145" s="124" t="n"/>
      <c r="AX145" s="119" t="n">
        <v>56.99</v>
      </c>
      <c r="AY145" s="118" t="inlineStr">
        <is>
          <t>none</t>
        </is>
      </c>
      <c r="AZ145" s="118" t="inlineStr">
        <is>
          <t>Y</t>
        </is>
      </c>
      <c r="BA145" s="118" t="inlineStr">
        <is>
          <t>2026-10-13 23:36:24</t>
        </is>
      </c>
      <c r="BB145" s="120" t="inlineStr">
        <is>
          <t>None</t>
        </is>
      </c>
      <c r="BC145" s="125" t="n"/>
      <c r="BD145" s="121" t="n">
        <v>56.99</v>
      </c>
      <c r="BE145" s="121" t="n">
        <v>56.99</v>
      </c>
      <c r="BF145" s="110">
        <f>IF(AND(ISNUMBER(BD145),ISNUMBER(BE145),N(BD145)&gt;0),1-BE145/BD145,"")</f>
        <v/>
      </c>
      <c r="BG145" s="122" t="n">
        <v>97969</v>
      </c>
      <c r="BH145" s="122" t="n">
        <v>108941</v>
      </c>
      <c r="BI145" s="123">
        <f>IF(AND(ISNUMBER(BG145),ISNUMBER(BH145),N(BH145)&gt;0),BG145/BH145,"")</f>
        <v/>
      </c>
      <c r="BJ145" s="120" t="inlineStr">
        <is>
          <t>N</t>
        </is>
      </c>
      <c r="BK145" s="120" t="inlineStr">
        <is>
          <t>Coupon 5% (11-01 to 11-17); List Price $74.99</t>
        </is>
      </c>
    </row>
    <row r="146" ht="62" customHeight="1">
      <c r="A146" s="12">
        <f>_xlfn.IMAGE("https://images-na.ssl-images-amazon.com/images/I/71zrq2AtnUL.jpg")</f>
        <v/>
      </c>
      <c r="B146" s="105" t="inlineStr">
        <is>
          <t>Kickoff Home</t>
        </is>
      </c>
      <c r="C146" s="39" t="inlineStr">
        <is>
          <t>Bamboo Sheets</t>
        </is>
      </c>
      <c r="D146" s="105" t="inlineStr">
        <is>
          <t>Poor</t>
        </is>
      </c>
      <c r="E146" s="106" t="inlineStr">
        <is>
          <t>Direct</t>
        </is>
      </c>
      <c r="F146" s="105" t="inlineStr">
        <is>
          <t>Bamboo viscose</t>
        </is>
      </c>
      <c r="G146" s="39" t="inlineStr">
        <is>
          <t>Same product (sheet set) in the same material family: Bamboo viscose (product page material: Viscose from Bamboo); ours: our listing: viscose from bamboo.</t>
        </is>
      </c>
      <c r="H146" s="107" t="inlineStr">
        <is>
          <t>B0D4KS4MVX</t>
        </is>
      </c>
      <c r="I146" s="107" t="inlineStr">
        <is>
          <t>B0CHN5ZPFH</t>
        </is>
      </c>
      <c r="J146" s="105" t="inlineStr">
        <is>
          <t>King</t>
        </is>
      </c>
      <c r="K146" s="105" t="inlineStr">
        <is>
          <t>Sage Green</t>
        </is>
      </c>
      <c r="L146" s="108" t="n">
        <v>106</v>
      </c>
      <c r="M146" s="39" t="inlineStr">
        <is>
          <t>B0CHN5ZPFH (27%), B0CHN6N986 (11%), B0G84K7MZQ (9%), B0G84MQQX4 (8%), B0CHN4BSZP (5%)</t>
        </is>
      </c>
      <c r="N146" s="109" t="n">
        <v>86.98999999999999</v>
      </c>
      <c r="O146" s="109" t="n">
        <v>84.98999999999999</v>
      </c>
      <c r="P146" s="110">
        <f>IF(AND(ISNUMBER(O146),ISNUMBER(N146),N(N146)&gt;0),O146/N146-1,"")</f>
        <v/>
      </c>
      <c r="Q146" s="111">
        <f>IF(P146="","No List Price",IF(P146&lt;=0,"At/below price",IF(P146&lt;=0.12,"&lt;=12% STR zone",IF(P146&lt;=0.25,"12-25%","&gt;25% over"))))</f>
        <v/>
      </c>
      <c r="R146" s="109" t="n">
        <v>69.98999999999999</v>
      </c>
      <c r="S146" s="112">
        <f>IF(AND(ISNUMBER(N146),ISNUMBER(R146),N(R146)&gt;0),N146/R146-1,"")</f>
        <v/>
      </c>
      <c r="T146" s="39" t="inlineStr">
        <is>
          <t>Same size (King). Ours live: catalog price, 2026-10-13; 5 children</t>
        </is>
      </c>
      <c r="U146" s="108" t="n">
        <v>23579</v>
      </c>
      <c r="V146" s="108" t="n">
        <v>18</v>
      </c>
      <c r="W146" s="113">
        <f>IF(AND(ISNUMBER(N146),ISNUMBER(V146)),N146*V146*52/12,"")</f>
        <v/>
      </c>
      <c r="X146" s="114" t="n">
        <v>4.6</v>
      </c>
      <c r="Y146" s="108" t="n">
        <v>688</v>
      </c>
      <c r="Z146" s="115" t="n">
        <v>46307</v>
      </c>
      <c r="AA146" s="115" t="n"/>
      <c r="AB146" s="105" t="n"/>
      <c r="AC146" s="105" t="n"/>
      <c r="AD146" s="108" t="n">
        <v>58169</v>
      </c>
      <c r="AE146" s="108" t="n">
        <v>1164</v>
      </c>
      <c r="AF146" s="116" t="n">
        <v>0.8765498702057799</v>
      </c>
      <c r="AG146" s="116" t="n">
        <v>0.12345023981846</v>
      </c>
      <c r="AH146" s="39" t="inlineStr">
        <is>
          <t>bamboo sheets</t>
        </is>
      </c>
      <c r="AI146" s="116" t="n">
        <v>0.6749987106534409</v>
      </c>
      <c r="AJ146" s="116" t="n"/>
      <c r="AK146" s="116" t="n">
        <v>0.08715982739947395</v>
      </c>
      <c r="AL146" s="116" t="n">
        <v>0.0003782083240213859</v>
      </c>
      <c r="AM146" s="108" t="n">
        <v>341</v>
      </c>
      <c r="AN146" s="108" t="n">
        <v>54</v>
      </c>
      <c r="AO146" s="108" t="n">
        <v>236</v>
      </c>
      <c r="AP146" s="108" t="n">
        <v>823</v>
      </c>
      <c r="AQ146" s="108" t="n">
        <v>117</v>
      </c>
      <c r="AR146" s="108" t="n">
        <v>1</v>
      </c>
      <c r="AS146" s="117" t="n"/>
      <c r="AT146" s="112" t="n"/>
      <c r="AU146" s="118" t="inlineStr">
        <is>
          <t>N</t>
        </is>
      </c>
      <c r="AV146" s="118" t="inlineStr">
        <is>
          <t>none</t>
        </is>
      </c>
      <c r="AW146" s="124" t="n"/>
      <c r="AX146" s="119" t="n">
        <v>86.98999999999999</v>
      </c>
      <c r="AY146" s="118" t="inlineStr">
        <is>
          <t>none</t>
        </is>
      </c>
      <c r="AZ146" s="118" t="inlineStr">
        <is>
          <t>Y</t>
        </is>
      </c>
      <c r="BA146" s="118" t="inlineStr">
        <is>
          <t>2026-10-13 23:36:30</t>
        </is>
      </c>
      <c r="BB146" s="120" t="inlineStr">
        <is>
          <t>Price cut only</t>
        </is>
      </c>
      <c r="BC146" s="120" t="inlineStr">
        <is>
          <t>11-21 to 12-01</t>
        </is>
      </c>
      <c r="BD146" s="121" t="n">
        <v>118.99</v>
      </c>
      <c r="BE146" s="121" t="n">
        <v>79.13</v>
      </c>
      <c r="BF146" s="110">
        <f>IF(AND(ISNUMBER(BD146),ISNUMBER(BE146),N(BD146)&gt;0),1-BE146/BD146,"")</f>
        <v/>
      </c>
      <c r="BG146" s="122" t="n">
        <v>70541</v>
      </c>
      <c r="BH146" s="122" t="n">
        <v>28546</v>
      </c>
      <c r="BI146" s="123">
        <f>IF(AND(ISNUMBER(BG146),ISNUMBER(BH146),N(BH146)&gt;0),BG146/BH146,"")</f>
        <v/>
      </c>
      <c r="BJ146" s="120" t="inlineStr">
        <is>
          <t>N</t>
        </is>
      </c>
      <c r="BK146" s="120" t="inlineStr">
        <is>
          <t>Coupon 25% (11-01 to 11-05); List Price $124.99</t>
        </is>
      </c>
    </row>
    <row r="147" ht="62" customHeight="1">
      <c r="A147" s="12">
        <f>_xlfn.IMAGE("https://m.media-amazon.com/images/I/81xjJeiirqL._AC_SL1500_.jpg")</f>
        <v/>
      </c>
      <c r="B147" s="105" t="inlineStr">
        <is>
          <t>LB Luxury Bamboo Market</t>
        </is>
      </c>
      <c r="C147" s="39" t="inlineStr">
        <is>
          <t>Bamboo Sheets</t>
        </is>
      </c>
      <c r="D147" s="105" t="inlineStr">
        <is>
          <t>Poor</t>
        </is>
      </c>
      <c r="E147" s="106" t="inlineStr">
        <is>
          <t>Direct</t>
        </is>
      </c>
      <c r="F147" s="105" t="inlineStr">
        <is>
          <t>Bamboo viscose</t>
        </is>
      </c>
      <c r="G147" s="39" t="inlineStr">
        <is>
          <t>Same product (sheet set) in the same material family: Bamboo viscose (product page material: Organically Grown Bamboo Viscose); ours: our listing: viscose from bamboo.</t>
        </is>
      </c>
      <c r="H147" s="107" t="inlineStr">
        <is>
          <t>B0D1HWHDL2</t>
        </is>
      </c>
      <c r="I147" s="107" t="inlineStr">
        <is>
          <t>B0CH7N9WVC</t>
        </is>
      </c>
      <c r="J147" s="105" t="inlineStr">
        <is>
          <t>Queen</t>
        </is>
      </c>
      <c r="K147" s="105" t="inlineStr">
        <is>
          <t>Dune</t>
        </is>
      </c>
      <c r="L147" s="108" t="n"/>
      <c r="M147" s="39" t="inlineStr"/>
      <c r="N147" s="109" t="n">
        <v>129.94</v>
      </c>
      <c r="O147" s="109" t="n"/>
      <c r="P147" s="110">
        <f>IF(AND(ISNUMBER(O147),ISNUMBER(N147),N(N147)&gt;0),O147/N147-1,"")</f>
        <v/>
      </c>
      <c r="Q147" s="111">
        <f>IF(P147="","No List Price",IF(P147&lt;=0,"At/below price",IF(P147&lt;=0.12,"&lt;=12% STR zone",IF(P147&lt;=0.25,"12-25%","&gt;25% over"))))</f>
        <v/>
      </c>
      <c r="R147" s="109" t="n">
        <v>68.48999999999999</v>
      </c>
      <c r="S147" s="112">
        <f>IF(AND(ISNUMBER(N147),ISNUMBER(R147),N(R147)&gt;0),N147/R147-1,"")</f>
        <v/>
      </c>
      <c r="T147" s="39" t="inlineStr">
        <is>
          <t>Same size (Queen). Ours live: catalog price, 2026-10-13; 2 children</t>
        </is>
      </c>
      <c r="U147" s="108" t="n">
        <v>47800</v>
      </c>
      <c r="V147" s="108" t="n">
        <v>18</v>
      </c>
      <c r="W147" s="113">
        <f>IF(AND(ISNUMBER(N147),ISNUMBER(V147)),N147*V147*52/12,"")</f>
        <v/>
      </c>
      <c r="X147" s="114" t="n">
        <v>4.5</v>
      </c>
      <c r="Y147" s="108" t="n">
        <v>517</v>
      </c>
      <c r="Z147" s="115" t="n">
        <v>46307</v>
      </c>
      <c r="AA147" s="115" t="n"/>
      <c r="AB147" s="105" t="n"/>
      <c r="AC147" s="105" t="n"/>
      <c r="AD147" s="108" t="n"/>
      <c r="AE147" s="108" t="n"/>
      <c r="AF147" s="116" t="n"/>
      <c r="AG147" s="116" t="n"/>
      <c r="AH147" s="39" t="n"/>
      <c r="AI147" s="116" t="n"/>
      <c r="AJ147" s="116" t="n"/>
      <c r="AK147" s="116" t="n"/>
      <c r="AL147" s="116" t="n"/>
      <c r="AM147" s="108" t="n"/>
      <c r="AN147" s="108" t="n"/>
      <c r="AO147" s="108" t="n"/>
      <c r="AP147" s="108" t="n"/>
      <c r="AQ147" s="108" t="n"/>
      <c r="AR147" s="108" t="n"/>
      <c r="AS147" s="117" t="n"/>
      <c r="AT147" s="112" t="n"/>
      <c r="AU147" s="118" t="inlineStr">
        <is>
          <t>N</t>
        </is>
      </c>
      <c r="AV147" s="118" t="inlineStr">
        <is>
          <t>none</t>
        </is>
      </c>
      <c r="AW147" s="124" t="n"/>
      <c r="AX147" s="119" t="n">
        <v>129.94</v>
      </c>
      <c r="AY147" s="118" t="inlineStr">
        <is>
          <t>none</t>
        </is>
      </c>
      <c r="AZ147" s="118" t="inlineStr">
        <is>
          <t>Y</t>
        </is>
      </c>
      <c r="BA147" s="118" t="inlineStr">
        <is>
          <t>2026-10-13 23:36:34</t>
        </is>
      </c>
      <c r="BB147" s="120" t="inlineStr">
        <is>
          <t>Prime Exclusive Discount</t>
        </is>
      </c>
      <c r="BC147" s="120" t="inlineStr">
        <is>
          <t>11-26 to 12-01</t>
        </is>
      </c>
      <c r="BD147" s="121" t="n">
        <v>119.94</v>
      </c>
      <c r="BE147" s="121" t="n">
        <v>103.95</v>
      </c>
      <c r="BF147" s="110">
        <f>IF(AND(ISNUMBER(BD147),ISNUMBER(BE147),N(BD147)&gt;0),1-BE147/BD147,"")</f>
        <v/>
      </c>
      <c r="BG147" s="122" t="n">
        <v>73868</v>
      </c>
      <c r="BH147" s="122" t="n">
        <v>96746</v>
      </c>
      <c r="BI147" s="123">
        <f>IF(AND(ISNUMBER(BG147),ISNUMBER(BH147),N(BH147)&gt;0),BG147/BH147,"")</f>
        <v/>
      </c>
      <c r="BJ147" s="120" t="inlineStr">
        <is>
          <t>N</t>
        </is>
      </c>
      <c r="BK147" s="120" t="inlineStr">
        <is>
          <t>List Price $159.94</t>
        </is>
      </c>
    </row>
    <row r="148" ht="62" customHeight="1">
      <c r="A148" s="12">
        <f>_xlfn.IMAGE("https://images-na.ssl-images-amazon.com/images/I/71NxE1i+4jL.jpg")</f>
        <v/>
      </c>
      <c r="B148" s="105" t="inlineStr">
        <is>
          <t>Shilucheng</t>
        </is>
      </c>
      <c r="C148" s="39" t="inlineStr">
        <is>
          <t>Shilucheng 100% Viscose Derived from Bamboo_Sheets, Extra Deep Pocket</t>
        </is>
      </c>
      <c r="D148" s="105" t="inlineStr">
        <is>
          <t>Poor</t>
        </is>
      </c>
      <c r="E148" s="106" t="inlineStr">
        <is>
          <t>Direct</t>
        </is>
      </c>
      <c r="F148" s="105" t="inlineStr">
        <is>
          <t>Bamboo viscose</t>
        </is>
      </c>
      <c r="G148" s="39" t="inlineStr">
        <is>
          <t>Same product (sheet set) in the same material family: Bamboo viscose (product page material: Rayon Derived from Bamboo); ours: our listing: viscose from bamboo.</t>
        </is>
      </c>
      <c r="H148" s="107" t="inlineStr">
        <is>
          <t>B0HJVD7X1R</t>
        </is>
      </c>
      <c r="I148" s="107" t="inlineStr">
        <is>
          <t>B0F2TBWTZR</t>
        </is>
      </c>
      <c r="J148" s="105" t="inlineStr">
        <is>
          <t>King</t>
        </is>
      </c>
      <c r="K148" s="105" t="inlineStr">
        <is>
          <t>Dark Grey</t>
        </is>
      </c>
      <c r="L148" s="108" t="n">
        <v>32</v>
      </c>
      <c r="M148" s="39" t="inlineStr"/>
      <c r="N148" s="109" t="n">
        <v>69.98999999999999</v>
      </c>
      <c r="O148" s="109" t="n">
        <v>84.98999999999999</v>
      </c>
      <c r="P148" s="110">
        <f>IF(AND(ISNUMBER(O148),ISNUMBER(N148),N(N148)&gt;0),O148/N148-1,"")</f>
        <v/>
      </c>
      <c r="Q148" s="111">
        <f>IF(P148="","No List Price",IF(P148&lt;=0,"At/below price",IF(P148&lt;=0.12,"&lt;=12% STR zone",IF(P148&lt;=0.25,"12-25%","&gt;25% over"))))</f>
        <v/>
      </c>
      <c r="R148" s="109" t="n">
        <v>69.98999999999999</v>
      </c>
      <c r="S148" s="112">
        <f>IF(AND(ISNUMBER(N148),ISNUMBER(R148),N(R148)&gt;0),N148/R148-1,"")</f>
        <v/>
      </c>
      <c r="T148" s="39" t="inlineStr">
        <is>
          <t>Same size (King). Ours live: catalog price, 2026-10-13; 5 children</t>
        </is>
      </c>
      <c r="U148" s="108" t="n">
        <v>39194</v>
      </c>
      <c r="V148" s="108" t="n">
        <v>18</v>
      </c>
      <c r="W148" s="113">
        <f>IF(AND(ISNUMBER(N148),ISNUMBER(V148)),N148*V148*52/12,"")</f>
        <v/>
      </c>
      <c r="X148" s="114" t="n">
        <v>4.5</v>
      </c>
      <c r="Y148" s="108" t="n">
        <v>1639</v>
      </c>
      <c r="Z148" s="115" t="n">
        <v>46307</v>
      </c>
      <c r="AA148" s="115" t="n">
        <v>45744</v>
      </c>
      <c r="AB148" s="105" t="inlineStr">
        <is>
          <t>FBA</t>
        </is>
      </c>
      <c r="AC148" s="105" t="inlineStr">
        <is>
          <t>CN</t>
        </is>
      </c>
      <c r="AD148" s="108" t="n"/>
      <c r="AE148" s="108" t="n"/>
      <c r="AF148" s="116" t="n"/>
      <c r="AG148" s="116" t="n"/>
      <c r="AH148" s="39" t="n"/>
      <c r="AI148" s="116" t="n"/>
      <c r="AJ148" s="116" t="n"/>
      <c r="AK148" s="116" t="n"/>
      <c r="AL148" s="116" t="n"/>
      <c r="AM148" s="108" t="n"/>
      <c r="AN148" s="108" t="n"/>
      <c r="AO148" s="108" t="n"/>
      <c r="AP148" s="108" t="n"/>
      <c r="AQ148" s="108" t="n"/>
      <c r="AR148" s="108" t="n"/>
      <c r="AS148" s="117" t="n"/>
      <c r="AT148" s="112" t="n">
        <v>-0.9655172413793104</v>
      </c>
      <c r="AU148" s="118" t="inlineStr">
        <is>
          <t>Y</t>
        </is>
      </c>
      <c r="AV148" s="118" t="inlineStr">
        <is>
          <t>List Price</t>
        </is>
      </c>
      <c r="AW148" s="119" t="n">
        <v>84.98999999999999</v>
      </c>
      <c r="AX148" s="119" t="n">
        <v>69.98999999999999</v>
      </c>
      <c r="AY148" s="118" t="inlineStr">
        <is>
          <t>Limited time deal</t>
        </is>
      </c>
      <c r="AZ148" s="118" t="inlineStr">
        <is>
          <t>Y</t>
        </is>
      </c>
      <c r="BA148" s="118" t="inlineStr">
        <is>
          <t>2026-10-13 23:36:52</t>
        </is>
      </c>
      <c r="BB148" s="120" t="inlineStr">
        <is>
          <t>Prime Exclusive Discount</t>
        </is>
      </c>
      <c r="BC148" s="120" t="inlineStr">
        <is>
          <t>11-21 to 12-01</t>
        </is>
      </c>
      <c r="BD148" s="121" t="n">
        <v>84.98999999999999</v>
      </c>
      <c r="BE148" s="121" t="n">
        <v>64.59</v>
      </c>
      <c r="BF148" s="110">
        <f>IF(AND(ISNUMBER(BD148),ISNUMBER(BE148),N(BD148)&gt;0),1-BE148/BD148,"")</f>
        <v/>
      </c>
      <c r="BG148" s="122" t="n">
        <v>28104</v>
      </c>
      <c r="BH148" s="122" t="n">
        <v>38474</v>
      </c>
      <c r="BI148" s="123">
        <f>IF(AND(ISNUMBER(BG148),ISNUMBER(BH148),N(BH148)&gt;0),BG148/BH148,"")</f>
        <v/>
      </c>
      <c r="BJ148" s="120" t="inlineStr">
        <is>
          <t>N</t>
        </is>
      </c>
      <c r="BK148" s="120" t="inlineStr">
        <is>
          <t>Coupon 20% (11-02 to 11-12); List Price $84.99</t>
        </is>
      </c>
    </row>
    <row r="149" ht="62" customHeight="1">
      <c r="A149" s="12">
        <f>_xlfn.IMAGE("https://m.media-amazon.com/images/I/61YnWQV27EL._AC_SL1024_.jpg")</f>
        <v/>
      </c>
      <c r="B149" s="105" t="inlineStr">
        <is>
          <t>Bamboo Bay</t>
        </is>
      </c>
      <c r="C149" s="39" t="inlineStr">
        <is>
          <t>Bamboo Sheets</t>
        </is>
      </c>
      <c r="D149" s="105" t="inlineStr">
        <is>
          <t>Poor</t>
        </is>
      </c>
      <c r="E149" s="106" t="inlineStr">
        <is>
          <t>Direct</t>
        </is>
      </c>
      <c r="F149" s="105" t="inlineStr">
        <is>
          <t>Bamboo viscose</t>
        </is>
      </c>
      <c r="G149" s="39" t="inlineStr">
        <is>
          <t>Same product (sheet set) in the same material family: Bamboo viscose (product page material: Viscose Made from Bamboo); ours: our listing: viscose from bamboo.</t>
        </is>
      </c>
      <c r="H149" s="107" t="inlineStr">
        <is>
          <t>B0DLF1SWJ5</t>
        </is>
      </c>
      <c r="I149" s="107" t="inlineStr">
        <is>
          <t>B07TBHLZJM</t>
        </is>
      </c>
      <c r="J149" s="105" t="inlineStr">
        <is>
          <t>Queen</t>
        </is>
      </c>
      <c r="K149" s="105" t="inlineStr">
        <is>
          <t>04 - Light Grey</t>
        </is>
      </c>
      <c r="L149" s="108" t="n"/>
      <c r="M149" s="39" t="inlineStr"/>
      <c r="N149" s="109" t="n">
        <v>79.98</v>
      </c>
      <c r="O149" s="109" t="n"/>
      <c r="P149" s="110">
        <f>IF(AND(ISNUMBER(O149),ISNUMBER(N149),N(N149)&gt;0),O149/N149-1,"")</f>
        <v/>
      </c>
      <c r="Q149" s="111">
        <f>IF(P149="","No List Price",IF(P149&lt;=0,"At/below price",IF(P149&lt;=0.12,"&lt;=12% STR zone",IF(P149&lt;=0.25,"12-25%","&gt;25% over"))))</f>
        <v/>
      </c>
      <c r="R149" s="109" t="n">
        <v>68.48999999999999</v>
      </c>
      <c r="S149" s="112">
        <f>IF(AND(ISNUMBER(N149),ISNUMBER(R149),N(R149)&gt;0),N149/R149-1,"")</f>
        <v/>
      </c>
      <c r="T149" s="39" t="inlineStr">
        <is>
          <t>Same size (Queen). Ours live: catalog price, 2026-10-13; 2 children</t>
        </is>
      </c>
      <c r="U149" s="108" t="n">
        <v>131083</v>
      </c>
      <c r="V149" s="108" t="n">
        <v>5</v>
      </c>
      <c r="W149" s="113">
        <f>IF(AND(ISNUMBER(N149),ISNUMBER(V149)),N149*V149*52/12,"")</f>
        <v/>
      </c>
      <c r="X149" s="114" t="n">
        <v>4.5</v>
      </c>
      <c r="Y149" s="108" t="n">
        <v>2691</v>
      </c>
      <c r="Z149" s="115" t="n">
        <v>46307</v>
      </c>
      <c r="AA149" s="115" t="n"/>
      <c r="AB149" s="105" t="n"/>
      <c r="AC149" s="105" t="n"/>
      <c r="AD149" s="108" t="n"/>
      <c r="AE149" s="108" t="n"/>
      <c r="AF149" s="116" t="n"/>
      <c r="AG149" s="116" t="n"/>
      <c r="AH149" s="39" t="n"/>
      <c r="AI149" s="116" t="n"/>
      <c r="AJ149" s="116" t="n"/>
      <c r="AK149" s="116" t="n"/>
      <c r="AL149" s="116" t="n"/>
      <c r="AM149" s="108" t="n"/>
      <c r="AN149" s="108" t="n"/>
      <c r="AO149" s="108" t="n"/>
      <c r="AP149" s="108" t="n"/>
      <c r="AQ149" s="108" t="n"/>
      <c r="AR149" s="108" t="n"/>
      <c r="AS149" s="117" t="n"/>
      <c r="AT149" s="112" t="n"/>
      <c r="AU149" s="118" t="inlineStr">
        <is>
          <t>N</t>
        </is>
      </c>
      <c r="AV149" s="118" t="inlineStr">
        <is>
          <t>none</t>
        </is>
      </c>
      <c r="AW149" s="124" t="n"/>
      <c r="AX149" s="119" t="n">
        <v>79.98</v>
      </c>
      <c r="AY149" s="118" t="inlineStr">
        <is>
          <t>none</t>
        </is>
      </c>
      <c r="AZ149" s="118" t="inlineStr">
        <is>
          <t>Y</t>
        </is>
      </c>
      <c r="BA149" s="118" t="inlineStr">
        <is>
          <t>2026-10-13 23:35:44</t>
        </is>
      </c>
      <c r="BB149" s="120" t="inlineStr">
        <is>
          <t>None</t>
        </is>
      </c>
      <c r="BC149" s="125" t="n"/>
      <c r="BD149" s="121" t="n">
        <v>86.98999999999999</v>
      </c>
      <c r="BE149" s="121" t="n">
        <v>93.48</v>
      </c>
      <c r="BF149" s="110">
        <f>IF(AND(ISNUMBER(BD149),ISNUMBER(BE149),N(BD149)&gt;0),1-BE149/BD149,"")</f>
        <v/>
      </c>
      <c r="BG149" s="122" t="n">
        <v>43439</v>
      </c>
      <c r="BH149" s="122" t="n">
        <v>53047</v>
      </c>
      <c r="BI149" s="123">
        <f>IF(AND(ISNUMBER(BG149),ISNUMBER(BH149),N(BH149)&gt;0),BG149/BH149,"")</f>
        <v/>
      </c>
      <c r="BJ149" s="120" t="inlineStr">
        <is>
          <t>N</t>
        </is>
      </c>
      <c r="BK149" s="120" t="inlineStr">
        <is>
          <t>Buy Box RAISED in BFCM week (median $109.98 vs $86.99 before); List Price $129.98</t>
        </is>
      </c>
    </row>
    <row r="150" ht="62" customHeight="1">
      <c r="A150" s="12">
        <f>_xlfn.IMAGE("https://m.media-amazon.com/images/I/61se+-YHOaL._AC_SL1500_.jpg")</f>
        <v/>
      </c>
      <c r="B150" s="105" t="inlineStr">
        <is>
          <t>LBRO2M</t>
        </is>
      </c>
      <c r="C150" s="39" t="inlineStr">
        <is>
          <t>LBRO2M Cooling Bed Sheet 100% Viscose Derived from Bamboo Sheet Set Queen Size 6</t>
        </is>
      </c>
      <c r="D150" s="105" t="inlineStr">
        <is>
          <t>Poor</t>
        </is>
      </c>
      <c r="E150" s="106" t="inlineStr">
        <is>
          <t>Direct</t>
        </is>
      </c>
      <c r="F150" s="105" t="inlineStr">
        <is>
          <t>Bamboo viscose</t>
        </is>
      </c>
      <c r="G150" s="39" t="inlineStr">
        <is>
          <t>Same product (sheet set) in the same material family: Bamboo viscose (product page material: Viscose Derived from Bamboo); ours: our listing: viscose from bamboo.</t>
        </is>
      </c>
      <c r="H150" s="107" t="inlineStr">
        <is>
          <t>B0F9FK3L6J</t>
        </is>
      </c>
      <c r="I150" s="107" t="inlineStr">
        <is>
          <t>B0F9FK7SMW</t>
        </is>
      </c>
      <c r="J150" s="105" t="inlineStr">
        <is>
          <t>King 6 Pcs</t>
        </is>
      </c>
      <c r="K150" s="105" t="inlineStr">
        <is>
          <t>White</t>
        </is>
      </c>
      <c r="L150" s="108" t="n"/>
      <c r="M150" s="39" t="inlineStr"/>
      <c r="N150" s="109" t="n">
        <v>94.98999999999999</v>
      </c>
      <c r="O150" s="109" t="n"/>
      <c r="P150" s="110">
        <f>IF(AND(ISNUMBER(O150),ISNUMBER(N150),N(N150)&gt;0),O150/N150-1,"")</f>
        <v/>
      </c>
      <c r="Q150" s="111">
        <f>IF(P150="","No List Price",IF(P150&lt;=0,"At/below price",IF(P150&lt;=0.12,"&lt;=12% STR zone",IF(P150&lt;=0.25,"12-25%","&gt;25% over"))))</f>
        <v/>
      </c>
      <c r="R150" s="109" t="n">
        <v>69.98999999999999</v>
      </c>
      <c r="S150" s="112">
        <f>IF(AND(ISNUMBER(N150),ISNUMBER(R150),N(R150)&gt;0),N150/R150-1,"")</f>
        <v/>
      </c>
      <c r="T150" s="39" t="inlineStr">
        <is>
          <t>Same size (King). Ours live: catalog price, 2026-10-13; 5 children</t>
        </is>
      </c>
      <c r="U150" s="108" t="n">
        <v>1003118</v>
      </c>
      <c r="V150" s="108" t="n">
        <v>5</v>
      </c>
      <c r="W150" s="113">
        <f>IF(AND(ISNUMBER(N150),ISNUMBER(V150)),N150*V150*52/12,"")</f>
        <v/>
      </c>
      <c r="X150" s="114" t="n">
        <v>4.4</v>
      </c>
      <c r="Y150" s="108" t="n">
        <v>18</v>
      </c>
      <c r="Z150" s="115" t="n">
        <v>46307</v>
      </c>
      <c r="AA150" s="115" t="n"/>
      <c r="AB150" s="105" t="n"/>
      <c r="AC150" s="105" t="n"/>
      <c r="AD150" s="108" t="n"/>
      <c r="AE150" s="108" t="n"/>
      <c r="AF150" s="116" t="n"/>
      <c r="AG150" s="116" t="n"/>
      <c r="AH150" s="39" t="n"/>
      <c r="AI150" s="116" t="n"/>
      <c r="AJ150" s="116" t="n"/>
      <c r="AK150" s="116" t="n"/>
      <c r="AL150" s="116" t="n"/>
      <c r="AM150" s="108" t="n"/>
      <c r="AN150" s="108" t="n"/>
      <c r="AO150" s="108" t="n"/>
      <c r="AP150" s="108" t="n"/>
      <c r="AQ150" s="108" t="n"/>
      <c r="AR150" s="108" t="n"/>
      <c r="AS150" s="117" t="n"/>
      <c r="AT150" s="112" t="n"/>
      <c r="AU150" s="118" t="inlineStr">
        <is>
          <t>N</t>
        </is>
      </c>
      <c r="AV150" s="118" t="inlineStr">
        <is>
          <t>none</t>
        </is>
      </c>
      <c r="AW150" s="124" t="n"/>
      <c r="AX150" s="124" t="n"/>
      <c r="AY150" s="118" t="inlineStr">
        <is>
          <t>none</t>
        </is>
      </c>
      <c r="AZ150" s="118" t="inlineStr">
        <is>
          <t>N</t>
        </is>
      </c>
      <c r="BA150" s="118" t="inlineStr">
        <is>
          <t>2026-10-13 23:36:36</t>
        </is>
      </c>
      <c r="BB150" s="120" t="inlineStr">
        <is>
          <t>Prime Exclusive Discount</t>
        </is>
      </c>
      <c r="BC150" s="120" t="inlineStr">
        <is>
          <t>11-22 to 12-01</t>
        </is>
      </c>
      <c r="BD150" s="121" t="n">
        <v>95.98999999999999</v>
      </c>
      <c r="BE150" s="121" t="n">
        <v>67.19</v>
      </c>
      <c r="BF150" s="110">
        <f>IF(AND(ISNUMBER(BD150),ISNUMBER(BE150),N(BD150)&gt;0),1-BE150/BD150,"")</f>
        <v/>
      </c>
      <c r="BG150" s="122" t="n">
        <v>114176</v>
      </c>
      <c r="BH150" s="122" t="n">
        <v>68746</v>
      </c>
      <c r="BI150" s="123">
        <f>IF(AND(ISNUMBER(BG150),ISNUMBER(BH150),N(BH150)&gt;0),BG150/BH150,"")</f>
        <v/>
      </c>
      <c r="BJ150" s="120" t="inlineStr">
        <is>
          <t>N</t>
        </is>
      </c>
      <c r="BK150" s="120" t="inlineStr">
        <is>
          <t>Lightning Deal 11-01 to 11-01; List Price $179.97</t>
        </is>
      </c>
    </row>
    <row r="151" ht="62" customHeight="1">
      <c r="A151" s="12">
        <f>_xlfn.IMAGE("https://images-na.ssl-images-amazon.com/images/I/71gw0WpuNuL.jpg")</f>
        <v/>
      </c>
      <c r="B151" s="105" t="inlineStr">
        <is>
          <t>TWK</t>
        </is>
      </c>
      <c r="C151" s="39" t="inlineStr">
        <is>
          <t>TWK Luxury Sheet Set, Genuine 100% Organic Viscose Derived from Bamboo, Cooling &amp; Breathable, Silky Soft, Bedding Sheets &amp; Pillowcases (Mist Gray, King)</t>
        </is>
      </c>
      <c r="D151" s="105" t="inlineStr">
        <is>
          <t>Poor</t>
        </is>
      </c>
      <c r="E151" s="106" t="inlineStr">
        <is>
          <t>Direct</t>
        </is>
      </c>
      <c r="F151" s="105" t="inlineStr">
        <is>
          <t>Bamboo viscose</t>
        </is>
      </c>
      <c r="G151" s="39" t="inlineStr">
        <is>
          <t>Same product (sheet set) in the same material family: Bamboo viscose (title: TWK Luxury Sheet Set, Genuine 100% Organic Viscose Derived f); ours: our listing: viscose from bamboo.</t>
        </is>
      </c>
      <c r="H151" s="107" t="inlineStr">
        <is>
          <t>B0DYT2QWLC</t>
        </is>
      </c>
      <c r="I151" s="107" t="inlineStr">
        <is>
          <t>B0DYT2QWLC</t>
        </is>
      </c>
      <c r="J151" s="105" t="inlineStr">
        <is>
          <t>King</t>
        </is>
      </c>
      <c r="K151" s="105" t="inlineStr">
        <is>
          <t>Mist Gray</t>
        </is>
      </c>
      <c r="L151" s="108" t="n">
        <v>1</v>
      </c>
      <c r="M151" s="39" t="inlineStr"/>
      <c r="N151" s="109" t="n">
        <v>109.99</v>
      </c>
      <c r="O151" s="109" t="n"/>
      <c r="P151" s="110">
        <f>IF(AND(ISNUMBER(O151),ISNUMBER(N151),N(N151)&gt;0),O151/N151-1,"")</f>
        <v/>
      </c>
      <c r="Q151" s="111">
        <f>IF(P151="","No List Price",IF(P151&lt;=0,"At/below price",IF(P151&lt;=0.12,"&lt;=12% STR zone",IF(P151&lt;=0.25,"12-25%","&gt;25% over"))))</f>
        <v/>
      </c>
      <c r="R151" s="109" t="n">
        <v>69.98999999999999</v>
      </c>
      <c r="S151" s="112">
        <f>IF(AND(ISNUMBER(N151),ISNUMBER(R151),N(R151)&gt;0),N151/R151-1,"")</f>
        <v/>
      </c>
      <c r="T151" s="39" t="inlineStr">
        <is>
          <t>Same size (King). Ours live: catalog price, 2026-10-13; 5 children</t>
        </is>
      </c>
      <c r="U151" s="108" t="n">
        <v>1506045</v>
      </c>
      <c r="V151" s="108" t="n">
        <v>5</v>
      </c>
      <c r="W151" s="113">
        <f>IF(AND(ISNUMBER(N151),ISNUMBER(V151)),N151*V151*52/12,"")</f>
        <v/>
      </c>
      <c r="X151" s="114" t="n">
        <v>4.5</v>
      </c>
      <c r="Y151" s="108" t="n">
        <v>39</v>
      </c>
      <c r="Z151" s="115" t="n">
        <v>46307</v>
      </c>
      <c r="AA151" s="115" t="n">
        <v>45716</v>
      </c>
      <c r="AB151" s="105" t="inlineStr">
        <is>
          <t>FBM</t>
        </is>
      </c>
      <c r="AC151" s="105" t="inlineStr">
        <is>
          <t>N/A</t>
        </is>
      </c>
      <c r="AD151" s="108" t="n"/>
      <c r="AE151" s="108" t="n"/>
      <c r="AF151" s="116" t="n"/>
      <c r="AG151" s="116" t="n"/>
      <c r="AH151" s="39" t="n"/>
      <c r="AI151" s="116" t="n"/>
      <c r="AJ151" s="116" t="n"/>
      <c r="AK151" s="116" t="n"/>
      <c r="AL151" s="116" t="n"/>
      <c r="AM151" s="108" t="n"/>
      <c r="AN151" s="108" t="n"/>
      <c r="AO151" s="108" t="n"/>
      <c r="AP151" s="108" t="n"/>
      <c r="AQ151" s="108" t="n"/>
      <c r="AR151" s="108" t="n"/>
      <c r="AS151" s="117" t="n"/>
      <c r="AT151" s="112" t="n"/>
      <c r="AU151" s="118" t="inlineStr">
        <is>
          <t>N</t>
        </is>
      </c>
      <c r="AV151" s="118" t="inlineStr">
        <is>
          <t>none</t>
        </is>
      </c>
      <c r="AW151" s="124" t="n"/>
      <c r="AX151" s="124" t="n"/>
      <c r="AY151" s="118" t="inlineStr">
        <is>
          <t>none</t>
        </is>
      </c>
      <c r="AZ151" s="118" t="inlineStr">
        <is>
          <t>N</t>
        </is>
      </c>
      <c r="BA151" s="118" t="inlineStr">
        <is>
          <t>2026-10-13 23:37:00</t>
        </is>
      </c>
      <c r="BB151" s="120" t="inlineStr">
        <is>
          <t>Coupon only</t>
        </is>
      </c>
      <c r="BC151" s="120" t="inlineStr">
        <is>
          <t>11-20 to 12-05</t>
        </is>
      </c>
      <c r="BD151" s="121" t="n">
        <v>69</v>
      </c>
      <c r="BE151" s="121" t="n">
        <v>74</v>
      </c>
      <c r="BF151" s="110">
        <f>IF(AND(ISNUMBER(BD151),ISNUMBER(BE151),N(BD151)&gt;0),1-BE151/BD151,"")</f>
        <v/>
      </c>
      <c r="BG151" s="122" t="n">
        <v>46533</v>
      </c>
      <c r="BH151" s="122" t="n">
        <v>67944</v>
      </c>
      <c r="BI151" s="123">
        <f>IF(AND(ISNUMBER(BG151),ISNUMBER(BH151),N(BH151)&gt;0),BG151/BH151,"")</f>
        <v/>
      </c>
      <c r="BJ151" s="120" t="inlineStr">
        <is>
          <t>N</t>
        </is>
      </c>
      <c r="BK151" s="120" t="inlineStr">
        <is>
          <t>Coupon 30%; Buy Box RAISED in BFCM week (median $79.00 vs $69.00 before); List Price $69.00</t>
        </is>
      </c>
    </row>
    <row r="152" ht="62" customHeight="1">
      <c r="A152" s="12">
        <f>_xlfn.IMAGE("https://images-na.ssl-images-amazon.com/images/I/71YlZk0Q9-L.jpg")</f>
        <v/>
      </c>
      <c r="B152" s="105" t="inlineStr">
        <is>
          <t>TWK</t>
        </is>
      </c>
      <c r="C152" s="39" t="inlineStr">
        <is>
          <t>TWK Luxury Sheet Set, Genuine 100% Viscose Derived from Bamboo, Cooling &amp; Breathable, Silky Soft, Bedding Sheets &amp; Pillowcases (White, King(78 * 80 * 15))</t>
        </is>
      </c>
      <c r="D152" s="105" t="inlineStr">
        <is>
          <t>Poor</t>
        </is>
      </c>
      <c r="E152" s="106" t="inlineStr">
        <is>
          <t>Direct</t>
        </is>
      </c>
      <c r="F152" s="105" t="inlineStr">
        <is>
          <t>Bamboo viscose</t>
        </is>
      </c>
      <c r="G152" s="39" t="inlineStr">
        <is>
          <t>Same product (sheet set) in the same material family: Bamboo viscose (title: TWK Luxury Sheet Set, Genuine 100% Viscose Derived from Bamb); ours: our listing: viscose from bamboo.</t>
        </is>
      </c>
      <c r="H152" s="107" t="inlineStr">
        <is>
          <t>B0GVP3B7LS</t>
        </is>
      </c>
      <c r="I152" s="107" t="inlineStr">
        <is>
          <t>B0GVP3B7LS</t>
        </is>
      </c>
      <c r="J152" s="105" t="inlineStr">
        <is>
          <t>King</t>
        </is>
      </c>
      <c r="K152" s="105" t="inlineStr">
        <is>
          <t>White</t>
        </is>
      </c>
      <c r="L152" s="108" t="n">
        <v>1</v>
      </c>
      <c r="M152" s="39" t="inlineStr"/>
      <c r="N152" s="109" t="n">
        <v>46.74</v>
      </c>
      <c r="O152" s="109" t="n"/>
      <c r="P152" s="110">
        <f>IF(AND(ISNUMBER(O152),ISNUMBER(N152),N(N152)&gt;0),O152/N152-1,"")</f>
        <v/>
      </c>
      <c r="Q152" s="111">
        <f>IF(P152="","No List Price",IF(P152&lt;=0,"At/below price",IF(P152&lt;=0.12,"&lt;=12% STR zone",IF(P152&lt;=0.25,"12-25%","&gt;25% over"))))</f>
        <v/>
      </c>
      <c r="R152" s="109" t="n">
        <v>69.98999999999999</v>
      </c>
      <c r="S152" s="112">
        <f>IF(AND(ISNUMBER(N152),ISNUMBER(R152),N(R152)&gt;0),N152/R152-1,"")</f>
        <v/>
      </c>
      <c r="T152" s="39" t="inlineStr">
        <is>
          <t>Same size (King). Ours live: catalog price, 2026-10-13; 5 children</t>
        </is>
      </c>
      <c r="U152" s="108" t="n">
        <v>2065761</v>
      </c>
      <c r="V152" s="108" t="n">
        <v>5</v>
      </c>
      <c r="W152" s="113">
        <f>IF(AND(ISNUMBER(N152),ISNUMBER(V152)),N152*V152*52/12,"")</f>
        <v/>
      </c>
      <c r="X152" s="114" t="n">
        <v>4.5</v>
      </c>
      <c r="Y152" s="108" t="n">
        <v>11</v>
      </c>
      <c r="Z152" s="115" t="n">
        <v>46307</v>
      </c>
      <c r="AA152" s="115" t="n">
        <v>46078</v>
      </c>
      <c r="AB152" s="105" t="inlineStr">
        <is>
          <t>FBM</t>
        </is>
      </c>
      <c r="AC152" s="105" t="inlineStr">
        <is>
          <t>N/A</t>
        </is>
      </c>
      <c r="AD152" s="108" t="n"/>
      <c r="AE152" s="108" t="n"/>
      <c r="AF152" s="116" t="n"/>
      <c r="AG152" s="116" t="n"/>
      <c r="AH152" s="39" t="n"/>
      <c r="AI152" s="116" t="n"/>
      <c r="AJ152" s="116" t="n"/>
      <c r="AK152" s="116" t="n"/>
      <c r="AL152" s="116" t="n"/>
      <c r="AM152" s="108" t="n"/>
      <c r="AN152" s="108" t="n"/>
      <c r="AO152" s="108" t="n"/>
      <c r="AP152" s="108" t="n"/>
      <c r="AQ152" s="108" t="n"/>
      <c r="AR152" s="108" t="n"/>
      <c r="AS152" s="117" t="n"/>
      <c r="AT152" s="112" t="n"/>
      <c r="AU152" s="118" t="inlineStr">
        <is>
          <t>N</t>
        </is>
      </c>
      <c r="AV152" s="118" t="inlineStr">
        <is>
          <t>none</t>
        </is>
      </c>
      <c r="AW152" s="124" t="n"/>
      <c r="AX152" s="124" t="n"/>
      <c r="AY152" s="118" t="inlineStr">
        <is>
          <t>none</t>
        </is>
      </c>
      <c r="AZ152" s="118" t="inlineStr">
        <is>
          <t>N</t>
        </is>
      </c>
      <c r="BA152" s="118" t="inlineStr">
        <is>
          <t>2026-10-13 23:36:57</t>
        </is>
      </c>
      <c r="BB152" s="120" t="inlineStr">
        <is>
          <t>Not live in 2025</t>
        </is>
      </c>
      <c r="BC152" s="125" t="n"/>
      <c r="BD152" s="124" t="n"/>
      <c r="BE152" s="124" t="n"/>
      <c r="BF152" s="110">
        <f>IF(AND(ISNUMBER(BD152),ISNUMBER(BE152),N(BD152)&gt;0),1-BE152/BD152,"")</f>
        <v/>
      </c>
      <c r="BG152" s="126" t="n"/>
      <c r="BH152" s="126" t="n"/>
      <c r="BI152" s="123">
        <f>IF(AND(ISNUMBER(BG152),ISNUMBER(BH152),N(BH152)&gt;0),BG152/BH152,"")</f>
        <v/>
      </c>
      <c r="BJ152" s="125" t="n"/>
      <c r="BK152" s="125" t="n"/>
    </row>
    <row r="153" ht="62" customHeight="1">
      <c r="A153" s="12">
        <f>_xlfn.IMAGE("https://m.media-amazon.com/images/I/61cLtklNnOL._AC_SL1486_.jpg")</f>
        <v/>
      </c>
      <c r="B153" s="105" t="inlineStr">
        <is>
          <t>TWK</t>
        </is>
      </c>
      <c r="C153" s="39" t="inlineStr">
        <is>
          <t>4 Piece Bamboo Sheet Set</t>
        </is>
      </c>
      <c r="D153" s="105" t="inlineStr">
        <is>
          <t>Poor</t>
        </is>
      </c>
      <c r="E153" s="106" t="inlineStr">
        <is>
          <t>Direct</t>
        </is>
      </c>
      <c r="F153" s="105" t="inlineStr">
        <is>
          <t>Bamboo viscose</t>
        </is>
      </c>
      <c r="G153" s="39" t="inlineStr">
        <is>
          <t>Same product (sheet set) in the same material family: Bamboo viscose (product page material: Genuine 100% Organic Viscose Derived from Bamboo); ours: our listing: viscose from bamboo.</t>
        </is>
      </c>
      <c r="H153" s="107" t="inlineStr">
        <is>
          <t>B0GW7H7RHY</t>
        </is>
      </c>
      <c r="I153" s="107" t="inlineStr">
        <is>
          <t>B0GW7H7RHY</t>
        </is>
      </c>
      <c r="J153" s="105" t="inlineStr">
        <is>
          <t>King</t>
        </is>
      </c>
      <c r="K153" s="105" t="inlineStr">
        <is>
          <t>Sand</t>
        </is>
      </c>
      <c r="L153" s="108" t="n"/>
      <c r="M153" s="39" t="inlineStr"/>
      <c r="N153" s="109" t="n">
        <v>109.99</v>
      </c>
      <c r="O153" s="109" t="n"/>
      <c r="P153" s="110">
        <f>IF(AND(ISNUMBER(O153),ISNUMBER(N153),N(N153)&gt;0),O153/N153-1,"")</f>
        <v/>
      </c>
      <c r="Q153" s="111">
        <f>IF(P153="","No List Price",IF(P153&lt;=0,"At/below price",IF(P153&lt;=0.12,"&lt;=12% STR zone",IF(P153&lt;=0.25,"12-25%","&gt;25% over"))))</f>
        <v/>
      </c>
      <c r="R153" s="109" t="n">
        <v>69.98999999999999</v>
      </c>
      <c r="S153" s="112">
        <f>IF(AND(ISNUMBER(N153),ISNUMBER(R153),N(R153)&gt;0),N153/R153-1,"")</f>
        <v/>
      </c>
      <c r="T153" s="39" t="inlineStr">
        <is>
          <t>Same size (King). Ours live: catalog price, 2026-10-13; 5 children</t>
        </is>
      </c>
      <c r="U153" s="108" t="n">
        <v>4355899</v>
      </c>
      <c r="V153" s="108" t="n">
        <v>5</v>
      </c>
      <c r="W153" s="113">
        <f>IF(AND(ISNUMBER(N153),ISNUMBER(V153)),N153*V153*52/12,"")</f>
        <v/>
      </c>
      <c r="X153" s="114" t="n">
        <v>4.5</v>
      </c>
      <c r="Y153" s="108" t="n">
        <v>2</v>
      </c>
      <c r="Z153" s="115" t="n">
        <v>46307</v>
      </c>
      <c r="AA153" s="115" t="n"/>
      <c r="AB153" s="105" t="n"/>
      <c r="AC153" s="105" t="n"/>
      <c r="AD153" s="108" t="n"/>
      <c r="AE153" s="108" t="n"/>
      <c r="AF153" s="116" t="n"/>
      <c r="AG153" s="116" t="n"/>
      <c r="AH153" s="39" t="n"/>
      <c r="AI153" s="116" t="n"/>
      <c r="AJ153" s="116" t="n"/>
      <c r="AK153" s="116" t="n"/>
      <c r="AL153" s="116" t="n"/>
      <c r="AM153" s="108" t="n"/>
      <c r="AN153" s="108" t="n"/>
      <c r="AO153" s="108" t="n"/>
      <c r="AP153" s="108" t="n"/>
      <c r="AQ153" s="108" t="n"/>
      <c r="AR153" s="108" t="n"/>
      <c r="AS153" s="117" t="n"/>
      <c r="AT153" s="112" t="n"/>
      <c r="AU153" s="118" t="inlineStr">
        <is>
          <t>N</t>
        </is>
      </c>
      <c r="AV153" s="118" t="inlineStr">
        <is>
          <t>none</t>
        </is>
      </c>
      <c r="AW153" s="124" t="n"/>
      <c r="AX153" s="124" t="n"/>
      <c r="AY153" s="118" t="inlineStr">
        <is>
          <t>none</t>
        </is>
      </c>
      <c r="AZ153" s="118" t="inlineStr">
        <is>
          <t>N</t>
        </is>
      </c>
      <c r="BA153" s="118" t="inlineStr">
        <is>
          <t>2026-10-13 23:37:03</t>
        </is>
      </c>
      <c r="BB153" s="120" t="inlineStr">
        <is>
          <t>Not live in 2025</t>
        </is>
      </c>
      <c r="BC153" s="125" t="n"/>
      <c r="BD153" s="124" t="n"/>
      <c r="BE153" s="124" t="n"/>
      <c r="BF153" s="110">
        <f>IF(AND(ISNUMBER(BD153),ISNUMBER(BE153),N(BD153)&gt;0),1-BE153/BD153,"")</f>
        <v/>
      </c>
      <c r="BG153" s="126" t="n"/>
      <c r="BH153" s="126" t="n"/>
      <c r="BI153" s="123">
        <f>IF(AND(ISNUMBER(BG153),ISNUMBER(BH153),N(BH153)&gt;0),BG153/BH153,"")</f>
        <v/>
      </c>
      <c r="BJ153" s="125" t="n"/>
      <c r="BK153" s="125" t="n"/>
    </row>
    <row r="154" ht="62" customHeight="1">
      <c r="A154" s="12">
        <f>_xlfn.IMAGE("https://m.media-amazon.com/images/I/619JGLN3FDL._AC_SL1080_.jpg")</f>
        <v/>
      </c>
      <c r="B154" s="105" t="inlineStr">
        <is>
          <t>Vesta</t>
        </is>
      </c>
      <c r="C154" s="39" t="inlineStr">
        <is>
          <t>Vesta Sheet Set – Soft, Breathable &amp; Cooling, 100% Viscose Derived from Bamboo,</t>
        </is>
      </c>
      <c r="D154" s="105" t="inlineStr">
        <is>
          <t>Poor</t>
        </is>
      </c>
      <c r="E154" s="106" t="inlineStr">
        <is>
          <t>Direct</t>
        </is>
      </c>
      <c r="F154" s="105" t="inlineStr">
        <is>
          <t>Bamboo viscose</t>
        </is>
      </c>
      <c r="G154" s="39" t="inlineStr">
        <is>
          <t>Same product (sheet set) in the same material family: Bamboo viscose (product page material: viscose from bamboo); ours: our listing: viscose from bamboo.</t>
        </is>
      </c>
      <c r="H154" s="107" t="inlineStr">
        <is>
          <t>B0CZRJY68B</t>
        </is>
      </c>
      <c r="I154" s="107" t="inlineStr">
        <is>
          <t>B0DM214YG3</t>
        </is>
      </c>
      <c r="J154" s="105" t="inlineStr">
        <is>
          <t>King/Cali King</t>
        </is>
      </c>
      <c r="K154" s="105" t="inlineStr">
        <is>
          <t>Terra Cotta</t>
        </is>
      </c>
      <c r="L154" s="108" t="n"/>
      <c r="M154" s="39" t="inlineStr"/>
      <c r="N154" s="109" t="n">
        <v>174.3</v>
      </c>
      <c r="O154" s="109" t="n"/>
      <c r="P154" s="110">
        <f>IF(AND(ISNUMBER(O154),ISNUMBER(N154),N(N154)&gt;0),O154/N154-1,"")</f>
        <v/>
      </c>
      <c r="Q154" s="111">
        <f>IF(P154="","No List Price",IF(P154&lt;=0,"At/below price",IF(P154&lt;=0.12,"&lt;=12% STR zone",IF(P154&lt;=0.25,"12-25%","&gt;25% over"))))</f>
        <v/>
      </c>
      <c r="R154" s="109" t="n">
        <v>69.98999999999999</v>
      </c>
      <c r="S154" s="112">
        <f>IF(AND(ISNUMBER(N154),ISNUMBER(R154),N(R154)&gt;0),N154/R154-1,"")</f>
        <v/>
      </c>
      <c r="T154" s="39" t="inlineStr">
        <is>
          <t>Same size (King). Ours live: catalog price, 2026-10-13; 5 children</t>
        </is>
      </c>
      <c r="U154" s="108" t="n">
        <v>591414</v>
      </c>
      <c r="V154" s="108" t="n">
        <v>5</v>
      </c>
      <c r="W154" s="113">
        <f>IF(AND(ISNUMBER(N154),ISNUMBER(V154)),N154*V154*52/12,"")</f>
        <v/>
      </c>
      <c r="X154" s="114" t="n">
        <v>4.3</v>
      </c>
      <c r="Y154" s="108" t="n">
        <v>35</v>
      </c>
      <c r="Z154" s="115" t="n">
        <v>46307</v>
      </c>
      <c r="AA154" s="115" t="n"/>
      <c r="AB154" s="105" t="n"/>
      <c r="AC154" s="105" t="n"/>
      <c r="AD154" s="108" t="n"/>
      <c r="AE154" s="108" t="n"/>
      <c r="AF154" s="116" t="n"/>
      <c r="AG154" s="116" t="n"/>
      <c r="AH154" s="39" t="n"/>
      <c r="AI154" s="116" t="n"/>
      <c r="AJ154" s="116" t="n"/>
      <c r="AK154" s="116" t="n"/>
      <c r="AL154" s="116" t="n"/>
      <c r="AM154" s="108" t="n"/>
      <c r="AN154" s="108" t="n"/>
      <c r="AO154" s="108" t="n"/>
      <c r="AP154" s="108" t="n"/>
      <c r="AQ154" s="108" t="n"/>
      <c r="AR154" s="108" t="n"/>
      <c r="AS154" s="117" t="n"/>
      <c r="AT154" s="112" t="n"/>
      <c r="AU154" s="118" t="inlineStr">
        <is>
          <t>N</t>
        </is>
      </c>
      <c r="AV154" s="118" t="inlineStr">
        <is>
          <t>none</t>
        </is>
      </c>
      <c r="AW154" s="124" t="n"/>
      <c r="AX154" s="119" t="n">
        <v>174.3</v>
      </c>
      <c r="AY154" s="118" t="inlineStr">
        <is>
          <t>none</t>
        </is>
      </c>
      <c r="AZ154" s="118" t="inlineStr">
        <is>
          <t>Y</t>
        </is>
      </c>
      <c r="BA154" s="118" t="inlineStr">
        <is>
          <t>2026-10-13 23:37:06</t>
        </is>
      </c>
      <c r="BB154" s="120" t="inlineStr">
        <is>
          <t>None</t>
        </is>
      </c>
      <c r="BC154" s="125" t="n"/>
      <c r="BD154" s="121" t="n">
        <v>174.3</v>
      </c>
      <c r="BE154" s="121" t="n">
        <v>174.3</v>
      </c>
      <c r="BF154" s="110">
        <f>IF(AND(ISNUMBER(BD154),ISNUMBER(BE154),N(BD154)&gt;0),1-BE154/BD154,"")</f>
        <v/>
      </c>
      <c r="BG154" s="122" t="n">
        <v>1047082</v>
      </c>
      <c r="BH154" s="122" t="n">
        <v>909398</v>
      </c>
      <c r="BI154" s="123">
        <f>IF(AND(ISNUMBER(BG154),ISNUMBER(BH154),N(BH154)&gt;0),BG154/BH154,"")</f>
        <v/>
      </c>
      <c r="BJ154" s="120" t="inlineStr">
        <is>
          <t>N</t>
        </is>
      </c>
      <c r="BK154" s="120" t="inlineStr">
        <is>
          <t>List Price $174.30</t>
        </is>
      </c>
    </row>
    <row r="155" ht="62" customHeight="1">
      <c r="A155" s="12">
        <f>_xlfn.IMAGE("https://images-na.ssl-images-amazon.com/images/I/81fSDKgL-SL.jpg")</f>
        <v/>
      </c>
      <c r="B155" s="105" t="inlineStr">
        <is>
          <t>ACCURATEX</t>
        </is>
      </c>
      <c r="C155" s="39" t="inlineStr">
        <is>
          <t>ACCURATEX Cooling Sheets for Hot Sleepers, King Size, Grey</t>
        </is>
      </c>
      <c r="D155" s="105" t="inlineStr">
        <is>
          <t>Poor</t>
        </is>
      </c>
      <c r="E155" s="127" t="inlineStr">
        <is>
          <t>Material not verified</t>
        </is>
      </c>
      <c r="F155" s="105" t="n"/>
      <c r="G155" s="39" t="inlineStr">
        <is>
          <t>Sheet set like ours, but the material is not stated (material not stated on the page or in the title); verify before treating as direct.</t>
        </is>
      </c>
      <c r="H155" s="107" t="inlineStr">
        <is>
          <t>B0GMGSMLQ1</t>
        </is>
      </c>
      <c r="I155" s="107" t="inlineStr">
        <is>
          <t>B09PYB9C45</t>
        </is>
      </c>
      <c r="J155" s="105" t="inlineStr">
        <is>
          <t>King</t>
        </is>
      </c>
      <c r="K155" s="105" t="inlineStr">
        <is>
          <t>Grey</t>
        </is>
      </c>
      <c r="L155" s="108" t="n">
        <v>51</v>
      </c>
      <c r="M155" s="39" t="inlineStr"/>
      <c r="N155" s="109" t="n">
        <v>69.98999999999999</v>
      </c>
      <c r="O155" s="109" t="n"/>
      <c r="P155" s="110">
        <f>IF(AND(ISNUMBER(O155),ISNUMBER(N155),N(N155)&gt;0),O155/N155-1,"")</f>
        <v/>
      </c>
      <c r="Q155" s="111">
        <f>IF(P155="","No List Price",IF(P155&lt;=0,"At/below price",IF(P155&lt;=0.12,"&lt;=12% STR zone",IF(P155&lt;=0.25,"12-25%","&gt;25% over"))))</f>
        <v/>
      </c>
      <c r="R155" s="109" t="n">
        <v>69.98999999999999</v>
      </c>
      <c r="S155" s="112">
        <f>IF(AND(ISNUMBER(N155),ISNUMBER(R155),N(R155)&gt;0),N155/R155-1,"")</f>
        <v/>
      </c>
      <c r="T155" s="39" t="inlineStr">
        <is>
          <t>Same size (King). Ours live: catalog price, 2026-10-13; 5 children</t>
        </is>
      </c>
      <c r="U155" s="108" t="n">
        <v>33423</v>
      </c>
      <c r="V155" s="108" t="n">
        <v>35</v>
      </c>
      <c r="W155" s="113">
        <f>IF(AND(ISNUMBER(N155),ISNUMBER(V155)),N155*V155*52/12,"")</f>
        <v/>
      </c>
      <c r="X155" s="114" t="n">
        <v>4.4</v>
      </c>
      <c r="Y155" s="108" t="n">
        <v>1040</v>
      </c>
      <c r="Z155" s="115" t="n">
        <v>46307</v>
      </c>
      <c r="AA155" s="115" t="n">
        <v>44681</v>
      </c>
      <c r="AB155" s="105" t="inlineStr">
        <is>
          <t>FBA</t>
        </is>
      </c>
      <c r="AC155" s="105" t="inlineStr">
        <is>
          <t>CN</t>
        </is>
      </c>
      <c r="AD155" s="108" t="n"/>
      <c r="AE155" s="108" t="n"/>
      <c r="AF155" s="116" t="n"/>
      <c r="AG155" s="116" t="n"/>
      <c r="AH155" s="39" t="n"/>
      <c r="AI155" s="116" t="n"/>
      <c r="AJ155" s="116" t="n"/>
      <c r="AK155" s="116" t="n"/>
      <c r="AL155" s="116" t="n"/>
      <c r="AM155" s="108" t="n"/>
      <c r="AN155" s="108" t="n"/>
      <c r="AO155" s="108" t="n"/>
      <c r="AP155" s="108" t="n"/>
      <c r="AQ155" s="108" t="n"/>
      <c r="AR155" s="108" t="n"/>
      <c r="AS155" s="117" t="n"/>
      <c r="AT155" s="112" t="n"/>
      <c r="AU155" s="118" t="inlineStr">
        <is>
          <t>N</t>
        </is>
      </c>
      <c r="AV155" s="118" t="inlineStr">
        <is>
          <t>none</t>
        </is>
      </c>
      <c r="AW155" s="124" t="n"/>
      <c r="AX155" s="119" t="n">
        <v>69.98999999999999</v>
      </c>
      <c r="AY155" s="118" t="inlineStr">
        <is>
          <t>none</t>
        </is>
      </c>
      <c r="AZ155" s="118" t="inlineStr">
        <is>
          <t>Y</t>
        </is>
      </c>
      <c r="BA155" s="118" t="inlineStr">
        <is>
          <t>2026-10-13 23:35:28</t>
        </is>
      </c>
      <c r="BB155" s="120" t="inlineStr">
        <is>
          <t>Prime Exclusive Discount</t>
        </is>
      </c>
      <c r="BC155" s="120" t="inlineStr">
        <is>
          <t>11-26 to 12-01</t>
        </is>
      </c>
      <c r="BD155" s="121" t="n">
        <v>59.49</v>
      </c>
      <c r="BE155" s="121" t="n">
        <v>59.49</v>
      </c>
      <c r="BF155" s="110">
        <f>IF(AND(ISNUMBER(BD155),ISNUMBER(BE155),N(BD155)&gt;0),1-BE155/BD155,"")</f>
        <v/>
      </c>
      <c r="BG155" s="122" t="n">
        <v>33899</v>
      </c>
      <c r="BH155" s="122" t="n">
        <v>51988</v>
      </c>
      <c r="BI155" s="123">
        <f>IF(AND(ISNUMBER(BG155),ISNUMBER(BH155),N(BH155)&gt;0),BG155/BH155,"")</f>
        <v/>
      </c>
      <c r="BJ155" s="120" t="inlineStr">
        <is>
          <t>N</t>
        </is>
      </c>
      <c r="BK155" s="120" t="inlineStr">
        <is>
          <t>Lightning Deal 11-13 to 11-13; Buy Box RAISED in BFCM week (median $74.99 vs $69.99 before); List Price $74.99</t>
        </is>
      </c>
    </row>
    <row r="156"/>
    <row r="157" ht="22" customHeight="1">
      <c r="A157" s="65" t="inlineStr">
        <is>
          <t>5 ▼</t>
        </is>
      </c>
      <c r="B157" s="66" t="inlineStr">
        <is>
          <t>WHAT THIS MEANS FOR BFCM</t>
        </is>
      </c>
      <c r="C157" s="67"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c r="AC157" s="67" t="n"/>
      <c r="AD157" s="67" t="n"/>
      <c r="AE157" s="67" t="n"/>
      <c r="AF157" s="67" t="n"/>
      <c r="AG157" s="67" t="n"/>
      <c r="AH157" s="67" t="n"/>
      <c r="AI157" s="67" t="n"/>
      <c r="AJ157" s="67" t="n"/>
      <c r="AK157" s="67" t="n"/>
      <c r="AL157" s="67" t="n"/>
      <c r="AM157" s="67" t="n"/>
      <c r="AN157" s="67" t="n"/>
      <c r="AO157" s="67" t="n"/>
      <c r="AP157" s="67" t="n"/>
      <c r="AQ157" s="67" t="n"/>
      <c r="AR157" s="67" t="n"/>
      <c r="AS157" s="67" t="n"/>
      <c r="AT157" s="67" t="n"/>
      <c r="AU157" s="67" t="n"/>
      <c r="AV157" s="67" t="n"/>
      <c r="AW157" s="67" t="n"/>
      <c r="AX157" s="67" t="n"/>
      <c r="AY157" s="67" t="n"/>
      <c r="AZ157" s="67" t="n"/>
      <c r="BA157" s="67" t="n"/>
      <c r="BB157" s="67" t="n"/>
      <c r="BC157" s="67" t="n"/>
      <c r="BD157" s="67" t="n"/>
      <c r="BE157" s="67" t="n"/>
      <c r="BF157" s="67" t="n"/>
      <c r="BG157" s="67" t="n"/>
      <c r="BH157" s="67" t="n"/>
      <c r="BI157" s="67" t="n"/>
      <c r="BJ157" s="67" t="n"/>
      <c r="BK157" s="67" t="n"/>
    </row>
    <row r="158" ht="30" customHeight="1">
      <c r="A158" s="129" t="inlineStr">
        <is>
          <t>• Who sells most: Pure Bamboo ~809/wk at $109.99; Hotel Sheets Direct ~347/wk at $79.99; KRIMANO ~185/wk at $79.99; Bambaw ~104/wk at $89.99; Bedsure ~104/wk at $89.99 (List $119.99, +33%). Tracked rivals ~2,409 units/wk; we sell ~23/wk (0.9% of the tracked set).</t>
        </is>
      </c>
    </row>
    <row r="159" ht="18" customHeight="1">
      <c r="A159" s="129" t="inlineStr">
        <is>
          <t>• Strikethrough: 7 of 30 rivals set a List Price above price; 1 within 12%: AiAngu +7%.</t>
        </is>
      </c>
    </row>
    <row r="160" ht="30" customHeight="1">
      <c r="A160" s="129" t="inlineStr">
        <is>
          <t>• Price: 9 of 30 rivals sit below our price today (same size where the title states one). Cheapest strong rivals: BAMPURE $37.99, DOZ by SIJO $55.00, SONORO KATE $59.99, BAMPURE $67.98.</t>
        </is>
      </c>
    </row>
    <row r="161" ht="30" customHeight="1">
      <c r="A161" s="129" t="inlineStr">
        <is>
          <t>• Strikethrough on the page today (Oct 13 check): 8 of 30 checked rivals show one: Bedsure List Price $119.99 vs $89.99 (+33%), BAMPURE List Price $99.99 vs $67.98 (+47%) with deal, AiAngu List Price $79.99 vs $74.99 (+7%), Cariloha List Price $119.00 vs $107.10 (+11%), DREAMCARE List Price $59.99 vs $46.74 (+28%) with deal, HOT SLEEPER SHEETS Typical price $62.99 vs $51.29 (+23%) with deal.</t>
        </is>
      </c>
    </row>
    <row r="162" ht="30" customHeight="1">
      <c r="A162" s="129" t="inlineStr">
        <is>
          <t>• Search: we lose most shared keywords to Pure Bamboo (we win 14, lose 407), BC BELLA COTERIE (we win 21, lose 390), Bedsure (we win 21, lose 375). Biggest ad gaps (they advertise where we don't or harder): Pure Bamboo 3,784 + 10 KWs, Bedsure 2,450 + 14 KWs, BC BELLA COTERIE 2,437 + 11 KWs.</t>
        </is>
      </c>
    </row>
    <row r="163" ht="30" customHeight="1">
      <c r="A163" s="129" t="inlineStr">
        <is>
          <t>• Brand ads: Pure Bamboo (SB 82%, SBV 88%), Bedsure (SB 98%, SBV 53%), BC BELLA COTERIE (SB 57%, SBV 56%) hold Sponsored Brands / video on most of their traffic - the plan has our SB, SBV and display live by Nov 1.</t>
        </is>
      </c>
    </row>
    <row r="164" ht="18" customHeight="1">
      <c r="A164" s="129" t="inlineStr">
        <is>
          <t>• Our BFCM 2025: 1.20x daily sales in BFCM week vs the 30 days before; TACoS 18.7% vs 35.5% before; December 2.27x.</t>
        </is>
      </c>
    </row>
    <row r="165" ht="18" customHeight="1">
      <c r="A165" s="129" t="inlineStr">
        <is>
          <t>• Prime Day 2026: our organic visibility 0.20x vs rivals' median 1.31x (n=9) - rivals gained more event visibility than we did.</t>
        </is>
      </c>
    </row>
    <row r="166" ht="30" customHeight="1">
      <c r="A166" s="129" t="inlineStr">
        <is>
          <t>• BFCM 2025, 26 rivals with price history history: Prime Exclusive Discount 13, None 8, Price cut only 4, Coupon only 1. Median depth vs their Nov 1-19 price 14%; median BSR lift 1.17x. 6 raised their Buy Box in BFCM week, so their deal looked deeper than it was.</t>
        </is>
      </c>
    </row>
  </sheetData>
  <autoFilter ref="B125:BK155"/>
  <mergeCells count="69">
    <mergeCell ref="A108:C108"/>
    <mergeCell ref="BB124:BK124"/>
    <mergeCell ref="A166:BK166"/>
    <mergeCell ref="L5:Q5"/>
    <mergeCell ref="Q11:T11"/>
    <mergeCell ref="L8:Q8"/>
    <mergeCell ref="A105:C105"/>
    <mergeCell ref="A119:BK119"/>
    <mergeCell ref="L4:Q4"/>
    <mergeCell ref="D7:I7"/>
    <mergeCell ref="A13:D13"/>
    <mergeCell ref="A104:C104"/>
    <mergeCell ref="I13:L13"/>
    <mergeCell ref="N124:Z124"/>
    <mergeCell ref="A162:BK162"/>
    <mergeCell ref="A124:K124"/>
    <mergeCell ref="D4:I4"/>
    <mergeCell ref="L10:Q10"/>
    <mergeCell ref="E12:H12"/>
    <mergeCell ref="Q13:T13"/>
    <mergeCell ref="AA124:AC124"/>
    <mergeCell ref="D9:I9"/>
    <mergeCell ref="U12:X12"/>
    <mergeCell ref="L9:Q9"/>
    <mergeCell ref="Q12:T12"/>
    <mergeCell ref="A118:BK118"/>
    <mergeCell ref="A11:D11"/>
    <mergeCell ref="A109:C109"/>
    <mergeCell ref="A120:BK120"/>
    <mergeCell ref="A158:BK158"/>
    <mergeCell ref="I11:L11"/>
    <mergeCell ref="A164:BK164"/>
    <mergeCell ref="D8:I8"/>
    <mergeCell ref="L6:Q6"/>
    <mergeCell ref="A4:B9"/>
    <mergeCell ref="A163:BK163"/>
    <mergeCell ref="T6:Y6"/>
    <mergeCell ref="A102:C102"/>
    <mergeCell ref="A113:BK113"/>
    <mergeCell ref="D5:I5"/>
    <mergeCell ref="A160:BK160"/>
    <mergeCell ref="M11:P11"/>
    <mergeCell ref="A116:BK116"/>
    <mergeCell ref="AD124:AT124"/>
    <mergeCell ref="U11:X11"/>
    <mergeCell ref="A159:BK159"/>
    <mergeCell ref="E13:H13"/>
    <mergeCell ref="D10:I10"/>
    <mergeCell ref="L7:Q7"/>
    <mergeCell ref="T5:Y5"/>
    <mergeCell ref="A107:C107"/>
    <mergeCell ref="AU124:BA124"/>
    <mergeCell ref="A103:C103"/>
    <mergeCell ref="A165:BK165"/>
    <mergeCell ref="A12:D12"/>
    <mergeCell ref="M13:P13"/>
    <mergeCell ref="A110:C110"/>
    <mergeCell ref="I12:L12"/>
    <mergeCell ref="U13:X13"/>
    <mergeCell ref="A112:BK112"/>
    <mergeCell ref="A115:BK115"/>
    <mergeCell ref="A161:BK161"/>
    <mergeCell ref="M12:P12"/>
    <mergeCell ref="T4:Y4"/>
    <mergeCell ref="A117:BK117"/>
    <mergeCell ref="D6:I6"/>
    <mergeCell ref="A111:BK111"/>
    <mergeCell ref="E11:H11"/>
    <mergeCell ref="A114:BK114"/>
  </mergeCells>
  <conditionalFormatting sqref="Q126:Q155">
    <cfRule type="expression" priority="1" dxfId="1">
      <formula>Q126="&lt;=12% STR zone"</formula>
    </cfRule>
  </conditionalFormatting>
  <conditionalFormatting sqref="Z126:Z155">
    <cfRule type="expression" priority="2" dxfId="0">
      <formula>AND(ISNUMBER(Z126),Z126&lt;DATE(2026,10,6))</formula>
    </cfRule>
  </conditionalFormatting>
  <conditionalFormatting sqref="T126:T155">
    <cfRule type="expression" priority="3" dxfId="0">
      <formula>ISNUMBER(SEARCH("STALE",T126))</formula>
    </cfRule>
  </conditionalFormatting>
  <conditionalFormatting sqref="S126:S155">
    <cfRule type="expression" priority="4" dxfId="0">
      <formula>AND(ISNUMBER(S126),S126&lt;0)</formula>
    </cfRule>
  </conditionalFormatting>
  <dataValidations count="3">
    <dataValidation sqref="AU126:AU155 BJ126:BJ155" showDropDown="0" showInputMessage="0" showErrorMessage="0" allowBlank="1" type="list">
      <formula1>"Y,N"</formula1>
    </dataValidation>
    <dataValidation sqref="AV126:AV155" showDropDown="0" showInputMessage="0" showErrorMessage="0" allowBlank="1" type="list">
      <formula1>"List Price,Typical price,Was price,None"</formula1>
    </dataValidation>
    <dataValidation sqref="BB126:BB155"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B6'!A3" display="1 Our product ↓"/>
    <hyperlink ref="D2" location="'US SL B6'!A15" display="2 Our variations ↓"/>
    <hyperlink ref="E2" location="'US SL B6'!A101" display="3 Our BFCM 2025 ↓"/>
    <hyperlink ref="F2" location="'US SL B6'!A122" display="4 COMPETITORS (30 mapped) ↓"/>
    <hyperlink ref="G2" location="'US SL B6'!A157" display="5 What it means ↓"/>
    <hyperlink xmlns:r="http://schemas.openxmlformats.org/officeDocument/2006/relationships" ref="H126" r:id="rId1"/>
    <hyperlink xmlns:r="http://schemas.openxmlformats.org/officeDocument/2006/relationships" ref="I126" r:id="rId2"/>
    <hyperlink xmlns:r="http://schemas.openxmlformats.org/officeDocument/2006/relationships" ref="H127" r:id="rId3"/>
    <hyperlink xmlns:r="http://schemas.openxmlformats.org/officeDocument/2006/relationships" ref="I127" r:id="rId4"/>
    <hyperlink xmlns:r="http://schemas.openxmlformats.org/officeDocument/2006/relationships" ref="H128" r:id="rId5"/>
    <hyperlink xmlns:r="http://schemas.openxmlformats.org/officeDocument/2006/relationships" ref="I128" r:id="rId6"/>
    <hyperlink xmlns:r="http://schemas.openxmlformats.org/officeDocument/2006/relationships" ref="H129" r:id="rId7"/>
    <hyperlink xmlns:r="http://schemas.openxmlformats.org/officeDocument/2006/relationships" ref="I129" r:id="rId8"/>
    <hyperlink xmlns:r="http://schemas.openxmlformats.org/officeDocument/2006/relationships" ref="H130" r:id="rId9"/>
    <hyperlink xmlns:r="http://schemas.openxmlformats.org/officeDocument/2006/relationships" ref="I130" r:id="rId10"/>
    <hyperlink xmlns:r="http://schemas.openxmlformats.org/officeDocument/2006/relationships" ref="H131" r:id="rId11"/>
    <hyperlink xmlns:r="http://schemas.openxmlformats.org/officeDocument/2006/relationships" ref="I131" r:id="rId12"/>
    <hyperlink xmlns:r="http://schemas.openxmlformats.org/officeDocument/2006/relationships" ref="H132" r:id="rId13"/>
    <hyperlink xmlns:r="http://schemas.openxmlformats.org/officeDocument/2006/relationships" ref="I132" r:id="rId14"/>
    <hyperlink xmlns:r="http://schemas.openxmlformats.org/officeDocument/2006/relationships" ref="H133" r:id="rId15"/>
    <hyperlink xmlns:r="http://schemas.openxmlformats.org/officeDocument/2006/relationships" ref="I133" r:id="rId16"/>
    <hyperlink xmlns:r="http://schemas.openxmlformats.org/officeDocument/2006/relationships" ref="H134" r:id="rId17"/>
    <hyperlink xmlns:r="http://schemas.openxmlformats.org/officeDocument/2006/relationships" ref="I134" r:id="rId18"/>
    <hyperlink xmlns:r="http://schemas.openxmlformats.org/officeDocument/2006/relationships" ref="H135" r:id="rId19"/>
    <hyperlink xmlns:r="http://schemas.openxmlformats.org/officeDocument/2006/relationships" ref="I135" r:id="rId20"/>
    <hyperlink xmlns:r="http://schemas.openxmlformats.org/officeDocument/2006/relationships" ref="H136" r:id="rId21"/>
    <hyperlink xmlns:r="http://schemas.openxmlformats.org/officeDocument/2006/relationships" ref="I136" r:id="rId22"/>
    <hyperlink xmlns:r="http://schemas.openxmlformats.org/officeDocument/2006/relationships" ref="H137" r:id="rId23"/>
    <hyperlink xmlns:r="http://schemas.openxmlformats.org/officeDocument/2006/relationships" ref="I137" r:id="rId24"/>
    <hyperlink xmlns:r="http://schemas.openxmlformats.org/officeDocument/2006/relationships" ref="H138" r:id="rId25"/>
    <hyperlink xmlns:r="http://schemas.openxmlformats.org/officeDocument/2006/relationships" ref="I138" r:id="rId26"/>
    <hyperlink xmlns:r="http://schemas.openxmlformats.org/officeDocument/2006/relationships" ref="H139" r:id="rId27"/>
    <hyperlink xmlns:r="http://schemas.openxmlformats.org/officeDocument/2006/relationships" ref="I139" r:id="rId28"/>
    <hyperlink xmlns:r="http://schemas.openxmlformats.org/officeDocument/2006/relationships" ref="H140" r:id="rId29"/>
    <hyperlink xmlns:r="http://schemas.openxmlformats.org/officeDocument/2006/relationships" ref="I140" r:id="rId30"/>
    <hyperlink xmlns:r="http://schemas.openxmlformats.org/officeDocument/2006/relationships" ref="H141" r:id="rId31"/>
    <hyperlink xmlns:r="http://schemas.openxmlformats.org/officeDocument/2006/relationships" ref="I141" r:id="rId32"/>
    <hyperlink xmlns:r="http://schemas.openxmlformats.org/officeDocument/2006/relationships" ref="H142" r:id="rId33"/>
    <hyperlink xmlns:r="http://schemas.openxmlformats.org/officeDocument/2006/relationships" ref="I142" r:id="rId34"/>
    <hyperlink xmlns:r="http://schemas.openxmlformats.org/officeDocument/2006/relationships" ref="H143" r:id="rId35"/>
    <hyperlink xmlns:r="http://schemas.openxmlformats.org/officeDocument/2006/relationships" ref="I143" r:id="rId36"/>
    <hyperlink xmlns:r="http://schemas.openxmlformats.org/officeDocument/2006/relationships" ref="H144" r:id="rId37"/>
    <hyperlink xmlns:r="http://schemas.openxmlformats.org/officeDocument/2006/relationships" ref="I144" r:id="rId38"/>
    <hyperlink xmlns:r="http://schemas.openxmlformats.org/officeDocument/2006/relationships" ref="H145" r:id="rId39"/>
    <hyperlink xmlns:r="http://schemas.openxmlformats.org/officeDocument/2006/relationships" ref="I145" r:id="rId40"/>
    <hyperlink xmlns:r="http://schemas.openxmlformats.org/officeDocument/2006/relationships" ref="H146" r:id="rId41"/>
    <hyperlink xmlns:r="http://schemas.openxmlformats.org/officeDocument/2006/relationships" ref="I146" r:id="rId42"/>
    <hyperlink xmlns:r="http://schemas.openxmlformats.org/officeDocument/2006/relationships" ref="H147" r:id="rId43"/>
    <hyperlink xmlns:r="http://schemas.openxmlformats.org/officeDocument/2006/relationships" ref="I147" r:id="rId44"/>
    <hyperlink xmlns:r="http://schemas.openxmlformats.org/officeDocument/2006/relationships" ref="H148" r:id="rId45"/>
    <hyperlink xmlns:r="http://schemas.openxmlformats.org/officeDocument/2006/relationships" ref="I148" r:id="rId46"/>
    <hyperlink xmlns:r="http://schemas.openxmlformats.org/officeDocument/2006/relationships" ref="H149" r:id="rId47"/>
    <hyperlink xmlns:r="http://schemas.openxmlformats.org/officeDocument/2006/relationships" ref="I149" r:id="rId48"/>
    <hyperlink xmlns:r="http://schemas.openxmlformats.org/officeDocument/2006/relationships" ref="H150" r:id="rId49"/>
    <hyperlink xmlns:r="http://schemas.openxmlformats.org/officeDocument/2006/relationships" ref="I150" r:id="rId50"/>
    <hyperlink xmlns:r="http://schemas.openxmlformats.org/officeDocument/2006/relationships" ref="H151" r:id="rId51"/>
    <hyperlink xmlns:r="http://schemas.openxmlformats.org/officeDocument/2006/relationships" ref="I151" r:id="rId52"/>
    <hyperlink xmlns:r="http://schemas.openxmlformats.org/officeDocument/2006/relationships" ref="H152" r:id="rId53"/>
    <hyperlink xmlns:r="http://schemas.openxmlformats.org/officeDocument/2006/relationships" ref="I152" r:id="rId54"/>
    <hyperlink xmlns:r="http://schemas.openxmlformats.org/officeDocument/2006/relationships" ref="H153" r:id="rId55"/>
    <hyperlink xmlns:r="http://schemas.openxmlformats.org/officeDocument/2006/relationships" ref="I153" r:id="rId56"/>
    <hyperlink xmlns:r="http://schemas.openxmlformats.org/officeDocument/2006/relationships" ref="H154" r:id="rId57"/>
    <hyperlink xmlns:r="http://schemas.openxmlformats.org/officeDocument/2006/relationships" ref="I154" r:id="rId58"/>
    <hyperlink xmlns:r="http://schemas.openxmlformats.org/officeDocument/2006/relationships" ref="H155" r:id="rId59"/>
    <hyperlink xmlns:r="http://schemas.openxmlformats.org/officeDocument/2006/relationships" ref="I155" r:id="rId60"/>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9DC3E6"/>
    <outlinePr summaryBelow="1" summaryRight="1"/>
    <pageSetUpPr/>
  </sheetPr>
  <dimension ref="A1:BK15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Bamboo Sheets 4 Piece · Amazon.com (US) · Bamboo · BFCM role: Not launched yet · Scope: Not launched</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(28 mapped) ↓</t>
        </is>
      </c>
      <c r="G2" s="23" t="inlineStr">
        <is>
          <t>5 What it means ↓</t>
        </is>
      </c>
      <c r="J2" s="131" t="inlineStr">
        <is>
          <t>NOT LAUNCHED YET (confirmed Oct 14, 2026): no live price, rating or sales expected; excluded from the gap counts on Data Check.</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_xlfn.IMAGE("https://m.media-amazon.com/images/I/81ukKa0CsPL._AC_SL1500_.jpg")</f>
        <v/>
      </c>
      <c r="C4" s="13" t="inlineStr">
        <is>
          <t>Title</t>
        </is>
      </c>
      <c r="D4" s="14" t="inlineStr">
        <is>
          <t>SLEEP SANCTUARY 100% Viscose Derived from Bamboo Sheets Twin Size, 4 Pc Set</t>
        </is>
      </c>
      <c r="K4" s="13" t="inlineStr">
        <is>
          <t>Sizes</t>
        </is>
      </c>
      <c r="L4" s="68" t="inlineStr">
        <is>
          <t>California King, Full, King, Queen, Twin</t>
        </is>
      </c>
      <c r="S4" s="13" t="inlineStr">
        <is>
          <t>Break-even ACoS</t>
        </is>
      </c>
      <c r="T4" s="68" t="inlineStr">
        <is>
          <t>29%</t>
        </is>
      </c>
    </row>
    <row r="5" ht="22" customHeight="1">
      <c r="C5" s="13" t="inlineStr">
        <is>
          <t>Brand</t>
        </is>
      </c>
      <c r="D5" s="68" t="inlineStr">
        <is>
          <t>Sleephoria</t>
        </is>
      </c>
      <c r="K5" s="13" t="inlineStr">
        <is>
          <t>Colours</t>
        </is>
      </c>
      <c r="L5" s="68" t="inlineStr">
        <is>
          <t>Black, Burgundy, Charcoal, Creme, Grey, Light Blue, Light Grey, Light Olive, Light Pink, Midgrey, Navy Blue, Olive, Purple, Sage Green, Taupe, White</t>
        </is>
      </c>
      <c r="S5" s="13" t="inlineStr">
        <is>
          <t>Units last 28 days</t>
        </is>
      </c>
      <c r="T5" s="68" t="inlineStr">
        <is>
          <t>2</t>
        </is>
      </c>
    </row>
    <row r="6" ht="22" customHeight="1">
      <c r="C6" s="13" t="inlineStr">
        <is>
          <t>Marketplace</t>
        </is>
      </c>
      <c r="D6" s="68" t="inlineStr">
        <is>
          <t>Amazon.com (US)</t>
        </is>
      </c>
      <c r="K6" s="13" t="inlineStr">
        <is>
          <t>Price now, best child</t>
        </is>
      </c>
      <c r="L6" s="68" t="inlineStr">
        <is>
          <t>$61.99 (catalog price, 2026-10-13)</t>
        </is>
      </c>
      <c r="S6" s="13" t="inlineStr">
        <is>
          <t>market data product ASIN</t>
        </is>
      </c>
      <c r="T6" s="68" t="inlineStr">
        <is>
          <t>B0DDTRVWNR (one of our child ASINs, not the Amazon parent)</t>
        </is>
      </c>
    </row>
    <row r="7" ht="22" customHeight="1">
      <c r="C7" s="13" t="inlineStr">
        <is>
          <t>Parent ASIN (Amazon)</t>
        </is>
      </c>
      <c r="D7" s="68" t="inlineStr">
        <is>
          <t>B0F54RNQPT</t>
        </is>
      </c>
      <c r="K7" s="13" t="inlineStr">
        <is>
          <t>Rating / reviews now</t>
        </is>
      </c>
      <c r="L7" s="68" t="inlineStr">
        <is>
          <t>4.5 / 320 (catalog price, 2026-10-13)</t>
        </is>
      </c>
    </row>
    <row r="8" ht="22" customHeight="1">
      <c r="C8" s="13" t="inlineStr">
        <is>
          <t>Best-selling child ASIN</t>
        </is>
      </c>
      <c r="D8" s="68" t="inlineStr">
        <is>
          <t>B0DDTY5RQX</t>
        </is>
      </c>
      <c r="K8" s="13" t="inlineStr">
        <is>
          <t>Live prices held</t>
        </is>
      </c>
      <c r="L8" s="68" t="inlineStr">
        <is>
          <t>4 of 84 variations</t>
        </is>
      </c>
    </row>
    <row r="9" ht="22" customHeight="1">
      <c r="C9" s="13" t="inlineStr">
        <is>
          <t>Stage</t>
        </is>
      </c>
      <c r="D9" s="68" t="inlineStr">
        <is>
          <t>Production</t>
        </is>
      </c>
      <c r="K9" s="13" t="inlineStr">
        <is>
          <t>Blended price (market data)</t>
        </is>
      </c>
      <c r="L9" s="68" t="inlineStr">
        <is>
          <t>$54.99 - fee feed as of 2026-03-30, STALE</t>
        </is>
      </c>
    </row>
    <row r="10">
      <c r="C10" s="13" t="inlineStr">
        <is>
          <t>Total variations (SKUs)</t>
        </is>
      </c>
      <c r="D10" s="68" t="n">
        <v>84</v>
      </c>
      <c r="K10" s="13" t="inlineStr">
        <is>
          <t>Contribution / unit</t>
        </is>
      </c>
      <c r="L10" s="68" t="inlineStr">
        <is>
          <t>$15.91</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28</t>
        </is>
      </c>
      <c r="Q12" s="70" t="inlineStr">
        <is>
          <t>4</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(84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_xlfn.IMAGE("https://m.media-amazon.com/images/I/81ErpAIAdIL.jpg")</f>
        <v/>
      </c>
      <c r="B18" s="39" t="inlineStr">
        <is>
          <t>B0DDTY5RQX</t>
        </is>
      </c>
      <c r="C18" s="39" t="inlineStr">
        <is>
          <t>SS-BAMBOO-CHARCOAL-TWIN-4PCS</t>
        </is>
      </c>
      <c r="D18" s="39" t="inlineStr">
        <is>
          <t>SLEEP SANCTUARY 100% Viscose Derived from Bamboo Sheets Twin Size, 4 Pc Set</t>
        </is>
      </c>
      <c r="E18" s="39" t="inlineStr">
        <is>
          <t>Twin</t>
        </is>
      </c>
      <c r="F18" s="39" t="inlineStr">
        <is>
          <t>Charcoal</t>
        </is>
      </c>
      <c r="G18" s="73" t="n">
        <v>61.99</v>
      </c>
      <c r="H18" s="39" t="inlineStr">
        <is>
          <t>catalog price, 2026-10-13</t>
        </is>
      </c>
      <c r="I18" s="74" t="n">
        <v>54.99</v>
      </c>
      <c r="J18" s="75" t="inlineStr">
        <is>
          <t>2026-03-30</t>
        </is>
      </c>
      <c r="K18" s="40" t="n">
        <v>15.91</v>
      </c>
      <c r="L18" s="76" t="n">
        <v>0.2893253318785234</v>
      </c>
      <c r="M18" s="77" t="n">
        <v>2</v>
      </c>
      <c r="N18" s="39" t="inlineStr">
        <is>
          <t>Active</t>
        </is>
      </c>
      <c r="O18" s="39" t="n"/>
      <c r="P18" s="78" t="n">
        <v>4.5</v>
      </c>
      <c r="Q18" s="77" t="n">
        <v>320</v>
      </c>
      <c r="R18" s="77" t="n">
        <v>252421</v>
      </c>
      <c r="S18" s="77" t="n">
        <v>0.8569</v>
      </c>
      <c r="T18" s="39" t="n"/>
    </row>
    <row r="19" ht="62" customHeight="1">
      <c r="A19" s="12">
        <f>_xlfn.IMAGE("https://m.media-amazon.com/images/I/71+FTZ6Q2KL.jpg")</f>
        <v/>
      </c>
      <c r="B19" s="39" t="inlineStr">
        <is>
          <t>B0DDTRVWNR</t>
        </is>
      </c>
      <c r="C19" s="39" t="inlineStr">
        <is>
          <t>SS-BAMBOO-BLACK-CALIFKING-4PCS</t>
        </is>
      </c>
      <c r="D19" s="39" t="inlineStr">
        <is>
          <t>SLEEP SANCTUARY 100% Organic Viscose Derived from Bamboo Sheets Cal King Size 4pcs - Ultra Soft &amp; Luxury Cooling, 17" Deep Pocket, Perfect for Hot Sleepers - King Bed Sheets (Black)</t>
        </is>
      </c>
      <c r="E19" s="39" t="inlineStr">
        <is>
          <t>California King</t>
        </is>
      </c>
      <c r="F19" s="39" t="inlineStr">
        <is>
          <t>Black</t>
        </is>
      </c>
      <c r="G19" s="40" t="n"/>
      <c r="H19" s="39" t="n"/>
      <c r="I19" s="40" t="n"/>
      <c r="J19" s="39" t="n"/>
      <c r="K19" s="40" t="n"/>
      <c r="L19" s="76" t="n"/>
      <c r="M19" s="77" t="n"/>
      <c r="N19" s="39" t="inlineStr">
        <is>
          <t>Inactive</t>
        </is>
      </c>
      <c r="O19" s="39" t="n"/>
      <c r="P19" s="78" t="n"/>
      <c r="Q19" s="77" t="n"/>
      <c r="R19" s="77" t="n"/>
      <c r="S19" s="77" t="n"/>
      <c r="T19" s="39" t="n"/>
    </row>
    <row r="20" ht="62" customHeight="1">
      <c r="A20" s="12">
        <f>_xlfn.IMAGE("https://m.media-amazon.com/images/I/71BuSYnrHNL.jpg")</f>
        <v/>
      </c>
      <c r="B20" s="39" t="inlineStr">
        <is>
          <t>B0DDTWPGDJ</t>
        </is>
      </c>
      <c r="C20" s="39" t="inlineStr">
        <is>
          <t>SS-BAMBOO-BURGUNDY-CALIFKING-4PCS</t>
        </is>
      </c>
      <c r="D20" s="39" t="inlineStr">
        <is>
          <t>SLEEP SANCTUARY 100% Organic Viscose Derived from Bamboo Sheets Cal King Size 4pcs - Ultra Soft &amp; Luxuriously Cooling, 17" Deep Pocket, Perfect for Hot Sleepers - King Bed Sheets (Burgundy)</t>
        </is>
      </c>
      <c r="E20" s="39" t="inlineStr">
        <is>
          <t>California King</t>
        </is>
      </c>
      <c r="F20" s="39" t="inlineStr">
        <is>
          <t>Burgundy</t>
        </is>
      </c>
      <c r="G20" s="40" t="n"/>
      <c r="H20" s="39" t="n"/>
      <c r="I20" s="40" t="n"/>
      <c r="J20" s="39" t="n"/>
      <c r="K20" s="40" t="n"/>
      <c r="L20" s="76" t="n"/>
      <c r="M20" s="77" t="n"/>
      <c r="N20" s="39" t="inlineStr">
        <is>
          <t>Inactive</t>
        </is>
      </c>
      <c r="O20" s="39" t="n"/>
      <c r="P20" s="78" t="n"/>
      <c r="Q20" s="77" t="n"/>
      <c r="R20" s="77" t="n"/>
      <c r="S20" s="77" t="n"/>
      <c r="T20" s="39" t="n"/>
    </row>
    <row r="21" ht="62" customHeight="1">
      <c r="A21" s="12">
        <f>_xlfn.IMAGE("https://m.media-amazon.com/images/I/71+zNdSenUL.jpg")</f>
        <v/>
      </c>
      <c r="B21" s="39" t="inlineStr">
        <is>
          <t>B0DDTQ7TZN</t>
        </is>
      </c>
      <c r="C21" s="39" t="inlineStr">
        <is>
          <t>SS-BAMBOO-CHARCOAL-CALIFKING-4PCS</t>
        </is>
      </c>
      <c r="D21" s="39" t="inlineStr">
        <is>
          <t>SLEEP SANCTUARY 100% Organic Viscose Derived from Bamboo Sheets Cal King Size 4pcs - Ultra Soft &amp; Luxuriously Cooling, 17" Deep Pocket, Perfect for Hot Sleepers - King Bed Sheets (Charcoal)</t>
        </is>
      </c>
      <c r="E21" s="39" t="inlineStr">
        <is>
          <t>California King</t>
        </is>
      </c>
      <c r="F21" s="39" t="inlineStr">
        <is>
          <t>Charcoal</t>
        </is>
      </c>
      <c r="G21" s="40" t="n"/>
      <c r="H21" s="39" t="n"/>
      <c r="I21" s="40" t="n"/>
      <c r="J21" s="39" t="n"/>
      <c r="K21" s="40" t="n"/>
      <c r="L21" s="76" t="n"/>
      <c r="M21" s="77" t="n"/>
      <c r="N21" s="39" t="inlineStr">
        <is>
          <t>Inactive</t>
        </is>
      </c>
      <c r="O21" s="39" t="n"/>
      <c r="P21" s="78" t="n"/>
      <c r="Q21" s="77" t="n"/>
      <c r="R21" s="77" t="n"/>
      <c r="S21" s="77" t="n"/>
      <c r="T21" s="39" t="n"/>
    </row>
    <row r="22" ht="62" customHeight="1">
      <c r="A22" s="12">
        <f>_xlfn.IMAGE("https://m.media-amazon.com/images/I/71nRaHeuOvL.jpg")</f>
        <v/>
      </c>
      <c r="B22" s="39" t="inlineStr">
        <is>
          <t>B0DDTT2J8H</t>
        </is>
      </c>
      <c r="C22" s="39" t="inlineStr">
        <is>
          <t>SS-BAMBOO-CREME-CALIFKING-4PCS</t>
        </is>
      </c>
      <c r="D22" s="39" t="inlineStr">
        <is>
          <t>SLEEP SANCTUARY 100% Organic Viscose Derived from Bamboo Sheets Cal King Size 4pcs - Ultra Soft &amp; Luxuriously Cooling, 17" Deep Pocket, Perfect for Hot Sleepers - King Bed Sheets (Creme)</t>
        </is>
      </c>
      <c r="E22" s="39" t="inlineStr">
        <is>
          <t>California King</t>
        </is>
      </c>
      <c r="F22" s="39" t="inlineStr">
        <is>
          <t>Creme</t>
        </is>
      </c>
      <c r="G22" s="40" t="n"/>
      <c r="H22" s="39" t="n"/>
      <c r="I22" s="40" t="n"/>
      <c r="J22" s="39" t="n"/>
      <c r="K22" s="40" t="n"/>
      <c r="L22" s="76" t="n"/>
      <c r="M22" s="77" t="n"/>
      <c r="N22" s="39" t="inlineStr">
        <is>
          <t>Inactive</t>
        </is>
      </c>
      <c r="O22" s="39" t="n"/>
      <c r="P22" s="78" t="n"/>
      <c r="Q22" s="77" t="n"/>
      <c r="R22" s="77" t="n"/>
      <c r="S22" s="77" t="n"/>
      <c r="T22" s="39" t="n"/>
    </row>
    <row r="23" ht="62" customHeight="1">
      <c r="A23" s="12">
        <f>_xlfn.IMAGE("https://m.media-amazon.com/images/I/71k06vLMLsL.jpg")</f>
        <v/>
      </c>
      <c r="B23" s="39" t="inlineStr">
        <is>
          <t>B0DDTVGBFP</t>
        </is>
      </c>
      <c r="C23" s="39" t="inlineStr">
        <is>
          <t>SS-BAMBOO-GREY-CALIFKING-4PCS</t>
        </is>
      </c>
      <c r="D23" s="39" t="inlineStr">
        <is>
          <t>SLEEP SANCTUARY 100% Organic Viscose Derived from Bamboo Sheets Cal King Size 4pcs - Ultra Soft &amp; Luxuriously Cooling, 17" Deep Pocket, Perfect for Hot Sleepers - King Bed Sheets (Grey)</t>
        </is>
      </c>
      <c r="E23" s="39" t="inlineStr">
        <is>
          <t>California King</t>
        </is>
      </c>
      <c r="F23" s="39" t="inlineStr">
        <is>
          <t>Grey</t>
        </is>
      </c>
      <c r="G23" s="40" t="n"/>
      <c r="H23" s="39" t="n"/>
      <c r="I23" s="40" t="n"/>
      <c r="J23" s="39" t="n"/>
      <c r="K23" s="40" t="n"/>
      <c r="L23" s="76" t="n"/>
      <c r="M23" s="77" t="n"/>
      <c r="N23" s="39" t="inlineStr">
        <is>
          <t>Inactive</t>
        </is>
      </c>
      <c r="O23" s="39" t="n"/>
      <c r="P23" s="78" t="n"/>
      <c r="Q23" s="77" t="n"/>
      <c r="R23" s="77" t="n"/>
      <c r="S23" s="77" t="n"/>
      <c r="T23" s="39" t="n"/>
    </row>
    <row r="24" ht="62" customHeight="1">
      <c r="A24" s="12">
        <f>_xlfn.IMAGE("https://m.media-amazon.com/images/I/71pWInfUglL.jpg")</f>
        <v/>
      </c>
      <c r="B24" s="39" t="inlineStr">
        <is>
          <t>B0DDTR5SVW</t>
        </is>
      </c>
      <c r="C24" s="39" t="inlineStr">
        <is>
          <t>SS-BAMBOO-LIGHT-BLUE-CALIFKING-4PCS</t>
        </is>
      </c>
      <c r="D24" s="39" t="inlineStr">
        <is>
          <t>SLEEP SANCTUARY 100% Organic Viscose Derived from Bamboo Sheets Cal King Size 4pcs - Ultra Soft &amp; Luxuriously Cooling, 17" Deep Pocket, Perfect for Hot Sleepers - King Bed Sheets (Light Blue)</t>
        </is>
      </c>
      <c r="E24" s="39" t="inlineStr">
        <is>
          <t>California King</t>
        </is>
      </c>
      <c r="F24" s="39" t="inlineStr">
        <is>
          <t>Light Blue</t>
        </is>
      </c>
      <c r="G24" s="40" t="n"/>
      <c r="H24" s="39" t="n"/>
      <c r="I24" s="40" t="n"/>
      <c r="J24" s="39" t="n"/>
      <c r="K24" s="40" t="n"/>
      <c r="L24" s="76" t="n"/>
      <c r="M24" s="77" t="n"/>
      <c r="N24" s="39" t="inlineStr">
        <is>
          <t>Inactive</t>
        </is>
      </c>
      <c r="O24" s="39" t="n"/>
      <c r="P24" s="78" t="n"/>
      <c r="Q24" s="77" t="n"/>
      <c r="R24" s="77" t="n"/>
      <c r="S24" s="77" t="n"/>
      <c r="T24" s="39" t="n"/>
    </row>
    <row r="25" ht="62" customHeight="1">
      <c r="A25" s="12">
        <f>_xlfn.IMAGE("https://m.media-amazon.com/images/I/71eMJfROqVL.jpg")</f>
        <v/>
      </c>
      <c r="B25" s="39" t="inlineStr">
        <is>
          <t>B0DDTRYN82</t>
        </is>
      </c>
      <c r="C25" s="39" t="inlineStr">
        <is>
          <t>SS-BAMBOO-LIGHT-GREY-CALIFKING-4PCS</t>
        </is>
      </c>
      <c r="D25" s="39" t="inlineStr">
        <is>
          <t>SLEEP SANCTUARY 100% Organic Viscose Derived from Bamboo Sheets Cal King Size 4pcs - Ultra Soft &amp; Luxuriously Cooling, 17" Deep Pocket,Perfect for Hot Sleepers - King Bed Sheets (Light Grey)</t>
        </is>
      </c>
      <c r="E25" s="39" t="inlineStr">
        <is>
          <t>California King</t>
        </is>
      </c>
      <c r="F25" s="39" t="inlineStr">
        <is>
          <t>Light Grey</t>
        </is>
      </c>
      <c r="G25" s="40" t="n"/>
      <c r="H25" s="39" t="n"/>
      <c r="I25" s="40" t="n"/>
      <c r="J25" s="39" t="n"/>
      <c r="K25" s="40" t="n"/>
      <c r="L25" s="76" t="n"/>
      <c r="M25" s="77" t="n"/>
      <c r="N25" s="39" t="inlineStr">
        <is>
          <t>Inactive</t>
        </is>
      </c>
      <c r="O25" s="39" t="n"/>
      <c r="P25" s="78" t="n"/>
      <c r="Q25" s="77" t="n"/>
      <c r="R25" s="77" t="n"/>
      <c r="S25" s="77" t="n"/>
      <c r="T25" s="39" t="n"/>
    </row>
    <row r="26" ht="62" customHeight="1">
      <c r="A26" s="12">
        <f>_xlfn.IMAGE("https://m.media-amazon.com/images/I/71U5cTo5I9L.jpg")</f>
        <v/>
      </c>
      <c r="B26" s="39" t="inlineStr">
        <is>
          <t>B0DDTS12L2</t>
        </is>
      </c>
      <c r="C26" s="39" t="inlineStr">
        <is>
          <t>SS-BAMBOO-LIGHT-OLIVE-CALIFKING-4PCS</t>
        </is>
      </c>
      <c r="D26" s="39" t="inlineStr">
        <is>
          <t>SLEEP SANCTUARY 100% Organic Viscose Derived from Bamboo Sheets Cal King Size 4pcs - Ultra Soft &amp; Luxuriously Cooling,17" Deep Pocket,Perfect for Hot Sleepers - King Bed Sheets (Light Olive)</t>
        </is>
      </c>
      <c r="E26" s="39" t="inlineStr">
        <is>
          <t>California King</t>
        </is>
      </c>
      <c r="F26" s="39" t="inlineStr">
        <is>
          <t>Light Olive</t>
        </is>
      </c>
      <c r="G26" s="40" t="n"/>
      <c r="H26" s="39" t="n"/>
      <c r="I26" s="40" t="n"/>
      <c r="J26" s="39" t="n"/>
      <c r="K26" s="40" t="n"/>
      <c r="L26" s="76" t="n"/>
      <c r="M26" s="77" t="n"/>
      <c r="N26" s="39" t="inlineStr">
        <is>
          <t>Inactive</t>
        </is>
      </c>
      <c r="O26" s="39" t="n"/>
      <c r="P26" s="78" t="n"/>
      <c r="Q26" s="77" t="n"/>
      <c r="R26" s="77" t="n"/>
      <c r="S26" s="77" t="n"/>
      <c r="T26" s="39" t="n"/>
    </row>
    <row r="27" ht="62" customHeight="1">
      <c r="A27" s="12">
        <f>_xlfn.IMAGE("https://m.media-amazon.com/images/I/71ci1kRa35L.jpg")</f>
        <v/>
      </c>
      <c r="B27" s="39" t="inlineStr">
        <is>
          <t>B0DDTR9JN7</t>
        </is>
      </c>
      <c r="C27" s="39" t="inlineStr">
        <is>
          <t>SS-BAMBOO-LIGHT-PINK-CALIFKING-4PCS</t>
        </is>
      </c>
      <c r="D27" s="39" t="inlineStr">
        <is>
          <t>SLEEP SANCTUARY 100% Organic Viscose Derived from Bamboo Sheets Cal King Size 4pcs - Ultra Soft &amp; Luxuriously Cooling, 17" Deep Pocket,Perfect for Hot Sleepers - King Bed Sheets (Light Pink)</t>
        </is>
      </c>
      <c r="E27" s="39" t="inlineStr">
        <is>
          <t>California King</t>
        </is>
      </c>
      <c r="F27" s="39" t="inlineStr">
        <is>
          <t>Light Pink</t>
        </is>
      </c>
      <c r="G27" s="40" t="n"/>
      <c r="H27" s="39" t="n"/>
      <c r="I27" s="40" t="n"/>
      <c r="J27" s="39" t="n"/>
      <c r="K27" s="40" t="n"/>
      <c r="L27" s="76" t="n"/>
      <c r="M27" s="77" t="n"/>
      <c r="N27" s="39" t="inlineStr">
        <is>
          <t>Inactive</t>
        </is>
      </c>
      <c r="O27" s="39" t="n"/>
      <c r="P27" s="78" t="n"/>
      <c r="Q27" s="77" t="n"/>
      <c r="R27" s="77" t="n"/>
      <c r="S27" s="77" t="n"/>
      <c r="T27" s="39" t="n"/>
    </row>
    <row r="28" ht="62" customHeight="1">
      <c r="A28" s="12">
        <f>_xlfn.IMAGE("https://m.media-amazon.com/images/I/71OPRQ64ryL.jpg")</f>
        <v/>
      </c>
      <c r="B28" s="39" t="inlineStr">
        <is>
          <t>B0DDTS2WPM</t>
        </is>
      </c>
      <c r="C28" s="39" t="inlineStr">
        <is>
          <t>SS-BAMBOO-MIDGREY-CALIFKING-4PCS</t>
        </is>
      </c>
      <c r="D28" s="39" t="inlineStr">
        <is>
          <t>SLEEP SANCTUARY 100% Organic Viscose Derived from Bamboo Sheets Cal King Size 4pcs - Ultra Soft &amp; Luxuriously Cooling, 17" Deep Pocket, Perfect for Hot Sleepers - King Bed Sheets (Midgrey)</t>
        </is>
      </c>
      <c r="E28" s="39" t="inlineStr">
        <is>
          <t>California King</t>
        </is>
      </c>
      <c r="F28" s="39" t="inlineStr">
        <is>
          <t>Midgrey</t>
        </is>
      </c>
      <c r="G28" s="40" t="n"/>
      <c r="H28" s="39" t="n"/>
      <c r="I28" s="40" t="n"/>
      <c r="J28" s="39" t="n"/>
      <c r="K28" s="40" t="n"/>
      <c r="L28" s="76" t="n"/>
      <c r="M28" s="77" t="n"/>
      <c r="N28" s="39" t="inlineStr">
        <is>
          <t>Inactive</t>
        </is>
      </c>
      <c r="O28" s="39" t="n"/>
      <c r="P28" s="78" t="n"/>
      <c r="Q28" s="77" t="n"/>
      <c r="R28" s="77" t="n"/>
      <c r="S28" s="77" t="n"/>
      <c r="T28" s="39" t="n"/>
    </row>
    <row r="29" ht="62" customHeight="1">
      <c r="A29" s="12">
        <f>_xlfn.IMAGE("https://m.media-amazon.com/images/I/71GpRh9MZIL.jpg")</f>
        <v/>
      </c>
      <c r="B29" s="39" t="inlineStr">
        <is>
          <t>B0DDTSVFYF</t>
        </is>
      </c>
      <c r="C29" s="39" t="inlineStr">
        <is>
          <t>SS-BAMBOO-NAVY-BLUE-CALIFKING-4PCS</t>
        </is>
      </c>
      <c r="D29" s="39" t="inlineStr">
        <is>
          <t>SLEEP SANCTUARY 100% Organic Viscose Derived from Bamboo Sheets Cal King Size 4pcs - Ultra Soft &amp; Luxuriously Cooling, 17" Deep Pocket,Perfect for Hot Sleepers - King Bed Sheets (Navy Blue)</t>
        </is>
      </c>
      <c r="E29" s="39" t="inlineStr">
        <is>
          <t>California King</t>
        </is>
      </c>
      <c r="F29" s="39" t="inlineStr">
        <is>
          <t>Navy Blue</t>
        </is>
      </c>
      <c r="G29" s="40" t="n"/>
      <c r="H29" s="39" t="n"/>
      <c r="I29" s="40" t="n"/>
      <c r="J29" s="39" t="n"/>
      <c r="K29" s="40" t="n"/>
      <c r="L29" s="76" t="n"/>
      <c r="M29" s="77" t="n"/>
      <c r="N29" s="39" t="inlineStr">
        <is>
          <t>Inactive</t>
        </is>
      </c>
      <c r="O29" s="39" t="n"/>
      <c r="P29" s="78" t="n"/>
      <c r="Q29" s="77" t="n"/>
      <c r="R29" s="77" t="n"/>
      <c r="S29" s="77" t="n"/>
      <c r="T29" s="39" t="n"/>
    </row>
    <row r="30" ht="62" customHeight="1">
      <c r="A30" s="12">
        <f>_xlfn.IMAGE("https://m.media-amazon.com/images/I/71g3UenTI2L.jpg")</f>
        <v/>
      </c>
      <c r="B30" s="39" t="inlineStr">
        <is>
          <t>B0DDTTPQRC</t>
        </is>
      </c>
      <c r="C30" s="39" t="inlineStr">
        <is>
          <t>SS-BAMBOO-OLIVE-CALIFKING-4PCS</t>
        </is>
      </c>
      <c r="D30" s="39" t="inlineStr">
        <is>
          <t>SLEEP SANCTUARY 100% Organic Viscose Derived from Bamboo Sheets Cal King Size 4pcs - Ultra Soft &amp; Luxuriously Cooling, 17" Deep Pocket, Perfect for Hot Sleepers - King Bed Sheets (Olive)</t>
        </is>
      </c>
      <c r="E30" s="39" t="inlineStr">
        <is>
          <t>California King</t>
        </is>
      </c>
      <c r="F30" s="39" t="inlineStr">
        <is>
          <t>Olive</t>
        </is>
      </c>
      <c r="G30" s="40" t="n"/>
      <c r="H30" s="39" t="n"/>
      <c r="I30" s="40" t="n"/>
      <c r="J30" s="39" t="n"/>
      <c r="K30" s="40" t="n"/>
      <c r="L30" s="76" t="n"/>
      <c r="M30" s="77" t="n"/>
      <c r="N30" s="39" t="inlineStr">
        <is>
          <t>Inactive</t>
        </is>
      </c>
      <c r="O30" s="39" t="n"/>
      <c r="P30" s="78" t="n"/>
      <c r="Q30" s="77" t="n"/>
      <c r="R30" s="77" t="n"/>
      <c r="S30" s="77" t="n"/>
      <c r="T30" s="39" t="n"/>
    </row>
    <row r="31" ht="62" customHeight="1">
      <c r="A31" s="12">
        <f>_xlfn.IMAGE("https://m.media-amazon.com/images/I/711EIufga2L.jpg")</f>
        <v/>
      </c>
      <c r="B31" s="39" t="inlineStr">
        <is>
          <t>B0DDTRKDDT</t>
        </is>
      </c>
      <c r="C31" s="39" t="inlineStr">
        <is>
          <t>SS-BAMBOO-PURPLE-CALIFKING-4PCS</t>
        </is>
      </c>
      <c r="D31" s="39" t="inlineStr">
        <is>
          <t>SLEEP SANCTUARY 100% Organic Viscose Derived from Bamboo Sheets Cal King Size 4pcs - Ultra Soft &amp; Luxuriously Cooling, 17" Deep Pocket, Perfect for Hot Sleepers - King Bed Sheets (Purple)</t>
        </is>
      </c>
      <c r="E31" s="39" t="inlineStr">
        <is>
          <t>California King</t>
        </is>
      </c>
      <c r="F31" s="39" t="inlineStr">
        <is>
          <t>Purple</t>
        </is>
      </c>
      <c r="G31" s="40" t="n"/>
      <c r="H31" s="39" t="n"/>
      <c r="I31" s="40" t="n"/>
      <c r="J31" s="39" t="n"/>
      <c r="K31" s="40" t="n"/>
      <c r="L31" s="76" t="n"/>
      <c r="M31" s="77" t="n"/>
      <c r="N31" s="39" t="inlineStr">
        <is>
          <t>Inactive</t>
        </is>
      </c>
      <c r="O31" s="39" t="n"/>
      <c r="P31" s="78" t="n"/>
      <c r="Q31" s="77" t="n"/>
      <c r="R31" s="77" t="n"/>
      <c r="S31" s="77" t="n"/>
      <c r="T31" s="39" t="n"/>
    </row>
    <row r="32" ht="62" customHeight="1">
      <c r="A32" s="12">
        <f>_xlfn.IMAGE("https://m.media-amazon.com/images/I/71NJ4arwSJL.jpg")</f>
        <v/>
      </c>
      <c r="B32" s="39" t="inlineStr">
        <is>
          <t>B0DDTS48BJ</t>
        </is>
      </c>
      <c r="C32" s="39" t="inlineStr">
        <is>
          <t>SS-BAMBOO-SAGE-GREEN-CALIFKING-4PCS</t>
        </is>
      </c>
      <c r="D32" s="39" t="inlineStr">
        <is>
          <t>SLEEP SANCTUARY 100% Organic Viscose Derived from Bamboo Sheets Cal King Size 4pcs - Ultra Soft &amp; Luxuriously Cooling, 17" Deep Pocket,Perfect for Hot Sleepers - King Bed Sheets (Sage Green)</t>
        </is>
      </c>
      <c r="E32" s="39" t="inlineStr">
        <is>
          <t>California King</t>
        </is>
      </c>
      <c r="F32" s="39" t="inlineStr">
        <is>
          <t>Sage Green</t>
        </is>
      </c>
      <c r="G32" s="40" t="n"/>
      <c r="H32" s="39" t="n"/>
      <c r="I32" s="40" t="n"/>
      <c r="J32" s="39" t="n"/>
      <c r="K32" s="40" t="n"/>
      <c r="L32" s="76" t="n"/>
      <c r="M32" s="77" t="n"/>
      <c r="N32" s="39" t="inlineStr">
        <is>
          <t>Inactive</t>
        </is>
      </c>
      <c r="O32" s="39" t="n"/>
      <c r="P32" s="78" t="n"/>
      <c r="Q32" s="77" t="n"/>
      <c r="R32" s="77" t="n"/>
      <c r="S32" s="77" t="n"/>
      <c r="T32" s="39" t="n"/>
    </row>
    <row r="33" ht="62" customHeight="1">
      <c r="A33" s="12">
        <f>_xlfn.IMAGE("https://m.media-amazon.com/images/I/71LuYrkY0CL.jpg")</f>
        <v/>
      </c>
      <c r="B33" s="39" t="inlineStr">
        <is>
          <t>B0DDTVZXJW</t>
        </is>
      </c>
      <c r="C33" s="39" t="inlineStr">
        <is>
          <t>SS-BAMBOO-TAUPE-CALIFKING-4PCS</t>
        </is>
      </c>
      <c r="D33" s="39" t="inlineStr">
        <is>
          <t>SLEEP SANCTUARY 100% Organic Viscose Derived from Bamboo Sheets Cal King Size 4pcs - Ultra Soft &amp; Luxuriously Cooling, 17" Deep Pocket, Perfect for Hot Sleepers - King Bed Sheets (Taupe)</t>
        </is>
      </c>
      <c r="E33" s="39" t="inlineStr">
        <is>
          <t>California King</t>
        </is>
      </c>
      <c r="F33" s="39" t="inlineStr">
        <is>
          <t>Taupe</t>
        </is>
      </c>
      <c r="G33" s="40" t="n"/>
      <c r="H33" s="39" t="n"/>
      <c r="I33" s="40" t="n"/>
      <c r="J33" s="39" t="n"/>
      <c r="K33" s="40" t="n"/>
      <c r="L33" s="76" t="n"/>
      <c r="M33" s="77" t="n"/>
      <c r="N33" s="39" t="inlineStr">
        <is>
          <t>Inactive</t>
        </is>
      </c>
      <c r="O33" s="39" t="n"/>
      <c r="P33" s="78" t="n"/>
      <c r="Q33" s="77" t="n"/>
      <c r="R33" s="77" t="n"/>
      <c r="S33" s="77" t="n"/>
      <c r="T33" s="39" t="n"/>
    </row>
    <row r="34" ht="62" customHeight="1">
      <c r="A34" s="12">
        <f>_xlfn.IMAGE("https://m.media-amazon.com/images/I/71MHybZpyiL.jpg")</f>
        <v/>
      </c>
      <c r="B34" s="39" t="inlineStr">
        <is>
          <t>B0DDTTLH1Y</t>
        </is>
      </c>
      <c r="C34" s="39" t="inlineStr">
        <is>
          <t>SS-BAMBOO-WHITE-CALIFKING-4PCS</t>
        </is>
      </c>
      <c r="D34" s="39" t="inlineStr">
        <is>
          <t>SLEEP SANCTUARY 100% Organic Viscose Derived from Bamboo Sheets Cal King Size 4pcs - Ultra Soft &amp; Luxuriously Cooling, 17" Deep Pocket, Perfect for Hot Sleepers - King Bed Sheets (White)</t>
        </is>
      </c>
      <c r="E34" s="39" t="inlineStr">
        <is>
          <t>California King</t>
        </is>
      </c>
      <c r="F34" s="39" t="inlineStr">
        <is>
          <t>White</t>
        </is>
      </c>
      <c r="G34" s="40" t="n"/>
      <c r="H34" s="39" t="n"/>
      <c r="I34" s="40" t="n"/>
      <c r="J34" s="39" t="n"/>
      <c r="K34" s="40" t="n"/>
      <c r="L34" s="76" t="n"/>
      <c r="M34" s="77" t="n"/>
      <c r="N34" s="39" t="inlineStr">
        <is>
          <t>Inactive</t>
        </is>
      </c>
      <c r="O34" s="39" t="n"/>
      <c r="P34" s="78" t="n"/>
      <c r="Q34" s="77" t="n"/>
      <c r="R34" s="77" t="n"/>
      <c r="S34" s="77" t="n"/>
      <c r="T34" s="39" t="n"/>
    </row>
    <row r="35" ht="62" customHeight="1">
      <c r="A35" s="12">
        <f>_xlfn.IMAGE("https://m.media-amazon.com/images/I/71+FTZ6Q2KL.jpg")</f>
        <v/>
      </c>
      <c r="B35" s="39" t="inlineStr">
        <is>
          <t>B0DDTT2LW2</t>
        </is>
      </c>
      <c r="C35" s="39" t="inlineStr">
        <is>
          <t>SS-BAMBOO-BLACK-FULL-4PCS</t>
        </is>
      </c>
      <c r="D35" s="39" t="inlineStr">
        <is>
          <t>SLEEP SANCTUARY 100% Organic Viscose Derived from Bamboo Sheets Full Size 4pcs - Ultra Soft &amp; Luxuriously Cooling, 17" Deep Pocket, Perfect for Hot Sleepers - Full Bed Sheets (Black)</t>
        </is>
      </c>
      <c r="E35" s="39" t="inlineStr">
        <is>
          <t>Full</t>
        </is>
      </c>
      <c r="F35" s="39" t="inlineStr">
        <is>
          <t>Black</t>
        </is>
      </c>
      <c r="G35" s="40" t="n"/>
      <c r="H35" s="39" t="n"/>
      <c r="I35" s="40" t="n"/>
      <c r="J35" s="39" t="n"/>
      <c r="K35" s="40" t="n"/>
      <c r="L35" s="76" t="n"/>
      <c r="M35" s="77" t="n"/>
      <c r="N35" s="39" t="inlineStr">
        <is>
          <t>Inactive</t>
        </is>
      </c>
      <c r="O35" s="39" t="n"/>
      <c r="P35" s="78" t="n"/>
      <c r="Q35" s="77" t="n"/>
      <c r="R35" s="77" t="n"/>
      <c r="S35" s="77" t="n"/>
      <c r="T35" s="39" t="n"/>
    </row>
    <row r="36" ht="62" customHeight="1">
      <c r="A36" s="12">
        <f>_xlfn.IMAGE("https://m.media-amazon.com/images/I/71BuSYnrHNL.jpg")</f>
        <v/>
      </c>
      <c r="B36" s="39" t="inlineStr">
        <is>
          <t>B0DDTTG1X2</t>
        </is>
      </c>
      <c r="C36" s="39" t="inlineStr">
        <is>
          <t>SS-BAMBOO-BURGUNDY-FULL-4PCS</t>
        </is>
      </c>
      <c r="D36" s="39" t="inlineStr">
        <is>
          <t>SLEEP SANCTUARY 100% Organic Viscose Derived from Bamboo Sheets Full Size 4pcs - Ultra Soft &amp; Luxuriously Cooling, 17" Deep Pocket, Perfect for Hot Sleepers - Full Bed Sheets (Burgundy)</t>
        </is>
      </c>
      <c r="E36" s="39" t="inlineStr">
        <is>
          <t>Full</t>
        </is>
      </c>
      <c r="F36" s="39" t="inlineStr">
        <is>
          <t>Burgundy</t>
        </is>
      </c>
      <c r="G36" s="40" t="n"/>
      <c r="H36" s="39" t="n"/>
      <c r="I36" s="40" t="n"/>
      <c r="J36" s="39" t="n"/>
      <c r="K36" s="40" t="n"/>
      <c r="L36" s="76" t="n"/>
      <c r="M36" s="77" t="n"/>
      <c r="N36" s="39" t="inlineStr">
        <is>
          <t>Inactive</t>
        </is>
      </c>
      <c r="O36" s="39" t="n"/>
      <c r="P36" s="78" t="n"/>
      <c r="Q36" s="77" t="n"/>
      <c r="R36" s="77" t="n"/>
      <c r="S36" s="77" t="n"/>
      <c r="T36" s="39" t="n"/>
    </row>
    <row r="37" ht="62" customHeight="1">
      <c r="A37" s="12">
        <f>_xlfn.IMAGE("https://m.media-amazon.com/images/I/71+zNdSenUL.jpg")</f>
        <v/>
      </c>
      <c r="B37" s="39" t="inlineStr">
        <is>
          <t>B0DDTRNNV4</t>
        </is>
      </c>
      <c r="C37" s="39" t="inlineStr">
        <is>
          <t>SS-BAMBOO-CHARCOAL-FULL-4PCS</t>
        </is>
      </c>
      <c r="D37" s="39" t="inlineStr">
        <is>
          <t>SLEEP SANCTUARY 100% Organic Viscose Derived from Bamboo Sheets Full Size 4pcs - Ultra Soft &amp; Luxuriously Cooling, 17" Deep Pocket, Perfect for Hot Sleepers - Full Bed Sheets (Charcoal)</t>
        </is>
      </c>
      <c r="E37" s="39" t="inlineStr">
        <is>
          <t>Full</t>
        </is>
      </c>
      <c r="F37" s="39" t="inlineStr">
        <is>
          <t>Charcoal</t>
        </is>
      </c>
      <c r="G37" s="40" t="n"/>
      <c r="H37" s="39" t="n"/>
      <c r="I37" s="40" t="n"/>
      <c r="J37" s="39" t="n"/>
      <c r="K37" s="40" t="n"/>
      <c r="L37" s="76" t="n"/>
      <c r="M37" s="77" t="n"/>
      <c r="N37" s="39" t="inlineStr">
        <is>
          <t>Inactive</t>
        </is>
      </c>
      <c r="O37" s="39" t="n"/>
      <c r="P37" s="78" t="n"/>
      <c r="Q37" s="77" t="n"/>
      <c r="R37" s="77" t="n"/>
      <c r="S37" s="77" t="n"/>
      <c r="T37" s="39" t="n"/>
    </row>
    <row r="38" ht="62" customHeight="1">
      <c r="A38" s="12">
        <f>_xlfn.IMAGE("https://m.media-amazon.com/images/I/71nRaHeuOvL.jpg")</f>
        <v/>
      </c>
      <c r="B38" s="39" t="inlineStr">
        <is>
          <t>B0DDTR9JMW</t>
        </is>
      </c>
      <c r="C38" s="39" t="inlineStr">
        <is>
          <t>SS-BAMBOO-CREME-FULL-4PCS</t>
        </is>
      </c>
      <c r="D38" s="39" t="inlineStr">
        <is>
          <t>SLEEP SANCTUARY 100% Organic Viscose Derived from Bamboo Sheets Full Size 4pcs - Ultra Soft &amp; Luxuriously Cooling, 17" Deep Pocket, Perfect for Hot Sleepers - Full Bed Sheets (Creme)</t>
        </is>
      </c>
      <c r="E38" s="39" t="inlineStr">
        <is>
          <t>Full</t>
        </is>
      </c>
      <c r="F38" s="39" t="inlineStr">
        <is>
          <t>Creme</t>
        </is>
      </c>
      <c r="G38" s="40" t="n"/>
      <c r="H38" s="39" t="n"/>
      <c r="I38" s="40" t="n"/>
      <c r="J38" s="39" t="n"/>
      <c r="K38" s="40" t="n"/>
      <c r="L38" s="76" t="n"/>
      <c r="M38" s="77" t="n"/>
      <c r="N38" s="39" t="inlineStr">
        <is>
          <t>Inactive</t>
        </is>
      </c>
      <c r="O38" s="39" t="n"/>
      <c r="P38" s="78" t="n"/>
      <c r="Q38" s="77" t="n"/>
      <c r="R38" s="77" t="n"/>
      <c r="S38" s="77" t="n"/>
      <c r="T38" s="39" t="n"/>
    </row>
    <row r="39" ht="62" customHeight="1">
      <c r="A39" s="12">
        <f>_xlfn.IMAGE("https://m.media-amazon.com/images/I/71k06vLMLsL.jpg")</f>
        <v/>
      </c>
      <c r="B39" s="39" t="inlineStr">
        <is>
          <t>B0DDTW9GZY</t>
        </is>
      </c>
      <c r="C39" s="39" t="inlineStr">
        <is>
          <t>SS-BAMBOO-GREY-FULL-4PCS</t>
        </is>
      </c>
      <c r="D39" s="39" t="inlineStr">
        <is>
          <t>SLEEP SANCTUARY 100% Organic Viscose Derived from Bamboo Sheets Full Size 4pcs - Ultra Soft &amp; Luxuriously Cooling, 17" Deep Pocket, Perfect for Hot Sleepers - Full Bed Sheets (Grey)</t>
        </is>
      </c>
      <c r="E39" s="39" t="inlineStr">
        <is>
          <t>Full</t>
        </is>
      </c>
      <c r="F39" s="39" t="inlineStr">
        <is>
          <t>Grey</t>
        </is>
      </c>
      <c r="G39" s="40" t="n"/>
      <c r="H39" s="39" t="n"/>
      <c r="I39" s="40" t="n"/>
      <c r="J39" s="39" t="n"/>
      <c r="K39" s="40" t="n"/>
      <c r="L39" s="76" t="n"/>
      <c r="M39" s="77" t="n"/>
      <c r="N39" s="39" t="inlineStr">
        <is>
          <t>Inactive</t>
        </is>
      </c>
      <c r="O39" s="39" t="n"/>
      <c r="P39" s="78" t="n"/>
      <c r="Q39" s="77" t="n"/>
      <c r="R39" s="77" t="n"/>
      <c r="S39" s="77" t="n"/>
      <c r="T39" s="39" t="n"/>
    </row>
    <row r="40" ht="62" customHeight="1">
      <c r="A40" s="12">
        <f>_xlfn.IMAGE("https://m.media-amazon.com/images/I/71pWInfUglL.jpg")</f>
        <v/>
      </c>
      <c r="B40" s="39" t="inlineStr">
        <is>
          <t>B0DDTVGVLD</t>
        </is>
      </c>
      <c r="C40" s="39" t="inlineStr">
        <is>
          <t>SS-BAMBOO-LIGHT-BLUE-FULL-4PCS</t>
        </is>
      </c>
      <c r="D40" s="39" t="inlineStr">
        <is>
          <t>SLEEP SANCTUARY 100% Organic Viscose Derived from Bamboo Sheets Full Size 4pcs - Ultra Soft &amp; Luxuriously Cooling, 17" Deep Pocket, Perfect for Hot Sleepers - Full Bed Sheets (Light Blue)</t>
        </is>
      </c>
      <c r="E40" s="39" t="inlineStr">
        <is>
          <t>Full</t>
        </is>
      </c>
      <c r="F40" s="39" t="inlineStr">
        <is>
          <t>Light Blue</t>
        </is>
      </c>
      <c r="G40" s="40" t="n"/>
      <c r="H40" s="39" t="n"/>
      <c r="I40" s="40" t="n"/>
      <c r="J40" s="39" t="n"/>
      <c r="K40" s="40" t="n"/>
      <c r="L40" s="76" t="n"/>
      <c r="M40" s="77" t="n"/>
      <c r="N40" s="39" t="inlineStr">
        <is>
          <t>Inactive</t>
        </is>
      </c>
      <c r="O40" s="39" t="n"/>
      <c r="P40" s="78" t="n"/>
      <c r="Q40" s="77" t="n"/>
      <c r="R40" s="77" t="n"/>
      <c r="S40" s="77" t="n"/>
      <c r="T40" s="39" t="n"/>
    </row>
    <row r="41" ht="62" customHeight="1">
      <c r="A41" s="12">
        <f>_xlfn.IMAGE("https://m.media-amazon.com/images/I/71eMJfROqVL.jpg")</f>
        <v/>
      </c>
      <c r="B41" s="39" t="inlineStr">
        <is>
          <t>B0DDTT3VVL</t>
        </is>
      </c>
      <c r="C41" s="39" t="inlineStr">
        <is>
          <t>SS-BAMBOO-LIGHT-GREY-FULL-4PCS</t>
        </is>
      </c>
      <c r="D41" s="39" t="inlineStr">
        <is>
          <t>SLEEP SANCTUARY 100% Organic Viscose Derived from Bamboo Sheets Full Size 4pcs - Ultra Soft &amp; Luxuriously Cooling, 17" Deep Pocket, Perfect for Hot Sleepers - Full Bed Sheets (Light Grey)</t>
        </is>
      </c>
      <c r="E41" s="39" t="inlineStr">
        <is>
          <t>Full</t>
        </is>
      </c>
      <c r="F41" s="39" t="inlineStr">
        <is>
          <t>Light Grey</t>
        </is>
      </c>
      <c r="G41" s="40" t="n"/>
      <c r="H41" s="39" t="n"/>
      <c r="I41" s="40" t="n"/>
      <c r="J41" s="39" t="n"/>
      <c r="K41" s="40" t="n"/>
      <c r="L41" s="76" t="n"/>
      <c r="M41" s="77" t="n"/>
      <c r="N41" s="39" t="inlineStr">
        <is>
          <t>Inactive</t>
        </is>
      </c>
      <c r="O41" s="39" t="n"/>
      <c r="P41" s="78" t="n"/>
      <c r="Q41" s="77" t="n"/>
      <c r="R41" s="77" t="n"/>
      <c r="S41" s="77" t="n"/>
      <c r="T41" s="39" t="n"/>
    </row>
    <row r="42" ht="62" customHeight="1">
      <c r="A42" s="12">
        <f>_xlfn.IMAGE("https://m.media-amazon.com/images/I/71U5cTo5I9L.jpg")</f>
        <v/>
      </c>
      <c r="B42" s="39" t="inlineStr">
        <is>
          <t>B0DDTSYXD7</t>
        </is>
      </c>
      <c r="C42" s="39" t="inlineStr">
        <is>
          <t>SS-BAMBOO-LIGHT-OLIVE-FULL-4PCS</t>
        </is>
      </c>
      <c r="D42" s="39" t="inlineStr">
        <is>
          <t>SLEEP SANCTUARY 100% Organic Viscose Derived from Bamboo Sheets Full Size 4pcs - Ultra Soft &amp; Luxuriously Cooling, 17" Deep Pocket, Perfect for Hot Sleepers - Full Bed Sheets (Light Olive)</t>
        </is>
      </c>
      <c r="E42" s="39" t="inlineStr">
        <is>
          <t>Full</t>
        </is>
      </c>
      <c r="F42" s="39" t="inlineStr">
        <is>
          <t>Light Olive</t>
        </is>
      </c>
      <c r="G42" s="40" t="n"/>
      <c r="H42" s="39" t="n"/>
      <c r="I42" s="40" t="n"/>
      <c r="J42" s="39" t="n"/>
      <c r="K42" s="40" t="n"/>
      <c r="L42" s="76" t="n"/>
      <c r="M42" s="77" t="n"/>
      <c r="N42" s="39" t="inlineStr">
        <is>
          <t>Inactive</t>
        </is>
      </c>
      <c r="O42" s="39" t="n"/>
      <c r="P42" s="78" t="n"/>
      <c r="Q42" s="77" t="n"/>
      <c r="R42" s="77" t="n"/>
      <c r="S42" s="77" t="n"/>
      <c r="T42" s="39" t="n"/>
    </row>
    <row r="43" ht="62" customHeight="1">
      <c r="A43" s="12">
        <f>_xlfn.IMAGE("https://m.media-amazon.com/images/I/71ci1kRa35L.jpg")</f>
        <v/>
      </c>
      <c r="B43" s="39" t="inlineStr">
        <is>
          <t>B0DDTWDQM4</t>
        </is>
      </c>
      <c r="C43" s="39" t="inlineStr">
        <is>
          <t>SS-BAMBOO-LIGHT-PINK-FULL-4PCS</t>
        </is>
      </c>
      <c r="D43" s="39" t="inlineStr">
        <is>
          <t>SLEEP SANCTUARY 100% Organic Viscose Derived from Bamboo Sheets Full Size 4pcs - Ultra Soft &amp; Luxuriously Cooling, 17" Deep Pocket, Perfect for Hot Sleepers - Full Bed Sheets (Light Pink)</t>
        </is>
      </c>
      <c r="E43" s="39" t="inlineStr">
        <is>
          <t>Full</t>
        </is>
      </c>
      <c r="F43" s="39" t="inlineStr">
        <is>
          <t>Light Pink</t>
        </is>
      </c>
      <c r="G43" s="40" t="n"/>
      <c r="H43" s="39" t="n"/>
      <c r="I43" s="40" t="n"/>
      <c r="J43" s="39" t="n"/>
      <c r="K43" s="40" t="n"/>
      <c r="L43" s="76" t="n"/>
      <c r="M43" s="77" t="n"/>
      <c r="N43" s="39" t="inlineStr">
        <is>
          <t>Inactive</t>
        </is>
      </c>
      <c r="O43" s="39" t="n"/>
      <c r="P43" s="78" t="n"/>
      <c r="Q43" s="77" t="n"/>
      <c r="R43" s="77" t="n"/>
      <c r="S43" s="77" t="n"/>
      <c r="T43" s="39" t="n"/>
    </row>
    <row r="44" ht="62" customHeight="1">
      <c r="A44" s="12">
        <f>_xlfn.IMAGE("https://m.media-amazon.com/images/I/71OPRQ64ryL.jpg")</f>
        <v/>
      </c>
      <c r="B44" s="39" t="inlineStr">
        <is>
          <t>B0DDTSHKWF</t>
        </is>
      </c>
      <c r="C44" s="39" t="inlineStr">
        <is>
          <t>SS-BAMBOO-MIDGREY-FULL-4PCS</t>
        </is>
      </c>
      <c r="D44" s="39" t="inlineStr">
        <is>
          <t>SLEEP SANCTUARY 100% Organic Viscose Derived from Bamboo Sheets Full Size 4pcs - Ultra Soft &amp; Luxuriously Cooling, 17" Deep Pocket, Perfect for Hot Sleepers - Full Bed Sheets (Midgrey)</t>
        </is>
      </c>
      <c r="E44" s="39" t="inlineStr">
        <is>
          <t>Full</t>
        </is>
      </c>
      <c r="F44" s="39" t="inlineStr">
        <is>
          <t>Midgrey</t>
        </is>
      </c>
      <c r="G44" s="40" t="n"/>
      <c r="H44" s="39" t="n"/>
      <c r="I44" s="40" t="n"/>
      <c r="J44" s="39" t="n"/>
      <c r="K44" s="40" t="n"/>
      <c r="L44" s="76" t="n"/>
      <c r="M44" s="77" t="n"/>
      <c r="N44" s="39" t="inlineStr">
        <is>
          <t>Inactive</t>
        </is>
      </c>
      <c r="O44" s="39" t="n"/>
      <c r="P44" s="78" t="n"/>
      <c r="Q44" s="77" t="n"/>
      <c r="R44" s="77" t="n"/>
      <c r="S44" s="77" t="n"/>
      <c r="T44" s="39" t="n"/>
    </row>
    <row r="45" ht="62" customHeight="1">
      <c r="A45" s="12">
        <f>_xlfn.IMAGE("https://m.media-amazon.com/images/I/71GpRh9MZIL.jpg")</f>
        <v/>
      </c>
      <c r="B45" s="39" t="inlineStr">
        <is>
          <t>B0DDTS4NNN</t>
        </is>
      </c>
      <c r="C45" s="39" t="inlineStr">
        <is>
          <t>SS-BAMBOO-NAVY-BLUE-FULL-4PCS</t>
        </is>
      </c>
      <c r="D45" s="39" t="inlineStr">
        <is>
          <t>SLEEP SANCTUARY 100% Organic Viscose Derived from Bamboo Sheets Full Size 4pcs - Ultra Soft &amp; Luxuriously Cooling, 17" Deep Pocket, Perfect for Hot Sleepers - Full Bed Sheets (Navy Blue)</t>
        </is>
      </c>
      <c r="E45" s="39" t="inlineStr">
        <is>
          <t>Full</t>
        </is>
      </c>
      <c r="F45" s="39" t="inlineStr">
        <is>
          <t>Navy Blue</t>
        </is>
      </c>
      <c r="G45" s="40" t="n"/>
      <c r="H45" s="39" t="n"/>
      <c r="I45" s="40" t="n"/>
      <c r="J45" s="39" t="n"/>
      <c r="K45" s="40" t="n"/>
      <c r="L45" s="76" t="n"/>
      <c r="M45" s="77" t="n"/>
      <c r="N45" s="39" t="inlineStr">
        <is>
          <t>Inactive</t>
        </is>
      </c>
      <c r="O45" s="39" t="n"/>
      <c r="P45" s="78" t="n"/>
      <c r="Q45" s="77" t="n"/>
      <c r="R45" s="77" t="n"/>
      <c r="S45" s="77" t="n"/>
      <c r="T45" s="39" t="n"/>
    </row>
    <row r="46" ht="62" customHeight="1">
      <c r="A46" s="12">
        <f>_xlfn.IMAGE("https://m.media-amazon.com/images/I/71g3UenTI2L.jpg")</f>
        <v/>
      </c>
      <c r="B46" s="39" t="inlineStr">
        <is>
          <t>B0DDTR8Y8S</t>
        </is>
      </c>
      <c r="C46" s="39" t="inlineStr">
        <is>
          <t>SS-BAMBOO-OLIVE-FULL-4PCS</t>
        </is>
      </c>
      <c r="D46" s="39" t="inlineStr">
        <is>
          <t>SLEEP SANCTUARY 100% Organic Viscose Derived from Bamboo Sheets Full Size 4pcs - Ultra Soft &amp; Luxuriously Cooling, 17" Deep Pocket, Perfect for Hot Sleepers - Full Bed Sheets (Olive)</t>
        </is>
      </c>
      <c r="E46" s="39" t="inlineStr">
        <is>
          <t>Full</t>
        </is>
      </c>
      <c r="F46" s="39" t="inlineStr">
        <is>
          <t>Olive</t>
        </is>
      </c>
      <c r="G46" s="40" t="n"/>
      <c r="H46" s="39" t="n"/>
      <c r="I46" s="40" t="n"/>
      <c r="J46" s="39" t="n"/>
      <c r="K46" s="40" t="n"/>
      <c r="L46" s="76" t="n"/>
      <c r="M46" s="77" t="n"/>
      <c r="N46" s="39" t="inlineStr">
        <is>
          <t>Inactive</t>
        </is>
      </c>
      <c r="O46" s="39" t="n"/>
      <c r="P46" s="78" t="n"/>
      <c r="Q46" s="77" t="n"/>
      <c r="R46" s="77" t="n"/>
      <c r="S46" s="77" t="n"/>
      <c r="T46" s="39" t="n"/>
    </row>
    <row r="47" ht="62" customHeight="1">
      <c r="A47" s="12">
        <f>_xlfn.IMAGE("https://m.media-amazon.com/images/I/711EIufga2L.jpg")</f>
        <v/>
      </c>
      <c r="B47" s="39" t="inlineStr">
        <is>
          <t>B0DDTTS11S</t>
        </is>
      </c>
      <c r="C47" s="39" t="inlineStr">
        <is>
          <t>SS-BAMBOO-PURPLE-FULL-4PCS</t>
        </is>
      </c>
      <c r="D47" s="39" t="inlineStr">
        <is>
          <t>SLEEP SANCTUARY 100% Organic Viscose Derived from Bamboo Sheets Full Size 4pcs - Ultra Soft &amp; Luxuriously Cooling, 17" Deep Pocket, Perfect for Hot Sleepers - Full Bed Sheets (Purple)</t>
        </is>
      </c>
      <c r="E47" s="39" t="inlineStr">
        <is>
          <t>Full</t>
        </is>
      </c>
      <c r="F47" s="39" t="inlineStr">
        <is>
          <t>Purple</t>
        </is>
      </c>
      <c r="G47" s="40" t="n"/>
      <c r="H47" s="39" t="n"/>
      <c r="I47" s="40" t="n"/>
      <c r="J47" s="39" t="n"/>
      <c r="K47" s="40" t="n"/>
      <c r="L47" s="76" t="n"/>
      <c r="M47" s="77" t="n"/>
      <c r="N47" s="39" t="inlineStr">
        <is>
          <t>Inactive</t>
        </is>
      </c>
      <c r="O47" s="39" t="n"/>
      <c r="P47" s="78" t="n"/>
      <c r="Q47" s="77" t="n"/>
      <c r="R47" s="77" t="n"/>
      <c r="S47" s="77" t="n"/>
      <c r="T47" s="39" t="n"/>
    </row>
    <row r="48" ht="62" customHeight="1">
      <c r="A48" s="12">
        <f>_xlfn.IMAGE("https://m.media-amazon.com/images/I/71NJ4arwSJL.jpg")</f>
        <v/>
      </c>
      <c r="B48" s="39" t="inlineStr">
        <is>
          <t>B0DDTSBCC4</t>
        </is>
      </c>
      <c r="C48" s="39" t="inlineStr">
        <is>
          <t>SS-BAMBOO-SAGE-GREEN-FULL-4PCS</t>
        </is>
      </c>
      <c r="D48" s="39" t="inlineStr">
        <is>
          <t>SLEEP SANCTUARY 100% Organic Viscose Derived from Bamboo Sheets Full Size 4pcs - Ultra Soft &amp; Luxuriously Cooling, 17" Deep Pocket, Perfect for Hot Sleepers - Full Bed Sheets (Sage Green)</t>
        </is>
      </c>
      <c r="E48" s="39" t="inlineStr">
        <is>
          <t>Full</t>
        </is>
      </c>
      <c r="F48" s="39" t="inlineStr">
        <is>
          <t>Sage Green</t>
        </is>
      </c>
      <c r="G48" s="40" t="n"/>
      <c r="H48" s="39" t="n"/>
      <c r="I48" s="40" t="n"/>
      <c r="J48" s="39" t="n"/>
      <c r="K48" s="40" t="n"/>
      <c r="L48" s="76" t="n"/>
      <c r="M48" s="77" t="n"/>
      <c r="N48" s="39" t="inlineStr">
        <is>
          <t>Inactive</t>
        </is>
      </c>
      <c r="O48" s="39" t="n"/>
      <c r="P48" s="78" t="n"/>
      <c r="Q48" s="77" t="n"/>
      <c r="R48" s="77" t="n"/>
      <c r="S48" s="77" t="n"/>
      <c r="T48" s="39" t="n"/>
    </row>
    <row r="49" ht="62" customHeight="1">
      <c r="A49" s="12">
        <f>_xlfn.IMAGE("https://m.media-amazon.com/images/I/71LuYrkY0CL.jpg")</f>
        <v/>
      </c>
      <c r="B49" s="39" t="inlineStr">
        <is>
          <t>B0DDTRQY9D</t>
        </is>
      </c>
      <c r="C49" s="39" t="inlineStr">
        <is>
          <t>SS-BAMBOO-TAUPE-FULL-4PCS</t>
        </is>
      </c>
      <c r="D49" s="39" t="inlineStr">
        <is>
          <t>SLEEP SANCTUARY 100% Organic Viscose Derived from Bamboo Sheets Full Size 4pcs - Ultra Soft &amp; Luxuriously Cooling, 17" Deep Pocket, Perfect for Hot Sleepers - Full Bed Sheets (Taupe)</t>
        </is>
      </c>
      <c r="E49" s="39" t="inlineStr">
        <is>
          <t>Full</t>
        </is>
      </c>
      <c r="F49" s="39" t="inlineStr">
        <is>
          <t>Taupe</t>
        </is>
      </c>
      <c r="G49" s="40" t="n"/>
      <c r="H49" s="39" t="n"/>
      <c r="I49" s="40" t="n"/>
      <c r="J49" s="39" t="n"/>
      <c r="K49" s="40" t="n"/>
      <c r="L49" s="76" t="n"/>
      <c r="M49" s="77" t="n"/>
      <c r="N49" s="39" t="inlineStr">
        <is>
          <t>Inactive</t>
        </is>
      </c>
      <c r="O49" s="39" t="n"/>
      <c r="P49" s="78" t="n"/>
      <c r="Q49" s="77" t="n"/>
      <c r="R49" s="77" t="n"/>
      <c r="S49" s="77" t="n"/>
      <c r="T49" s="39" t="n"/>
    </row>
    <row r="50" ht="62" customHeight="1">
      <c r="A50" s="12">
        <f>_xlfn.IMAGE("https://m.media-amazon.com/images/I/71MHybZpyiL.jpg")</f>
        <v/>
      </c>
      <c r="B50" s="39" t="inlineStr">
        <is>
          <t>B0DDTY84L7</t>
        </is>
      </c>
      <c r="C50" s="39" t="inlineStr">
        <is>
          <t>SS-BAMBOO-WHITE-FULL-4PCS</t>
        </is>
      </c>
      <c r="D50" s="39" t="inlineStr">
        <is>
          <t>SLEEP SANCTUARY 100% Organic Viscose Derived from Bamboo Sheets Full Size 4pcs - Ultra Soft &amp; Luxuriously Cooling, 17" Deep Pocket, Perfect for Hot Sleepers - Full Bed Sheets (White)</t>
        </is>
      </c>
      <c r="E50" s="39" t="inlineStr">
        <is>
          <t>Full</t>
        </is>
      </c>
      <c r="F50" s="39" t="inlineStr">
        <is>
          <t>White</t>
        </is>
      </c>
      <c r="G50" s="40" t="n"/>
      <c r="H50" s="39" t="n"/>
      <c r="I50" s="40" t="n"/>
      <c r="J50" s="39" t="n"/>
      <c r="K50" s="40" t="n"/>
      <c r="L50" s="76" t="n"/>
      <c r="M50" s="77" t="n"/>
      <c r="N50" s="39" t="inlineStr">
        <is>
          <t>Inactive</t>
        </is>
      </c>
      <c r="O50" s="39" t="n"/>
      <c r="P50" s="78" t="n"/>
      <c r="Q50" s="77" t="n"/>
      <c r="R50" s="77" t="n"/>
      <c r="S50" s="77" t="n"/>
      <c r="T50" s="39" t="n"/>
    </row>
    <row r="51" ht="62" customHeight="1">
      <c r="A51" s="12">
        <f>_xlfn.IMAGE("https://m.media-amazon.com/images/I/71+FTZ6Q2KL.jpg")</f>
        <v/>
      </c>
      <c r="B51" s="39" t="inlineStr">
        <is>
          <t>B0DDTTYCL2</t>
        </is>
      </c>
      <c r="C51" s="39" t="inlineStr">
        <is>
          <t>SS-BAMBOO-BLACK-KING-4PCS</t>
        </is>
      </c>
      <c r="D51" s="39" t="inlineStr">
        <is>
          <t>SLEEP SANCTUARY 100% Organic Viscose Derived from Bamboo Sheets King Size 4pcs - Ultra Soft &amp; Luxuriously Cooling, 17" Deep Pocket, Perfect for Hot Sleepers - King Bed Sheets (Black)</t>
        </is>
      </c>
      <c r="E51" s="39" t="inlineStr">
        <is>
          <t>King</t>
        </is>
      </c>
      <c r="F51" s="39" t="inlineStr">
        <is>
          <t>Black</t>
        </is>
      </c>
      <c r="G51" s="40" t="n"/>
      <c r="H51" s="39" t="n"/>
      <c r="I51" s="40" t="n"/>
      <c r="J51" s="39" t="n"/>
      <c r="K51" s="40" t="n"/>
      <c r="L51" s="76" t="n"/>
      <c r="M51" s="77" t="n"/>
      <c r="N51" s="39" t="inlineStr">
        <is>
          <t>Inactive</t>
        </is>
      </c>
      <c r="O51" s="39" t="n"/>
      <c r="P51" s="78" t="n"/>
      <c r="Q51" s="77" t="n"/>
      <c r="R51" s="77" t="n"/>
      <c r="S51" s="77" t="n"/>
      <c r="T51" s="39" t="n"/>
    </row>
    <row r="52" ht="62" customHeight="1">
      <c r="A52" s="12">
        <f>_xlfn.IMAGE("https://m.media-amazon.com/images/I/71BuSYnrHNL.jpg")</f>
        <v/>
      </c>
      <c r="B52" s="39" t="inlineStr">
        <is>
          <t>B0DDTSNTBL</t>
        </is>
      </c>
      <c r="C52" s="39" t="inlineStr">
        <is>
          <t>SS-BAMBOO-BURGUNDY-KING-4PCS</t>
        </is>
      </c>
      <c r="D52" s="39" t="inlineStr">
        <is>
          <t>SLEEP SANCTUARY 100% Organic Viscose Derived from Bamboo Sheets King Size 4pcs - Ultra Soft &amp; Luxuriously Cooling, 17" Deep Pocket, Perfect for Hot Sleepers - King Bed Sheets (Burgundy)</t>
        </is>
      </c>
      <c r="E52" s="39" t="inlineStr">
        <is>
          <t>King</t>
        </is>
      </c>
      <c r="F52" s="39" t="inlineStr">
        <is>
          <t>Burgundy</t>
        </is>
      </c>
      <c r="G52" s="40" t="n"/>
      <c r="H52" s="39" t="n"/>
      <c r="I52" s="40" t="n"/>
      <c r="J52" s="39" t="n"/>
      <c r="K52" s="40" t="n"/>
      <c r="L52" s="76" t="n"/>
      <c r="M52" s="77" t="n"/>
      <c r="N52" s="39" t="inlineStr">
        <is>
          <t>Inactive</t>
        </is>
      </c>
      <c r="O52" s="39" t="n"/>
      <c r="P52" s="78" t="n"/>
      <c r="Q52" s="77" t="n"/>
      <c r="R52" s="77" t="n"/>
      <c r="S52" s="77" t="n"/>
      <c r="T52" s="39" t="n"/>
    </row>
    <row r="53" ht="62" customHeight="1">
      <c r="A53" s="12">
        <f>_xlfn.IMAGE("https://m.media-amazon.com/images/I/71+zNdSenUL.jpg")</f>
        <v/>
      </c>
      <c r="B53" s="39" t="inlineStr">
        <is>
          <t>B0DDTSVFYG</t>
        </is>
      </c>
      <c r="C53" s="39" t="inlineStr">
        <is>
          <t>SS-BAMBOO-CHARCOAL-KING-4PCS</t>
        </is>
      </c>
      <c r="D53" s="39" t="inlineStr">
        <is>
          <t>SLEEP SANCTUARY 100% Organic Viscose Derived from Bamboo Sheets King Size 4pcs - Ultra Soft &amp; Luxuriously Cooling, 17" Deep Pocket, Perfect for Hot Sleepers - King Bed Sheets (Charcoal)</t>
        </is>
      </c>
      <c r="E53" s="39" t="inlineStr">
        <is>
          <t>King</t>
        </is>
      </c>
      <c r="F53" s="39" t="inlineStr">
        <is>
          <t>Charcoal</t>
        </is>
      </c>
      <c r="G53" s="40" t="n"/>
      <c r="H53" s="39" t="n"/>
      <c r="I53" s="40" t="n"/>
      <c r="J53" s="39" t="n"/>
      <c r="K53" s="40" t="n"/>
      <c r="L53" s="76" t="n"/>
      <c r="M53" s="77" t="n"/>
      <c r="N53" s="39" t="inlineStr">
        <is>
          <t>Inactive</t>
        </is>
      </c>
      <c r="O53" s="39" t="n"/>
      <c r="P53" s="78" t="n"/>
      <c r="Q53" s="77" t="n"/>
      <c r="R53" s="77" t="n"/>
      <c r="S53" s="77" t="n"/>
      <c r="T53" s="39" t="n"/>
    </row>
    <row r="54" ht="62" customHeight="1">
      <c r="A54" s="12">
        <f>_xlfn.IMAGE("https://m.media-amazon.com/images/I/71nRaHeuOvL.jpg")</f>
        <v/>
      </c>
      <c r="B54" s="39" t="inlineStr">
        <is>
          <t>B0DDTV61WK</t>
        </is>
      </c>
      <c r="C54" s="39" t="inlineStr">
        <is>
          <t>SS-BAMBOO-CREME-KING-4PCS</t>
        </is>
      </c>
      <c r="D54" s="39" t="inlineStr">
        <is>
          <t>SLEEP SANCTUARY 100% Organic Viscose Derived from Bamboo Sheets King Size 4pcs - Ultra Soft &amp; Luxuriously Cooling, 17" Deep Pocket, Perfect for Hot Sleepers - King Bed Sheets (Creme)</t>
        </is>
      </c>
      <c r="E54" s="39" t="inlineStr">
        <is>
          <t>King</t>
        </is>
      </c>
      <c r="F54" s="39" t="inlineStr">
        <is>
          <t>Creme</t>
        </is>
      </c>
      <c r="G54" s="40" t="n"/>
      <c r="H54" s="39" t="n"/>
      <c r="I54" s="40" t="n"/>
      <c r="J54" s="39" t="n"/>
      <c r="K54" s="40" t="n"/>
      <c r="L54" s="76" t="n"/>
      <c r="M54" s="77" t="n"/>
      <c r="N54" s="39" t="inlineStr">
        <is>
          <t>Inactive</t>
        </is>
      </c>
      <c r="O54" s="39" t="n"/>
      <c r="P54" s="78" t="n"/>
      <c r="Q54" s="77" t="n"/>
      <c r="R54" s="77" t="n"/>
      <c r="S54" s="77" t="n"/>
      <c r="T54" s="39" t="n"/>
    </row>
    <row r="55" ht="62" customHeight="1">
      <c r="A55" s="12">
        <f>_xlfn.IMAGE("https://m.media-amazon.com/images/I/71k06vLMLsL.jpg")</f>
        <v/>
      </c>
      <c r="B55" s="39" t="inlineStr">
        <is>
          <t>B0DDTR9YH2</t>
        </is>
      </c>
      <c r="C55" s="39" t="inlineStr">
        <is>
          <t>SS-BAMBOO-GREY-KING-4PCS</t>
        </is>
      </c>
      <c r="D55" s="39" t="inlineStr">
        <is>
          <t>SLEEP SANCTUARY 100% Organic Viscose Derived from Bamboo Sheets King Size 4pcs - Ultra Soft &amp; Luxuriously Cooling, 17" Deep Pocket, Perfect for Hot Sleepers - King Bed Sheets (Grey)</t>
        </is>
      </c>
      <c r="E55" s="39" t="inlineStr">
        <is>
          <t>King</t>
        </is>
      </c>
      <c r="F55" s="39" t="inlineStr">
        <is>
          <t>Grey</t>
        </is>
      </c>
      <c r="G55" s="40" t="n"/>
      <c r="H55" s="39" t="n"/>
      <c r="I55" s="40" t="n"/>
      <c r="J55" s="39" t="n"/>
      <c r="K55" s="40" t="n"/>
      <c r="L55" s="76" t="n"/>
      <c r="M55" s="77" t="n"/>
      <c r="N55" s="39" t="inlineStr">
        <is>
          <t>Inactive</t>
        </is>
      </c>
      <c r="O55" s="39" t="n"/>
      <c r="P55" s="78" t="n"/>
      <c r="Q55" s="77" t="n"/>
      <c r="R55" s="77" t="n"/>
      <c r="S55" s="77" t="n"/>
      <c r="T55" s="39" t="n"/>
    </row>
    <row r="56" ht="62" customHeight="1">
      <c r="A56" s="12">
        <f>_xlfn.IMAGE("https://m.media-amazon.com/images/I/71pWInfUglL.jpg")</f>
        <v/>
      </c>
      <c r="B56" s="39" t="inlineStr">
        <is>
          <t>B0DDTSJYXL</t>
        </is>
      </c>
      <c r="C56" s="39" t="inlineStr">
        <is>
          <t>SS-BAMBOO-LIGHT-BLUE-KING-4PCS</t>
        </is>
      </c>
      <c r="D56" s="39" t="inlineStr">
        <is>
          <t>SLEEP SANCTUARY 100% Organic Viscose Derived from Bamboo Sheets King Size 4pcs - Ultra Soft &amp; Luxuriously Cooling, 17" Deep Pocket, Perfect for Hot Sleepers - King Bed Sheets (Light Blue)</t>
        </is>
      </c>
      <c r="E56" s="39" t="inlineStr">
        <is>
          <t>King</t>
        </is>
      </c>
      <c r="F56" s="39" t="inlineStr">
        <is>
          <t>Light Blue</t>
        </is>
      </c>
      <c r="G56" s="40" t="n"/>
      <c r="H56" s="39" t="n"/>
      <c r="I56" s="40" t="n"/>
      <c r="J56" s="39" t="n"/>
      <c r="K56" s="40" t="n"/>
      <c r="L56" s="76" t="n"/>
      <c r="M56" s="77" t="n"/>
      <c r="N56" s="39" t="inlineStr">
        <is>
          <t>Inactive</t>
        </is>
      </c>
      <c r="O56" s="39" t="n"/>
      <c r="P56" s="78" t="n"/>
      <c r="Q56" s="77" t="n"/>
      <c r="R56" s="77" t="n"/>
      <c r="S56" s="77" t="n"/>
      <c r="T56" s="39" t="n"/>
    </row>
    <row r="57" ht="62" customHeight="1">
      <c r="A57" s="12">
        <f>_xlfn.IMAGE("https://m.media-amazon.com/images/I/71eMJfROqVL.jpg")</f>
        <v/>
      </c>
      <c r="B57" s="39" t="inlineStr">
        <is>
          <t>B0DDTV38J5</t>
        </is>
      </c>
      <c r="C57" s="39" t="inlineStr">
        <is>
          <t>SS-BAMBOO-LIGHT-GREY-KING-4PCS</t>
        </is>
      </c>
      <c r="D57" s="39" t="inlineStr">
        <is>
          <t>SLEEP SANCTUARY 100% Organic Viscose Derived from Bamboo Sheets King Size 4pcs - Ultra Soft &amp; Luxuriously Cooling, 17" Deep Pocket, Perfect for Hot Sleepers - King Bed Sheets (Light Grey)</t>
        </is>
      </c>
      <c r="E57" s="39" t="inlineStr">
        <is>
          <t>King</t>
        </is>
      </c>
      <c r="F57" s="39" t="inlineStr">
        <is>
          <t>Light Grey</t>
        </is>
      </c>
      <c r="G57" s="40" t="n"/>
      <c r="H57" s="39" t="n"/>
      <c r="I57" s="40" t="n"/>
      <c r="J57" s="39" t="n"/>
      <c r="K57" s="40" t="n"/>
      <c r="L57" s="76" t="n"/>
      <c r="M57" s="77" t="n"/>
      <c r="N57" s="39" t="inlineStr">
        <is>
          <t>Inactive</t>
        </is>
      </c>
      <c r="O57" s="39" t="n"/>
      <c r="P57" s="78" t="n"/>
      <c r="Q57" s="77" t="n"/>
      <c r="R57" s="77" t="n"/>
      <c r="S57" s="77" t="n"/>
      <c r="T57" s="39" t="n"/>
    </row>
    <row r="58" ht="62" customHeight="1">
      <c r="A58" s="12">
        <f>_xlfn.IMAGE("https://m.media-amazon.com/images/I/71U5cTo5I9L.jpg")</f>
        <v/>
      </c>
      <c r="B58" s="39" t="inlineStr">
        <is>
          <t>B0DDTS9JVP</t>
        </is>
      </c>
      <c r="C58" s="39" t="inlineStr">
        <is>
          <t>SS-BAMBOO-LIGHT-OLIVE-KING-4PCS</t>
        </is>
      </c>
      <c r="D58" s="39" t="inlineStr">
        <is>
          <t>SLEEP SANCTUARY 100% Organic Viscose Derived from Bamboo Sheets King Size 4pcs - Ultra Soft &amp; Luxuriously Cooling, 17" Deep Pocket, Perfect for Hot Sleepers - King Bed Sheets (Light Olive)</t>
        </is>
      </c>
      <c r="E58" s="39" t="inlineStr">
        <is>
          <t>King</t>
        </is>
      </c>
      <c r="F58" s="39" t="inlineStr">
        <is>
          <t>Light Olive</t>
        </is>
      </c>
      <c r="G58" s="40" t="n"/>
      <c r="H58" s="39" t="n"/>
      <c r="I58" s="40" t="n"/>
      <c r="J58" s="39" t="n"/>
      <c r="K58" s="40" t="n"/>
      <c r="L58" s="76" t="n"/>
      <c r="M58" s="77" t="n"/>
      <c r="N58" s="39" t="inlineStr">
        <is>
          <t>Inactive</t>
        </is>
      </c>
      <c r="O58" s="39" t="n"/>
      <c r="P58" s="78" t="n"/>
      <c r="Q58" s="77" t="n"/>
      <c r="R58" s="77" t="n"/>
      <c r="S58" s="77" t="n"/>
      <c r="T58" s="39" t="n"/>
    </row>
    <row r="59" ht="62" customHeight="1">
      <c r="A59" s="12">
        <f>_xlfn.IMAGE("https://m.media-amazon.com/images/I/71ci1kRa35L.jpg")</f>
        <v/>
      </c>
      <c r="B59" s="39" t="inlineStr">
        <is>
          <t>B0DDTS6DLW</t>
        </is>
      </c>
      <c r="C59" s="39" t="inlineStr">
        <is>
          <t>SS-BAMBOO-LIGHT-PINK-KING-4PCS</t>
        </is>
      </c>
      <c r="D59" s="39" t="inlineStr">
        <is>
          <t>SLEEP SANCTUARY 100% Organic Viscose Derived from Bamboo Sheets King Size 4pcs - Ultra Soft &amp; Luxuriously Cooling, 17" Deep Pocket, Perfect for Hot Sleepers - King Bed Sheets (Light Pink)</t>
        </is>
      </c>
      <c r="E59" s="39" t="inlineStr">
        <is>
          <t>King</t>
        </is>
      </c>
      <c r="F59" s="39" t="inlineStr">
        <is>
          <t>Light Pink</t>
        </is>
      </c>
      <c r="G59" s="40" t="n"/>
      <c r="H59" s="39" t="n"/>
      <c r="I59" s="40" t="n"/>
      <c r="J59" s="39" t="n"/>
      <c r="K59" s="40" t="n"/>
      <c r="L59" s="76" t="n"/>
      <c r="M59" s="77" t="n"/>
      <c r="N59" s="39" t="inlineStr">
        <is>
          <t>Inactive</t>
        </is>
      </c>
      <c r="O59" s="39" t="n"/>
      <c r="P59" s="78" t="n"/>
      <c r="Q59" s="77" t="n"/>
      <c r="R59" s="77" t="n"/>
      <c r="S59" s="77" t="n"/>
      <c r="T59" s="39" t="n"/>
    </row>
    <row r="60" ht="62" customHeight="1">
      <c r="A60" s="12">
        <f>_xlfn.IMAGE("https://m.media-amazon.com/images/I/71OPRQ64ryL.jpg")</f>
        <v/>
      </c>
      <c r="B60" s="39" t="inlineStr">
        <is>
          <t>B0DDTT9TY6</t>
        </is>
      </c>
      <c r="C60" s="39" t="inlineStr">
        <is>
          <t>SS-BAMBOO-MIDGREY-KING-4PCS</t>
        </is>
      </c>
      <c r="D60" s="39" t="inlineStr">
        <is>
          <t>SLEEP SANCTUARY 100% Organic Viscose Derived from Bamboo Sheets King Size 4pcs - Ultra Soft &amp; Luxuriously Cooling, 17" Deep Pocket, Perfect for Hot Sleepers - King Bed Sheets (Midgrey)</t>
        </is>
      </c>
      <c r="E60" s="39" t="inlineStr">
        <is>
          <t>King</t>
        </is>
      </c>
      <c r="F60" s="39" t="inlineStr">
        <is>
          <t>Midgrey</t>
        </is>
      </c>
      <c r="G60" s="40" t="n"/>
      <c r="H60" s="39" t="n"/>
      <c r="I60" s="40" t="n"/>
      <c r="J60" s="39" t="n"/>
      <c r="K60" s="40" t="n"/>
      <c r="L60" s="76" t="n"/>
      <c r="M60" s="77" t="n"/>
      <c r="N60" s="39" t="inlineStr">
        <is>
          <t>Inactive</t>
        </is>
      </c>
      <c r="O60" s="39" t="n"/>
      <c r="P60" s="78" t="n"/>
      <c r="Q60" s="77" t="n"/>
      <c r="R60" s="77" t="n"/>
      <c r="S60" s="77" t="n"/>
      <c r="T60" s="39" t="n"/>
    </row>
    <row r="61" ht="62" customHeight="1">
      <c r="A61" s="12">
        <f>_xlfn.IMAGE("https://m.media-amazon.com/images/I/71GpRh9MZIL.jpg")</f>
        <v/>
      </c>
      <c r="B61" s="39" t="inlineStr">
        <is>
          <t>B0DDTWLD7M</t>
        </is>
      </c>
      <c r="C61" s="39" t="inlineStr">
        <is>
          <t>SS-BAMBOO-NAVY-BLUE-KING-4PCS</t>
        </is>
      </c>
      <c r="D61" s="39" t="inlineStr">
        <is>
          <t>SLEEP SANCTUARY 100% Organic Viscose Derived from Bamboo Sheets King Size 4pcs - Ultra Soft &amp; Luxuriously Cooling, 17" Deep Pocket, Perfect for Hot Sleepers - King Bed Sheets (Navy Blue)</t>
        </is>
      </c>
      <c r="E61" s="39" t="inlineStr">
        <is>
          <t>King</t>
        </is>
      </c>
      <c r="F61" s="39" t="inlineStr">
        <is>
          <t>Navy Blue</t>
        </is>
      </c>
      <c r="G61" s="40" t="n"/>
      <c r="H61" s="39" t="n"/>
      <c r="I61" s="40" t="n"/>
      <c r="J61" s="39" t="n"/>
      <c r="K61" s="40" t="n"/>
      <c r="L61" s="76" t="n"/>
      <c r="M61" s="77" t="n"/>
      <c r="N61" s="39" t="inlineStr">
        <is>
          <t>Inactive</t>
        </is>
      </c>
      <c r="O61" s="39" t="n"/>
      <c r="P61" s="78" t="n"/>
      <c r="Q61" s="77" t="n"/>
      <c r="R61" s="77" t="n"/>
      <c r="S61" s="77" t="n"/>
      <c r="T61" s="39" t="n"/>
    </row>
    <row r="62" ht="62" customHeight="1">
      <c r="A62" s="12">
        <f>_xlfn.IMAGE("https://m.media-amazon.com/images/I/71g3UenTI2L.jpg")</f>
        <v/>
      </c>
      <c r="B62" s="39" t="inlineStr">
        <is>
          <t>B0DDTS4M3F</t>
        </is>
      </c>
      <c r="C62" s="39" t="inlineStr">
        <is>
          <t>SS-BAMBOO-OLIVE-KING-4PCS</t>
        </is>
      </c>
      <c r="D62" s="39" t="inlineStr">
        <is>
          <t>SLEEP SANCTUARY 100% Organic Viscose Derived from Bamboo Sheets King Size 4pcs - Ultra Soft &amp; Luxuriously Cooling, 17" Deep Pocket, Perfect for Hot Sleepers - King Bed Sheets (Olive)</t>
        </is>
      </c>
      <c r="E62" s="39" t="inlineStr">
        <is>
          <t>King</t>
        </is>
      </c>
      <c r="F62" s="39" t="inlineStr">
        <is>
          <t>Olive</t>
        </is>
      </c>
      <c r="G62" s="40" t="n"/>
      <c r="H62" s="39" t="n"/>
      <c r="I62" s="40" t="n"/>
      <c r="J62" s="39" t="n"/>
      <c r="K62" s="40" t="n"/>
      <c r="L62" s="76" t="n"/>
      <c r="M62" s="77" t="n"/>
      <c r="N62" s="39" t="inlineStr">
        <is>
          <t>Inactive</t>
        </is>
      </c>
      <c r="O62" s="39" t="n"/>
      <c r="P62" s="78" t="n"/>
      <c r="Q62" s="77" t="n"/>
      <c r="R62" s="77" t="n"/>
      <c r="S62" s="77" t="n"/>
      <c r="T62" s="39" t="n"/>
    </row>
    <row r="63" ht="62" customHeight="1">
      <c r="A63" s="12">
        <f>_xlfn.IMAGE("https://m.media-amazon.com/images/I/711EIufga2L.jpg")</f>
        <v/>
      </c>
      <c r="B63" s="39" t="inlineStr">
        <is>
          <t>B0DDTTZ941</t>
        </is>
      </c>
      <c r="C63" s="39" t="inlineStr">
        <is>
          <t>SS-BAMBOO-PURPLE-KING-4PCS</t>
        </is>
      </c>
      <c r="D63" s="39" t="inlineStr">
        <is>
          <t>SLEEP SANCTUARY 100% Organic Viscose Derived from Bamboo Sheets King Size 4pcs - Ultra Soft &amp; Luxuriously Cooling, 17" Deep Pocket, Perfect for Hot Sleepers - King Bed Sheets (Purple)</t>
        </is>
      </c>
      <c r="E63" s="39" t="inlineStr">
        <is>
          <t>King</t>
        </is>
      </c>
      <c r="F63" s="39" t="inlineStr">
        <is>
          <t>Purple</t>
        </is>
      </c>
      <c r="G63" s="40" t="n"/>
      <c r="H63" s="39" t="n"/>
      <c r="I63" s="40" t="n"/>
      <c r="J63" s="39" t="n"/>
      <c r="K63" s="40" t="n"/>
      <c r="L63" s="76" t="n"/>
      <c r="M63" s="77" t="n"/>
      <c r="N63" s="39" t="inlineStr">
        <is>
          <t>Inactive</t>
        </is>
      </c>
      <c r="O63" s="39" t="n"/>
      <c r="P63" s="78" t="n"/>
      <c r="Q63" s="77" t="n"/>
      <c r="R63" s="77" t="n"/>
      <c r="S63" s="77" t="n"/>
      <c r="T63" s="39" t="n"/>
    </row>
    <row r="64" ht="62" customHeight="1">
      <c r="A64" s="12">
        <f>_xlfn.IMAGE("https://m.media-amazon.com/images/I/71NJ4arwSJL.jpg")</f>
        <v/>
      </c>
      <c r="B64" s="39" t="inlineStr">
        <is>
          <t>B0DDTV2QDL</t>
        </is>
      </c>
      <c r="C64" s="39" t="inlineStr">
        <is>
          <t>SS-BAMBOO-SAGE-GREEN-KING-4PCS</t>
        </is>
      </c>
      <c r="D64" s="39" t="inlineStr">
        <is>
          <t>SLEEP SANCTUARY 100% Organic Viscose Derived from Bamboo Sheets King Size 4pcs - Ultra Soft &amp; Luxuriously Cooling, 17" Deep Pocket, Perfect for Hot Sleepers - King Bed Sheets (Sage Green)</t>
        </is>
      </c>
      <c r="E64" s="39" t="inlineStr">
        <is>
          <t>King</t>
        </is>
      </c>
      <c r="F64" s="39" t="inlineStr">
        <is>
          <t>Sage Green</t>
        </is>
      </c>
      <c r="G64" s="40" t="n"/>
      <c r="H64" s="39" t="n"/>
      <c r="I64" s="40" t="n"/>
      <c r="J64" s="39" t="n"/>
      <c r="K64" s="40" t="n"/>
      <c r="L64" s="76" t="n"/>
      <c r="M64" s="77" t="n"/>
      <c r="N64" s="39" t="inlineStr">
        <is>
          <t>Inactive</t>
        </is>
      </c>
      <c r="O64" s="39" t="n"/>
      <c r="P64" s="78" t="n"/>
      <c r="Q64" s="77" t="n"/>
      <c r="R64" s="77" t="n"/>
      <c r="S64" s="77" t="n"/>
      <c r="T64" s="39" t="n"/>
    </row>
    <row r="65" ht="62" customHeight="1">
      <c r="A65" s="12">
        <f>_xlfn.IMAGE("https://m.media-amazon.com/images/I/71LuYrkY0CL.jpg")</f>
        <v/>
      </c>
      <c r="B65" s="39" t="inlineStr">
        <is>
          <t>B0DDTS3BN1</t>
        </is>
      </c>
      <c r="C65" s="39" t="inlineStr">
        <is>
          <t>SS-BAMBOO-TAUPE-KING-4PCS</t>
        </is>
      </c>
      <c r="D65" s="39" t="inlineStr">
        <is>
          <t>SLEEP SANCTUARY 100% Organic Viscose Derived from Bamboo Sheets King Size 4pcs - Ultra Soft &amp; Luxuriously Cooling, 17" Deep Pocket, Perfect for Hot Sleepers - King Bed Sheets (Taupe)</t>
        </is>
      </c>
      <c r="E65" s="39" t="inlineStr">
        <is>
          <t>King</t>
        </is>
      </c>
      <c r="F65" s="39" t="inlineStr">
        <is>
          <t>Taupe</t>
        </is>
      </c>
      <c r="G65" s="40" t="n"/>
      <c r="H65" s="39" t="n"/>
      <c r="I65" s="40" t="n"/>
      <c r="J65" s="39" t="n"/>
      <c r="K65" s="40" t="n"/>
      <c r="L65" s="76" t="n"/>
      <c r="M65" s="77" t="n"/>
      <c r="N65" s="39" t="inlineStr">
        <is>
          <t>Inactive</t>
        </is>
      </c>
      <c r="O65" s="39" t="n"/>
      <c r="P65" s="78" t="n"/>
      <c r="Q65" s="77" t="n"/>
      <c r="R65" s="77" t="n"/>
      <c r="S65" s="77" t="n"/>
      <c r="T65" s="39" t="n"/>
    </row>
    <row r="66" ht="62" customHeight="1">
      <c r="A66" s="12">
        <f>_xlfn.IMAGE("https://m.media-amazon.com/images/I/71MHybZpyiL.jpg")</f>
        <v/>
      </c>
      <c r="B66" s="39" t="inlineStr">
        <is>
          <t>B0DDTS9359</t>
        </is>
      </c>
      <c r="C66" s="39" t="inlineStr">
        <is>
          <t>SS-BAMBOO-WHITE-KING-4PCS</t>
        </is>
      </c>
      <c r="D66" s="39" t="inlineStr">
        <is>
          <t>SLEEP SANCTUARY 100% Organic Viscose Derived from Bamboo Sheets King Size 4pcs - Ultra Soft &amp; Luxuriously Cooling, 17" Deep Pocket, Perfect for Hot Sleepers - King Bed Sheets (White)</t>
        </is>
      </c>
      <c r="E66" s="39" t="inlineStr">
        <is>
          <t>King</t>
        </is>
      </c>
      <c r="F66" s="39" t="inlineStr">
        <is>
          <t>White</t>
        </is>
      </c>
      <c r="G66" s="40" t="n"/>
      <c r="H66" s="39" t="n"/>
      <c r="I66" s="40" t="n"/>
      <c r="J66" s="39" t="n"/>
      <c r="K66" s="40" t="n"/>
      <c r="L66" s="76" t="n"/>
      <c r="M66" s="77" t="n"/>
      <c r="N66" s="39" t="inlineStr">
        <is>
          <t>Inactive</t>
        </is>
      </c>
      <c r="O66" s="39" t="n"/>
      <c r="P66" s="78" t="n"/>
      <c r="Q66" s="77" t="n"/>
      <c r="R66" s="77" t="n"/>
      <c r="S66" s="77" t="n"/>
      <c r="T66" s="39" t="n"/>
    </row>
    <row r="67" ht="62" customHeight="1">
      <c r="A67" s="12">
        <f>_xlfn.IMAGE("https://m.media-amazon.com/images/I/71+FTZ6Q2KL.jpg")</f>
        <v/>
      </c>
      <c r="B67" s="39" t="inlineStr">
        <is>
          <t>B0DDTSH8FD</t>
        </is>
      </c>
      <c r="C67" s="39" t="inlineStr">
        <is>
          <t>SS-BAMBOO-BLACK-QUEEN-4PCS</t>
        </is>
      </c>
      <c r="D67" s="39" t="inlineStr">
        <is>
          <t>SLEEP SANCTUARY 100% Organic Viscose Derived from Bamboo Sheets Queen Size 4pcs - Ultra Soft &amp; Luxuriously Cooling, 17" Deep Pocket, Perfect for Hot Sleepers - Queen Bed Sheets (Black)</t>
        </is>
      </c>
      <c r="E67" s="39" t="inlineStr">
        <is>
          <t>Queen</t>
        </is>
      </c>
      <c r="F67" s="39" t="inlineStr">
        <is>
          <t>Black</t>
        </is>
      </c>
      <c r="G67" s="40" t="n"/>
      <c r="H67" s="39" t="n"/>
      <c r="I67" s="40" t="n"/>
      <c r="J67" s="39" t="n"/>
      <c r="K67" s="40" t="n"/>
      <c r="L67" s="76" t="n"/>
      <c r="M67" s="77" t="n"/>
      <c r="N67" s="39" t="inlineStr">
        <is>
          <t>Inactive</t>
        </is>
      </c>
      <c r="O67" s="39" t="n"/>
      <c r="P67" s="78" t="n"/>
      <c r="Q67" s="77" t="n"/>
      <c r="R67" s="77" t="n"/>
      <c r="S67" s="77" t="n"/>
      <c r="T67" s="39" t="n"/>
    </row>
    <row r="68" ht="62" customHeight="1">
      <c r="A68" s="12">
        <f>_xlfn.IMAGE("https://m.media-amazon.com/images/I/71BuSYnrHNL.jpg")</f>
        <v/>
      </c>
      <c r="B68" s="39" t="inlineStr">
        <is>
          <t>B0DDTR5MZT</t>
        </is>
      </c>
      <c r="C68" s="39" t="inlineStr">
        <is>
          <t>SS-BAMBOO-BURGUNDY-QUEEN-4PCS</t>
        </is>
      </c>
      <c r="D68" s="39" t="inlineStr">
        <is>
          <t>SLEEP SANCTUARY 100% Organic Viscose Derived from Bamboo Sheets Queen Size 4pcs - Ultra Soft &amp; Luxuriously Cooling, 17" Deep Pocket, Perfect for Hot Sleepers - Queen Bed Sheets (Burgundy)</t>
        </is>
      </c>
      <c r="E68" s="39" t="inlineStr">
        <is>
          <t>Queen</t>
        </is>
      </c>
      <c r="F68" s="39" t="inlineStr">
        <is>
          <t>Burgundy</t>
        </is>
      </c>
      <c r="G68" s="40" t="n"/>
      <c r="H68" s="39" t="n"/>
      <c r="I68" s="40" t="n"/>
      <c r="J68" s="39" t="n"/>
      <c r="K68" s="40" t="n"/>
      <c r="L68" s="76" t="n"/>
      <c r="M68" s="77" t="n"/>
      <c r="N68" s="39" t="inlineStr">
        <is>
          <t>Inactive</t>
        </is>
      </c>
      <c r="O68" s="39" t="n"/>
      <c r="P68" s="78" t="n"/>
      <c r="Q68" s="77" t="n"/>
      <c r="R68" s="77" t="n"/>
      <c r="S68" s="77" t="n"/>
      <c r="T68" s="39" t="n"/>
    </row>
    <row r="69" ht="62" customHeight="1">
      <c r="A69" s="12">
        <f>_xlfn.IMAGE("https://m.media-amazon.com/images/I/71+zNdSenUL.jpg")</f>
        <v/>
      </c>
      <c r="B69" s="39" t="inlineStr">
        <is>
          <t>B0DDTRPP1X</t>
        </is>
      </c>
      <c r="C69" s="39" t="inlineStr">
        <is>
          <t>SS-BAMBOO-CHARCOAL-QUEEN-4PCS</t>
        </is>
      </c>
      <c r="D69" s="39" t="inlineStr">
        <is>
          <t>SLEEP SANCTUARY 100% Organic Viscose Derived from Bamboo Sheets Queen Size 4pcs - Ultra Soft &amp; Luxuriously Cooling, 17" Deep Pocket, Perfect for Hot Sleepers - Queen Bed Sheets (Charcoal)</t>
        </is>
      </c>
      <c r="E69" s="39" t="inlineStr">
        <is>
          <t>Queen</t>
        </is>
      </c>
      <c r="F69" s="39" t="inlineStr">
        <is>
          <t>Charcoal</t>
        </is>
      </c>
      <c r="G69" s="40" t="n"/>
      <c r="H69" s="39" t="n"/>
      <c r="I69" s="40" t="n"/>
      <c r="J69" s="39" t="n"/>
      <c r="K69" s="40" t="n"/>
      <c r="L69" s="76" t="n"/>
      <c r="M69" s="77" t="n"/>
      <c r="N69" s="39" t="inlineStr">
        <is>
          <t>Inactive</t>
        </is>
      </c>
      <c r="O69" s="39" t="n"/>
      <c r="P69" s="78" t="n"/>
      <c r="Q69" s="77" t="n"/>
      <c r="R69" s="77" t="n"/>
      <c r="S69" s="77" t="n"/>
      <c r="T69" s="39" t="n"/>
    </row>
    <row r="70" ht="62" customHeight="1">
      <c r="A70" s="12">
        <f>_xlfn.IMAGE("https://m.media-amazon.com/images/I/71nRaHeuOvL.jpg")</f>
        <v/>
      </c>
      <c r="B70" s="39" t="inlineStr">
        <is>
          <t>B0DDTS81LS</t>
        </is>
      </c>
      <c r="C70" s="39" t="inlineStr">
        <is>
          <t>SS-BAMBOO-CREME-QUEEN-4PCS</t>
        </is>
      </c>
      <c r="D70" s="39" t="inlineStr">
        <is>
          <t>SLEEP SANCTUARY 100% Organic Viscose Derived from Bamboo Sheets Queen Size 4pcs - Ultra Soft &amp; Luxuriously Cooling, 17" Deep Pocket, Perfect for Hot Sleepers - Queen Bed Sheets (Creme)</t>
        </is>
      </c>
      <c r="E70" s="39" t="inlineStr">
        <is>
          <t>Queen</t>
        </is>
      </c>
      <c r="F70" s="39" t="inlineStr">
        <is>
          <t>Creme</t>
        </is>
      </c>
      <c r="G70" s="40" t="n"/>
      <c r="H70" s="39" t="n"/>
      <c r="I70" s="40" t="n"/>
      <c r="J70" s="39" t="n"/>
      <c r="K70" s="40" t="n"/>
      <c r="L70" s="76" t="n"/>
      <c r="M70" s="77" t="n"/>
      <c r="N70" s="39" t="inlineStr">
        <is>
          <t>Inactive</t>
        </is>
      </c>
      <c r="O70" s="39" t="n"/>
      <c r="P70" s="78" t="n"/>
      <c r="Q70" s="77" t="n"/>
      <c r="R70" s="77" t="n"/>
      <c r="S70" s="77" t="n"/>
      <c r="T70" s="39" t="n"/>
    </row>
    <row r="71" ht="62" customHeight="1">
      <c r="A71" s="12">
        <f>_xlfn.IMAGE("https://m.media-amazon.com/images/I/71k06vLMLsL.jpg")</f>
        <v/>
      </c>
      <c r="B71" s="39" t="inlineStr">
        <is>
          <t>B0DDTVZ1GD</t>
        </is>
      </c>
      <c r="C71" s="39" t="inlineStr">
        <is>
          <t>SS-BAMBOO-GREY-QUEEN-4PCS</t>
        </is>
      </c>
      <c r="D71" s="39" t="inlineStr">
        <is>
          <t>SLEEP SANCTUARY 100% Organic Viscose Derived from Bamboo Sheets Queen Size 4pcs - Ultra Soft &amp; Luxuriously Cooling, 17" Deep Pocket, Perfect for Hot Sleepers - Queen Bed Sheets (Grey)</t>
        </is>
      </c>
      <c r="E71" s="39" t="inlineStr">
        <is>
          <t>Queen</t>
        </is>
      </c>
      <c r="F71" s="39" t="inlineStr">
        <is>
          <t>Grey</t>
        </is>
      </c>
      <c r="G71" s="40" t="n"/>
      <c r="H71" s="39" t="n"/>
      <c r="I71" s="40" t="n"/>
      <c r="J71" s="39" t="n"/>
      <c r="K71" s="40" t="n"/>
      <c r="L71" s="76" t="n"/>
      <c r="M71" s="77" t="n"/>
      <c r="N71" s="39" t="inlineStr">
        <is>
          <t>Inactive</t>
        </is>
      </c>
      <c r="O71" s="39" t="n"/>
      <c r="P71" s="78" t="n"/>
      <c r="Q71" s="77" t="n"/>
      <c r="R71" s="77" t="n"/>
      <c r="S71" s="77" t="n"/>
      <c r="T71" s="39" t="n"/>
    </row>
    <row r="72" ht="62" customHeight="1">
      <c r="A72" s="12">
        <f>_xlfn.IMAGE("https://m.media-amazon.com/images/I/71pWInfUglL.jpg")</f>
        <v/>
      </c>
      <c r="B72" s="39" t="inlineStr">
        <is>
          <t>B0DDTQ36DL</t>
        </is>
      </c>
      <c r="C72" s="39" t="inlineStr">
        <is>
          <t>SS-BAMBOO-LIGHT-BLUE-QUEEN-4PCS</t>
        </is>
      </c>
      <c r="D72" s="39" t="inlineStr">
        <is>
          <t>SLEEP SANCTUARY 100% Organic Viscose Derived from Bamboo Sheets Queen Size 4pcs - Ultra Soft &amp; Luxuriously Cooling, 17" Deep Pocket, Perfect for Hot Sleepers - Queen Bed Sheets (Light Blue)</t>
        </is>
      </c>
      <c r="E72" s="39" t="inlineStr">
        <is>
          <t>Queen</t>
        </is>
      </c>
      <c r="F72" s="39" t="inlineStr">
        <is>
          <t>Light Blue</t>
        </is>
      </c>
      <c r="G72" s="40" t="n"/>
      <c r="H72" s="39" t="n"/>
      <c r="I72" s="40" t="n"/>
      <c r="J72" s="39" t="n"/>
      <c r="K72" s="40" t="n"/>
      <c r="L72" s="76" t="n"/>
      <c r="M72" s="77" t="n"/>
      <c r="N72" s="39" t="inlineStr">
        <is>
          <t>Inactive</t>
        </is>
      </c>
      <c r="O72" s="39" t="n"/>
      <c r="P72" s="78" t="n"/>
      <c r="Q72" s="77" t="n"/>
      <c r="R72" s="77" t="n"/>
      <c r="S72" s="77" t="n"/>
      <c r="T72" s="39" t="n"/>
    </row>
    <row r="73" ht="62" customHeight="1">
      <c r="A73" s="12">
        <f>_xlfn.IMAGE("https://m.media-amazon.com/images/I/71eMJfROqVL.jpg")</f>
        <v/>
      </c>
      <c r="B73" s="39" t="inlineStr">
        <is>
          <t>B0DDTS87B1</t>
        </is>
      </c>
      <c r="C73" s="39" t="inlineStr">
        <is>
          <t>SS-BAMBOO-LIGHT-GREY-QUEEN-4PCS</t>
        </is>
      </c>
      <c r="D73" s="39" t="inlineStr">
        <is>
          <t>SLEEP SANCTUARY 100% Organic Viscose Derived from Bamboo Sheets Queen Size 4pcs - Ultra Soft &amp; Luxuriously Cooling, 17" Deep Pocket, Perfect for Hot Sleepers - Queen Bed Sheets (Light Grey)</t>
        </is>
      </c>
      <c r="E73" s="39" t="inlineStr">
        <is>
          <t>Queen</t>
        </is>
      </c>
      <c r="F73" s="39" t="inlineStr">
        <is>
          <t>Light Grey</t>
        </is>
      </c>
      <c r="G73" s="40" t="n"/>
      <c r="H73" s="39" t="n"/>
      <c r="I73" s="40" t="n"/>
      <c r="J73" s="39" t="n"/>
      <c r="K73" s="40" t="n"/>
      <c r="L73" s="76" t="n"/>
      <c r="M73" s="77" t="n"/>
      <c r="N73" s="39" t="inlineStr">
        <is>
          <t>Inactive</t>
        </is>
      </c>
      <c r="O73" s="39" t="n"/>
      <c r="P73" s="78" t="n"/>
      <c r="Q73" s="77" t="n"/>
      <c r="R73" s="77" t="n"/>
      <c r="S73" s="77" t="n"/>
      <c r="T73" s="39" t="n"/>
    </row>
    <row r="74" ht="62" customHeight="1">
      <c r="A74" s="12">
        <f>_xlfn.IMAGE("https://m.media-amazon.com/images/I/71U5cTo5I9L.jpg")</f>
        <v/>
      </c>
      <c r="B74" s="39" t="inlineStr">
        <is>
          <t>B0DDTT2J8C</t>
        </is>
      </c>
      <c r="C74" s="39" t="inlineStr">
        <is>
          <t>SS-BAMBOO-LIGHT-OLIVE-QUEEN-4PCS</t>
        </is>
      </c>
      <c r="D74" s="39" t="inlineStr">
        <is>
          <t>SLEEP SANCTUARY 100% Organic Viscose Derived from Bamboo Sheets Queen Size 4pcs - Ultra Soft &amp; Luxuriously Cooling, 17" Deep Pocket,Perfect for Hot Sleepers - Queen Bed Sheets (Light Olive)</t>
        </is>
      </c>
      <c r="E74" s="39" t="inlineStr">
        <is>
          <t>Queen</t>
        </is>
      </c>
      <c r="F74" s="39" t="inlineStr">
        <is>
          <t>Light Olive</t>
        </is>
      </c>
      <c r="G74" s="40" t="n"/>
      <c r="H74" s="39" t="n"/>
      <c r="I74" s="40" t="n"/>
      <c r="J74" s="39" t="n"/>
      <c r="K74" s="40" t="n"/>
      <c r="L74" s="76" t="n"/>
      <c r="M74" s="77" t="n"/>
      <c r="N74" s="39" t="inlineStr">
        <is>
          <t>Inactive</t>
        </is>
      </c>
      <c r="O74" s="39" t="n"/>
      <c r="P74" s="78" t="n"/>
      <c r="Q74" s="77" t="n"/>
      <c r="R74" s="77" t="n"/>
      <c r="S74" s="77" t="n"/>
      <c r="T74" s="39" t="n"/>
    </row>
    <row r="75" ht="62" customHeight="1">
      <c r="A75" s="12">
        <f>_xlfn.IMAGE("https://m.media-amazon.com/images/I/71ci1kRa35L.jpg")</f>
        <v/>
      </c>
      <c r="B75" s="39" t="inlineStr">
        <is>
          <t>B0DDTQS47S</t>
        </is>
      </c>
      <c r="C75" s="39" t="inlineStr">
        <is>
          <t>SS-BAMBOO-LIGHT-PINK-QUEEN-4PCS</t>
        </is>
      </c>
      <c r="D75" s="39" t="inlineStr">
        <is>
          <t>SLEEP SANCTUARY 100% Organic Viscose Derived from Bamboo Sheets Queen Size 4pcs - Ultra Soft &amp; Luxuriously Cooling, 17" Deep Pocket, Perfect for Hot Sleepers - Queen Bed Sheets (Light Pink)</t>
        </is>
      </c>
      <c r="E75" s="39" t="inlineStr">
        <is>
          <t>Queen</t>
        </is>
      </c>
      <c r="F75" s="39" t="inlineStr">
        <is>
          <t>Light Pink</t>
        </is>
      </c>
      <c r="G75" s="40" t="n"/>
      <c r="H75" s="39" t="n"/>
      <c r="I75" s="40" t="n"/>
      <c r="J75" s="39" t="n"/>
      <c r="K75" s="40" t="n"/>
      <c r="L75" s="76" t="n"/>
      <c r="M75" s="77" t="n"/>
      <c r="N75" s="39" t="inlineStr">
        <is>
          <t>Inactive</t>
        </is>
      </c>
      <c r="O75" s="39" t="n"/>
      <c r="P75" s="78" t="n"/>
      <c r="Q75" s="77" t="n"/>
      <c r="R75" s="77" t="n"/>
      <c r="S75" s="77" t="n"/>
      <c r="T75" s="39" t="n"/>
    </row>
    <row r="76" ht="62" customHeight="1">
      <c r="A76" s="12">
        <f>_xlfn.IMAGE("https://m.media-amazon.com/images/I/71OPRQ64ryL.jpg")</f>
        <v/>
      </c>
      <c r="B76" s="39" t="inlineStr">
        <is>
          <t>B0DDTRGPB1</t>
        </is>
      </c>
      <c r="C76" s="39" t="inlineStr">
        <is>
          <t>SS-BAMBOO-MIDGREY-QUEEN-4PCS</t>
        </is>
      </c>
      <c r="D76" s="39" t="inlineStr">
        <is>
          <t>SLEEP SANCTUARY 100% Organic Viscose Derived from Bamboo Sheets Queen Size 4pcs - Ultra Soft &amp; Luxuriously Cooling, 17" Deep Pocket, Perfect for Hot Sleepers - Queen Bed Sheets (Midgrey)</t>
        </is>
      </c>
      <c r="E76" s="39" t="inlineStr">
        <is>
          <t>Queen</t>
        </is>
      </c>
      <c r="F76" s="39" t="inlineStr">
        <is>
          <t>Midgrey</t>
        </is>
      </c>
      <c r="G76" s="40" t="n"/>
      <c r="H76" s="39" t="n"/>
      <c r="I76" s="40" t="n"/>
      <c r="J76" s="39" t="n"/>
      <c r="K76" s="40" t="n"/>
      <c r="L76" s="76" t="n"/>
      <c r="M76" s="77" t="n"/>
      <c r="N76" s="39" t="inlineStr">
        <is>
          <t>Inactive</t>
        </is>
      </c>
      <c r="O76" s="39" t="n"/>
      <c r="P76" s="78" t="n"/>
      <c r="Q76" s="77" t="n"/>
      <c r="R76" s="77" t="n"/>
      <c r="S76" s="77" t="n"/>
      <c r="T76" s="39" t="n"/>
    </row>
    <row r="77" ht="62" customHeight="1">
      <c r="A77" s="12">
        <f>_xlfn.IMAGE("https://m.media-amazon.com/images/I/71GpRh9MZIL.jpg")</f>
        <v/>
      </c>
      <c r="B77" s="39" t="inlineStr">
        <is>
          <t>B0DDTRKBZ9</t>
        </is>
      </c>
      <c r="C77" s="39" t="inlineStr">
        <is>
          <t>SS-BAMBOO-NAVY-BLUE-QUEEN-4PCS</t>
        </is>
      </c>
      <c r="D77" s="39" t="inlineStr">
        <is>
          <t>SLEEP SANCTUARY 100% Organic Viscose Derived from Bamboo Sheets Queen Size 4pcs - Ultra Soft &amp; Luxuriously Cooling, 17" Deep Pocket, Perfect for Hot Sleepers - Queen Bed Sheets (Navy Blue)</t>
        </is>
      </c>
      <c r="E77" s="39" t="inlineStr">
        <is>
          <t>Queen</t>
        </is>
      </c>
      <c r="F77" s="39" t="inlineStr">
        <is>
          <t>Navy Blue</t>
        </is>
      </c>
      <c r="G77" s="40" t="n"/>
      <c r="H77" s="39" t="n"/>
      <c r="I77" s="40" t="n"/>
      <c r="J77" s="39" t="n"/>
      <c r="K77" s="40" t="n"/>
      <c r="L77" s="76" t="n"/>
      <c r="M77" s="77" t="n"/>
      <c r="N77" s="39" t="inlineStr">
        <is>
          <t>Inactive</t>
        </is>
      </c>
      <c r="O77" s="39" t="n"/>
      <c r="P77" s="78" t="n"/>
      <c r="Q77" s="77" t="n"/>
      <c r="R77" s="77" t="n"/>
      <c r="S77" s="77" t="n"/>
      <c r="T77" s="39" t="n"/>
    </row>
    <row r="78" ht="62" customHeight="1">
      <c r="A78" s="12">
        <f>_xlfn.IMAGE("https://m.media-amazon.com/images/I/71g3UenTI2L.jpg")</f>
        <v/>
      </c>
      <c r="B78" s="39" t="inlineStr">
        <is>
          <t>B0DDTT8LXZ</t>
        </is>
      </c>
      <c r="C78" s="39" t="inlineStr">
        <is>
          <t>SS-BAMBOO-OLIVE-QUEEN-4PCS</t>
        </is>
      </c>
      <c r="D78" s="39" t="inlineStr">
        <is>
          <t>SLEEP SANCTUARY 100% Organic Viscose Derived from Bamboo Sheets Queen Size 4pcs - Ultra Soft &amp; Luxuriously Cooling, 17" Deep Pocket, Perfect for Hot Sleepers - Queen Bed Sheets (Olive)</t>
        </is>
      </c>
      <c r="E78" s="39" t="inlineStr">
        <is>
          <t>Queen</t>
        </is>
      </c>
      <c r="F78" s="39" t="inlineStr">
        <is>
          <t>Olive</t>
        </is>
      </c>
      <c r="G78" s="40" t="n"/>
      <c r="H78" s="39" t="n"/>
      <c r="I78" s="40" t="n"/>
      <c r="J78" s="39" t="n"/>
      <c r="K78" s="40" t="n"/>
      <c r="L78" s="76" t="n"/>
      <c r="M78" s="77" t="n"/>
      <c r="N78" s="39" t="inlineStr">
        <is>
          <t>Inactive</t>
        </is>
      </c>
      <c r="O78" s="39" t="n"/>
      <c r="P78" s="78" t="n"/>
      <c r="Q78" s="77" t="n"/>
      <c r="R78" s="77" t="n"/>
      <c r="S78" s="77" t="n"/>
      <c r="T78" s="39" t="n"/>
    </row>
    <row r="79" ht="62" customHeight="1">
      <c r="A79" s="12">
        <f>_xlfn.IMAGE("https://m.media-amazon.com/images/I/711EIufga2L.jpg")</f>
        <v/>
      </c>
      <c r="B79" s="39" t="inlineStr">
        <is>
          <t>B0DDTRB9WB</t>
        </is>
      </c>
      <c r="C79" s="39" t="inlineStr">
        <is>
          <t>SS-BAMBOO-PURPLE-QUEEN-4PCS</t>
        </is>
      </c>
      <c r="D79" s="39" t="inlineStr">
        <is>
          <t>SLEEP SANCTUARY 100% Organic Viscose Derived from Bamboo Sheets Queen Size 4pcs - Ultra Soft &amp; Luxuriously Cooling, 17" Deep Pocket, Perfect for Hot Sleepers - Queen Bed Sheets (Purple)</t>
        </is>
      </c>
      <c r="E79" s="39" t="inlineStr">
        <is>
          <t>Queen</t>
        </is>
      </c>
      <c r="F79" s="39" t="inlineStr">
        <is>
          <t>Purple</t>
        </is>
      </c>
      <c r="G79" s="40" t="n"/>
      <c r="H79" s="39" t="n"/>
      <c r="I79" s="40" t="n"/>
      <c r="J79" s="39" t="n"/>
      <c r="K79" s="40" t="n"/>
      <c r="L79" s="76" t="n"/>
      <c r="M79" s="77" t="n"/>
      <c r="N79" s="39" t="inlineStr">
        <is>
          <t>Inactive</t>
        </is>
      </c>
      <c r="O79" s="39" t="n"/>
      <c r="P79" s="78" t="n"/>
      <c r="Q79" s="77" t="n"/>
      <c r="R79" s="77" t="n"/>
      <c r="S79" s="77" t="n"/>
      <c r="T79" s="39" t="n"/>
    </row>
    <row r="80" ht="62" customHeight="1">
      <c r="A80" s="12">
        <f>_xlfn.IMAGE("https://m.media-amazon.com/images/I/71NJ4arwSJL.jpg")</f>
        <v/>
      </c>
      <c r="B80" s="39" t="inlineStr">
        <is>
          <t>B0DDTRD22G</t>
        </is>
      </c>
      <c r="C80" s="39" t="inlineStr">
        <is>
          <t>SS-BAMBOO-SAGE-GREEN-QUEEN-4PCS</t>
        </is>
      </c>
      <c r="D80" s="39" t="inlineStr">
        <is>
          <t>SLEEP SANCTUARY 100% Organic Viscose Derived from Bamboo Sheets Queen Size 4pcs - Ultra Soft &amp; Luxuriously Cooling, 17" Deep Pocket, Perfect for Hot Sleepers - Queen Bed Sheets (Sage Green)</t>
        </is>
      </c>
      <c r="E80" s="39" t="inlineStr">
        <is>
          <t>Queen</t>
        </is>
      </c>
      <c r="F80" s="39" t="inlineStr">
        <is>
          <t>Sage Green</t>
        </is>
      </c>
      <c r="G80" s="40" t="n"/>
      <c r="H80" s="39" t="n"/>
      <c r="I80" s="40" t="n"/>
      <c r="J80" s="39" t="n"/>
      <c r="K80" s="40" t="n"/>
      <c r="L80" s="76" t="n"/>
      <c r="M80" s="77" t="n"/>
      <c r="N80" s="39" t="inlineStr">
        <is>
          <t>Inactive</t>
        </is>
      </c>
      <c r="O80" s="39" t="n"/>
      <c r="P80" s="78" t="n"/>
      <c r="Q80" s="77" t="n"/>
      <c r="R80" s="77" t="n"/>
      <c r="S80" s="77" t="n"/>
      <c r="T80" s="39" t="n"/>
    </row>
    <row r="81" ht="62" customHeight="1">
      <c r="A81" s="12">
        <f>_xlfn.IMAGE("https://m.media-amazon.com/images/I/71LuYrkY0CL.jpg")</f>
        <v/>
      </c>
      <c r="B81" s="39" t="inlineStr">
        <is>
          <t>B0DDTTHK5C</t>
        </is>
      </c>
      <c r="C81" s="39" t="inlineStr">
        <is>
          <t>SS-BAMBOO-TAUPE-QUEEN-4PCS</t>
        </is>
      </c>
      <c r="D81" s="39" t="inlineStr">
        <is>
          <t>SLEEP SANCTUARY 100% Organic Viscose Derived from Bamboo Sheets Queen Size 4pcs - Ultra Soft &amp; Luxuriously Cooling, 17" Deep Pocket, Perfect for Hot Sleepers - Queen Bed Sheets (Taupe)</t>
        </is>
      </c>
      <c r="E81" s="39" t="inlineStr">
        <is>
          <t>Queen</t>
        </is>
      </c>
      <c r="F81" s="39" t="inlineStr">
        <is>
          <t>Taupe</t>
        </is>
      </c>
      <c r="G81" s="40" t="n"/>
      <c r="H81" s="39" t="n"/>
      <c r="I81" s="40" t="n"/>
      <c r="J81" s="39" t="n"/>
      <c r="K81" s="40" t="n"/>
      <c r="L81" s="76" t="n"/>
      <c r="M81" s="77" t="n"/>
      <c r="N81" s="39" t="inlineStr">
        <is>
          <t>Inactive</t>
        </is>
      </c>
      <c r="O81" s="39" t="n"/>
      <c r="P81" s="78" t="n"/>
      <c r="Q81" s="77" t="n"/>
      <c r="R81" s="77" t="n"/>
      <c r="S81" s="77" t="n"/>
      <c r="T81" s="39" t="n"/>
    </row>
    <row r="82" ht="62" customHeight="1">
      <c r="A82" s="12">
        <f>_xlfn.IMAGE("https://m.media-amazon.com/images/I/71MHybZpyiL.jpg")</f>
        <v/>
      </c>
      <c r="B82" s="39" t="inlineStr">
        <is>
          <t>B0DDTV2456</t>
        </is>
      </c>
      <c r="C82" s="39" t="inlineStr">
        <is>
          <t>SS-BAMBOO-WHITE-QUEEN-4PCS</t>
        </is>
      </c>
      <c r="D82" s="39" t="inlineStr">
        <is>
          <t>SLEEP SANCTUARY 100% Organic Viscose Derived from Bamboo Sheets Queen Size 4pcs - Ultra Soft &amp; Luxuriously Cooling, 17" Deep Pocket, Perfect for Hot Sleepers - Queen Bed Sheets (White)</t>
        </is>
      </c>
      <c r="E82" s="39" t="inlineStr">
        <is>
          <t>Queen</t>
        </is>
      </c>
      <c r="F82" s="39" t="inlineStr">
        <is>
          <t>White</t>
        </is>
      </c>
      <c r="G82" s="40" t="n"/>
      <c r="H82" s="39" t="n"/>
      <c r="I82" s="40" t="n"/>
      <c r="J82" s="39" t="n"/>
      <c r="K82" s="40" t="n"/>
      <c r="L82" s="76" t="n"/>
      <c r="M82" s="77" t="n"/>
      <c r="N82" s="39" t="inlineStr">
        <is>
          <t>Inactive</t>
        </is>
      </c>
      <c r="O82" s="39" t="n"/>
      <c r="P82" s="78" t="n"/>
      <c r="Q82" s="77" t="n"/>
      <c r="R82" s="77" t="n"/>
      <c r="S82" s="77" t="n"/>
      <c r="T82" s="39" t="n"/>
    </row>
    <row r="83" ht="62" customHeight="1">
      <c r="A83" s="12">
        <f>_xlfn.IMAGE("https://m.media-amazon.com/images/I/71ezsAlFavL.jpg")</f>
        <v/>
      </c>
      <c r="B83" s="39" t="inlineStr">
        <is>
          <t>B0DDTVGBFD</t>
        </is>
      </c>
      <c r="C83" s="39" t="inlineStr">
        <is>
          <t>SS-BAMBOO-BLACK-TWIN-3PCS</t>
        </is>
      </c>
      <c r="D83" s="39" t="inlineStr">
        <is>
          <t>SLEEP SANCTUARY 100% Organic Viscose Derived from Bamboo Sheets Twin Size 3pcs - Ultra Soft &amp; Luxuriously Cooling, 17" Deep Pocket, Perfect for Hot Sleepers - Twin Bed Sheets (Black)</t>
        </is>
      </c>
      <c r="E83" s="39" t="inlineStr">
        <is>
          <t>Twin</t>
        </is>
      </c>
      <c r="F83" s="39" t="inlineStr">
        <is>
          <t>Black</t>
        </is>
      </c>
      <c r="G83" s="40" t="n"/>
      <c r="H83" s="39" t="n"/>
      <c r="I83" s="40" t="n"/>
      <c r="J83" s="39" t="n"/>
      <c r="K83" s="40" t="n"/>
      <c r="L83" s="76" t="n"/>
      <c r="M83" s="77" t="n"/>
      <c r="N83" s="39" t="inlineStr">
        <is>
          <t>Inactive</t>
        </is>
      </c>
      <c r="O83" s="39" t="n"/>
      <c r="P83" s="78" t="n"/>
      <c r="Q83" s="77" t="n"/>
      <c r="R83" s="77" t="n"/>
      <c r="S83" s="77" t="n"/>
      <c r="T83" s="39" t="n"/>
    </row>
    <row r="84" ht="62" customHeight="1">
      <c r="A84" s="12">
        <f>_xlfn.IMAGE("https://m.media-amazon.com/images/I/81gNwuW4tEL.jpg")</f>
        <v/>
      </c>
      <c r="B84" s="39" t="inlineStr">
        <is>
          <t>B0DDTWR1JB</t>
        </is>
      </c>
      <c r="C84" s="39" t="inlineStr">
        <is>
          <t>SS-BAMBOO-BLACK-TWIN-4PCS</t>
        </is>
      </c>
      <c r="D84" s="39" t="inlineStr">
        <is>
          <t>SLEEP SANCTUARY 100% Viscose Derived from Bamboo Sheets Twin Size, 4 Pc Set</t>
        </is>
      </c>
      <c r="E84" s="39" t="inlineStr">
        <is>
          <t>Twin</t>
        </is>
      </c>
      <c r="F84" s="39" t="inlineStr">
        <is>
          <t>Black</t>
        </is>
      </c>
      <c r="G84" s="73" t="n">
        <v>54.99</v>
      </c>
      <c r="H84" s="39" t="inlineStr">
        <is>
          <t>catalog price, 2026-10-13</t>
        </is>
      </c>
      <c r="I84" s="74" t="n">
        <v>59.99</v>
      </c>
      <c r="J84" s="75" t="inlineStr">
        <is>
          <t>2026-03-30</t>
        </is>
      </c>
      <c r="K84" s="40" t="n">
        <v>22.9</v>
      </c>
      <c r="L84" s="76" t="n">
        <v>0.3817302883813969</v>
      </c>
      <c r="M84" s="77" t="n">
        <v>0</v>
      </c>
      <c r="N84" s="39" t="inlineStr">
        <is>
          <t>Active</t>
        </is>
      </c>
      <c r="O84" s="39" t="n"/>
      <c r="P84" s="78" t="n">
        <v>4.5</v>
      </c>
      <c r="Q84" s="77" t="n">
        <v>320</v>
      </c>
      <c r="R84" s="77" t="n">
        <v>252428</v>
      </c>
      <c r="S84" s="77" t="n">
        <v>3</v>
      </c>
      <c r="T84" s="39" t="n"/>
    </row>
    <row r="85" ht="62" customHeight="1">
      <c r="A85" s="12">
        <f>_xlfn.IMAGE("https://m.media-amazon.com/images/I/81O1Qx5WReL.jpg")</f>
        <v/>
      </c>
      <c r="B85" s="39" t="inlineStr">
        <is>
          <t>B0DDV12K7H</t>
        </is>
      </c>
      <c r="C85" s="39" t="inlineStr">
        <is>
          <t>SS-BAMBOO-BURGUNDY-TWIN-4PCS</t>
        </is>
      </c>
      <c r="D85" s="39" t="inlineStr">
        <is>
          <t>SLEEP SANCTUARY 100% Viscose Derived from Bamboo Sheets Twin Size, 4 Pc Set</t>
        </is>
      </c>
      <c r="E85" s="39" t="inlineStr">
        <is>
          <t>Twin</t>
        </is>
      </c>
      <c r="F85" s="39" t="inlineStr">
        <is>
          <t>Burgundy</t>
        </is>
      </c>
      <c r="G85" s="73" t="n">
        <v>54.99</v>
      </c>
      <c r="H85" s="39" t="inlineStr">
        <is>
          <t>catalog price, 2026-10-13</t>
        </is>
      </c>
      <c r="I85" s="74" t="n">
        <v>54.99</v>
      </c>
      <c r="J85" s="75" t="inlineStr">
        <is>
          <t>2026-03-30</t>
        </is>
      </c>
      <c r="K85" s="40" t="n">
        <v>18.52</v>
      </c>
      <c r="L85" s="76" t="n">
        <v>0.3367885070012729</v>
      </c>
      <c r="M85" s="77" t="n">
        <v>0</v>
      </c>
      <c r="N85" s="39" t="inlineStr">
        <is>
          <t>Active</t>
        </is>
      </c>
      <c r="O85" s="39" t="n"/>
      <c r="P85" s="78" t="n">
        <v>4.5</v>
      </c>
      <c r="Q85" s="77" t="n">
        <v>320</v>
      </c>
      <c r="R85" s="77" t="n">
        <v>252421</v>
      </c>
      <c r="S85" s="77" t="n">
        <v>3</v>
      </c>
      <c r="T85" s="39" t="n"/>
    </row>
    <row r="86" ht="62" customHeight="1">
      <c r="A86" s="12">
        <f>_xlfn.IMAGE("https://m.media-amazon.com/images/I/71NG2guBnSL.jpg")</f>
        <v/>
      </c>
      <c r="B86" s="39" t="inlineStr">
        <is>
          <t>B0DDTR4H2M</t>
        </is>
      </c>
      <c r="C86" s="39" t="inlineStr">
        <is>
          <t>SS-BAMBOO-BURGUNDY-TWIN-3PCS</t>
        </is>
      </c>
      <c r="D86" s="39" t="inlineStr">
        <is>
          <t>SLEEP SANCTUARY 100% Organic Viscose Derived from Bamboo Sheets Twin Size 3pcs - Ultra Soft &amp; Luxuriously Cooling, 17" Deep Pocket, Perfect for Hot Sleepers - Twin Bed Sheets (Burgundy)</t>
        </is>
      </c>
      <c r="E86" s="39" t="inlineStr">
        <is>
          <t>Twin</t>
        </is>
      </c>
      <c r="F86" s="39" t="inlineStr">
        <is>
          <t>Burgundy</t>
        </is>
      </c>
      <c r="G86" s="40" t="n"/>
      <c r="H86" s="39" t="n"/>
      <c r="I86" s="40" t="n"/>
      <c r="J86" s="39" t="n"/>
      <c r="K86" s="40" t="n"/>
      <c r="L86" s="76" t="n"/>
      <c r="M86" s="77" t="n"/>
      <c r="N86" s="39" t="inlineStr">
        <is>
          <t>Inactive</t>
        </is>
      </c>
      <c r="O86" s="39" t="n"/>
      <c r="P86" s="78" t="n"/>
      <c r="Q86" s="77" t="n"/>
      <c r="R86" s="77" t="n"/>
      <c r="S86" s="77" t="n"/>
      <c r="T86" s="39" t="n"/>
    </row>
    <row r="87" ht="62" customHeight="1">
      <c r="A87" s="12">
        <f>_xlfn.IMAGE("https://m.media-amazon.com/images/I/71jY8x1f1+L.jpg")</f>
        <v/>
      </c>
      <c r="B87" s="39" t="inlineStr">
        <is>
          <t>B0DDTTK7NJ</t>
        </is>
      </c>
      <c r="C87" s="39" t="inlineStr">
        <is>
          <t>SS-BAMBOO-CHARCOAL-TWIN-3PCS</t>
        </is>
      </c>
      <c r="D87" s="39" t="inlineStr">
        <is>
          <t>SLEEP SANCTUARY 100% Organic Viscose Derived from Bamboo Sheets Twin Size 3pcs - Ultra Soft &amp; Luxuriously Cooling, 17" Deep Pocket, Perfect for Hot Sleepers - Twin Bed Sheets (Charcoal)</t>
        </is>
      </c>
      <c r="E87" s="39" t="inlineStr">
        <is>
          <t>Twin</t>
        </is>
      </c>
      <c r="F87" s="39" t="inlineStr">
        <is>
          <t>Charcoal</t>
        </is>
      </c>
      <c r="G87" s="40" t="n"/>
      <c r="H87" s="39" t="n"/>
      <c r="I87" s="40" t="n"/>
      <c r="J87" s="39" t="n"/>
      <c r="K87" s="40" t="n"/>
      <c r="L87" s="76" t="n"/>
      <c r="M87" s="77" t="n"/>
      <c r="N87" s="39" t="inlineStr">
        <is>
          <t>Inactive</t>
        </is>
      </c>
      <c r="O87" s="39" t="n"/>
      <c r="P87" s="78" t="n"/>
      <c r="Q87" s="77" t="n"/>
      <c r="R87" s="77" t="n"/>
      <c r="S87" s="77" t="n"/>
      <c r="T87" s="39" t="n"/>
    </row>
    <row r="88" ht="62" customHeight="1">
      <c r="A88" s="12">
        <f>_xlfn.IMAGE("https://m.media-amazon.com/images/I/81ckcfUOuYL.jpg")</f>
        <v/>
      </c>
      <c r="B88" s="39" t="inlineStr">
        <is>
          <t>B0DDV13P1G</t>
        </is>
      </c>
      <c r="C88" s="39" t="inlineStr">
        <is>
          <t>SS-BAMBOO-CREME-TWIN-4PCS</t>
        </is>
      </c>
      <c r="D88" s="39" t="inlineStr">
        <is>
          <t>SLEEP SANCTUARY 100% Viscose Derived from Bamboo Sheets Twin Size, 4 Pc Set</t>
        </is>
      </c>
      <c r="E88" s="39" t="inlineStr">
        <is>
          <t>Twin</t>
        </is>
      </c>
      <c r="F88" s="39" t="inlineStr">
        <is>
          <t>Creme</t>
        </is>
      </c>
      <c r="G88" s="73" t="n">
        <v>61.99</v>
      </c>
      <c r="H88" s="39" t="inlineStr">
        <is>
          <t>catalog price, 2026-10-13</t>
        </is>
      </c>
      <c r="I88" s="74" t="n">
        <v>54.99</v>
      </c>
      <c r="J88" s="75" t="inlineStr">
        <is>
          <t>2026-03-30</t>
        </is>
      </c>
      <c r="K88" s="40" t="n">
        <v>18.52</v>
      </c>
      <c r="L88" s="76" t="n">
        <v>0.3367885070012729</v>
      </c>
      <c r="M88" s="77" t="n">
        <v>0</v>
      </c>
      <c r="N88" s="39" t="inlineStr">
        <is>
          <t>Active</t>
        </is>
      </c>
      <c r="O88" s="39" t="n"/>
      <c r="P88" s="78" t="n">
        <v>4.5</v>
      </c>
      <c r="Q88" s="77" t="n">
        <v>320</v>
      </c>
      <c r="R88" s="77" t="n">
        <v>252428</v>
      </c>
      <c r="S88" s="77" t="n">
        <v>0.9066</v>
      </c>
      <c r="T88" s="39" t="n"/>
    </row>
    <row r="89" ht="62" customHeight="1">
      <c r="A89" s="12">
        <f>_xlfn.IMAGE("https://m.media-amazon.com/images/I/71GNKwe-HeL.jpg")</f>
        <v/>
      </c>
      <c r="B89" s="39" t="inlineStr">
        <is>
          <t>B0DDTRQK9Y</t>
        </is>
      </c>
      <c r="C89" s="39" t="inlineStr">
        <is>
          <t>SS-BAMBOO-CREME-TWIN-3PCS</t>
        </is>
      </c>
      <c r="D89" s="39" t="inlineStr">
        <is>
          <t>SLEEP SANCTUARY 100% Organic Viscose Derived from Bamboo Sheets Twin Size 3pcs - Ultra Soft &amp; Luxuriously Cooling, 17" Deep Pocket, Perfect for Hot Sleepers - Twin Bed Sheets (Creme)</t>
        </is>
      </c>
      <c r="E89" s="39" t="inlineStr">
        <is>
          <t>Twin</t>
        </is>
      </c>
      <c r="F89" s="39" t="inlineStr">
        <is>
          <t>Creme</t>
        </is>
      </c>
      <c r="G89" s="40" t="n"/>
      <c r="H89" s="39" t="n"/>
      <c r="I89" s="40" t="n"/>
      <c r="J89" s="39" t="n"/>
      <c r="K89" s="40" t="n"/>
      <c r="L89" s="76" t="n"/>
      <c r="M89" s="77" t="n"/>
      <c r="N89" s="39" t="inlineStr">
        <is>
          <t>Inactive</t>
        </is>
      </c>
      <c r="O89" s="39" t="n"/>
      <c r="P89" s="78" t="n"/>
      <c r="Q89" s="77" t="n"/>
      <c r="R89" s="77" t="n"/>
      <c r="S89" s="77" t="n"/>
      <c r="T89" s="39" t="n"/>
    </row>
    <row r="90" ht="62" customHeight="1">
      <c r="A90" s="12">
        <f>_xlfn.IMAGE("https://m.media-amazon.com/images/I/71LFuHLHb8L.jpg")</f>
        <v/>
      </c>
      <c r="B90" s="39" t="inlineStr">
        <is>
          <t>B0DDTSFW17</t>
        </is>
      </c>
      <c r="C90" s="39" t="inlineStr">
        <is>
          <t>SS-BAMBOO-GREY-TWIN-3PCS</t>
        </is>
      </c>
      <c r="D90" s="39" t="inlineStr">
        <is>
          <t>SLEEP SANCTUARY 100% Organic Viscose Derived from Bamboo Sheets Twin Size 3pcs - Ultra Soft &amp; Luxuriously Cooling, 17" Deep Pocket, Perfect for Hot Sleepers - Twin Bed Sheets (Grey)</t>
        </is>
      </c>
      <c r="E90" s="39" t="inlineStr">
        <is>
          <t>Twin</t>
        </is>
      </c>
      <c r="F90" s="39" t="inlineStr">
        <is>
          <t>Grey</t>
        </is>
      </c>
      <c r="G90" s="40" t="n"/>
      <c r="H90" s="39" t="n"/>
      <c r="I90" s="40" t="n"/>
      <c r="J90" s="39" t="n"/>
      <c r="K90" s="40" t="n"/>
      <c r="L90" s="76" t="n"/>
      <c r="M90" s="77" t="n"/>
      <c r="N90" s="39" t="inlineStr">
        <is>
          <t>Inactive</t>
        </is>
      </c>
      <c r="O90" s="39" t="n"/>
      <c r="P90" s="78" t="n"/>
      <c r="Q90" s="77" t="n"/>
      <c r="R90" s="77" t="n"/>
      <c r="S90" s="77" t="n"/>
      <c r="T90" s="39" t="n"/>
    </row>
    <row r="91" ht="62" customHeight="1">
      <c r="A91" s="12">
        <f>_xlfn.IMAGE("https://m.media-amazon.com/images/I/71lylIjGyKL.jpg")</f>
        <v/>
      </c>
      <c r="B91" s="39" t="inlineStr">
        <is>
          <t>B0DDTTL276</t>
        </is>
      </c>
      <c r="C91" s="39" t="inlineStr">
        <is>
          <t>SS-BAMBOO-LIGHT-BLUE-TWIN-3PCS</t>
        </is>
      </c>
      <c r="D91" s="39" t="inlineStr">
        <is>
          <t>SLEEP SANCTUARY 100% Organic Viscose Derived from Bamboo Sheets Twin Size 3pcs - Ultra Soft &amp; Luxuriously Cooling, 17" Deep Pocket, Perfect for Hot Sleepers - Twin Bed Sheets (Light Blue)</t>
        </is>
      </c>
      <c r="E91" s="39" t="inlineStr">
        <is>
          <t>Twin</t>
        </is>
      </c>
      <c r="F91" s="39" t="inlineStr">
        <is>
          <t>Light Blue</t>
        </is>
      </c>
      <c r="G91" s="40" t="n"/>
      <c r="H91" s="39" t="n"/>
      <c r="I91" s="40" t="n"/>
      <c r="J91" s="39" t="n"/>
      <c r="K91" s="40" t="n"/>
      <c r="L91" s="76" t="n"/>
      <c r="M91" s="77" t="n"/>
      <c r="N91" s="39" t="inlineStr">
        <is>
          <t>Inactive</t>
        </is>
      </c>
      <c r="O91" s="39" t="n"/>
      <c r="P91" s="78" t="n"/>
      <c r="Q91" s="77" t="n"/>
      <c r="R91" s="77" t="n"/>
      <c r="S91" s="77" t="n"/>
      <c r="T91" s="39" t="n"/>
    </row>
    <row r="92" ht="62" customHeight="1">
      <c r="A92" s="12">
        <f>_xlfn.IMAGE("https://m.media-amazon.com/images/I/71MoxlyZ6nL.jpg")</f>
        <v/>
      </c>
      <c r="B92" s="39" t="inlineStr">
        <is>
          <t>B0DDTS9XZQ</t>
        </is>
      </c>
      <c r="C92" s="39" t="inlineStr">
        <is>
          <t>SS-BAMBOO-LIGHT-GREY-TWIN-3PCS</t>
        </is>
      </c>
      <c r="D92" s="39" t="inlineStr">
        <is>
          <t>SLEEP SANCTUARY 100% Organic Viscose Derived from Bamboo Sheets Twin Size 3pcs - Ultra Soft &amp; Luxuriously Cooling, 17" Deep Pocket, Perfect for Hot Sleepers - Twin Bed Sheets (Light Grey)</t>
        </is>
      </c>
      <c r="E92" s="39" t="inlineStr">
        <is>
          <t>Twin</t>
        </is>
      </c>
      <c r="F92" s="39" t="inlineStr">
        <is>
          <t>Light Grey</t>
        </is>
      </c>
      <c r="G92" s="40" t="n"/>
      <c r="H92" s="39" t="n"/>
      <c r="I92" s="40" t="n"/>
      <c r="J92" s="39" t="n"/>
      <c r="K92" s="40" t="n"/>
      <c r="L92" s="76" t="n"/>
      <c r="M92" s="77" t="n"/>
      <c r="N92" s="39" t="inlineStr">
        <is>
          <t>Inactive</t>
        </is>
      </c>
      <c r="O92" s="39" t="n"/>
      <c r="P92" s="78" t="n"/>
      <c r="Q92" s="77" t="n"/>
      <c r="R92" s="77" t="n"/>
      <c r="S92" s="77" t="n"/>
      <c r="T92" s="39" t="n"/>
    </row>
    <row r="93" ht="62" customHeight="1">
      <c r="A93" s="12">
        <f>_xlfn.IMAGE("https://m.media-amazon.com/images/I/71Yt9h3mY0L.jpg")</f>
        <v/>
      </c>
      <c r="B93" s="39" t="inlineStr">
        <is>
          <t>B0DDTWMZ7K</t>
        </is>
      </c>
      <c r="C93" s="39" t="inlineStr">
        <is>
          <t>SS-BAMBOO-LIGHT-OLIVE-TWIN-3PCS</t>
        </is>
      </c>
      <c r="D93" s="39" t="inlineStr">
        <is>
          <t>SLEEP SANCTUARY 100% Organic Viscose Derived from Bamboo Sheets Twin Size 3pcs - Ultra Soft &amp; Luxuriously Cooling, 17" Deep Pocket, Perfect for Hot Sleepers - Twin Bed Sheets (Light Olive)</t>
        </is>
      </c>
      <c r="E93" s="39" t="inlineStr">
        <is>
          <t>Twin</t>
        </is>
      </c>
      <c r="F93" s="39" t="inlineStr">
        <is>
          <t>Light Olive</t>
        </is>
      </c>
      <c r="G93" s="40" t="n"/>
      <c r="H93" s="39" t="n"/>
      <c r="I93" s="40" t="n"/>
      <c r="J93" s="39" t="n"/>
      <c r="K93" s="40" t="n"/>
      <c r="L93" s="76" t="n"/>
      <c r="M93" s="77" t="n"/>
      <c r="N93" s="39" t="inlineStr">
        <is>
          <t>Inactive</t>
        </is>
      </c>
      <c r="O93" s="39" t="n"/>
      <c r="P93" s="78" t="n"/>
      <c r="Q93" s="77" t="n"/>
      <c r="R93" s="77" t="n"/>
      <c r="S93" s="77" t="n"/>
      <c r="T93" s="39" t="n"/>
    </row>
    <row r="94" ht="62" customHeight="1">
      <c r="A94" s="12">
        <f>_xlfn.IMAGE("https://m.media-amazon.com/images/I/71wIvK8nORL.jpg")</f>
        <v/>
      </c>
      <c r="B94" s="39" t="inlineStr">
        <is>
          <t>B0DDTR56ZM</t>
        </is>
      </c>
      <c r="C94" s="39" t="inlineStr">
        <is>
          <t>SS-BAMBOO-LIGHT-PINK-TWIN-3PCS</t>
        </is>
      </c>
      <c r="D94" s="39" t="inlineStr">
        <is>
          <t>SLEEP SANCTUARY 100% Organic Viscose Derived from Bamboo Sheets Twin Size 3pcs - Ultra Soft &amp; Luxuriously Cooling, 17" Deep Pocket, Perfect for Hot Sleepers - Twin Bed Sheets (Light Pink)</t>
        </is>
      </c>
      <c r="E94" s="39" t="inlineStr">
        <is>
          <t>Twin</t>
        </is>
      </c>
      <c r="F94" s="39" t="inlineStr">
        <is>
          <t>Light Pink</t>
        </is>
      </c>
      <c r="G94" s="40" t="n"/>
      <c r="H94" s="39" t="n"/>
      <c r="I94" s="40" t="n"/>
      <c r="J94" s="39" t="n"/>
      <c r="K94" s="40" t="n"/>
      <c r="L94" s="76" t="n"/>
      <c r="M94" s="77" t="n"/>
      <c r="N94" s="39" t="inlineStr">
        <is>
          <t>Inactive</t>
        </is>
      </c>
      <c r="O94" s="39" t="n"/>
      <c r="P94" s="78" t="n"/>
      <c r="Q94" s="77" t="n"/>
      <c r="R94" s="77" t="n"/>
      <c r="S94" s="77" t="n"/>
      <c r="T94" s="39" t="n"/>
    </row>
    <row r="95" ht="62" customHeight="1">
      <c r="A95" s="12">
        <f>_xlfn.IMAGE("https://m.media-amazon.com/images/I/71iL4gsBoBL.jpg")</f>
        <v/>
      </c>
      <c r="B95" s="39" t="inlineStr">
        <is>
          <t>B0DDTRDJWC</t>
        </is>
      </c>
      <c r="C95" s="39" t="inlineStr">
        <is>
          <t>SS-BAMBOO-MIDGREY-TWIN-3PCS</t>
        </is>
      </c>
      <c r="D95" s="39" t="inlineStr">
        <is>
          <t>SLEEP SANCTUARY 100% Organic Viscose Derived from Bamboo Sheets Twin Size 3pcs - Ultra Soft &amp; Luxuriously Cooling, 17" Deep Pocket, Perfect for Hot Sleepers - Twin Bed Sheets (Midgrey)</t>
        </is>
      </c>
      <c r="E95" s="39" t="inlineStr">
        <is>
          <t>Twin</t>
        </is>
      </c>
      <c r="F95" s="39" t="inlineStr">
        <is>
          <t>Midgrey</t>
        </is>
      </c>
      <c r="G95" s="40" t="n"/>
      <c r="H95" s="39" t="n"/>
      <c r="I95" s="40" t="n"/>
      <c r="J95" s="39" t="n"/>
      <c r="K95" s="40" t="n"/>
      <c r="L95" s="76" t="n"/>
      <c r="M95" s="77" t="n"/>
      <c r="N95" s="39" t="inlineStr">
        <is>
          <t>Inactive</t>
        </is>
      </c>
      <c r="O95" s="39" t="n"/>
      <c r="P95" s="78" t="n"/>
      <c r="Q95" s="77" t="n"/>
      <c r="R95" s="77" t="n"/>
      <c r="S95" s="77" t="n"/>
      <c r="T95" s="39" t="n"/>
    </row>
    <row r="96" ht="62" customHeight="1">
      <c r="A96" s="12">
        <f>_xlfn.IMAGE("https://m.media-amazon.com/images/I/71bEhXriTgL.jpg")</f>
        <v/>
      </c>
      <c r="B96" s="39" t="inlineStr">
        <is>
          <t>B0DDTQHFGQ</t>
        </is>
      </c>
      <c r="C96" s="39" t="inlineStr">
        <is>
          <t>SS-BAMBOO-NAVY-BLUE-TWIN-3PCS</t>
        </is>
      </c>
      <c r="D96" s="39" t="inlineStr">
        <is>
          <t>SLEEP SANCTUARY 100% Organic Viscose Derived from Bamboo Sheets Twin Size 3pcs - Ultra Soft &amp; Luxuriously Cooling, 17" Deep Pocket, Perfect for Hot Sleepers - Twin Bed Sheets (Navy Blue)</t>
        </is>
      </c>
      <c r="E96" s="39" t="inlineStr">
        <is>
          <t>Twin</t>
        </is>
      </c>
      <c r="F96" s="39" t="inlineStr">
        <is>
          <t>Navy Blue</t>
        </is>
      </c>
      <c r="G96" s="40" t="n"/>
      <c r="H96" s="39" t="n"/>
      <c r="I96" s="40" t="n"/>
      <c r="J96" s="39" t="n"/>
      <c r="K96" s="40" t="n"/>
      <c r="L96" s="76" t="n"/>
      <c r="M96" s="77" t="n"/>
      <c r="N96" s="39" t="inlineStr">
        <is>
          <t>Inactive</t>
        </is>
      </c>
      <c r="O96" s="39" t="n"/>
      <c r="P96" s="78" t="n"/>
      <c r="Q96" s="77" t="n"/>
      <c r="R96" s="77" t="n"/>
      <c r="S96" s="77" t="n"/>
      <c r="T96" s="39" t="n"/>
    </row>
    <row r="97" ht="62" customHeight="1">
      <c r="A97" s="12">
        <f>_xlfn.IMAGE("https://m.media-amazon.com/images/I/712o+hMtNdL.jpg")</f>
        <v/>
      </c>
      <c r="B97" s="39" t="inlineStr">
        <is>
          <t>B0DDTQTB3S</t>
        </is>
      </c>
      <c r="C97" s="39" t="inlineStr">
        <is>
          <t>SS-BAMBOO-OLIVE-TWIN-3PCS</t>
        </is>
      </c>
      <c r="D97" s="39" t="inlineStr">
        <is>
          <t>SLEEP SANCTUARY 100% Organic Viscose Derived from Bamboo Sheets Twin Size 3pcs - Ultra Soft &amp; Luxuriously Cooling, 17" Deep Pocket, Perfect for Hot Sleepers - Twin Bed Sheets (Olive)</t>
        </is>
      </c>
      <c r="E97" s="39" t="inlineStr">
        <is>
          <t>Twin</t>
        </is>
      </c>
      <c r="F97" s="39" t="inlineStr">
        <is>
          <t>Olive</t>
        </is>
      </c>
      <c r="G97" s="40" t="n"/>
      <c r="H97" s="39" t="n"/>
      <c r="I97" s="40" t="n"/>
      <c r="J97" s="39" t="n"/>
      <c r="K97" s="40" t="n"/>
      <c r="L97" s="76" t="n"/>
      <c r="M97" s="77" t="n"/>
      <c r="N97" s="39" t="inlineStr">
        <is>
          <t>Inactive</t>
        </is>
      </c>
      <c r="O97" s="39" t="n"/>
      <c r="P97" s="78" t="n"/>
      <c r="Q97" s="77" t="n"/>
      <c r="R97" s="77" t="n"/>
      <c r="S97" s="77" t="n"/>
      <c r="T97" s="39" t="n"/>
    </row>
    <row r="98" ht="62" customHeight="1">
      <c r="A98" s="12">
        <f>_xlfn.IMAGE("https://m.media-amazon.com/images/I/71EtJ98GkhL.jpg")</f>
        <v/>
      </c>
      <c r="B98" s="39" t="inlineStr">
        <is>
          <t>B0DDTQ36CM</t>
        </is>
      </c>
      <c r="C98" s="39" t="inlineStr">
        <is>
          <t>SS-BAMBOO-PURPLE-TWIN-3PCS</t>
        </is>
      </c>
      <c r="D98" s="39" t="inlineStr">
        <is>
          <t>SLEEP SANCTUARY 100% Organic Viscose Derived from Bamboo Sheets Twin Size 3pcs - Ultra Soft &amp; Luxuriously Cooling, 17" Deep Pocket, Perfect for Hot Sleepers - Twin Bed Sheets (Purple)</t>
        </is>
      </c>
      <c r="E98" s="39" t="inlineStr">
        <is>
          <t>Twin</t>
        </is>
      </c>
      <c r="F98" s="39" t="inlineStr">
        <is>
          <t>Purple</t>
        </is>
      </c>
      <c r="G98" s="40" t="n"/>
      <c r="H98" s="39" t="n"/>
      <c r="I98" s="40" t="n"/>
      <c r="J98" s="39" t="n"/>
      <c r="K98" s="40" t="n"/>
      <c r="L98" s="76" t="n"/>
      <c r="M98" s="77" t="n"/>
      <c r="N98" s="39" t="inlineStr">
        <is>
          <t>Inactive</t>
        </is>
      </c>
      <c r="O98" s="39" t="n"/>
      <c r="P98" s="78" t="n"/>
      <c r="Q98" s="77" t="n"/>
      <c r="R98" s="77" t="n"/>
      <c r="S98" s="77" t="n"/>
      <c r="T98" s="39" t="n"/>
    </row>
    <row r="99" ht="62" customHeight="1">
      <c r="A99" s="12">
        <f>_xlfn.IMAGE("https://m.media-amazon.com/images/I/714qJExYmHL.jpg")</f>
        <v/>
      </c>
      <c r="B99" s="39" t="inlineStr">
        <is>
          <t>B0DDTQXSRS</t>
        </is>
      </c>
      <c r="C99" s="39" t="inlineStr">
        <is>
          <t>SS-BAMBOO-SAGE-GREEN-TWIN-3PCS</t>
        </is>
      </c>
      <c r="D99" s="39" t="inlineStr">
        <is>
          <t>SLEEP SANCTUARY 100% Organic Viscose Derived from Bamboo Sheets Twin Size 3pcs - Ultra Soft &amp; Luxuriously Cooling, 17" Deep Pocket, Perfect for Hot Sleepers - Twin Bed Sheets (Sage Green)</t>
        </is>
      </c>
      <c r="E99" s="39" t="inlineStr">
        <is>
          <t>Twin</t>
        </is>
      </c>
      <c r="F99" s="39" t="inlineStr">
        <is>
          <t>Sage Green</t>
        </is>
      </c>
      <c r="G99" s="40" t="n"/>
      <c r="H99" s="39" t="n"/>
      <c r="I99" s="40" t="n"/>
      <c r="J99" s="39" t="n"/>
      <c r="K99" s="40" t="n"/>
      <c r="L99" s="76" t="n"/>
      <c r="M99" s="77" t="n"/>
      <c r="N99" s="39" t="inlineStr">
        <is>
          <t>Inactive</t>
        </is>
      </c>
      <c r="O99" s="39" t="n"/>
      <c r="P99" s="78" t="n"/>
      <c r="Q99" s="77" t="n"/>
      <c r="R99" s="77" t="n"/>
      <c r="S99" s="77" t="n"/>
      <c r="T99" s="39" t="n"/>
    </row>
    <row r="100" ht="62" customHeight="1">
      <c r="A100" s="12">
        <f>_xlfn.IMAGE("https://m.media-amazon.com/images/I/71aJCHfgMlL.jpg")</f>
        <v/>
      </c>
      <c r="B100" s="39" t="inlineStr">
        <is>
          <t>B0DDTRW8ZS</t>
        </is>
      </c>
      <c r="C100" s="39" t="inlineStr">
        <is>
          <t>SS-BAMBOO-TAUPE-TWIN-3PCS</t>
        </is>
      </c>
      <c r="D100" s="39" t="inlineStr">
        <is>
          <t>SLEEP SANCTUARY 100% Organic Viscose Derived from Bamboo Sheets Twin Size 3pcs - Ultra Soft &amp; Luxuriously Cooling, 17" Deep Pocket, Perfect for Hot Sleepers - Twin Bed Sheets (Taupe)</t>
        </is>
      </c>
      <c r="E100" s="39" t="inlineStr">
        <is>
          <t>Twin</t>
        </is>
      </c>
      <c r="F100" s="39" t="inlineStr">
        <is>
          <t>Taupe</t>
        </is>
      </c>
      <c r="G100" s="40" t="n"/>
      <c r="H100" s="39" t="n"/>
      <c r="I100" s="40" t="n"/>
      <c r="J100" s="39" t="n"/>
      <c r="K100" s="40" t="n"/>
      <c r="L100" s="76" t="n"/>
      <c r="M100" s="77" t="n"/>
      <c r="N100" s="39" t="inlineStr">
        <is>
          <t>Inactive</t>
        </is>
      </c>
      <c r="O100" s="39" t="n"/>
      <c r="P100" s="78" t="n"/>
      <c r="Q100" s="77" t="n"/>
      <c r="R100" s="77" t="n"/>
      <c r="S100" s="77" t="n"/>
      <c r="T100" s="39" t="n"/>
    </row>
    <row r="101" ht="62" customHeight="1">
      <c r="A101" s="12">
        <f>_xlfn.IMAGE("https://m.media-amazon.com/images/I/71ezqkKtzFL.jpg")</f>
        <v/>
      </c>
      <c r="B101" s="39" t="inlineStr">
        <is>
          <t>B0DDTT6PHV</t>
        </is>
      </c>
      <c r="C101" s="39" t="inlineStr">
        <is>
          <t>SS-BAMBOO-WHITE-TWIN-3PCS</t>
        </is>
      </c>
      <c r="D101" s="39" t="inlineStr">
        <is>
          <t>SLEEP SANCTUARY 100% Organic Viscose Derived from Bamboo Sheets Twin Size 3pcs - Ultra Soft &amp; Luxuriously Cooling, 17" Deep Pocket, Perfect for Hot Sleepers - Twin Bed Sheets (White)</t>
        </is>
      </c>
      <c r="E101" s="39" t="inlineStr">
        <is>
          <t>Twin</t>
        </is>
      </c>
      <c r="F101" s="39" t="inlineStr">
        <is>
          <t>White</t>
        </is>
      </c>
      <c r="G101" s="40" t="n"/>
      <c r="H101" s="39" t="n"/>
      <c r="I101" s="40" t="n"/>
      <c r="J101" s="39" t="n"/>
      <c r="K101" s="40" t="n"/>
      <c r="L101" s="76" t="n"/>
      <c r="M101" s="77" t="n"/>
      <c r="N101" s="39" t="inlineStr">
        <is>
          <t>Inactive</t>
        </is>
      </c>
      <c r="O101" s="39" t="n"/>
      <c r="P101" s="78" t="n"/>
      <c r="Q101" s="77" t="n"/>
      <c r="R101" s="77" t="n"/>
      <c r="S101" s="77" t="n"/>
      <c r="T101" s="39" t="n"/>
    </row>
    <row r="102"/>
    <row r="103" ht="22" customHeight="1">
      <c r="A103" s="65" t="inlineStr">
        <is>
          <t>3 ▼</t>
        </is>
      </c>
      <c r="B103" s="66" t="inlineStr">
        <is>
          <t>OUR BFCM 2025 RESULT &amp; EVENT VISIBILITY</t>
        </is>
      </c>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c r="AL103" s="67" t="n"/>
      <c r="AM103" s="67" t="n"/>
      <c r="AN103" s="67" t="n"/>
      <c r="AO103" s="67" t="n"/>
      <c r="AP103" s="67" t="n"/>
      <c r="AQ103" s="67" t="n"/>
      <c r="AR103" s="67" t="n"/>
      <c r="AS103" s="67" t="n"/>
      <c r="AT103" s="67" t="n"/>
      <c r="AU103" s="67" t="n"/>
      <c r="AV103" s="67" t="n"/>
      <c r="AW103" s="67" t="n"/>
      <c r="AX103" s="67" t="n"/>
      <c r="AY103" s="67" t="n"/>
      <c r="AZ103" s="67" t="n"/>
      <c r="BA103" s="67" t="n"/>
      <c r="BB103" s="67" t="n"/>
      <c r="BC103" s="67" t="n"/>
      <c r="BD103" s="67" t="n"/>
      <c r="BE103" s="67" t="n"/>
      <c r="BF103" s="67" t="n"/>
      <c r="BG103" s="67" t="n"/>
      <c r="BH103" s="67" t="n"/>
      <c r="BI103" s="67" t="n"/>
      <c r="BJ103" s="67" t="n"/>
      <c r="BK103" s="67" t="n"/>
    </row>
    <row r="104">
      <c r="A104" s="80" t="inlineStr">
        <is>
          <t>Window</t>
        </is>
      </c>
      <c r="B104" s="81" t="n"/>
      <c r="C104" s="82" t="n"/>
      <c r="D104" s="80" t="inlineStr">
        <is>
          <t>Ad spend</t>
        </is>
      </c>
      <c r="E104" s="80" t="inlineStr">
        <is>
          <t>Ad sales</t>
        </is>
      </c>
      <c r="F104" s="80" t="inlineStr">
        <is>
          <t>ACoS</t>
        </is>
      </c>
      <c r="G104" s="80" t="inlineStr">
        <is>
          <t>TACoS</t>
        </is>
      </c>
      <c r="H104" s="80" t="inlineStr">
        <is>
          <t>Total sales (derived)</t>
        </is>
      </c>
      <c r="J104" s="80" t="inlineStr">
        <is>
          <t>Ad orders</t>
        </is>
      </c>
      <c r="K104" s="80" t="inlineStr">
        <is>
          <t>CVR</t>
        </is>
      </c>
    </row>
    <row r="105">
      <c r="A105" s="83" t="inlineStr">
        <is>
          <t>Pre-event Oct 21 - Nov 19, 2025 (30d)</t>
        </is>
      </c>
      <c r="B105" s="81" t="n"/>
      <c r="C105" s="82" t="n"/>
      <c r="D105" s="84" t="n"/>
      <c r="E105" s="84" t="n"/>
      <c r="F105" s="85" t="n"/>
      <c r="G105" s="85" t="n"/>
      <c r="H105" s="84" t="n"/>
      <c r="J105" s="86" t="n"/>
      <c r="K105" s="87" t="n"/>
    </row>
    <row r="106">
      <c r="A106" s="83" t="inlineStr">
        <is>
          <t>BFCM week Nov 20 - Dec 1, 2025 (12d)</t>
        </is>
      </c>
      <c r="B106" s="81" t="n"/>
      <c r="C106" s="82" t="n"/>
      <c r="D106" s="84" t="n"/>
      <c r="E106" s="84" t="n"/>
      <c r="F106" s="85" t="n"/>
      <c r="G106" s="85" t="n"/>
      <c r="H106" s="84" t="n"/>
      <c r="J106" s="86" t="n"/>
      <c r="K106" s="87" t="n"/>
    </row>
    <row r="107">
      <c r="A107" s="83" t="inlineStr">
        <is>
          <t>December 2 - 31, 2025 (30d)</t>
        </is>
      </c>
      <c r="B107" s="81" t="n"/>
      <c r="C107" s="82" t="n"/>
      <c r="D107" s="84" t="n"/>
      <c r="E107" s="84" t="n"/>
      <c r="F107" s="85" t="n"/>
      <c r="G107" s="85" t="n"/>
      <c r="H107" s="84" t="n"/>
      <c r="J107" s="86" t="n"/>
      <c r="K107" s="87" t="n"/>
    </row>
    <row r="108"/>
    <row r="109">
      <c r="A109" s="80" t="inlineStr">
        <is>
          <t>Actual sales (account data)</t>
        </is>
      </c>
      <c r="B109" s="81" t="n"/>
      <c r="C109" s="82" t="n"/>
      <c r="D109" s="80" t="inlineStr">
        <is>
          <t>Sales</t>
        </is>
      </c>
      <c r="E109" s="80" t="inlineStr">
        <is>
          <t>Units</t>
        </is>
      </c>
      <c r="F109" s="80" t="inlineStr">
        <is>
          <t>Organic units</t>
        </is>
      </c>
      <c r="G109" s="80" t="inlineStr">
        <is>
          <t>Ad units</t>
        </is>
      </c>
      <c r="H109" s="80" t="inlineStr">
        <is>
          <t>Ad cost</t>
        </is>
      </c>
      <c r="J109" s="80" t="inlineStr">
        <is>
          <t>TACoS (actual)</t>
        </is>
      </c>
      <c r="K109" s="80" t="inlineStr">
        <is>
          <t>Sessions</t>
        </is>
      </c>
      <c r="L109" s="80" t="inlineStr">
        <is>
          <t>Unit session %</t>
        </is>
      </c>
      <c r="M109" s="80" t="inlineStr">
        <is>
          <t>Avg price</t>
        </is>
      </c>
      <c r="N109" s="80" t="inlineStr">
        <is>
          <t>Refunds</t>
        </is>
      </c>
    </row>
    <row r="110">
      <c r="A110" s="83" t="inlineStr">
        <is>
          <t>BFCM week Nov 20 - Dec 1, 2025 (12d)</t>
        </is>
      </c>
      <c r="B110" s="81" t="n"/>
      <c r="C110" s="82" t="n"/>
      <c r="D110" s="84" t="n">
        <v>0</v>
      </c>
      <c r="E110" s="86" t="n">
        <v>0</v>
      </c>
      <c r="F110" s="86" t="n">
        <v>0</v>
      </c>
      <c r="G110" s="86" t="n">
        <v>0</v>
      </c>
      <c r="H110" s="84" t="n">
        <v>0</v>
      </c>
      <c r="J110" s="88" t="n"/>
      <c r="K110" s="86" t="n">
        <v>0</v>
      </c>
      <c r="L110" s="88" t="n"/>
      <c r="M110" s="89" t="n"/>
      <c r="N110" s="86" t="n">
        <v>0</v>
      </c>
    </row>
    <row r="111">
      <c r="A111" s="90" t="inlineStr">
        <is>
          <t>account data, Amazon parent B0F54RNQPT plus any of this product's child ASINs account data lists on their own, UTC days. Lift above uses these actual sales.</t>
        </is>
      </c>
    </row>
    <row r="112" ht="18" customHeight="1">
      <c r="A112" s="94" t="inlineStr">
        <is>
          <t>BFCM 2026 plan: NOT IN A DEAL. the team confirmed that products without a planned deal are not in any BFCM 2026 deal; they sell at their regular price.</t>
        </is>
      </c>
    </row>
    <row r="113" ht="30" customHeight="1">
      <c r="A113" s="94" t="inlineStr">
        <is>
          <t>BFCM 2026 stock (account data, Oct 15): 43 units at Amazon + 0 already sent (no ETA in account data); selling 0.1 a day; need about 8 to Nov 30 with a 2.74x BFCM lift (ASSUMED: account BFCM 2025 lift (US); product's own 2025 lift not available). Variations: 3 covered, 0 need the inbound in time, 1 short even with inbound (3 units), 0 out of stock now. Detail: BFCM Stock tab.</t>
        </is>
      </c>
    </row>
    <row r="114" ht="30" customHeight="1">
      <c r="A114" s="91" t="inlineStr">
        <is>
          <t>Our hero child B0DDTY5RQX in price history (market data, US): price $54.99 before (median Nov 1-19) → $54.99 in BFCM week (median Nov 20 - Dec 1), no cut; lowest $54.99; Best Seller Rank 103,857 → 166,212 (1.60x worse). Price is price history's lowest new offer (price history holds no Buy Box series for our own ASINs; we are the only seller).</t>
        </is>
      </c>
    </row>
    <row r="115">
      <c r="A115" s="90" t="inlineStr">
        <is>
          <t>No market data visibility history for our best child ASIN.</t>
        </is>
      </c>
    </row>
    <row r="116">
      <c r="A116" s="132" t="inlineStr">
        <is>
          <t>No BFCM 2025 PPC data for this product (not advertised or launched after BFCM 2025).</t>
        </is>
      </c>
    </row>
    <row r="117"/>
    <row r="118" ht="22" customHeight="1">
      <c r="A118" s="65" t="inlineStr">
        <is>
          <t>4 ▼</t>
        </is>
      </c>
      <c r="B118" s="66" t="inlineStr">
        <is>
          <t>COMPETITOR LANDSCAPE (28 mapped)</t>
        </is>
      </c>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c r="AC118" s="67" t="n"/>
      <c r="AD118" s="67" t="n"/>
      <c r="AE118" s="67" t="n"/>
      <c r="AF118" s="67" t="n"/>
      <c r="AG118" s="67" t="n"/>
      <c r="AH118" s="67" t="n"/>
      <c r="AI118" s="67" t="n"/>
      <c r="AJ118" s="67" t="n"/>
      <c r="AK118" s="67" t="n"/>
      <c r="AL118" s="67" t="n"/>
      <c r="AM118" s="67" t="n"/>
      <c r="AN118" s="67" t="n"/>
      <c r="AO118" s="67" t="n"/>
      <c r="AP118" s="67" t="n"/>
      <c r="AQ118" s="67" t="n"/>
      <c r="AR118" s="67" t="n"/>
      <c r="AS118" s="67" t="n"/>
      <c r="AT118" s="67" t="n"/>
      <c r="AU118" s="67" t="n"/>
      <c r="AV118" s="67" t="n"/>
      <c r="AW118" s="67" t="n"/>
      <c r="AX118" s="67" t="n"/>
      <c r="AY118" s="67" t="n"/>
      <c r="AZ118" s="67" t="n"/>
      <c r="BA118" s="67" t="n"/>
      <c r="BB118" s="67" t="n"/>
      <c r="BC118" s="67" t="n"/>
      <c r="BD118" s="67" t="n"/>
      <c r="BE118" s="67" t="n"/>
      <c r="BF118" s="67" t="n"/>
      <c r="BG118" s="67" t="n"/>
      <c r="BH118" s="67" t="n"/>
      <c r="BI118" s="67" t="n"/>
      <c r="BJ118" s="67" t="n"/>
      <c r="BK118" s="67" t="n"/>
    </row>
    <row r="119" ht="20" customHeight="1">
      <c r="A119" s="96" t="inlineStr">
        <is>
          <t>▼▼▼</t>
        </is>
      </c>
      <c r="B119" s="97" t="inlineStr">
        <is>
          <t>COMPETITOR DATA BELOW: one row per competitor (27 direct first, then alternative material). Scroll right for listing, search, strikethrough now and BFCM 2025 history (deal type, price, discount, rank change).</t>
        </is>
      </c>
      <c r="C119" s="98" t="n"/>
      <c r="D119" s="98" t="n"/>
      <c r="E119" s="98" t="n"/>
      <c r="F119" s="98" t="n"/>
      <c r="G119" s="98" t="n"/>
      <c r="H119" s="98" t="n"/>
      <c r="I119" s="98" t="n"/>
      <c r="J119" s="98" t="n"/>
      <c r="K119" s="98" t="n"/>
      <c r="L119" s="98" t="n"/>
      <c r="M119" s="98" t="n"/>
      <c r="N119" s="98" t="n"/>
      <c r="O119" s="98" t="n"/>
      <c r="P119" s="98" t="n"/>
      <c r="Q119" s="98" t="n"/>
      <c r="R119" s="98" t="n"/>
      <c r="S119" s="98" t="n"/>
      <c r="T119" s="98" t="n"/>
      <c r="U119" s="98" t="n"/>
      <c r="V119" s="98" t="n"/>
      <c r="W119" s="98" t="n"/>
      <c r="X119" s="98" t="n"/>
      <c r="Y119" s="98" t="n"/>
      <c r="Z119" s="98" t="n"/>
      <c r="AA119" s="98" t="n"/>
      <c r="AB119" s="98" t="n"/>
      <c r="AC119" s="98" t="n"/>
      <c r="AD119" s="98" t="n"/>
      <c r="AE119" s="98" t="n"/>
      <c r="AF119" s="98" t="n"/>
      <c r="AG119" s="98" t="n"/>
      <c r="AH119" s="98" t="n"/>
      <c r="AI119" s="98" t="n"/>
      <c r="AJ119" s="98" t="n"/>
      <c r="AK119" s="98" t="n"/>
      <c r="AL119" s="98" t="n"/>
      <c r="AM119" s="98" t="n"/>
      <c r="AN119" s="98" t="n"/>
      <c r="AO119" s="98" t="n"/>
      <c r="AP119" s="98" t="n"/>
      <c r="AQ119" s="98" t="n"/>
      <c r="AR119" s="98" t="n"/>
      <c r="AS119" s="98" t="n"/>
      <c r="AT119" s="98" t="n"/>
      <c r="AU119" s="98" t="n"/>
      <c r="AV119" s="98" t="n"/>
      <c r="AW119" s="98" t="n"/>
      <c r="AX119" s="98" t="n"/>
      <c r="AY119" s="98" t="n"/>
      <c r="AZ119" s="98" t="n"/>
      <c r="BA119" s="98" t="n"/>
      <c r="BB119" s="98" t="n"/>
      <c r="BC119" s="98" t="n"/>
      <c r="BD119" s="98" t="n"/>
      <c r="BE119" s="98" t="n"/>
      <c r="BF119" s="98" t="n"/>
      <c r="BG119" s="98" t="n"/>
      <c r="BH119" s="98" t="n"/>
      <c r="BI119" s="98" t="n"/>
      <c r="BJ119" s="98" t="n"/>
      <c r="BK119" s="98" t="n"/>
    </row>
    <row r="120">
      <c r="A120" s="99" t="inlineStr">
        <is>
          <t>COMPETITOR</t>
        </is>
      </c>
      <c r="L120" s="100" t="inlineStr">
        <is>
          <t>LISTING - catalog data</t>
        </is>
      </c>
      <c r="M120" s="101" t="inlineStr">
        <is>
          <t>SEARCH STRATEGY - market data search data</t>
        </is>
      </c>
      <c r="N120" s="102" t="inlineStr">
        <is>
          <t>PRICE &amp; SALES - market data snapshot (date per row)</t>
        </is>
      </c>
      <c r="AA120" s="100" t="inlineStr">
        <is>
          <t>LISTING - catalog data</t>
        </is>
      </c>
      <c r="AD120" s="101" t="inlineStr">
        <is>
          <t>SEARCH STRATEGY - market data search data</t>
        </is>
      </c>
      <c r="AU120" s="103" t="inlineStr">
        <is>
          <t>STR NOW - Amazon page check (Oct 13, P1 + P2)</t>
        </is>
      </c>
      <c r="BB120" s="104" t="inlineStr">
        <is>
          <t>BFCM 2025 - price history (P1 filled; yellow = not pulled yet)</t>
        </is>
      </c>
    </row>
    <row r="121" ht="48" customHeight="1">
      <c r="A121" s="26" t="inlineStr">
        <is>
          <t>Image</t>
        </is>
      </c>
      <c r="B121" s="26" t="inlineStr">
        <is>
          <t>Brand</t>
        </is>
      </c>
      <c r="C121" s="26" t="inlineStr">
        <is>
          <t>Product title</t>
        </is>
      </c>
      <c r="D121" s="26" t="inlineStr">
        <is>
          <t>Tier</t>
        </is>
      </c>
      <c r="E121" s="26" t="inlineStr">
        <is>
          <t>Competitor type</t>
        </is>
      </c>
      <c r="F121" s="26" t="inlineStr">
        <is>
          <t>Material</t>
        </is>
      </c>
      <c r="G121" s="26" t="inlineStr">
        <is>
          <t>Why this type</t>
        </is>
      </c>
      <c r="H121" s="26" t="inlineStr">
        <is>
          <t>Parent ASIN</t>
        </is>
      </c>
      <c r="I121" s="26" t="inlineStr">
        <is>
          <t>Tracked child ASIN</t>
        </is>
      </c>
      <c r="J121" s="26" t="inlineStr">
        <is>
          <t>Size</t>
        </is>
      </c>
      <c r="K121" s="26" t="inlineStr">
        <is>
          <t>Colour</t>
        </is>
      </c>
      <c r="L121" s="26" t="inlineStr">
        <is>
          <t>Variations</t>
        </is>
      </c>
      <c r="M121" s="26" t="inlineStr">
        <is>
          <t>Hero child ASINs (share of their visibility)</t>
        </is>
      </c>
      <c r="N121" s="26" t="inlineStr">
        <is>
          <t>Price ($)</t>
        </is>
      </c>
      <c r="O121" s="26" t="inlineStr">
        <is>
          <t>List Price ($)</t>
        </is>
      </c>
      <c r="P121" s="26" t="inlineStr">
        <is>
          <t>List Price % over</t>
        </is>
      </c>
      <c r="Q121" s="26" t="inlineStr">
        <is>
          <t>STR band</t>
        </is>
      </c>
      <c r="R121" s="26" t="inlineStr">
        <is>
          <t>Our price, same size ($)</t>
        </is>
      </c>
      <c r="S121" s="26" t="inlineStr">
        <is>
          <t>Their price vs ours</t>
        </is>
      </c>
      <c r="T121" s="26" t="inlineStr">
        <is>
          <t>Comparison basis</t>
        </is>
      </c>
      <c r="U121" s="26" t="inlineStr">
        <is>
          <t>BSR</t>
        </is>
      </c>
      <c r="V121" s="26" t="inlineStr">
        <is>
          <t>Est weekly units</t>
        </is>
      </c>
      <c r="W121" s="26" t="inlineStr">
        <is>
          <t>Est monthly revenue ($)</t>
        </is>
      </c>
      <c r="X121" s="26" t="inlineStr">
        <is>
          <t>Rating</t>
        </is>
      </c>
      <c r="Y121" s="26" t="inlineStr">
        <is>
          <t>Reviews</t>
        </is>
      </c>
      <c r="Z121" s="26" t="inlineStr">
        <is>
          <t>Snapshot date</t>
        </is>
      </c>
      <c r="AA121" s="26" t="inlineStr">
        <is>
          <t>Listed</t>
        </is>
      </c>
      <c r="AB121" s="26" t="inlineStr">
        <is>
          <t>Fulfil.</t>
        </is>
      </c>
      <c r="AC121" s="26" t="inlineStr">
        <is>
          <t>Seller country</t>
        </is>
      </c>
      <c r="AD121" s="26" t="inlineStr">
        <is>
          <t>search data 7d traffic</t>
        </is>
      </c>
      <c r="AE121" s="26" t="inlineStr">
        <is>
          <t>Keywords ranked</t>
        </is>
      </c>
      <c r="AF121" s="26" t="inlineStr">
        <is>
          <t>Organic share of traffic</t>
        </is>
      </c>
      <c r="AG121" s="26" t="inlineStr">
        <is>
          <t>Ad share of traffic</t>
        </is>
      </c>
      <c r="AH121" s="26" t="inlineStr">
        <is>
          <t>Top keyword</t>
        </is>
      </c>
      <c r="AI121" s="26" t="inlineStr">
        <is>
          <t>SP reach</t>
        </is>
      </c>
      <c r="AJ121" s="26" t="inlineStr">
        <is>
          <t>SB reach</t>
        </is>
      </c>
      <c r="AK121" s="26" t="inlineStr">
        <is>
          <t>SB video reach</t>
        </is>
      </c>
      <c r="AL121" s="26" t="inlineStr">
        <is>
          <t>Amazon's Choice reach</t>
        </is>
      </c>
      <c r="AM121" s="26" t="inlineStr">
        <is>
          <t>Shared keywords</t>
        </is>
      </c>
      <c r="AN121" s="26" t="inlineStr">
        <is>
          <t>We win</t>
        </is>
      </c>
      <c r="AO121" s="26" t="inlineStr">
        <is>
          <t>We lose</t>
        </is>
      </c>
      <c r="AP121" s="26" t="inlineStr">
        <is>
          <t>Their keywords we miss</t>
        </is>
      </c>
      <c r="AQ121" s="26" t="inlineStr">
        <is>
          <t>KWs they advertise, we don't</t>
        </is>
      </c>
      <c r="AR121" s="26" t="inlineStr">
        <is>
          <t>KWs they out-advertise us</t>
        </is>
      </c>
      <c r="AS121" s="26" t="inlineStr">
        <is>
          <t>Prime Day 2026 organic vis lift</t>
        </is>
      </c>
      <c r="AT121" s="26" t="inlineStr">
        <is>
          <t>Organic trend (Aug-Sep vs Q2)</t>
        </is>
      </c>
      <c r="AU121" s="26" t="inlineStr">
        <is>
          <t>STR showing now? (Y/N)</t>
        </is>
      </c>
      <c r="AV121" s="26" t="inlineStr">
        <is>
          <t>STR label</t>
        </is>
      </c>
      <c r="AW121" s="26" t="inlineStr">
        <is>
          <t>Strikethrough price ($)</t>
        </is>
      </c>
      <c r="AX121" s="26" t="inlineStr">
        <is>
          <t>Page price at check ($)</t>
        </is>
      </c>
      <c r="AY121" s="26" t="inlineStr">
        <is>
          <t>Deal / coupon now</t>
        </is>
      </c>
      <c r="AZ121" s="26" t="inlineStr">
        <is>
          <t>Orderable now (Y/N)</t>
        </is>
      </c>
      <c r="BA121" s="26" t="inlineStr">
        <is>
          <t>Checked (ET)</t>
        </is>
      </c>
      <c r="BB121" s="26" t="inlineStr">
        <is>
          <t>BFCM 2025 deal type</t>
        </is>
      </c>
      <c r="BC121" s="26" t="inlineStr">
        <is>
          <t>BFCM 2025 deal dates</t>
        </is>
      </c>
      <c r="BD121" s="26" t="inlineStr">
        <is>
          <t>Pre-event price ($)</t>
        </is>
      </c>
      <c r="BE121" s="26" t="inlineStr">
        <is>
          <t>BFCM 2025 low ($)</t>
        </is>
      </c>
      <c r="BF121" s="26" t="inlineStr">
        <is>
          <t>BFCM 2025 discount</t>
        </is>
      </c>
      <c r="BG121" s="26" t="inlineStr">
        <is>
          <t>BSR pre-event</t>
        </is>
      </c>
      <c r="BH121" s="26" t="inlineStr">
        <is>
          <t>BSR BFCM wk</t>
        </is>
      </c>
      <c r="BI121" s="26" t="inlineStr">
        <is>
          <t>BSR lift (x)</t>
        </is>
      </c>
      <c r="BJ121" s="26" t="inlineStr">
        <is>
          <t>OOS in BFCM? (Y/N)</t>
        </is>
      </c>
      <c r="BK121" s="26" t="inlineStr">
        <is>
          <t>Notes</t>
        </is>
      </c>
    </row>
    <row r="122" ht="62" customHeight="1">
      <c r="A122" s="12">
        <f>_xlfn.IMAGE("https://images-na.ssl-images-amazon.com/images/I/91dfner9BkL.jpg")</f>
        <v/>
      </c>
      <c r="B122" s="105" t="inlineStr">
        <is>
          <t>Pure Bamboo</t>
        </is>
      </c>
      <c r="C122" s="39" t="inlineStr">
        <is>
          <t>Pure Bamboo King Sheets, Genuine 100% Organic Viscose Derived from Bamboo Bed Sheet Set, Luxuriously Soft &amp; Cooling, Double Stitching, 2 Year Quality Promise (King, Ivory)</t>
        </is>
      </c>
      <c r="D122" s="105" t="inlineStr">
        <is>
          <t>Aspirational</t>
        </is>
      </c>
      <c r="E122" s="106" t="inlineStr">
        <is>
          <t>Direct</t>
        </is>
      </c>
      <c r="F122" s="105" t="inlineStr">
        <is>
          <t>Bamboo viscose</t>
        </is>
      </c>
      <c r="G122" s="39" t="inlineStr">
        <is>
          <t>Same product (sheet set) in the same material family: Bamboo viscose (title: Pure Bamboo King Sheets, Genuine 100% Organic Viscose Derive); ours: our listing: viscose from bamboo.</t>
        </is>
      </c>
      <c r="H122" s="107" t="inlineStr">
        <is>
          <t>B0CZQ52MTQ</t>
        </is>
      </c>
      <c r="I122" s="107" t="inlineStr">
        <is>
          <t>B07DZTQ4JC</t>
        </is>
      </c>
      <c r="J122" s="105" t="inlineStr">
        <is>
          <t>King</t>
        </is>
      </c>
      <c r="K122" s="105" t="inlineStr">
        <is>
          <t>Ivory</t>
        </is>
      </c>
      <c r="L122" s="108" t="n">
        <v>181</v>
      </c>
      <c r="M122" s="39" t="inlineStr">
        <is>
          <t>B07MZ4GKZH (30%), B079RXWGSD (12%), B07DZTQ4JC (11%), B074CHDX7V (10%), B07DZMB498 (5%)</t>
        </is>
      </c>
      <c r="N122" s="109" t="n">
        <v>109.99</v>
      </c>
      <c r="O122" s="109" t="n"/>
      <c r="P122" s="110">
        <f>IF(AND(ISNUMBER(O122),ISNUMBER(N122),N(N122)&gt;0),O122/N122-1,"")</f>
        <v/>
      </c>
      <c r="Q122" s="111">
        <f>IF(P122="","No List Price",IF(P122&lt;=0,"At/below price",IF(P122&lt;=0.12,"&lt;=12% STR zone",IF(P122&lt;=0.25,"12-25%","&gt;25% over"))))</f>
        <v/>
      </c>
      <c r="R122" s="109" t="n">
        <v>54.99</v>
      </c>
      <c r="S122" s="112">
        <f>IF(AND(ISNUMBER(N122),ISNUMBER(R122),N(R122)&gt;0),N122/R122-1,"")</f>
        <v/>
      </c>
      <c r="T122" s="39" t="inlineStr">
        <is>
          <t>vs our blended price (market data, Mar 2026 - STALE)</t>
        </is>
      </c>
      <c r="U122" s="108" t="n">
        <v>304</v>
      </c>
      <c r="V122" s="108" t="n">
        <v>809</v>
      </c>
      <c r="W122" s="113">
        <f>IF(AND(ISNUMBER(N122),ISNUMBER(V122)),N122*V122*52/12,"")</f>
        <v/>
      </c>
      <c r="X122" s="114" t="n">
        <v>4.5</v>
      </c>
      <c r="Y122" s="108" t="n">
        <v>21927</v>
      </c>
      <c r="Z122" s="115" t="n">
        <v>46307</v>
      </c>
      <c r="AA122" s="115" t="n">
        <v>43281</v>
      </c>
      <c r="AB122" s="105" t="inlineStr">
        <is>
          <t>FBA</t>
        </is>
      </c>
      <c r="AC122" s="105" t="inlineStr">
        <is>
          <t>US</t>
        </is>
      </c>
      <c r="AD122" s="108" t="n">
        <v>2565055</v>
      </c>
      <c r="AE122" s="108" t="n">
        <v>8283</v>
      </c>
      <c r="AF122" s="116" t="n">
        <v>0.4648594811807159</v>
      </c>
      <c r="AG122" s="116" t="n">
        <v>0.5351407059497737</v>
      </c>
      <c r="AH122" s="39" t="inlineStr">
        <is>
          <t>bamboo sheets</t>
        </is>
      </c>
      <c r="AI122" s="116" t="n">
        <v>0.8806310196077667</v>
      </c>
      <c r="AJ122" s="116" t="n">
        <v>0.8210506207469236</v>
      </c>
      <c r="AK122" s="116" t="n">
        <v>0.8831019217911507</v>
      </c>
      <c r="AL122" s="116" t="n">
        <v>0.2663467255088098</v>
      </c>
      <c r="AM122" s="108" t="n">
        <v>530</v>
      </c>
      <c r="AN122" s="108" t="n">
        <v>6</v>
      </c>
      <c r="AO122" s="108" t="n">
        <v>470</v>
      </c>
      <c r="AP122" s="108" t="n">
        <v>7753</v>
      </c>
      <c r="AQ122" s="108" t="n">
        <v>3769</v>
      </c>
      <c r="AR122" s="108" t="n">
        <v>12</v>
      </c>
      <c r="AS122" s="117" t="n">
        <v>1.180104147961932</v>
      </c>
      <c r="AT122" s="112" t="n">
        <v>1.570823710546574</v>
      </c>
      <c r="AU122" s="118" t="inlineStr">
        <is>
          <t>N</t>
        </is>
      </c>
      <c r="AV122" s="118" t="inlineStr">
        <is>
          <t>none</t>
        </is>
      </c>
      <c r="AW122" s="124" t="n"/>
      <c r="AX122" s="119" t="n">
        <v>109.99</v>
      </c>
      <c r="AY122" s="118" t="inlineStr">
        <is>
          <t>none</t>
        </is>
      </c>
      <c r="AZ122" s="118" t="inlineStr">
        <is>
          <t>Y</t>
        </is>
      </c>
      <c r="BA122" s="118" t="inlineStr">
        <is>
          <t>2026-10-13 12:11:16</t>
        </is>
      </c>
      <c r="BB122" s="120" t="inlineStr">
        <is>
          <t>None</t>
        </is>
      </c>
      <c r="BC122" s="125" t="n"/>
      <c r="BD122" s="121" t="n">
        <v>109.99</v>
      </c>
      <c r="BE122" s="121" t="n">
        <v>109.99</v>
      </c>
      <c r="BF122" s="110">
        <f>IF(AND(ISNUMBER(BD122),ISNUMBER(BE122),N(BD122)&gt;0),1-BE122/BD122,"")</f>
        <v/>
      </c>
      <c r="BG122" s="122" t="n">
        <v>287</v>
      </c>
      <c r="BH122" s="122" t="n">
        <v>598</v>
      </c>
      <c r="BI122" s="123">
        <f>IF(AND(ISNUMBER(BG122),ISNUMBER(BH122),N(BH122)&gt;0),BG122/BH122,"")</f>
        <v/>
      </c>
      <c r="BJ122" s="120" t="inlineStr">
        <is>
          <t>N</t>
        </is>
      </c>
      <c r="BK122" s="120" t="inlineStr">
        <is>
          <t>List Price $139.99/$149.99</t>
        </is>
      </c>
    </row>
    <row r="123" ht="62" customHeight="1">
      <c r="A123" s="12">
        <f>_xlfn.IMAGE("https://images-na.ssl-images-amazon.com/images/I/71oEhkRYQ+L.jpg")</f>
        <v/>
      </c>
      <c r="B123" s="105" t="inlineStr">
        <is>
          <t>Hotel Sheets Direct</t>
        </is>
      </c>
      <c r="C123" s="39" t="inlineStr">
        <is>
          <t>Hotel Sheets Direct 4 Piece Bed Sheet Set Queen Size, 100% Viscose Derived from Bamboo Sheets Set with 2 Pillowcases, Cooling &amp; Breathable Luxury Bedding, Moisture-Wicking &amp; Silky Soft Texture, White</t>
        </is>
      </c>
      <c r="D123" s="105" t="inlineStr">
        <is>
          <t>Aspirational</t>
        </is>
      </c>
      <c r="E123" s="106" t="inlineStr">
        <is>
          <t>Direct</t>
        </is>
      </c>
      <c r="F123" s="105" t="inlineStr">
        <is>
          <t>Bamboo viscose</t>
        </is>
      </c>
      <c r="G123" s="39" t="inlineStr">
        <is>
          <t>Same product (sheet set) in the same material family: Bamboo viscose (title: Hotel Sheets Direct 4 Piece Bed Sheet Set Queen Size, 100% V); ours: our listing: viscose from bamboo.</t>
        </is>
      </c>
      <c r="H123" s="107" t="inlineStr">
        <is>
          <t>B0G5N99X9R</t>
        </is>
      </c>
      <c r="I123" s="107" t="inlineStr">
        <is>
          <t>B01N9L2O9P</t>
        </is>
      </c>
      <c r="J123" s="105" t="inlineStr">
        <is>
          <t>Queen</t>
        </is>
      </c>
      <c r="K123" s="105" t="inlineStr">
        <is>
          <t>White</t>
        </is>
      </c>
      <c r="L123" s="108" t="n">
        <v>61</v>
      </c>
      <c r="M123" s="39" t="inlineStr">
        <is>
          <t>B01N9L2O9P (30%), B01N0UB2GO (20%), B072WD91XH (10%), B072WV76WK (6%), B07RJBYJ9L (5%)</t>
        </is>
      </c>
      <c r="N123" s="109" t="n">
        <v>79.98999999999999</v>
      </c>
      <c r="O123" s="109" t="n"/>
      <c r="P123" s="110">
        <f>IF(AND(ISNUMBER(O123),ISNUMBER(N123),N(N123)&gt;0),O123/N123-1,"")</f>
        <v/>
      </c>
      <c r="Q123" s="111">
        <f>IF(P123="","No List Price",IF(P123&lt;=0,"At/below price",IF(P123&lt;=0.12,"&lt;=12% STR zone",IF(P123&lt;=0.25,"12-25%","&gt;25% over"))))</f>
        <v/>
      </c>
      <c r="R123" s="109" t="n">
        <v>54.99</v>
      </c>
      <c r="S123" s="112">
        <f>IF(AND(ISNUMBER(N123),ISNUMBER(R123),N(R123)&gt;0),N123/R123-1,"")</f>
        <v/>
      </c>
      <c r="T123" s="39" t="inlineStr">
        <is>
          <t>vs our blended price (market data, Mar 2026 - STALE)</t>
        </is>
      </c>
      <c r="U123" s="108" t="n">
        <v>2984</v>
      </c>
      <c r="V123" s="108" t="n">
        <v>347</v>
      </c>
      <c r="W123" s="113">
        <f>IF(AND(ISNUMBER(N123),ISNUMBER(V123)),N123*V123*52/12,"")</f>
        <v/>
      </c>
      <c r="X123" s="114" t="n">
        <v>4.4</v>
      </c>
      <c r="Y123" s="108" t="n">
        <v>37179</v>
      </c>
      <c r="Z123" s="115" t="n">
        <v>46307</v>
      </c>
      <c r="AA123" s="115" t="n">
        <v>42729</v>
      </c>
      <c r="AB123" s="105" t="inlineStr">
        <is>
          <t>FBA</t>
        </is>
      </c>
      <c r="AC123" s="105" t="inlineStr">
        <is>
          <t>US</t>
        </is>
      </c>
      <c r="AD123" s="108" t="n">
        <v>451969</v>
      </c>
      <c r="AE123" s="108" t="n">
        <v>4094</v>
      </c>
      <c r="AF123" s="116" t="n">
        <v>0.6071584272372669</v>
      </c>
      <c r="AG123" s="116" t="n">
        <v>0.3928415727627336</v>
      </c>
      <c r="AH123" s="39" t="inlineStr">
        <is>
          <t>hotel</t>
        </is>
      </c>
      <c r="AI123" s="116" t="n">
        <v>0.9036371963563873</v>
      </c>
      <c r="AJ123" s="116" t="n">
        <v>0.4767871247806819</v>
      </c>
      <c r="AK123" s="116" t="n">
        <v>0.1264024745059949</v>
      </c>
      <c r="AL123" s="116" t="n">
        <v>0.3227168234989568</v>
      </c>
      <c r="AM123" s="108" t="n">
        <v>508</v>
      </c>
      <c r="AN123" s="108" t="n">
        <v>53</v>
      </c>
      <c r="AO123" s="108" t="n">
        <v>387</v>
      </c>
      <c r="AP123" s="108" t="n">
        <v>3586</v>
      </c>
      <c r="AQ123" s="108" t="n">
        <v>929</v>
      </c>
      <c r="AR123" s="108" t="n">
        <v>8</v>
      </c>
      <c r="AS123" s="117" t="n">
        <v>1.799620493358634</v>
      </c>
      <c r="AT123" s="112" t="n">
        <v>0.004829621679635077</v>
      </c>
      <c r="AU123" s="118" t="inlineStr">
        <is>
          <t>N</t>
        </is>
      </c>
      <c r="AV123" s="118" t="inlineStr">
        <is>
          <t>none</t>
        </is>
      </c>
      <c r="AW123" s="124" t="n"/>
      <c r="AX123" s="119" t="n">
        <v>79.98999999999999</v>
      </c>
      <c r="AY123" s="118" t="inlineStr">
        <is>
          <t>none</t>
        </is>
      </c>
      <c r="AZ123" s="118" t="inlineStr">
        <is>
          <t>Y</t>
        </is>
      </c>
      <c r="BA123" s="118" t="inlineStr">
        <is>
          <t>2026-10-13 12:10:54</t>
        </is>
      </c>
      <c r="BB123" s="120" t="inlineStr">
        <is>
          <t>Price cut only</t>
        </is>
      </c>
      <c r="BC123" s="120" t="inlineStr">
        <is>
          <t>11-20 to 12-01</t>
        </is>
      </c>
      <c r="BD123" s="121" t="n">
        <v>72.98999999999999</v>
      </c>
      <c r="BE123" s="121" t="n">
        <v>57.99</v>
      </c>
      <c r="BF123" s="110">
        <f>IF(AND(ISNUMBER(BD123),ISNUMBER(BE123),N(BD123)&gt;0),1-BE123/BD123,"")</f>
        <v/>
      </c>
      <c r="BG123" s="122" t="n">
        <v>3871</v>
      </c>
      <c r="BH123" s="122" t="n">
        <v>1703</v>
      </c>
      <c r="BI123" s="123">
        <f>IF(AND(ISNUMBER(BG123),ISNUMBER(BH123),N(BH123)&gt;0),BG123/BH123,"")</f>
        <v/>
      </c>
      <c r="BJ123" s="120" t="inlineStr">
        <is>
          <t>N</t>
        </is>
      </c>
      <c r="BK123" s="120" t="inlineStr">
        <is>
          <t>Lightning Deal 11-07 to 11-11; Coupon 20% (11-12 to 12-02); List Price $72.99</t>
        </is>
      </c>
    </row>
    <row r="124" ht="62" customHeight="1">
      <c r="A124" s="12">
        <f>_xlfn.IMAGE("https://images-na.ssl-images-amazon.com/images/I/61-LBYlR5KL.jpg")</f>
        <v/>
      </c>
      <c r="B124" s="105" t="inlineStr">
        <is>
          <t>KRIMANO</t>
        </is>
      </c>
      <c r="C124" s="39" t="inlineStr">
        <is>
          <t>KRIMANO Bamboo Viscose Sheet Set King Size, Cooling Sheets Bed Set</t>
        </is>
      </c>
      <c r="D124" s="105" t="inlineStr">
        <is>
          <t>Beatable</t>
        </is>
      </c>
      <c r="E124" s="106" t="inlineStr">
        <is>
          <t>Direct</t>
        </is>
      </c>
      <c r="F124" s="105" t="inlineStr">
        <is>
          <t>Bamboo viscose</t>
        </is>
      </c>
      <c r="G124" s="39" t="inlineStr">
        <is>
          <t>Same product (sheet set) in the same material family: Bamboo viscose (product page material: Viscose Derived from Bamboo); ours: our listing: viscose from bamboo.</t>
        </is>
      </c>
      <c r="H124" s="107" t="inlineStr">
        <is>
          <t>B0FT7L9RSX</t>
        </is>
      </c>
      <c r="I124" s="107" t="inlineStr">
        <is>
          <t>B0FT7LZ2CD</t>
        </is>
      </c>
      <c r="J124" s="105" t="inlineStr">
        <is>
          <t>King</t>
        </is>
      </c>
      <c r="K124" s="105" t="inlineStr">
        <is>
          <t>1.navy Blue</t>
        </is>
      </c>
      <c r="L124" s="108" t="n">
        <v>43</v>
      </c>
      <c r="M124" s="39" t="inlineStr">
        <is>
          <t>B0FT7LV7PP (47%), B0FT7LZ2CD (42%)</t>
        </is>
      </c>
      <c r="N124" s="109" t="n">
        <v>79.98999999999999</v>
      </c>
      <c r="O124" s="109" t="n"/>
      <c r="P124" s="110">
        <f>IF(AND(ISNUMBER(O124),ISNUMBER(N124),N(N124)&gt;0),O124/N124-1,"")</f>
        <v/>
      </c>
      <c r="Q124" s="111">
        <f>IF(P124="","No List Price",IF(P124&lt;=0,"At/below price",IF(P124&lt;=0.12,"&lt;=12% STR zone",IF(P124&lt;=0.25,"12-25%","&gt;25% over"))))</f>
        <v/>
      </c>
      <c r="R124" s="109" t="n">
        <v>54.99</v>
      </c>
      <c r="S124" s="112">
        <f>IF(AND(ISNUMBER(N124),ISNUMBER(R124),N(R124)&gt;0),N124/R124-1,"")</f>
        <v/>
      </c>
      <c r="T124" s="39" t="inlineStr">
        <is>
          <t>vs our blended price (market data, Mar 2026 - STALE)</t>
        </is>
      </c>
      <c r="U124" s="108" t="n">
        <v>5664</v>
      </c>
      <c r="V124" s="108" t="n">
        <v>185</v>
      </c>
      <c r="W124" s="113">
        <f>IF(AND(ISNUMBER(N124),ISNUMBER(V124)),N124*V124*52/12,"")</f>
        <v/>
      </c>
      <c r="X124" s="114" t="n">
        <v>4.5</v>
      </c>
      <c r="Y124" s="108" t="n">
        <v>263</v>
      </c>
      <c r="Z124" s="115" t="n">
        <v>46307</v>
      </c>
      <c r="AA124" s="115" t="n">
        <v>45944</v>
      </c>
      <c r="AB124" s="105" t="inlineStr">
        <is>
          <t>FBA</t>
        </is>
      </c>
      <c r="AC124" s="105" t="inlineStr">
        <is>
          <t>HK</t>
        </is>
      </c>
      <c r="AD124" s="108" t="n">
        <v>334819</v>
      </c>
      <c r="AE124" s="108" t="n">
        <v>2638</v>
      </c>
      <c r="AF124" s="116" t="n">
        <v>0.6137371774003271</v>
      </c>
      <c r="AG124" s="116" t="n">
        <v>0.3862628512718813</v>
      </c>
      <c r="AH124" s="39" t="inlineStr">
        <is>
          <t>bamboo sheets</t>
        </is>
      </c>
      <c r="AI124" s="116" t="n">
        <v>0.9348573408319122</v>
      </c>
      <c r="AJ124" s="116" t="n">
        <v>0.3304382367786775</v>
      </c>
      <c r="AK124" s="116" t="n"/>
      <c r="AL124" s="116" t="n">
        <v>0.007908750698138397</v>
      </c>
      <c r="AM124" s="108" t="n">
        <v>476</v>
      </c>
      <c r="AN124" s="108" t="n">
        <v>78</v>
      </c>
      <c r="AO124" s="108" t="n">
        <v>357</v>
      </c>
      <c r="AP124" s="108" t="n">
        <v>2162</v>
      </c>
      <c r="AQ124" s="108" t="n">
        <v>485</v>
      </c>
      <c r="AR124" s="108" t="n">
        <v>10</v>
      </c>
      <c r="AS124" s="117" t="n">
        <v>1.312468450277638</v>
      </c>
      <c r="AT124" s="112" t="n">
        <v>0.2565502183406114</v>
      </c>
      <c r="AU124" s="118" t="inlineStr">
        <is>
          <t>N</t>
        </is>
      </c>
      <c r="AV124" s="118" t="inlineStr">
        <is>
          <t>none</t>
        </is>
      </c>
      <c r="AW124" s="124" t="n"/>
      <c r="AX124" s="119" t="n">
        <v>84.98999999999999</v>
      </c>
      <c r="AY124" s="118" t="inlineStr">
        <is>
          <t>none</t>
        </is>
      </c>
      <c r="AZ124" s="118" t="inlineStr">
        <is>
          <t>Y</t>
        </is>
      </c>
      <c r="BA124" s="118" t="inlineStr">
        <is>
          <t>2026-10-13 12:11:00</t>
        </is>
      </c>
      <c r="BB124" s="120" t="inlineStr">
        <is>
          <t>None</t>
        </is>
      </c>
      <c r="BC124" s="125" t="n"/>
      <c r="BD124" s="121" t="n">
        <v>72.98999999999999</v>
      </c>
      <c r="BE124" s="121" t="n">
        <v>72.98999999999999</v>
      </c>
      <c r="BF124" s="110">
        <f>IF(AND(ISNUMBER(BD124),ISNUMBER(BE124),N(BD124)&gt;0),1-BE124/BD124,"")</f>
        <v/>
      </c>
      <c r="BG124" s="122" t="n">
        <v>1190634</v>
      </c>
      <c r="BH124" s="122" t="n">
        <v>628461</v>
      </c>
      <c r="BI124" s="123">
        <f>IF(AND(ISNUMBER(BG124),ISNUMBER(BH124),N(BH124)&gt;0),BG124/BH124,"")</f>
        <v/>
      </c>
      <c r="BJ124" s="120" t="inlineStr">
        <is>
          <t>N</t>
        </is>
      </c>
      <c r="BK124" s="120" t="inlineStr">
        <is>
          <t>List Price $94.89</t>
        </is>
      </c>
    </row>
    <row r="125" ht="62" customHeight="1">
      <c r="A125" s="12">
        <f>_xlfn.IMAGE("https://images-na.ssl-images-amazon.com/images/I/81svKInu7aL.jpg")</f>
        <v/>
      </c>
      <c r="B125" s="105" t="inlineStr">
        <is>
          <t>Bambaw</t>
        </is>
      </c>
      <c r="C125" s="39" t="inlineStr">
        <is>
          <t>Bambaw 100% Viscose Derived from Bamboo Sheets Queen Size Set – 4pcs Cooling Sheet Set, Super Soft Sheets Queen Size, Luxury Bed Sheets, Deep Pocket Fits Up to 16'' Mattresses (Charcoal)</t>
        </is>
      </c>
      <c r="D125" s="105" t="inlineStr">
        <is>
          <t>Beatable</t>
        </is>
      </c>
      <c r="E125" s="106" t="inlineStr">
        <is>
          <t>Direct</t>
        </is>
      </c>
      <c r="F125" s="105" t="inlineStr">
        <is>
          <t>Bamboo viscose</t>
        </is>
      </c>
      <c r="G125" s="39" t="inlineStr">
        <is>
          <t>Same product (sheet set) in the same material family: Bamboo viscose (title: Bambaw 100% Viscose Derived from Bamboo Sheets Queen Size Se); ours: our listing: viscose from bamboo.</t>
        </is>
      </c>
      <c r="H125" s="107" t="inlineStr">
        <is>
          <t>B07K6SYX8L</t>
        </is>
      </c>
      <c r="I125" s="107" t="inlineStr">
        <is>
          <t>B0DR99Q37Y</t>
        </is>
      </c>
      <c r="J125" s="105" t="inlineStr">
        <is>
          <t>Queen</t>
        </is>
      </c>
      <c r="K125" s="105" t="inlineStr">
        <is>
          <t>Charcoal</t>
        </is>
      </c>
      <c r="L125" s="108" t="n">
        <v>104</v>
      </c>
      <c r="M125" s="39" t="inlineStr">
        <is>
          <t>B0DR99Q37Y (55%), B0DR98VW37 (10%), B0F2J1742T (7%), B0DR98HVG3 (5%), B0H3BQSQ1X (5%)</t>
        </is>
      </c>
      <c r="N125" s="109" t="n">
        <v>89.98999999999999</v>
      </c>
      <c r="O125" s="109" t="n"/>
      <c r="P125" s="110">
        <f>IF(AND(ISNUMBER(O125),ISNUMBER(N125),N(N125)&gt;0),O125/N125-1,"")</f>
        <v/>
      </c>
      <c r="Q125" s="111">
        <f>IF(P125="","No List Price",IF(P125&lt;=0,"At/below price",IF(P125&lt;=0.12,"&lt;=12% STR zone",IF(P125&lt;=0.25,"12-25%","&gt;25% over"))))</f>
        <v/>
      </c>
      <c r="R125" s="109" t="n">
        <v>54.99</v>
      </c>
      <c r="S125" s="112">
        <f>IF(AND(ISNUMBER(N125),ISNUMBER(R125),N(R125)&gt;0),N125/R125-1,"")</f>
        <v/>
      </c>
      <c r="T125" s="39" t="inlineStr">
        <is>
          <t>vs our blended price (market data, Mar 2026 - STALE)</t>
        </is>
      </c>
      <c r="U125" s="108" t="n">
        <v>6971</v>
      </c>
      <c r="V125" s="108" t="n">
        <v>104</v>
      </c>
      <c r="W125" s="113">
        <f>IF(AND(ISNUMBER(N125),ISNUMBER(V125)),N125*V125*52/12,"")</f>
        <v/>
      </c>
      <c r="X125" s="114" t="n">
        <v>4.3</v>
      </c>
      <c r="Y125" s="108" t="n">
        <v>2766</v>
      </c>
      <c r="Z125" s="115" t="n">
        <v>46307</v>
      </c>
      <c r="AA125" s="115" t="n">
        <v>45649</v>
      </c>
      <c r="AB125" s="105" t="inlineStr">
        <is>
          <t>FBA</t>
        </is>
      </c>
      <c r="AC125" s="105" t="inlineStr">
        <is>
          <t>BE</t>
        </is>
      </c>
      <c r="AD125" s="108" t="n">
        <v>407949</v>
      </c>
      <c r="AE125" s="108" t="n">
        <v>2137</v>
      </c>
      <c r="AF125" s="116" t="n">
        <v>0.5037485506766772</v>
      </c>
      <c r="AG125" s="116" t="n">
        <v>0.4962515277645003</v>
      </c>
      <c r="AH125" s="39" t="inlineStr">
        <is>
          <t>bamboo sheets</t>
        </is>
      </c>
      <c r="AI125" s="116" t="n">
        <v>0.8267479513370544</v>
      </c>
      <c r="AJ125" s="116" t="n">
        <v>0.000431426477329274</v>
      </c>
      <c r="AK125" s="116" t="n">
        <v>0.3636508485129268</v>
      </c>
      <c r="AL125" s="116" t="n">
        <v>0.003414642516589083</v>
      </c>
      <c r="AM125" s="108" t="n">
        <v>481</v>
      </c>
      <c r="AN125" s="108" t="n">
        <v>27</v>
      </c>
      <c r="AO125" s="108" t="n">
        <v>398</v>
      </c>
      <c r="AP125" s="108" t="n">
        <v>1656</v>
      </c>
      <c r="AQ125" s="108" t="n">
        <v>578</v>
      </c>
      <c r="AR125" s="108" t="n">
        <v>13</v>
      </c>
      <c r="AS125" s="117" t="n">
        <v>1.374474053295933</v>
      </c>
      <c r="AT125" s="112" t="n">
        <v>1.381825760733639</v>
      </c>
      <c r="AU125" s="118" t="inlineStr">
        <is>
          <t>N</t>
        </is>
      </c>
      <c r="AV125" s="118" t="inlineStr">
        <is>
          <t>none</t>
        </is>
      </c>
      <c r="AW125" s="124" t="n"/>
      <c r="AX125" s="119" t="n">
        <v>89.98999999999999</v>
      </c>
      <c r="AY125" s="118" t="inlineStr">
        <is>
          <t>none</t>
        </is>
      </c>
      <c r="AZ125" s="118" t="inlineStr">
        <is>
          <t>Y</t>
        </is>
      </c>
      <c r="BA125" s="118" t="inlineStr">
        <is>
          <t>2026-10-13 12:10:28</t>
        </is>
      </c>
      <c r="BB125" s="120" t="inlineStr">
        <is>
          <t>None</t>
        </is>
      </c>
      <c r="BC125" s="125" t="n"/>
      <c r="BD125" s="121" t="n">
        <v>89.98999999999999</v>
      </c>
      <c r="BE125" s="121" t="n">
        <v>89.98999999999999</v>
      </c>
      <c r="BF125" s="110">
        <f>IF(AND(ISNUMBER(BD125),ISNUMBER(BE125),N(BD125)&gt;0),1-BE125/BD125,"")</f>
        <v/>
      </c>
      <c r="BG125" s="122" t="n">
        <v>12712</v>
      </c>
      <c r="BH125" s="122" t="n">
        <v>10881</v>
      </c>
      <c r="BI125" s="123">
        <f>IF(AND(ISNUMBER(BG125),ISNUMBER(BH125),N(BH125)&gt;0),BG125/BH125,"")</f>
        <v/>
      </c>
      <c r="BJ125" s="120" t="inlineStr">
        <is>
          <t>N</t>
        </is>
      </c>
      <c r="BK125" s="120" t="inlineStr">
        <is>
          <t>List Price $103.45</t>
        </is>
      </c>
    </row>
    <row r="126" ht="62" customHeight="1">
      <c r="A126" s="12">
        <f>_xlfn.IMAGE("https://images-na.ssl-images-amazon.com/images/I/81suQgVR0GL.jpg")</f>
        <v/>
      </c>
      <c r="B126" s="105" t="inlineStr">
        <is>
          <t>Bedsure</t>
        </is>
      </c>
      <c r="C126" s="39" t="inlineStr">
        <is>
          <t>Bedsure PureWoven Organically Grown Bamboo Viscose Queen Sheet Set, 4PCS</t>
        </is>
      </c>
      <c r="D126" s="105" t="inlineStr">
        <is>
          <t>Beatable</t>
        </is>
      </c>
      <c r="E126" s="106" t="inlineStr">
        <is>
          <t>Direct</t>
        </is>
      </c>
      <c r="F126" s="105" t="inlineStr">
        <is>
          <t>Bamboo viscose</t>
        </is>
      </c>
      <c r="G126" s="39" t="inlineStr">
        <is>
          <t>Same product (sheet set) in the same material family: Bamboo viscose (product page material: Viscose Derived from Bamboo); ours: our listing: viscose from bamboo.</t>
        </is>
      </c>
      <c r="H126" s="107" t="inlineStr">
        <is>
          <t>B0FB8XS4D1</t>
        </is>
      </c>
      <c r="I126" s="107" t="inlineStr">
        <is>
          <t>B0FB8XR43Q</t>
        </is>
      </c>
      <c r="J126" s="105" t="inlineStr">
        <is>
          <t>Queen</t>
        </is>
      </c>
      <c r="K126" s="105" t="inlineStr">
        <is>
          <t>01 - White</t>
        </is>
      </c>
      <c r="L126" s="108" t="n">
        <v>39</v>
      </c>
      <c r="M126" s="39" t="inlineStr">
        <is>
          <t>B0FB8XR43Q (31%), B0FB8ZTD7M (18%), B0GLN6VP9Y (11%), B0FB8YV6C7 (10%), B0FB8Z4GGW (10%)</t>
        </is>
      </c>
      <c r="N126" s="109" t="n">
        <v>89.98999999999999</v>
      </c>
      <c r="O126" s="109" t="n">
        <v>119.99</v>
      </c>
      <c r="P126" s="110">
        <f>IF(AND(ISNUMBER(O126),ISNUMBER(N126),N(N126)&gt;0),O126/N126-1,"")</f>
        <v/>
      </c>
      <c r="Q126" s="111">
        <f>IF(P126="","No List Price",IF(P126&lt;=0,"At/below price",IF(P126&lt;=0.12,"&lt;=12% STR zone",IF(P126&lt;=0.25,"12-25%","&gt;25% over"))))</f>
        <v/>
      </c>
      <c r="R126" s="109" t="n">
        <v>54.99</v>
      </c>
      <c r="S126" s="112">
        <f>IF(AND(ISNUMBER(N126),ISNUMBER(R126),N(R126)&gt;0),N126/R126-1,"")</f>
        <v/>
      </c>
      <c r="T126" s="39" t="inlineStr">
        <is>
          <t>vs our blended price (market data, Mar 2026 - STALE)</t>
        </is>
      </c>
      <c r="U126" s="108" t="n">
        <v>8938</v>
      </c>
      <c r="V126" s="108" t="n">
        <v>104</v>
      </c>
      <c r="W126" s="113">
        <f>IF(AND(ISNUMBER(N126),ISNUMBER(V126)),N126*V126*52/12,"")</f>
        <v/>
      </c>
      <c r="X126" s="114" t="n">
        <v>4.5</v>
      </c>
      <c r="Y126" s="108" t="n">
        <v>588</v>
      </c>
      <c r="Z126" s="115" t="n">
        <v>46307</v>
      </c>
      <c r="AA126" s="115" t="n">
        <v>45936</v>
      </c>
      <c r="AB126" s="105" t="inlineStr">
        <is>
          <t>FBA</t>
        </is>
      </c>
      <c r="AC126" s="105" t="inlineStr">
        <is>
          <t>US</t>
        </is>
      </c>
      <c r="AD126" s="108" t="n">
        <v>840292</v>
      </c>
      <c r="AE126" s="108" t="n">
        <v>3961</v>
      </c>
      <c r="AF126" s="116" t="n">
        <v>0.1404099194089678</v>
      </c>
      <c r="AG126" s="116" t="n">
        <v>0.8595901834124341</v>
      </c>
      <c r="AH126" s="39" t="inlineStr">
        <is>
          <t>bamboo sheets</t>
        </is>
      </c>
      <c r="AI126" s="116" t="n">
        <v>0.9284082199997143</v>
      </c>
      <c r="AJ126" s="116" t="n">
        <v>0.9843340172225845</v>
      </c>
      <c r="AK126" s="116" t="n">
        <v>0.5269953777972419</v>
      </c>
      <c r="AL126" s="116" t="n">
        <v>0.000478405125837209</v>
      </c>
      <c r="AM126" s="108" t="n">
        <v>505</v>
      </c>
      <c r="AN126" s="108" t="n">
        <v>20</v>
      </c>
      <c r="AO126" s="108" t="n">
        <v>432</v>
      </c>
      <c r="AP126" s="108" t="n">
        <v>3456</v>
      </c>
      <c r="AQ126" s="108" t="n">
        <v>2426</v>
      </c>
      <c r="AR126" s="108" t="n">
        <v>25</v>
      </c>
      <c r="AS126" s="117" t="n">
        <v>1.764832022873481</v>
      </c>
      <c r="AT126" s="112" t="n">
        <v>-0.09047044632086854</v>
      </c>
      <c r="AU126" s="118" t="inlineStr">
        <is>
          <t>Y</t>
        </is>
      </c>
      <c r="AV126" s="118" t="inlineStr">
        <is>
          <t>List Price</t>
        </is>
      </c>
      <c r="AW126" s="119" t="n">
        <v>119.99</v>
      </c>
      <c r="AX126" s="119" t="n">
        <v>89.98999999999999</v>
      </c>
      <c r="AY126" s="118" t="inlineStr">
        <is>
          <t>none</t>
        </is>
      </c>
      <c r="AZ126" s="118" t="inlineStr">
        <is>
          <t>Y</t>
        </is>
      </c>
      <c r="BA126" s="118" t="inlineStr">
        <is>
          <t>2026-10-13 12:10:38</t>
        </is>
      </c>
      <c r="BB126" s="120" t="inlineStr">
        <is>
          <t>Prime Exclusive Discount</t>
        </is>
      </c>
      <c r="BC126" s="120" t="inlineStr">
        <is>
          <t>11-10 to 12-05</t>
        </is>
      </c>
      <c r="BD126" s="121" t="n">
        <v>99.98999999999999</v>
      </c>
      <c r="BE126" s="121" t="n">
        <v>72.64</v>
      </c>
      <c r="BF126" s="110">
        <f>IF(AND(ISNUMBER(BD126),ISNUMBER(BE126),N(BD126)&gt;0),1-BE126/BD126,"")</f>
        <v/>
      </c>
      <c r="BG126" s="122" t="n">
        <v>53160</v>
      </c>
      <c r="BH126" s="122" t="n">
        <v>53782</v>
      </c>
      <c r="BI126" s="123">
        <f>IF(AND(ISNUMBER(BG126),ISNUMBER(BH126),N(BH126)&gt;0),BG126/BH126,"")</f>
        <v/>
      </c>
      <c r="BJ126" s="120" t="inlineStr">
        <is>
          <t>N</t>
        </is>
      </c>
      <c r="BK126" s="120" t="inlineStr">
        <is>
          <t>Prime Exclusive already running before BFCM week; List Price $114.99</t>
        </is>
      </c>
    </row>
    <row r="127" ht="62" customHeight="1">
      <c r="A127" s="12">
        <f>_xlfn.IMAGE("https://images-na.ssl-images-amazon.com/images/I/71sqxa1EquL.jpg")</f>
        <v/>
      </c>
      <c r="B127" s="105" t="inlineStr">
        <is>
          <t>SONORO KATE</t>
        </is>
      </c>
      <c r="C127" s="39" t="inlineStr">
        <is>
          <t>Bamboo Sheets</t>
        </is>
      </c>
      <c r="D127" s="105" t="inlineStr">
        <is>
          <t>Beatable</t>
        </is>
      </c>
      <c r="E127" s="106" t="inlineStr">
        <is>
          <t>Direct</t>
        </is>
      </c>
      <c r="F127" s="105" t="inlineStr">
        <is>
          <t>Bamboo viscose</t>
        </is>
      </c>
      <c r="G127" s="39" t="inlineStr">
        <is>
          <t>Same product (sheet set) in the same material family: Bamboo viscose (product page material: Viscose Derived From Bamboo); ours: our listing: viscose from bamboo.</t>
        </is>
      </c>
      <c r="H127" s="107" t="inlineStr">
        <is>
          <t>B0F4852T9V</t>
        </is>
      </c>
      <c r="I127" s="107" t="inlineStr">
        <is>
          <t>B0F4873G4H</t>
        </is>
      </c>
      <c r="J127" s="105" t="inlineStr">
        <is>
          <t>King</t>
        </is>
      </c>
      <c r="K127" s="105" t="inlineStr">
        <is>
          <t>Dark Grey</t>
        </is>
      </c>
      <c r="L127" s="108" t="n">
        <v>33</v>
      </c>
      <c r="M127" s="39" t="inlineStr">
        <is>
          <t>B0F486MGJ1 (46%), B0F4873G4H (45%)</t>
        </is>
      </c>
      <c r="N127" s="109" t="n">
        <v>79.98999999999999</v>
      </c>
      <c r="O127" s="109" t="n"/>
      <c r="P127" s="110">
        <f>IF(AND(ISNUMBER(O127),ISNUMBER(N127),N(N127)&gt;0),O127/N127-1,"")</f>
        <v/>
      </c>
      <c r="Q127" s="111">
        <f>IF(P127="","No List Price",IF(P127&lt;=0,"At/below price",IF(P127&lt;=0.12,"&lt;=12% STR zone",IF(P127&lt;=0.25,"12-25%","&gt;25% over"))))</f>
        <v/>
      </c>
      <c r="R127" s="109" t="n">
        <v>54.99</v>
      </c>
      <c r="S127" s="112">
        <f>IF(AND(ISNUMBER(N127),ISNUMBER(R127),N(R127)&gt;0),N127/R127-1,"")</f>
        <v/>
      </c>
      <c r="T127" s="39" t="inlineStr">
        <is>
          <t>vs our blended price (market data, Mar 2026 - STALE)</t>
        </is>
      </c>
      <c r="U127" s="108" t="n">
        <v>7961</v>
      </c>
      <c r="V127" s="108" t="n">
        <v>104</v>
      </c>
      <c r="W127" s="113">
        <f>IF(AND(ISNUMBER(N127),ISNUMBER(V127)),N127*V127*52/12,"")</f>
        <v/>
      </c>
      <c r="X127" s="114" t="n">
        <v>4.5</v>
      </c>
      <c r="Y127" s="108" t="n">
        <v>3776</v>
      </c>
      <c r="Z127" s="115" t="n">
        <v>46307</v>
      </c>
      <c r="AA127" s="115" t="n"/>
      <c r="AB127" s="105" t="n"/>
      <c r="AC127" s="105" t="n"/>
      <c r="AD127" s="108" t="n">
        <v>185157</v>
      </c>
      <c r="AE127" s="108" t="n">
        <v>1447</v>
      </c>
      <c r="AF127" s="116" t="n">
        <v>0.9776013545261586</v>
      </c>
      <c r="AG127" s="116" t="n">
        <v>0.02239928493116653</v>
      </c>
      <c r="AH127" s="39" t="inlineStr">
        <is>
          <t>bamboo sheets</t>
        </is>
      </c>
      <c r="AI127" s="116" t="n">
        <v>0.4342476924987983</v>
      </c>
      <c r="AJ127" s="116" t="n"/>
      <c r="AK127" s="116" t="n"/>
      <c r="AL127" s="116" t="n">
        <v>0.1639959601851402</v>
      </c>
      <c r="AM127" s="108" t="n">
        <v>402</v>
      </c>
      <c r="AN127" s="108" t="n">
        <v>43</v>
      </c>
      <c r="AO127" s="108" t="n">
        <v>301</v>
      </c>
      <c r="AP127" s="108" t="n">
        <v>1045</v>
      </c>
      <c r="AQ127" s="108" t="n">
        <v>120</v>
      </c>
      <c r="AR127" s="108" t="n">
        <v>1</v>
      </c>
      <c r="AS127" s="117" t="n">
        <v>1.314808539478143</v>
      </c>
      <c r="AT127" s="112" t="n">
        <v>0.6186540731995278</v>
      </c>
      <c r="AU127" s="118" t="inlineStr">
        <is>
          <t>N</t>
        </is>
      </c>
      <c r="AV127" s="118" t="inlineStr">
        <is>
          <t>none</t>
        </is>
      </c>
      <c r="AW127" s="124" t="n"/>
      <c r="AX127" s="119" t="n">
        <v>79.98999999999999</v>
      </c>
      <c r="AY127" s="118" t="inlineStr">
        <is>
          <t>coupon $5</t>
        </is>
      </c>
      <c r="AZ127" s="118" t="inlineStr">
        <is>
          <t>Y</t>
        </is>
      </c>
      <c r="BA127" s="118" t="inlineStr">
        <is>
          <t>2026-10-13 12:11:19</t>
        </is>
      </c>
      <c r="BB127" s="120" t="inlineStr">
        <is>
          <t>Prime Exclusive Discount</t>
        </is>
      </c>
      <c r="BC127" s="120" t="inlineStr">
        <is>
          <t>11-20 to 12-01</t>
        </is>
      </c>
      <c r="BD127" s="121" t="n">
        <v>79.98999999999999</v>
      </c>
      <c r="BE127" s="121" t="n">
        <v>63.99</v>
      </c>
      <c r="BF127" s="110">
        <f>IF(AND(ISNUMBER(BD127),ISNUMBER(BE127),N(BD127)&gt;0),1-BE127/BD127,"")</f>
        <v/>
      </c>
      <c r="BG127" s="122" t="n">
        <v>36662</v>
      </c>
      <c r="BH127" s="122" t="n">
        <v>23612</v>
      </c>
      <c r="BI127" s="123">
        <f>IF(AND(ISNUMBER(BG127),ISNUMBER(BH127),N(BH127)&gt;0),BG127/BH127,"")</f>
        <v/>
      </c>
      <c r="BJ127" s="120" t="inlineStr">
        <is>
          <t>N</t>
        </is>
      </c>
      <c r="BK127" s="120" t="inlineStr">
        <is>
          <t>Coupon 15% (11-06 to 11-19); List Price $79.99</t>
        </is>
      </c>
    </row>
    <row r="128" ht="62" customHeight="1">
      <c r="A128" s="12">
        <f>_xlfn.IMAGE("https://images-na.ssl-images-amazon.com/images/I/71Pl57-j67L.jpg")</f>
        <v/>
      </c>
      <c r="B128" s="105" t="inlineStr">
        <is>
          <t>BC BELLA COTERIE</t>
        </is>
      </c>
      <c r="C128" s="39" t="inlineStr">
        <is>
          <t>Bella Coterie Luxury Bamboo Viscose King Size Sheet Set</t>
        </is>
      </c>
      <c r="D128" s="105" t="inlineStr">
        <is>
          <t>Beatable</t>
        </is>
      </c>
      <c r="E128" s="106" t="inlineStr">
        <is>
          <t>Direct</t>
        </is>
      </c>
      <c r="F128" s="105" t="inlineStr">
        <is>
          <t>Bamboo viscose</t>
        </is>
      </c>
      <c r="G128" s="39" t="inlineStr">
        <is>
          <t>Same product (sheet set) in the same material family: Bamboo viscose (product page material: Organically Grown | Viscose Made From Bamboo); ours: our listing: viscose from bamboo.</t>
        </is>
      </c>
      <c r="H128" s="107" t="inlineStr">
        <is>
          <t>B0H29V113N</t>
        </is>
      </c>
      <c r="I128" s="107" t="inlineStr">
        <is>
          <t>B08L86VLZB</t>
        </is>
      </c>
      <c r="J128" s="105" t="inlineStr">
        <is>
          <t>King - 2 Pillowcases</t>
        </is>
      </c>
      <c r="K128" s="105" t="inlineStr">
        <is>
          <t>01 - White</t>
        </is>
      </c>
      <c r="L128" s="108" t="n">
        <v>258</v>
      </c>
      <c r="M128" s="39" t="inlineStr">
        <is>
          <t>B0C979FD5Z (12%), B09JTQMF5C (11%), B08L86VLZB (6%), B08L85SV5Z (5%), B09JV1NG9R (4%)</t>
        </is>
      </c>
      <c r="N128" s="109" t="n">
        <v>154.99</v>
      </c>
      <c r="O128" s="109" t="n"/>
      <c r="P128" s="110">
        <f>IF(AND(ISNUMBER(O128),ISNUMBER(N128),N(N128)&gt;0),O128/N128-1,"")</f>
        <v/>
      </c>
      <c r="Q128" s="111">
        <f>IF(P128="","No List Price",IF(P128&lt;=0,"At/below price",IF(P128&lt;=0.12,"&lt;=12% STR zone",IF(P128&lt;=0.25,"12-25%","&gt;25% over"))))</f>
        <v/>
      </c>
      <c r="R128" s="109" t="n">
        <v>54.99</v>
      </c>
      <c r="S128" s="112">
        <f>IF(AND(ISNUMBER(N128),ISNUMBER(R128),N(R128)&gt;0),N128/R128-1,"")</f>
        <v/>
      </c>
      <c r="T128" s="39" t="inlineStr">
        <is>
          <t>vs our blended price (market data, Mar 2026 - STALE)</t>
        </is>
      </c>
      <c r="U128" s="108" t="n">
        <v>1358</v>
      </c>
      <c r="V128" s="108" t="n">
        <v>92</v>
      </c>
      <c r="W128" s="113">
        <f>IF(AND(ISNUMBER(N128),ISNUMBER(V128)),N128*V128*52/12,"")</f>
        <v/>
      </c>
      <c r="X128" s="114" t="n">
        <v>4.4</v>
      </c>
      <c r="Y128" s="108" t="n">
        <v>5871</v>
      </c>
      <c r="Z128" s="115" t="n">
        <v>46307</v>
      </c>
      <c r="AA128" s="115" t="n">
        <v>44154</v>
      </c>
      <c r="AB128" s="105" t="inlineStr">
        <is>
          <t>FBA</t>
        </is>
      </c>
      <c r="AC128" s="105" t="inlineStr">
        <is>
          <t>US</t>
        </is>
      </c>
      <c r="AD128" s="108" t="n">
        <v>591713</v>
      </c>
      <c r="AE128" s="108" t="n">
        <v>5504</v>
      </c>
      <c r="AF128" s="116" t="n">
        <v>0.3622702587234016</v>
      </c>
      <c r="AG128" s="116" t="n">
        <v>0.6377298332130611</v>
      </c>
      <c r="AH128" s="39" t="inlineStr">
        <is>
          <t>bamboo sheets</t>
        </is>
      </c>
      <c r="AI128" s="116" t="n">
        <v>0.9808184035165697</v>
      </c>
      <c r="AJ128" s="116" t="n">
        <v>0.5730548424658576</v>
      </c>
      <c r="AK128" s="116" t="n">
        <v>0.5581810776508206</v>
      </c>
      <c r="AL128" s="116" t="n">
        <v>0.03836488297536136</v>
      </c>
      <c r="AM128" s="108" t="n">
        <v>535</v>
      </c>
      <c r="AN128" s="108" t="n">
        <v>41</v>
      </c>
      <c r="AO128" s="108" t="n">
        <v>420</v>
      </c>
      <c r="AP128" s="108" t="n">
        <v>4969</v>
      </c>
      <c r="AQ128" s="108" t="n">
        <v>2425</v>
      </c>
      <c r="AR128" s="108" t="n">
        <v>15</v>
      </c>
      <c r="AS128" s="117" t="n">
        <v>1.778087279480037</v>
      </c>
      <c r="AT128" s="112" t="n">
        <v>0.3772549019607843</v>
      </c>
      <c r="AU128" s="118" t="inlineStr">
        <is>
          <t>N</t>
        </is>
      </c>
      <c r="AV128" s="118" t="inlineStr">
        <is>
          <t>none</t>
        </is>
      </c>
      <c r="AW128" s="124" t="n"/>
      <c r="AX128" s="119" t="n">
        <v>169.99</v>
      </c>
      <c r="AY128" s="118" t="inlineStr">
        <is>
          <t>none</t>
        </is>
      </c>
      <c r="AZ128" s="118" t="inlineStr">
        <is>
          <t>Y</t>
        </is>
      </c>
      <c r="BA128" s="118" t="inlineStr">
        <is>
          <t>2026-10-13 12:14:18</t>
        </is>
      </c>
      <c r="BB128" s="120" t="inlineStr">
        <is>
          <t>Price cut only</t>
        </is>
      </c>
      <c r="BC128" s="120" t="inlineStr">
        <is>
          <t>11-20 to 12-01</t>
        </is>
      </c>
      <c r="BD128" s="121" t="n">
        <v>134.99</v>
      </c>
      <c r="BE128" s="121" t="n">
        <v>110.5</v>
      </c>
      <c r="BF128" s="110">
        <f>IF(AND(ISNUMBER(BD128),ISNUMBER(BE128),N(BD128)&gt;0),1-BE128/BD128,"")</f>
        <v/>
      </c>
      <c r="BG128" s="122" t="n">
        <v>3072</v>
      </c>
      <c r="BH128" s="122" t="n">
        <v>1155</v>
      </c>
      <c r="BI128" s="123">
        <f>IF(AND(ISNUMBER(BG128),ISNUMBER(BH128),N(BH128)&gt;0),BG128/BH128,"")</f>
        <v/>
      </c>
      <c r="BJ128" s="120" t="inlineStr">
        <is>
          <t>N</t>
        </is>
      </c>
      <c r="BK128" s="120" t="inlineStr">
        <is>
          <t>Coupon 20.00 USD (12-03 to 12-05); List Price $169.99</t>
        </is>
      </c>
    </row>
    <row r="129" ht="62" customHeight="1">
      <c r="A129" s="12">
        <f>_xlfn.IMAGE("https://images-na.ssl-images-amazon.com/images/I/61fbapIObwL.jpg")</f>
        <v/>
      </c>
      <c r="B129" s="105" t="inlineStr">
        <is>
          <t>BAMPURE</t>
        </is>
      </c>
      <c r="C129" s="39" t="inlineStr">
        <is>
          <t>BAMPURE 100% Rayon from Bamboo Sheets King Size - 4pc Cooling King Sheets</t>
        </is>
      </c>
      <c r="D129" s="105" t="inlineStr">
        <is>
          <t>Beatable</t>
        </is>
      </c>
      <c r="E129" s="106" t="inlineStr">
        <is>
          <t>Direct</t>
        </is>
      </c>
      <c r="F129" s="105" t="inlineStr">
        <is>
          <t>Bamboo viscose</t>
        </is>
      </c>
      <c r="G129" s="39" t="inlineStr">
        <is>
          <t>Same product (sheet set) in the same material family: Bamboo viscose (product page material: Viscose Derived from Bamboo); ours: our listing: viscose from bamboo.</t>
        </is>
      </c>
      <c r="H129" s="107" t="inlineStr">
        <is>
          <t>B0HC778XB4</t>
        </is>
      </c>
      <c r="I129" s="107" t="inlineStr">
        <is>
          <t>B07XFP6BY2</t>
        </is>
      </c>
      <c r="J129" s="105" t="inlineStr">
        <is>
          <t>King</t>
        </is>
      </c>
      <c r="K129" s="105" t="inlineStr">
        <is>
          <t>White</t>
        </is>
      </c>
      <c r="L129" s="108" t="n">
        <v>40</v>
      </c>
      <c r="M129" s="39" t="inlineStr">
        <is>
          <t>B07XBJY2JR (65%), B07XFP6BY2 (21%)</t>
        </is>
      </c>
      <c r="N129" s="109" t="n">
        <v>67.98</v>
      </c>
      <c r="O129" s="109" t="n">
        <v>99.98999999999999</v>
      </c>
      <c r="P129" s="110">
        <f>IF(AND(ISNUMBER(O129),ISNUMBER(N129),N(N129)&gt;0),O129/N129-1,"")</f>
        <v/>
      </c>
      <c r="Q129" s="111">
        <f>IF(P129="","No List Price",IF(P129&lt;=0,"At/below price",IF(P129&lt;=0.12,"&lt;=12% STR zone",IF(P129&lt;=0.25,"12-25%","&gt;25% over"))))</f>
        <v/>
      </c>
      <c r="R129" s="109" t="n">
        <v>54.99</v>
      </c>
      <c r="S129" s="112">
        <f>IF(AND(ISNUMBER(N129),ISNUMBER(R129),N(R129)&gt;0),N129/R129-1,"")</f>
        <v/>
      </c>
      <c r="T129" s="39" t="inlineStr">
        <is>
          <t>vs our blended price (market data, Mar 2026 - STALE)</t>
        </is>
      </c>
      <c r="U129" s="108" t="n">
        <v>14479</v>
      </c>
      <c r="V129" s="108" t="n">
        <v>81</v>
      </c>
      <c r="W129" s="113">
        <f>IF(AND(ISNUMBER(N129),ISNUMBER(V129)),N129*V129*52/12,"")</f>
        <v/>
      </c>
      <c r="X129" s="114" t="n">
        <v>4.4</v>
      </c>
      <c r="Y129" s="108" t="n">
        <v>4095</v>
      </c>
      <c r="Z129" s="115" t="n">
        <v>46307</v>
      </c>
      <c r="AA129" s="115" t="n">
        <v>43776</v>
      </c>
      <c r="AB129" s="105" t="inlineStr">
        <is>
          <t>FBA</t>
        </is>
      </c>
      <c r="AC129" s="105" t="inlineStr">
        <is>
          <t>US</t>
        </is>
      </c>
      <c r="AD129" s="108" t="n">
        <v>67699</v>
      </c>
      <c r="AE129" s="108" t="n">
        <v>1687</v>
      </c>
      <c r="AF129" s="116" t="n">
        <v>0.8589487052984534</v>
      </c>
      <c r="AG129" s="116" t="n">
        <v>0.1410512947015465</v>
      </c>
      <c r="AH129" s="39" t="inlineStr">
        <is>
          <t>bamboo sheets</t>
        </is>
      </c>
      <c r="AI129" s="116" t="n">
        <v>0.9117121375500377</v>
      </c>
      <c r="AJ129" s="116" t="n"/>
      <c r="AK129" s="116" t="n"/>
      <c r="AL129" s="116" t="n"/>
      <c r="AM129" s="108" t="n">
        <v>455</v>
      </c>
      <c r="AN129" s="108" t="n">
        <v>119</v>
      </c>
      <c r="AO129" s="108" t="n">
        <v>231</v>
      </c>
      <c r="AP129" s="108" t="n">
        <v>1232</v>
      </c>
      <c r="AQ129" s="108" t="n">
        <v>290</v>
      </c>
      <c r="AR129" s="108" t="n">
        <v>1</v>
      </c>
      <c r="AS129" s="117" t="n">
        <v>1.016706443914081</v>
      </c>
      <c r="AT129" s="112" t="n">
        <v>-0.2868217054263565</v>
      </c>
      <c r="AU129" s="118" t="inlineStr">
        <is>
          <t>Y</t>
        </is>
      </c>
      <c r="AV129" s="118" t="inlineStr">
        <is>
          <t>List Price</t>
        </is>
      </c>
      <c r="AW129" s="119" t="n">
        <v>99.98999999999999</v>
      </c>
      <c r="AX129" s="119" t="n">
        <v>67.98</v>
      </c>
      <c r="AY129" s="118" t="inlineStr">
        <is>
          <t>Limited time deal</t>
        </is>
      </c>
      <c r="AZ129" s="118" t="inlineStr">
        <is>
          <t>Y</t>
        </is>
      </c>
      <c r="BA129" s="118" t="inlineStr">
        <is>
          <t>2026-10-13 12:10:12</t>
        </is>
      </c>
      <c r="BB129" s="120" t="inlineStr">
        <is>
          <t>Prime Exclusive Discount</t>
        </is>
      </c>
      <c r="BC129" s="120" t="inlineStr">
        <is>
          <t>11-22 to 12-01</t>
        </is>
      </c>
      <c r="BD129" s="121" t="n">
        <v>84.98999999999999</v>
      </c>
      <c r="BE129" s="121" t="n">
        <v>79.98999999999999</v>
      </c>
      <c r="BF129" s="110">
        <f>IF(AND(ISNUMBER(BD129),ISNUMBER(BE129),N(BD129)&gt;0),1-BE129/BD129,"")</f>
        <v/>
      </c>
      <c r="BG129" s="122" t="n">
        <v>31768</v>
      </c>
      <c r="BH129" s="122" t="n">
        <v>27833</v>
      </c>
      <c r="BI129" s="123">
        <f>IF(AND(ISNUMBER(BG129),ISNUMBER(BH129),N(BH129)&gt;0),BG129/BH129,"")</f>
        <v/>
      </c>
      <c r="BJ129" s="120" t="inlineStr">
        <is>
          <t>N</t>
        </is>
      </c>
      <c r="BK129" s="120" t="inlineStr">
        <is>
          <t>Coupon 5.00 USD (11-01 to 11-04); Buy Box RAISED in BFCM week (median $99.99 vs $84.99 before); List Price $99.99</t>
        </is>
      </c>
    </row>
    <row r="130" ht="62" customHeight="1">
      <c r="A130" s="12">
        <f>_xlfn.IMAGE("https://images-na.ssl-images-amazon.com/images/I/71HeTCWM4hL.jpg")</f>
        <v/>
      </c>
      <c r="B130" s="105" t="inlineStr">
        <is>
          <t>SONORO KATE</t>
        </is>
      </c>
      <c r="C130" s="39" t="inlineStr">
        <is>
          <t>SONORO KATE 100% Viscose Derived from Bamboo_Sheets Queen Size,4PC</t>
        </is>
      </c>
      <c r="D130" s="105" t="inlineStr">
        <is>
          <t>Beatable</t>
        </is>
      </c>
      <c r="E130" s="106" t="inlineStr">
        <is>
          <t>Direct</t>
        </is>
      </c>
      <c r="F130" s="105" t="inlineStr">
        <is>
          <t>Bamboo viscose</t>
        </is>
      </c>
      <c r="G130" s="39" t="inlineStr">
        <is>
          <t>Same product (sheet set) in the same material family: Bamboo viscose (product page material: Viscose Derived From Bamboo); ours: our listing: viscose from bamboo.</t>
        </is>
      </c>
      <c r="H130" s="107" t="inlineStr">
        <is>
          <t>B0F29FQLFD</t>
        </is>
      </c>
      <c r="I130" s="107" t="inlineStr">
        <is>
          <t>B0F29F1JM5</t>
        </is>
      </c>
      <c r="J130" s="105" t="inlineStr">
        <is>
          <t>Queen</t>
        </is>
      </c>
      <c r="K130" s="105" t="inlineStr">
        <is>
          <t>Dark Grey</t>
        </is>
      </c>
      <c r="L130" s="108" t="n">
        <v>42</v>
      </c>
      <c r="M130" s="39" t="inlineStr">
        <is>
          <t>B0F29F1JM5 (71%), B0F29HFNNS (19%)</t>
        </is>
      </c>
      <c r="N130" s="109" t="n">
        <v>59.99</v>
      </c>
      <c r="O130" s="109" t="n"/>
      <c r="P130" s="110">
        <f>IF(AND(ISNUMBER(O130),ISNUMBER(N130),N(N130)&gt;0),O130/N130-1,"")</f>
        <v/>
      </c>
      <c r="Q130" s="111">
        <f>IF(P130="","No List Price",IF(P130&lt;=0,"At/below price",IF(P130&lt;=0.12,"&lt;=12% STR zone",IF(P130&lt;=0.25,"12-25%","&gt;25% over"))))</f>
        <v/>
      </c>
      <c r="R130" s="109" t="n">
        <v>54.99</v>
      </c>
      <c r="S130" s="112">
        <f>IF(AND(ISNUMBER(N130),ISNUMBER(R130),N(R130)&gt;0),N130/R130-1,"")</f>
        <v/>
      </c>
      <c r="T130" s="39" t="inlineStr">
        <is>
          <t>vs our blended price (market data, Mar 2026 - STALE)</t>
        </is>
      </c>
      <c r="U130" s="108" t="n">
        <v>23979</v>
      </c>
      <c r="V130" s="108" t="n">
        <v>81</v>
      </c>
      <c r="W130" s="113">
        <f>IF(AND(ISNUMBER(N130),ISNUMBER(V130)),N130*V130*52/12,"")</f>
        <v/>
      </c>
      <c r="X130" s="114" t="n">
        <v>4.5</v>
      </c>
      <c r="Y130" s="108" t="n">
        <v>3911</v>
      </c>
      <c r="Z130" s="115" t="n">
        <v>46307</v>
      </c>
      <c r="AA130" s="115" t="n">
        <v>45740</v>
      </c>
      <c r="AB130" s="105" t="inlineStr">
        <is>
          <t>FBA</t>
        </is>
      </c>
      <c r="AC130" s="105" t="inlineStr">
        <is>
          <t>CN</t>
        </is>
      </c>
      <c r="AD130" s="108" t="n">
        <v>114504</v>
      </c>
      <c r="AE130" s="108" t="n">
        <v>947</v>
      </c>
      <c r="AF130" s="116" t="n">
        <v>0.8792897182631171</v>
      </c>
      <c r="AG130" s="116" t="n">
        <v>0.1207102817368825</v>
      </c>
      <c r="AH130" s="39" t="inlineStr">
        <is>
          <t>bamboo sheets</t>
        </is>
      </c>
      <c r="AI130" s="116" t="n">
        <v>0.3106878362327953</v>
      </c>
      <c r="AJ130" s="116" t="n"/>
      <c r="AK130" s="116" t="n"/>
      <c r="AL130" s="116" t="n">
        <v>0.03587647593097185</v>
      </c>
      <c r="AM130" s="108" t="n">
        <v>389</v>
      </c>
      <c r="AN130" s="108" t="n">
        <v>45</v>
      </c>
      <c r="AO130" s="108" t="n">
        <v>292</v>
      </c>
      <c r="AP130" s="108" t="n">
        <v>558</v>
      </c>
      <c r="AQ130" s="108" t="n">
        <v>87</v>
      </c>
      <c r="AR130" s="108" t="n">
        <v>1</v>
      </c>
      <c r="AS130" s="117" t="n">
        <v>1.095271210013908</v>
      </c>
      <c r="AT130" s="112" t="n">
        <v>-0.1040240897892143</v>
      </c>
      <c r="AU130" s="118" t="inlineStr">
        <is>
          <t>N</t>
        </is>
      </c>
      <c r="AV130" s="118" t="inlineStr">
        <is>
          <t>none</t>
        </is>
      </c>
      <c r="AW130" s="124" t="n"/>
      <c r="AX130" s="119" t="n">
        <v>59.99</v>
      </c>
      <c r="AY130" s="118" t="inlineStr">
        <is>
          <t>coupon 15%</t>
        </is>
      </c>
      <c r="AZ130" s="118" t="inlineStr">
        <is>
          <t>Y</t>
        </is>
      </c>
      <c r="BA130" s="118" t="inlineStr">
        <is>
          <t>2026-10-13 12:11:22</t>
        </is>
      </c>
      <c r="BB130" s="120" t="inlineStr">
        <is>
          <t>Prime Exclusive Discount</t>
        </is>
      </c>
      <c r="BC130" s="120" t="inlineStr">
        <is>
          <t>11-20 to 12-01</t>
        </is>
      </c>
      <c r="BD130" s="121" t="n">
        <v>59.99</v>
      </c>
      <c r="BE130" s="121" t="n">
        <v>47.99</v>
      </c>
      <c r="BF130" s="110">
        <f>IF(AND(ISNUMBER(BD130),ISNUMBER(BE130),N(BD130)&gt;0),1-BE130/BD130,"")</f>
        <v/>
      </c>
      <c r="BG130" s="122" t="n">
        <v>22774</v>
      </c>
      <c r="BH130" s="122" t="n">
        <v>19002</v>
      </c>
      <c r="BI130" s="123">
        <f>IF(AND(ISNUMBER(BG130),ISNUMBER(BH130),N(BH130)&gt;0),BG130/BH130,"")</f>
        <v/>
      </c>
      <c r="BJ130" s="120" t="inlineStr">
        <is>
          <t>N</t>
        </is>
      </c>
      <c r="BK130" s="120" t="inlineStr">
        <is>
          <t>Coupon 10% (11-04 to 12-05); List Price $59.99</t>
        </is>
      </c>
    </row>
    <row r="131" ht="62" customHeight="1">
      <c r="A131" s="12">
        <f>_xlfn.IMAGE("https://images-na.ssl-images-amazon.com/images/I/710aWpCd4AL.jpg")</f>
        <v/>
      </c>
      <c r="B131" s="105" t="inlineStr">
        <is>
          <t>DOZ by SIJO</t>
        </is>
      </c>
      <c r="C131" s="39" t="inlineStr">
        <is>
          <t>Bamboo Sheets</t>
        </is>
      </c>
      <c r="D131" s="105" t="inlineStr">
        <is>
          <t>Beatable</t>
        </is>
      </c>
      <c r="E131" s="106" t="inlineStr">
        <is>
          <t>Direct</t>
        </is>
      </c>
      <c r="F131" s="105" t="inlineStr">
        <is>
          <t>Bamboo viscose</t>
        </is>
      </c>
      <c r="G131" s="39" t="inlineStr">
        <is>
          <t>Same product (sheet set) in the same material family: Bamboo viscose (product page material: Rayon); ours: our listing: viscose from bamboo.</t>
        </is>
      </c>
      <c r="H131" s="107" t="inlineStr">
        <is>
          <t>B0DCZGYVZ9</t>
        </is>
      </c>
      <c r="I131" s="107" t="inlineStr">
        <is>
          <t>B0F24TRXCZ</t>
        </is>
      </c>
      <c r="J131" s="105" t="inlineStr">
        <is>
          <t>Queen</t>
        </is>
      </c>
      <c r="K131" s="105" t="inlineStr">
        <is>
          <t>Olive</t>
        </is>
      </c>
      <c r="L131" s="108" t="n">
        <v>131</v>
      </c>
      <c r="M131" s="39" t="inlineStr">
        <is>
          <t>B0B8JLLT45 (39%), B0B8JK78HR (6%), B0CS36MKM9 (5%), B0BRWD6PRK (4%), B0B9T44SJV (4%)</t>
        </is>
      </c>
      <c r="N131" s="109" t="n">
        <v>55</v>
      </c>
      <c r="O131" s="109" t="n"/>
      <c r="P131" s="110">
        <f>IF(AND(ISNUMBER(O131),ISNUMBER(N131),N(N131)&gt;0),O131/N131-1,"")</f>
        <v/>
      </c>
      <c r="Q131" s="111">
        <f>IF(P131="","No List Price",IF(P131&lt;=0,"At/below price",IF(P131&lt;=0.12,"&lt;=12% STR zone",IF(P131&lt;=0.25,"12-25%","&gt;25% over"))))</f>
        <v/>
      </c>
      <c r="R131" s="109" t="n">
        <v>54.99</v>
      </c>
      <c r="S131" s="112">
        <f>IF(AND(ISNUMBER(N131),ISNUMBER(R131),N(R131)&gt;0),N131/R131-1,"")</f>
        <v/>
      </c>
      <c r="T131" s="39" t="inlineStr">
        <is>
          <t>vs our blended price (market data, Mar 2026 - STALE)</t>
        </is>
      </c>
      <c r="U131" s="108" t="n">
        <v>4051</v>
      </c>
      <c r="V131" s="108" t="n">
        <v>35</v>
      </c>
      <c r="W131" s="113">
        <f>IF(AND(ISNUMBER(N131),ISNUMBER(V131)),N131*V131*52/12,"")</f>
        <v/>
      </c>
      <c r="X131" s="114" t="n">
        <v>4.4</v>
      </c>
      <c r="Y131" s="108" t="n">
        <v>1909</v>
      </c>
      <c r="Z131" s="115" t="n">
        <v>46307</v>
      </c>
      <c r="AA131" s="115" t="n"/>
      <c r="AB131" s="105" t="n"/>
      <c r="AC131" s="105" t="n"/>
      <c r="AD131" s="108" t="n">
        <v>171534</v>
      </c>
      <c r="AE131" s="108" t="n">
        <v>2682</v>
      </c>
      <c r="AF131" s="116" t="n">
        <v>0.5544749851341424</v>
      </c>
      <c r="AG131" s="116" t="n">
        <v>0.4455250335210511</v>
      </c>
      <c r="AH131" s="39" t="inlineStr">
        <is>
          <t>bamboo sheets</t>
        </is>
      </c>
      <c r="AI131" s="116" t="n">
        <v>0.8981426422750008</v>
      </c>
      <c r="AJ131" s="116" t="n">
        <v>0.06748516329124256</v>
      </c>
      <c r="AK131" s="116" t="n">
        <v>0.2462310678932456</v>
      </c>
      <c r="AL131" s="116" t="n">
        <v>0.0526193057936036</v>
      </c>
      <c r="AM131" s="108" t="n">
        <v>486</v>
      </c>
      <c r="AN131" s="108" t="n">
        <v>59</v>
      </c>
      <c r="AO131" s="108" t="n">
        <v>366</v>
      </c>
      <c r="AP131" s="108" t="n">
        <v>2196</v>
      </c>
      <c r="AQ131" s="108" t="n">
        <v>803</v>
      </c>
      <c r="AR131" s="108" t="n">
        <v>11</v>
      </c>
      <c r="AS131" s="117" t="n"/>
      <c r="AT131" s="112" t="n"/>
      <c r="AU131" s="118" t="inlineStr">
        <is>
          <t>N</t>
        </is>
      </c>
      <c r="AV131" s="118" t="inlineStr">
        <is>
          <t>none</t>
        </is>
      </c>
      <c r="AW131" s="124" t="n"/>
      <c r="AX131" s="119" t="n">
        <v>55</v>
      </c>
      <c r="AY131" s="118" t="inlineStr">
        <is>
          <t>none</t>
        </is>
      </c>
      <c r="AZ131" s="118" t="inlineStr">
        <is>
          <t>Y</t>
        </is>
      </c>
      <c r="BA131" s="118" t="inlineStr">
        <is>
          <t>2026-10-13 12:10:45</t>
        </is>
      </c>
      <c r="BB131" s="120" t="inlineStr">
        <is>
          <t>None</t>
        </is>
      </c>
      <c r="BC131" s="125" t="n"/>
      <c r="BD131" s="121" t="n">
        <v>55</v>
      </c>
      <c r="BE131" s="121" t="n">
        <v>55</v>
      </c>
      <c r="BF131" s="110">
        <f>IF(AND(ISNUMBER(BD131),ISNUMBER(BE131),N(BD131)&gt;0),1-BE131/BD131,"")</f>
        <v/>
      </c>
      <c r="BG131" s="122" t="n">
        <v>3634538</v>
      </c>
      <c r="BH131" s="122" t="n">
        <v>3088925</v>
      </c>
      <c r="BI131" s="123">
        <f>IF(AND(ISNUMBER(BG131),ISNUMBER(BH131),N(BH131)&gt;0),BG131/BH131,"")</f>
        <v/>
      </c>
      <c r="BJ131" s="120" t="inlineStr">
        <is>
          <t>N</t>
        </is>
      </c>
      <c r="BK131" s="120" t="inlineStr">
        <is>
          <t>List Price $55.00</t>
        </is>
      </c>
    </row>
    <row r="132" ht="62" customHeight="1">
      <c r="A132" s="12">
        <f>_xlfn.IMAGE("https://m.media-amazon.com/images/I/71m+WEzQwhL._AC_SL1500_.jpg")</f>
        <v/>
      </c>
      <c r="B132" s="105" t="inlineStr">
        <is>
          <t>AiAngu</t>
        </is>
      </c>
      <c r="C132" s="39" t="inlineStr">
        <is>
          <t>Bamboo Sheets</t>
        </is>
      </c>
      <c r="D132" s="105" t="inlineStr">
        <is>
          <t>Poor</t>
        </is>
      </c>
      <c r="E132" s="106" t="inlineStr">
        <is>
          <t>Direct</t>
        </is>
      </c>
      <c r="F132" s="105" t="inlineStr">
        <is>
          <t>Bamboo viscose</t>
        </is>
      </c>
      <c r="G132" s="39" t="inlineStr">
        <is>
          <t>Same product (sheet set) in the same material family: Bamboo viscose (product page material: Rayon Derived from Bamboo); ours: our listing: viscose from bamboo.</t>
        </is>
      </c>
      <c r="H132" s="107" t="inlineStr">
        <is>
          <t>B0GX135KCN</t>
        </is>
      </c>
      <c r="I132" s="107" t="inlineStr">
        <is>
          <t>B0GX15Y7TT</t>
        </is>
      </c>
      <c r="J132" s="105" t="inlineStr">
        <is>
          <t>Queen</t>
        </is>
      </c>
      <c r="K132" s="105" t="inlineStr">
        <is>
          <t>Dark Grey</t>
        </is>
      </c>
      <c r="L132" s="108" t="n"/>
      <c r="M132" s="39" t="inlineStr"/>
      <c r="N132" s="109" t="n">
        <v>74.98999999999999</v>
      </c>
      <c r="O132" s="109" t="n">
        <v>79.98999999999999</v>
      </c>
      <c r="P132" s="110">
        <f>IF(AND(ISNUMBER(O132),ISNUMBER(N132),N(N132)&gt;0),O132/N132-1,"")</f>
        <v/>
      </c>
      <c r="Q132" s="111">
        <f>IF(P132="","No List Price",IF(P132&lt;=0,"At/below price",IF(P132&lt;=0.12,"&lt;=12% STR zone",IF(P132&lt;=0.25,"12-25%","&gt;25% over"))))</f>
        <v/>
      </c>
      <c r="R132" s="109" t="n">
        <v>54.99</v>
      </c>
      <c r="S132" s="112">
        <f>IF(AND(ISNUMBER(N132),ISNUMBER(R132),N(R132)&gt;0),N132/R132-1,"")</f>
        <v/>
      </c>
      <c r="T132" s="39" t="inlineStr">
        <is>
          <t>vs our blended price (market data, Mar 2026 - STALE)</t>
        </is>
      </c>
      <c r="U132" s="108" t="n">
        <v>39296</v>
      </c>
      <c r="V132" s="108" t="n">
        <v>81</v>
      </c>
      <c r="W132" s="113">
        <f>IF(AND(ISNUMBER(N132),ISNUMBER(V132)),N132*V132*52/12,"")</f>
        <v/>
      </c>
      <c r="X132" s="114" t="n">
        <v>4.6</v>
      </c>
      <c r="Y132" s="108" t="n">
        <v>121</v>
      </c>
      <c r="Z132" s="115" t="n">
        <v>46307</v>
      </c>
      <c r="AA132" s="115" t="n"/>
      <c r="AB132" s="105" t="n"/>
      <c r="AC132" s="105" t="n"/>
      <c r="AD132" s="108" t="n"/>
      <c r="AE132" s="108" t="n"/>
      <c r="AF132" s="116" t="n"/>
      <c r="AG132" s="116" t="n"/>
      <c r="AH132" s="39" t="n"/>
      <c r="AI132" s="116" t="n"/>
      <c r="AJ132" s="116" t="n"/>
      <c r="AK132" s="116" t="n"/>
      <c r="AL132" s="116" t="n"/>
      <c r="AM132" s="108" t="n"/>
      <c r="AN132" s="108" t="n"/>
      <c r="AO132" s="108" t="n"/>
      <c r="AP132" s="108" t="n"/>
      <c r="AQ132" s="108" t="n"/>
      <c r="AR132" s="108" t="n"/>
      <c r="AS132" s="117" t="n"/>
      <c r="AT132" s="112" t="n"/>
      <c r="AU132" s="118" t="inlineStr">
        <is>
          <t>Y</t>
        </is>
      </c>
      <c r="AV132" s="118" t="inlineStr">
        <is>
          <t>List Price</t>
        </is>
      </c>
      <c r="AW132" s="119" t="n">
        <v>79.98999999999999</v>
      </c>
      <c r="AX132" s="119" t="n">
        <v>74.98999999999999</v>
      </c>
      <c r="AY132" s="118" t="inlineStr">
        <is>
          <t>coupon 25%</t>
        </is>
      </c>
      <c r="AZ132" s="118" t="inlineStr">
        <is>
          <t>Y</t>
        </is>
      </c>
      <c r="BA132" s="118" t="inlineStr">
        <is>
          <t>2026-10-13 23:35:32</t>
        </is>
      </c>
      <c r="BB132" s="120" t="inlineStr">
        <is>
          <t>Not live in 2025</t>
        </is>
      </c>
      <c r="BC132" s="125" t="n"/>
      <c r="BD132" s="124" t="n"/>
      <c r="BE132" s="124" t="n"/>
      <c r="BF132" s="110">
        <f>IF(AND(ISNUMBER(BD132),ISNUMBER(BE132),N(BD132)&gt;0),1-BE132/BD132,"")</f>
        <v/>
      </c>
      <c r="BG132" s="126" t="n"/>
      <c r="BH132" s="126" t="n"/>
      <c r="BI132" s="123">
        <f>IF(AND(ISNUMBER(BG132),ISNUMBER(BH132),N(BH132)&gt;0),BG132/BH132,"")</f>
        <v/>
      </c>
      <c r="BJ132" s="125" t="n"/>
      <c r="BK132" s="125" t="n"/>
    </row>
    <row r="133" ht="62" customHeight="1">
      <c r="A133" s="12">
        <f>_xlfn.IMAGE("https://images-na.ssl-images-amazon.com/images/I/71Kvq1YdGJL.jpg")</f>
        <v/>
      </c>
      <c r="B133" s="105" t="inlineStr">
        <is>
          <t>Cariloha</t>
        </is>
      </c>
      <c r="C133" s="39" t="inlineStr">
        <is>
          <t>Cariloha Aloha Soft Bamboo Viscose Sheet Set - Natural - Queen</t>
        </is>
      </c>
      <c r="D133" s="105" t="inlineStr">
        <is>
          <t>Poor</t>
        </is>
      </c>
      <c r="E133" s="106" t="inlineStr">
        <is>
          <t>Direct</t>
        </is>
      </c>
      <c r="F133" s="105" t="inlineStr">
        <is>
          <t>Bamboo viscose</t>
        </is>
      </c>
      <c r="G133" s="39" t="inlineStr">
        <is>
          <t>Same product (sheet set) in the same material family: Bamboo viscose (product page material: Viscose derived from Bamboo); ours: our listing: viscose from bamboo.</t>
        </is>
      </c>
      <c r="H133" s="107" t="inlineStr">
        <is>
          <t>B0F89K7BXJ</t>
        </is>
      </c>
      <c r="I133" s="107" t="inlineStr">
        <is>
          <t>B0DJV1K332</t>
        </is>
      </c>
      <c r="J133" s="105" t="inlineStr">
        <is>
          <t>Queen</t>
        </is>
      </c>
      <c r="K133" s="105" t="inlineStr">
        <is>
          <t>Natural</t>
        </is>
      </c>
      <c r="L133" s="108" t="n">
        <v>35</v>
      </c>
      <c r="M133" s="39" t="inlineStr"/>
      <c r="N133" s="109" t="n">
        <v>107.1</v>
      </c>
      <c r="O133" s="109" t="n"/>
      <c r="P133" s="110">
        <f>IF(AND(ISNUMBER(O133),ISNUMBER(N133),N(N133)&gt;0),O133/N133-1,"")</f>
        <v/>
      </c>
      <c r="Q133" s="111">
        <f>IF(P133="","No List Price",IF(P133&lt;=0,"At/below price",IF(P133&lt;=0.12,"&lt;=12% STR zone",IF(P133&lt;=0.25,"12-25%","&gt;25% over"))))</f>
        <v/>
      </c>
      <c r="R133" s="109" t="n">
        <v>54.99</v>
      </c>
      <c r="S133" s="112">
        <f>IF(AND(ISNUMBER(N133),ISNUMBER(R133),N(R133)&gt;0),N133/R133-1,"")</f>
        <v/>
      </c>
      <c r="T133" s="39" t="inlineStr">
        <is>
          <t>vs our blended price (market data, Mar 2026 - STALE)</t>
        </is>
      </c>
      <c r="U133" s="108" t="n">
        <v>15882</v>
      </c>
      <c r="V133" s="108" t="n">
        <v>81</v>
      </c>
      <c r="W133" s="113">
        <f>IF(AND(ISNUMBER(N133),ISNUMBER(V133)),N133*V133*52/12,"")</f>
        <v/>
      </c>
      <c r="X133" s="114" t="n">
        <v>4.4</v>
      </c>
      <c r="Y133" s="108" t="n">
        <v>426</v>
      </c>
      <c r="Z133" s="115" t="n">
        <v>46307</v>
      </c>
      <c r="AA133" s="115" t="n">
        <v>45575</v>
      </c>
      <c r="AB133" s="105" t="inlineStr">
        <is>
          <t>FBA</t>
        </is>
      </c>
      <c r="AC133" s="105" t="inlineStr">
        <is>
          <t>US</t>
        </is>
      </c>
      <c r="AD133" s="108" t="n"/>
      <c r="AE133" s="108" t="n"/>
      <c r="AF133" s="116" t="n"/>
      <c r="AG133" s="116" t="n"/>
      <c r="AH133" s="39" t="n"/>
      <c r="AI133" s="116" t="n"/>
      <c r="AJ133" s="116" t="n"/>
      <c r="AK133" s="116" t="n"/>
      <c r="AL133" s="116" t="n"/>
      <c r="AM133" s="108" t="n"/>
      <c r="AN133" s="108" t="n"/>
      <c r="AO133" s="108" t="n"/>
      <c r="AP133" s="108" t="n"/>
      <c r="AQ133" s="108" t="n"/>
      <c r="AR133" s="108" t="n"/>
      <c r="AS133" s="117" t="n"/>
      <c r="AT133" s="112" t="n"/>
      <c r="AU133" s="118" t="inlineStr">
        <is>
          <t>Y</t>
        </is>
      </c>
      <c r="AV133" s="118" t="inlineStr">
        <is>
          <t>List Price</t>
        </is>
      </c>
      <c r="AW133" s="119" t="n">
        <v>119</v>
      </c>
      <c r="AX133" s="119" t="n">
        <v>107.1</v>
      </c>
      <c r="AY133" s="118" t="inlineStr">
        <is>
          <t>none</t>
        </is>
      </c>
      <c r="AZ133" s="118" t="inlineStr">
        <is>
          <t>Y</t>
        </is>
      </c>
      <c r="BA133" s="118" t="inlineStr">
        <is>
          <t>2026-10-13 23:35:56</t>
        </is>
      </c>
      <c r="BB133" s="120" t="inlineStr">
        <is>
          <t>Prime Exclusive Discount</t>
        </is>
      </c>
      <c r="BC133" s="120" t="inlineStr">
        <is>
          <t>11-23 to 11-30</t>
        </is>
      </c>
      <c r="BD133" s="121" t="n">
        <v>119</v>
      </c>
      <c r="BE133" s="121" t="n">
        <v>71.40000000000001</v>
      </c>
      <c r="BF133" s="110">
        <f>IF(AND(ISNUMBER(BD133),ISNUMBER(BE133),N(BD133)&gt;0),1-BE133/BD133,"")</f>
        <v/>
      </c>
      <c r="BG133" s="122" t="n">
        <v>52063</v>
      </c>
      <c r="BH133" s="122" t="n">
        <v>37342</v>
      </c>
      <c r="BI133" s="123">
        <f>IF(AND(ISNUMBER(BG133),ISNUMBER(BH133),N(BH133)&gt;0),BG133/BH133,"")</f>
        <v/>
      </c>
      <c r="BJ133" s="120" t="inlineStr">
        <is>
          <t>N</t>
        </is>
      </c>
      <c r="BK133" s="120" t="inlineStr">
        <is>
          <t>Coupon 20%, 30% (11-01 to 12-05); List Price $119.00</t>
        </is>
      </c>
    </row>
    <row r="134" ht="62" customHeight="1">
      <c r="A134" s="12">
        <f>_xlfn.IMAGE("https://images-na.ssl-images-amazon.com/images/I/61NbNWE+BJL.jpg")</f>
        <v/>
      </c>
      <c r="B134" s="105" t="inlineStr">
        <is>
          <t>Cozy Earth</t>
        </is>
      </c>
      <c r="C134" s="39" t="inlineStr">
        <is>
          <t>Cozy Earth Luxury Bed Sheet Set, 100% Viscose from Bamboo Fabric</t>
        </is>
      </c>
      <c r="D134" s="105" t="inlineStr">
        <is>
          <t>Poor</t>
        </is>
      </c>
      <c r="E134" s="106" t="inlineStr">
        <is>
          <t>Direct</t>
        </is>
      </c>
      <c r="F134" s="105" t="inlineStr">
        <is>
          <t>Bamboo viscose</t>
        </is>
      </c>
      <c r="G134" s="39" t="inlineStr">
        <is>
          <t>Same product (sheet set) in the same material family: Bamboo viscose (product page material: Viscose from Bamboo); ours: our listing: viscose from bamboo.</t>
        </is>
      </c>
      <c r="H134" s="107" t="inlineStr">
        <is>
          <t>B0DSQ9V4ML</t>
        </is>
      </c>
      <c r="I134" s="107" t="inlineStr">
        <is>
          <t>B0F22JR4S8</t>
        </is>
      </c>
      <c r="J134" s="105" t="inlineStr">
        <is>
          <t>King</t>
        </is>
      </c>
      <c r="K134" s="105" t="inlineStr">
        <is>
          <t>White</t>
        </is>
      </c>
      <c r="L134" s="108" t="n">
        <v>54</v>
      </c>
      <c r="M134" s="39" t="inlineStr"/>
      <c r="N134" s="109" t="n">
        <v>328</v>
      </c>
      <c r="O134" s="109" t="n"/>
      <c r="P134" s="110">
        <f>IF(AND(ISNUMBER(O134),ISNUMBER(N134),N(N134)&gt;0),O134/N134-1,"")</f>
        <v/>
      </c>
      <c r="Q134" s="111">
        <f>IF(P134="","No List Price",IF(P134&lt;=0,"At/below price",IF(P134&lt;=0.12,"&lt;=12% STR zone",IF(P134&lt;=0.25,"12-25%","&gt;25% over"))))</f>
        <v/>
      </c>
      <c r="R134" s="109" t="n">
        <v>54.99</v>
      </c>
      <c r="S134" s="112">
        <f>IF(AND(ISNUMBER(N134),ISNUMBER(R134),N(R134)&gt;0),N134/R134-1,"")</f>
        <v/>
      </c>
      <c r="T134" s="39" t="inlineStr">
        <is>
          <t>vs our blended price (market data, Mar 2026 - STALE)</t>
        </is>
      </c>
      <c r="U134" s="108" t="n">
        <v>45709</v>
      </c>
      <c r="V134" s="108" t="n">
        <v>35</v>
      </c>
      <c r="W134" s="113">
        <f>IF(AND(ISNUMBER(N134),ISNUMBER(V134)),N134*V134*52/12,"")</f>
        <v/>
      </c>
      <c r="X134" s="114" t="n">
        <v>3.9</v>
      </c>
      <c r="Y134" s="108" t="n">
        <v>425</v>
      </c>
      <c r="Z134" s="115" t="n">
        <v>46307</v>
      </c>
      <c r="AA134" s="115" t="n">
        <v>41624</v>
      </c>
      <c r="AB134" s="105" t="inlineStr">
        <is>
          <t>FBA</t>
        </is>
      </c>
      <c r="AC134" s="105" t="inlineStr">
        <is>
          <t>US</t>
        </is>
      </c>
      <c r="AD134" s="108" t="n"/>
      <c r="AE134" s="108" t="n"/>
      <c r="AF134" s="116" t="n"/>
      <c r="AG134" s="116" t="n"/>
      <c r="AH134" s="39" t="n"/>
      <c r="AI134" s="116" t="n"/>
      <c r="AJ134" s="116" t="n"/>
      <c r="AK134" s="116" t="n"/>
      <c r="AL134" s="116" t="n"/>
      <c r="AM134" s="108" t="n"/>
      <c r="AN134" s="108" t="n"/>
      <c r="AO134" s="108" t="n"/>
      <c r="AP134" s="108" t="n"/>
      <c r="AQ134" s="108" t="n"/>
      <c r="AR134" s="108" t="n"/>
      <c r="AS134" s="117" t="n"/>
      <c r="AT134" s="112" t="n"/>
      <c r="AU134" s="118" t="inlineStr">
        <is>
          <t>N</t>
        </is>
      </c>
      <c r="AV134" s="118" t="inlineStr">
        <is>
          <t>none</t>
        </is>
      </c>
      <c r="AW134" s="124" t="n"/>
      <c r="AX134" s="119" t="n">
        <v>328</v>
      </c>
      <c r="AY134" s="118" t="inlineStr">
        <is>
          <t>none</t>
        </is>
      </c>
      <c r="AZ134" s="118" t="inlineStr">
        <is>
          <t>Y</t>
        </is>
      </c>
      <c r="BA134" s="118" t="inlineStr">
        <is>
          <t>2026-10-13 23:36:06</t>
        </is>
      </c>
      <c r="BB134" s="120" t="inlineStr">
        <is>
          <t>Prime Exclusive Discount</t>
        </is>
      </c>
      <c r="BC134" s="120" t="inlineStr">
        <is>
          <t>11-27 to 12-01</t>
        </is>
      </c>
      <c r="BD134" s="121" t="n">
        <v>262.4</v>
      </c>
      <c r="BE134" s="121" t="n">
        <v>229.6</v>
      </c>
      <c r="BF134" s="110">
        <f>IF(AND(ISNUMBER(BD134),ISNUMBER(BE134),N(BD134)&gt;0),1-BE134/BD134,"")</f>
        <v/>
      </c>
      <c r="BG134" s="122" t="n">
        <v>51830</v>
      </c>
      <c r="BH134" s="122" t="n">
        <v>28404</v>
      </c>
      <c r="BI134" s="123">
        <f>IF(AND(ISNUMBER(BG134),ISNUMBER(BH134),N(BH134)&gt;0),BG134/BH134,"")</f>
        <v/>
      </c>
      <c r="BJ134" s="120" t="inlineStr">
        <is>
          <t>N</t>
        </is>
      </c>
      <c r="BK134" s="120" t="inlineStr">
        <is>
          <t>List Price $328.00</t>
        </is>
      </c>
    </row>
    <row r="135" ht="62" customHeight="1">
      <c r="A135" s="12">
        <f>_xlfn.IMAGE("https://images-na.ssl-images-amazon.com/images/I/61iqSV9TaLL.jpg")</f>
        <v/>
      </c>
      <c r="B135" s="105" t="inlineStr">
        <is>
          <t>DREAMCARE</t>
        </is>
      </c>
      <c r="C135" s="39" t="inlineStr">
        <is>
          <t>DREAMCARE 100% Rayon Bamboo Sheets King Size - 4pc Cooling Sheets King Size</t>
        </is>
      </c>
      <c r="D135" s="105" t="inlineStr">
        <is>
          <t>Poor</t>
        </is>
      </c>
      <c r="E135" s="106" t="inlineStr">
        <is>
          <t>Direct</t>
        </is>
      </c>
      <c r="F135" s="105" t="inlineStr">
        <is>
          <t>Bamboo viscose</t>
        </is>
      </c>
      <c r="G135" s="39" t="inlineStr">
        <is>
          <t>Same product (sheet set) in the same material family: Bamboo viscose (product page material: Viscose derived from Bamboo); ours: our listing: viscose from bamboo.</t>
        </is>
      </c>
      <c r="H135" s="107" t="inlineStr">
        <is>
          <t>B0DVZFLVMG</t>
        </is>
      </c>
      <c r="I135" s="107" t="inlineStr">
        <is>
          <t>B0CF2MND41</t>
        </is>
      </c>
      <c r="J135" s="105" t="inlineStr">
        <is>
          <t>King</t>
        </is>
      </c>
      <c r="K135" s="105" t="inlineStr">
        <is>
          <t>5 - Gray</t>
        </is>
      </c>
      <c r="L135" s="108" t="n">
        <v>30</v>
      </c>
      <c r="M135" s="39" t="inlineStr"/>
      <c r="N135" s="109" t="n">
        <v>46.74</v>
      </c>
      <c r="O135" s="109" t="n">
        <v>59.99</v>
      </c>
      <c r="P135" s="110">
        <f>IF(AND(ISNUMBER(O135),ISNUMBER(N135),N(N135)&gt;0),O135/N135-1,"")</f>
        <v/>
      </c>
      <c r="Q135" s="111">
        <f>IF(P135="","No List Price",IF(P135&lt;=0,"At/below price",IF(P135&lt;=0.12,"&lt;=12% STR zone",IF(P135&lt;=0.25,"12-25%","&gt;25% over"))))</f>
        <v/>
      </c>
      <c r="R135" s="109" t="n">
        <v>54.99</v>
      </c>
      <c r="S135" s="112">
        <f>IF(AND(ISNUMBER(N135),ISNUMBER(R135),N(R135)&gt;0),N135/R135-1,"")</f>
        <v/>
      </c>
      <c r="T135" s="39" t="inlineStr">
        <is>
          <t>vs our blended price (market data, Mar 2026 - STALE)</t>
        </is>
      </c>
      <c r="U135" s="108" t="n">
        <v>37217</v>
      </c>
      <c r="V135" s="108" t="n">
        <v>35</v>
      </c>
      <c r="W135" s="113">
        <f>IF(AND(ISNUMBER(N135),ISNUMBER(V135)),N135*V135*52/12,"")</f>
        <v/>
      </c>
      <c r="X135" s="114" t="n">
        <v>4.5</v>
      </c>
      <c r="Y135" s="108" t="n">
        <v>2261</v>
      </c>
      <c r="Z135" s="115" t="n">
        <v>46307</v>
      </c>
      <c r="AA135" s="115" t="n">
        <v>45146</v>
      </c>
      <c r="AB135" s="105" t="inlineStr">
        <is>
          <t>FBA</t>
        </is>
      </c>
      <c r="AC135" s="105" t="inlineStr">
        <is>
          <t>US</t>
        </is>
      </c>
      <c r="AD135" s="108" t="n"/>
      <c r="AE135" s="108" t="n"/>
      <c r="AF135" s="116" t="n"/>
      <c r="AG135" s="116" t="n"/>
      <c r="AH135" s="39" t="n"/>
      <c r="AI135" s="116" t="n"/>
      <c r="AJ135" s="116" t="n"/>
      <c r="AK135" s="116" t="n"/>
      <c r="AL135" s="116" t="n"/>
      <c r="AM135" s="108" t="n"/>
      <c r="AN135" s="108" t="n"/>
      <c r="AO135" s="108" t="n"/>
      <c r="AP135" s="108" t="n"/>
      <c r="AQ135" s="108" t="n"/>
      <c r="AR135" s="108" t="n"/>
      <c r="AS135" s="117" t="n"/>
      <c r="AT135" s="112" t="n"/>
      <c r="AU135" s="118" t="inlineStr">
        <is>
          <t>Y</t>
        </is>
      </c>
      <c r="AV135" s="118" t="inlineStr">
        <is>
          <t>List Price</t>
        </is>
      </c>
      <c r="AW135" s="119" t="n">
        <v>59.99</v>
      </c>
      <c r="AX135" s="119" t="n">
        <v>46.74</v>
      </c>
      <c r="AY135" s="118" t="inlineStr">
        <is>
          <t>Limited time deal</t>
        </is>
      </c>
      <c r="AZ135" s="118" t="inlineStr">
        <is>
          <t>Y</t>
        </is>
      </c>
      <c r="BA135" s="118" t="inlineStr">
        <is>
          <t>2026-10-13 23:36:12</t>
        </is>
      </c>
      <c r="BB135" s="120" t="inlineStr">
        <is>
          <t>Prime Exclusive Discount</t>
        </is>
      </c>
      <c r="BC135" s="120" t="inlineStr">
        <is>
          <t>11-22 to 12-01</t>
        </is>
      </c>
      <c r="BD135" s="121" t="n">
        <v>58.99</v>
      </c>
      <c r="BE135" s="121" t="n">
        <v>49.99</v>
      </c>
      <c r="BF135" s="110">
        <f>IF(AND(ISNUMBER(BD135),ISNUMBER(BE135),N(BD135)&gt;0),1-BE135/BD135,"")</f>
        <v/>
      </c>
      <c r="BG135" s="122" t="n">
        <v>209915</v>
      </c>
      <c r="BH135" s="122" t="n">
        <v>169120</v>
      </c>
      <c r="BI135" s="123">
        <f>IF(AND(ISNUMBER(BG135),ISNUMBER(BH135),N(BH135)&gt;0),BG135/BH135,"")</f>
        <v/>
      </c>
      <c r="BJ135" s="120" t="inlineStr">
        <is>
          <t>N</t>
        </is>
      </c>
      <c r="BK135" s="120" t="inlineStr">
        <is>
          <t>Buy Box RAISED in BFCM week (median $62.88 vs $58.99 before); List Price $58.99</t>
        </is>
      </c>
    </row>
    <row r="136" ht="62" customHeight="1">
      <c r="A136" s="12">
        <f>_xlfn.IMAGE("https://images-na.ssl-images-amazon.com/images/I/81noqNc+ZjL.jpg")</f>
        <v/>
      </c>
      <c r="B136" s="105" t="inlineStr">
        <is>
          <t>HOT SLEEPER SHEETS</t>
        </is>
      </c>
      <c r="C136" s="39" t="inlineStr">
        <is>
          <t>Cooling Sheets Set Queen Size, Viscose Derived from Bamboo for Hot Sleepers | Deep Pocket Up to 16 Inch | Silky Soft &amp; Breathable Bedding - 4PC (Queen, Navy)</t>
        </is>
      </c>
      <c r="D136" s="105" t="inlineStr">
        <is>
          <t>Poor</t>
        </is>
      </c>
      <c r="E136" s="106" t="inlineStr">
        <is>
          <t>Direct</t>
        </is>
      </c>
      <c r="F136" s="105" t="inlineStr">
        <is>
          <t>Bamboo viscose</t>
        </is>
      </c>
      <c r="G136" s="39" t="inlineStr">
        <is>
          <t>Same product (sheet set) in the same material family: Bamboo viscose (title: Cooling Sheets Set Queen Size, Viscose Derived from Bamboo f); ours: our listing: viscose from bamboo.</t>
        </is>
      </c>
      <c r="H136" s="107" t="inlineStr">
        <is>
          <t>B0DM3GDCTR</t>
        </is>
      </c>
      <c r="I136" s="107" t="inlineStr">
        <is>
          <t>B0D3XQM7DL</t>
        </is>
      </c>
      <c r="J136" s="105" t="inlineStr">
        <is>
          <t>Queen</t>
        </is>
      </c>
      <c r="K136" s="105" t="inlineStr">
        <is>
          <t>Navy</t>
        </is>
      </c>
      <c r="L136" s="108" t="n">
        <v>74</v>
      </c>
      <c r="M136" s="39" t="inlineStr"/>
      <c r="N136" s="109" t="n">
        <v>51.29</v>
      </c>
      <c r="O136" s="109" t="n">
        <v>62.99</v>
      </c>
      <c r="P136" s="110">
        <f>IF(AND(ISNUMBER(O136),ISNUMBER(N136),N(N136)&gt;0),O136/N136-1,"")</f>
        <v/>
      </c>
      <c r="Q136" s="111">
        <f>IF(P136="","No List Price",IF(P136&lt;=0,"At/below price",IF(P136&lt;=0.12,"&lt;=12% STR zone",IF(P136&lt;=0.25,"12-25%","&gt;25% over"))))</f>
        <v/>
      </c>
      <c r="R136" s="109" t="n">
        <v>54.99</v>
      </c>
      <c r="S136" s="112">
        <f>IF(AND(ISNUMBER(N136),ISNUMBER(R136),N(R136)&gt;0),N136/R136-1,"")</f>
        <v/>
      </c>
      <c r="T136" s="39" t="inlineStr">
        <is>
          <t>vs our blended price (market data, Mar 2026 - STALE)</t>
        </is>
      </c>
      <c r="U136" s="108" t="n">
        <v>33959</v>
      </c>
      <c r="V136" s="108" t="n">
        <v>35</v>
      </c>
      <c r="W136" s="113">
        <f>IF(AND(ISNUMBER(N136),ISNUMBER(V136)),N136*V136*52/12,"")</f>
        <v/>
      </c>
      <c r="X136" s="114" t="n">
        <v>4.4</v>
      </c>
      <c r="Y136" s="108" t="n">
        <v>674</v>
      </c>
      <c r="Z136" s="115" t="n">
        <v>46307</v>
      </c>
      <c r="AA136" s="115" t="n">
        <v>45423</v>
      </c>
      <c r="AB136" s="105" t="inlineStr">
        <is>
          <t>FBA</t>
        </is>
      </c>
      <c r="AC136" s="105" t="inlineStr">
        <is>
          <t>CN</t>
        </is>
      </c>
      <c r="AD136" s="108" t="n"/>
      <c r="AE136" s="108" t="n"/>
      <c r="AF136" s="116" t="n"/>
      <c r="AG136" s="116" t="n"/>
      <c r="AH136" s="39" t="n"/>
      <c r="AI136" s="116" t="n"/>
      <c r="AJ136" s="116" t="n"/>
      <c r="AK136" s="116" t="n"/>
      <c r="AL136" s="116" t="n"/>
      <c r="AM136" s="108" t="n"/>
      <c r="AN136" s="108" t="n"/>
      <c r="AO136" s="108" t="n"/>
      <c r="AP136" s="108" t="n"/>
      <c r="AQ136" s="108" t="n"/>
      <c r="AR136" s="108" t="n"/>
      <c r="AS136" s="117" t="n"/>
      <c r="AT136" s="112" t="n"/>
      <c r="AU136" s="118" t="inlineStr">
        <is>
          <t>Y</t>
        </is>
      </c>
      <c r="AV136" s="118" t="inlineStr">
        <is>
          <t>Typical price</t>
        </is>
      </c>
      <c r="AW136" s="119" t="n">
        <v>62.99</v>
      </c>
      <c r="AX136" s="119" t="n">
        <v>51.29</v>
      </c>
      <c r="AY136" s="118" t="inlineStr">
        <is>
          <t>Limited time deal</t>
        </is>
      </c>
      <c r="AZ136" s="118" t="inlineStr">
        <is>
          <t>Y</t>
        </is>
      </c>
      <c r="BA136" s="118" t="inlineStr">
        <is>
          <t>2026-10-13 23:36:21</t>
        </is>
      </c>
      <c r="BB136" s="120" t="inlineStr">
        <is>
          <t>Price cut only</t>
        </is>
      </c>
      <c r="BC136" s="120" t="inlineStr">
        <is>
          <t>11-20 to 12-01</t>
        </is>
      </c>
      <c r="BD136" s="121" t="n">
        <v>62.99</v>
      </c>
      <c r="BE136" s="121" t="n">
        <v>45.89</v>
      </c>
      <c r="BF136" s="110">
        <f>IF(AND(ISNUMBER(BD136),ISNUMBER(BE136),N(BD136)&gt;0),1-BE136/BD136,"")</f>
        <v/>
      </c>
      <c r="BG136" s="122" t="n">
        <v>44317</v>
      </c>
      <c r="BH136" s="122" t="n">
        <v>18465</v>
      </c>
      <c r="BI136" s="123">
        <f>IF(AND(ISNUMBER(BG136),ISNUMBER(BH136),N(BH136)&gt;0),BG136/BH136,"")</f>
        <v/>
      </c>
      <c r="BJ136" s="120" t="inlineStr">
        <is>
          <t>N</t>
        </is>
      </c>
      <c r="BK136" s="120" t="inlineStr">
        <is>
          <t>List Price $107.98</t>
        </is>
      </c>
    </row>
    <row r="137" ht="62" customHeight="1">
      <c r="A137" s="12">
        <f>_xlfn.IMAGE("https://images-na.ssl-images-amazon.com/images/I/71+O+E9PlaL.jpg")</f>
        <v/>
      </c>
      <c r="B137" s="105" t="inlineStr">
        <is>
          <t>Shilucheng</t>
        </is>
      </c>
      <c r="C137" s="39" t="inlineStr">
        <is>
          <t>Shilucheng 100% Viscose Derived from Bamboo_ Sheets Queen Size 4pcs</t>
        </is>
      </c>
      <c r="D137" s="105" t="inlineStr">
        <is>
          <t>Poor</t>
        </is>
      </c>
      <c r="E137" s="106" t="inlineStr">
        <is>
          <t>Direct</t>
        </is>
      </c>
      <c r="F137" s="105" t="inlineStr">
        <is>
          <t>Bamboo viscose</t>
        </is>
      </c>
      <c r="G137" s="39" t="inlineStr">
        <is>
          <t>Same product (sheet set) in the same material family: Bamboo viscose (product page material: Viscose Derived from Bamboo); ours: our listing: viscose from bamboo.</t>
        </is>
      </c>
      <c r="H137" s="107" t="inlineStr">
        <is>
          <t>B0HK5V5KL1</t>
        </is>
      </c>
      <c r="I137" s="107" t="inlineStr">
        <is>
          <t>B09PYKYCCF</t>
        </is>
      </c>
      <c r="J137" s="105" t="inlineStr">
        <is>
          <t>Queen</t>
        </is>
      </c>
      <c r="K137" s="105" t="inlineStr">
        <is>
          <t>01 - Dark Grey</t>
        </is>
      </c>
      <c r="L137" s="108" t="n">
        <v>79</v>
      </c>
      <c r="M137" s="39" t="inlineStr"/>
      <c r="N137" s="109" t="n">
        <v>46.66</v>
      </c>
      <c r="O137" s="109" t="n">
        <v>54.9</v>
      </c>
      <c r="P137" s="110">
        <f>IF(AND(ISNUMBER(O137),ISNUMBER(N137),N(N137)&gt;0),O137/N137-1,"")</f>
        <v/>
      </c>
      <c r="Q137" s="111">
        <f>IF(P137="","No List Price",IF(P137&lt;=0,"At/below price",IF(P137&lt;=0.12,"&lt;=12% STR zone",IF(P137&lt;=0.25,"12-25%","&gt;25% over"))))</f>
        <v/>
      </c>
      <c r="R137" s="109" t="n">
        <v>54.99</v>
      </c>
      <c r="S137" s="112">
        <f>IF(AND(ISNUMBER(N137),ISNUMBER(R137),N(R137)&gt;0),N137/R137-1,"")</f>
        <v/>
      </c>
      <c r="T137" s="39" t="inlineStr">
        <is>
          <t>vs our blended price (market data, Mar 2026 - STALE)</t>
        </is>
      </c>
      <c r="U137" s="108" t="n">
        <v>26043</v>
      </c>
      <c r="V137" s="108" t="n">
        <v>35</v>
      </c>
      <c r="W137" s="113">
        <f>IF(AND(ISNUMBER(N137),ISNUMBER(V137)),N137*V137*52/12,"")</f>
        <v/>
      </c>
      <c r="X137" s="114" t="n">
        <v>4.4</v>
      </c>
      <c r="Y137" s="108" t="n">
        <v>6629</v>
      </c>
      <c r="Z137" s="115" t="n">
        <v>46307</v>
      </c>
      <c r="AA137" s="115" t="n">
        <v>44652</v>
      </c>
      <c r="AB137" s="105" t="inlineStr">
        <is>
          <t>FBA</t>
        </is>
      </c>
      <c r="AC137" s="105" t="inlineStr">
        <is>
          <t>CN</t>
        </is>
      </c>
      <c r="AD137" s="108" t="n"/>
      <c r="AE137" s="108" t="n"/>
      <c r="AF137" s="116" t="n"/>
      <c r="AG137" s="116" t="n"/>
      <c r="AH137" s="39" t="n"/>
      <c r="AI137" s="116" t="n"/>
      <c r="AJ137" s="116" t="n"/>
      <c r="AK137" s="116" t="n"/>
      <c r="AL137" s="116" t="n"/>
      <c r="AM137" s="108" t="n"/>
      <c r="AN137" s="108" t="n"/>
      <c r="AO137" s="108" t="n"/>
      <c r="AP137" s="108" t="n"/>
      <c r="AQ137" s="108" t="n"/>
      <c r="AR137" s="108" t="n"/>
      <c r="AS137" s="117" t="n"/>
      <c r="AT137" s="112" t="n">
        <v>-0.9774436090225564</v>
      </c>
      <c r="AU137" s="118" t="inlineStr">
        <is>
          <t>Y</t>
        </is>
      </c>
      <c r="AV137" s="118" t="inlineStr">
        <is>
          <t>List Price</t>
        </is>
      </c>
      <c r="AW137" s="119" t="n">
        <v>54.9</v>
      </c>
      <c r="AX137" s="119" t="n">
        <v>46.66</v>
      </c>
      <c r="AY137" s="118" t="inlineStr">
        <is>
          <t>Limited time deal</t>
        </is>
      </c>
      <c r="AZ137" s="118" t="inlineStr">
        <is>
          <t>Y</t>
        </is>
      </c>
      <c r="BA137" s="118" t="inlineStr">
        <is>
          <t>2026-10-13 23:36:49</t>
        </is>
      </c>
      <c r="BB137" s="120" t="inlineStr">
        <is>
          <t>Prime Exclusive Discount</t>
        </is>
      </c>
      <c r="BC137" s="120" t="inlineStr">
        <is>
          <t>11-23 to 12-01</t>
        </is>
      </c>
      <c r="BD137" s="121" t="n">
        <v>54.9</v>
      </c>
      <c r="BE137" s="121" t="n">
        <v>46.64</v>
      </c>
      <c r="BF137" s="110">
        <f>IF(AND(ISNUMBER(BD137),ISNUMBER(BE137),N(BD137)&gt;0),1-BE137/BD137,"")</f>
        <v/>
      </c>
      <c r="BG137" s="122" t="n">
        <v>15970</v>
      </c>
      <c r="BH137" s="122" t="n">
        <v>18592</v>
      </c>
      <c r="BI137" s="123">
        <f>IF(AND(ISNUMBER(BG137),ISNUMBER(BH137),N(BH137)&gt;0),BG137/BH137,"")</f>
        <v/>
      </c>
      <c r="BJ137" s="120" t="inlineStr">
        <is>
          <t>N</t>
        </is>
      </c>
      <c r="BK137" s="120" t="inlineStr">
        <is>
          <t>Buy Box RAISED in BFCM week (median $58.30 vs $54.90 before); List Price $59.90</t>
        </is>
      </c>
    </row>
    <row r="138" ht="62" customHeight="1">
      <c r="A138" s="12">
        <f>_xlfn.IMAGE("https://m.media-amazon.com/images/I/71zexS-HoPL._AC_SL1500_.jpg")</f>
        <v/>
      </c>
      <c r="B138" s="105" t="inlineStr">
        <is>
          <t>Bamtek</t>
        </is>
      </c>
      <c r="C138" s="39" t="inlineStr">
        <is>
          <t>Viscose Bamboo Sheets Queen Size 4PC Set - Cooling Bedding for Hot Sleepers with</t>
        </is>
      </c>
      <c r="D138" s="105" t="inlineStr">
        <is>
          <t>Poor</t>
        </is>
      </c>
      <c r="E138" s="106" t="inlineStr">
        <is>
          <t>Direct</t>
        </is>
      </c>
      <c r="F138" s="105" t="inlineStr">
        <is>
          <t>Bamboo viscose</t>
        </is>
      </c>
      <c r="G138" s="39" t="inlineStr">
        <is>
          <t>Same product (sheet set) in the same material family: Bamboo viscose (product page material: Bamboo, Bamboo Viscose); ours: our listing: viscose from bamboo.</t>
        </is>
      </c>
      <c r="H138" s="107" t="inlineStr">
        <is>
          <t>B0CZHCZQZ3</t>
        </is>
      </c>
      <c r="I138" s="107" t="inlineStr">
        <is>
          <t>B09TQ6ZVKZ</t>
        </is>
      </c>
      <c r="J138" s="105" t="inlineStr">
        <is>
          <t>Queen</t>
        </is>
      </c>
      <c r="K138" s="105" t="inlineStr">
        <is>
          <t>Sage</t>
        </is>
      </c>
      <c r="L138" s="108" t="n"/>
      <c r="M138" s="39" t="inlineStr"/>
      <c r="N138" s="109" t="n">
        <v>94.98999999999999</v>
      </c>
      <c r="O138" s="109" t="n"/>
      <c r="P138" s="110">
        <f>IF(AND(ISNUMBER(O138),ISNUMBER(N138),N(N138)&gt;0),O138/N138-1,"")</f>
        <v/>
      </c>
      <c r="Q138" s="111">
        <f>IF(P138="","No List Price",IF(P138&lt;=0,"At/below price",IF(P138&lt;=0.12,"&lt;=12% STR zone",IF(P138&lt;=0.25,"12-25%","&gt;25% over"))))</f>
        <v/>
      </c>
      <c r="R138" s="109" t="n">
        <v>54.99</v>
      </c>
      <c r="S138" s="112">
        <f>IF(AND(ISNUMBER(N138),ISNUMBER(R138),N(R138)&gt;0),N138/R138-1,"")</f>
        <v/>
      </c>
      <c r="T138" s="39" t="inlineStr">
        <is>
          <t>vs our blended price (market data, Mar 2026 - STALE)</t>
        </is>
      </c>
      <c r="U138" s="108" t="n">
        <v>79376</v>
      </c>
      <c r="V138" s="108" t="n">
        <v>18</v>
      </c>
      <c r="W138" s="113">
        <f>IF(AND(ISNUMBER(N138),ISNUMBER(V138)),N138*V138*52/12,"")</f>
        <v/>
      </c>
      <c r="X138" s="114" t="n">
        <v>4.4</v>
      </c>
      <c r="Y138" s="108" t="n">
        <v>641</v>
      </c>
      <c r="Z138" s="115" t="n">
        <v>46307</v>
      </c>
      <c r="AA138" s="115" t="n"/>
      <c r="AB138" s="105" t="n"/>
      <c r="AC138" s="105" t="n"/>
      <c r="AD138" s="108" t="n"/>
      <c r="AE138" s="108" t="n"/>
      <c r="AF138" s="116" t="n"/>
      <c r="AG138" s="116" t="n"/>
      <c r="AH138" s="39" t="n"/>
      <c r="AI138" s="116" t="n"/>
      <c r="AJ138" s="116" t="n"/>
      <c r="AK138" s="116" t="n"/>
      <c r="AL138" s="116" t="n"/>
      <c r="AM138" s="108" t="n"/>
      <c r="AN138" s="108" t="n"/>
      <c r="AO138" s="108" t="n"/>
      <c r="AP138" s="108" t="n"/>
      <c r="AQ138" s="108" t="n"/>
      <c r="AR138" s="108" t="n"/>
      <c r="AS138" s="117" t="n"/>
      <c r="AT138" s="112" t="n"/>
      <c r="AU138" s="118" t="inlineStr">
        <is>
          <t>N</t>
        </is>
      </c>
      <c r="AV138" s="118" t="inlineStr">
        <is>
          <t>none</t>
        </is>
      </c>
      <c r="AW138" s="124" t="n"/>
      <c r="AX138" s="119" t="n">
        <v>94.98999999999999</v>
      </c>
      <c r="AY138" s="118" t="inlineStr">
        <is>
          <t>none</t>
        </is>
      </c>
      <c r="AZ138" s="118" t="inlineStr">
        <is>
          <t>Y</t>
        </is>
      </c>
      <c r="BA138" s="118" t="inlineStr">
        <is>
          <t>2026-10-13 23:35:47</t>
        </is>
      </c>
      <c r="BB138" s="120" t="inlineStr">
        <is>
          <t>Prime Exclusive Discount</t>
        </is>
      </c>
      <c r="BC138" s="120" t="inlineStr">
        <is>
          <t>11-24 to 12-01</t>
        </is>
      </c>
      <c r="BD138" s="121" t="n">
        <v>104.99</v>
      </c>
      <c r="BE138" s="121" t="n">
        <v>83.98999999999999</v>
      </c>
      <c r="BF138" s="110">
        <f>IF(AND(ISNUMBER(BD138),ISNUMBER(BE138),N(BD138)&gt;0),1-BE138/BD138,"")</f>
        <v/>
      </c>
      <c r="BG138" s="122" t="n">
        <v>99218</v>
      </c>
      <c r="BH138" s="122" t="n">
        <v>70530</v>
      </c>
      <c r="BI138" s="123">
        <f>IF(AND(ISNUMBER(BG138),ISNUMBER(BH138),N(BH138)&gt;0),BG138/BH138,"")</f>
        <v/>
      </c>
      <c r="BJ138" s="120" t="inlineStr">
        <is>
          <t>N</t>
        </is>
      </c>
      <c r="BK138" s="120" t="inlineStr">
        <is>
          <t>Coupon 40.00 USD (11-01 to 11-10); List Price $129.99</t>
        </is>
      </c>
    </row>
    <row r="139" ht="62" customHeight="1">
      <c r="A139" s="12">
        <f>_xlfn.IMAGE("https://images-na.ssl-images-amazon.com/images/I/61imzycbiwL.jpg")</f>
        <v/>
      </c>
      <c r="B139" s="105" t="inlineStr">
        <is>
          <t>JSD</t>
        </is>
      </c>
      <c r="C139" s="39" t="inlineStr">
        <is>
          <t>JSD Sage Green 100% Viscose Derived from Bamboo Cooling Sheet Set Queen</t>
        </is>
      </c>
      <c r="D139" s="105" t="inlineStr">
        <is>
          <t>Poor</t>
        </is>
      </c>
      <c r="E139" s="106" t="inlineStr">
        <is>
          <t>Direct</t>
        </is>
      </c>
      <c r="F139" s="105" t="inlineStr">
        <is>
          <t>Bamboo viscose</t>
        </is>
      </c>
      <c r="G139" s="39" t="inlineStr">
        <is>
          <t>Same product (sheet set) in the same material family: Bamboo viscose (title: JSD Sage Green 100% Viscose Derived from Bamboo Cooling Shee); ours: our listing: viscose from bamboo.</t>
        </is>
      </c>
      <c r="H139" s="107" t="inlineStr">
        <is>
          <t>B0DTY15N29</t>
        </is>
      </c>
      <c r="I139" s="107" t="inlineStr">
        <is>
          <t>B0DSZTLBV1</t>
        </is>
      </c>
      <c r="J139" s="105" t="inlineStr">
        <is>
          <t>Queen</t>
        </is>
      </c>
      <c r="K139" s="105" t="inlineStr">
        <is>
          <t>Green</t>
        </is>
      </c>
      <c r="L139" s="108" t="n">
        <v>32</v>
      </c>
      <c r="M139" s="39" t="inlineStr"/>
      <c r="N139" s="109" t="n">
        <v>56.99</v>
      </c>
      <c r="O139" s="109" t="n"/>
      <c r="P139" s="110">
        <f>IF(AND(ISNUMBER(O139),ISNUMBER(N139),N(N139)&gt;0),O139/N139-1,"")</f>
        <v/>
      </c>
      <c r="Q139" s="111">
        <f>IF(P139="","No List Price",IF(P139&lt;=0,"At/below price",IF(P139&lt;=0.12,"&lt;=12% STR zone",IF(P139&lt;=0.25,"12-25%","&gt;25% over"))))</f>
        <v/>
      </c>
      <c r="R139" s="109" t="n">
        <v>54.99</v>
      </c>
      <c r="S139" s="112">
        <f>IF(AND(ISNUMBER(N139),ISNUMBER(R139),N(R139)&gt;0),N139/R139-1,"")</f>
        <v/>
      </c>
      <c r="T139" s="39" t="inlineStr">
        <is>
          <t>vs our blended price (market data, Mar 2026 - STALE)</t>
        </is>
      </c>
      <c r="U139" s="108" t="n">
        <v>76312</v>
      </c>
      <c r="V139" s="108" t="n">
        <v>18</v>
      </c>
      <c r="W139" s="113">
        <f>IF(AND(ISNUMBER(N139),ISNUMBER(V139)),N139*V139*52/12,"")</f>
        <v/>
      </c>
      <c r="X139" s="114" t="n">
        <v>4.3</v>
      </c>
      <c r="Y139" s="108" t="n">
        <v>281</v>
      </c>
      <c r="Z139" s="115" t="n">
        <v>46307</v>
      </c>
      <c r="AA139" s="115" t="n">
        <v>45671</v>
      </c>
      <c r="AB139" s="105" t="inlineStr">
        <is>
          <t>FBA</t>
        </is>
      </c>
      <c r="AC139" s="105" t="inlineStr">
        <is>
          <t>CN</t>
        </is>
      </c>
      <c r="AD139" s="108" t="n"/>
      <c r="AE139" s="108" t="n"/>
      <c r="AF139" s="116" t="n"/>
      <c r="AG139" s="116" t="n"/>
      <c r="AH139" s="39" t="n"/>
      <c r="AI139" s="116" t="n"/>
      <c r="AJ139" s="116" t="n"/>
      <c r="AK139" s="116" t="n"/>
      <c r="AL139" s="116" t="n"/>
      <c r="AM139" s="108" t="n"/>
      <c r="AN139" s="108" t="n"/>
      <c r="AO139" s="108" t="n"/>
      <c r="AP139" s="108" t="n"/>
      <c r="AQ139" s="108" t="n"/>
      <c r="AR139" s="108" t="n"/>
      <c r="AS139" s="117" t="n"/>
      <c r="AT139" s="112" t="n"/>
      <c r="AU139" s="118" t="inlineStr">
        <is>
          <t>N</t>
        </is>
      </c>
      <c r="AV139" s="118" t="inlineStr">
        <is>
          <t>none</t>
        </is>
      </c>
      <c r="AW139" s="124" t="n"/>
      <c r="AX139" s="119" t="n">
        <v>56.99</v>
      </c>
      <c r="AY139" s="118" t="inlineStr">
        <is>
          <t>none</t>
        </is>
      </c>
      <c r="AZ139" s="118" t="inlineStr">
        <is>
          <t>Y</t>
        </is>
      </c>
      <c r="BA139" s="118" t="inlineStr">
        <is>
          <t>2026-10-13 23:36:24</t>
        </is>
      </c>
      <c r="BB139" s="120" t="inlineStr">
        <is>
          <t>None</t>
        </is>
      </c>
      <c r="BC139" s="125" t="n"/>
      <c r="BD139" s="121" t="n">
        <v>56.99</v>
      </c>
      <c r="BE139" s="121" t="n">
        <v>56.99</v>
      </c>
      <c r="BF139" s="110">
        <f>IF(AND(ISNUMBER(BD139),ISNUMBER(BE139),N(BD139)&gt;0),1-BE139/BD139,"")</f>
        <v/>
      </c>
      <c r="BG139" s="122" t="n">
        <v>97969</v>
      </c>
      <c r="BH139" s="122" t="n">
        <v>108941</v>
      </c>
      <c r="BI139" s="123">
        <f>IF(AND(ISNUMBER(BG139),ISNUMBER(BH139),N(BH139)&gt;0),BG139/BH139,"")</f>
        <v/>
      </c>
      <c r="BJ139" s="120" t="inlineStr">
        <is>
          <t>N</t>
        </is>
      </c>
      <c r="BK139" s="120" t="inlineStr">
        <is>
          <t>Coupon 5% (11-01 to 11-17); List Price $74.99</t>
        </is>
      </c>
    </row>
    <row r="140" ht="62" customHeight="1">
      <c r="A140" s="12">
        <f>_xlfn.IMAGE("https://images-na.ssl-images-amazon.com/images/I/71zrq2AtnUL.jpg")</f>
        <v/>
      </c>
      <c r="B140" s="105" t="inlineStr">
        <is>
          <t>Kickoff Home</t>
        </is>
      </c>
      <c r="C140" s="39" t="inlineStr">
        <is>
          <t>Bamboo Sheets</t>
        </is>
      </c>
      <c r="D140" s="105" t="inlineStr">
        <is>
          <t>Poor</t>
        </is>
      </c>
      <c r="E140" s="106" t="inlineStr">
        <is>
          <t>Direct</t>
        </is>
      </c>
      <c r="F140" s="105" t="inlineStr">
        <is>
          <t>Bamboo viscose</t>
        </is>
      </c>
      <c r="G140" s="39" t="inlineStr">
        <is>
          <t>Same product (sheet set) in the same material family: Bamboo viscose (product page material: Viscose from Bamboo); ours: our listing: viscose from bamboo.</t>
        </is>
      </c>
      <c r="H140" s="107" t="inlineStr">
        <is>
          <t>B0D4KS4MVX</t>
        </is>
      </c>
      <c r="I140" s="107" t="inlineStr">
        <is>
          <t>B0CHN5ZPFH</t>
        </is>
      </c>
      <c r="J140" s="105" t="inlineStr">
        <is>
          <t>King</t>
        </is>
      </c>
      <c r="K140" s="105" t="inlineStr">
        <is>
          <t>Sage Green</t>
        </is>
      </c>
      <c r="L140" s="108" t="n">
        <v>106</v>
      </c>
      <c r="M140" s="39" t="inlineStr">
        <is>
          <t>B0CHN5ZPFH (27%), B0CHN6N986 (11%), B0G84K7MZQ (9%), B0G84MQQX4 (8%), B0CHN4BSZP (5%)</t>
        </is>
      </c>
      <c r="N140" s="109" t="n">
        <v>86.98999999999999</v>
      </c>
      <c r="O140" s="109" t="n">
        <v>84.98999999999999</v>
      </c>
      <c r="P140" s="110">
        <f>IF(AND(ISNUMBER(O140),ISNUMBER(N140),N(N140)&gt;0),O140/N140-1,"")</f>
        <v/>
      </c>
      <c r="Q140" s="111">
        <f>IF(P140="","No List Price",IF(P140&lt;=0,"At/below price",IF(P140&lt;=0.12,"&lt;=12% STR zone",IF(P140&lt;=0.25,"12-25%","&gt;25% over"))))</f>
        <v/>
      </c>
      <c r="R140" s="109" t="n">
        <v>54.99</v>
      </c>
      <c r="S140" s="112">
        <f>IF(AND(ISNUMBER(N140),ISNUMBER(R140),N(R140)&gt;0),N140/R140-1,"")</f>
        <v/>
      </c>
      <c r="T140" s="39" t="inlineStr">
        <is>
          <t>vs our blended price (market data, Mar 2026 - STALE)</t>
        </is>
      </c>
      <c r="U140" s="108" t="n">
        <v>23579</v>
      </c>
      <c r="V140" s="108" t="n">
        <v>18</v>
      </c>
      <c r="W140" s="113">
        <f>IF(AND(ISNUMBER(N140),ISNUMBER(V140)),N140*V140*52/12,"")</f>
        <v/>
      </c>
      <c r="X140" s="114" t="n">
        <v>4.6</v>
      </c>
      <c r="Y140" s="108" t="n">
        <v>688</v>
      </c>
      <c r="Z140" s="115" t="n">
        <v>46307</v>
      </c>
      <c r="AA140" s="115" t="n"/>
      <c r="AB140" s="105" t="n"/>
      <c r="AC140" s="105" t="n"/>
      <c r="AD140" s="108" t="n">
        <v>58169</v>
      </c>
      <c r="AE140" s="108" t="n">
        <v>1164</v>
      </c>
      <c r="AF140" s="116" t="n">
        <v>0.8765498702057799</v>
      </c>
      <c r="AG140" s="116" t="n">
        <v>0.12345023981846</v>
      </c>
      <c r="AH140" s="39" t="inlineStr">
        <is>
          <t>bamboo sheets</t>
        </is>
      </c>
      <c r="AI140" s="116" t="n">
        <v>0.6749987106534409</v>
      </c>
      <c r="AJ140" s="116" t="n"/>
      <c r="AK140" s="116" t="n">
        <v>0.08715982739947395</v>
      </c>
      <c r="AL140" s="116" t="n">
        <v>0.0003782083240213859</v>
      </c>
      <c r="AM140" s="108" t="n">
        <v>393</v>
      </c>
      <c r="AN140" s="108" t="n">
        <v>117</v>
      </c>
      <c r="AO140" s="108" t="n">
        <v>207</v>
      </c>
      <c r="AP140" s="108" t="n">
        <v>771</v>
      </c>
      <c r="AQ140" s="108" t="n">
        <v>110</v>
      </c>
      <c r="AR140" s="108" t="n">
        <v>6</v>
      </c>
      <c r="AS140" s="117" t="n"/>
      <c r="AT140" s="112" t="n"/>
      <c r="AU140" s="118" t="inlineStr">
        <is>
          <t>N</t>
        </is>
      </c>
      <c r="AV140" s="118" t="inlineStr">
        <is>
          <t>none</t>
        </is>
      </c>
      <c r="AW140" s="124" t="n"/>
      <c r="AX140" s="119" t="n">
        <v>86.98999999999999</v>
      </c>
      <c r="AY140" s="118" t="inlineStr">
        <is>
          <t>none</t>
        </is>
      </c>
      <c r="AZ140" s="118" t="inlineStr">
        <is>
          <t>Y</t>
        </is>
      </c>
      <c r="BA140" s="118" t="inlineStr">
        <is>
          <t>2026-10-13 23:36:30</t>
        </is>
      </c>
      <c r="BB140" s="120" t="inlineStr">
        <is>
          <t>Price cut only</t>
        </is>
      </c>
      <c r="BC140" s="120" t="inlineStr">
        <is>
          <t>11-21 to 12-01</t>
        </is>
      </c>
      <c r="BD140" s="121" t="n">
        <v>118.99</v>
      </c>
      <c r="BE140" s="121" t="n">
        <v>79.13</v>
      </c>
      <c r="BF140" s="110">
        <f>IF(AND(ISNUMBER(BD140),ISNUMBER(BE140),N(BD140)&gt;0),1-BE140/BD140,"")</f>
        <v/>
      </c>
      <c r="BG140" s="122" t="n">
        <v>70541</v>
      </c>
      <c r="BH140" s="122" t="n">
        <v>28546</v>
      </c>
      <c r="BI140" s="123">
        <f>IF(AND(ISNUMBER(BG140),ISNUMBER(BH140),N(BH140)&gt;0),BG140/BH140,"")</f>
        <v/>
      </c>
      <c r="BJ140" s="120" t="inlineStr">
        <is>
          <t>N</t>
        </is>
      </c>
      <c r="BK140" s="120" t="inlineStr">
        <is>
          <t>Coupon 25% (11-01 to 11-05); List Price $124.99</t>
        </is>
      </c>
    </row>
    <row r="141" ht="62" customHeight="1">
      <c r="A141" s="12">
        <f>_xlfn.IMAGE("https://m.media-amazon.com/images/I/81xjJeiirqL._AC_SL1500_.jpg")</f>
        <v/>
      </c>
      <c r="B141" s="105" t="inlineStr">
        <is>
          <t>LB Luxury Bamboo Market</t>
        </is>
      </c>
      <c r="C141" s="39" t="inlineStr">
        <is>
          <t>Bamboo Sheets</t>
        </is>
      </c>
      <c r="D141" s="105" t="inlineStr">
        <is>
          <t>Poor</t>
        </is>
      </c>
      <c r="E141" s="106" t="inlineStr">
        <is>
          <t>Direct</t>
        </is>
      </c>
      <c r="F141" s="105" t="inlineStr">
        <is>
          <t>Bamboo viscose</t>
        </is>
      </c>
      <c r="G141" s="39" t="inlineStr">
        <is>
          <t>Same product (sheet set) in the same material family: Bamboo viscose (product page material: Organically Grown Bamboo Viscose); ours: our listing: viscose from bamboo.</t>
        </is>
      </c>
      <c r="H141" s="107" t="inlineStr">
        <is>
          <t>B0D1HWHDL2</t>
        </is>
      </c>
      <c r="I141" s="107" t="inlineStr">
        <is>
          <t>B0CH7N9WVC</t>
        </is>
      </c>
      <c r="J141" s="105" t="inlineStr">
        <is>
          <t>Queen</t>
        </is>
      </c>
      <c r="K141" s="105" t="inlineStr">
        <is>
          <t>Dune</t>
        </is>
      </c>
      <c r="L141" s="108" t="n"/>
      <c r="M141" s="39" t="inlineStr"/>
      <c r="N141" s="109" t="n">
        <v>129.94</v>
      </c>
      <c r="O141" s="109" t="n"/>
      <c r="P141" s="110">
        <f>IF(AND(ISNUMBER(O141),ISNUMBER(N141),N(N141)&gt;0),O141/N141-1,"")</f>
        <v/>
      </c>
      <c r="Q141" s="111">
        <f>IF(P141="","No List Price",IF(P141&lt;=0,"At/below price",IF(P141&lt;=0.12,"&lt;=12% STR zone",IF(P141&lt;=0.25,"12-25%","&gt;25% over"))))</f>
        <v/>
      </c>
      <c r="R141" s="109" t="n">
        <v>54.99</v>
      </c>
      <c r="S141" s="112">
        <f>IF(AND(ISNUMBER(N141),ISNUMBER(R141),N(R141)&gt;0),N141/R141-1,"")</f>
        <v/>
      </c>
      <c r="T141" s="39" t="inlineStr">
        <is>
          <t>vs our blended price (market data, Mar 2026 - STALE)</t>
        </is>
      </c>
      <c r="U141" s="108" t="n">
        <v>47800</v>
      </c>
      <c r="V141" s="108" t="n">
        <v>18</v>
      </c>
      <c r="W141" s="113">
        <f>IF(AND(ISNUMBER(N141),ISNUMBER(V141)),N141*V141*52/12,"")</f>
        <v/>
      </c>
      <c r="X141" s="114" t="n">
        <v>4.5</v>
      </c>
      <c r="Y141" s="108" t="n">
        <v>517</v>
      </c>
      <c r="Z141" s="115" t="n">
        <v>46307</v>
      </c>
      <c r="AA141" s="115" t="n"/>
      <c r="AB141" s="105" t="n"/>
      <c r="AC141" s="105" t="n"/>
      <c r="AD141" s="108" t="n"/>
      <c r="AE141" s="108" t="n"/>
      <c r="AF141" s="116" t="n"/>
      <c r="AG141" s="116" t="n"/>
      <c r="AH141" s="39" t="n"/>
      <c r="AI141" s="116" t="n"/>
      <c r="AJ141" s="116" t="n"/>
      <c r="AK141" s="116" t="n"/>
      <c r="AL141" s="116" t="n"/>
      <c r="AM141" s="108" t="n"/>
      <c r="AN141" s="108" t="n"/>
      <c r="AO141" s="108" t="n"/>
      <c r="AP141" s="108" t="n"/>
      <c r="AQ141" s="108" t="n"/>
      <c r="AR141" s="108" t="n"/>
      <c r="AS141" s="117" t="n"/>
      <c r="AT141" s="112" t="n"/>
      <c r="AU141" s="118" t="inlineStr">
        <is>
          <t>N</t>
        </is>
      </c>
      <c r="AV141" s="118" t="inlineStr">
        <is>
          <t>none</t>
        </is>
      </c>
      <c r="AW141" s="124" t="n"/>
      <c r="AX141" s="119" t="n">
        <v>129.94</v>
      </c>
      <c r="AY141" s="118" t="inlineStr">
        <is>
          <t>none</t>
        </is>
      </c>
      <c r="AZ141" s="118" t="inlineStr">
        <is>
          <t>Y</t>
        </is>
      </c>
      <c r="BA141" s="118" t="inlineStr">
        <is>
          <t>2026-10-13 23:36:34</t>
        </is>
      </c>
      <c r="BB141" s="120" t="inlineStr">
        <is>
          <t>Prime Exclusive Discount</t>
        </is>
      </c>
      <c r="BC141" s="120" t="inlineStr">
        <is>
          <t>11-26 to 12-01</t>
        </is>
      </c>
      <c r="BD141" s="121" t="n">
        <v>119.94</v>
      </c>
      <c r="BE141" s="121" t="n">
        <v>103.95</v>
      </c>
      <c r="BF141" s="110">
        <f>IF(AND(ISNUMBER(BD141),ISNUMBER(BE141),N(BD141)&gt;0),1-BE141/BD141,"")</f>
        <v/>
      </c>
      <c r="BG141" s="122" t="n">
        <v>73868</v>
      </c>
      <c r="BH141" s="122" t="n">
        <v>96746</v>
      </c>
      <c r="BI141" s="123">
        <f>IF(AND(ISNUMBER(BG141),ISNUMBER(BH141),N(BH141)&gt;0),BG141/BH141,"")</f>
        <v/>
      </c>
      <c r="BJ141" s="120" t="inlineStr">
        <is>
          <t>N</t>
        </is>
      </c>
      <c r="BK141" s="120" t="inlineStr">
        <is>
          <t>List Price $159.94</t>
        </is>
      </c>
    </row>
    <row r="142" ht="62" customHeight="1">
      <c r="A142" s="12">
        <f>_xlfn.IMAGE("https://images-na.ssl-images-amazon.com/images/I/71NxE1i+4jL.jpg")</f>
        <v/>
      </c>
      <c r="B142" s="105" t="inlineStr">
        <is>
          <t>Shilucheng</t>
        </is>
      </c>
      <c r="C142" s="39" t="inlineStr">
        <is>
          <t>Shilucheng 100% Viscose Derived from Bamboo_Sheets, Extra Deep Pocket</t>
        </is>
      </c>
      <c r="D142" s="105" t="inlineStr">
        <is>
          <t>Poor</t>
        </is>
      </c>
      <c r="E142" s="106" t="inlineStr">
        <is>
          <t>Direct</t>
        </is>
      </c>
      <c r="F142" s="105" t="inlineStr">
        <is>
          <t>Bamboo viscose</t>
        </is>
      </c>
      <c r="G142" s="39" t="inlineStr">
        <is>
          <t>Same product (sheet set) in the same material family: Bamboo viscose (product page material: Rayon Derived from Bamboo); ours: our listing: viscose from bamboo.</t>
        </is>
      </c>
      <c r="H142" s="107" t="inlineStr">
        <is>
          <t>B0HJVD7X1R</t>
        </is>
      </c>
      <c r="I142" s="107" t="inlineStr">
        <is>
          <t>B0F2TBWTZR</t>
        </is>
      </c>
      <c r="J142" s="105" t="inlineStr">
        <is>
          <t>King</t>
        </is>
      </c>
      <c r="K142" s="105" t="inlineStr">
        <is>
          <t>Dark Grey</t>
        </is>
      </c>
      <c r="L142" s="108" t="n">
        <v>32</v>
      </c>
      <c r="M142" s="39" t="inlineStr"/>
      <c r="N142" s="109" t="n">
        <v>69.98999999999999</v>
      </c>
      <c r="O142" s="109" t="n">
        <v>84.98999999999999</v>
      </c>
      <c r="P142" s="110">
        <f>IF(AND(ISNUMBER(O142),ISNUMBER(N142),N(N142)&gt;0),O142/N142-1,"")</f>
        <v/>
      </c>
      <c r="Q142" s="111">
        <f>IF(P142="","No List Price",IF(P142&lt;=0,"At/below price",IF(P142&lt;=0.12,"&lt;=12% STR zone",IF(P142&lt;=0.25,"12-25%","&gt;25% over"))))</f>
        <v/>
      </c>
      <c r="R142" s="109" t="n">
        <v>54.99</v>
      </c>
      <c r="S142" s="112">
        <f>IF(AND(ISNUMBER(N142),ISNUMBER(R142),N(R142)&gt;0),N142/R142-1,"")</f>
        <v/>
      </c>
      <c r="T142" s="39" t="inlineStr">
        <is>
          <t>vs our blended price (market data, Mar 2026 - STALE)</t>
        </is>
      </c>
      <c r="U142" s="108" t="n">
        <v>39194</v>
      </c>
      <c r="V142" s="108" t="n">
        <v>18</v>
      </c>
      <c r="W142" s="113">
        <f>IF(AND(ISNUMBER(N142),ISNUMBER(V142)),N142*V142*52/12,"")</f>
        <v/>
      </c>
      <c r="X142" s="114" t="n">
        <v>4.5</v>
      </c>
      <c r="Y142" s="108" t="n">
        <v>1639</v>
      </c>
      <c r="Z142" s="115" t="n">
        <v>46307</v>
      </c>
      <c r="AA142" s="115" t="n">
        <v>45744</v>
      </c>
      <c r="AB142" s="105" t="inlineStr">
        <is>
          <t>FBA</t>
        </is>
      </c>
      <c r="AC142" s="105" t="inlineStr">
        <is>
          <t>CN</t>
        </is>
      </c>
      <c r="AD142" s="108" t="n"/>
      <c r="AE142" s="108" t="n"/>
      <c r="AF142" s="116" t="n"/>
      <c r="AG142" s="116" t="n"/>
      <c r="AH142" s="39" t="n"/>
      <c r="AI142" s="116" t="n"/>
      <c r="AJ142" s="116" t="n"/>
      <c r="AK142" s="116" t="n"/>
      <c r="AL142" s="116" t="n"/>
      <c r="AM142" s="108" t="n"/>
      <c r="AN142" s="108" t="n"/>
      <c r="AO142" s="108" t="n"/>
      <c r="AP142" s="108" t="n"/>
      <c r="AQ142" s="108" t="n"/>
      <c r="AR142" s="108" t="n"/>
      <c r="AS142" s="117" t="n"/>
      <c r="AT142" s="112" t="n">
        <v>-0.9655172413793104</v>
      </c>
      <c r="AU142" s="118" t="inlineStr">
        <is>
          <t>Y</t>
        </is>
      </c>
      <c r="AV142" s="118" t="inlineStr">
        <is>
          <t>List Price</t>
        </is>
      </c>
      <c r="AW142" s="119" t="n">
        <v>84.98999999999999</v>
      </c>
      <c r="AX142" s="119" t="n">
        <v>69.98999999999999</v>
      </c>
      <c r="AY142" s="118" t="inlineStr">
        <is>
          <t>Limited time deal</t>
        </is>
      </c>
      <c r="AZ142" s="118" t="inlineStr">
        <is>
          <t>Y</t>
        </is>
      </c>
      <c r="BA142" s="118" t="inlineStr">
        <is>
          <t>2026-10-13 23:36:52</t>
        </is>
      </c>
      <c r="BB142" s="120" t="inlineStr">
        <is>
          <t>Prime Exclusive Discount</t>
        </is>
      </c>
      <c r="BC142" s="120" t="inlineStr">
        <is>
          <t>11-21 to 12-01</t>
        </is>
      </c>
      <c r="BD142" s="121" t="n">
        <v>84.98999999999999</v>
      </c>
      <c r="BE142" s="121" t="n">
        <v>64.59</v>
      </c>
      <c r="BF142" s="110">
        <f>IF(AND(ISNUMBER(BD142),ISNUMBER(BE142),N(BD142)&gt;0),1-BE142/BD142,"")</f>
        <v/>
      </c>
      <c r="BG142" s="122" t="n">
        <v>28104</v>
      </c>
      <c r="BH142" s="122" t="n">
        <v>38474</v>
      </c>
      <c r="BI142" s="123">
        <f>IF(AND(ISNUMBER(BG142),ISNUMBER(BH142),N(BH142)&gt;0),BG142/BH142,"")</f>
        <v/>
      </c>
      <c r="BJ142" s="120" t="inlineStr">
        <is>
          <t>N</t>
        </is>
      </c>
      <c r="BK142" s="120" t="inlineStr">
        <is>
          <t>Coupon 20% (11-02 to 11-12); List Price $84.99</t>
        </is>
      </c>
    </row>
    <row r="143" ht="62" customHeight="1">
      <c r="A143" s="12">
        <f>_xlfn.IMAGE("https://m.media-amazon.com/images/I/61YnWQV27EL._AC_SL1024_.jpg")</f>
        <v/>
      </c>
      <c r="B143" s="105" t="inlineStr">
        <is>
          <t>Bamboo Bay</t>
        </is>
      </c>
      <c r="C143" s="39" t="inlineStr">
        <is>
          <t>Bamboo Sheets</t>
        </is>
      </c>
      <c r="D143" s="105" t="inlineStr">
        <is>
          <t>Poor</t>
        </is>
      </c>
      <c r="E143" s="106" t="inlineStr">
        <is>
          <t>Direct</t>
        </is>
      </c>
      <c r="F143" s="105" t="inlineStr">
        <is>
          <t>Bamboo viscose</t>
        </is>
      </c>
      <c r="G143" s="39" t="inlineStr">
        <is>
          <t>Same product (sheet set) in the same material family: Bamboo viscose (product page material: Viscose Made from Bamboo); ours: our listing: viscose from bamboo.</t>
        </is>
      </c>
      <c r="H143" s="107" t="inlineStr">
        <is>
          <t>B0DLF1SWJ5</t>
        </is>
      </c>
      <c r="I143" s="107" t="inlineStr">
        <is>
          <t>B07TBHLZJM</t>
        </is>
      </c>
      <c r="J143" s="105" t="inlineStr">
        <is>
          <t>Queen</t>
        </is>
      </c>
      <c r="K143" s="105" t="inlineStr">
        <is>
          <t>04 - Light Grey</t>
        </is>
      </c>
      <c r="L143" s="108" t="n"/>
      <c r="M143" s="39" t="inlineStr"/>
      <c r="N143" s="109" t="n">
        <v>79.98</v>
      </c>
      <c r="O143" s="109" t="n"/>
      <c r="P143" s="110">
        <f>IF(AND(ISNUMBER(O143),ISNUMBER(N143),N(N143)&gt;0),O143/N143-1,"")</f>
        <v/>
      </c>
      <c r="Q143" s="111">
        <f>IF(P143="","No List Price",IF(P143&lt;=0,"At/below price",IF(P143&lt;=0.12,"&lt;=12% STR zone",IF(P143&lt;=0.25,"12-25%","&gt;25% over"))))</f>
        <v/>
      </c>
      <c r="R143" s="109" t="n">
        <v>54.99</v>
      </c>
      <c r="S143" s="112">
        <f>IF(AND(ISNUMBER(N143),ISNUMBER(R143),N(R143)&gt;0),N143/R143-1,"")</f>
        <v/>
      </c>
      <c r="T143" s="39" t="inlineStr">
        <is>
          <t>vs our blended price (market data, Mar 2026 - STALE)</t>
        </is>
      </c>
      <c r="U143" s="108" t="n">
        <v>131083</v>
      </c>
      <c r="V143" s="108" t="n">
        <v>5</v>
      </c>
      <c r="W143" s="113">
        <f>IF(AND(ISNUMBER(N143),ISNUMBER(V143)),N143*V143*52/12,"")</f>
        <v/>
      </c>
      <c r="X143" s="114" t="n">
        <v>4.5</v>
      </c>
      <c r="Y143" s="108" t="n">
        <v>2691</v>
      </c>
      <c r="Z143" s="115" t="n">
        <v>46307</v>
      </c>
      <c r="AA143" s="115" t="n"/>
      <c r="AB143" s="105" t="n"/>
      <c r="AC143" s="105" t="n"/>
      <c r="AD143" s="108" t="n"/>
      <c r="AE143" s="108" t="n"/>
      <c r="AF143" s="116" t="n"/>
      <c r="AG143" s="116" t="n"/>
      <c r="AH143" s="39" t="n"/>
      <c r="AI143" s="116" t="n"/>
      <c r="AJ143" s="116" t="n"/>
      <c r="AK143" s="116" t="n"/>
      <c r="AL143" s="116" t="n"/>
      <c r="AM143" s="108" t="n"/>
      <c r="AN143" s="108" t="n"/>
      <c r="AO143" s="108" t="n"/>
      <c r="AP143" s="108" t="n"/>
      <c r="AQ143" s="108" t="n"/>
      <c r="AR143" s="108" t="n"/>
      <c r="AS143" s="117" t="n"/>
      <c r="AT143" s="112" t="n"/>
      <c r="AU143" s="118" t="inlineStr">
        <is>
          <t>N</t>
        </is>
      </c>
      <c r="AV143" s="118" t="inlineStr">
        <is>
          <t>none</t>
        </is>
      </c>
      <c r="AW143" s="124" t="n"/>
      <c r="AX143" s="119" t="n">
        <v>79.98</v>
      </c>
      <c r="AY143" s="118" t="inlineStr">
        <is>
          <t>none</t>
        </is>
      </c>
      <c r="AZ143" s="118" t="inlineStr">
        <is>
          <t>Y</t>
        </is>
      </c>
      <c r="BA143" s="118" t="inlineStr">
        <is>
          <t>2026-10-13 23:35:44</t>
        </is>
      </c>
      <c r="BB143" s="120" t="inlineStr">
        <is>
          <t>None</t>
        </is>
      </c>
      <c r="BC143" s="125" t="n"/>
      <c r="BD143" s="121" t="n">
        <v>86.98999999999999</v>
      </c>
      <c r="BE143" s="121" t="n">
        <v>93.48</v>
      </c>
      <c r="BF143" s="110">
        <f>IF(AND(ISNUMBER(BD143),ISNUMBER(BE143),N(BD143)&gt;0),1-BE143/BD143,"")</f>
        <v/>
      </c>
      <c r="BG143" s="122" t="n">
        <v>43439</v>
      </c>
      <c r="BH143" s="122" t="n">
        <v>53047</v>
      </c>
      <c r="BI143" s="123">
        <f>IF(AND(ISNUMBER(BG143),ISNUMBER(BH143),N(BH143)&gt;0),BG143/BH143,"")</f>
        <v/>
      </c>
      <c r="BJ143" s="120" t="inlineStr">
        <is>
          <t>N</t>
        </is>
      </c>
      <c r="BK143" s="120" t="inlineStr">
        <is>
          <t>Buy Box RAISED in BFCM week (median $109.98 vs $86.99 before); List Price $129.98</t>
        </is>
      </c>
    </row>
    <row r="144" ht="62" customHeight="1">
      <c r="A144" s="12">
        <f>_xlfn.IMAGE("https://m.media-amazon.com/images/I/61se+-YHOaL._AC_SL1500_.jpg")</f>
        <v/>
      </c>
      <c r="B144" s="105" t="inlineStr">
        <is>
          <t>LBRO2M</t>
        </is>
      </c>
      <c r="C144" s="39" t="inlineStr">
        <is>
          <t>LBRO2M Cooling Bed Sheet 100% Viscose Derived from Bamboo Sheet Set Queen Size 6</t>
        </is>
      </c>
      <c r="D144" s="105" t="inlineStr">
        <is>
          <t>Poor</t>
        </is>
      </c>
      <c r="E144" s="106" t="inlineStr">
        <is>
          <t>Direct</t>
        </is>
      </c>
      <c r="F144" s="105" t="inlineStr">
        <is>
          <t>Bamboo viscose</t>
        </is>
      </c>
      <c r="G144" s="39" t="inlineStr">
        <is>
          <t>Same product (sheet set) in the same material family: Bamboo viscose (product page material: Viscose Derived from Bamboo); ours: our listing: viscose from bamboo.</t>
        </is>
      </c>
      <c r="H144" s="107" t="inlineStr">
        <is>
          <t>B0F9FK3L6J</t>
        </is>
      </c>
      <c r="I144" s="107" t="inlineStr">
        <is>
          <t>B0F9FK7SMW</t>
        </is>
      </c>
      <c r="J144" s="105" t="inlineStr">
        <is>
          <t>King 6 Pcs</t>
        </is>
      </c>
      <c r="K144" s="105" t="inlineStr">
        <is>
          <t>White</t>
        </is>
      </c>
      <c r="L144" s="108" t="n"/>
      <c r="M144" s="39" t="inlineStr"/>
      <c r="N144" s="109" t="n">
        <v>94.98999999999999</v>
      </c>
      <c r="O144" s="109" t="n"/>
      <c r="P144" s="110">
        <f>IF(AND(ISNUMBER(O144),ISNUMBER(N144),N(N144)&gt;0),O144/N144-1,"")</f>
        <v/>
      </c>
      <c r="Q144" s="111">
        <f>IF(P144="","No List Price",IF(P144&lt;=0,"At/below price",IF(P144&lt;=0.12,"&lt;=12% STR zone",IF(P144&lt;=0.25,"12-25%","&gt;25% over"))))</f>
        <v/>
      </c>
      <c r="R144" s="109" t="n">
        <v>54.99</v>
      </c>
      <c r="S144" s="112">
        <f>IF(AND(ISNUMBER(N144),ISNUMBER(R144),N(R144)&gt;0),N144/R144-1,"")</f>
        <v/>
      </c>
      <c r="T144" s="39" t="inlineStr">
        <is>
          <t>vs our blended price (market data, Mar 2026 - STALE)</t>
        </is>
      </c>
      <c r="U144" s="108" t="n">
        <v>1003118</v>
      </c>
      <c r="V144" s="108" t="n">
        <v>5</v>
      </c>
      <c r="W144" s="113">
        <f>IF(AND(ISNUMBER(N144),ISNUMBER(V144)),N144*V144*52/12,"")</f>
        <v/>
      </c>
      <c r="X144" s="114" t="n">
        <v>4.4</v>
      </c>
      <c r="Y144" s="108" t="n">
        <v>18</v>
      </c>
      <c r="Z144" s="115" t="n">
        <v>46307</v>
      </c>
      <c r="AA144" s="115" t="n"/>
      <c r="AB144" s="105" t="n"/>
      <c r="AC144" s="105" t="n"/>
      <c r="AD144" s="108" t="n"/>
      <c r="AE144" s="108" t="n"/>
      <c r="AF144" s="116" t="n"/>
      <c r="AG144" s="116" t="n"/>
      <c r="AH144" s="39" t="n"/>
      <c r="AI144" s="116" t="n"/>
      <c r="AJ144" s="116" t="n"/>
      <c r="AK144" s="116" t="n"/>
      <c r="AL144" s="116" t="n"/>
      <c r="AM144" s="108" t="n"/>
      <c r="AN144" s="108" t="n"/>
      <c r="AO144" s="108" t="n"/>
      <c r="AP144" s="108" t="n"/>
      <c r="AQ144" s="108" t="n"/>
      <c r="AR144" s="108" t="n"/>
      <c r="AS144" s="117" t="n"/>
      <c r="AT144" s="112" t="n"/>
      <c r="AU144" s="118" t="inlineStr">
        <is>
          <t>N</t>
        </is>
      </c>
      <c r="AV144" s="118" t="inlineStr">
        <is>
          <t>none</t>
        </is>
      </c>
      <c r="AW144" s="124" t="n"/>
      <c r="AX144" s="124" t="n"/>
      <c r="AY144" s="118" t="inlineStr">
        <is>
          <t>none</t>
        </is>
      </c>
      <c r="AZ144" s="118" t="inlineStr">
        <is>
          <t>N</t>
        </is>
      </c>
      <c r="BA144" s="118" t="inlineStr">
        <is>
          <t>2026-10-13 23:36:36</t>
        </is>
      </c>
      <c r="BB144" s="120" t="inlineStr">
        <is>
          <t>Prime Exclusive Discount</t>
        </is>
      </c>
      <c r="BC144" s="120" t="inlineStr">
        <is>
          <t>11-22 to 12-01</t>
        </is>
      </c>
      <c r="BD144" s="121" t="n">
        <v>95.98999999999999</v>
      </c>
      <c r="BE144" s="121" t="n">
        <v>67.19</v>
      </c>
      <c r="BF144" s="110">
        <f>IF(AND(ISNUMBER(BD144),ISNUMBER(BE144),N(BD144)&gt;0),1-BE144/BD144,"")</f>
        <v/>
      </c>
      <c r="BG144" s="122" t="n">
        <v>114176</v>
      </c>
      <c r="BH144" s="122" t="n">
        <v>68746</v>
      </c>
      <c r="BI144" s="123">
        <f>IF(AND(ISNUMBER(BG144),ISNUMBER(BH144),N(BH144)&gt;0),BG144/BH144,"")</f>
        <v/>
      </c>
      <c r="BJ144" s="120" t="inlineStr">
        <is>
          <t>N</t>
        </is>
      </c>
      <c r="BK144" s="120" t="inlineStr">
        <is>
          <t>Lightning Deal 11-01 to 11-01; List Price $179.97</t>
        </is>
      </c>
    </row>
    <row r="145" ht="62" customHeight="1">
      <c r="A145" s="12">
        <f>_xlfn.IMAGE("https://images-na.ssl-images-amazon.com/images/I/71gw0WpuNuL.jpg")</f>
        <v/>
      </c>
      <c r="B145" s="105" t="inlineStr">
        <is>
          <t>TWK</t>
        </is>
      </c>
      <c r="C145" s="39" t="inlineStr">
        <is>
          <t>TWK Luxury Sheet Set, Genuine 100% Organic Viscose Derived from Bamboo, Cooling &amp; Breathable, Silky Soft, Bedding Sheets &amp; Pillowcases (Mist Gray, King)</t>
        </is>
      </c>
      <c r="D145" s="105" t="inlineStr">
        <is>
          <t>Poor</t>
        </is>
      </c>
      <c r="E145" s="106" t="inlineStr">
        <is>
          <t>Direct</t>
        </is>
      </c>
      <c r="F145" s="105" t="inlineStr">
        <is>
          <t>Bamboo viscose</t>
        </is>
      </c>
      <c r="G145" s="39" t="inlineStr">
        <is>
          <t>Same product (sheet set) in the same material family: Bamboo viscose (title: TWK Luxury Sheet Set, Genuine 100% Organic Viscose Derived f); ours: our listing: viscose from bamboo.</t>
        </is>
      </c>
      <c r="H145" s="107" t="inlineStr">
        <is>
          <t>B0DYT2QWLC</t>
        </is>
      </c>
      <c r="I145" s="107" t="inlineStr">
        <is>
          <t>B0DYT2QWLC</t>
        </is>
      </c>
      <c r="J145" s="105" t="inlineStr">
        <is>
          <t>King</t>
        </is>
      </c>
      <c r="K145" s="105" t="inlineStr">
        <is>
          <t>Mist Gray</t>
        </is>
      </c>
      <c r="L145" s="108" t="n">
        <v>1</v>
      </c>
      <c r="M145" s="39" t="inlineStr"/>
      <c r="N145" s="109" t="n">
        <v>109.99</v>
      </c>
      <c r="O145" s="109" t="n"/>
      <c r="P145" s="110">
        <f>IF(AND(ISNUMBER(O145),ISNUMBER(N145),N(N145)&gt;0),O145/N145-1,"")</f>
        <v/>
      </c>
      <c r="Q145" s="111">
        <f>IF(P145="","No List Price",IF(P145&lt;=0,"At/below price",IF(P145&lt;=0.12,"&lt;=12% STR zone",IF(P145&lt;=0.25,"12-25%","&gt;25% over"))))</f>
        <v/>
      </c>
      <c r="R145" s="109" t="n">
        <v>54.99</v>
      </c>
      <c r="S145" s="112">
        <f>IF(AND(ISNUMBER(N145),ISNUMBER(R145),N(R145)&gt;0),N145/R145-1,"")</f>
        <v/>
      </c>
      <c r="T145" s="39" t="inlineStr">
        <is>
          <t>vs our blended price (market data, Mar 2026 - STALE)</t>
        </is>
      </c>
      <c r="U145" s="108" t="n">
        <v>1506045</v>
      </c>
      <c r="V145" s="108" t="n">
        <v>5</v>
      </c>
      <c r="W145" s="113">
        <f>IF(AND(ISNUMBER(N145),ISNUMBER(V145)),N145*V145*52/12,"")</f>
        <v/>
      </c>
      <c r="X145" s="114" t="n">
        <v>4.5</v>
      </c>
      <c r="Y145" s="108" t="n">
        <v>39</v>
      </c>
      <c r="Z145" s="115" t="n">
        <v>46307</v>
      </c>
      <c r="AA145" s="115" t="n">
        <v>45716</v>
      </c>
      <c r="AB145" s="105" t="inlineStr">
        <is>
          <t>FBM</t>
        </is>
      </c>
      <c r="AC145" s="105" t="inlineStr">
        <is>
          <t>N/A</t>
        </is>
      </c>
      <c r="AD145" s="108" t="n"/>
      <c r="AE145" s="108" t="n"/>
      <c r="AF145" s="116" t="n"/>
      <c r="AG145" s="116" t="n"/>
      <c r="AH145" s="39" t="n"/>
      <c r="AI145" s="116" t="n"/>
      <c r="AJ145" s="116" t="n"/>
      <c r="AK145" s="116" t="n"/>
      <c r="AL145" s="116" t="n"/>
      <c r="AM145" s="108" t="n"/>
      <c r="AN145" s="108" t="n"/>
      <c r="AO145" s="108" t="n"/>
      <c r="AP145" s="108" t="n"/>
      <c r="AQ145" s="108" t="n"/>
      <c r="AR145" s="108" t="n"/>
      <c r="AS145" s="117" t="n"/>
      <c r="AT145" s="112" t="n"/>
      <c r="AU145" s="118" t="inlineStr">
        <is>
          <t>N</t>
        </is>
      </c>
      <c r="AV145" s="118" t="inlineStr">
        <is>
          <t>none</t>
        </is>
      </c>
      <c r="AW145" s="124" t="n"/>
      <c r="AX145" s="124" t="n"/>
      <c r="AY145" s="118" t="inlineStr">
        <is>
          <t>none</t>
        </is>
      </c>
      <c r="AZ145" s="118" t="inlineStr">
        <is>
          <t>N</t>
        </is>
      </c>
      <c r="BA145" s="118" t="inlineStr">
        <is>
          <t>2026-10-13 23:37:00</t>
        </is>
      </c>
      <c r="BB145" s="120" t="inlineStr">
        <is>
          <t>Coupon only</t>
        </is>
      </c>
      <c r="BC145" s="120" t="inlineStr">
        <is>
          <t>11-20 to 12-05</t>
        </is>
      </c>
      <c r="BD145" s="121" t="n">
        <v>69</v>
      </c>
      <c r="BE145" s="121" t="n">
        <v>74</v>
      </c>
      <c r="BF145" s="110">
        <f>IF(AND(ISNUMBER(BD145),ISNUMBER(BE145),N(BD145)&gt;0),1-BE145/BD145,"")</f>
        <v/>
      </c>
      <c r="BG145" s="122" t="n">
        <v>46533</v>
      </c>
      <c r="BH145" s="122" t="n">
        <v>67944</v>
      </c>
      <c r="BI145" s="123">
        <f>IF(AND(ISNUMBER(BG145),ISNUMBER(BH145),N(BH145)&gt;0),BG145/BH145,"")</f>
        <v/>
      </c>
      <c r="BJ145" s="120" t="inlineStr">
        <is>
          <t>N</t>
        </is>
      </c>
      <c r="BK145" s="120" t="inlineStr">
        <is>
          <t>Coupon 30%; Buy Box RAISED in BFCM week (median $79.00 vs $69.00 before); List Price $69.00</t>
        </is>
      </c>
    </row>
    <row r="146" ht="62" customHeight="1">
      <c r="A146" s="12">
        <f>_xlfn.IMAGE("https://images-na.ssl-images-amazon.com/images/I/71YlZk0Q9-L.jpg")</f>
        <v/>
      </c>
      <c r="B146" s="105" t="inlineStr">
        <is>
          <t>TWK</t>
        </is>
      </c>
      <c r="C146" s="39" t="inlineStr">
        <is>
          <t>TWK Luxury Sheet Set, Genuine 100% Viscose Derived from Bamboo, Cooling &amp; Breathable, Silky Soft, Bedding Sheets &amp; Pillowcases (White, King(78 * 80 * 15))</t>
        </is>
      </c>
      <c r="D146" s="105" t="inlineStr">
        <is>
          <t>Poor</t>
        </is>
      </c>
      <c r="E146" s="106" t="inlineStr">
        <is>
          <t>Direct</t>
        </is>
      </c>
      <c r="F146" s="105" t="inlineStr">
        <is>
          <t>Bamboo viscose</t>
        </is>
      </c>
      <c r="G146" s="39" t="inlineStr">
        <is>
          <t>Same product (sheet set) in the same material family: Bamboo viscose (title: TWK Luxury Sheet Set, Genuine 100% Viscose Derived from Bamb); ours: our listing: viscose from bamboo.</t>
        </is>
      </c>
      <c r="H146" s="107" t="inlineStr">
        <is>
          <t>B0GVP3B7LS</t>
        </is>
      </c>
      <c r="I146" s="107" t="inlineStr">
        <is>
          <t>B0GVP3B7LS</t>
        </is>
      </c>
      <c r="J146" s="105" t="inlineStr">
        <is>
          <t>King</t>
        </is>
      </c>
      <c r="K146" s="105" t="inlineStr">
        <is>
          <t>White</t>
        </is>
      </c>
      <c r="L146" s="108" t="n">
        <v>1</v>
      </c>
      <c r="M146" s="39" t="inlineStr"/>
      <c r="N146" s="109" t="n">
        <v>46.74</v>
      </c>
      <c r="O146" s="109" t="n"/>
      <c r="P146" s="110">
        <f>IF(AND(ISNUMBER(O146),ISNUMBER(N146),N(N146)&gt;0),O146/N146-1,"")</f>
        <v/>
      </c>
      <c r="Q146" s="111">
        <f>IF(P146="","No List Price",IF(P146&lt;=0,"At/below price",IF(P146&lt;=0.12,"&lt;=12% STR zone",IF(P146&lt;=0.25,"12-25%","&gt;25% over"))))</f>
        <v/>
      </c>
      <c r="R146" s="109" t="n">
        <v>54.99</v>
      </c>
      <c r="S146" s="112">
        <f>IF(AND(ISNUMBER(N146),ISNUMBER(R146),N(R146)&gt;0),N146/R146-1,"")</f>
        <v/>
      </c>
      <c r="T146" s="39" t="inlineStr">
        <is>
          <t>vs our blended price (market data, Mar 2026 - STALE)</t>
        </is>
      </c>
      <c r="U146" s="108" t="n">
        <v>2065761</v>
      </c>
      <c r="V146" s="108" t="n">
        <v>5</v>
      </c>
      <c r="W146" s="113">
        <f>IF(AND(ISNUMBER(N146),ISNUMBER(V146)),N146*V146*52/12,"")</f>
        <v/>
      </c>
      <c r="X146" s="114" t="n">
        <v>4.5</v>
      </c>
      <c r="Y146" s="108" t="n">
        <v>11</v>
      </c>
      <c r="Z146" s="115" t="n">
        <v>46307</v>
      </c>
      <c r="AA146" s="115" t="n">
        <v>46078</v>
      </c>
      <c r="AB146" s="105" t="inlineStr">
        <is>
          <t>FBM</t>
        </is>
      </c>
      <c r="AC146" s="105" t="inlineStr">
        <is>
          <t>N/A</t>
        </is>
      </c>
      <c r="AD146" s="108" t="n"/>
      <c r="AE146" s="108" t="n"/>
      <c r="AF146" s="116" t="n"/>
      <c r="AG146" s="116" t="n"/>
      <c r="AH146" s="39" t="n"/>
      <c r="AI146" s="116" t="n"/>
      <c r="AJ146" s="116" t="n"/>
      <c r="AK146" s="116" t="n"/>
      <c r="AL146" s="116" t="n"/>
      <c r="AM146" s="108" t="n"/>
      <c r="AN146" s="108" t="n"/>
      <c r="AO146" s="108" t="n"/>
      <c r="AP146" s="108" t="n"/>
      <c r="AQ146" s="108" t="n"/>
      <c r="AR146" s="108" t="n"/>
      <c r="AS146" s="117" t="n"/>
      <c r="AT146" s="112" t="n"/>
      <c r="AU146" s="118" t="inlineStr">
        <is>
          <t>N</t>
        </is>
      </c>
      <c r="AV146" s="118" t="inlineStr">
        <is>
          <t>none</t>
        </is>
      </c>
      <c r="AW146" s="124" t="n"/>
      <c r="AX146" s="124" t="n"/>
      <c r="AY146" s="118" t="inlineStr">
        <is>
          <t>none</t>
        </is>
      </c>
      <c r="AZ146" s="118" t="inlineStr">
        <is>
          <t>N</t>
        </is>
      </c>
      <c r="BA146" s="118" t="inlineStr">
        <is>
          <t>2026-10-13 23:36:57</t>
        </is>
      </c>
      <c r="BB146" s="120" t="inlineStr">
        <is>
          <t>Not live in 2025</t>
        </is>
      </c>
      <c r="BC146" s="125" t="n"/>
      <c r="BD146" s="124" t="n"/>
      <c r="BE146" s="124" t="n"/>
      <c r="BF146" s="110">
        <f>IF(AND(ISNUMBER(BD146),ISNUMBER(BE146),N(BD146)&gt;0),1-BE146/BD146,"")</f>
        <v/>
      </c>
      <c r="BG146" s="126" t="n"/>
      <c r="BH146" s="126" t="n"/>
      <c r="BI146" s="123">
        <f>IF(AND(ISNUMBER(BG146),ISNUMBER(BH146),N(BH146)&gt;0),BG146/BH146,"")</f>
        <v/>
      </c>
      <c r="BJ146" s="125" t="n"/>
      <c r="BK146" s="125" t="n"/>
    </row>
    <row r="147" ht="62" customHeight="1">
      <c r="A147" s="12">
        <f>_xlfn.IMAGE("https://m.media-amazon.com/images/I/61cLtklNnOL._AC_SL1486_.jpg")</f>
        <v/>
      </c>
      <c r="B147" s="105" t="inlineStr">
        <is>
          <t>TWK</t>
        </is>
      </c>
      <c r="C147" s="39" t="inlineStr">
        <is>
          <t>4 Piece Bamboo Sheet Set</t>
        </is>
      </c>
      <c r="D147" s="105" t="inlineStr">
        <is>
          <t>Poor</t>
        </is>
      </c>
      <c r="E147" s="106" t="inlineStr">
        <is>
          <t>Direct</t>
        </is>
      </c>
      <c r="F147" s="105" t="inlineStr">
        <is>
          <t>Bamboo viscose</t>
        </is>
      </c>
      <c r="G147" s="39" t="inlineStr">
        <is>
          <t>Same product (sheet set) in the same material family: Bamboo viscose (product page material: Genuine 100% Organic Viscose Derived from Bamboo); ours: our listing: viscose from bamboo.</t>
        </is>
      </c>
      <c r="H147" s="107" t="inlineStr">
        <is>
          <t>B0GW7H7RHY</t>
        </is>
      </c>
      <c r="I147" s="107" t="inlineStr">
        <is>
          <t>B0GW7H7RHY</t>
        </is>
      </c>
      <c r="J147" s="105" t="inlineStr">
        <is>
          <t>King</t>
        </is>
      </c>
      <c r="K147" s="105" t="inlineStr">
        <is>
          <t>Sand</t>
        </is>
      </c>
      <c r="L147" s="108" t="n"/>
      <c r="M147" s="39" t="inlineStr"/>
      <c r="N147" s="109" t="n">
        <v>109.99</v>
      </c>
      <c r="O147" s="109" t="n"/>
      <c r="P147" s="110">
        <f>IF(AND(ISNUMBER(O147),ISNUMBER(N147),N(N147)&gt;0),O147/N147-1,"")</f>
        <v/>
      </c>
      <c r="Q147" s="111">
        <f>IF(P147="","No List Price",IF(P147&lt;=0,"At/below price",IF(P147&lt;=0.12,"&lt;=12% STR zone",IF(P147&lt;=0.25,"12-25%","&gt;25% over"))))</f>
        <v/>
      </c>
      <c r="R147" s="109" t="n">
        <v>54.99</v>
      </c>
      <c r="S147" s="112">
        <f>IF(AND(ISNUMBER(N147),ISNUMBER(R147),N(R147)&gt;0),N147/R147-1,"")</f>
        <v/>
      </c>
      <c r="T147" s="39" t="inlineStr">
        <is>
          <t>vs our blended price (market data, Mar 2026 - STALE)</t>
        </is>
      </c>
      <c r="U147" s="108" t="n">
        <v>4355899</v>
      </c>
      <c r="V147" s="108" t="n">
        <v>5</v>
      </c>
      <c r="W147" s="113">
        <f>IF(AND(ISNUMBER(N147),ISNUMBER(V147)),N147*V147*52/12,"")</f>
        <v/>
      </c>
      <c r="X147" s="114" t="n">
        <v>4.5</v>
      </c>
      <c r="Y147" s="108" t="n">
        <v>2</v>
      </c>
      <c r="Z147" s="115" t="n">
        <v>46307</v>
      </c>
      <c r="AA147" s="115" t="n"/>
      <c r="AB147" s="105" t="n"/>
      <c r="AC147" s="105" t="n"/>
      <c r="AD147" s="108" t="n"/>
      <c r="AE147" s="108" t="n"/>
      <c r="AF147" s="116" t="n"/>
      <c r="AG147" s="116" t="n"/>
      <c r="AH147" s="39" t="n"/>
      <c r="AI147" s="116" t="n"/>
      <c r="AJ147" s="116" t="n"/>
      <c r="AK147" s="116" t="n"/>
      <c r="AL147" s="116" t="n"/>
      <c r="AM147" s="108" t="n"/>
      <c r="AN147" s="108" t="n"/>
      <c r="AO147" s="108" t="n"/>
      <c r="AP147" s="108" t="n"/>
      <c r="AQ147" s="108" t="n"/>
      <c r="AR147" s="108" t="n"/>
      <c r="AS147" s="117" t="n"/>
      <c r="AT147" s="112" t="n"/>
      <c r="AU147" s="118" t="inlineStr">
        <is>
          <t>N</t>
        </is>
      </c>
      <c r="AV147" s="118" t="inlineStr">
        <is>
          <t>none</t>
        </is>
      </c>
      <c r="AW147" s="124" t="n"/>
      <c r="AX147" s="124" t="n"/>
      <c r="AY147" s="118" t="inlineStr">
        <is>
          <t>none</t>
        </is>
      </c>
      <c r="AZ147" s="118" t="inlineStr">
        <is>
          <t>N</t>
        </is>
      </c>
      <c r="BA147" s="118" t="inlineStr">
        <is>
          <t>2026-10-13 23:37:03</t>
        </is>
      </c>
      <c r="BB147" s="120" t="inlineStr">
        <is>
          <t>Not live in 2025</t>
        </is>
      </c>
      <c r="BC147" s="125" t="n"/>
      <c r="BD147" s="124" t="n"/>
      <c r="BE147" s="124" t="n"/>
      <c r="BF147" s="110">
        <f>IF(AND(ISNUMBER(BD147),ISNUMBER(BE147),N(BD147)&gt;0),1-BE147/BD147,"")</f>
        <v/>
      </c>
      <c r="BG147" s="126" t="n"/>
      <c r="BH147" s="126" t="n"/>
      <c r="BI147" s="123">
        <f>IF(AND(ISNUMBER(BG147),ISNUMBER(BH147),N(BH147)&gt;0),BG147/BH147,"")</f>
        <v/>
      </c>
      <c r="BJ147" s="125" t="n"/>
      <c r="BK147" s="125" t="n"/>
    </row>
    <row r="148" ht="62" customHeight="1">
      <c r="A148" s="12">
        <f>_xlfn.IMAGE("https://m.media-amazon.com/images/I/619JGLN3FDL._AC_SL1080_.jpg")</f>
        <v/>
      </c>
      <c r="B148" s="105" t="inlineStr">
        <is>
          <t>Vesta</t>
        </is>
      </c>
      <c r="C148" s="39" t="inlineStr">
        <is>
          <t>Vesta Sheet Set – Soft, Breathable &amp; Cooling, 100% Viscose Derived from Bamboo,</t>
        </is>
      </c>
      <c r="D148" s="105" t="inlineStr">
        <is>
          <t>Poor</t>
        </is>
      </c>
      <c r="E148" s="106" t="inlineStr">
        <is>
          <t>Direct</t>
        </is>
      </c>
      <c r="F148" s="105" t="inlineStr">
        <is>
          <t>Bamboo viscose</t>
        </is>
      </c>
      <c r="G148" s="39" t="inlineStr">
        <is>
          <t>Same product (sheet set) in the same material family: Bamboo viscose (product page material: viscose from bamboo); ours: our listing: viscose from bamboo.</t>
        </is>
      </c>
      <c r="H148" s="107" t="inlineStr">
        <is>
          <t>B0CZRJY68B</t>
        </is>
      </c>
      <c r="I148" s="107" t="inlineStr">
        <is>
          <t>B0DM214YG3</t>
        </is>
      </c>
      <c r="J148" s="105" t="inlineStr">
        <is>
          <t>King/Cali King</t>
        </is>
      </c>
      <c r="K148" s="105" t="inlineStr">
        <is>
          <t>Terra Cotta</t>
        </is>
      </c>
      <c r="L148" s="108" t="n"/>
      <c r="M148" s="39" t="inlineStr"/>
      <c r="N148" s="109" t="n">
        <v>174.3</v>
      </c>
      <c r="O148" s="109" t="n"/>
      <c r="P148" s="110">
        <f>IF(AND(ISNUMBER(O148),ISNUMBER(N148),N(N148)&gt;0),O148/N148-1,"")</f>
        <v/>
      </c>
      <c r="Q148" s="111">
        <f>IF(P148="","No List Price",IF(P148&lt;=0,"At/below price",IF(P148&lt;=0.12,"&lt;=12% STR zone",IF(P148&lt;=0.25,"12-25%","&gt;25% over"))))</f>
        <v/>
      </c>
      <c r="R148" s="109" t="n">
        <v>54.99</v>
      </c>
      <c r="S148" s="112">
        <f>IF(AND(ISNUMBER(N148),ISNUMBER(R148),N(R148)&gt;0),N148/R148-1,"")</f>
        <v/>
      </c>
      <c r="T148" s="39" t="inlineStr">
        <is>
          <t>vs our blended price (market data, Mar 2026 - STALE)</t>
        </is>
      </c>
      <c r="U148" s="108" t="n">
        <v>591414</v>
      </c>
      <c r="V148" s="108" t="n">
        <v>5</v>
      </c>
      <c r="W148" s="113">
        <f>IF(AND(ISNUMBER(N148),ISNUMBER(V148)),N148*V148*52/12,"")</f>
        <v/>
      </c>
      <c r="X148" s="114" t="n">
        <v>4.3</v>
      </c>
      <c r="Y148" s="108" t="n">
        <v>35</v>
      </c>
      <c r="Z148" s="115" t="n">
        <v>46307</v>
      </c>
      <c r="AA148" s="115" t="n"/>
      <c r="AB148" s="105" t="n"/>
      <c r="AC148" s="105" t="n"/>
      <c r="AD148" s="108" t="n"/>
      <c r="AE148" s="108" t="n"/>
      <c r="AF148" s="116" t="n"/>
      <c r="AG148" s="116" t="n"/>
      <c r="AH148" s="39" t="n"/>
      <c r="AI148" s="116" t="n"/>
      <c r="AJ148" s="116" t="n"/>
      <c r="AK148" s="116" t="n"/>
      <c r="AL148" s="116" t="n"/>
      <c r="AM148" s="108" t="n"/>
      <c r="AN148" s="108" t="n"/>
      <c r="AO148" s="108" t="n"/>
      <c r="AP148" s="108" t="n"/>
      <c r="AQ148" s="108" t="n"/>
      <c r="AR148" s="108" t="n"/>
      <c r="AS148" s="117" t="n"/>
      <c r="AT148" s="112" t="n"/>
      <c r="AU148" s="118" t="inlineStr">
        <is>
          <t>N</t>
        </is>
      </c>
      <c r="AV148" s="118" t="inlineStr">
        <is>
          <t>none</t>
        </is>
      </c>
      <c r="AW148" s="124" t="n"/>
      <c r="AX148" s="119" t="n">
        <v>174.3</v>
      </c>
      <c r="AY148" s="118" t="inlineStr">
        <is>
          <t>none</t>
        </is>
      </c>
      <c r="AZ148" s="118" t="inlineStr">
        <is>
          <t>Y</t>
        </is>
      </c>
      <c r="BA148" s="118" t="inlineStr">
        <is>
          <t>2026-10-13 23:37:06</t>
        </is>
      </c>
      <c r="BB148" s="120" t="inlineStr">
        <is>
          <t>None</t>
        </is>
      </c>
      <c r="BC148" s="125" t="n"/>
      <c r="BD148" s="121" t="n">
        <v>174.3</v>
      </c>
      <c r="BE148" s="121" t="n">
        <v>174.3</v>
      </c>
      <c r="BF148" s="110">
        <f>IF(AND(ISNUMBER(BD148),ISNUMBER(BE148),N(BD148)&gt;0),1-BE148/BD148,"")</f>
        <v/>
      </c>
      <c r="BG148" s="122" t="n">
        <v>1047082</v>
      </c>
      <c r="BH148" s="122" t="n">
        <v>909398</v>
      </c>
      <c r="BI148" s="123">
        <f>IF(AND(ISNUMBER(BG148),ISNUMBER(BH148),N(BH148)&gt;0),BG148/BH148,"")</f>
        <v/>
      </c>
      <c r="BJ148" s="120" t="inlineStr">
        <is>
          <t>N</t>
        </is>
      </c>
      <c r="BK148" s="120" t="inlineStr">
        <is>
          <t>List Price $174.30</t>
        </is>
      </c>
    </row>
    <row r="149" ht="62" customHeight="1">
      <c r="A149" s="12">
        <f>_xlfn.IMAGE("https://images-na.ssl-images-amazon.com/images/I/81fSDKgL-SL.jpg")</f>
        <v/>
      </c>
      <c r="B149" s="105" t="inlineStr">
        <is>
          <t>ACCURATEX</t>
        </is>
      </c>
      <c r="C149" s="39" t="inlineStr">
        <is>
          <t>ACCURATEX Cooling Sheets for Hot Sleepers, King Size, Grey</t>
        </is>
      </c>
      <c r="D149" s="105" t="inlineStr">
        <is>
          <t>Poor</t>
        </is>
      </c>
      <c r="E149" s="127" t="inlineStr">
        <is>
          <t>Material not verified</t>
        </is>
      </c>
      <c r="F149" s="105" t="n"/>
      <c r="G149" s="39" t="inlineStr">
        <is>
          <t>Sheet set like ours, but the material is not stated (material not stated on the page or in the title); verify before treating as direct.</t>
        </is>
      </c>
      <c r="H149" s="107" t="inlineStr">
        <is>
          <t>B0GMGSMLQ1</t>
        </is>
      </c>
      <c r="I149" s="107" t="inlineStr">
        <is>
          <t>B09PYB9C45</t>
        </is>
      </c>
      <c r="J149" s="105" t="inlineStr">
        <is>
          <t>King</t>
        </is>
      </c>
      <c r="K149" s="105" t="inlineStr">
        <is>
          <t>Grey</t>
        </is>
      </c>
      <c r="L149" s="108" t="n">
        <v>51</v>
      </c>
      <c r="M149" s="39" t="inlineStr"/>
      <c r="N149" s="109" t="n">
        <v>69.98999999999999</v>
      </c>
      <c r="O149" s="109" t="n"/>
      <c r="P149" s="110">
        <f>IF(AND(ISNUMBER(O149),ISNUMBER(N149),N(N149)&gt;0),O149/N149-1,"")</f>
        <v/>
      </c>
      <c r="Q149" s="111">
        <f>IF(P149="","No List Price",IF(P149&lt;=0,"At/below price",IF(P149&lt;=0.12,"&lt;=12% STR zone",IF(P149&lt;=0.25,"12-25%","&gt;25% over"))))</f>
        <v/>
      </c>
      <c r="R149" s="109" t="n">
        <v>54.99</v>
      </c>
      <c r="S149" s="112">
        <f>IF(AND(ISNUMBER(N149),ISNUMBER(R149),N(R149)&gt;0),N149/R149-1,"")</f>
        <v/>
      </c>
      <c r="T149" s="39" t="inlineStr">
        <is>
          <t>vs our blended price (market data, Mar 2026 - STALE)</t>
        </is>
      </c>
      <c r="U149" s="108" t="n">
        <v>33423</v>
      </c>
      <c r="V149" s="108" t="n">
        <v>35</v>
      </c>
      <c r="W149" s="113">
        <f>IF(AND(ISNUMBER(N149),ISNUMBER(V149)),N149*V149*52/12,"")</f>
        <v/>
      </c>
      <c r="X149" s="114" t="n">
        <v>4.4</v>
      </c>
      <c r="Y149" s="108" t="n">
        <v>1040</v>
      </c>
      <c r="Z149" s="115" t="n">
        <v>46307</v>
      </c>
      <c r="AA149" s="115" t="n">
        <v>44681</v>
      </c>
      <c r="AB149" s="105" t="inlineStr">
        <is>
          <t>FBA</t>
        </is>
      </c>
      <c r="AC149" s="105" t="inlineStr">
        <is>
          <t>CN</t>
        </is>
      </c>
      <c r="AD149" s="108" t="n"/>
      <c r="AE149" s="108" t="n"/>
      <c r="AF149" s="116" t="n"/>
      <c r="AG149" s="116" t="n"/>
      <c r="AH149" s="39" t="n"/>
      <c r="AI149" s="116" t="n"/>
      <c r="AJ149" s="116" t="n"/>
      <c r="AK149" s="116" t="n"/>
      <c r="AL149" s="116" t="n"/>
      <c r="AM149" s="108" t="n"/>
      <c r="AN149" s="108" t="n"/>
      <c r="AO149" s="108" t="n"/>
      <c r="AP149" s="108" t="n"/>
      <c r="AQ149" s="108" t="n"/>
      <c r="AR149" s="108" t="n"/>
      <c r="AS149" s="117" t="n"/>
      <c r="AT149" s="112" t="n"/>
      <c r="AU149" s="118" t="inlineStr">
        <is>
          <t>N</t>
        </is>
      </c>
      <c r="AV149" s="118" t="inlineStr">
        <is>
          <t>none</t>
        </is>
      </c>
      <c r="AW149" s="124" t="n"/>
      <c r="AX149" s="119" t="n">
        <v>69.98999999999999</v>
      </c>
      <c r="AY149" s="118" t="inlineStr">
        <is>
          <t>none</t>
        </is>
      </c>
      <c r="AZ149" s="118" t="inlineStr">
        <is>
          <t>Y</t>
        </is>
      </c>
      <c r="BA149" s="118" t="inlineStr">
        <is>
          <t>2026-10-13 23:35:28</t>
        </is>
      </c>
      <c r="BB149" s="120" t="inlineStr">
        <is>
          <t>Prime Exclusive Discount</t>
        </is>
      </c>
      <c r="BC149" s="120" t="inlineStr">
        <is>
          <t>11-26 to 12-01</t>
        </is>
      </c>
      <c r="BD149" s="121" t="n">
        <v>59.49</v>
      </c>
      <c r="BE149" s="121" t="n">
        <v>59.49</v>
      </c>
      <c r="BF149" s="110">
        <f>IF(AND(ISNUMBER(BD149),ISNUMBER(BE149),N(BD149)&gt;0),1-BE149/BD149,"")</f>
        <v/>
      </c>
      <c r="BG149" s="122" t="n">
        <v>33899</v>
      </c>
      <c r="BH149" s="122" t="n">
        <v>51988</v>
      </c>
      <c r="BI149" s="123">
        <f>IF(AND(ISNUMBER(BG149),ISNUMBER(BH149),N(BH149)&gt;0),BG149/BH149,"")</f>
        <v/>
      </c>
      <c r="BJ149" s="120" t="inlineStr">
        <is>
          <t>N</t>
        </is>
      </c>
      <c r="BK149" s="120" t="inlineStr">
        <is>
          <t>Lightning Deal 11-13 to 11-13; Buy Box RAISED in BFCM week (median $74.99 vs $69.99 before); List Price $74.99</t>
        </is>
      </c>
    </row>
    <row r="150"/>
    <row r="151" ht="22" customHeight="1">
      <c r="A151" s="65" t="inlineStr">
        <is>
          <t>5 ▼</t>
        </is>
      </c>
      <c r="B151" s="66" t="inlineStr">
        <is>
          <t>WHAT THIS MEANS FOR BFCM</t>
        </is>
      </c>
      <c r="C151" s="67" t="n"/>
      <c r="D151" s="67" t="n"/>
      <c r="E151" s="67" t="n"/>
      <c r="F151" s="67" t="n"/>
      <c r="G151" s="67" t="n"/>
      <c r="H151" s="67" t="n"/>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c r="AC151" s="67" t="n"/>
      <c r="AD151" s="67" t="n"/>
      <c r="AE151" s="67" t="n"/>
      <c r="AF151" s="67" t="n"/>
      <c r="AG151" s="67" t="n"/>
      <c r="AH151" s="67" t="n"/>
      <c r="AI151" s="67" t="n"/>
      <c r="AJ151" s="67" t="n"/>
      <c r="AK151" s="67" t="n"/>
      <c r="AL151" s="67" t="n"/>
      <c r="AM151" s="67" t="n"/>
      <c r="AN151" s="67" t="n"/>
      <c r="AO151" s="67" t="n"/>
      <c r="AP151" s="67" t="n"/>
      <c r="AQ151" s="67" t="n"/>
      <c r="AR151" s="67" t="n"/>
      <c r="AS151" s="67" t="n"/>
      <c r="AT151" s="67" t="n"/>
      <c r="AU151" s="67" t="n"/>
      <c r="AV151" s="67" t="n"/>
      <c r="AW151" s="67" t="n"/>
      <c r="AX151" s="67" t="n"/>
      <c r="AY151" s="67" t="n"/>
      <c r="AZ151" s="67" t="n"/>
      <c r="BA151" s="67" t="n"/>
      <c r="BB151" s="67" t="n"/>
      <c r="BC151" s="67" t="n"/>
      <c r="BD151" s="67" t="n"/>
      <c r="BE151" s="67" t="n"/>
      <c r="BF151" s="67" t="n"/>
      <c r="BG151" s="67" t="n"/>
      <c r="BH151" s="67" t="n"/>
      <c r="BI151" s="67" t="n"/>
      <c r="BJ151" s="67" t="n"/>
      <c r="BK151" s="67" t="n"/>
    </row>
    <row r="152" ht="30" customHeight="1">
      <c r="A152" s="129" t="inlineStr">
        <is>
          <t>• Who sells most: Pure Bamboo ~809/wk at $109.99; Hotel Sheets Direct ~347/wk at $79.99; KRIMANO ~185/wk at $79.99; Bambaw ~104/wk at $89.99; Bedsure ~104/wk at $89.99 (List $119.99, +33%). Tracked rivals ~2,399 units/wk; we sell ~0/wk (0.0% of the tracked set).</t>
        </is>
      </c>
    </row>
    <row r="153" ht="18" customHeight="1">
      <c r="A153" s="129" t="inlineStr">
        <is>
          <t>• Strikethrough: 7 of 28 rivals set a List Price above price; 1 within 12%: AiAngu +7%.</t>
        </is>
      </c>
    </row>
    <row r="154" ht="18" customHeight="1">
      <c r="A154" s="129" t="inlineStr">
        <is>
          <t>• Price: 4 of 28 rivals sit below our price today (same size where the title states one). Cheapest strong rivals:.</t>
        </is>
      </c>
    </row>
    <row r="155" ht="30" customHeight="1">
      <c r="A155" s="129" t="inlineStr">
        <is>
          <t>• Strikethrough on the page today (Oct 13 check): 8 of 28 checked rivals show one: Bedsure List Price $119.99 vs $89.99 (+33%), BAMPURE List Price $99.99 vs $67.98 (+47%) with deal, AiAngu List Price $79.99 vs $74.99 (+7%), Cariloha List Price $119.00 vs $107.10 (+11%), DREAMCARE List Price $59.99 vs $46.74 (+28%) with deal, HOT SLEEPER SHEETS Typical price $62.99 vs $51.29 (+23%) with deal.</t>
        </is>
      </c>
    </row>
    <row r="156" ht="30" customHeight="1">
      <c r="A156" s="129" t="inlineStr">
        <is>
          <t>• Search: we lose most shared keywords to Pure Bamboo (we win 6, lose 470), Bedsure (we win 20, lose 432), BC BELLA COTERIE (we win 41, lose 420). Biggest ad gaps (they advertise where we don't or harder): Pure Bamboo 3,769 + 12 KWs, Bedsure 2,426 + 25 KWs, BC BELLA COTERIE 2,425 + 15 KWs.</t>
        </is>
      </c>
    </row>
    <row r="157" ht="30" customHeight="1">
      <c r="A157" s="129" t="inlineStr">
        <is>
          <t>• Brand ads: Pure Bamboo (SB 82%, SBV 88%), Bedsure (SB 98%, SBV 53%), BC BELLA COTERIE (SB 57%, SBV 56%) hold Sponsored Brands / video on most of their traffic - the plan has our SB, SBV and display live by Nov 1.</t>
        </is>
      </c>
    </row>
    <row r="158" ht="30" customHeight="1">
      <c r="A158" s="129" t="inlineStr">
        <is>
          <t>• BFCM 2025, 25 rivals with price history history: Prime Exclusive Discount 13, None 7, Price cut only 4, Coupon only 1. Median depth vs their Nov 1-19 price 15%; median BSR lift 1.18x. 6 raised their Buy Box in BFCM week, so their deal looked deeper than it was.</t>
        </is>
      </c>
    </row>
  </sheetData>
  <autoFilter ref="B121:BK149"/>
  <mergeCells count="61">
    <mergeCell ref="AA120:AC120"/>
    <mergeCell ref="A157:BK157"/>
    <mergeCell ref="L5:Q5"/>
    <mergeCell ref="Q11:T11"/>
    <mergeCell ref="L8:Q8"/>
    <mergeCell ref="A105:C105"/>
    <mergeCell ref="L4:Q4"/>
    <mergeCell ref="D7:I7"/>
    <mergeCell ref="A13:D13"/>
    <mergeCell ref="A104:C104"/>
    <mergeCell ref="I13:L13"/>
    <mergeCell ref="A153:BK153"/>
    <mergeCell ref="BB120:BK120"/>
    <mergeCell ref="D4:I4"/>
    <mergeCell ref="L10:Q10"/>
    <mergeCell ref="E12:H12"/>
    <mergeCell ref="Q13:T13"/>
    <mergeCell ref="D9:I9"/>
    <mergeCell ref="U12:X12"/>
    <mergeCell ref="L9:Q9"/>
    <mergeCell ref="Q12:T12"/>
    <mergeCell ref="A106:C106"/>
    <mergeCell ref="A11:D11"/>
    <mergeCell ref="A109:C109"/>
    <mergeCell ref="A158:BK158"/>
    <mergeCell ref="I11:L11"/>
    <mergeCell ref="D8:I8"/>
    <mergeCell ref="L6:Q6"/>
    <mergeCell ref="A4:B9"/>
    <mergeCell ref="A120:K120"/>
    <mergeCell ref="T6:Y6"/>
    <mergeCell ref="A154:BK154"/>
    <mergeCell ref="A113:BK113"/>
    <mergeCell ref="D5:I5"/>
    <mergeCell ref="AU120:BA120"/>
    <mergeCell ref="M11:P11"/>
    <mergeCell ref="U11:X11"/>
    <mergeCell ref="AD120:AT120"/>
    <mergeCell ref="E13:H13"/>
    <mergeCell ref="D10:I10"/>
    <mergeCell ref="L7:Q7"/>
    <mergeCell ref="T5:Y5"/>
    <mergeCell ref="A107:C107"/>
    <mergeCell ref="J2:BK2"/>
    <mergeCell ref="A156:BK156"/>
    <mergeCell ref="A12:D12"/>
    <mergeCell ref="M13:P13"/>
    <mergeCell ref="A110:C110"/>
    <mergeCell ref="A152:BK152"/>
    <mergeCell ref="I12:L12"/>
    <mergeCell ref="U13:X13"/>
    <mergeCell ref="A112:BK112"/>
    <mergeCell ref="A115:BK115"/>
    <mergeCell ref="A155:BK155"/>
    <mergeCell ref="M12:P12"/>
    <mergeCell ref="T4:Y4"/>
    <mergeCell ref="N120:Z120"/>
    <mergeCell ref="D6:I6"/>
    <mergeCell ref="A111:BK111"/>
    <mergeCell ref="E11:H11"/>
    <mergeCell ref="A114:BK114"/>
  </mergeCells>
  <conditionalFormatting sqref="Q122:Q149">
    <cfRule type="expression" priority="1" dxfId="1">
      <formula>Q122="&lt;=12% STR zone"</formula>
    </cfRule>
  </conditionalFormatting>
  <conditionalFormatting sqref="Z122:Z149">
    <cfRule type="expression" priority="2" dxfId="0">
      <formula>AND(ISNUMBER(Z122),Z122&lt;DATE(2026,10,6))</formula>
    </cfRule>
  </conditionalFormatting>
  <conditionalFormatting sqref="T122:T149">
    <cfRule type="expression" priority="3" dxfId="0">
      <formula>ISNUMBER(SEARCH("STALE",T122))</formula>
    </cfRule>
  </conditionalFormatting>
  <conditionalFormatting sqref="S122:S149">
    <cfRule type="expression" priority="4" dxfId="0">
      <formula>AND(ISNUMBER(S122),S122&lt;0)</formula>
    </cfRule>
  </conditionalFormatting>
  <dataValidations count="3">
    <dataValidation sqref="AU122:AU149 BJ122:BJ149" showDropDown="0" showInputMessage="0" showErrorMessage="0" allowBlank="1" type="list">
      <formula1>"Y,N"</formula1>
    </dataValidation>
    <dataValidation sqref="AV122:AV149" showDropDown="0" showInputMessage="0" showErrorMessage="0" allowBlank="1" type="list">
      <formula1>"List Price,Typical price,Was price,None"</formula1>
    </dataValidation>
    <dataValidation sqref="BB122:BB149"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B4'!A3" display="1 Our product ↓"/>
    <hyperlink ref="D2" location="'US SL B4'!A15" display="2 Our variations ↓"/>
    <hyperlink ref="E2" location="'US SL B4'!A103" display="3 Our BFCM 2025 ↓"/>
    <hyperlink ref="F2" location="'US SL B4'!A118" display="4 COMPETITORS (28 mapped) ↓"/>
    <hyperlink ref="G2" location="'US SL B4'!A151" display="5 What it means ↓"/>
    <hyperlink xmlns:r="http://schemas.openxmlformats.org/officeDocument/2006/relationships" ref="H122" r:id="rId1"/>
    <hyperlink xmlns:r="http://schemas.openxmlformats.org/officeDocument/2006/relationships" ref="I122" r:id="rId2"/>
    <hyperlink xmlns:r="http://schemas.openxmlformats.org/officeDocument/2006/relationships" ref="H123" r:id="rId3"/>
    <hyperlink xmlns:r="http://schemas.openxmlformats.org/officeDocument/2006/relationships" ref="I123" r:id="rId4"/>
    <hyperlink xmlns:r="http://schemas.openxmlformats.org/officeDocument/2006/relationships" ref="H124" r:id="rId5"/>
    <hyperlink xmlns:r="http://schemas.openxmlformats.org/officeDocument/2006/relationships" ref="I124" r:id="rId6"/>
    <hyperlink xmlns:r="http://schemas.openxmlformats.org/officeDocument/2006/relationships" ref="H125" r:id="rId7"/>
    <hyperlink xmlns:r="http://schemas.openxmlformats.org/officeDocument/2006/relationships" ref="I125" r:id="rId8"/>
    <hyperlink xmlns:r="http://schemas.openxmlformats.org/officeDocument/2006/relationships" ref="H126" r:id="rId9"/>
    <hyperlink xmlns:r="http://schemas.openxmlformats.org/officeDocument/2006/relationships" ref="I126" r:id="rId10"/>
    <hyperlink xmlns:r="http://schemas.openxmlformats.org/officeDocument/2006/relationships" ref="H127" r:id="rId11"/>
    <hyperlink xmlns:r="http://schemas.openxmlformats.org/officeDocument/2006/relationships" ref="I127" r:id="rId12"/>
    <hyperlink xmlns:r="http://schemas.openxmlformats.org/officeDocument/2006/relationships" ref="H128" r:id="rId13"/>
    <hyperlink xmlns:r="http://schemas.openxmlformats.org/officeDocument/2006/relationships" ref="I128" r:id="rId14"/>
    <hyperlink xmlns:r="http://schemas.openxmlformats.org/officeDocument/2006/relationships" ref="H129" r:id="rId15"/>
    <hyperlink xmlns:r="http://schemas.openxmlformats.org/officeDocument/2006/relationships" ref="I129" r:id="rId16"/>
    <hyperlink xmlns:r="http://schemas.openxmlformats.org/officeDocument/2006/relationships" ref="H130" r:id="rId17"/>
    <hyperlink xmlns:r="http://schemas.openxmlformats.org/officeDocument/2006/relationships" ref="I130" r:id="rId18"/>
    <hyperlink xmlns:r="http://schemas.openxmlformats.org/officeDocument/2006/relationships" ref="H131" r:id="rId19"/>
    <hyperlink xmlns:r="http://schemas.openxmlformats.org/officeDocument/2006/relationships" ref="I131" r:id="rId20"/>
    <hyperlink xmlns:r="http://schemas.openxmlformats.org/officeDocument/2006/relationships" ref="H132" r:id="rId21"/>
    <hyperlink xmlns:r="http://schemas.openxmlformats.org/officeDocument/2006/relationships" ref="I132" r:id="rId22"/>
    <hyperlink xmlns:r="http://schemas.openxmlformats.org/officeDocument/2006/relationships" ref="H133" r:id="rId23"/>
    <hyperlink xmlns:r="http://schemas.openxmlformats.org/officeDocument/2006/relationships" ref="I133" r:id="rId24"/>
    <hyperlink xmlns:r="http://schemas.openxmlformats.org/officeDocument/2006/relationships" ref="H134" r:id="rId25"/>
    <hyperlink xmlns:r="http://schemas.openxmlformats.org/officeDocument/2006/relationships" ref="I134" r:id="rId26"/>
    <hyperlink xmlns:r="http://schemas.openxmlformats.org/officeDocument/2006/relationships" ref="H135" r:id="rId27"/>
    <hyperlink xmlns:r="http://schemas.openxmlformats.org/officeDocument/2006/relationships" ref="I135" r:id="rId28"/>
    <hyperlink xmlns:r="http://schemas.openxmlformats.org/officeDocument/2006/relationships" ref="H136" r:id="rId29"/>
    <hyperlink xmlns:r="http://schemas.openxmlformats.org/officeDocument/2006/relationships" ref="I136" r:id="rId30"/>
    <hyperlink xmlns:r="http://schemas.openxmlformats.org/officeDocument/2006/relationships" ref="H137" r:id="rId31"/>
    <hyperlink xmlns:r="http://schemas.openxmlformats.org/officeDocument/2006/relationships" ref="I137" r:id="rId32"/>
    <hyperlink xmlns:r="http://schemas.openxmlformats.org/officeDocument/2006/relationships" ref="H138" r:id="rId33"/>
    <hyperlink xmlns:r="http://schemas.openxmlformats.org/officeDocument/2006/relationships" ref="I138" r:id="rId34"/>
    <hyperlink xmlns:r="http://schemas.openxmlformats.org/officeDocument/2006/relationships" ref="H139" r:id="rId35"/>
    <hyperlink xmlns:r="http://schemas.openxmlformats.org/officeDocument/2006/relationships" ref="I139" r:id="rId36"/>
    <hyperlink xmlns:r="http://schemas.openxmlformats.org/officeDocument/2006/relationships" ref="H140" r:id="rId37"/>
    <hyperlink xmlns:r="http://schemas.openxmlformats.org/officeDocument/2006/relationships" ref="I140" r:id="rId38"/>
    <hyperlink xmlns:r="http://schemas.openxmlformats.org/officeDocument/2006/relationships" ref="H141" r:id="rId39"/>
    <hyperlink xmlns:r="http://schemas.openxmlformats.org/officeDocument/2006/relationships" ref="I141" r:id="rId40"/>
    <hyperlink xmlns:r="http://schemas.openxmlformats.org/officeDocument/2006/relationships" ref="H142" r:id="rId41"/>
    <hyperlink xmlns:r="http://schemas.openxmlformats.org/officeDocument/2006/relationships" ref="I142" r:id="rId42"/>
    <hyperlink xmlns:r="http://schemas.openxmlformats.org/officeDocument/2006/relationships" ref="H143" r:id="rId43"/>
    <hyperlink xmlns:r="http://schemas.openxmlformats.org/officeDocument/2006/relationships" ref="I143" r:id="rId44"/>
    <hyperlink xmlns:r="http://schemas.openxmlformats.org/officeDocument/2006/relationships" ref="H144" r:id="rId45"/>
    <hyperlink xmlns:r="http://schemas.openxmlformats.org/officeDocument/2006/relationships" ref="I144" r:id="rId46"/>
    <hyperlink xmlns:r="http://schemas.openxmlformats.org/officeDocument/2006/relationships" ref="H145" r:id="rId47"/>
    <hyperlink xmlns:r="http://schemas.openxmlformats.org/officeDocument/2006/relationships" ref="I145" r:id="rId48"/>
    <hyperlink xmlns:r="http://schemas.openxmlformats.org/officeDocument/2006/relationships" ref="H146" r:id="rId49"/>
    <hyperlink xmlns:r="http://schemas.openxmlformats.org/officeDocument/2006/relationships" ref="I146" r:id="rId50"/>
    <hyperlink xmlns:r="http://schemas.openxmlformats.org/officeDocument/2006/relationships" ref="H147" r:id="rId51"/>
    <hyperlink xmlns:r="http://schemas.openxmlformats.org/officeDocument/2006/relationships" ref="I147" r:id="rId52"/>
    <hyperlink xmlns:r="http://schemas.openxmlformats.org/officeDocument/2006/relationships" ref="H148" r:id="rId53"/>
    <hyperlink xmlns:r="http://schemas.openxmlformats.org/officeDocument/2006/relationships" ref="I148" r:id="rId54"/>
    <hyperlink xmlns:r="http://schemas.openxmlformats.org/officeDocument/2006/relationships" ref="H149" r:id="rId55"/>
    <hyperlink xmlns:r="http://schemas.openxmlformats.org/officeDocument/2006/relationships" ref="I149" r:id="rId56"/>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9DC3E6"/>
    <outlinePr summaryBelow="1" summaryRight="1"/>
    <pageSetUpPr/>
  </sheetPr>
  <dimension ref="A1:BK7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Bamboo Fitted Sheet · Amazon.com (US) · Bamboo · BFCM role: Excluded (ranking variations OOS to Dec 3)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_xlfn.IMAGE("https://m.media-amazon.com/images/I/81pO8+MuzxL._AC_SL1500_.jpg")</f>
        <v/>
      </c>
      <c r="C4" s="13" t="inlineStr">
        <is>
          <t>Title</t>
        </is>
      </c>
      <c r="D4" s="14" t="inlineStr">
        <is>
          <t>DECOLURE 100% Viscose Derived from Bamboo Fitted Sheet | King Size Fitted Sheet Only | Ultra Soft Cooling Sheets for Hot Sleepers, 17" Deep Pocket w/Corner Straps, Breathable, Oeko-Tex (Burgundy)</t>
        </is>
      </c>
      <c r="K4" s="13" t="inlineStr">
        <is>
          <t>Sizes</t>
        </is>
      </c>
      <c r="L4" s="68" t="inlineStr">
        <is>
          <t>King, Queen</t>
        </is>
      </c>
      <c r="S4" s="13" t="inlineStr">
        <is>
          <t>Break-even ACoS</t>
        </is>
      </c>
      <c r="T4" s="68" t="inlineStr">
        <is>
          <t>n/a</t>
        </is>
      </c>
    </row>
    <row r="5" ht="22" customHeight="1">
      <c r="C5" s="13" t="inlineStr">
        <is>
          <t>Brand</t>
        </is>
      </c>
      <c r="D5" s="68" t="inlineStr">
        <is>
          <t>Decolure</t>
        </is>
      </c>
      <c r="K5" s="13" t="inlineStr">
        <is>
          <t>Colours</t>
        </is>
      </c>
      <c r="L5" s="68" t="inlineStr">
        <is>
          <t>Black, Burgundy, Creme, Grey, Light Blue, Light Grey, Mid Grey, Navy-Blue, Olive, Taupe, White</t>
        </is>
      </c>
      <c r="S5" s="13" t="inlineStr">
        <is>
          <t>Units last 28 days</t>
        </is>
      </c>
      <c r="T5" s="68" t="inlineStr">
        <is>
          <t>102</t>
        </is>
      </c>
    </row>
    <row r="6" ht="22" customHeight="1">
      <c r="C6" s="13" t="inlineStr">
        <is>
          <t>Marketplace</t>
        </is>
      </c>
      <c r="D6" s="68" t="inlineStr">
        <is>
          <t>Amazon.com (US)</t>
        </is>
      </c>
      <c r="K6" s="13" t="inlineStr">
        <is>
          <t>Price now, best child</t>
        </is>
      </c>
      <c r="L6" s="68" t="inlineStr">
        <is>
          <t>$39.95 (catalog price, 2026-10-13)</t>
        </is>
      </c>
      <c r="S6" s="13" t="inlineStr">
        <is>
          <t>market data product ASIN</t>
        </is>
      </c>
      <c r="T6" s="68" t="inlineStr">
        <is>
          <t>B0FX2T8CG8 (one of our child ASINs, not the Amazon parent)</t>
        </is>
      </c>
    </row>
    <row r="7" ht="22" customHeight="1">
      <c r="C7" s="13" t="inlineStr">
        <is>
          <t>Parent ASIN (Amazon)</t>
        </is>
      </c>
      <c r="D7" s="68" t="inlineStr">
        <is>
          <t>B0H8596KK1</t>
        </is>
      </c>
      <c r="K7" s="13" t="inlineStr">
        <is>
          <t>Rating / reviews now</t>
        </is>
      </c>
      <c r="L7" s="68" t="inlineStr">
        <is>
          <t>4.5 / 371 (catalog price, 2026-10-13)</t>
        </is>
      </c>
    </row>
    <row r="8" ht="22" customHeight="1">
      <c r="C8" s="13" t="inlineStr">
        <is>
          <t>Best-selling child ASIN</t>
        </is>
      </c>
      <c r="D8" s="68" t="inlineStr">
        <is>
          <t>B0FX2RGLBW</t>
        </is>
      </c>
      <c r="K8" s="13" t="inlineStr">
        <is>
          <t>Live prices held</t>
        </is>
      </c>
      <c r="L8" s="68" t="inlineStr">
        <is>
          <t>19 of 22 variations</t>
        </is>
      </c>
    </row>
    <row r="9" ht="22" customHeight="1">
      <c r="C9" s="13" t="inlineStr">
        <is>
          <t>Stage</t>
        </is>
      </c>
      <c r="D9" s="68" t="inlineStr">
        <is>
          <t>Launch</t>
        </is>
      </c>
      <c r="K9" s="13" t="inlineStr">
        <is>
          <t>Blended price (market data)</t>
        </is>
      </c>
      <c r="L9" s="68" t="n"/>
    </row>
    <row r="10">
      <c r="C10" s="13" t="inlineStr">
        <is>
          <t>Total variations (SKUs)</t>
        </is>
      </c>
      <c r="D10" s="68" t="n">
        <v>22</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15</t>
        </is>
      </c>
      <c r="Q12" s="70" t="inlineStr">
        <is>
          <t>1</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(22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_xlfn.IMAGE("https://m.media-amazon.com/images/I/81LH6Jpy50L.jpg")</f>
        <v/>
      </c>
      <c r="B18" s="39" t="inlineStr">
        <is>
          <t>B0FX2SC2Z6</t>
        </is>
      </c>
      <c r="C18" s="39" t="inlineStr">
        <is>
          <t>DC-BAMBOO-FITTED-KING-GREY-1PC</t>
        </is>
      </c>
      <c r="D18" s="39" t="inlineStr">
        <is>
          <t>DECOLURE 100% Viscose Derived from Bamboo Fitted Sheet | King Size Fitted Sheet Only | Ultra Soft Cooling Sheets for Hot Sleepers, 17" Deep Pocket w/Corner Straps, Breathable, Oeko-Tex (Grey)</t>
        </is>
      </c>
      <c r="E18" s="39" t="inlineStr">
        <is>
          <t>King</t>
        </is>
      </c>
      <c r="F18" s="39" t="inlineStr">
        <is>
          <t>Grey</t>
        </is>
      </c>
      <c r="G18" s="73" t="n">
        <v>39.95</v>
      </c>
      <c r="H18" s="39" t="inlineStr">
        <is>
          <t>catalog price, 2026-10-13</t>
        </is>
      </c>
      <c r="I18" s="40" t="n"/>
      <c r="J18" s="39" t="n"/>
      <c r="K18" s="40" t="n"/>
      <c r="L18" s="76" t="n"/>
      <c r="M18" s="77" t="n">
        <v>14</v>
      </c>
      <c r="N18" s="39" t="inlineStr">
        <is>
          <t>Active</t>
        </is>
      </c>
      <c r="O18" s="39" t="inlineStr">
        <is>
          <t>Yes (48%)</t>
        </is>
      </c>
      <c r="P18" s="78" t="n">
        <v>4.5</v>
      </c>
      <c r="Q18" s="77" t="n">
        <v>371</v>
      </c>
      <c r="R18" s="77" t="n">
        <v>199085</v>
      </c>
      <c r="S18" s="77" t="n">
        <v>30</v>
      </c>
      <c r="T18" s="39" t="n"/>
    </row>
    <row r="19" ht="62" customHeight="1">
      <c r="A19" s="12">
        <f>_xlfn.IMAGE("https://m.media-amazon.com/images/I/81pO8+MuzxL.jpg")</f>
        <v/>
      </c>
      <c r="B19" s="39" t="inlineStr">
        <is>
          <t>B0FX2RGLBW</t>
        </is>
      </c>
      <c r="C19" s="39" t="inlineStr">
        <is>
          <t>DC-BAMBOO-FITTED-KING-BURGUNDY-1PC</t>
        </is>
      </c>
      <c r="D19" s="39" t="inlineStr">
        <is>
          <t>DECOLURE 100% Viscose Derived from Bamboo Fitted Sheet | King Size Fitted Sheet Only | Ultra Soft Cooling Sheets for Hot Sleepers, 17" Deep Pocket w/Corner Straps, Breathable, Oeko-Tex (Burgundy)</t>
        </is>
      </c>
      <c r="E19" s="39" t="inlineStr">
        <is>
          <t>King</t>
        </is>
      </c>
      <c r="F19" s="39" t="inlineStr">
        <is>
          <t>Burgundy</t>
        </is>
      </c>
      <c r="G19" s="73" t="n">
        <v>39.95</v>
      </c>
      <c r="H19" s="39" t="inlineStr">
        <is>
          <t>catalog price, 2026-10-13</t>
        </is>
      </c>
      <c r="I19" s="40" t="n"/>
      <c r="J19" s="39" t="n"/>
      <c r="K19" s="40" t="n"/>
      <c r="L19" s="76" t="n"/>
      <c r="M19" s="77" t="n">
        <v>10</v>
      </c>
      <c r="N19" s="39" t="inlineStr">
        <is>
          <t>Active</t>
        </is>
      </c>
      <c r="O19" s="39" t="n"/>
      <c r="P19" s="78" t="n">
        <v>4.5</v>
      </c>
      <c r="Q19" s="77" t="n">
        <v>371</v>
      </c>
      <c r="R19" s="77" t="n">
        <v>199088</v>
      </c>
      <c r="S19" s="77" t="n">
        <v>1</v>
      </c>
      <c r="T19" s="39" t="n"/>
    </row>
    <row r="20" ht="62" customHeight="1">
      <c r="A20" s="12">
        <f>_xlfn.IMAGE("https://m.media-amazon.com/images/I/81Psqqq0D9L.jpg")</f>
        <v/>
      </c>
      <c r="B20" s="39" t="inlineStr">
        <is>
          <t>B0FX2SDSYH</t>
        </is>
      </c>
      <c r="C20" s="39" t="inlineStr">
        <is>
          <t>DC-BAMBOO-FITTED-KING-CREME-1PC</t>
        </is>
      </c>
      <c r="D20" s="39" t="inlineStr">
        <is>
          <t>DECOLURE 100% Viscose Derived from Bamboo Fitted Sheet | King Size Fitted Sheet Only | Ultra Soft Cooling Sheets for Hot Sleepers, 17" Deep Pocket w/Corner Straps, Breathable, Oeko-Tex (Creme)</t>
        </is>
      </c>
      <c r="E20" s="39" t="inlineStr">
        <is>
          <t>King</t>
        </is>
      </c>
      <c r="F20" s="39" t="inlineStr">
        <is>
          <t>Creme</t>
        </is>
      </c>
      <c r="G20" s="73" t="n">
        <v>39.95</v>
      </c>
      <c r="H20" s="39" t="inlineStr">
        <is>
          <t>catalog price, 2026-10-13</t>
        </is>
      </c>
      <c r="I20" s="40" t="n"/>
      <c r="J20" s="39" t="n"/>
      <c r="K20" s="40" t="n"/>
      <c r="L20" s="76" t="n"/>
      <c r="M20" s="77" t="n">
        <v>9</v>
      </c>
      <c r="N20" s="39" t="inlineStr">
        <is>
          <t>Active</t>
        </is>
      </c>
      <c r="O20" s="39" t="n"/>
      <c r="P20" s="78" t="n">
        <v>4.5</v>
      </c>
      <c r="Q20" s="77" t="n">
        <v>371</v>
      </c>
      <c r="R20" s="77" t="n">
        <v>199088</v>
      </c>
      <c r="S20" s="77" t="n">
        <v>1</v>
      </c>
      <c r="T20" s="39" t="n"/>
    </row>
    <row r="21" ht="62" customHeight="1">
      <c r="A21" s="12">
        <f>_xlfn.IMAGE("https://m.media-amazon.com/images/I/81jj1Ib+bxL.jpg")</f>
        <v/>
      </c>
      <c r="B21" s="39" t="inlineStr">
        <is>
          <t>B0FX2R68HP</t>
        </is>
      </c>
      <c r="C21" s="39" t="inlineStr">
        <is>
          <t>DC-BAMBOO-FITTED-KING-TAUPE-1PC</t>
        </is>
      </c>
      <c r="D21" s="39" t="inlineStr">
        <is>
          <t>DECOLURE 100% Viscose Derived from Bamboo Fitted Sheet | King Size Fitted Sheet Only | Ultra Soft Cooling Sheets for Hot Sleepers, 17" Deep Pocket w/Corner Straps, Breathable, Oeko-Tex (Taupe)</t>
        </is>
      </c>
      <c r="E21" s="39" t="inlineStr">
        <is>
          <t>King</t>
        </is>
      </c>
      <c r="F21" s="39" t="inlineStr">
        <is>
          <t>Taupe</t>
        </is>
      </c>
      <c r="G21" s="73" t="n">
        <v>39.95</v>
      </c>
      <c r="H21" s="39" t="inlineStr">
        <is>
          <t>catalog price, 2026-10-13</t>
        </is>
      </c>
      <c r="I21" s="40" t="n"/>
      <c r="J21" s="39" t="n"/>
      <c r="K21" s="40" t="n"/>
      <c r="L21" s="76" t="n"/>
      <c r="M21" s="77" t="n">
        <v>9</v>
      </c>
      <c r="N21" s="39" t="inlineStr">
        <is>
          <t>Active</t>
        </is>
      </c>
      <c r="O21" s="39" t="n"/>
      <c r="P21" s="78" t="n">
        <v>4.5</v>
      </c>
      <c r="Q21" s="77" t="n">
        <v>371</v>
      </c>
      <c r="R21" s="77" t="n">
        <v>199088</v>
      </c>
      <c r="S21" s="77" t="n">
        <v>7</v>
      </c>
      <c r="T21" s="39" t="n"/>
    </row>
    <row r="22" ht="62" customHeight="1">
      <c r="A22" s="12">
        <f>_xlfn.IMAGE("https://m.media-amazon.com/images/I/81+nB5yGj1L.jpg")</f>
        <v/>
      </c>
      <c r="B22" s="39" t="inlineStr">
        <is>
          <t>B0FX2SCLCN</t>
        </is>
      </c>
      <c r="C22" s="39" t="inlineStr">
        <is>
          <t>DC-BAMBOO-FITTED-QUEEN-OLIVE-1PC</t>
        </is>
      </c>
      <c r="D22" s="39" t="inlineStr">
        <is>
          <t>DECOLURE 100% Viscose Derived from Bamboo Fitted Sheet | Queen Size Fitted Sheet Only | Ultra Soft Cooling Sheets for Hot Sleepers, 17" Deep Pocket w/Corner Straps, Breathable, Oeko-Tex (Olive)</t>
        </is>
      </c>
      <c r="E22" s="39" t="inlineStr">
        <is>
          <t>Queen</t>
        </is>
      </c>
      <c r="F22" s="39" t="inlineStr">
        <is>
          <t>Olive</t>
        </is>
      </c>
      <c r="G22" s="73" t="n">
        <v>37.95</v>
      </c>
      <c r="H22" s="39" t="inlineStr">
        <is>
          <t>catalog price, 2026-10-13</t>
        </is>
      </c>
      <c r="I22" s="40" t="n"/>
      <c r="J22" s="39" t="n"/>
      <c r="K22" s="40" t="n"/>
      <c r="L22" s="76" t="n"/>
      <c r="M22" s="77" t="n">
        <v>6</v>
      </c>
      <c r="N22" s="39" t="inlineStr">
        <is>
          <t>Active</t>
        </is>
      </c>
      <c r="O22" s="39" t="n"/>
      <c r="P22" s="78" t="n">
        <v>4.5</v>
      </c>
      <c r="Q22" s="77" t="n">
        <v>371</v>
      </c>
      <c r="R22" s="77" t="n">
        <v>199088</v>
      </c>
      <c r="S22" s="77" t="n">
        <v>4</v>
      </c>
      <c r="T22" s="39" t="n"/>
    </row>
    <row r="23" ht="62" customHeight="1">
      <c r="A23" s="12">
        <f>_xlfn.IMAGE("https://m.media-amazon.com/images/I/81C-nnIabrL.jpg")</f>
        <v/>
      </c>
      <c r="B23" s="39" t="inlineStr">
        <is>
          <t>B0FX2SK7TX</t>
        </is>
      </c>
      <c r="C23" s="39" t="inlineStr">
        <is>
          <t>DC-BAMBOO-FITTED-KING-LIGHT-GREY-1PC</t>
        </is>
      </c>
      <c r="D23" s="39" t="inlineStr">
        <is>
          <t>DECOLURE 100% Viscose Derived from Bamboo Fitted Sheet | King Size Fitted Sheet Only | Ultra Soft Cooling Sheets for Hot Sleepers, 17" Deep Pocket w/Corner Straps, Breathable, Oeko-Tex (Light Grey)</t>
        </is>
      </c>
      <c r="E23" s="39" t="inlineStr">
        <is>
          <t>King</t>
        </is>
      </c>
      <c r="F23" s="39" t="inlineStr">
        <is>
          <t>Light Grey</t>
        </is>
      </c>
      <c r="G23" s="73" t="n">
        <v>39.95</v>
      </c>
      <c r="H23" s="39" t="inlineStr">
        <is>
          <t>catalog price, 2026-10-13</t>
        </is>
      </c>
      <c r="I23" s="40" t="n"/>
      <c r="J23" s="39" t="n"/>
      <c r="K23" s="40" t="n"/>
      <c r="L23" s="76" t="n"/>
      <c r="M23" s="77" t="n">
        <v>5</v>
      </c>
      <c r="N23" s="39" t="inlineStr">
        <is>
          <t>Active</t>
        </is>
      </c>
      <c r="O23" s="39" t="n"/>
      <c r="P23" s="78" t="n">
        <v>4.5</v>
      </c>
      <c r="Q23" s="77" t="n">
        <v>371</v>
      </c>
      <c r="R23" s="77" t="n">
        <v>199088</v>
      </c>
      <c r="S23" s="77" t="n">
        <v>1</v>
      </c>
      <c r="T23" s="39" t="n"/>
    </row>
    <row r="24" ht="62" customHeight="1">
      <c r="A24" s="12">
        <f>_xlfn.IMAGE("https://m.media-amazon.com/images/I/81C-nnIabrL.jpg")</f>
        <v/>
      </c>
      <c r="B24" s="39" t="inlineStr">
        <is>
          <t>B0FX2TPJ2J</t>
        </is>
      </c>
      <c r="C24" s="39" t="inlineStr">
        <is>
          <t>DC-BAMBOO-FITTED-QUEEN-LIGHT-GREY-1PC</t>
        </is>
      </c>
      <c r="D24" s="39" t="inlineStr">
        <is>
          <t>DECOLURE 100% Viscose Derived from Bamboo Fitted Sheet | Queen Size Fitted Sheet Only | Ultra Soft Cooling Sheets for Hot Sleepers, 17" Deep Pocket w/Corner Straps, Breathable, Oeko-Tex (Light Grey)</t>
        </is>
      </c>
      <c r="E24" s="39" t="inlineStr">
        <is>
          <t>Queen</t>
        </is>
      </c>
      <c r="F24" s="39" t="inlineStr">
        <is>
          <t>Light Grey</t>
        </is>
      </c>
      <c r="G24" s="73" t="n">
        <v>37.95</v>
      </c>
      <c r="H24" s="39" t="inlineStr">
        <is>
          <t>catalog price, 2026-10-13</t>
        </is>
      </c>
      <c r="I24" s="40" t="n"/>
      <c r="J24" s="39" t="n"/>
      <c r="K24" s="40" t="n"/>
      <c r="L24" s="76" t="n"/>
      <c r="M24" s="77" t="n">
        <v>5</v>
      </c>
      <c r="N24" s="39" t="inlineStr">
        <is>
          <t>Active</t>
        </is>
      </c>
      <c r="O24" s="39" t="n"/>
      <c r="P24" s="78" t="n">
        <v>4.5</v>
      </c>
      <c r="Q24" s="77" t="n">
        <v>371</v>
      </c>
      <c r="R24" s="77" t="n">
        <v>199088</v>
      </c>
      <c r="S24" s="77" t="n">
        <v>4</v>
      </c>
      <c r="T24" s="39" t="n"/>
    </row>
    <row r="25" ht="62" customHeight="1">
      <c r="A25" s="12">
        <f>_xlfn.IMAGE("https://m.media-amazon.com/images/I/81jj1Ib+bxL.jpg")</f>
        <v/>
      </c>
      <c r="B25" s="39" t="inlineStr">
        <is>
          <t>B0FX2TFQL3</t>
        </is>
      </c>
      <c r="C25" s="39" t="inlineStr">
        <is>
          <t>DC-BAMBOO-FITTED-QUEEN-TAUPE-1PC</t>
        </is>
      </c>
      <c r="D25" s="39" t="inlineStr">
        <is>
          <t>DECOLURE 100% Viscose Derived from Bamboo Fitted Sheet | Queen Size Fitted Sheet Only | Ultra Soft Cooling Sheets for Hot Sleepers, 17" Deep Pocket w/Corner Straps, Breathable, Oeko-Tex (Taupe)</t>
        </is>
      </c>
      <c r="E25" s="39" t="inlineStr">
        <is>
          <t>Queen</t>
        </is>
      </c>
      <c r="F25" s="39" t="inlineStr">
        <is>
          <t>Taupe</t>
        </is>
      </c>
      <c r="G25" s="73" t="n">
        <v>37.95</v>
      </c>
      <c r="H25" s="39" t="inlineStr">
        <is>
          <t>catalog price, 2026-10-13</t>
        </is>
      </c>
      <c r="I25" s="40" t="n"/>
      <c r="J25" s="39" t="n"/>
      <c r="K25" s="40" t="n"/>
      <c r="L25" s="76" t="n"/>
      <c r="M25" s="77" t="n">
        <v>5</v>
      </c>
      <c r="N25" s="39" t="inlineStr">
        <is>
          <t>Active</t>
        </is>
      </c>
      <c r="O25" s="39" t="n"/>
      <c r="P25" s="78" t="n">
        <v>4.5</v>
      </c>
      <c r="Q25" s="77" t="n">
        <v>371</v>
      </c>
      <c r="R25" s="77" t="n">
        <v>199085</v>
      </c>
      <c r="S25" s="77" t="n">
        <v>3</v>
      </c>
      <c r="T25" s="39" t="n"/>
    </row>
    <row r="26" ht="62" customHeight="1">
      <c r="A26" s="12">
        <f>_xlfn.IMAGE("https://m.media-amazon.com/images/I/81ryHp6ZNZL.jpg")</f>
        <v/>
      </c>
      <c r="B26" s="39" t="inlineStr">
        <is>
          <t>B0FX2SBXKH</t>
        </is>
      </c>
      <c r="C26" s="39" t="inlineStr">
        <is>
          <t>DC-BAMBOO-FITTED-KING-NAVY-BLUE-1PC</t>
        </is>
      </c>
      <c r="D26" s="39" t="inlineStr">
        <is>
          <t>DECOLURE 100% Viscose Derived from Bamboo Fitted Sheet | King Size Fitted Sheet Only | Ultra Soft Cooling Sheets for Hot Sleepers, 17" Deep Pocket w/Corner Straps, Breathable, Oeko-Tex (Navy-Blue)</t>
        </is>
      </c>
      <c r="E26" s="39" t="inlineStr">
        <is>
          <t>King</t>
        </is>
      </c>
      <c r="F26" s="39" t="inlineStr">
        <is>
          <t>Navy-Blue</t>
        </is>
      </c>
      <c r="G26" s="73" t="n">
        <v>39.95</v>
      </c>
      <c r="H26" s="39" t="inlineStr">
        <is>
          <t>catalog price, 2026-10-13</t>
        </is>
      </c>
      <c r="I26" s="40" t="n"/>
      <c r="J26" s="39" t="n"/>
      <c r="K26" s="40" t="n"/>
      <c r="L26" s="76" t="n"/>
      <c r="M26" s="77" t="n">
        <v>4</v>
      </c>
      <c r="N26" s="39" t="inlineStr">
        <is>
          <t>Active</t>
        </is>
      </c>
      <c r="O26" s="39" t="n"/>
      <c r="P26" s="78" t="n">
        <v>4.5</v>
      </c>
      <c r="Q26" s="77" t="n">
        <v>371</v>
      </c>
      <c r="R26" s="77" t="n">
        <v>199088</v>
      </c>
      <c r="S26" s="77" t="n">
        <v>3</v>
      </c>
      <c r="T26" s="39" t="n"/>
    </row>
    <row r="27" ht="62" customHeight="1">
      <c r="A27" s="12">
        <f>_xlfn.IMAGE("https://m.media-amazon.com/images/I/81+nB5yGj1L.jpg")</f>
        <v/>
      </c>
      <c r="B27" s="39" t="inlineStr">
        <is>
          <t>B0FX2SM97Y</t>
        </is>
      </c>
      <c r="C27" s="39" t="inlineStr">
        <is>
          <t>DC-BAMBOO-FITTED-KING-OLIVE-1PC</t>
        </is>
      </c>
      <c r="D27" s="39" t="inlineStr">
        <is>
          <t>DECOLURE 100% Viscose Derived from Bamboo Fitted Sheet | King Size Fitted Sheet Only | Ultra Soft Cooling Sheets for Hot Sleepers, 17" Deep Pocket w/Corner Straps, Breathable, Oeko-Tex (Olive)</t>
        </is>
      </c>
      <c r="E27" s="39" t="inlineStr">
        <is>
          <t>King</t>
        </is>
      </c>
      <c r="F27" s="39" t="inlineStr">
        <is>
          <t>Olive</t>
        </is>
      </c>
      <c r="G27" s="73" t="n">
        <v>39.95</v>
      </c>
      <c r="H27" s="39" t="inlineStr">
        <is>
          <t>catalog price, 2026-10-13</t>
        </is>
      </c>
      <c r="I27" s="40" t="n"/>
      <c r="J27" s="39" t="n"/>
      <c r="K27" s="40" t="n"/>
      <c r="L27" s="76" t="n"/>
      <c r="M27" s="77" t="n">
        <v>4</v>
      </c>
      <c r="N27" s="39" t="inlineStr">
        <is>
          <t>Active</t>
        </is>
      </c>
      <c r="O27" s="39" t="n"/>
      <c r="P27" s="78" t="n">
        <v>4.5</v>
      </c>
      <c r="Q27" s="77" t="n">
        <v>371</v>
      </c>
      <c r="R27" s="77" t="n">
        <v>199088</v>
      </c>
      <c r="S27" s="77" t="n">
        <v>5</v>
      </c>
      <c r="T27" s="39" t="n"/>
    </row>
    <row r="28" ht="62" customHeight="1">
      <c r="A28" s="12">
        <f>_xlfn.IMAGE("https://m.media-amazon.com/images/I/81pO8+MuzxL.jpg")</f>
        <v/>
      </c>
      <c r="B28" s="39" t="inlineStr">
        <is>
          <t>B0FX2TBZTM</t>
        </is>
      </c>
      <c r="C28" s="39" t="inlineStr">
        <is>
          <t>DC-BAMBOO-FITTED-QUEEN-BURGUNDY-1PC</t>
        </is>
      </c>
      <c r="D28" s="39" t="inlineStr">
        <is>
          <t>DECOLURE 100% Viscose Derived from Bamboo Fitted Sheet | Queen Size Fitted Sheet Only | Ultra Soft Cooling Sheets for Hot Sleepers, 17" Deep Pocket w/Corner Straps, Breathable, Oeko-Tex (Burgundy)</t>
        </is>
      </c>
      <c r="E28" s="39" t="inlineStr">
        <is>
          <t>Queen</t>
        </is>
      </c>
      <c r="F28" s="39" t="inlineStr">
        <is>
          <t>Burgundy</t>
        </is>
      </c>
      <c r="G28" s="73" t="n">
        <v>37.95</v>
      </c>
      <c r="H28" s="39" t="inlineStr">
        <is>
          <t>catalog price, 2026-10-13</t>
        </is>
      </c>
      <c r="I28" s="40" t="n"/>
      <c r="J28" s="39" t="n"/>
      <c r="K28" s="40" t="n"/>
      <c r="L28" s="76" t="n"/>
      <c r="M28" s="77" t="n">
        <v>4</v>
      </c>
      <c r="N28" s="39" t="inlineStr">
        <is>
          <t>Active</t>
        </is>
      </c>
      <c r="O28" s="39" t="n"/>
      <c r="P28" s="78" t="n">
        <v>4.5</v>
      </c>
      <c r="Q28" s="77" t="n">
        <v>371</v>
      </c>
      <c r="R28" s="77" t="n">
        <v>199088</v>
      </c>
      <c r="S28" s="77" t="n">
        <v>5</v>
      </c>
      <c r="T28" s="39" t="n"/>
    </row>
    <row r="29" ht="62" customHeight="1">
      <c r="A29" s="12">
        <f>_xlfn.IMAGE("https://m.media-amazon.com/images/I/810qWW2FEJL.jpg")</f>
        <v/>
      </c>
      <c r="B29" s="39" t="inlineStr">
        <is>
          <t>B0FX2RBQXN</t>
        </is>
      </c>
      <c r="C29" s="39" t="inlineStr">
        <is>
          <t>DC-BAMBOO-FITTED-QUEEN-LIGHT-BLUE-1PC</t>
        </is>
      </c>
      <c r="D29" s="39" t="inlineStr">
        <is>
          <t>DECOLURE 100% Viscose Derived from Bamboo Fitted Sheet | Queen Size Fitted Sheet Only | Ultra Soft Cooling Sheets for Hot Sleepers, 17" Deep Pocket w/Corner Straps, Breathable, Oeko-Tex (Light Blue)</t>
        </is>
      </c>
      <c r="E29" s="39" t="inlineStr">
        <is>
          <t>Queen</t>
        </is>
      </c>
      <c r="F29" s="39" t="inlineStr">
        <is>
          <t>Light Blue</t>
        </is>
      </c>
      <c r="G29" s="73" t="n">
        <v>37.95</v>
      </c>
      <c r="H29" s="39" t="inlineStr">
        <is>
          <t>catalog price, 2026-10-13</t>
        </is>
      </c>
      <c r="I29" s="40" t="n"/>
      <c r="J29" s="39" t="n"/>
      <c r="K29" s="40" t="n"/>
      <c r="L29" s="76" t="n"/>
      <c r="M29" s="77" t="n">
        <v>4</v>
      </c>
      <c r="N29" s="39" t="inlineStr">
        <is>
          <t>Active</t>
        </is>
      </c>
      <c r="O29" s="39" t="n"/>
      <c r="P29" s="78" t="n">
        <v>4.5</v>
      </c>
      <c r="Q29" s="77" t="n">
        <v>371</v>
      </c>
      <c r="R29" s="77" t="n">
        <v>199088</v>
      </c>
      <c r="S29" s="77" t="n">
        <v>5</v>
      </c>
      <c r="T29" s="39" t="n"/>
    </row>
    <row r="30" ht="62" customHeight="1">
      <c r="A30" s="12">
        <f>_xlfn.IMAGE("https://m.media-amazon.com/images/I/812GDkPSqBL.jpg")</f>
        <v/>
      </c>
      <c r="B30" s="39" t="inlineStr">
        <is>
          <t>B0FX2RYKT9</t>
        </is>
      </c>
      <c r="C30" s="39" t="inlineStr">
        <is>
          <t>DC-BAMBOO-FITTED-QUEEN-MID-GREY-1PC</t>
        </is>
      </c>
      <c r="D30" s="39" t="inlineStr">
        <is>
          <t>DECOLURE 100% Viscose Derived from Bamboo Fitted Sheet | Queen Size Fitted Sheet Only | Ultra Soft Cooling Sheets for Hot Sleepers, 17" Deep Pocket w/Corner Straps, Breathable, Oeko-Tex (Mid Grey)</t>
        </is>
      </c>
      <c r="E30" s="39" t="inlineStr">
        <is>
          <t>Queen</t>
        </is>
      </c>
      <c r="F30" s="39" t="inlineStr">
        <is>
          <t>Mid Grey</t>
        </is>
      </c>
      <c r="G30" s="73" t="n">
        <v>37.95</v>
      </c>
      <c r="H30" s="39" t="inlineStr">
        <is>
          <t>catalog price, 2026-10-13</t>
        </is>
      </c>
      <c r="I30" s="40" t="n"/>
      <c r="J30" s="39" t="n"/>
      <c r="K30" s="40" t="n"/>
      <c r="L30" s="76" t="n"/>
      <c r="M30" s="77" t="n">
        <v>4</v>
      </c>
      <c r="N30" s="39" t="inlineStr">
        <is>
          <t>Active</t>
        </is>
      </c>
      <c r="O30" s="39" t="n"/>
      <c r="P30" s="78" t="n">
        <v>4.5</v>
      </c>
      <c r="Q30" s="77" t="n">
        <v>371</v>
      </c>
      <c r="R30" s="77" t="n">
        <v>199088</v>
      </c>
      <c r="S30" s="77" t="n">
        <v>5</v>
      </c>
      <c r="T30" s="39" t="n"/>
    </row>
    <row r="31" ht="62" customHeight="1">
      <c r="A31" s="12">
        <f>_xlfn.IMAGE("https://m.media-amazon.com/images/I/81Qr4dBd90L.jpg")</f>
        <v/>
      </c>
      <c r="B31" s="39" t="inlineStr">
        <is>
          <t>B0FX2SR8VT</t>
        </is>
      </c>
      <c r="C31" s="39" t="inlineStr">
        <is>
          <t>DC-BAMBOO-FITTED-QUEEN-WHITE-1PC</t>
        </is>
      </c>
      <c r="D31" s="39" t="inlineStr">
        <is>
          <t>DECOLURE 100% Viscose Derived from Bamboo Fitted Sheet | Queen Size Fitted Sheet Only | Ultra Soft Cooling Sheets for Hot Sleepers, 17" Deep Pocket w/Corner Straps, Breathable, Oeko-Tex (White)</t>
        </is>
      </c>
      <c r="E31" s="39" t="inlineStr">
        <is>
          <t>Queen</t>
        </is>
      </c>
      <c r="F31" s="39" t="inlineStr">
        <is>
          <t>White</t>
        </is>
      </c>
      <c r="G31" s="73" t="n">
        <v>37.95</v>
      </c>
      <c r="H31" s="39" t="inlineStr">
        <is>
          <t>catalog price, 2026-10-13</t>
        </is>
      </c>
      <c r="I31" s="40" t="n"/>
      <c r="J31" s="39" t="n"/>
      <c r="K31" s="40" t="n"/>
      <c r="L31" s="76" t="n"/>
      <c r="M31" s="77" t="n">
        <v>4</v>
      </c>
      <c r="N31" s="39" t="inlineStr">
        <is>
          <t>Active</t>
        </is>
      </c>
      <c r="O31" s="39" t="inlineStr">
        <is>
          <t>Yes (9%)</t>
        </is>
      </c>
      <c r="P31" s="78" t="n">
        <v>4.5</v>
      </c>
      <c r="Q31" s="77" t="n">
        <v>371</v>
      </c>
      <c r="R31" s="77" t="n">
        <v>199088</v>
      </c>
      <c r="S31" s="77" t="n">
        <v>33</v>
      </c>
      <c r="T31" s="39" t="n"/>
    </row>
    <row r="32" ht="62" customHeight="1">
      <c r="A32" s="12">
        <f>_xlfn.IMAGE("https://m.media-amazon.com/images/I/812GDkPSqBL.jpg")</f>
        <v/>
      </c>
      <c r="B32" s="39" t="inlineStr">
        <is>
          <t>B0FX2Q6HDW</t>
        </is>
      </c>
      <c r="C32" s="39" t="inlineStr">
        <is>
          <t>DC-BAMBOO-FITTED-KING-MID-GREY-1PC</t>
        </is>
      </c>
      <c r="D32" s="39" t="inlineStr">
        <is>
          <t>DECOLURE 100% Viscose Derived from Bamboo Fitted Sheet | King Size Fitted Sheet Only | Ultra Soft Cooling Sheets for Hot Sleepers, 17" Deep Pocket w/Corner Straps, Breathable, Oeko-Tex (Mid Grey)</t>
        </is>
      </c>
      <c r="E32" s="39" t="inlineStr">
        <is>
          <t>King</t>
        </is>
      </c>
      <c r="F32" s="39" t="inlineStr">
        <is>
          <t>Mid Grey</t>
        </is>
      </c>
      <c r="G32" s="73" t="n">
        <v>39.95</v>
      </c>
      <c r="H32" s="39" t="inlineStr">
        <is>
          <t>catalog price, 2026-10-13</t>
        </is>
      </c>
      <c r="I32" s="40" t="n"/>
      <c r="J32" s="39" t="n"/>
      <c r="K32" s="40" t="n"/>
      <c r="L32" s="76" t="n"/>
      <c r="M32" s="77" t="n">
        <v>3</v>
      </c>
      <c r="N32" s="39" t="inlineStr">
        <is>
          <t>Active</t>
        </is>
      </c>
      <c r="O32" s="39" t="n"/>
      <c r="P32" s="78" t="n">
        <v>4.5</v>
      </c>
      <c r="Q32" s="77" t="n">
        <v>371</v>
      </c>
      <c r="R32" s="77" t="n">
        <v>199088</v>
      </c>
      <c r="S32" s="77" t="n">
        <v>10</v>
      </c>
      <c r="T32" s="39" t="n"/>
    </row>
    <row r="33" ht="62" customHeight="1">
      <c r="A33" s="12">
        <f>_xlfn.IMAGE("https://m.media-amazon.com/images/I/81Qr4dBd90L.jpg")</f>
        <v/>
      </c>
      <c r="B33" s="39" t="inlineStr">
        <is>
          <t>B0FX2VX6HN</t>
        </is>
      </c>
      <c r="C33" s="39" t="inlineStr">
        <is>
          <t>DC-BAMBOO-FITTED-KING-WHITE-1PC</t>
        </is>
      </c>
      <c r="D33" s="39" t="inlineStr">
        <is>
          <t>DECOLURE 100% Viscose Derived from Bamboo Fitted Sheet | King Size Fitted Sheet Only | Ultra Soft Cooling Sheets for Hot Sleepers, 17" Deep Pocket w/Corner Straps, Breathable, Oeko-Tex (White)</t>
        </is>
      </c>
      <c r="E33" s="39" t="inlineStr">
        <is>
          <t>King</t>
        </is>
      </c>
      <c r="F33" s="39" t="inlineStr">
        <is>
          <t>White</t>
        </is>
      </c>
      <c r="G33" s="40" t="n"/>
      <c r="H33" s="39" t="n"/>
      <c r="I33" s="40" t="n"/>
      <c r="J33" s="39" t="n"/>
      <c r="K33" s="40" t="n"/>
      <c r="L33" s="76" t="n"/>
      <c r="M33" s="77" t="n">
        <v>3</v>
      </c>
      <c r="N33" s="39" t="inlineStr">
        <is>
          <t>Active</t>
        </is>
      </c>
      <c r="O33" s="39" t="inlineStr">
        <is>
          <t>Yes (8%)</t>
        </is>
      </c>
      <c r="P33" s="78" t="n"/>
      <c r="Q33" s="77" t="n"/>
      <c r="R33" s="77" t="n"/>
      <c r="S33" s="77" t="n"/>
      <c r="T33" s="39" t="n"/>
    </row>
    <row r="34" ht="62" customHeight="1">
      <c r="A34" s="12">
        <f>_xlfn.IMAGE("https://m.media-amazon.com/images/I/810qWW2FEJL.jpg")</f>
        <v/>
      </c>
      <c r="B34" s="39" t="inlineStr">
        <is>
          <t>B0FX2RXZNM</t>
        </is>
      </c>
      <c r="C34" s="39" t="inlineStr">
        <is>
          <t>DC-BAMBOO-FITTED-KING-LIGHT-BLUE-1PC</t>
        </is>
      </c>
      <c r="D34" s="39" t="inlineStr">
        <is>
          <t>DECOLURE 100% Viscose Derived from Bamboo Fitted Sheet | King Size Fitted Sheet Only | Ultra Soft Cooling Sheets for Hot Sleepers, 17" Deep Pocket w/Corner Straps, Breathable, Oeko-Tex (Light Blue)</t>
        </is>
      </c>
      <c r="E34" s="39" t="inlineStr">
        <is>
          <t>King</t>
        </is>
      </c>
      <c r="F34" s="39" t="inlineStr">
        <is>
          <t>Light Blue</t>
        </is>
      </c>
      <c r="G34" s="73" t="n">
        <v>39.95</v>
      </c>
      <c r="H34" s="39" t="inlineStr">
        <is>
          <t>catalog price, 2026-10-13</t>
        </is>
      </c>
      <c r="I34" s="40" t="n"/>
      <c r="J34" s="39" t="n"/>
      <c r="K34" s="40" t="n"/>
      <c r="L34" s="76" t="n"/>
      <c r="M34" s="77" t="n">
        <v>2</v>
      </c>
      <c r="N34" s="39" t="inlineStr">
        <is>
          <t>Active</t>
        </is>
      </c>
      <c r="O34" s="39" t="n"/>
      <c r="P34" s="78" t="n">
        <v>4.5</v>
      </c>
      <c r="Q34" s="77" t="n">
        <v>371</v>
      </c>
      <c r="R34" s="77" t="n">
        <v>199088</v>
      </c>
      <c r="S34" s="77" t="n">
        <v>1</v>
      </c>
      <c r="T34" s="39" t="n"/>
    </row>
    <row r="35" ht="62" customHeight="1">
      <c r="A35" s="12">
        <f>_xlfn.IMAGE("https://m.media-amazon.com/images/I/81pO8+MuzxL.jpg")</f>
        <v/>
      </c>
      <c r="B35" s="39" t="inlineStr">
        <is>
          <t>B0FX2RFZP3</t>
        </is>
      </c>
      <c r="C35" s="39" t="inlineStr">
        <is>
          <t>DC-BAMBOO-FITTED-QUEEN-BLACK-1PC</t>
        </is>
      </c>
      <c r="D35" s="39" t="inlineStr">
        <is>
          <t>DECOLURE 100% Viscose Derived from Bamboo Fitted Sheet | Queen Size Fitted Sheet Only | Ultra Soft Cooling Sheets for Hot Sleepers, 17" Deep Pocket w/Corner Straps, Breathable, Oeko-Tex (Black)</t>
        </is>
      </c>
      <c r="E35" s="39" t="inlineStr">
        <is>
          <t>Queen</t>
        </is>
      </c>
      <c r="F35" s="39" t="inlineStr">
        <is>
          <t>Black</t>
        </is>
      </c>
      <c r="G35" s="40" t="n"/>
      <c r="H35" s="39" t="n"/>
      <c r="I35" s="40" t="n"/>
      <c r="J35" s="39" t="n"/>
      <c r="K35" s="40" t="n"/>
      <c r="L35" s="76" t="n"/>
      <c r="M35" s="77" t="n">
        <v>2</v>
      </c>
      <c r="N35" s="39" t="inlineStr">
        <is>
          <t>Inactive</t>
        </is>
      </c>
      <c r="O35" s="39" t="n"/>
      <c r="P35" s="78" t="n"/>
      <c r="Q35" s="77" t="n"/>
      <c r="R35" s="77" t="n"/>
      <c r="S35" s="77" t="n"/>
      <c r="T35" s="39" t="n"/>
    </row>
    <row r="36" ht="62" customHeight="1">
      <c r="A36" s="12">
        <f>_xlfn.IMAGE("https://m.media-amazon.com/images/I/81LH6Jpy50L.jpg")</f>
        <v/>
      </c>
      <c r="B36" s="39" t="inlineStr">
        <is>
          <t>B0FX2SSTZ2</t>
        </is>
      </c>
      <c r="C36" s="39" t="inlineStr">
        <is>
          <t>DC-BAMBOO-FITTED-QUEEN-GREY-1PC</t>
        </is>
      </c>
      <c r="D36" s="39" t="inlineStr">
        <is>
          <t>DECOLURE 100% Viscose Derived from Bamboo Fitted Sheet | Queen Size Fitted Sheet Only | Ultra Soft Cooling Sheets for Hot Sleepers, 17" Deep Pocket w/Corner Straps, Breathable, Oeko-Tex (Grey)</t>
        </is>
      </c>
      <c r="E36" s="39" t="inlineStr">
        <is>
          <t>Queen</t>
        </is>
      </c>
      <c r="F36" s="39" t="inlineStr">
        <is>
          <t>Grey</t>
        </is>
      </c>
      <c r="G36" s="73" t="n">
        <v>37.95</v>
      </c>
      <c r="H36" s="39" t="inlineStr">
        <is>
          <t>catalog price, 2026-10-13</t>
        </is>
      </c>
      <c r="I36" s="40" t="n"/>
      <c r="J36" s="39" t="n"/>
      <c r="K36" s="40" t="n"/>
      <c r="L36" s="76" t="n"/>
      <c r="M36" s="77" t="n">
        <v>2</v>
      </c>
      <c r="N36" s="39" t="inlineStr">
        <is>
          <t>Active</t>
        </is>
      </c>
      <c r="O36" s="39" t="inlineStr">
        <is>
          <t>Yes (18%)</t>
        </is>
      </c>
      <c r="P36" s="78" t="n">
        <v>4.5</v>
      </c>
      <c r="Q36" s="77" t="n">
        <v>371</v>
      </c>
      <c r="R36" s="77" t="n">
        <v>199088</v>
      </c>
      <c r="S36" s="77" t="n">
        <v>4</v>
      </c>
      <c r="T36" s="39" t="n"/>
    </row>
    <row r="37" ht="62" customHeight="1">
      <c r="A37" s="12">
        <f>_xlfn.IMAGE("https://m.media-amazon.com/images/I/81ryHp6ZNZL.jpg")</f>
        <v/>
      </c>
      <c r="B37" s="39" t="inlineStr">
        <is>
          <t>B0FX2Q7R6W</t>
        </is>
      </c>
      <c r="C37" s="39" t="inlineStr">
        <is>
          <t>DC-BAMBOO-FITTED-QUEEN-NAVY-BLUE-1PC</t>
        </is>
      </c>
      <c r="D37" s="39" t="inlineStr">
        <is>
          <t>DECOLURE 100% Viscose Derived from Bamboo Fitted Sheet | Queen Size Fitted Sheet Only | Ultra Soft Cooling Sheets for Hot Sleepers, 17" Deep Pocket w/Corner Straps, Breathable, Oeko-Tex (Navy-Blue)</t>
        </is>
      </c>
      <c r="E37" s="39" t="inlineStr">
        <is>
          <t>Queen</t>
        </is>
      </c>
      <c r="F37" s="39" t="inlineStr">
        <is>
          <t>Navy-Blue</t>
        </is>
      </c>
      <c r="G37" s="73" t="n">
        <v>37.95</v>
      </c>
      <c r="H37" s="39" t="inlineStr">
        <is>
          <t>catalog price, 2026-10-13</t>
        </is>
      </c>
      <c r="I37" s="40" t="n"/>
      <c r="J37" s="39" t="n"/>
      <c r="K37" s="40" t="n"/>
      <c r="L37" s="76" t="n"/>
      <c r="M37" s="77" t="n">
        <v>2</v>
      </c>
      <c r="N37" s="39" t="inlineStr">
        <is>
          <t>Active</t>
        </is>
      </c>
      <c r="O37" s="39" t="n"/>
      <c r="P37" s="78" t="n">
        <v>4.5</v>
      </c>
      <c r="Q37" s="77" t="n">
        <v>371</v>
      </c>
      <c r="R37" s="77" t="n">
        <v>199088</v>
      </c>
      <c r="S37" s="77" t="n">
        <v>5</v>
      </c>
      <c r="T37" s="39" t="n"/>
    </row>
    <row r="38" ht="62" customHeight="1">
      <c r="A38" s="12">
        <f>_xlfn.IMAGE("https://m.media-amazon.com/images/I/81pO8+MuzxL.jpg")</f>
        <v/>
      </c>
      <c r="B38" s="39" t="inlineStr">
        <is>
          <t>B0FX2T8CG8</t>
        </is>
      </c>
      <c r="C38" s="39" t="inlineStr">
        <is>
          <t>DC-BAMBOO-FITTED-KING-BLACK-1PC</t>
        </is>
      </c>
      <c r="D38" s="39" t="inlineStr">
        <is>
          <t>DECOLURE 100% Viscose Derived from Bamboo Fitted Sheet | King Size Fitted Sheet Only | Ultra Soft Cooling Sheets for Hot Sleepers, 17" Deep Pocket w/Corner Straps, Breathable, Oeko-Tex (Black)</t>
        </is>
      </c>
      <c r="E38" s="39" t="inlineStr">
        <is>
          <t>King</t>
        </is>
      </c>
      <c r="F38" s="39" t="inlineStr">
        <is>
          <t>Black</t>
        </is>
      </c>
      <c r="G38" s="40" t="n"/>
      <c r="H38" s="39" t="n"/>
      <c r="I38" s="40" t="n"/>
      <c r="J38" s="39" t="n"/>
      <c r="K38" s="40" t="n"/>
      <c r="L38" s="76" t="n"/>
      <c r="M38" s="77" t="n">
        <v>1</v>
      </c>
      <c r="N38" s="39" t="inlineStr">
        <is>
          <t>Active</t>
        </is>
      </c>
      <c r="O38" s="39" t="n"/>
      <c r="P38" s="78" t="n"/>
      <c r="Q38" s="77" t="n"/>
      <c r="R38" s="77" t="n"/>
      <c r="S38" s="77" t="n"/>
      <c r="T38" s="39" t="n"/>
    </row>
    <row r="39" ht="62" customHeight="1">
      <c r="A39" s="12">
        <f>_xlfn.IMAGE("https://m.media-amazon.com/images/I/81Psqqq0D9L.jpg")</f>
        <v/>
      </c>
      <c r="B39" s="39" t="inlineStr">
        <is>
          <t>B0FX2V6R29</t>
        </is>
      </c>
      <c r="C39" s="39" t="inlineStr">
        <is>
          <t>DC-BAMBOO-FITTED-QUEEN-CREME-1PC</t>
        </is>
      </c>
      <c r="D39" s="39" t="inlineStr">
        <is>
          <t>DECOLURE 100% Viscose Derived from Bamboo Fitted Sheet | Queen Size Fitted Sheet Only | Ultra Soft Cooling Sheets for Hot Sleepers, 17" Deep Pocket w/Corner Straps, Breathable, Oeko-Tex (Creme)</t>
        </is>
      </c>
      <c r="E39" s="39" t="inlineStr">
        <is>
          <t>Queen</t>
        </is>
      </c>
      <c r="F39" s="39" t="inlineStr">
        <is>
          <t>Creme</t>
        </is>
      </c>
      <c r="G39" s="73" t="n">
        <v>37.95</v>
      </c>
      <c r="H39" s="39" t="inlineStr">
        <is>
          <t>catalog price, 2026-10-13</t>
        </is>
      </c>
      <c r="I39" s="40" t="n"/>
      <c r="J39" s="39" t="n"/>
      <c r="K39" s="40" t="n"/>
      <c r="L39" s="76" t="n"/>
      <c r="M39" s="77" t="n">
        <v>0</v>
      </c>
      <c r="N39" s="39" t="inlineStr">
        <is>
          <t>Active</t>
        </is>
      </c>
      <c r="O39" s="39" t="n"/>
      <c r="P39" s="78" t="n">
        <v>4.5</v>
      </c>
      <c r="Q39" s="77" t="n">
        <v>371</v>
      </c>
      <c r="R39" s="77" t="n">
        <v>199085</v>
      </c>
      <c r="S39" s="77" t="n">
        <v>4</v>
      </c>
      <c r="T39" s="39" t="n"/>
    </row>
    <row r="40"/>
    <row r="41" ht="22" customHeight="1">
      <c r="A41" s="65" t="inlineStr">
        <is>
          <t>3 ▼</t>
        </is>
      </c>
      <c r="B41" s="66" t="inlineStr">
        <is>
          <t>OUR BFCM 2025 RESULT &amp; EVENT VISIBILITY</t>
        </is>
      </c>
      <c r="C41" s="67" t="n"/>
      <c r="D41" s="67" t="n"/>
      <c r="E41" s="67" t="n"/>
      <c r="F41" s="67" t="n"/>
      <c r="G41" s="67" t="n"/>
      <c r="H41" s="67" t="n"/>
      <c r="I41" s="67" t="n"/>
      <c r="J41" s="67" t="n"/>
      <c r="K41" s="67" t="n"/>
      <c r="L41" s="67" t="n"/>
      <c r="M41" s="67" t="n"/>
      <c r="N41" s="67" t="n"/>
      <c r="O41" s="67" t="n"/>
      <c r="P41" s="67" t="n"/>
      <c r="Q41" s="67" t="n"/>
      <c r="R41" s="67" t="n"/>
      <c r="S41" s="67" t="n"/>
      <c r="T41" s="67" t="n"/>
      <c r="U41" s="67" t="n"/>
      <c r="V41" s="67" t="n"/>
      <c r="W41" s="67" t="n"/>
      <c r="X41" s="67" t="n"/>
      <c r="Y41" s="67" t="n"/>
      <c r="Z41" s="67" t="n"/>
      <c r="AA41" s="67" t="n"/>
      <c r="AB41" s="67" t="n"/>
      <c r="AC41" s="67" t="n"/>
      <c r="AD41" s="67" t="n"/>
      <c r="AE41" s="67" t="n"/>
      <c r="AF41" s="67" t="n"/>
      <c r="AG41" s="67" t="n"/>
      <c r="AH41" s="67" t="n"/>
      <c r="AI41" s="67" t="n"/>
      <c r="AJ41" s="67" t="n"/>
      <c r="AK41" s="67" t="n"/>
      <c r="AL41" s="67" t="n"/>
      <c r="AM41" s="67" t="n"/>
      <c r="AN41" s="67" t="n"/>
      <c r="AO41" s="67" t="n"/>
      <c r="AP41" s="67" t="n"/>
      <c r="AQ41" s="67" t="n"/>
      <c r="AR41" s="67" t="n"/>
      <c r="AS41" s="67" t="n"/>
      <c r="AT41" s="67" t="n"/>
      <c r="AU41" s="67" t="n"/>
      <c r="AV41" s="67" t="n"/>
      <c r="AW41" s="67" t="n"/>
      <c r="AX41" s="67" t="n"/>
      <c r="AY41" s="67" t="n"/>
      <c r="AZ41" s="67" t="n"/>
      <c r="BA41" s="67" t="n"/>
      <c r="BB41" s="67" t="n"/>
      <c r="BC41" s="67" t="n"/>
      <c r="BD41" s="67" t="n"/>
      <c r="BE41" s="67" t="n"/>
      <c r="BF41" s="67" t="n"/>
      <c r="BG41" s="67" t="n"/>
      <c r="BH41" s="67" t="n"/>
      <c r="BI41" s="67" t="n"/>
      <c r="BJ41" s="67" t="n"/>
      <c r="BK41" s="67" t="n"/>
    </row>
    <row r="42">
      <c r="A42" s="80" t="inlineStr">
        <is>
          <t>Window</t>
        </is>
      </c>
      <c r="B42" s="81" t="n"/>
      <c r="C42" s="82" t="n"/>
      <c r="D42" s="80" t="inlineStr">
        <is>
          <t>Ad spend</t>
        </is>
      </c>
      <c r="E42" s="80" t="inlineStr">
        <is>
          <t>Ad sales</t>
        </is>
      </c>
      <c r="F42" s="80" t="inlineStr">
        <is>
          <t>ACoS</t>
        </is>
      </c>
      <c r="G42" s="80" t="inlineStr">
        <is>
          <t>TACoS</t>
        </is>
      </c>
      <c r="H42" s="80" t="inlineStr">
        <is>
          <t>Total sales (derived)</t>
        </is>
      </c>
      <c r="J42" s="80" t="inlineStr">
        <is>
          <t>Ad orders</t>
        </is>
      </c>
      <c r="K42" s="80" t="inlineStr">
        <is>
          <t>CVR</t>
        </is>
      </c>
    </row>
    <row r="43">
      <c r="A43" s="83" t="inlineStr">
        <is>
          <t>Pre-event Oct 21 - Nov 19, 2025 (30d)</t>
        </is>
      </c>
      <c r="B43" s="81" t="n"/>
      <c r="C43" s="82" t="n"/>
      <c r="D43" s="84" t="n"/>
      <c r="E43" s="84" t="n"/>
      <c r="F43" s="85" t="n"/>
      <c r="G43" s="85" t="n"/>
      <c r="H43" s="84" t="n"/>
      <c r="J43" s="86" t="n"/>
      <c r="K43" s="87" t="n"/>
    </row>
    <row r="44">
      <c r="A44" s="83" t="inlineStr">
        <is>
          <t>BFCM week Nov 20 - Dec 1, 2025 (12d)</t>
        </is>
      </c>
      <c r="B44" s="81" t="n"/>
      <c r="C44" s="82" t="n"/>
      <c r="D44" s="84" t="n"/>
      <c r="E44" s="84" t="n"/>
      <c r="F44" s="85" t="n"/>
      <c r="G44" s="85" t="n"/>
      <c r="H44" s="84" t="n"/>
      <c r="J44" s="86" t="n"/>
      <c r="K44" s="87" t="n"/>
    </row>
    <row r="45">
      <c r="A45" s="83" t="inlineStr">
        <is>
          <t>December 2 - 31, 2025 (30d)</t>
        </is>
      </c>
      <c r="B45" s="81" t="n"/>
      <c r="C45" s="82" t="n"/>
      <c r="D45" s="84" t="n"/>
      <c r="E45" s="84" t="n"/>
      <c r="F45" s="85" t="n"/>
      <c r="G45" s="85" t="n"/>
      <c r="H45" s="84" t="n"/>
      <c r="J45" s="86" t="n"/>
      <c r="K45" s="87" t="n"/>
    </row>
    <row r="46" ht="18" customHeight="1">
      <c r="A46" s="94" t="inlineStr">
        <is>
          <t>BFCM 2026 plan: NOT IN A DEAL. the team confirmed that products without a planned deal are not in any BFCM 2026 deal; they sell at their regular price.</t>
        </is>
      </c>
    </row>
    <row r="47" ht="30" customHeight="1">
      <c r="A47" s="94" t="inlineStr">
        <is>
          <t>BFCM 2026 stock (account data, Oct 15): 1,443 units at Amazon + 0 already sent (no ETA in account data); selling 4.2 a day; need about 280 to Nov 30 with a 2.74x BFCM lift (ASSUMED: account BFCM 2025 lift (US); product's own 2025 lift not available). Variations: 18 covered, 0 need the inbound in time, 2 short even with inbound (19 units), 2 out of stock now. Detail: BFCM Stock tab.</t>
        </is>
      </c>
    </row>
    <row r="48">
      <c r="A48" s="90" t="inlineStr">
        <is>
          <t>No market data visibility history for our best child ASIN.</t>
        </is>
      </c>
    </row>
    <row r="49"/>
    <row r="50" ht="22" customHeight="1">
      <c r="A50" s="65" t="inlineStr">
        <is>
          <t>4 ▼</t>
        </is>
      </c>
      <c r="B50" s="66" t="inlineStr">
        <is>
          <t>COMPETITOR LANDSCAPE (15 mapped)</t>
        </is>
      </c>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c r="AC50" s="67" t="n"/>
      <c r="AD50" s="67" t="n"/>
      <c r="AE50" s="67" t="n"/>
      <c r="AF50" s="67" t="n"/>
      <c r="AG50" s="67" t="n"/>
      <c r="AH50" s="67" t="n"/>
      <c r="AI50" s="67" t="n"/>
      <c r="AJ50" s="67" t="n"/>
      <c r="AK50" s="67" t="n"/>
      <c r="AL50" s="67" t="n"/>
      <c r="AM50" s="67" t="n"/>
      <c r="AN50" s="67" t="n"/>
      <c r="AO50" s="67" t="n"/>
      <c r="AP50" s="67" t="n"/>
      <c r="AQ50" s="67" t="n"/>
      <c r="AR50" s="67" t="n"/>
      <c r="AS50" s="67" t="n"/>
      <c r="AT50" s="67" t="n"/>
      <c r="AU50" s="67" t="n"/>
      <c r="AV50" s="67" t="n"/>
      <c r="AW50" s="67" t="n"/>
      <c r="AX50" s="67" t="n"/>
      <c r="AY50" s="67" t="n"/>
      <c r="AZ50" s="67" t="n"/>
      <c r="BA50" s="67" t="n"/>
      <c r="BB50" s="67" t="n"/>
      <c r="BC50" s="67" t="n"/>
      <c r="BD50" s="67" t="n"/>
      <c r="BE50" s="67" t="n"/>
      <c r="BF50" s="67" t="n"/>
      <c r="BG50" s="67" t="n"/>
      <c r="BH50" s="67" t="n"/>
      <c r="BI50" s="67" t="n"/>
      <c r="BJ50" s="67" t="n"/>
      <c r="BK50" s="67" t="n"/>
    </row>
    <row r="51" ht="20" customHeight="1">
      <c r="A51" s="96" t="inlineStr">
        <is>
          <t>▼▼▼</t>
        </is>
      </c>
      <c r="B51" s="97" t="inlineStr">
        <is>
          <t>COMPETITOR DATA BELOW: one row per competitor (4 direct first, then alternative material). Scroll right for listing, search, strikethrough now and BFCM 2025 history (deal type, price, discount, rank change).</t>
        </is>
      </c>
      <c r="C51" s="98" t="n"/>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c r="AA51" s="98" t="n"/>
      <c r="AB51" s="98" t="n"/>
      <c r="AC51" s="98" t="n"/>
      <c r="AD51" s="98" t="n"/>
      <c r="AE51" s="98" t="n"/>
      <c r="AF51" s="98" t="n"/>
      <c r="AG51" s="98" t="n"/>
      <c r="AH51" s="98" t="n"/>
      <c r="AI51" s="98" t="n"/>
      <c r="AJ51" s="98" t="n"/>
      <c r="AK51" s="98" t="n"/>
      <c r="AL51" s="98" t="n"/>
      <c r="AM51" s="98" t="n"/>
      <c r="AN51" s="98" t="n"/>
      <c r="AO51" s="98" t="n"/>
      <c r="AP51" s="98" t="n"/>
      <c r="AQ51" s="98" t="n"/>
      <c r="AR51" s="98" t="n"/>
      <c r="AS51" s="98" t="n"/>
      <c r="AT51" s="98" t="n"/>
      <c r="AU51" s="98" t="n"/>
      <c r="AV51" s="98" t="n"/>
      <c r="AW51" s="98" t="n"/>
      <c r="AX51" s="98" t="n"/>
      <c r="AY51" s="98" t="n"/>
      <c r="AZ51" s="98" t="n"/>
      <c r="BA51" s="98" t="n"/>
      <c r="BB51" s="98" t="n"/>
      <c r="BC51" s="98" t="n"/>
      <c r="BD51" s="98" t="n"/>
      <c r="BE51" s="98" t="n"/>
      <c r="BF51" s="98" t="n"/>
      <c r="BG51" s="98" t="n"/>
      <c r="BH51" s="98" t="n"/>
      <c r="BI51" s="98" t="n"/>
      <c r="BJ51" s="98" t="n"/>
      <c r="BK51" s="98" t="n"/>
    </row>
    <row r="52">
      <c r="A52" s="99" t="inlineStr">
        <is>
          <t>COMPETITOR</t>
        </is>
      </c>
      <c r="L52" s="100" t="inlineStr">
        <is>
          <t>LISTING - catalog data</t>
        </is>
      </c>
      <c r="M52" s="101" t="inlineStr">
        <is>
          <t>SEARCH STRATEGY - market data search data</t>
        </is>
      </c>
      <c r="N52" s="102" t="inlineStr">
        <is>
          <t>PRICE &amp; SALES - market data snapshot (date per row)</t>
        </is>
      </c>
      <c r="AA52" s="100" t="inlineStr">
        <is>
          <t>LISTING - catalog data</t>
        </is>
      </c>
      <c r="AD52" s="101" t="inlineStr">
        <is>
          <t>SEARCH STRATEGY - market data search data</t>
        </is>
      </c>
      <c r="AU52" s="103" t="inlineStr">
        <is>
          <t>STR NOW - Amazon page check (Oct 13, P1 + P2)</t>
        </is>
      </c>
      <c r="BB52" s="104" t="inlineStr">
        <is>
          <t>BFCM 2025 - price history (P1 filled; yellow = not pulled yet)</t>
        </is>
      </c>
    </row>
    <row r="53" ht="48" customHeight="1">
      <c r="A53" s="26" t="inlineStr">
        <is>
          <t>Image</t>
        </is>
      </c>
      <c r="B53" s="26" t="inlineStr">
        <is>
          <t>Brand</t>
        </is>
      </c>
      <c r="C53" s="26" t="inlineStr">
        <is>
          <t>Product title</t>
        </is>
      </c>
      <c r="D53" s="26" t="inlineStr">
        <is>
          <t>Tier</t>
        </is>
      </c>
      <c r="E53" s="26" t="inlineStr">
        <is>
          <t>Competitor type</t>
        </is>
      </c>
      <c r="F53" s="26" t="inlineStr">
        <is>
          <t>Material</t>
        </is>
      </c>
      <c r="G53" s="26" t="inlineStr">
        <is>
          <t>Why this type</t>
        </is>
      </c>
      <c r="H53" s="26" t="inlineStr">
        <is>
          <t>Parent ASIN</t>
        </is>
      </c>
      <c r="I53" s="26" t="inlineStr">
        <is>
          <t>Tracked child ASIN</t>
        </is>
      </c>
      <c r="J53" s="26" t="inlineStr">
        <is>
          <t>Size</t>
        </is>
      </c>
      <c r="K53" s="26" t="inlineStr">
        <is>
          <t>Colour</t>
        </is>
      </c>
      <c r="L53" s="26" t="inlineStr">
        <is>
          <t>Variations</t>
        </is>
      </c>
      <c r="M53" s="26" t="inlineStr">
        <is>
          <t>Hero child ASINs (share of their visibility)</t>
        </is>
      </c>
      <c r="N53" s="26" t="inlineStr">
        <is>
          <t>Price ($)</t>
        </is>
      </c>
      <c r="O53" s="26" t="inlineStr">
        <is>
          <t>List Price ($)</t>
        </is>
      </c>
      <c r="P53" s="26" t="inlineStr">
        <is>
          <t>List Price % over</t>
        </is>
      </c>
      <c r="Q53" s="26" t="inlineStr">
        <is>
          <t>STR band</t>
        </is>
      </c>
      <c r="R53" s="26" t="inlineStr">
        <is>
          <t>Our price, same size ($)</t>
        </is>
      </c>
      <c r="S53" s="26" t="inlineStr">
        <is>
          <t>Their price vs ours</t>
        </is>
      </c>
      <c r="T53" s="26" t="inlineStr">
        <is>
          <t>Comparison basis</t>
        </is>
      </c>
      <c r="U53" s="26" t="inlineStr">
        <is>
          <t>BSR</t>
        </is>
      </c>
      <c r="V53" s="26" t="inlineStr">
        <is>
          <t>Est weekly units</t>
        </is>
      </c>
      <c r="W53" s="26" t="inlineStr">
        <is>
          <t>Est monthly revenue ($)</t>
        </is>
      </c>
      <c r="X53" s="26" t="inlineStr">
        <is>
          <t>Rating</t>
        </is>
      </c>
      <c r="Y53" s="26" t="inlineStr">
        <is>
          <t>Reviews</t>
        </is>
      </c>
      <c r="Z53" s="26" t="inlineStr">
        <is>
          <t>Snapshot date</t>
        </is>
      </c>
      <c r="AA53" s="26" t="inlineStr">
        <is>
          <t>Listed</t>
        </is>
      </c>
      <c r="AB53" s="26" t="inlineStr">
        <is>
          <t>Fulfil.</t>
        </is>
      </c>
      <c r="AC53" s="26" t="inlineStr">
        <is>
          <t>Seller country</t>
        </is>
      </c>
      <c r="AD53" s="26" t="inlineStr">
        <is>
          <t>search data 7d traffic</t>
        </is>
      </c>
      <c r="AE53" s="26" t="inlineStr">
        <is>
          <t>Keywords ranked</t>
        </is>
      </c>
      <c r="AF53" s="26" t="inlineStr">
        <is>
          <t>Organic share of traffic</t>
        </is>
      </c>
      <c r="AG53" s="26" t="inlineStr">
        <is>
          <t>Ad share of traffic</t>
        </is>
      </c>
      <c r="AH53" s="26" t="inlineStr">
        <is>
          <t>Top keyword</t>
        </is>
      </c>
      <c r="AI53" s="26" t="inlineStr">
        <is>
          <t>SP reach</t>
        </is>
      </c>
      <c r="AJ53" s="26" t="inlineStr">
        <is>
          <t>SB reach</t>
        </is>
      </c>
      <c r="AK53" s="26" t="inlineStr">
        <is>
          <t>SB video reach</t>
        </is>
      </c>
      <c r="AL53" s="26" t="inlineStr">
        <is>
          <t>Amazon's Choice reach</t>
        </is>
      </c>
      <c r="AM53" s="26" t="inlineStr">
        <is>
          <t>Shared keywords</t>
        </is>
      </c>
      <c r="AN53" s="26" t="inlineStr">
        <is>
          <t>We win</t>
        </is>
      </c>
      <c r="AO53" s="26" t="inlineStr">
        <is>
          <t>We lose</t>
        </is>
      </c>
      <c r="AP53" s="26" t="inlineStr">
        <is>
          <t>Their keywords we miss</t>
        </is>
      </c>
      <c r="AQ53" s="26" t="inlineStr">
        <is>
          <t>KWs they advertise, we don't</t>
        </is>
      </c>
      <c r="AR53" s="26" t="inlineStr">
        <is>
          <t>KWs they out-advertise us</t>
        </is>
      </c>
      <c r="AS53" s="26" t="inlineStr">
        <is>
          <t>Prime Day 2026 organic vis lift</t>
        </is>
      </c>
      <c r="AT53" s="26" t="inlineStr">
        <is>
          <t>Organic trend (Aug-Sep vs Q2)</t>
        </is>
      </c>
      <c r="AU53" s="26" t="inlineStr">
        <is>
          <t>STR showing now? (Y/N)</t>
        </is>
      </c>
      <c r="AV53" s="26" t="inlineStr">
        <is>
          <t>STR label</t>
        </is>
      </c>
      <c r="AW53" s="26" t="inlineStr">
        <is>
          <t>Strikethrough price ($)</t>
        </is>
      </c>
      <c r="AX53" s="26" t="inlineStr">
        <is>
          <t>Page price at check ($)</t>
        </is>
      </c>
      <c r="AY53" s="26" t="inlineStr">
        <is>
          <t>Deal / coupon now</t>
        </is>
      </c>
      <c r="AZ53" s="26" t="inlineStr">
        <is>
          <t>Orderable now (Y/N)</t>
        </is>
      </c>
      <c r="BA53" s="26" t="inlineStr">
        <is>
          <t>Checked (ET)</t>
        </is>
      </c>
      <c r="BB53" s="26" t="inlineStr">
        <is>
          <t>BFCM 2025 deal type</t>
        </is>
      </c>
      <c r="BC53" s="26" t="inlineStr">
        <is>
          <t>BFCM 2025 deal dates</t>
        </is>
      </c>
      <c r="BD53" s="26" t="inlineStr">
        <is>
          <t>Pre-event price ($)</t>
        </is>
      </c>
      <c r="BE53" s="26" t="inlineStr">
        <is>
          <t>BFCM 2025 low ($)</t>
        </is>
      </c>
      <c r="BF53" s="26" t="inlineStr">
        <is>
          <t>BFCM 2025 discount</t>
        </is>
      </c>
      <c r="BG53" s="26" t="inlineStr">
        <is>
          <t>BSR pre-event</t>
        </is>
      </c>
      <c r="BH53" s="26" t="inlineStr">
        <is>
          <t>BSR BFCM wk</t>
        </is>
      </c>
      <c r="BI53" s="26" t="inlineStr">
        <is>
          <t>BSR lift (x)</t>
        </is>
      </c>
      <c r="BJ53" s="26" t="inlineStr">
        <is>
          <t>OOS in BFCM? (Y/N)</t>
        </is>
      </c>
      <c r="BK53" s="26" t="inlineStr">
        <is>
          <t>Notes</t>
        </is>
      </c>
    </row>
    <row r="54" ht="62" customHeight="1">
      <c r="A54" s="12">
        <f>_xlfn.IMAGE("https://images-na.ssl-images-amazon.com/images/I/71pvB0uNgRL.jpg")</f>
        <v/>
      </c>
      <c r="B54" s="105" t="inlineStr">
        <is>
          <t>GOKOTTA</t>
        </is>
      </c>
      <c r="C54" s="39" t="inlineStr">
        <is>
          <t>GOKOTTA Fitted Sheet Queen Only,100% Rayon Derived from Bamboo Fitted Sheet,Ultr</t>
        </is>
      </c>
      <c r="D54" s="105" t="inlineStr">
        <is>
          <t>Aspirational</t>
        </is>
      </c>
      <c r="E54" s="106" t="inlineStr">
        <is>
          <t>Direct</t>
        </is>
      </c>
      <c r="F54" s="105" t="inlineStr">
        <is>
          <t>Bamboo viscose</t>
        </is>
      </c>
      <c r="G54" s="39" t="inlineStr">
        <is>
          <t>Same product (fitted sheet) in the same material family: Bamboo viscose (product page material: Bamboo Rayon); ours: our listing: viscose from bamboo.</t>
        </is>
      </c>
      <c r="H54" s="107" t="inlineStr">
        <is>
          <t>B0HDZG2ZQG</t>
        </is>
      </c>
      <c r="I54" s="107" t="inlineStr">
        <is>
          <t>B0B6P8YLQ7</t>
        </is>
      </c>
      <c r="J54" s="105" t="inlineStr">
        <is>
          <t>King</t>
        </is>
      </c>
      <c r="K54" s="105" t="inlineStr">
        <is>
          <t>Darkgrey</t>
        </is>
      </c>
      <c r="L54" s="108" t="n">
        <v>44</v>
      </c>
      <c r="M54" s="39" t="inlineStr">
        <is>
          <t>B0B6P8YLQ7 (23%), B0B6PCXT9Y (21%), B0BSPB3KM8 (11%), B0BSPCC8KT (7%), B0H3Z411TN (5%)</t>
        </is>
      </c>
      <c r="N54" s="109" t="n">
        <v>58</v>
      </c>
      <c r="O54" s="109" t="n"/>
      <c r="P54" s="110">
        <f>IF(AND(ISNUMBER(O54),ISNUMBER(N54),N(N54)&gt;0),O54/N54-1,"")</f>
        <v/>
      </c>
      <c r="Q54" s="111">
        <f>IF(P54="","No List Price",IF(P54&lt;=0,"At/below price",IF(P54&lt;=0.12,"&lt;=12% STR zone",IF(P54&lt;=0.25,"12-25%","&gt;25% over"))))</f>
        <v/>
      </c>
      <c r="R54" s="109" t="n">
        <v>39.95</v>
      </c>
      <c r="S54" s="112">
        <f>IF(AND(ISNUMBER(N54),ISNUMBER(R54),N(R54)&gt;0),N54/R54-1,"")</f>
        <v/>
      </c>
      <c r="T54" s="39" t="inlineStr">
        <is>
          <t>Same size (King). Ours live: catalog price, 2026-10-13; 9 children</t>
        </is>
      </c>
      <c r="U54" s="108" t="n">
        <v>23122</v>
      </c>
      <c r="V54" s="108" t="n">
        <v>35</v>
      </c>
      <c r="W54" s="113">
        <f>IF(AND(ISNUMBER(N54),ISNUMBER(V54)),N54*V54*52/12,"")</f>
        <v/>
      </c>
      <c r="X54" s="114" t="n">
        <v>4.6</v>
      </c>
      <c r="Y54" s="108" t="n">
        <v>976</v>
      </c>
      <c r="Z54" s="115" t="n">
        <v>46307</v>
      </c>
      <c r="AA54" s="115" t="n"/>
      <c r="AB54" s="105" t="n"/>
      <c r="AC54" s="105" t="n"/>
      <c r="AD54" s="108" t="n">
        <v>59725</v>
      </c>
      <c r="AE54" s="108" t="n">
        <v>1014</v>
      </c>
      <c r="AF54" s="116" t="n">
        <v>0.5241691837588952</v>
      </c>
      <c r="AG54" s="116" t="n">
        <v>0.4758308698200081</v>
      </c>
      <c r="AH54" s="39" t="inlineStr">
        <is>
          <t>bamboo sheets</t>
        </is>
      </c>
      <c r="AI54" s="116" t="n">
        <v>0.820460443700293</v>
      </c>
      <c r="AJ54" s="116" t="n">
        <v>0.06925073252406864</v>
      </c>
      <c r="AK54" s="116" t="n">
        <v>0.7406278777731269</v>
      </c>
      <c r="AL54" s="116" t="n">
        <v>0.002344077019673504</v>
      </c>
      <c r="AM54" s="108" t="n">
        <v>244</v>
      </c>
      <c r="AN54" s="108" t="n">
        <v>37</v>
      </c>
      <c r="AO54" s="108" t="n">
        <v>179</v>
      </c>
      <c r="AP54" s="108" t="n">
        <v>770</v>
      </c>
      <c r="AQ54" s="108" t="n">
        <v>403</v>
      </c>
      <c r="AR54" s="108" t="n">
        <v>0</v>
      </c>
      <c r="AS54" s="117" t="n"/>
      <c r="AT54" s="112" t="n"/>
      <c r="AU54" s="118" t="inlineStr">
        <is>
          <t>N</t>
        </is>
      </c>
      <c r="AV54" s="118" t="inlineStr">
        <is>
          <t>none</t>
        </is>
      </c>
      <c r="AW54" s="124" t="n"/>
      <c r="AX54" s="119" t="n">
        <v>58</v>
      </c>
      <c r="AY54" s="118" t="inlineStr">
        <is>
          <t>coupon 10%</t>
        </is>
      </c>
      <c r="AZ54" s="118" t="inlineStr">
        <is>
          <t>Y</t>
        </is>
      </c>
      <c r="BA54" s="118" t="inlineStr">
        <is>
          <t>2026-10-13 23:36:18</t>
        </is>
      </c>
      <c r="BB54" s="120" t="inlineStr">
        <is>
          <t>Price cut only</t>
        </is>
      </c>
      <c r="BC54" s="120" t="inlineStr">
        <is>
          <t>11-20 to 12-01</t>
        </is>
      </c>
      <c r="BD54" s="121" t="n">
        <v>54</v>
      </c>
      <c r="BE54" s="121" t="n">
        <v>43.2</v>
      </c>
      <c r="BF54" s="110">
        <f>IF(AND(ISNUMBER(BD54),ISNUMBER(BE54),N(BD54)&gt;0),1-BE54/BD54,"")</f>
        <v/>
      </c>
      <c r="BG54" s="122" t="n">
        <v>30505</v>
      </c>
      <c r="BH54" s="122" t="n">
        <v>25044</v>
      </c>
      <c r="BI54" s="123">
        <f>IF(AND(ISNUMBER(BG54),ISNUMBER(BH54),N(BH54)&gt;0),BG54/BH54,"")</f>
        <v/>
      </c>
      <c r="BJ54" s="120" t="inlineStr">
        <is>
          <t>N</t>
        </is>
      </c>
      <c r="BK54" s="120" t="inlineStr">
        <is>
          <t>Coupon 10% (11-01 to 11-01); List Price $100.00</t>
        </is>
      </c>
    </row>
    <row r="55" ht="62" customHeight="1">
      <c r="A55" s="12">
        <f>_xlfn.IMAGE("https://images-na.ssl-images-amazon.com/images/I/81UgXZwkGpL.jpg")</f>
        <v/>
      </c>
      <c r="B55" s="105" t="inlineStr">
        <is>
          <t>Zaizaihome</t>
        </is>
      </c>
      <c r="C55" s="39" t="inlineStr">
        <is>
          <t>Bamboo Viscose Cooling Fitted Sheet King Size Only</t>
        </is>
      </c>
      <c r="D55" s="105" t="inlineStr">
        <is>
          <t>Beatable</t>
        </is>
      </c>
      <c r="E55" s="106" t="inlineStr">
        <is>
          <t>Direct</t>
        </is>
      </c>
      <c r="F55" s="105" t="inlineStr">
        <is>
          <t>Bamboo viscose</t>
        </is>
      </c>
      <c r="G55" s="39" t="inlineStr">
        <is>
          <t>Same product (fitted sheet) in the same material family: Bamboo viscose (product page material: Viscose Derived from Bamboo); ours: our listing: viscose from bamboo.</t>
        </is>
      </c>
      <c r="H55" s="107" t="inlineStr">
        <is>
          <t>B0CXPDKH51</t>
        </is>
      </c>
      <c r="I55" s="107" t="inlineStr">
        <is>
          <t>B0CXPKK5DD</t>
        </is>
      </c>
      <c r="J55" s="105" t="inlineStr">
        <is>
          <t>King</t>
        </is>
      </c>
      <c r="K55" s="105" t="inlineStr">
        <is>
          <t>Dark Grey</t>
        </is>
      </c>
      <c r="L55" s="108" t="n">
        <v>79</v>
      </c>
      <c r="M55" s="39" t="inlineStr">
        <is>
          <t>B0CXPB1BGB (23%), B0CXNY88FM (22%), B0CXPKK5DD (18%), B0D9RVK2M1 (15%), B0CXPL68WG (10%)</t>
        </is>
      </c>
      <c r="N55" s="109" t="n">
        <v>29.99</v>
      </c>
      <c r="O55" s="109" t="n"/>
      <c r="P55" s="110">
        <f>IF(AND(ISNUMBER(O55),ISNUMBER(N55),N(N55)&gt;0),O55/N55-1,"")</f>
        <v/>
      </c>
      <c r="Q55" s="111">
        <f>IF(P55="","No List Price",IF(P55&lt;=0,"At/below price",IF(P55&lt;=0.12,"&lt;=12% STR zone",IF(P55&lt;=0.25,"12-25%","&gt;25% over"))))</f>
        <v/>
      </c>
      <c r="R55" s="109" t="n">
        <v>39.95</v>
      </c>
      <c r="S55" s="112">
        <f>IF(AND(ISNUMBER(N55),ISNUMBER(R55),N(R55)&gt;0),N55/R55-1,"")</f>
        <v/>
      </c>
      <c r="T55" s="39" t="inlineStr">
        <is>
          <t>Same size (King). Ours live: catalog price, 2026-10-13; 9 children</t>
        </is>
      </c>
      <c r="U55" s="108" t="n">
        <v>9600</v>
      </c>
      <c r="V55" s="108" t="n">
        <v>81</v>
      </c>
      <c r="W55" s="113">
        <f>IF(AND(ISNUMBER(N55),ISNUMBER(V55)),N55*V55*52/12,"")</f>
        <v/>
      </c>
      <c r="X55" s="114" t="n">
        <v>4.3</v>
      </c>
      <c r="Y55" s="108" t="n">
        <v>1029</v>
      </c>
      <c r="Z55" s="115" t="n">
        <v>46307</v>
      </c>
      <c r="AA55" s="115" t="n">
        <v>45362</v>
      </c>
      <c r="AB55" s="105" t="inlineStr">
        <is>
          <t>FBA</t>
        </is>
      </c>
      <c r="AC55" s="105" t="inlineStr">
        <is>
          <t>CN</t>
        </is>
      </c>
      <c r="AD55" s="108" t="n">
        <v>80454</v>
      </c>
      <c r="AE55" s="108" t="n">
        <v>892</v>
      </c>
      <c r="AF55" s="116" t="n">
        <v>0.9934371106470778</v>
      </c>
      <c r="AG55" s="116" t="n">
        <v>0.006562889352922167</v>
      </c>
      <c r="AH55" s="39" t="inlineStr">
        <is>
          <t>bamboo sheets</t>
        </is>
      </c>
      <c r="AI55" s="116" t="n">
        <v>0.05738682974121859</v>
      </c>
      <c r="AJ55" s="116" t="n"/>
      <c r="AK55" s="116" t="n"/>
      <c r="AL55" s="116" t="n">
        <v>0.1354811445049345</v>
      </c>
      <c r="AM55" s="108" t="n">
        <v>276</v>
      </c>
      <c r="AN55" s="108" t="n">
        <v>29</v>
      </c>
      <c r="AO55" s="108" t="n">
        <v>230</v>
      </c>
      <c r="AP55" s="108" t="n">
        <v>616</v>
      </c>
      <c r="AQ55" s="108" t="n">
        <v>39</v>
      </c>
      <c r="AR55" s="108" t="n">
        <v>0</v>
      </c>
      <c r="AS55" s="117" t="n">
        <v>0.9810017271157168</v>
      </c>
      <c r="AT55" s="112" t="n">
        <v>-0.07202680067001677</v>
      </c>
      <c r="AU55" s="118" t="inlineStr">
        <is>
          <t>N</t>
        </is>
      </c>
      <c r="AV55" s="118" t="inlineStr">
        <is>
          <t>none</t>
        </is>
      </c>
      <c r="AW55" s="124" t="n"/>
      <c r="AX55" s="119" t="n">
        <v>29.99</v>
      </c>
      <c r="AY55" s="118" t="inlineStr">
        <is>
          <t>none</t>
        </is>
      </c>
      <c r="AZ55" s="118" t="inlineStr">
        <is>
          <t>Y</t>
        </is>
      </c>
      <c r="BA55" s="118" t="inlineStr">
        <is>
          <t>2026-10-13 23:37:12</t>
        </is>
      </c>
      <c r="BB55" s="120" t="inlineStr">
        <is>
          <t>Prime Exclusive Discount</t>
        </is>
      </c>
      <c r="BC55" s="120" t="inlineStr">
        <is>
          <t>11-26 to 12-01</t>
        </is>
      </c>
      <c r="BD55" s="121" t="n">
        <v>27.59</v>
      </c>
      <c r="BE55" s="121" t="n">
        <v>23.69</v>
      </c>
      <c r="BF55" s="110">
        <f>IF(AND(ISNUMBER(BD55),ISNUMBER(BE55),N(BD55)&gt;0),1-BE55/BD55,"")</f>
        <v/>
      </c>
      <c r="BG55" s="122" t="n">
        <v>20417</v>
      </c>
      <c r="BH55" s="122" t="n">
        <v>21270</v>
      </c>
      <c r="BI55" s="123">
        <f>IF(AND(ISNUMBER(BG55),ISNUMBER(BH55),N(BH55)&gt;0),BG55/BH55,"")</f>
        <v/>
      </c>
      <c r="BJ55" s="120" t="inlineStr">
        <is>
          <t>N</t>
        </is>
      </c>
      <c r="BK55" s="120" t="inlineStr">
        <is>
          <t>Buy Box RAISED in BFCM week (median $29.99 vs $27.59 before); List Price $29.99</t>
        </is>
      </c>
    </row>
    <row r="56" ht="62" customHeight="1">
      <c r="A56" s="12">
        <f>_xlfn.IMAGE("https://images-na.ssl-images-amazon.com/images/I/81OVUx9lkCL.jpg")</f>
        <v/>
      </c>
      <c r="B56" s="105" t="inlineStr">
        <is>
          <t>Bedsure</t>
        </is>
      </c>
      <c r="C56" s="39" t="inlineStr">
        <is>
          <t>Bedsure PureWoven Queen Fitted Sheet Qnly, 100% Rayon Derived from Bamboo</t>
        </is>
      </c>
      <c r="D56" s="105" t="inlineStr">
        <is>
          <t>Beatable</t>
        </is>
      </c>
      <c r="E56" s="106" t="inlineStr">
        <is>
          <t>Direct</t>
        </is>
      </c>
      <c r="F56" s="105" t="inlineStr">
        <is>
          <t>Bamboo viscose</t>
        </is>
      </c>
      <c r="G56" s="39" t="inlineStr">
        <is>
          <t>Same product (fitted sheet) in the same material family: Bamboo viscose (product page material: Rayon Derived from Bamboo); ours: our listing: viscose from bamboo.</t>
        </is>
      </c>
      <c r="H56" s="107" t="inlineStr">
        <is>
          <t>B0FW3SSM8K</t>
        </is>
      </c>
      <c r="I56" s="107" t="inlineStr">
        <is>
          <t>B0FW38KM4S</t>
        </is>
      </c>
      <c r="J56" s="105" t="inlineStr">
        <is>
          <t>Queen (1 PC)</t>
        </is>
      </c>
      <c r="K56" s="105" t="inlineStr">
        <is>
          <t>01 - Grey</t>
        </is>
      </c>
      <c r="L56" s="108" t="n">
        <v>24</v>
      </c>
      <c r="M56" s="39" t="inlineStr">
        <is>
          <t>B0FW38KM4S (53%), B0FVX8LSVV (17%), B0FW3WF617 (12%)</t>
        </is>
      </c>
      <c r="N56" s="109" t="n">
        <v>44.99</v>
      </c>
      <c r="O56" s="109" t="n"/>
      <c r="P56" s="110">
        <f>IF(AND(ISNUMBER(O56),ISNUMBER(N56),N(N56)&gt;0),O56/N56-1,"")</f>
        <v/>
      </c>
      <c r="Q56" s="111">
        <f>IF(P56="","No List Price",IF(P56&lt;=0,"At/below price",IF(P56&lt;=0.12,"&lt;=12% STR zone",IF(P56&lt;=0.25,"12-25%","&gt;25% over"))))</f>
        <v/>
      </c>
      <c r="R56" s="109" t="n">
        <v>37.95</v>
      </c>
      <c r="S56" s="112">
        <f>IF(AND(ISNUMBER(N56),ISNUMBER(R56),N(R56)&gt;0),N56/R56-1,"")</f>
        <v/>
      </c>
      <c r="T56" s="39" t="inlineStr">
        <is>
          <t>Same size (Queen). Ours live: catalog price, 2026-10-13; 10 children</t>
        </is>
      </c>
      <c r="U56" s="108" t="n">
        <v>19075</v>
      </c>
      <c r="V56" s="108" t="n">
        <v>81</v>
      </c>
      <c r="W56" s="113">
        <f>IF(AND(ISNUMBER(N56),ISNUMBER(V56)),N56*V56*52/12,"")</f>
        <v/>
      </c>
      <c r="X56" s="114" t="n">
        <v>4.4</v>
      </c>
      <c r="Y56" s="108" t="n">
        <v>168</v>
      </c>
      <c r="Z56" s="115" t="n">
        <v>46307</v>
      </c>
      <c r="AA56" s="115" t="n">
        <v>46069</v>
      </c>
      <c r="AB56" s="105" t="inlineStr">
        <is>
          <t>FBA</t>
        </is>
      </c>
      <c r="AC56" s="105" t="inlineStr">
        <is>
          <t>US</t>
        </is>
      </c>
      <c r="AD56" s="108" t="n">
        <v>95724</v>
      </c>
      <c r="AE56" s="108" t="n">
        <v>951</v>
      </c>
      <c r="AF56" s="116" t="n">
        <v>0.3728984204588193</v>
      </c>
      <c r="AG56" s="116" t="n">
        <v>0.6271016129706236</v>
      </c>
      <c r="AH56" s="39" t="inlineStr">
        <is>
          <t>fitted sheet queen</t>
        </is>
      </c>
      <c r="AI56" s="116" t="n">
        <v>0.7297856336968785</v>
      </c>
      <c r="AJ56" s="116" t="n">
        <v>0.5296686306464419</v>
      </c>
      <c r="AK56" s="116" t="n"/>
      <c r="AL56" s="116" t="n">
        <v>0.02295140194726505</v>
      </c>
      <c r="AM56" s="108" t="n">
        <v>309</v>
      </c>
      <c r="AN56" s="108" t="n">
        <v>34</v>
      </c>
      <c r="AO56" s="108" t="n">
        <v>254</v>
      </c>
      <c r="AP56" s="108" t="n">
        <v>642</v>
      </c>
      <c r="AQ56" s="108" t="n">
        <v>455</v>
      </c>
      <c r="AR56" s="108" t="n">
        <v>0</v>
      </c>
      <c r="AS56" s="117" t="n">
        <v>1.177319587628866</v>
      </c>
      <c r="AT56" s="112" t="n">
        <v>0.0270270270270272</v>
      </c>
      <c r="AU56" s="118" t="inlineStr">
        <is>
          <t>Y</t>
        </is>
      </c>
      <c r="AV56" s="118" t="inlineStr">
        <is>
          <t>List Price</t>
        </is>
      </c>
      <c r="AW56" s="119" t="n">
        <v>49.99</v>
      </c>
      <c r="AX56" s="119" t="n">
        <v>44.99</v>
      </c>
      <c r="AY56" s="118" t="inlineStr">
        <is>
          <t>none</t>
        </is>
      </c>
      <c r="AZ56" s="118" t="inlineStr">
        <is>
          <t>Y</t>
        </is>
      </c>
      <c r="BA56" s="118" t="inlineStr">
        <is>
          <t>2026-10-13 23:35:19</t>
        </is>
      </c>
      <c r="BB56" s="120" t="inlineStr">
        <is>
          <t>Not live in 2025</t>
        </is>
      </c>
      <c r="BC56" s="125" t="n"/>
      <c r="BD56" s="124" t="n"/>
      <c r="BE56" s="124" t="n"/>
      <c r="BF56" s="110">
        <f>IF(AND(ISNUMBER(BD56),ISNUMBER(BE56),N(BD56)&gt;0),1-BE56/BD56,"")</f>
        <v/>
      </c>
      <c r="BG56" s="126" t="n"/>
      <c r="BH56" s="126" t="n"/>
      <c r="BI56" s="123">
        <f>IF(AND(ISNUMBER(BG56),ISNUMBER(BH56),N(BH56)&gt;0),BG56/BH56,"")</f>
        <v/>
      </c>
      <c r="BJ56" s="125" t="n"/>
      <c r="BK56" s="125" t="n"/>
    </row>
    <row r="57" ht="62" customHeight="1">
      <c r="A57" s="12">
        <f>_xlfn.IMAGE("https://images-na.ssl-images-amazon.com/images/I/71AIQ3TCTsL.jpg")</f>
        <v/>
      </c>
      <c r="B57" s="105" t="inlineStr">
        <is>
          <t>BC BELLA COTERIE</t>
        </is>
      </c>
      <c r="C57" s="39" t="inlineStr">
        <is>
          <t>Bella Coterie | Luxury Bamboo Viscose King Size Fitted Sheet Only</t>
        </is>
      </c>
      <c r="D57" s="105" t="inlineStr">
        <is>
          <t>Beatable</t>
        </is>
      </c>
      <c r="E57" s="106" t="inlineStr">
        <is>
          <t>Direct</t>
        </is>
      </c>
      <c r="F57" s="105" t="inlineStr">
        <is>
          <t>Bamboo viscose</t>
        </is>
      </c>
      <c r="G57" s="39" t="inlineStr">
        <is>
          <t>Same product (fitted sheet) in the same material family: Bamboo viscose (product page material: Organically Grown Viscose Made From Bamboo); ours: our listing: viscose from bamboo.</t>
        </is>
      </c>
      <c r="H57" s="107" t="inlineStr">
        <is>
          <t>B0FP7WBFNJ</t>
        </is>
      </c>
      <c r="I57" s="107" t="inlineStr">
        <is>
          <t>B0CZXZCTJP</t>
        </is>
      </c>
      <c r="J57" s="105" t="inlineStr">
        <is>
          <t>King</t>
        </is>
      </c>
      <c r="K57" s="105" t="inlineStr">
        <is>
          <t>Ivory</t>
        </is>
      </c>
      <c r="L57" s="108" t="n">
        <v>126</v>
      </c>
      <c r="M57" s="39" t="inlineStr">
        <is>
          <t>B0CZY15Z61 (17%), B0CZXZB79R (16%), B0CZXZCTJP (12%), B0CZY1CFH6 (7%), B0CZY1F63K (7%)</t>
        </is>
      </c>
      <c r="N57" s="109" t="n">
        <v>54.99</v>
      </c>
      <c r="O57" s="109" t="n"/>
      <c r="P57" s="110">
        <f>IF(AND(ISNUMBER(O57),ISNUMBER(N57),N(N57)&gt;0),O57/N57-1,"")</f>
        <v/>
      </c>
      <c r="Q57" s="111">
        <f>IF(P57="","No List Price",IF(P57&lt;=0,"At/below price",IF(P57&lt;=0.12,"&lt;=12% STR zone",IF(P57&lt;=0.25,"12-25%","&gt;25% over"))))</f>
        <v/>
      </c>
      <c r="R57" s="109" t="n">
        <v>39.95</v>
      </c>
      <c r="S57" s="112">
        <f>IF(AND(ISNUMBER(N57),ISNUMBER(R57),N(R57)&gt;0),N57/R57-1,"")</f>
        <v/>
      </c>
      <c r="T57" s="39" t="inlineStr">
        <is>
          <t>Same size (King). Ours live: catalog price, 2026-10-13; 9 children</t>
        </is>
      </c>
      <c r="U57" s="108" t="n">
        <v>13383</v>
      </c>
      <c r="V57" s="108" t="n">
        <v>35</v>
      </c>
      <c r="W57" s="113">
        <f>IF(AND(ISNUMBER(N57),ISNUMBER(V57)),N57*V57*52/12,"")</f>
        <v/>
      </c>
      <c r="X57" s="114" t="n">
        <v>4.5</v>
      </c>
      <c r="Y57" s="108" t="n">
        <v>331</v>
      </c>
      <c r="Z57" s="115" t="n">
        <v>46307</v>
      </c>
      <c r="AA57" s="115" t="n">
        <v>45387</v>
      </c>
      <c r="AB57" s="105" t="inlineStr">
        <is>
          <t>FBA</t>
        </is>
      </c>
      <c r="AC57" s="105" t="inlineStr">
        <is>
          <t>US</t>
        </is>
      </c>
      <c r="AD57" s="108" t="n">
        <v>157609</v>
      </c>
      <c r="AE57" s="108" t="n">
        <v>2308</v>
      </c>
      <c r="AF57" s="116" t="n">
        <v>0.3003846861537098</v>
      </c>
      <c r="AG57" s="116" t="n">
        <v>0.6996153544531084</v>
      </c>
      <c r="AH57" s="39" t="inlineStr">
        <is>
          <t>fitted sheet queen</t>
        </is>
      </c>
      <c r="AI57" s="116" t="n">
        <v>0.85385986840853</v>
      </c>
      <c r="AJ57" s="116" t="n">
        <v>0.1863916400713157</v>
      </c>
      <c r="AK57" s="116" t="n"/>
      <c r="AL57" s="116" t="n">
        <v>0.009263430387858561</v>
      </c>
      <c r="AM57" s="108" t="n">
        <v>306</v>
      </c>
      <c r="AN57" s="108" t="n">
        <v>32</v>
      </c>
      <c r="AO57" s="108" t="n">
        <v>249</v>
      </c>
      <c r="AP57" s="108" t="n">
        <v>2002</v>
      </c>
      <c r="AQ57" s="108" t="n">
        <v>968</v>
      </c>
      <c r="AR57" s="108" t="n">
        <v>0</v>
      </c>
      <c r="AS57" s="117" t="n">
        <v>1.303030303030303</v>
      </c>
      <c r="AT57" s="112" t="n">
        <v>-0.07523510971786829</v>
      </c>
      <c r="AU57" s="118" t="inlineStr">
        <is>
          <t>N</t>
        </is>
      </c>
      <c r="AV57" s="118" t="inlineStr">
        <is>
          <t>none</t>
        </is>
      </c>
      <c r="AW57" s="124" t="n"/>
      <c r="AX57" s="119" t="n">
        <v>54.99</v>
      </c>
      <c r="AY57" s="118" t="inlineStr">
        <is>
          <t>coupon $15</t>
        </is>
      </c>
      <c r="AZ57" s="118" t="inlineStr">
        <is>
          <t>Y</t>
        </is>
      </c>
      <c r="BA57" s="118" t="inlineStr">
        <is>
          <t>2026-10-13 23:35:38</t>
        </is>
      </c>
      <c r="BB57" s="120" t="inlineStr">
        <is>
          <t>None</t>
        </is>
      </c>
      <c r="BC57" s="125" t="n"/>
      <c r="BD57" s="121" t="n">
        <v>54.99</v>
      </c>
      <c r="BE57" s="121" t="n">
        <v>54.99</v>
      </c>
      <c r="BF57" s="110">
        <f>IF(AND(ISNUMBER(BD57),ISNUMBER(BE57),N(BD57)&gt;0),1-BE57/BD57,"")</f>
        <v/>
      </c>
      <c r="BG57" s="122" t="n">
        <v>49325</v>
      </c>
      <c r="BH57" s="122" t="n">
        <v>57116</v>
      </c>
      <c r="BI57" s="123">
        <f>IF(AND(ISNUMBER(BG57),ISNUMBER(BH57),N(BH57)&gt;0),BG57/BH57,"")</f>
        <v/>
      </c>
      <c r="BJ57" s="120" t="inlineStr">
        <is>
          <t>N</t>
        </is>
      </c>
      <c r="BK57" s="120" t="inlineStr">
        <is>
          <t>List Price $54.99</t>
        </is>
      </c>
    </row>
    <row r="58" ht="62" customHeight="1">
      <c r="A58" s="12">
        <f>_xlfn.IMAGE("https://m.media-amazon.com/images/I/61L1TXtZ28L._AC_SL1500_.jpg")</f>
        <v/>
      </c>
      <c r="B58" s="105" t="inlineStr">
        <is>
          <t>REST</t>
        </is>
      </c>
      <c r="C58" s="39" t="inlineStr">
        <is>
          <t>REST® Evercool®+ Fitted Sheet, Full Size, Light Blue, 15" Deep (up to 18’’), Bre</t>
        </is>
      </c>
      <c r="D58" s="105" t="inlineStr">
        <is>
          <t>Aspirational</t>
        </is>
      </c>
      <c r="E58" s="128" t="inlineStr">
        <is>
          <t>Alternative material</t>
        </is>
      </c>
      <c r="F58" s="105" t="inlineStr">
        <is>
          <t>Synthetic cooling knit</t>
        </is>
      </c>
      <c r="G58" s="39" t="inlineStr">
        <is>
          <t>Fitted sheet in Synthetic cooling knit (product page material: IONIC+ silver yarn, superfine denier nylon, spandex, Skin Fr); ours is Bamboo viscose (our listing: viscose from bamboo). Shopper may cross-shop, but not like-for-like.</t>
        </is>
      </c>
      <c r="H58" s="107" t="inlineStr">
        <is>
          <t>B0C14HFDS1</t>
        </is>
      </c>
      <c r="I58" s="107" t="inlineStr">
        <is>
          <t>B0D4Y6RKLL</t>
        </is>
      </c>
      <c r="J58" s="105" t="inlineStr">
        <is>
          <t>King</t>
        </is>
      </c>
      <c r="K58" s="105" t="inlineStr">
        <is>
          <t>Arctic White</t>
        </is>
      </c>
      <c r="L58" s="108" t="n">
        <v>36</v>
      </c>
      <c r="M58" s="39" t="inlineStr">
        <is>
          <t>B0BW997FWC (40%), B0BW995YFQ (25%), B0C14BKYXL (10%), B0C14BV615 (10%)</t>
        </is>
      </c>
      <c r="N58" s="109" t="n">
        <v>111.2</v>
      </c>
      <c r="O58" s="109" t="n">
        <v>139</v>
      </c>
      <c r="P58" s="110">
        <f>IF(AND(ISNUMBER(O58),ISNUMBER(N58),N(N58)&gt;0),O58/N58-1,"")</f>
        <v/>
      </c>
      <c r="Q58" s="111">
        <f>IF(P58="","No List Price",IF(P58&lt;=0,"At/below price",IF(P58&lt;=0.12,"&lt;=12% STR zone",IF(P58&lt;=0.25,"12-25%","&gt;25% over"))))</f>
        <v/>
      </c>
      <c r="R58" s="109" t="n">
        <v>39.95</v>
      </c>
      <c r="S58" s="112">
        <f>IF(AND(ISNUMBER(N58),ISNUMBER(R58),N(R58)&gt;0),N58/R58-1,"")</f>
        <v/>
      </c>
      <c r="T58" s="39" t="inlineStr">
        <is>
          <t>Same size (King). Ours live: catalog price, 2026-10-13; 9 children</t>
        </is>
      </c>
      <c r="U58" s="108" t="n">
        <v>22651</v>
      </c>
      <c r="V58" s="108" t="n">
        <v>35</v>
      </c>
      <c r="W58" s="113">
        <f>IF(AND(ISNUMBER(N58),ISNUMBER(V58)),N58*V58*52/12,"")</f>
        <v/>
      </c>
      <c r="X58" s="114" t="n">
        <v>4.4</v>
      </c>
      <c r="Y58" s="108" t="n">
        <v>663</v>
      </c>
      <c r="Z58" s="115" t="n">
        <v>46307</v>
      </c>
      <c r="AA58" s="115" t="n"/>
      <c r="AB58" s="105" t="n"/>
      <c r="AC58" s="105" t="n"/>
      <c r="AD58" s="108" t="n">
        <v>110996</v>
      </c>
      <c r="AE58" s="108" t="n">
        <v>2646</v>
      </c>
      <c r="AF58" s="116" t="n">
        <v>0.5327084201232477</v>
      </c>
      <c r="AG58" s="116" t="n">
        <v>0.4672916087066201</v>
      </c>
      <c r="AH58" s="39" t="inlineStr">
        <is>
          <t>sheets</t>
        </is>
      </c>
      <c r="AI58" s="116" t="n">
        <v>0.6569516018595265</v>
      </c>
      <c r="AJ58" s="116" t="n">
        <v>0.6046073732386753</v>
      </c>
      <c r="AK58" s="116" t="n"/>
      <c r="AL58" s="116" t="n">
        <v>0.009036361670690836</v>
      </c>
      <c r="AM58" s="108" t="n">
        <v>147</v>
      </c>
      <c r="AN58" s="108" t="n">
        <v>44</v>
      </c>
      <c r="AO58" s="108" t="n">
        <v>75</v>
      </c>
      <c r="AP58" s="108" t="n">
        <v>2499</v>
      </c>
      <c r="AQ58" s="108" t="n">
        <v>776</v>
      </c>
      <c r="AR58" s="108" t="n">
        <v>0</v>
      </c>
      <c r="AS58" s="117" t="n"/>
      <c r="AT58" s="112" t="n"/>
      <c r="AU58" s="118" t="inlineStr">
        <is>
          <t>Y</t>
        </is>
      </c>
      <c r="AV58" s="118" t="inlineStr">
        <is>
          <t>List Price</t>
        </is>
      </c>
      <c r="AW58" s="119" t="n">
        <v>139</v>
      </c>
      <c r="AX58" s="119" t="n">
        <v>111.2</v>
      </c>
      <c r="AY58" s="118" t="inlineStr">
        <is>
          <t>none</t>
        </is>
      </c>
      <c r="AZ58" s="118" t="inlineStr">
        <is>
          <t>Y</t>
        </is>
      </c>
      <c r="BA58" s="118" t="inlineStr">
        <is>
          <t>2026-10-13 23:36:46</t>
        </is>
      </c>
      <c r="BB58" s="120" t="inlineStr">
        <is>
          <t>Price cut only</t>
        </is>
      </c>
      <c r="BC58" s="120" t="inlineStr">
        <is>
          <t>11-20 to 12-01</t>
        </is>
      </c>
      <c r="BD58" s="121" t="n">
        <v>111.2</v>
      </c>
      <c r="BE58" s="121" t="n">
        <v>104.25</v>
      </c>
      <c r="BF58" s="110">
        <f>IF(AND(ISNUMBER(BD58),ISNUMBER(BE58),N(BD58)&gt;0),1-BE58/BD58,"")</f>
        <v/>
      </c>
      <c r="BG58" s="122" t="n">
        <v>60121</v>
      </c>
      <c r="BH58" s="122" t="n">
        <v>38546</v>
      </c>
      <c r="BI58" s="123">
        <f>IF(AND(ISNUMBER(BG58),ISNUMBER(BH58),N(BH58)&gt;0),BG58/BH58,"")</f>
        <v/>
      </c>
      <c r="BJ58" s="120" t="inlineStr">
        <is>
          <t>N</t>
        </is>
      </c>
      <c r="BK58" s="120" t="inlineStr">
        <is>
          <t>Lightning Deal 11-09 to 11-10; List Price $139.00</t>
        </is>
      </c>
    </row>
    <row r="59" ht="62" customHeight="1">
      <c r="A59" s="12">
        <f>_xlfn.IMAGE("https://m.media-amazon.com/images/I/71EKXfc2t8L._AC_SL1500_.jpg")</f>
        <v/>
      </c>
      <c r="B59" s="105" t="inlineStr">
        <is>
          <t>Cozy Bliss</t>
        </is>
      </c>
      <c r="C59" s="39" t="inlineStr">
        <is>
          <t>Cooling Fitted Sheet</t>
        </is>
      </c>
      <c r="D59" s="105" t="inlineStr">
        <is>
          <t>Beatable</t>
        </is>
      </c>
      <c r="E59" s="128" t="inlineStr">
        <is>
          <t>Alternative material</t>
        </is>
      </c>
      <c r="F59" s="105" t="inlineStr">
        <is>
          <t>Synthetic cooling knit</t>
        </is>
      </c>
      <c r="G59" s="39" t="inlineStr">
        <is>
          <t>Fitted sheet in Synthetic cooling knit (product page material: 90%Nylon 10%Spandex); ours is Bamboo viscose (our listing: viscose from bamboo). Shopper may cross-shop, but not like-for-like.</t>
        </is>
      </c>
      <c r="H59" s="107" t="inlineStr">
        <is>
          <t>B0DT14Y4VJ</t>
        </is>
      </c>
      <c r="I59" s="107" t="inlineStr">
        <is>
          <t>B0DMNMPVJP</t>
        </is>
      </c>
      <c r="J59" s="105" t="inlineStr">
        <is>
          <t>Queen(no Flat Sheet)</t>
        </is>
      </c>
      <c r="K59" s="105" t="inlineStr">
        <is>
          <t>Cool Blue</t>
        </is>
      </c>
      <c r="L59" s="108" t="n">
        <v>23</v>
      </c>
      <c r="M59" s="39" t="inlineStr">
        <is>
          <t>B0DMNPF218 (54%), B0DMNQDZNB (21%), B0GFDTCKDD (9%)</t>
        </is>
      </c>
      <c r="N59" s="109" t="n">
        <v>74.98999999999999</v>
      </c>
      <c r="O59" s="109" t="n"/>
      <c r="P59" s="110">
        <f>IF(AND(ISNUMBER(O59),ISNUMBER(N59),N(N59)&gt;0),O59/N59-1,"")</f>
        <v/>
      </c>
      <c r="Q59" s="111">
        <f>IF(P59="","No List Price",IF(P59&lt;=0,"At/below price",IF(P59&lt;=0.12,"&lt;=12% STR zone",IF(P59&lt;=0.25,"12-25%","&gt;25% over"))))</f>
        <v/>
      </c>
      <c r="R59" s="109" t="n">
        <v>37.95</v>
      </c>
      <c r="S59" s="112">
        <f>IF(AND(ISNUMBER(N59),ISNUMBER(R59),N(R59)&gt;0),N59/R59-1,"")</f>
        <v/>
      </c>
      <c r="T59" s="39" t="inlineStr">
        <is>
          <t>Same size (Queen). Ours live: catalog price, 2026-10-13; 10 children</t>
        </is>
      </c>
      <c r="U59" s="108" t="n">
        <v>100300</v>
      </c>
      <c r="V59" s="108" t="n">
        <v>5</v>
      </c>
      <c r="W59" s="113">
        <f>IF(AND(ISNUMBER(N59),ISNUMBER(V59)),N59*V59*52/12,"")</f>
        <v/>
      </c>
      <c r="X59" s="114" t="n">
        <v>4.5</v>
      </c>
      <c r="Y59" s="108" t="n">
        <v>456</v>
      </c>
      <c r="Z59" s="115" t="n">
        <v>46307</v>
      </c>
      <c r="AA59" s="115" t="n"/>
      <c r="AB59" s="105" t="n"/>
      <c r="AC59" s="105" t="n"/>
      <c r="AD59" s="108" t="n">
        <v>14965</v>
      </c>
      <c r="AE59" s="108" t="n">
        <v>410</v>
      </c>
      <c r="AF59" s="116" t="n">
        <v>0.8178404944871368</v>
      </c>
      <c r="AG59" s="116" t="n">
        <v>0.1821595055128634</v>
      </c>
      <c r="AH59" s="39" t="inlineStr">
        <is>
          <t>cooling sheets</t>
        </is>
      </c>
      <c r="AI59" s="116" t="n">
        <v>0.307584363514868</v>
      </c>
      <c r="AJ59" s="116" t="n"/>
      <c r="AK59" s="116" t="n">
        <v>0.6962245238890745</v>
      </c>
      <c r="AL59" s="116" t="n">
        <v>0.03200801871032409</v>
      </c>
      <c r="AM59" s="108" t="n">
        <v>70</v>
      </c>
      <c r="AN59" s="108" t="n">
        <v>24</v>
      </c>
      <c r="AO59" s="108" t="n">
        <v>25</v>
      </c>
      <c r="AP59" s="108" t="n">
        <v>340</v>
      </c>
      <c r="AQ59" s="108" t="n">
        <v>70</v>
      </c>
      <c r="AR59" s="108" t="n">
        <v>0</v>
      </c>
      <c r="AS59" s="117" t="n"/>
      <c r="AT59" s="112" t="n"/>
      <c r="AU59" s="118" t="inlineStr">
        <is>
          <t>N</t>
        </is>
      </c>
      <c r="AV59" s="118" t="inlineStr">
        <is>
          <t>none</t>
        </is>
      </c>
      <c r="AW59" s="124" t="n"/>
      <c r="AX59" s="119" t="n">
        <v>74.98999999999999</v>
      </c>
      <c r="AY59" s="118" t="inlineStr">
        <is>
          <t>none</t>
        </is>
      </c>
      <c r="AZ59" s="118" t="inlineStr">
        <is>
          <t>Y</t>
        </is>
      </c>
      <c r="BA59" s="118" t="inlineStr">
        <is>
          <t>2026-10-13 23:36:02</t>
        </is>
      </c>
      <c r="BB59" s="125" t="n"/>
      <c r="BC59" s="125" t="n"/>
      <c r="BD59" s="124" t="n"/>
      <c r="BE59" s="124" t="n"/>
      <c r="BF59" s="110">
        <f>IF(AND(ISNUMBER(BD59),ISNUMBER(BE59),N(BD59)&gt;0),1-BE59/BD59,"")</f>
        <v/>
      </c>
      <c r="BG59" s="122" t="n">
        <v>144127</v>
      </c>
      <c r="BH59" s="122" t="n">
        <v>128889</v>
      </c>
      <c r="BI59" s="123">
        <f>IF(AND(ISNUMBER(BG59),ISNUMBER(BH59),N(BH59)&gt;0),BG59/BH59,"")</f>
        <v/>
      </c>
      <c r="BJ59" s="120" t="inlineStr">
        <is>
          <t>Y</t>
        </is>
      </c>
      <c r="BK59" s="120" t="inlineStr">
        <is>
          <t>No Buy Box history in price history for BFCM 2025; List Price $89.99</t>
        </is>
      </c>
    </row>
    <row r="60" ht="62" customHeight="1">
      <c r="A60" s="12">
        <f>_xlfn.IMAGE("https://images-na.ssl-images-amazon.com/images/I/91dfner9BkL.jpg")</f>
        <v/>
      </c>
      <c r="B60" s="105" t="inlineStr">
        <is>
          <t>Pure Bamboo</t>
        </is>
      </c>
      <c r="C60" s="39" t="inlineStr">
        <is>
          <t>Pure Bamboo King Sheets, Genuine 100% Organic Viscose Derived from Bamboo Bed Sheet Set, Luxuriously Soft &amp; Cooling, Double Stitching, 2 Year Quality Promise (King, Ivory)</t>
        </is>
      </c>
      <c r="D60" s="105" t="inlineStr">
        <is>
          <t>Aspirational</t>
        </is>
      </c>
      <c r="E60" s="133" t="inlineStr">
        <is>
          <t>Different product type</t>
        </is>
      </c>
      <c r="F60" s="105" t="inlineStr">
        <is>
          <t>Bamboo viscose</t>
        </is>
      </c>
      <c r="G60" s="39" t="inlineStr">
        <is>
          <t>Sells a sheet set; ours is a fitted sheet.</t>
        </is>
      </c>
      <c r="H60" s="107" t="inlineStr">
        <is>
          <t>B0CZQ52MTQ</t>
        </is>
      </c>
      <c r="I60" s="107" t="inlineStr">
        <is>
          <t>B07DZTQ4JC</t>
        </is>
      </c>
      <c r="J60" s="105" t="inlineStr">
        <is>
          <t>King</t>
        </is>
      </c>
      <c r="K60" s="105" t="inlineStr">
        <is>
          <t>Ivory</t>
        </is>
      </c>
      <c r="L60" s="108" t="n">
        <v>181</v>
      </c>
      <c r="M60" s="39" t="inlineStr">
        <is>
          <t>B07MZ4GKZH (30%), B079RXWGSD (12%), B07DZTQ4JC (11%), B074CHDX7V (10%), B07DZMB498 (5%)</t>
        </is>
      </c>
      <c r="N60" s="109" t="n">
        <v>109.99</v>
      </c>
      <c r="O60" s="109" t="n"/>
      <c r="P60" s="110">
        <f>IF(AND(ISNUMBER(O60),ISNUMBER(N60),N(N60)&gt;0),O60/N60-1,"")</f>
        <v/>
      </c>
      <c r="Q60" s="111">
        <f>IF(P60="","No List Price",IF(P60&lt;=0,"At/below price",IF(P60&lt;=0.12,"&lt;=12% STR zone",IF(P60&lt;=0.25,"12-25%","&gt;25% over"))))</f>
        <v/>
      </c>
      <c r="R60" s="109" t="n">
        <v>39.95</v>
      </c>
      <c r="S60" s="112">
        <f>IF(AND(ISNUMBER(N60),ISNUMBER(R60),N(R60)&gt;0),N60/R60-1,"")</f>
        <v/>
      </c>
      <c r="T60" s="39" t="inlineStr">
        <is>
          <t>Same size (King). Ours live: catalog price, 2026-10-13; 9 children</t>
        </is>
      </c>
      <c r="U60" s="108" t="n">
        <v>304</v>
      </c>
      <c r="V60" s="108" t="n">
        <v>809</v>
      </c>
      <c r="W60" s="113">
        <f>IF(AND(ISNUMBER(N60),ISNUMBER(V60)),N60*V60*52/12,"")</f>
        <v/>
      </c>
      <c r="X60" s="114" t="n">
        <v>4.5</v>
      </c>
      <c r="Y60" s="108" t="n">
        <v>21927</v>
      </c>
      <c r="Z60" s="115" t="n">
        <v>46307</v>
      </c>
      <c r="AA60" s="115" t="n">
        <v>43281</v>
      </c>
      <c r="AB60" s="105" t="inlineStr">
        <is>
          <t>FBA</t>
        </is>
      </c>
      <c r="AC60" s="105" t="inlineStr">
        <is>
          <t>US</t>
        </is>
      </c>
      <c r="AD60" s="108" t="n">
        <v>2565055</v>
      </c>
      <c r="AE60" s="108" t="n">
        <v>8283</v>
      </c>
      <c r="AF60" s="116" t="n">
        <v>0.4648594811807159</v>
      </c>
      <c r="AG60" s="116" t="n">
        <v>0.5351407059497737</v>
      </c>
      <c r="AH60" s="39" t="inlineStr">
        <is>
          <t>bamboo sheets</t>
        </is>
      </c>
      <c r="AI60" s="116" t="n">
        <v>0.8806310196077667</v>
      </c>
      <c r="AJ60" s="116" t="n">
        <v>0.8210506207469236</v>
      </c>
      <c r="AK60" s="116" t="n">
        <v>0.8831019217911507</v>
      </c>
      <c r="AL60" s="116" t="n">
        <v>0.2663467255088098</v>
      </c>
      <c r="AM60" s="108" t="n">
        <v>314</v>
      </c>
      <c r="AN60" s="108" t="n">
        <v>29</v>
      </c>
      <c r="AO60" s="108" t="n">
        <v>266</v>
      </c>
      <c r="AP60" s="108" t="n">
        <v>7969</v>
      </c>
      <c r="AQ60" s="108" t="n">
        <v>3819</v>
      </c>
      <c r="AR60" s="108" t="n">
        <v>0</v>
      </c>
      <c r="AS60" s="117" t="n">
        <v>1.180104147961932</v>
      </c>
      <c r="AT60" s="112" t="n">
        <v>1.570823710546574</v>
      </c>
      <c r="AU60" s="118" t="inlineStr">
        <is>
          <t>N</t>
        </is>
      </c>
      <c r="AV60" s="118" t="inlineStr">
        <is>
          <t>none</t>
        </is>
      </c>
      <c r="AW60" s="124" t="n"/>
      <c r="AX60" s="119" t="n">
        <v>109.99</v>
      </c>
      <c r="AY60" s="118" t="inlineStr">
        <is>
          <t>none</t>
        </is>
      </c>
      <c r="AZ60" s="118" t="inlineStr">
        <is>
          <t>Y</t>
        </is>
      </c>
      <c r="BA60" s="118" t="inlineStr">
        <is>
          <t>2026-10-13 12:11:16</t>
        </is>
      </c>
      <c r="BB60" s="120" t="inlineStr">
        <is>
          <t>None</t>
        </is>
      </c>
      <c r="BC60" s="125" t="n"/>
      <c r="BD60" s="121" t="n">
        <v>109.99</v>
      </c>
      <c r="BE60" s="121" t="n">
        <v>109.99</v>
      </c>
      <c r="BF60" s="110">
        <f>IF(AND(ISNUMBER(BD60),ISNUMBER(BE60),N(BD60)&gt;0),1-BE60/BD60,"")</f>
        <v/>
      </c>
      <c r="BG60" s="122" t="n">
        <v>287</v>
      </c>
      <c r="BH60" s="122" t="n">
        <v>598</v>
      </c>
      <c r="BI60" s="123">
        <f>IF(AND(ISNUMBER(BG60),ISNUMBER(BH60),N(BH60)&gt;0),BG60/BH60,"")</f>
        <v/>
      </c>
      <c r="BJ60" s="120" t="inlineStr">
        <is>
          <t>N</t>
        </is>
      </c>
      <c r="BK60" s="120" t="inlineStr">
        <is>
          <t>List Price $139.99/$149.99</t>
        </is>
      </c>
    </row>
    <row r="61" ht="62" customHeight="1">
      <c r="A61" s="12">
        <f>_xlfn.IMAGE("https://images-na.ssl-images-amazon.com/images/I/81svKInu7aL.jpg")</f>
        <v/>
      </c>
      <c r="B61" s="105" t="inlineStr">
        <is>
          <t>Bambaw</t>
        </is>
      </c>
      <c r="C61" s="39" t="inlineStr">
        <is>
          <t>Bambaw 100% Viscose Derived from Bamboo Sheets Queen Size Set – 4pcs Cooling Sheet Set, Super Soft Sheets Queen Size, Luxury Bed Sheets, Deep Pocket Fits Up to 16'' Mattresses (Charcoal)</t>
        </is>
      </c>
      <c r="D61" s="105" t="inlineStr">
        <is>
          <t>Beatable</t>
        </is>
      </c>
      <c r="E61" s="133" t="inlineStr">
        <is>
          <t>Different product type</t>
        </is>
      </c>
      <c r="F61" s="105" t="inlineStr">
        <is>
          <t>Bamboo viscose</t>
        </is>
      </c>
      <c r="G61" s="39" t="inlineStr">
        <is>
          <t>Sells a sheet set; ours is a fitted sheet.</t>
        </is>
      </c>
      <c r="H61" s="107" t="inlineStr">
        <is>
          <t>B07K6SYX8L</t>
        </is>
      </c>
      <c r="I61" s="107" t="inlineStr">
        <is>
          <t>B0DR99Q37Y</t>
        </is>
      </c>
      <c r="J61" s="105" t="inlineStr">
        <is>
          <t>Queen</t>
        </is>
      </c>
      <c r="K61" s="105" t="inlineStr">
        <is>
          <t>Charcoal</t>
        </is>
      </c>
      <c r="L61" s="108" t="n">
        <v>104</v>
      </c>
      <c r="M61" s="39" t="inlineStr">
        <is>
          <t>B0DR99Q37Y (55%), B0DR98VW37 (10%), B0F2J1742T (7%), B0DR98HVG3 (5%), B0H3BQSQ1X (5%)</t>
        </is>
      </c>
      <c r="N61" s="109" t="n">
        <v>89.98999999999999</v>
      </c>
      <c r="O61" s="109" t="n"/>
      <c r="P61" s="110">
        <f>IF(AND(ISNUMBER(O61),ISNUMBER(N61),N(N61)&gt;0),O61/N61-1,"")</f>
        <v/>
      </c>
      <c r="Q61" s="111">
        <f>IF(P61="","No List Price",IF(P61&lt;=0,"At/below price",IF(P61&lt;=0.12,"&lt;=12% STR zone",IF(P61&lt;=0.25,"12-25%","&gt;25% over"))))</f>
        <v/>
      </c>
      <c r="R61" s="109" t="n">
        <v>37.95</v>
      </c>
      <c r="S61" s="112">
        <f>IF(AND(ISNUMBER(N61),ISNUMBER(R61),N(R61)&gt;0),N61/R61-1,"")</f>
        <v/>
      </c>
      <c r="T61" s="39" t="inlineStr">
        <is>
          <t>Same size (Queen). Ours live: catalog price, 2026-10-13; 10 children</t>
        </is>
      </c>
      <c r="U61" s="108" t="n">
        <v>6971</v>
      </c>
      <c r="V61" s="108" t="n">
        <v>104</v>
      </c>
      <c r="W61" s="113">
        <f>IF(AND(ISNUMBER(N61),ISNUMBER(V61)),N61*V61*52/12,"")</f>
        <v/>
      </c>
      <c r="X61" s="114" t="n">
        <v>4.3</v>
      </c>
      <c r="Y61" s="108" t="n">
        <v>2766</v>
      </c>
      <c r="Z61" s="115" t="n">
        <v>46307</v>
      </c>
      <c r="AA61" s="115" t="n">
        <v>45649</v>
      </c>
      <c r="AB61" s="105" t="inlineStr">
        <is>
          <t>FBA</t>
        </is>
      </c>
      <c r="AC61" s="105" t="inlineStr">
        <is>
          <t>BE</t>
        </is>
      </c>
      <c r="AD61" s="108" t="n">
        <v>407949</v>
      </c>
      <c r="AE61" s="108" t="n">
        <v>2137</v>
      </c>
      <c r="AF61" s="116" t="n">
        <v>0.5037485506766772</v>
      </c>
      <c r="AG61" s="116" t="n">
        <v>0.4962515277645003</v>
      </c>
      <c r="AH61" s="39" t="inlineStr">
        <is>
          <t>bamboo sheets</t>
        </is>
      </c>
      <c r="AI61" s="116" t="n">
        <v>0.8267479513370544</v>
      </c>
      <c r="AJ61" s="116" t="n">
        <v>0.000431426477329274</v>
      </c>
      <c r="AK61" s="116" t="n">
        <v>0.3636508485129268</v>
      </c>
      <c r="AL61" s="116" t="n">
        <v>0.003414642516589083</v>
      </c>
      <c r="AM61" s="108" t="n">
        <v>259</v>
      </c>
      <c r="AN61" s="108" t="n">
        <v>46</v>
      </c>
      <c r="AO61" s="108" t="n">
        <v>195</v>
      </c>
      <c r="AP61" s="108" t="n">
        <v>1878</v>
      </c>
      <c r="AQ61" s="108" t="n">
        <v>613</v>
      </c>
      <c r="AR61" s="108" t="n">
        <v>0</v>
      </c>
      <c r="AS61" s="117" t="n">
        <v>1.374474053295933</v>
      </c>
      <c r="AT61" s="112" t="n">
        <v>1.381825760733639</v>
      </c>
      <c r="AU61" s="118" t="inlineStr">
        <is>
          <t>N</t>
        </is>
      </c>
      <c r="AV61" s="118" t="inlineStr">
        <is>
          <t>none</t>
        </is>
      </c>
      <c r="AW61" s="124" t="n"/>
      <c r="AX61" s="119" t="n">
        <v>89.98999999999999</v>
      </c>
      <c r="AY61" s="118" t="inlineStr">
        <is>
          <t>none</t>
        </is>
      </c>
      <c r="AZ61" s="118" t="inlineStr">
        <is>
          <t>Y</t>
        </is>
      </c>
      <c r="BA61" s="118" t="inlineStr">
        <is>
          <t>2026-10-13 12:10:28</t>
        </is>
      </c>
      <c r="BB61" s="120" t="inlineStr">
        <is>
          <t>None</t>
        </is>
      </c>
      <c r="BC61" s="125" t="n"/>
      <c r="BD61" s="121" t="n">
        <v>89.98999999999999</v>
      </c>
      <c r="BE61" s="121" t="n">
        <v>89.98999999999999</v>
      </c>
      <c r="BF61" s="110">
        <f>IF(AND(ISNUMBER(BD61),ISNUMBER(BE61),N(BD61)&gt;0),1-BE61/BD61,"")</f>
        <v/>
      </c>
      <c r="BG61" s="122" t="n">
        <v>12712</v>
      </c>
      <c r="BH61" s="122" t="n">
        <v>10881</v>
      </c>
      <c r="BI61" s="123">
        <f>IF(AND(ISNUMBER(BG61),ISNUMBER(BH61),N(BH61)&gt;0),BG61/BH61,"")</f>
        <v/>
      </c>
      <c r="BJ61" s="120" t="inlineStr">
        <is>
          <t>N</t>
        </is>
      </c>
      <c r="BK61" s="120" t="inlineStr">
        <is>
          <t>List Price $103.45</t>
        </is>
      </c>
    </row>
    <row r="62" ht="62" customHeight="1">
      <c r="A62" s="12">
        <f>_xlfn.IMAGE("https://images-na.ssl-images-amazon.com/images/I/81suQgVR0GL.jpg")</f>
        <v/>
      </c>
      <c r="B62" s="105" t="inlineStr">
        <is>
          <t>Bedsure</t>
        </is>
      </c>
      <c r="C62" s="39" t="inlineStr">
        <is>
          <t>Bedsure PureWoven Organically Grown Bamboo Viscose Queen Sheet Set, 4PCS</t>
        </is>
      </c>
      <c r="D62" s="105" t="inlineStr">
        <is>
          <t>Beatable</t>
        </is>
      </c>
      <c r="E62" s="133" t="inlineStr">
        <is>
          <t>Different product type</t>
        </is>
      </c>
      <c r="F62" s="105" t="inlineStr">
        <is>
          <t>Bamboo viscose</t>
        </is>
      </c>
      <c r="G62" s="39" t="inlineStr">
        <is>
          <t>Sells a sheet set; ours is a fitted sheet.</t>
        </is>
      </c>
      <c r="H62" s="107" t="inlineStr">
        <is>
          <t>B0FB8XS4D1</t>
        </is>
      </c>
      <c r="I62" s="107" t="inlineStr">
        <is>
          <t>B0FB8XR43Q</t>
        </is>
      </c>
      <c r="J62" s="105" t="inlineStr">
        <is>
          <t>Queen</t>
        </is>
      </c>
      <c r="K62" s="105" t="inlineStr">
        <is>
          <t>01 - White</t>
        </is>
      </c>
      <c r="L62" s="108" t="n">
        <v>39</v>
      </c>
      <c r="M62" s="39" t="inlineStr">
        <is>
          <t>B0FB8XR43Q (31%), B0FB8ZTD7M (18%), B0GLN6VP9Y (11%), B0FB8YV6C7 (10%), B0FB8Z4GGW (10%)</t>
        </is>
      </c>
      <c r="N62" s="109" t="n">
        <v>89.98999999999999</v>
      </c>
      <c r="O62" s="109" t="n">
        <v>119.99</v>
      </c>
      <c r="P62" s="110">
        <f>IF(AND(ISNUMBER(O62),ISNUMBER(N62),N(N62)&gt;0),O62/N62-1,"")</f>
        <v/>
      </c>
      <c r="Q62" s="111">
        <f>IF(P62="","No List Price",IF(P62&lt;=0,"At/below price",IF(P62&lt;=0.12,"&lt;=12% STR zone",IF(P62&lt;=0.25,"12-25%","&gt;25% over"))))</f>
        <v/>
      </c>
      <c r="R62" s="109" t="n">
        <v>37.95</v>
      </c>
      <c r="S62" s="112">
        <f>IF(AND(ISNUMBER(N62),ISNUMBER(R62),N(R62)&gt;0),N62/R62-1,"")</f>
        <v/>
      </c>
      <c r="T62" s="39" t="inlineStr">
        <is>
          <t>Same size (Queen). Ours live: catalog price, 2026-10-13; 10 children</t>
        </is>
      </c>
      <c r="U62" s="108" t="n">
        <v>8938</v>
      </c>
      <c r="V62" s="108" t="n">
        <v>104</v>
      </c>
      <c r="W62" s="113">
        <f>IF(AND(ISNUMBER(N62),ISNUMBER(V62)),N62*V62*52/12,"")</f>
        <v/>
      </c>
      <c r="X62" s="114" t="n">
        <v>4.5</v>
      </c>
      <c r="Y62" s="108" t="n">
        <v>588</v>
      </c>
      <c r="Z62" s="115" t="n">
        <v>46307</v>
      </c>
      <c r="AA62" s="115" t="n">
        <v>45936</v>
      </c>
      <c r="AB62" s="105" t="inlineStr">
        <is>
          <t>FBA</t>
        </is>
      </c>
      <c r="AC62" s="105" t="inlineStr">
        <is>
          <t>US</t>
        </is>
      </c>
      <c r="AD62" s="108" t="n">
        <v>840292</v>
      </c>
      <c r="AE62" s="108" t="n">
        <v>3961</v>
      </c>
      <c r="AF62" s="116" t="n">
        <v>0.1404099194089678</v>
      </c>
      <c r="AG62" s="116" t="n">
        <v>0.8595901834124341</v>
      </c>
      <c r="AH62" s="39" t="inlineStr">
        <is>
          <t>bamboo sheets</t>
        </is>
      </c>
      <c r="AI62" s="116" t="n">
        <v>0.9284082199997143</v>
      </c>
      <c r="AJ62" s="116" t="n">
        <v>0.9843340172225845</v>
      </c>
      <c r="AK62" s="116" t="n">
        <v>0.5269953777972419</v>
      </c>
      <c r="AL62" s="116" t="n">
        <v>0.000478405125837209</v>
      </c>
      <c r="AM62" s="108" t="n">
        <v>319</v>
      </c>
      <c r="AN62" s="108" t="n">
        <v>35</v>
      </c>
      <c r="AO62" s="108" t="n">
        <v>261</v>
      </c>
      <c r="AP62" s="108" t="n">
        <v>3642</v>
      </c>
      <c r="AQ62" s="108" t="n">
        <v>2487</v>
      </c>
      <c r="AR62" s="108" t="n">
        <v>1</v>
      </c>
      <c r="AS62" s="117" t="n">
        <v>1.764832022873481</v>
      </c>
      <c r="AT62" s="112" t="n">
        <v>-0.09047044632086854</v>
      </c>
      <c r="AU62" s="118" t="inlineStr">
        <is>
          <t>Y</t>
        </is>
      </c>
      <c r="AV62" s="118" t="inlineStr">
        <is>
          <t>List Price</t>
        </is>
      </c>
      <c r="AW62" s="119" t="n">
        <v>119.99</v>
      </c>
      <c r="AX62" s="119" t="n">
        <v>89.98999999999999</v>
      </c>
      <c r="AY62" s="118" t="inlineStr">
        <is>
          <t>none</t>
        </is>
      </c>
      <c r="AZ62" s="118" t="inlineStr">
        <is>
          <t>Y</t>
        </is>
      </c>
      <c r="BA62" s="118" t="inlineStr">
        <is>
          <t>2026-10-13 12:10:38</t>
        </is>
      </c>
      <c r="BB62" s="120" t="inlineStr">
        <is>
          <t>Prime Exclusive Discount</t>
        </is>
      </c>
      <c r="BC62" s="120" t="inlineStr">
        <is>
          <t>11-10 to 12-05</t>
        </is>
      </c>
      <c r="BD62" s="121" t="n">
        <v>99.98999999999999</v>
      </c>
      <c r="BE62" s="121" t="n">
        <v>72.64</v>
      </c>
      <c r="BF62" s="110">
        <f>IF(AND(ISNUMBER(BD62),ISNUMBER(BE62),N(BD62)&gt;0),1-BE62/BD62,"")</f>
        <v/>
      </c>
      <c r="BG62" s="122" t="n">
        <v>53160</v>
      </c>
      <c r="BH62" s="122" t="n">
        <v>53782</v>
      </c>
      <c r="BI62" s="123">
        <f>IF(AND(ISNUMBER(BG62),ISNUMBER(BH62),N(BH62)&gt;0),BG62/BH62,"")</f>
        <v/>
      </c>
      <c r="BJ62" s="120" t="inlineStr">
        <is>
          <t>N</t>
        </is>
      </c>
      <c r="BK62" s="120" t="inlineStr">
        <is>
          <t>Prime Exclusive already running before BFCM week; List Price $114.99</t>
        </is>
      </c>
    </row>
    <row r="63" ht="62" customHeight="1">
      <c r="A63" s="12">
        <f>_xlfn.IMAGE("https://images-na.ssl-images-amazon.com/images/I/71sqxa1EquL.jpg")</f>
        <v/>
      </c>
      <c r="B63" s="105" t="inlineStr">
        <is>
          <t>SONORO KATE</t>
        </is>
      </c>
      <c r="C63" s="39" t="inlineStr">
        <is>
          <t>Bamboo Sheets</t>
        </is>
      </c>
      <c r="D63" s="105" t="inlineStr">
        <is>
          <t>Beatable</t>
        </is>
      </c>
      <c r="E63" s="133" t="inlineStr">
        <is>
          <t>Different product type</t>
        </is>
      </c>
      <c r="F63" s="105" t="inlineStr">
        <is>
          <t>Bamboo viscose</t>
        </is>
      </c>
      <c r="G63" s="39" t="inlineStr">
        <is>
          <t>Sells a sheet set; ours is a fitted sheet.</t>
        </is>
      </c>
      <c r="H63" s="107" t="inlineStr">
        <is>
          <t>B0F4852T9V</t>
        </is>
      </c>
      <c r="I63" s="107" t="inlineStr">
        <is>
          <t>B0F4873G4H</t>
        </is>
      </c>
      <c r="J63" s="105" t="inlineStr">
        <is>
          <t>King</t>
        </is>
      </c>
      <c r="K63" s="105" t="inlineStr">
        <is>
          <t>Dark Grey</t>
        </is>
      </c>
      <c r="L63" s="108" t="n">
        <v>33</v>
      </c>
      <c r="M63" s="39" t="inlineStr">
        <is>
          <t>B0F486MGJ1 (46%), B0F4873G4H (45%)</t>
        </is>
      </c>
      <c r="N63" s="109" t="n">
        <v>79.98999999999999</v>
      </c>
      <c r="O63" s="109" t="n"/>
      <c r="P63" s="110">
        <f>IF(AND(ISNUMBER(O63),ISNUMBER(N63),N(N63)&gt;0),O63/N63-1,"")</f>
        <v/>
      </c>
      <c r="Q63" s="111">
        <f>IF(P63="","No List Price",IF(P63&lt;=0,"At/below price",IF(P63&lt;=0.12,"&lt;=12% STR zone",IF(P63&lt;=0.25,"12-25%","&gt;25% over"))))</f>
        <v/>
      </c>
      <c r="R63" s="109" t="n">
        <v>39.95</v>
      </c>
      <c r="S63" s="112">
        <f>IF(AND(ISNUMBER(N63),ISNUMBER(R63),N(R63)&gt;0),N63/R63-1,"")</f>
        <v/>
      </c>
      <c r="T63" s="39" t="inlineStr">
        <is>
          <t>Same size (King). Ours live: catalog price, 2026-10-13; 9 children</t>
        </is>
      </c>
      <c r="U63" s="108" t="n">
        <v>7961</v>
      </c>
      <c r="V63" s="108" t="n">
        <v>104</v>
      </c>
      <c r="W63" s="113">
        <f>IF(AND(ISNUMBER(N63),ISNUMBER(V63)),N63*V63*52/12,"")</f>
        <v/>
      </c>
      <c r="X63" s="114" t="n">
        <v>4.5</v>
      </c>
      <c r="Y63" s="108" t="n">
        <v>3776</v>
      </c>
      <c r="Z63" s="115" t="n">
        <v>46307</v>
      </c>
      <c r="AA63" s="115" t="n"/>
      <c r="AB63" s="105" t="n"/>
      <c r="AC63" s="105" t="n"/>
      <c r="AD63" s="108" t="n">
        <v>185157</v>
      </c>
      <c r="AE63" s="108" t="n">
        <v>1447</v>
      </c>
      <c r="AF63" s="116" t="n">
        <v>0.9776013545261586</v>
      </c>
      <c r="AG63" s="116" t="n">
        <v>0.02239928493116653</v>
      </c>
      <c r="AH63" s="39" t="inlineStr">
        <is>
          <t>bamboo sheets</t>
        </is>
      </c>
      <c r="AI63" s="116" t="n">
        <v>0.4342476924987983</v>
      </c>
      <c r="AJ63" s="116" t="n"/>
      <c r="AK63" s="116" t="n"/>
      <c r="AL63" s="116" t="n">
        <v>0.1639959601851402</v>
      </c>
      <c r="AM63" s="108" t="n">
        <v>249</v>
      </c>
      <c r="AN63" s="108" t="n">
        <v>42</v>
      </c>
      <c r="AO63" s="108" t="n">
        <v>187</v>
      </c>
      <c r="AP63" s="108" t="n">
        <v>1198</v>
      </c>
      <c r="AQ63" s="108" t="n">
        <v>124</v>
      </c>
      <c r="AR63" s="108" t="n">
        <v>0</v>
      </c>
      <c r="AS63" s="117" t="n">
        <v>1.314808539478143</v>
      </c>
      <c r="AT63" s="112" t="n">
        <v>0.6186540731995278</v>
      </c>
      <c r="AU63" s="118" t="inlineStr">
        <is>
          <t>N</t>
        </is>
      </c>
      <c r="AV63" s="118" t="inlineStr">
        <is>
          <t>none</t>
        </is>
      </c>
      <c r="AW63" s="124" t="n"/>
      <c r="AX63" s="119" t="n">
        <v>79.98999999999999</v>
      </c>
      <c r="AY63" s="118" t="inlineStr">
        <is>
          <t>coupon $5</t>
        </is>
      </c>
      <c r="AZ63" s="118" t="inlineStr">
        <is>
          <t>Y</t>
        </is>
      </c>
      <c r="BA63" s="118" t="inlineStr">
        <is>
          <t>2026-10-13 12:11:19</t>
        </is>
      </c>
      <c r="BB63" s="120" t="inlineStr">
        <is>
          <t>Prime Exclusive Discount</t>
        </is>
      </c>
      <c r="BC63" s="120" t="inlineStr">
        <is>
          <t>11-20 to 12-01</t>
        </is>
      </c>
      <c r="BD63" s="121" t="n">
        <v>79.98999999999999</v>
      </c>
      <c r="BE63" s="121" t="n">
        <v>63.99</v>
      </c>
      <c r="BF63" s="110">
        <f>IF(AND(ISNUMBER(BD63),ISNUMBER(BE63),N(BD63)&gt;0),1-BE63/BD63,"")</f>
        <v/>
      </c>
      <c r="BG63" s="122" t="n">
        <v>36662</v>
      </c>
      <c r="BH63" s="122" t="n">
        <v>23612</v>
      </c>
      <c r="BI63" s="123">
        <f>IF(AND(ISNUMBER(BG63),ISNUMBER(BH63),N(BH63)&gt;0),BG63/BH63,"")</f>
        <v/>
      </c>
      <c r="BJ63" s="120" t="inlineStr">
        <is>
          <t>N</t>
        </is>
      </c>
      <c r="BK63" s="120" t="inlineStr">
        <is>
          <t>Coupon 15% (11-06 to 11-19); List Price $79.99</t>
        </is>
      </c>
    </row>
    <row r="64" ht="62" customHeight="1">
      <c r="A64" s="12">
        <f>_xlfn.IMAGE("https://images-na.ssl-images-amazon.com/images/I/71Pl57-j67L.jpg")</f>
        <v/>
      </c>
      <c r="B64" s="105" t="inlineStr">
        <is>
          <t>BC BELLA COTERIE</t>
        </is>
      </c>
      <c r="C64" s="39" t="inlineStr">
        <is>
          <t>Bella Coterie Luxury Bamboo Viscose King Size Sheet Set</t>
        </is>
      </c>
      <c r="D64" s="105" t="inlineStr">
        <is>
          <t>Beatable</t>
        </is>
      </c>
      <c r="E64" s="133" t="inlineStr">
        <is>
          <t>Different product type</t>
        </is>
      </c>
      <c r="F64" s="105" t="inlineStr">
        <is>
          <t>Bamboo viscose</t>
        </is>
      </c>
      <c r="G64" s="39" t="inlineStr">
        <is>
          <t>Sells a sheet set; ours is a fitted sheet.</t>
        </is>
      </c>
      <c r="H64" s="107" t="inlineStr">
        <is>
          <t>B0H29V113N</t>
        </is>
      </c>
      <c r="I64" s="107" t="inlineStr">
        <is>
          <t>B08L86VLZB</t>
        </is>
      </c>
      <c r="J64" s="105" t="inlineStr">
        <is>
          <t>King - 2 Pillowcases</t>
        </is>
      </c>
      <c r="K64" s="105" t="inlineStr">
        <is>
          <t>01 - White</t>
        </is>
      </c>
      <c r="L64" s="108" t="n">
        <v>258</v>
      </c>
      <c r="M64" s="39" t="inlineStr">
        <is>
          <t>B0C979FD5Z (12%), B09JTQMF5C (11%), B08L86VLZB (6%), B08L85SV5Z (5%), B09JV1NG9R (4%)</t>
        </is>
      </c>
      <c r="N64" s="109" t="n">
        <v>154.99</v>
      </c>
      <c r="O64" s="109" t="n"/>
      <c r="P64" s="110">
        <f>IF(AND(ISNUMBER(O64),ISNUMBER(N64),N(N64)&gt;0),O64/N64-1,"")</f>
        <v/>
      </c>
      <c r="Q64" s="111">
        <f>IF(P64="","No List Price",IF(P64&lt;=0,"At/below price",IF(P64&lt;=0.12,"&lt;=12% STR zone",IF(P64&lt;=0.25,"12-25%","&gt;25% over"))))</f>
        <v/>
      </c>
      <c r="R64" s="109" t="n">
        <v>39.95</v>
      </c>
      <c r="S64" s="112">
        <f>IF(AND(ISNUMBER(N64),ISNUMBER(R64),N(R64)&gt;0),N64/R64-1,"")</f>
        <v/>
      </c>
      <c r="T64" s="39" t="inlineStr">
        <is>
          <t>Same size (King). Ours live: catalog price, 2026-10-13; 9 children</t>
        </is>
      </c>
      <c r="U64" s="108" t="n">
        <v>1358</v>
      </c>
      <c r="V64" s="108" t="n">
        <v>92</v>
      </c>
      <c r="W64" s="113">
        <f>IF(AND(ISNUMBER(N64),ISNUMBER(V64)),N64*V64*52/12,"")</f>
        <v/>
      </c>
      <c r="X64" s="114" t="n">
        <v>4.4</v>
      </c>
      <c r="Y64" s="108" t="n">
        <v>5871</v>
      </c>
      <c r="Z64" s="115" t="n">
        <v>46307</v>
      </c>
      <c r="AA64" s="115" t="n">
        <v>44154</v>
      </c>
      <c r="AB64" s="105" t="inlineStr">
        <is>
          <t>FBA</t>
        </is>
      </c>
      <c r="AC64" s="105" t="inlineStr">
        <is>
          <t>US</t>
        </is>
      </c>
      <c r="AD64" s="108" t="n">
        <v>591713</v>
      </c>
      <c r="AE64" s="108" t="n">
        <v>5504</v>
      </c>
      <c r="AF64" s="116" t="n">
        <v>0.3622702587234016</v>
      </c>
      <c r="AG64" s="116" t="n">
        <v>0.6377298332130611</v>
      </c>
      <c r="AH64" s="39" t="inlineStr">
        <is>
          <t>bamboo sheets</t>
        </is>
      </c>
      <c r="AI64" s="116" t="n">
        <v>0.9808184035165697</v>
      </c>
      <c r="AJ64" s="116" t="n">
        <v>0.5730548424658576</v>
      </c>
      <c r="AK64" s="116" t="n">
        <v>0.5581810776508206</v>
      </c>
      <c r="AL64" s="116" t="n">
        <v>0.03836488297536136</v>
      </c>
      <c r="AM64" s="108" t="n">
        <v>271</v>
      </c>
      <c r="AN64" s="108" t="n">
        <v>49</v>
      </c>
      <c r="AO64" s="108" t="n">
        <v>183</v>
      </c>
      <c r="AP64" s="108" t="n">
        <v>5233</v>
      </c>
      <c r="AQ64" s="108" t="n">
        <v>2475</v>
      </c>
      <c r="AR64" s="108" t="n">
        <v>0</v>
      </c>
      <c r="AS64" s="117" t="n">
        <v>1.778087279480037</v>
      </c>
      <c r="AT64" s="112" t="n">
        <v>0.3772549019607843</v>
      </c>
      <c r="AU64" s="118" t="inlineStr">
        <is>
          <t>N</t>
        </is>
      </c>
      <c r="AV64" s="118" t="inlineStr">
        <is>
          <t>none</t>
        </is>
      </c>
      <c r="AW64" s="124" t="n"/>
      <c r="AX64" s="119" t="n">
        <v>169.99</v>
      </c>
      <c r="AY64" s="118" t="inlineStr">
        <is>
          <t>none</t>
        </is>
      </c>
      <c r="AZ64" s="118" t="inlineStr">
        <is>
          <t>Y</t>
        </is>
      </c>
      <c r="BA64" s="118" t="inlineStr">
        <is>
          <t>2026-10-13 12:14:18</t>
        </is>
      </c>
      <c r="BB64" s="120" t="inlineStr">
        <is>
          <t>Price cut only</t>
        </is>
      </c>
      <c r="BC64" s="120" t="inlineStr">
        <is>
          <t>11-20 to 12-01</t>
        </is>
      </c>
      <c r="BD64" s="121" t="n">
        <v>134.99</v>
      </c>
      <c r="BE64" s="121" t="n">
        <v>110.5</v>
      </c>
      <c r="BF64" s="110">
        <f>IF(AND(ISNUMBER(BD64),ISNUMBER(BE64),N(BD64)&gt;0),1-BE64/BD64,"")</f>
        <v/>
      </c>
      <c r="BG64" s="122" t="n">
        <v>3072</v>
      </c>
      <c r="BH64" s="122" t="n">
        <v>1155</v>
      </c>
      <c r="BI64" s="123">
        <f>IF(AND(ISNUMBER(BG64),ISNUMBER(BH64),N(BH64)&gt;0),BG64/BH64,"")</f>
        <v/>
      </c>
      <c r="BJ64" s="120" t="inlineStr">
        <is>
          <t>N</t>
        </is>
      </c>
      <c r="BK64" s="120" t="inlineStr">
        <is>
          <t>Coupon 20.00 USD (12-03 to 12-05); List Price $169.99</t>
        </is>
      </c>
    </row>
    <row r="65" ht="62" customHeight="1">
      <c r="A65" s="12">
        <f>_xlfn.IMAGE("https://images-na.ssl-images-amazon.com/images/I/710aWpCd4AL.jpg")</f>
        <v/>
      </c>
      <c r="B65" s="105" t="inlineStr">
        <is>
          <t>DOZ by SIJO</t>
        </is>
      </c>
      <c r="C65" s="39" t="inlineStr">
        <is>
          <t>Bamboo Sheets</t>
        </is>
      </c>
      <c r="D65" s="105" t="inlineStr">
        <is>
          <t>Beatable</t>
        </is>
      </c>
      <c r="E65" s="133" t="inlineStr">
        <is>
          <t>Different product type</t>
        </is>
      </c>
      <c r="F65" s="105" t="inlineStr">
        <is>
          <t>Bamboo viscose</t>
        </is>
      </c>
      <c r="G65" s="39" t="inlineStr">
        <is>
          <t>Sells a sheet set; ours is a fitted sheet.</t>
        </is>
      </c>
      <c r="H65" s="107" t="inlineStr">
        <is>
          <t>B0DCZGYVZ9</t>
        </is>
      </c>
      <c r="I65" s="107" t="inlineStr">
        <is>
          <t>B0F24TRXCZ</t>
        </is>
      </c>
      <c r="J65" s="105" t="inlineStr">
        <is>
          <t>Queen</t>
        </is>
      </c>
      <c r="K65" s="105" t="inlineStr">
        <is>
          <t>Olive</t>
        </is>
      </c>
      <c r="L65" s="108" t="n">
        <v>131</v>
      </c>
      <c r="M65" s="39" t="inlineStr">
        <is>
          <t>B0B8JLLT45 (39%), B0B8JK78HR (6%), B0CS36MKM9 (5%), B0BRWD6PRK (4%), B0B9T44SJV (4%)</t>
        </is>
      </c>
      <c r="N65" s="109" t="n">
        <v>55</v>
      </c>
      <c r="O65" s="109" t="n"/>
      <c r="P65" s="110">
        <f>IF(AND(ISNUMBER(O65),ISNUMBER(N65),N(N65)&gt;0),O65/N65-1,"")</f>
        <v/>
      </c>
      <c r="Q65" s="111">
        <f>IF(P65="","No List Price",IF(P65&lt;=0,"At/below price",IF(P65&lt;=0.12,"&lt;=12% STR zone",IF(P65&lt;=0.25,"12-25%","&gt;25% over"))))</f>
        <v/>
      </c>
      <c r="R65" s="109" t="n">
        <v>37.95</v>
      </c>
      <c r="S65" s="112">
        <f>IF(AND(ISNUMBER(N65),ISNUMBER(R65),N(R65)&gt;0),N65/R65-1,"")</f>
        <v/>
      </c>
      <c r="T65" s="39" t="inlineStr">
        <is>
          <t>Same size (Queen). Ours live: catalog price, 2026-10-13; 10 children</t>
        </is>
      </c>
      <c r="U65" s="108" t="n">
        <v>4051</v>
      </c>
      <c r="V65" s="108" t="n">
        <v>35</v>
      </c>
      <c r="W65" s="113">
        <f>IF(AND(ISNUMBER(N65),ISNUMBER(V65)),N65*V65*52/12,"")</f>
        <v/>
      </c>
      <c r="X65" s="114" t="n">
        <v>4.4</v>
      </c>
      <c r="Y65" s="108" t="n">
        <v>1909</v>
      </c>
      <c r="Z65" s="115" t="n">
        <v>46307</v>
      </c>
      <c r="AA65" s="115" t="n"/>
      <c r="AB65" s="105" t="n"/>
      <c r="AC65" s="105" t="n"/>
      <c r="AD65" s="108" t="n">
        <v>171534</v>
      </c>
      <c r="AE65" s="108" t="n">
        <v>2682</v>
      </c>
      <c r="AF65" s="116" t="n">
        <v>0.5544749851341424</v>
      </c>
      <c r="AG65" s="116" t="n">
        <v>0.4455250335210511</v>
      </c>
      <c r="AH65" s="39" t="inlineStr">
        <is>
          <t>bamboo sheets</t>
        </is>
      </c>
      <c r="AI65" s="116" t="n">
        <v>0.8981426422750008</v>
      </c>
      <c r="AJ65" s="116" t="n">
        <v>0.06748516329124256</v>
      </c>
      <c r="AK65" s="116" t="n">
        <v>0.2462310678932456</v>
      </c>
      <c r="AL65" s="116" t="n">
        <v>0.0526193057936036</v>
      </c>
      <c r="AM65" s="108" t="n">
        <v>226</v>
      </c>
      <c r="AN65" s="108" t="n">
        <v>28</v>
      </c>
      <c r="AO65" s="108" t="n">
        <v>181</v>
      </c>
      <c r="AP65" s="108" t="n">
        <v>2456</v>
      </c>
      <c r="AQ65" s="108" t="n">
        <v>839</v>
      </c>
      <c r="AR65" s="108" t="n">
        <v>0</v>
      </c>
      <c r="AS65" s="117" t="n"/>
      <c r="AT65" s="112" t="n"/>
      <c r="AU65" s="118" t="inlineStr">
        <is>
          <t>N</t>
        </is>
      </c>
      <c r="AV65" s="118" t="inlineStr">
        <is>
          <t>none</t>
        </is>
      </c>
      <c r="AW65" s="124" t="n"/>
      <c r="AX65" s="119" t="n">
        <v>55</v>
      </c>
      <c r="AY65" s="118" t="inlineStr">
        <is>
          <t>none</t>
        </is>
      </c>
      <c r="AZ65" s="118" t="inlineStr">
        <is>
          <t>Y</t>
        </is>
      </c>
      <c r="BA65" s="118" t="inlineStr">
        <is>
          <t>2026-10-13 12:10:45</t>
        </is>
      </c>
      <c r="BB65" s="120" t="inlineStr">
        <is>
          <t>None</t>
        </is>
      </c>
      <c r="BC65" s="125" t="n"/>
      <c r="BD65" s="121" t="n">
        <v>55</v>
      </c>
      <c r="BE65" s="121" t="n">
        <v>55</v>
      </c>
      <c r="BF65" s="110">
        <f>IF(AND(ISNUMBER(BD65),ISNUMBER(BE65),N(BD65)&gt;0),1-BE65/BD65,"")</f>
        <v/>
      </c>
      <c r="BG65" s="122" t="n">
        <v>3634538</v>
      </c>
      <c r="BH65" s="122" t="n">
        <v>3088925</v>
      </c>
      <c r="BI65" s="123">
        <f>IF(AND(ISNUMBER(BG65),ISNUMBER(BH65),N(BH65)&gt;0),BG65/BH65,"")</f>
        <v/>
      </c>
      <c r="BJ65" s="120" t="inlineStr">
        <is>
          <t>N</t>
        </is>
      </c>
      <c r="BK65" s="120" t="inlineStr">
        <is>
          <t>List Price $55.00</t>
        </is>
      </c>
    </row>
    <row r="66" ht="62" customHeight="1">
      <c r="A66" s="12">
        <f>_xlfn.IMAGE("https://images-na.ssl-images-amazon.com/images/I/71zrq2AtnUL.jpg")</f>
        <v/>
      </c>
      <c r="B66" s="105" t="inlineStr">
        <is>
          <t>Kickoff Home</t>
        </is>
      </c>
      <c r="C66" s="39" t="inlineStr">
        <is>
          <t>Bamboo Sheets</t>
        </is>
      </c>
      <c r="D66" s="105" t="inlineStr">
        <is>
          <t>Poor</t>
        </is>
      </c>
      <c r="E66" s="133" t="inlineStr">
        <is>
          <t>Different product type</t>
        </is>
      </c>
      <c r="F66" s="105" t="inlineStr">
        <is>
          <t>Bamboo viscose</t>
        </is>
      </c>
      <c r="G66" s="39" t="inlineStr">
        <is>
          <t>Sells a sheet set; ours is a fitted sheet.</t>
        </is>
      </c>
      <c r="H66" s="107" t="inlineStr">
        <is>
          <t>B0D4KS4MVX</t>
        </is>
      </c>
      <c r="I66" s="107" t="inlineStr">
        <is>
          <t>B0CHN5ZPFH</t>
        </is>
      </c>
      <c r="J66" s="105" t="inlineStr">
        <is>
          <t>King</t>
        </is>
      </c>
      <c r="K66" s="105" t="inlineStr">
        <is>
          <t>Sage Green</t>
        </is>
      </c>
      <c r="L66" s="108" t="n">
        <v>106</v>
      </c>
      <c r="M66" s="39" t="inlineStr">
        <is>
          <t>B0CHN5ZPFH (27%), B0CHN6N986 (11%), B0G84K7MZQ (9%), B0G84MQQX4 (8%), B0CHN4BSZP (5%)</t>
        </is>
      </c>
      <c r="N66" s="109" t="n">
        <v>86.98999999999999</v>
      </c>
      <c r="O66" s="109" t="n">
        <v>84.98999999999999</v>
      </c>
      <c r="P66" s="110">
        <f>IF(AND(ISNUMBER(O66),ISNUMBER(N66),N(N66)&gt;0),O66/N66-1,"")</f>
        <v/>
      </c>
      <c r="Q66" s="111">
        <f>IF(P66="","No List Price",IF(P66&lt;=0,"At/below price",IF(P66&lt;=0.12,"&lt;=12% STR zone",IF(P66&lt;=0.25,"12-25%","&gt;25% over"))))</f>
        <v/>
      </c>
      <c r="R66" s="109" t="n">
        <v>39.95</v>
      </c>
      <c r="S66" s="112">
        <f>IF(AND(ISNUMBER(N66),ISNUMBER(R66),N(R66)&gt;0),N66/R66-1,"")</f>
        <v/>
      </c>
      <c r="T66" s="39" t="inlineStr">
        <is>
          <t>Same size (King). Ours live: catalog price, 2026-10-13; 9 children</t>
        </is>
      </c>
      <c r="U66" s="108" t="n">
        <v>23579</v>
      </c>
      <c r="V66" s="108" t="n">
        <v>18</v>
      </c>
      <c r="W66" s="113">
        <f>IF(AND(ISNUMBER(N66),ISNUMBER(V66)),N66*V66*52/12,"")</f>
        <v/>
      </c>
      <c r="X66" s="114" t="n">
        <v>4.6</v>
      </c>
      <c r="Y66" s="108" t="n">
        <v>688</v>
      </c>
      <c r="Z66" s="115" t="n">
        <v>46307</v>
      </c>
      <c r="AA66" s="115" t="n"/>
      <c r="AB66" s="105" t="n"/>
      <c r="AC66" s="105" t="n"/>
      <c r="AD66" s="108" t="n">
        <v>58169</v>
      </c>
      <c r="AE66" s="108" t="n">
        <v>1164</v>
      </c>
      <c r="AF66" s="116" t="n">
        <v>0.8765498702057799</v>
      </c>
      <c r="AG66" s="116" t="n">
        <v>0.12345023981846</v>
      </c>
      <c r="AH66" s="39" t="inlineStr">
        <is>
          <t>bamboo sheets</t>
        </is>
      </c>
      <c r="AI66" s="116" t="n">
        <v>0.6749987106534409</v>
      </c>
      <c r="AJ66" s="116" t="n"/>
      <c r="AK66" s="116" t="n">
        <v>0.08715982739947395</v>
      </c>
      <c r="AL66" s="116" t="n">
        <v>0.0003782083240213859</v>
      </c>
      <c r="AM66" s="108" t="n">
        <v>193</v>
      </c>
      <c r="AN66" s="108" t="n">
        <v>28</v>
      </c>
      <c r="AO66" s="108" t="n">
        <v>141</v>
      </c>
      <c r="AP66" s="108" t="n">
        <v>971</v>
      </c>
      <c r="AQ66" s="108" t="n">
        <v>125</v>
      </c>
      <c r="AR66" s="108" t="n">
        <v>0</v>
      </c>
      <c r="AS66" s="117" t="n"/>
      <c r="AT66" s="112" t="n"/>
      <c r="AU66" s="118" t="inlineStr">
        <is>
          <t>N</t>
        </is>
      </c>
      <c r="AV66" s="118" t="inlineStr">
        <is>
          <t>none</t>
        </is>
      </c>
      <c r="AW66" s="124" t="n"/>
      <c r="AX66" s="119" t="n">
        <v>86.98999999999999</v>
      </c>
      <c r="AY66" s="118" t="inlineStr">
        <is>
          <t>none</t>
        </is>
      </c>
      <c r="AZ66" s="118" t="inlineStr">
        <is>
          <t>Y</t>
        </is>
      </c>
      <c r="BA66" s="118" t="inlineStr">
        <is>
          <t>2026-10-13 23:36:30</t>
        </is>
      </c>
      <c r="BB66" s="120" t="inlineStr">
        <is>
          <t>Price cut only</t>
        </is>
      </c>
      <c r="BC66" s="120" t="inlineStr">
        <is>
          <t>11-21 to 12-01</t>
        </is>
      </c>
      <c r="BD66" s="121" t="n">
        <v>118.99</v>
      </c>
      <c r="BE66" s="121" t="n">
        <v>79.13</v>
      </c>
      <c r="BF66" s="110">
        <f>IF(AND(ISNUMBER(BD66),ISNUMBER(BE66),N(BD66)&gt;0),1-BE66/BD66,"")</f>
        <v/>
      </c>
      <c r="BG66" s="122" t="n">
        <v>70541</v>
      </c>
      <c r="BH66" s="122" t="n">
        <v>28546</v>
      </c>
      <c r="BI66" s="123">
        <f>IF(AND(ISNUMBER(BG66),ISNUMBER(BH66),N(BH66)&gt;0),BG66/BH66,"")</f>
        <v/>
      </c>
      <c r="BJ66" s="120" t="inlineStr">
        <is>
          <t>N</t>
        </is>
      </c>
      <c r="BK66" s="120" t="inlineStr">
        <is>
          <t>Coupon 25% (11-01 to 11-05); List Price $124.99</t>
        </is>
      </c>
    </row>
    <row r="67" ht="62" customHeight="1">
      <c r="A67" s="12">
        <f>_xlfn.IMAGE("https://images-na.ssl-images-amazon.com/images/I/81L2xb5ly6L.jpg")</f>
        <v/>
      </c>
      <c r="B67" s="105" t="inlineStr">
        <is>
          <t>Bedsure</t>
        </is>
      </c>
      <c r="C67" s="39" t="inlineStr">
        <is>
          <t>Bedsure PureWoven 100% Rayon Derived from Bamboo, Queen Sheets, 4 Pieces</t>
        </is>
      </c>
      <c r="D67" s="105" t="inlineStr">
        <is>
          <t>Untiered</t>
        </is>
      </c>
      <c r="E67" s="133" t="inlineStr">
        <is>
          <t>Different product type</t>
        </is>
      </c>
      <c r="F67" s="105" t="inlineStr">
        <is>
          <t>Bamboo viscose</t>
        </is>
      </c>
      <c r="G67" s="39" t="inlineStr">
        <is>
          <t>Sells a sheet set; ours is a fitted sheet.</t>
        </is>
      </c>
      <c r="H67" s="107" t="inlineStr">
        <is>
          <t>B0BZ8T5BJ6</t>
        </is>
      </c>
      <c r="I67" s="107" t="inlineStr">
        <is>
          <t>B07YK8VTJV</t>
        </is>
      </c>
      <c r="J67" s="105" t="inlineStr">
        <is>
          <t>Queen</t>
        </is>
      </c>
      <c r="K67" s="105" t="inlineStr">
        <is>
          <t>02 - White</t>
        </is>
      </c>
      <c r="L67" s="108" t="n">
        <v>131</v>
      </c>
      <c r="M67" s="39" t="inlineStr">
        <is>
          <t>B07YKCZHGK (29%), B07YK8VTJV (19%), B07YKCQBBL (14%), B07YKCB6GL (9%), B08CXWHQT2 (6%)</t>
        </is>
      </c>
      <c r="N67" s="109" t="n">
        <v>62.99</v>
      </c>
      <c r="O67" s="109" t="n">
        <v>69.98999999999999</v>
      </c>
      <c r="P67" s="110">
        <f>IF(AND(ISNUMBER(O67),ISNUMBER(N67),N(N67)&gt;0),O67/N67-1,"")</f>
        <v/>
      </c>
      <c r="Q67" s="111">
        <f>IF(P67="","No List Price",IF(P67&lt;=0,"At/below price",IF(P67&lt;=0.12,"&lt;=12% STR zone",IF(P67&lt;=0.25,"12-25%","&gt;25% over"))))</f>
        <v/>
      </c>
      <c r="R67" s="109" t="n">
        <v>37.95</v>
      </c>
      <c r="S67" s="112">
        <f>IF(AND(ISNUMBER(N67),ISNUMBER(R67),N(R67)&gt;0),N67/R67-1,"")</f>
        <v/>
      </c>
      <c r="T67" s="39" t="inlineStr">
        <is>
          <t>Same size (Queen). Ours live: catalog price, 2026-10-13; 10 children</t>
        </is>
      </c>
      <c r="U67" s="108" t="n">
        <v>256</v>
      </c>
      <c r="V67" s="108" t="n">
        <v>809</v>
      </c>
      <c r="W67" s="113">
        <f>IF(AND(ISNUMBER(N67),ISNUMBER(V67)),N67*V67*52/12,"")</f>
        <v/>
      </c>
      <c r="X67" s="114" t="n">
        <v>4.4</v>
      </c>
      <c r="Y67" s="108" t="n">
        <v>65061</v>
      </c>
      <c r="Z67" s="115" t="n">
        <v>46307</v>
      </c>
      <c r="AA67" s="115" t="n">
        <v>43348</v>
      </c>
      <c r="AB67" s="105" t="inlineStr">
        <is>
          <t>FBA</t>
        </is>
      </c>
      <c r="AC67" s="105" t="inlineStr">
        <is>
          <t>US</t>
        </is>
      </c>
      <c r="AD67" s="108" t="n">
        <v>2166046</v>
      </c>
      <c r="AE67" s="108" t="n">
        <v>6935</v>
      </c>
      <c r="AF67" s="116" t="n">
        <v>0.5902383405984899</v>
      </c>
      <c r="AG67" s="116" t="n">
        <v>0.4097618027040986</v>
      </c>
      <c r="AH67" s="39" t="inlineStr">
        <is>
          <t>bamboo sheets</t>
        </is>
      </c>
      <c r="AI67" s="116" t="n">
        <v>0.9388327856379781</v>
      </c>
      <c r="AJ67" s="116" t="n">
        <v>0.9371818511702891</v>
      </c>
      <c r="AK67" s="116" t="n">
        <v>0.6488394059959945</v>
      </c>
      <c r="AL67" s="116" t="n">
        <v>0.3206907886536112</v>
      </c>
      <c r="AM67" s="108" t="n">
        <v>323</v>
      </c>
      <c r="AN67" s="108" t="n">
        <v>41</v>
      </c>
      <c r="AO67" s="108" t="n">
        <v>261</v>
      </c>
      <c r="AP67" s="108" t="n">
        <v>6612</v>
      </c>
      <c r="AQ67" s="108" t="n">
        <v>3494</v>
      </c>
      <c r="AR67" s="108" t="n">
        <v>0</v>
      </c>
      <c r="AS67" s="117" t="n">
        <v>1.066623404715553</v>
      </c>
      <c r="AT67" s="112" t="n">
        <v>-0.05727665706051865</v>
      </c>
      <c r="AU67" s="118" t="inlineStr">
        <is>
          <t>Y</t>
        </is>
      </c>
      <c r="AV67" s="118" t="inlineStr">
        <is>
          <t>List Price</t>
        </is>
      </c>
      <c r="AW67" s="119" t="n">
        <v>69.98999999999999</v>
      </c>
      <c r="AX67" s="119" t="n">
        <v>62.99</v>
      </c>
      <c r="AY67" s="118" t="inlineStr">
        <is>
          <t>none</t>
        </is>
      </c>
      <c r="AZ67" s="118" t="inlineStr">
        <is>
          <t>Y</t>
        </is>
      </c>
      <c r="BA67" s="118" t="inlineStr">
        <is>
          <t>2026-10-13 12:10:35</t>
        </is>
      </c>
      <c r="BB67" s="120" t="inlineStr">
        <is>
          <t>Prime Exclusive Discount</t>
        </is>
      </c>
      <c r="BC67" s="120" t="inlineStr">
        <is>
          <t>11-23 to 12-01</t>
        </is>
      </c>
      <c r="BD67" s="121" t="n">
        <v>66.48999999999999</v>
      </c>
      <c r="BE67" s="121" t="n">
        <v>55.99</v>
      </c>
      <c r="BF67" s="110">
        <f>IF(AND(ISNUMBER(BD67),ISNUMBER(BE67),N(BD67)&gt;0),1-BE67/BD67,"")</f>
        <v/>
      </c>
      <c r="BG67" s="122" t="n">
        <v>156</v>
      </c>
      <c r="BH67" s="122" t="n">
        <v>228</v>
      </c>
      <c r="BI67" s="123">
        <f>IF(AND(ISNUMBER(BG67),ISNUMBER(BH67),N(BH67)&gt;0),BG67/BH67,"")</f>
        <v/>
      </c>
      <c r="BJ67" s="120" t="inlineStr">
        <is>
          <t>N</t>
        </is>
      </c>
      <c r="BK67" s="120" t="inlineStr">
        <is>
          <t>Buy Box RAISED in BFCM week (median $69.99 vs $66.49 before); List Price $78.99</t>
        </is>
      </c>
    </row>
    <row r="68" ht="62" customHeight="1">
      <c r="A68" s="12">
        <f>_xlfn.IMAGE("https://images-na.ssl-images-amazon.com/images/I/61fbapIObwL.jpg")</f>
        <v/>
      </c>
      <c r="B68" s="105" t="inlineStr">
        <is>
          <t>BAMPURE</t>
        </is>
      </c>
      <c r="C68" s="39" t="inlineStr">
        <is>
          <t>BAMPURE 100% Rayon from Bamboo Sheets King Size - 4pc Cooling King Sheets</t>
        </is>
      </c>
      <c r="D68" s="105" t="inlineStr">
        <is>
          <t>Untiered</t>
        </is>
      </c>
      <c r="E68" s="133" t="inlineStr">
        <is>
          <t>Different product type</t>
        </is>
      </c>
      <c r="F68" s="105" t="inlineStr">
        <is>
          <t>Bamboo viscose</t>
        </is>
      </c>
      <c r="G68" s="39" t="inlineStr">
        <is>
          <t>Sells a sheet set; ours is a fitted sheet.</t>
        </is>
      </c>
      <c r="H68" s="107" t="inlineStr">
        <is>
          <t>B0HC778XB4</t>
        </is>
      </c>
      <c r="I68" s="107" t="inlineStr">
        <is>
          <t>B07XFP6BY2</t>
        </is>
      </c>
      <c r="J68" s="105" t="inlineStr">
        <is>
          <t>King</t>
        </is>
      </c>
      <c r="K68" s="105" t="inlineStr">
        <is>
          <t>White</t>
        </is>
      </c>
      <c r="L68" s="108" t="n">
        <v>40</v>
      </c>
      <c r="M68" s="39" t="inlineStr">
        <is>
          <t>B07XBJY2JR (65%), B07XFP6BY2 (21%)</t>
        </is>
      </c>
      <c r="N68" s="109" t="n">
        <v>67.98</v>
      </c>
      <c r="O68" s="109" t="n">
        <v>99.98999999999999</v>
      </c>
      <c r="P68" s="110">
        <f>IF(AND(ISNUMBER(O68),ISNUMBER(N68),N(N68)&gt;0),O68/N68-1,"")</f>
        <v/>
      </c>
      <c r="Q68" s="111">
        <f>IF(P68="","No List Price",IF(P68&lt;=0,"At/below price",IF(P68&lt;=0.12,"&lt;=12% STR zone",IF(P68&lt;=0.25,"12-25%","&gt;25% over"))))</f>
        <v/>
      </c>
      <c r="R68" s="109" t="n">
        <v>39.95</v>
      </c>
      <c r="S68" s="112">
        <f>IF(AND(ISNUMBER(N68),ISNUMBER(R68),N(R68)&gt;0),N68/R68-1,"")</f>
        <v/>
      </c>
      <c r="T68" s="39" t="inlineStr">
        <is>
          <t>Same size (King). Ours live: catalog price, 2026-10-13; 9 children</t>
        </is>
      </c>
      <c r="U68" s="108" t="n">
        <v>14479</v>
      </c>
      <c r="V68" s="108" t="n">
        <v>81</v>
      </c>
      <c r="W68" s="113">
        <f>IF(AND(ISNUMBER(N68),ISNUMBER(V68)),N68*V68*52/12,"")</f>
        <v/>
      </c>
      <c r="X68" s="114" t="n">
        <v>4.4</v>
      </c>
      <c r="Y68" s="108" t="n">
        <v>4095</v>
      </c>
      <c r="Z68" s="115" t="n">
        <v>46307</v>
      </c>
      <c r="AA68" s="115" t="n">
        <v>43776</v>
      </c>
      <c r="AB68" s="105" t="inlineStr">
        <is>
          <t>FBA</t>
        </is>
      </c>
      <c r="AC68" s="105" t="inlineStr">
        <is>
          <t>US</t>
        </is>
      </c>
      <c r="AD68" s="108" t="n">
        <v>67699</v>
      </c>
      <c r="AE68" s="108" t="n">
        <v>1687</v>
      </c>
      <c r="AF68" s="116" t="n">
        <v>0.8589487052984534</v>
      </c>
      <c r="AG68" s="116" t="n">
        <v>0.1410512947015465</v>
      </c>
      <c r="AH68" s="39" t="inlineStr">
        <is>
          <t>bamboo sheets</t>
        </is>
      </c>
      <c r="AI68" s="116" t="n">
        <v>0.9117121375500377</v>
      </c>
      <c r="AJ68" s="116" t="n"/>
      <c r="AK68" s="116" t="n"/>
      <c r="AL68" s="116" t="n"/>
      <c r="AM68" s="108" t="n">
        <v>208</v>
      </c>
      <c r="AN68" s="108" t="n">
        <v>41</v>
      </c>
      <c r="AO68" s="108" t="n">
        <v>139</v>
      </c>
      <c r="AP68" s="108" t="n">
        <v>1479</v>
      </c>
      <c r="AQ68" s="108" t="n">
        <v>307</v>
      </c>
      <c r="AR68" s="108" t="n">
        <v>0</v>
      </c>
      <c r="AS68" s="117" t="n">
        <v>1.016706443914081</v>
      </c>
      <c r="AT68" s="112" t="n">
        <v>-0.2868217054263565</v>
      </c>
      <c r="AU68" s="118" t="inlineStr">
        <is>
          <t>Y</t>
        </is>
      </c>
      <c r="AV68" s="118" t="inlineStr">
        <is>
          <t>List Price</t>
        </is>
      </c>
      <c r="AW68" s="119" t="n">
        <v>99.98999999999999</v>
      </c>
      <c r="AX68" s="119" t="n">
        <v>67.98</v>
      </c>
      <c r="AY68" s="118" t="inlineStr">
        <is>
          <t>Limited time deal</t>
        </is>
      </c>
      <c r="AZ68" s="118" t="inlineStr">
        <is>
          <t>Y</t>
        </is>
      </c>
      <c r="BA68" s="118" t="inlineStr">
        <is>
          <t>2026-10-13 12:10:12</t>
        </is>
      </c>
      <c r="BB68" s="120" t="inlineStr">
        <is>
          <t>Prime Exclusive Discount</t>
        </is>
      </c>
      <c r="BC68" s="120" t="inlineStr">
        <is>
          <t>11-22 to 12-01</t>
        </is>
      </c>
      <c r="BD68" s="121" t="n">
        <v>84.98999999999999</v>
      </c>
      <c r="BE68" s="121" t="n">
        <v>79.98999999999999</v>
      </c>
      <c r="BF68" s="110">
        <f>IF(AND(ISNUMBER(BD68),ISNUMBER(BE68),N(BD68)&gt;0),1-BE68/BD68,"")</f>
        <v/>
      </c>
      <c r="BG68" s="122" t="n">
        <v>31768</v>
      </c>
      <c r="BH68" s="122" t="n">
        <v>27833</v>
      </c>
      <c r="BI68" s="123">
        <f>IF(AND(ISNUMBER(BG68),ISNUMBER(BH68),N(BH68)&gt;0),BG68/BH68,"")</f>
        <v/>
      </c>
      <c r="BJ68" s="120" t="inlineStr">
        <is>
          <t>N</t>
        </is>
      </c>
      <c r="BK68" s="120" t="inlineStr">
        <is>
          <t>Coupon 5.00 USD (11-01 to 11-04); Buy Box RAISED in BFCM week (median $99.99 vs $84.99 before); List Price $99.99</t>
        </is>
      </c>
    </row>
    <row r="69"/>
    <row r="70" ht="22" customHeight="1">
      <c r="A70" s="65" t="inlineStr">
        <is>
          <t>5 ▼</t>
        </is>
      </c>
      <c r="B70" s="66" t="inlineStr">
        <is>
          <t>WHAT THIS MEANS FOR BFCM</t>
        </is>
      </c>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c r="AC70" s="67" t="n"/>
      <c r="AD70" s="67" t="n"/>
      <c r="AE70" s="67" t="n"/>
      <c r="AF70" s="67" t="n"/>
      <c r="AG70" s="67" t="n"/>
      <c r="AH70" s="67" t="n"/>
      <c r="AI70" s="67" t="n"/>
      <c r="AJ70" s="67" t="n"/>
      <c r="AK70" s="67" t="n"/>
      <c r="AL70" s="67" t="n"/>
      <c r="AM70" s="67" t="n"/>
      <c r="AN70" s="67" t="n"/>
      <c r="AO70" s="67" t="n"/>
      <c r="AP70" s="67" t="n"/>
      <c r="AQ70" s="67" t="n"/>
      <c r="AR70" s="67" t="n"/>
      <c r="AS70" s="67" t="n"/>
      <c r="AT70" s="67" t="n"/>
      <c r="AU70" s="67" t="n"/>
      <c r="AV70" s="67" t="n"/>
      <c r="AW70" s="67" t="n"/>
      <c r="AX70" s="67" t="n"/>
      <c r="AY70" s="67" t="n"/>
      <c r="AZ70" s="67" t="n"/>
      <c r="BA70" s="67" t="n"/>
      <c r="BB70" s="67" t="n"/>
      <c r="BC70" s="67" t="n"/>
      <c r="BD70" s="67" t="n"/>
      <c r="BE70" s="67" t="n"/>
      <c r="BF70" s="67" t="n"/>
      <c r="BG70" s="67" t="n"/>
      <c r="BH70" s="67" t="n"/>
      <c r="BI70" s="67" t="n"/>
      <c r="BJ70" s="67" t="n"/>
      <c r="BK70" s="67" t="n"/>
    </row>
    <row r="71" ht="30" customHeight="1">
      <c r="A71" s="129" t="inlineStr">
        <is>
          <t>• Who sells most: Pure Bamboo ~809/wk at $109.99; Bedsure ~809/wk at $62.99 (List $69.99, +11%); Bambaw ~104/wk at $89.99; Bedsure ~104/wk at $89.99 (List $119.99, +33%); SONORO KATE ~104/wk at $79.99. Tracked rivals ~2,428 units/wk; we sell ~26/wk (1.0% of the tracked set).</t>
        </is>
      </c>
    </row>
    <row r="72" ht="18" customHeight="1">
      <c r="A72" s="129" t="inlineStr">
        <is>
          <t>• Strikethrough: 4 of 15 rivals set a List Price above price; 1 within 12%: Bedsure +11%.</t>
        </is>
      </c>
    </row>
    <row r="73" ht="18" customHeight="1">
      <c r="A73" s="129" t="inlineStr">
        <is>
          <t>• Price: 1 of 15 rivals sit below our price today (same size where the title states one). Cheapest strong rivals: Zaizaihome $29.99.</t>
        </is>
      </c>
    </row>
    <row r="74" ht="30" customHeight="1">
      <c r="A74" s="129" t="inlineStr">
        <is>
          <t>• Strikethrough on the page today (Oct 13 check): 5 of 15 checked rivals show one: Bedsure List Price $49.99 vs $44.99 (+11%), REST List Price $139.00 vs $111.20 (+25%), Bedsure List Price $119.99 vs $89.99 (+33%), Bedsure List Price $69.99 vs $62.99 (+11%), BAMPURE List Price $99.99 vs $67.98 (+47%) with deal.</t>
        </is>
      </c>
    </row>
    <row r="75" ht="30" customHeight="1">
      <c r="A75" s="129" t="inlineStr">
        <is>
          <t>• Search: we lose most shared keywords to Pure Bamboo (we win 29, lose 266), Bedsure (we win 35, lose 261), Bedsure (we win 41, lose 261). Biggest ad gaps (they advertise where we don't or harder): Pure Bamboo 3,819 + 0 KWs, Bedsure 3,494 + 0 KWs, Bedsure 2,487 + 1 KWs.</t>
        </is>
      </c>
    </row>
    <row r="76" ht="30" customHeight="1">
      <c r="A76" s="129" t="inlineStr">
        <is>
          <t>• Brand ads: GOKOTTA (SB 7%, SBV 74%), Bedsure (SB 53%, SBV 0%), REST (SB 60%, SBV 0%), Cozy Bliss (SB 0%, SBV 70%), Pure Bamboo (SB 82%, SBV 88%) hold Sponsored Brands / video on most of their traffic - the plan has our SB, SBV and display live by Nov 1.</t>
        </is>
      </c>
    </row>
    <row r="77" ht="30" customHeight="1">
      <c r="A77" s="129" t="inlineStr">
        <is>
          <t>• BFCM 2025, 13 rivals with price history history: Prime Exclusive Discount 5, Price cut only 4, None 4. Median depth vs their Nov 1-19 price 14%; median BSR lift 1.17x. 3 raised their Buy Box in BFCM week, so their deal looked deeper than it was.</t>
        </is>
      </c>
    </row>
    <row r="78" ht="18" customHeight="1">
      <c r="A78" s="129" t="inlineStr">
        <is>
          <t>• 1 rival not in the price history pulls yet (yellow BFCM 2025 columns) - remaining P2 batches,.</t>
        </is>
      </c>
    </row>
  </sheetData>
  <autoFilter ref="B53:BK68"/>
  <mergeCells count="57">
    <mergeCell ref="A48:BK48"/>
    <mergeCell ref="A77:BK77"/>
    <mergeCell ref="A73:BK73"/>
    <mergeCell ref="L5:Q5"/>
    <mergeCell ref="AD52:AT52"/>
    <mergeCell ref="Q11:T11"/>
    <mergeCell ref="BB52:BK52"/>
    <mergeCell ref="L8:Q8"/>
    <mergeCell ref="L4:Q4"/>
    <mergeCell ref="D7:I7"/>
    <mergeCell ref="A13:D13"/>
    <mergeCell ref="I13:L13"/>
    <mergeCell ref="A42:C42"/>
    <mergeCell ref="A78:BK78"/>
    <mergeCell ref="D4:I4"/>
    <mergeCell ref="L10:Q10"/>
    <mergeCell ref="E12:H12"/>
    <mergeCell ref="Q13:T13"/>
    <mergeCell ref="A46:BK46"/>
    <mergeCell ref="D9:I9"/>
    <mergeCell ref="AU52:BA52"/>
    <mergeCell ref="U12:X12"/>
    <mergeCell ref="L9:Q9"/>
    <mergeCell ref="Q12:T12"/>
    <mergeCell ref="A75:BK75"/>
    <mergeCell ref="A11:D11"/>
    <mergeCell ref="I11:L11"/>
    <mergeCell ref="A43:C43"/>
    <mergeCell ref="D8:I8"/>
    <mergeCell ref="L6:Q6"/>
    <mergeCell ref="A4:B9"/>
    <mergeCell ref="A74:BK74"/>
    <mergeCell ref="T6:Y6"/>
    <mergeCell ref="A44:C44"/>
    <mergeCell ref="A71:BK71"/>
    <mergeCell ref="D5:I5"/>
    <mergeCell ref="A47:BK47"/>
    <mergeCell ref="A76:BK76"/>
    <mergeCell ref="M11:P11"/>
    <mergeCell ref="U11:X11"/>
    <mergeCell ref="E13:H13"/>
    <mergeCell ref="AA52:AC52"/>
    <mergeCell ref="D10:I10"/>
    <mergeCell ref="L7:Q7"/>
    <mergeCell ref="T5:Y5"/>
    <mergeCell ref="A72:BK72"/>
    <mergeCell ref="A45:C45"/>
    <mergeCell ref="A12:D12"/>
    <mergeCell ref="M13:P13"/>
    <mergeCell ref="N52:Z52"/>
    <mergeCell ref="I12:L12"/>
    <mergeCell ref="U13:X13"/>
    <mergeCell ref="A52:K52"/>
    <mergeCell ref="M12:P12"/>
    <mergeCell ref="T4:Y4"/>
    <mergeCell ref="D6:I6"/>
    <mergeCell ref="E11:H11"/>
  </mergeCells>
  <conditionalFormatting sqref="Q54:Q68">
    <cfRule type="expression" priority="1" dxfId="1">
      <formula>Q54="&lt;=12% STR zone"</formula>
    </cfRule>
  </conditionalFormatting>
  <conditionalFormatting sqref="Z54:Z68">
    <cfRule type="expression" priority="2" dxfId="0">
      <formula>AND(ISNUMBER(Z54),Z54&lt;DATE(2026,10,6))</formula>
    </cfRule>
  </conditionalFormatting>
  <conditionalFormatting sqref="T54:T68">
    <cfRule type="expression" priority="3" dxfId="0">
      <formula>ISNUMBER(SEARCH("STALE",T54))</formula>
    </cfRule>
  </conditionalFormatting>
  <conditionalFormatting sqref="S54:S68">
    <cfRule type="expression" priority="4" dxfId="0">
      <formula>AND(ISNUMBER(S54),S54&lt;0)</formula>
    </cfRule>
  </conditionalFormatting>
  <dataValidations count="3">
    <dataValidation sqref="AU54:AU68 BJ54:BJ68" showDropDown="0" showInputMessage="0" showErrorMessage="0" allowBlank="1" type="list">
      <formula1>"Y,N"</formula1>
    </dataValidation>
    <dataValidation sqref="AV54:AV68" showDropDown="0" showInputMessage="0" showErrorMessage="0" allowBlank="1" type="list">
      <formula1>"List Price,Typical price,Was price,None"</formula1>
    </dataValidation>
    <dataValidation sqref="BB54:BB68"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Bamboo Fitted'!A3" display="1 Our product ↓"/>
    <hyperlink ref="D2" location="'US DC Bamboo Fitted'!A15" display="2 Our variations ↓"/>
    <hyperlink ref="E2" location="'US DC Bamboo Fitted'!A41" display="3 Our BFCM 2025 ↓"/>
    <hyperlink ref="F2" location="'US DC Bamboo Fitted'!A50" display="4 COMPETITORS (15 mapped) ↓"/>
    <hyperlink ref="G2" location="'US DC Bamboo Fitted'!A70" display="5 What it means ↓"/>
    <hyperlink xmlns:r="http://schemas.openxmlformats.org/officeDocument/2006/relationships" ref="H54" r:id="rId1"/>
    <hyperlink xmlns:r="http://schemas.openxmlformats.org/officeDocument/2006/relationships" ref="I54" r:id="rId2"/>
    <hyperlink xmlns:r="http://schemas.openxmlformats.org/officeDocument/2006/relationships" ref="H55" r:id="rId3"/>
    <hyperlink xmlns:r="http://schemas.openxmlformats.org/officeDocument/2006/relationships" ref="I55" r:id="rId4"/>
    <hyperlink xmlns:r="http://schemas.openxmlformats.org/officeDocument/2006/relationships" ref="H56" r:id="rId5"/>
    <hyperlink xmlns:r="http://schemas.openxmlformats.org/officeDocument/2006/relationships" ref="I56" r:id="rId6"/>
    <hyperlink xmlns:r="http://schemas.openxmlformats.org/officeDocument/2006/relationships" ref="H57" r:id="rId7"/>
    <hyperlink xmlns:r="http://schemas.openxmlformats.org/officeDocument/2006/relationships" ref="I57" r:id="rId8"/>
    <hyperlink xmlns:r="http://schemas.openxmlformats.org/officeDocument/2006/relationships" ref="H58" r:id="rId9"/>
    <hyperlink xmlns:r="http://schemas.openxmlformats.org/officeDocument/2006/relationships" ref="I58" r:id="rId10"/>
    <hyperlink xmlns:r="http://schemas.openxmlformats.org/officeDocument/2006/relationships" ref="H59" r:id="rId11"/>
    <hyperlink xmlns:r="http://schemas.openxmlformats.org/officeDocument/2006/relationships" ref="I59" r:id="rId12"/>
    <hyperlink xmlns:r="http://schemas.openxmlformats.org/officeDocument/2006/relationships" ref="H60" r:id="rId13"/>
    <hyperlink xmlns:r="http://schemas.openxmlformats.org/officeDocument/2006/relationships" ref="I60" r:id="rId14"/>
    <hyperlink xmlns:r="http://schemas.openxmlformats.org/officeDocument/2006/relationships" ref="H61" r:id="rId15"/>
    <hyperlink xmlns:r="http://schemas.openxmlformats.org/officeDocument/2006/relationships" ref="I61" r:id="rId16"/>
    <hyperlink xmlns:r="http://schemas.openxmlformats.org/officeDocument/2006/relationships" ref="H62" r:id="rId17"/>
    <hyperlink xmlns:r="http://schemas.openxmlformats.org/officeDocument/2006/relationships" ref="I62" r:id="rId18"/>
    <hyperlink xmlns:r="http://schemas.openxmlformats.org/officeDocument/2006/relationships" ref="H63" r:id="rId19"/>
    <hyperlink xmlns:r="http://schemas.openxmlformats.org/officeDocument/2006/relationships" ref="I63" r:id="rId20"/>
    <hyperlink xmlns:r="http://schemas.openxmlformats.org/officeDocument/2006/relationships" ref="H64" r:id="rId21"/>
    <hyperlink xmlns:r="http://schemas.openxmlformats.org/officeDocument/2006/relationships" ref="I64" r:id="rId22"/>
    <hyperlink xmlns:r="http://schemas.openxmlformats.org/officeDocument/2006/relationships" ref="H65" r:id="rId23"/>
    <hyperlink xmlns:r="http://schemas.openxmlformats.org/officeDocument/2006/relationships" ref="I65" r:id="rId24"/>
    <hyperlink xmlns:r="http://schemas.openxmlformats.org/officeDocument/2006/relationships" ref="H66" r:id="rId25"/>
    <hyperlink xmlns:r="http://schemas.openxmlformats.org/officeDocument/2006/relationships" ref="I66" r:id="rId26"/>
    <hyperlink xmlns:r="http://schemas.openxmlformats.org/officeDocument/2006/relationships" ref="H67" r:id="rId27"/>
    <hyperlink xmlns:r="http://schemas.openxmlformats.org/officeDocument/2006/relationships" ref="I67" r:id="rId28"/>
    <hyperlink xmlns:r="http://schemas.openxmlformats.org/officeDocument/2006/relationships" ref="H68" r:id="rId29"/>
    <hyperlink xmlns:r="http://schemas.openxmlformats.org/officeDocument/2006/relationships" ref="I68" r:id="rId30"/>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9DC3E6"/>
    <outlinePr summaryBelow="1" summaryRight="1"/>
    <pageSetUpPr/>
  </sheetPr>
  <dimension ref="A1:BK9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Bamboo Pillowcases · Amazon.com (US) · Bamboo · BFCM role: Other · Scope: Not launched</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(6 mapped) ↓</t>
        </is>
      </c>
      <c r="G2" s="23" t="inlineStr">
        <is>
          <t>5 What it means ↓</t>
        </is>
      </c>
      <c r="J2" s="131" t="inlineStr">
        <is>
          <t>NOT LAUNCHED YET (confirmed Oct 14, 2026): no live price, rating or sales expected; excluded from the gap counts on Data Check.</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45" t="inlineStr">
        <is>
          <t>COMING SOON</t>
        </is>
      </c>
      <c r="C4" s="13" t="inlineStr">
        <is>
          <t>Title</t>
        </is>
      </c>
      <c r="D4" s="14" t="inlineStr">
        <is>
          <t>SLEEPHORIA 100% Viscose Dervied from Bamboo Pillowcase King Size 2-Pieces (Black)</t>
        </is>
      </c>
      <c r="K4" s="13" t="inlineStr">
        <is>
          <t>Sizes</t>
        </is>
      </c>
      <c r="L4" s="68" t="inlineStr">
        <is>
          <t>King, Queen, Standard</t>
        </is>
      </c>
      <c r="S4" s="13" t="inlineStr">
        <is>
          <t>Break-even ACoS</t>
        </is>
      </c>
      <c r="T4" s="68" t="inlineStr">
        <is>
          <t>n/a</t>
        </is>
      </c>
    </row>
    <row r="5" ht="22" customHeight="1">
      <c r="C5" s="13" t="inlineStr">
        <is>
          <t>Brand</t>
        </is>
      </c>
      <c r="D5" s="68" t="inlineStr">
        <is>
          <t>Sleephoria</t>
        </is>
      </c>
      <c r="K5" s="13" t="inlineStr">
        <is>
          <t>Colours</t>
        </is>
      </c>
      <c r="L5" s="68" t="inlineStr">
        <is>
          <t>Black, Charcoal, Cobalt Blue, Cream, Dark Grey, Dune, Haze Blue, Ivory, Jacquard Sand, Light Grey, Navy Blue, Sage Green, Sand, Sea Glass, Silver Grey, Sterling Blue, Terracotta, White</t>
        </is>
      </c>
      <c r="S5" s="13" t="inlineStr">
        <is>
          <t>Units last 28 days</t>
        </is>
      </c>
      <c r="T5" s="68" t="inlineStr">
        <is>
          <t>0</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B0FX2RDXXR (one of our child ASINs, not the Amazon parent)</t>
        </is>
      </c>
    </row>
    <row r="7" ht="22" customHeight="1">
      <c r="C7" s="13" t="inlineStr">
        <is>
          <t>Parent ASIN (Amazon)</t>
        </is>
      </c>
      <c r="D7" s="68" t="inlineStr">
        <is>
          <t>B0FX2RDXXR</t>
        </is>
      </c>
      <c r="K7" s="13" t="inlineStr">
        <is>
          <t>Rating / reviews now</t>
        </is>
      </c>
      <c r="L7" s="68" t="inlineStr">
        <is>
          <t>Not checked yet</t>
        </is>
      </c>
    </row>
    <row r="8" ht="22" customHeight="1">
      <c r="C8" s="13" t="inlineStr">
        <is>
          <t>Best-selling child ASIN</t>
        </is>
      </c>
      <c r="D8" s="68" t="n"/>
      <c r="K8" s="13" t="inlineStr">
        <is>
          <t>Live prices held</t>
        </is>
      </c>
      <c r="L8" s="68" t="inlineStr">
        <is>
          <t>0 of 54 variations</t>
        </is>
      </c>
    </row>
    <row r="9" ht="22" customHeight="1">
      <c r="C9" s="13" t="inlineStr">
        <is>
          <t>Stage</t>
        </is>
      </c>
      <c r="D9" s="68" t="inlineStr">
        <is>
          <t>Production</t>
        </is>
      </c>
      <c r="K9" s="13" t="inlineStr">
        <is>
          <t>Blended price (market data)</t>
        </is>
      </c>
      <c r="L9" s="68" t="n"/>
    </row>
    <row r="10">
      <c r="C10" s="13" t="inlineStr">
        <is>
          <t>Total variations (SKUs)</t>
        </is>
      </c>
      <c r="D10" s="68" t="n">
        <v>54</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6</t>
        </is>
      </c>
      <c r="Q12" s="70" t="inlineStr">
        <is>
          <t>0</t>
        </is>
      </c>
      <c r="U12" s="70" t="inlineStr">
        <is>
          <t>0</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(54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45" t="inlineStr">
        <is>
          <t>COMING SOON</t>
        </is>
      </c>
      <c r="B18" s="39" t="inlineStr">
        <is>
          <t>B0FX2RDXXR</t>
        </is>
      </c>
      <c r="C18" s="39" t="inlineStr">
        <is>
          <t>SL-BMB-PC-KING-BLACK-2PC</t>
        </is>
      </c>
      <c r="D18" s="39" t="inlineStr">
        <is>
          <t>SLEEPHORIA 100% Viscose Dervied from Bamboo Pillowcase King Size 2-Pieces (Black)</t>
        </is>
      </c>
      <c r="E18" s="39" t="inlineStr">
        <is>
          <t>King</t>
        </is>
      </c>
      <c r="F18" s="39" t="inlineStr">
        <is>
          <t>Black</t>
        </is>
      </c>
      <c r="G18" s="40" t="n"/>
      <c r="H18" s="39" t="n"/>
      <c r="I18" s="40" t="n"/>
      <c r="J18" s="39" t="n"/>
      <c r="K18" s="40" t="n"/>
      <c r="L18" s="76" t="n"/>
      <c r="M18" s="77" t="n"/>
      <c r="N18" s="39" t="inlineStr">
        <is>
          <t>Inactive</t>
        </is>
      </c>
      <c r="O18" s="39" t="n"/>
      <c r="P18" s="78" t="n"/>
      <c r="Q18" s="77" t="n"/>
      <c r="R18" s="77" t="n"/>
      <c r="S18" s="77" t="n"/>
      <c r="T18" s="39" t="n"/>
    </row>
    <row r="19" ht="62" customHeight="1">
      <c r="A19" s="45" t="inlineStr">
        <is>
          <t>COMING SOON</t>
        </is>
      </c>
      <c r="B19" s="39" t="inlineStr">
        <is>
          <t>B0FX2Q2VDB</t>
        </is>
      </c>
      <c r="C19" s="39" t="inlineStr">
        <is>
          <t>SL-BMB-PC-KING-CHARCOAL-2PC</t>
        </is>
      </c>
      <c r="D19" s="39" t="inlineStr">
        <is>
          <t>SLEEPHORIA 100% Viscose Dervied from Bamboo Pillowcase King Size 2-Pieces (Charcoal)</t>
        </is>
      </c>
      <c r="E19" s="39" t="inlineStr">
        <is>
          <t>King</t>
        </is>
      </c>
      <c r="F19" s="39" t="inlineStr">
        <is>
          <t>Charcoal</t>
        </is>
      </c>
      <c r="G19" s="40" t="n"/>
      <c r="H19" s="39" t="n"/>
      <c r="I19" s="40" t="n"/>
      <c r="J19" s="39" t="n"/>
      <c r="K19" s="40" t="n"/>
      <c r="L19" s="76" t="n"/>
      <c r="M19" s="77" t="n"/>
      <c r="N19" s="39" t="inlineStr">
        <is>
          <t>Inactive</t>
        </is>
      </c>
      <c r="O19" s="39" t="n"/>
      <c r="P19" s="78" t="n"/>
      <c r="Q19" s="77" t="n"/>
      <c r="R19" s="77" t="n"/>
      <c r="S19" s="77" t="n"/>
      <c r="T19" s="39" t="n"/>
    </row>
    <row r="20" ht="62" customHeight="1">
      <c r="A20" s="45" t="inlineStr">
        <is>
          <t>COMING SOON</t>
        </is>
      </c>
      <c r="B20" s="39" t="inlineStr">
        <is>
          <t>B0FX2TL4TL</t>
        </is>
      </c>
      <c r="C20" s="39" t="inlineStr">
        <is>
          <t>SL-BMB-PC-KING-COBALT-BLUE-2PC</t>
        </is>
      </c>
      <c r="D20" s="39" t="inlineStr">
        <is>
          <t>SLEEPHORIA 100% Viscose Dervied from Bamboo Pillowcase King Size 2-Pieces (Cobalt Blue)</t>
        </is>
      </c>
      <c r="E20" s="39" t="inlineStr">
        <is>
          <t>King</t>
        </is>
      </c>
      <c r="F20" s="39" t="inlineStr">
        <is>
          <t>Cobalt Blue</t>
        </is>
      </c>
      <c r="G20" s="40" t="n"/>
      <c r="H20" s="39" t="n"/>
      <c r="I20" s="40" t="n"/>
      <c r="J20" s="39" t="n"/>
      <c r="K20" s="40" t="n"/>
      <c r="L20" s="76" t="n"/>
      <c r="M20" s="77" t="n"/>
      <c r="N20" s="39" t="inlineStr">
        <is>
          <t>Inactive</t>
        </is>
      </c>
      <c r="O20" s="39" t="n"/>
      <c r="P20" s="78" t="n"/>
      <c r="Q20" s="77" t="n"/>
      <c r="R20" s="77" t="n"/>
      <c r="S20" s="77" t="n"/>
      <c r="T20" s="39" t="n"/>
    </row>
    <row r="21" ht="62" customHeight="1">
      <c r="A21" s="45" t="inlineStr">
        <is>
          <t>COMING SOON</t>
        </is>
      </c>
      <c r="B21" s="39" t="inlineStr">
        <is>
          <t>B0FX2QQ15N</t>
        </is>
      </c>
      <c r="C21" s="39" t="inlineStr">
        <is>
          <t>SL-BMB-PC-KING-CREAM-2PC</t>
        </is>
      </c>
      <c r="D21" s="39" t="inlineStr">
        <is>
          <t>SLEEPHORIA 100% Viscose Dervied from Bamboo Pillowcase King Size 2-Pieces (Cream)</t>
        </is>
      </c>
      <c r="E21" s="39" t="inlineStr">
        <is>
          <t>King</t>
        </is>
      </c>
      <c r="F21" s="39" t="inlineStr">
        <is>
          <t>Cream</t>
        </is>
      </c>
      <c r="G21" s="40" t="n"/>
      <c r="H21" s="39" t="n"/>
      <c r="I21" s="40" t="n"/>
      <c r="J21" s="39" t="n"/>
      <c r="K21" s="40" t="n"/>
      <c r="L21" s="76" t="n"/>
      <c r="M21" s="77" t="n"/>
      <c r="N21" s="39" t="inlineStr">
        <is>
          <t>Inactive</t>
        </is>
      </c>
      <c r="O21" s="39" t="n"/>
      <c r="P21" s="78" t="n"/>
      <c r="Q21" s="77" t="n"/>
      <c r="R21" s="77" t="n"/>
      <c r="S21" s="77" t="n"/>
      <c r="T21" s="39" t="n"/>
    </row>
    <row r="22" ht="62" customHeight="1">
      <c r="A22" s="45" t="inlineStr">
        <is>
          <t>COMING SOON</t>
        </is>
      </c>
      <c r="B22" s="39" t="inlineStr">
        <is>
          <t>B0FX2VR11H</t>
        </is>
      </c>
      <c r="C22" s="39" t="inlineStr">
        <is>
          <t>SL-BMB-PC-KING-DARK-GREY-2PC</t>
        </is>
      </c>
      <c r="D22" s="39" t="inlineStr">
        <is>
          <t>SLEEPHORIA 100% Viscose Dervied from Bamboo Pillowcase King Size 2-Pieces (Dark Grey)</t>
        </is>
      </c>
      <c r="E22" s="39" t="inlineStr">
        <is>
          <t>King</t>
        </is>
      </c>
      <c r="F22" s="39" t="inlineStr">
        <is>
          <t>Dark Grey</t>
        </is>
      </c>
      <c r="G22" s="40" t="n"/>
      <c r="H22" s="39" t="n"/>
      <c r="I22" s="40" t="n"/>
      <c r="J22" s="39" t="n"/>
      <c r="K22" s="40" t="n"/>
      <c r="L22" s="76" t="n"/>
      <c r="M22" s="77" t="n"/>
      <c r="N22" s="39" t="inlineStr">
        <is>
          <t>Inactive</t>
        </is>
      </c>
      <c r="O22" s="39" t="n"/>
      <c r="P22" s="78" t="n"/>
      <c r="Q22" s="77" t="n"/>
      <c r="R22" s="77" t="n"/>
      <c r="S22" s="77" t="n"/>
      <c r="T22" s="39" t="n"/>
    </row>
    <row r="23" ht="62" customHeight="1">
      <c r="A23" s="45" t="inlineStr">
        <is>
          <t>COMING SOON</t>
        </is>
      </c>
      <c r="B23" s="39" t="inlineStr">
        <is>
          <t>B0FX2PB6R7</t>
        </is>
      </c>
      <c r="C23" s="39" t="inlineStr">
        <is>
          <t>SL-BMB-PC-KING-DUNE-2PC</t>
        </is>
      </c>
      <c r="D23" s="39" t="inlineStr">
        <is>
          <t>SLEEPHORIA 100% Viscose Dervied from Bamboo Pillowcase King Size 2-Pieces (Dune)</t>
        </is>
      </c>
      <c r="E23" s="39" t="inlineStr">
        <is>
          <t>King</t>
        </is>
      </c>
      <c r="F23" s="39" t="inlineStr">
        <is>
          <t>Dune</t>
        </is>
      </c>
      <c r="G23" s="40" t="n"/>
      <c r="H23" s="39" t="n"/>
      <c r="I23" s="40" t="n"/>
      <c r="J23" s="39" t="n"/>
      <c r="K23" s="40" t="n"/>
      <c r="L23" s="76" t="n"/>
      <c r="M23" s="77" t="n"/>
      <c r="N23" s="39" t="inlineStr">
        <is>
          <t>Inactive</t>
        </is>
      </c>
      <c r="O23" s="39" t="n"/>
      <c r="P23" s="78" t="n"/>
      <c r="Q23" s="77" t="n"/>
      <c r="R23" s="77" t="n"/>
      <c r="S23" s="77" t="n"/>
      <c r="T23" s="39" t="n"/>
    </row>
    <row r="24" ht="62" customHeight="1">
      <c r="A24" s="45" t="inlineStr">
        <is>
          <t>COMING SOON</t>
        </is>
      </c>
      <c r="B24" s="39" t="inlineStr">
        <is>
          <t>B0FX2N2ZBS</t>
        </is>
      </c>
      <c r="C24" s="39" t="inlineStr">
        <is>
          <t>SL-BMB-PC-KING-HAZE-BLUE-2PC</t>
        </is>
      </c>
      <c r="D24" s="39" t="inlineStr">
        <is>
          <t>SLEEPHORIA 100% Viscose Dervied from Bamboo Pillowcase King Size 2-Pieces (Haze Blue)</t>
        </is>
      </c>
      <c r="E24" s="39" t="inlineStr">
        <is>
          <t>King</t>
        </is>
      </c>
      <c r="F24" s="39" t="inlineStr">
        <is>
          <t>Haze Blue</t>
        </is>
      </c>
      <c r="G24" s="40" t="n"/>
      <c r="H24" s="39" t="n"/>
      <c r="I24" s="40" t="n"/>
      <c r="J24" s="39" t="n"/>
      <c r="K24" s="40" t="n"/>
      <c r="L24" s="76" t="n"/>
      <c r="M24" s="77" t="n"/>
      <c r="N24" s="39" t="inlineStr">
        <is>
          <t>Inactive</t>
        </is>
      </c>
      <c r="O24" s="39" t="n"/>
      <c r="P24" s="78" t="n"/>
      <c r="Q24" s="77" t="n"/>
      <c r="R24" s="77" t="n"/>
      <c r="S24" s="77" t="n"/>
      <c r="T24" s="39" t="n"/>
    </row>
    <row r="25" ht="62" customHeight="1">
      <c r="A25" s="45" t="inlineStr">
        <is>
          <t>COMING SOON</t>
        </is>
      </c>
      <c r="B25" s="39" t="inlineStr">
        <is>
          <t>B0FX2PW1B5</t>
        </is>
      </c>
      <c r="C25" s="39" t="inlineStr">
        <is>
          <t>SL-BMB-PC-KING-IVORY-2PC</t>
        </is>
      </c>
      <c r="D25" s="39" t="inlineStr">
        <is>
          <t>SLEEPHORIA 100% Viscose Dervied from Bamboo Pillowcase King Size 2-Pieces (Ivory)</t>
        </is>
      </c>
      <c r="E25" s="39" t="inlineStr">
        <is>
          <t>King</t>
        </is>
      </c>
      <c r="F25" s="39" t="inlineStr">
        <is>
          <t>Ivory</t>
        </is>
      </c>
      <c r="G25" s="40" t="n"/>
      <c r="H25" s="39" t="n"/>
      <c r="I25" s="40" t="n"/>
      <c r="J25" s="39" t="n"/>
      <c r="K25" s="40" t="n"/>
      <c r="L25" s="76" t="n"/>
      <c r="M25" s="77" t="n"/>
      <c r="N25" s="39" t="inlineStr">
        <is>
          <t>Inactive</t>
        </is>
      </c>
      <c r="O25" s="39" t="n"/>
      <c r="P25" s="78" t="n"/>
      <c r="Q25" s="77" t="n"/>
      <c r="R25" s="77" t="n"/>
      <c r="S25" s="77" t="n"/>
      <c r="T25" s="39" t="n"/>
    </row>
    <row r="26" ht="62" customHeight="1">
      <c r="A26" s="45" t="inlineStr">
        <is>
          <t>COMING SOON</t>
        </is>
      </c>
      <c r="B26" s="39" t="inlineStr">
        <is>
          <t>B0FX2R6L58</t>
        </is>
      </c>
      <c r="C26" s="39" t="inlineStr">
        <is>
          <t>SL-BMB-PC-KING-JACQUARD-SAND-2PC</t>
        </is>
      </c>
      <c r="D26" s="39" t="inlineStr">
        <is>
          <t>SLEEPHORIA 100% Viscose Dervied from Bamboo Pillowcase King Size 2-Pieces (Jacquard Sand)</t>
        </is>
      </c>
      <c r="E26" s="39" t="inlineStr">
        <is>
          <t>King</t>
        </is>
      </c>
      <c r="F26" s="39" t="inlineStr">
        <is>
          <t>Jacquard Sand</t>
        </is>
      </c>
      <c r="G26" s="40" t="n"/>
      <c r="H26" s="39" t="n"/>
      <c r="I26" s="40" t="n"/>
      <c r="J26" s="39" t="n"/>
      <c r="K26" s="40" t="n"/>
      <c r="L26" s="76" t="n"/>
      <c r="M26" s="77" t="n"/>
      <c r="N26" s="39" t="inlineStr">
        <is>
          <t>Inactive</t>
        </is>
      </c>
      <c r="O26" s="39" t="n"/>
      <c r="P26" s="78" t="n"/>
      <c r="Q26" s="77" t="n"/>
      <c r="R26" s="77" t="n"/>
      <c r="S26" s="77" t="n"/>
      <c r="T26" s="39" t="n"/>
    </row>
    <row r="27" ht="62" customHeight="1">
      <c r="A27" s="45" t="inlineStr">
        <is>
          <t>COMING SOON</t>
        </is>
      </c>
      <c r="B27" s="39" t="inlineStr">
        <is>
          <t>B0FX2S477K</t>
        </is>
      </c>
      <c r="C27" s="39" t="inlineStr">
        <is>
          <t>SL-BMB-PC-KING-LIGHT-GREY-2PC</t>
        </is>
      </c>
      <c r="D27" s="39" t="inlineStr">
        <is>
          <t>SLEEPHORIA 100% Viscose Dervied from Bamboo Pillowcase King Size 2-Pieces (Light Grey)</t>
        </is>
      </c>
      <c r="E27" s="39" t="inlineStr">
        <is>
          <t>King</t>
        </is>
      </c>
      <c r="F27" s="39" t="inlineStr">
        <is>
          <t>Light Grey</t>
        </is>
      </c>
      <c r="G27" s="40" t="n"/>
      <c r="H27" s="39" t="n"/>
      <c r="I27" s="40" t="n"/>
      <c r="J27" s="39" t="n"/>
      <c r="K27" s="40" t="n"/>
      <c r="L27" s="76" t="n"/>
      <c r="M27" s="77" t="n"/>
      <c r="N27" s="39" t="inlineStr">
        <is>
          <t>Inactive</t>
        </is>
      </c>
      <c r="O27" s="39" t="n"/>
      <c r="P27" s="78" t="n"/>
      <c r="Q27" s="77" t="n"/>
      <c r="R27" s="77" t="n"/>
      <c r="S27" s="77" t="n"/>
      <c r="T27" s="39" t="n"/>
    </row>
    <row r="28" ht="62" customHeight="1">
      <c r="A28" s="45" t="inlineStr">
        <is>
          <t>COMING SOON</t>
        </is>
      </c>
      <c r="B28" s="39" t="inlineStr">
        <is>
          <t>B0FX2NCY9J</t>
        </is>
      </c>
      <c r="C28" s="39" t="inlineStr">
        <is>
          <t>SL-BMB-PC-KING-NAVY-BLUE-2PC</t>
        </is>
      </c>
      <c r="D28" s="39" t="inlineStr">
        <is>
          <t>SLEEPHORIA 100% Viscose Dervied from Bamboo Pillowcase King Size 2-Pieces (Navy Blue)</t>
        </is>
      </c>
      <c r="E28" s="39" t="inlineStr">
        <is>
          <t>King</t>
        </is>
      </c>
      <c r="F28" s="39" t="inlineStr">
        <is>
          <t>Navy Blue</t>
        </is>
      </c>
      <c r="G28" s="40" t="n"/>
      <c r="H28" s="39" t="n"/>
      <c r="I28" s="40" t="n"/>
      <c r="J28" s="39" t="n"/>
      <c r="K28" s="40" t="n"/>
      <c r="L28" s="76" t="n"/>
      <c r="M28" s="77" t="n"/>
      <c r="N28" s="39" t="inlineStr">
        <is>
          <t>Inactive</t>
        </is>
      </c>
      <c r="O28" s="39" t="n"/>
      <c r="P28" s="78" t="n"/>
      <c r="Q28" s="77" t="n"/>
      <c r="R28" s="77" t="n"/>
      <c r="S28" s="77" t="n"/>
      <c r="T28" s="39" t="n"/>
    </row>
    <row r="29" ht="62" customHeight="1">
      <c r="A29" s="45" t="inlineStr">
        <is>
          <t>COMING SOON</t>
        </is>
      </c>
      <c r="B29" s="39" t="inlineStr">
        <is>
          <t>B0FX2PJYF1</t>
        </is>
      </c>
      <c r="C29" s="39" t="inlineStr">
        <is>
          <t>SL-BMB-PC-KING-SAGE-GREEN-2PC</t>
        </is>
      </c>
      <c r="D29" s="39" t="inlineStr">
        <is>
          <t>SLEEPHORIA 100% Viscose Dervied from Bamboo Pillowcase King Size 2-Pieces (Sage Green)</t>
        </is>
      </c>
      <c r="E29" s="39" t="inlineStr">
        <is>
          <t>King</t>
        </is>
      </c>
      <c r="F29" s="39" t="inlineStr">
        <is>
          <t>Sage Green</t>
        </is>
      </c>
      <c r="G29" s="40" t="n"/>
      <c r="H29" s="39" t="n"/>
      <c r="I29" s="40" t="n"/>
      <c r="J29" s="39" t="n"/>
      <c r="K29" s="40" t="n"/>
      <c r="L29" s="76" t="n"/>
      <c r="M29" s="77" t="n"/>
      <c r="N29" s="39" t="inlineStr">
        <is>
          <t>Inactive</t>
        </is>
      </c>
      <c r="O29" s="39" t="n"/>
      <c r="P29" s="78" t="n"/>
      <c r="Q29" s="77" t="n"/>
      <c r="R29" s="77" t="n"/>
      <c r="S29" s="77" t="n"/>
      <c r="T29" s="39" t="n"/>
    </row>
    <row r="30" ht="62" customHeight="1">
      <c r="A30" s="45" t="inlineStr">
        <is>
          <t>COMING SOON</t>
        </is>
      </c>
      <c r="B30" s="39" t="inlineStr">
        <is>
          <t>B0FX2RGF46</t>
        </is>
      </c>
      <c r="C30" s="39" t="inlineStr">
        <is>
          <t>SL-BMB-PC-KING-SAND-2PC</t>
        </is>
      </c>
      <c r="D30" s="39" t="inlineStr">
        <is>
          <t>SLEEPHORIA 100% Viscose Dervied from Bamboo Pillowcase King Size 2-Pieces (Sand)</t>
        </is>
      </c>
      <c r="E30" s="39" t="inlineStr">
        <is>
          <t>King</t>
        </is>
      </c>
      <c r="F30" s="39" t="inlineStr">
        <is>
          <t>Sand</t>
        </is>
      </c>
      <c r="G30" s="40" t="n"/>
      <c r="H30" s="39" t="n"/>
      <c r="I30" s="40" t="n"/>
      <c r="J30" s="39" t="n"/>
      <c r="K30" s="40" t="n"/>
      <c r="L30" s="76" t="n"/>
      <c r="M30" s="77" t="n"/>
      <c r="N30" s="39" t="inlineStr">
        <is>
          <t>Inactive</t>
        </is>
      </c>
      <c r="O30" s="39" t="n"/>
      <c r="P30" s="78" t="n"/>
      <c r="Q30" s="77" t="n"/>
      <c r="R30" s="77" t="n"/>
      <c r="S30" s="77" t="n"/>
      <c r="T30" s="39" t="n"/>
    </row>
    <row r="31" ht="62" customHeight="1">
      <c r="A31" s="45" t="inlineStr">
        <is>
          <t>COMING SOON</t>
        </is>
      </c>
      <c r="B31" s="39" t="inlineStr">
        <is>
          <t>B0FX2VHG7S</t>
        </is>
      </c>
      <c r="C31" s="39" t="inlineStr">
        <is>
          <t>SL-BMB-PC-KING-SEA-GLASS-2PC</t>
        </is>
      </c>
      <c r="D31" s="39" t="inlineStr">
        <is>
          <t>SLEEPHORIA 100% Viscose Dervied from Bamboo Pillowcase King Size 2-Pieces (Sea Glass)</t>
        </is>
      </c>
      <c r="E31" s="39" t="inlineStr">
        <is>
          <t>King</t>
        </is>
      </c>
      <c r="F31" s="39" t="inlineStr">
        <is>
          <t>Sea Glass</t>
        </is>
      </c>
      <c r="G31" s="40" t="n"/>
      <c r="H31" s="39" t="n"/>
      <c r="I31" s="40" t="n"/>
      <c r="J31" s="39" t="n"/>
      <c r="K31" s="40" t="n"/>
      <c r="L31" s="76" t="n"/>
      <c r="M31" s="77" t="n"/>
      <c r="N31" s="39" t="inlineStr">
        <is>
          <t>Inactive</t>
        </is>
      </c>
      <c r="O31" s="39" t="n"/>
      <c r="P31" s="78" t="n"/>
      <c r="Q31" s="77" t="n"/>
      <c r="R31" s="77" t="n"/>
      <c r="S31" s="77" t="n"/>
      <c r="T31" s="39" t="n"/>
    </row>
    <row r="32" ht="62" customHeight="1">
      <c r="A32" s="45" t="inlineStr">
        <is>
          <t>COMING SOON</t>
        </is>
      </c>
      <c r="B32" s="39" t="inlineStr">
        <is>
          <t>B0FX2R2CLQ</t>
        </is>
      </c>
      <c r="C32" s="39" t="inlineStr">
        <is>
          <t>SL-BMB-PC-KING-SILVER-GREY-2PC</t>
        </is>
      </c>
      <c r="D32" s="39" t="inlineStr">
        <is>
          <t>SLEEPHORIA 100% Viscose Dervied from Bamboo Pillowcase King Size 2-Pieces (Silver Grey)</t>
        </is>
      </c>
      <c r="E32" s="39" t="inlineStr">
        <is>
          <t>King</t>
        </is>
      </c>
      <c r="F32" s="39" t="inlineStr">
        <is>
          <t>Silver Grey</t>
        </is>
      </c>
      <c r="G32" s="40" t="n"/>
      <c r="H32" s="39" t="n"/>
      <c r="I32" s="40" t="n"/>
      <c r="J32" s="39" t="n"/>
      <c r="K32" s="40" t="n"/>
      <c r="L32" s="76" t="n"/>
      <c r="M32" s="77" t="n"/>
      <c r="N32" s="39" t="inlineStr">
        <is>
          <t>Inactive</t>
        </is>
      </c>
      <c r="O32" s="39" t="n"/>
      <c r="P32" s="78" t="n"/>
      <c r="Q32" s="77" t="n"/>
      <c r="R32" s="77" t="n"/>
      <c r="S32" s="77" t="n"/>
      <c r="T32" s="39" t="n"/>
    </row>
    <row r="33" ht="62" customHeight="1">
      <c r="A33" s="45" t="inlineStr">
        <is>
          <t>COMING SOON</t>
        </is>
      </c>
      <c r="B33" s="39" t="inlineStr">
        <is>
          <t>B0FX2RP1DF</t>
        </is>
      </c>
      <c r="C33" s="39" t="inlineStr">
        <is>
          <t>SL-BMB-PC-KING-STERLING-BLUE-2PC</t>
        </is>
      </c>
      <c r="D33" s="39" t="inlineStr">
        <is>
          <t>SLEEPHORIA 100% Viscose Dervied from Bamboo Pillowcase King Size 2-Pieces (Sterling Blue)</t>
        </is>
      </c>
      <c r="E33" s="39" t="inlineStr">
        <is>
          <t>King</t>
        </is>
      </c>
      <c r="F33" s="39" t="inlineStr">
        <is>
          <t>Sterling Blue</t>
        </is>
      </c>
      <c r="G33" s="40" t="n"/>
      <c r="H33" s="39" t="n"/>
      <c r="I33" s="40" t="n"/>
      <c r="J33" s="39" t="n"/>
      <c r="K33" s="40" t="n"/>
      <c r="L33" s="76" t="n"/>
      <c r="M33" s="77" t="n"/>
      <c r="N33" s="39" t="inlineStr">
        <is>
          <t>Inactive</t>
        </is>
      </c>
      <c r="O33" s="39" t="n"/>
      <c r="P33" s="78" t="n"/>
      <c r="Q33" s="77" t="n"/>
      <c r="R33" s="77" t="n"/>
      <c r="S33" s="77" t="n"/>
      <c r="T33" s="39" t="n"/>
    </row>
    <row r="34" ht="62" customHeight="1">
      <c r="A34" s="45" t="inlineStr">
        <is>
          <t>COMING SOON</t>
        </is>
      </c>
      <c r="B34" s="39" t="inlineStr">
        <is>
          <t>B0FX2PBVLP</t>
        </is>
      </c>
      <c r="C34" s="39" t="inlineStr">
        <is>
          <t>SL-BMB-PC-KING-TERRACOTTA-2PC</t>
        </is>
      </c>
      <c r="D34" s="39" t="inlineStr">
        <is>
          <t>SLEEPHORIA 100% Viscose Dervied from Bamboo Pillowcase King Size 2-Pieces (Terracotta)</t>
        </is>
      </c>
      <c r="E34" s="39" t="inlineStr">
        <is>
          <t>King</t>
        </is>
      </c>
      <c r="F34" s="39" t="inlineStr">
        <is>
          <t>Terracotta</t>
        </is>
      </c>
      <c r="G34" s="40" t="n"/>
      <c r="H34" s="39" t="n"/>
      <c r="I34" s="40" t="n"/>
      <c r="J34" s="39" t="n"/>
      <c r="K34" s="40" t="n"/>
      <c r="L34" s="76" t="n"/>
      <c r="M34" s="77" t="n"/>
      <c r="N34" s="39" t="inlineStr">
        <is>
          <t>Inactive</t>
        </is>
      </c>
      <c r="O34" s="39" t="n"/>
      <c r="P34" s="78" t="n"/>
      <c r="Q34" s="77" t="n"/>
      <c r="R34" s="77" t="n"/>
      <c r="S34" s="77" t="n"/>
      <c r="T34" s="39" t="n"/>
    </row>
    <row r="35" ht="62" customHeight="1">
      <c r="A35" s="45" t="inlineStr">
        <is>
          <t>COMING SOON</t>
        </is>
      </c>
      <c r="B35" s="39" t="inlineStr">
        <is>
          <t>B0FX2RYML4</t>
        </is>
      </c>
      <c r="C35" s="39" t="inlineStr">
        <is>
          <t>SL-BMB-PC-KING-WHITE-2PC</t>
        </is>
      </c>
      <c r="D35" s="39" t="inlineStr">
        <is>
          <t>SLEEPHORIA 100% Viscose Dervied from Bamboo Pillowcase King Size 2-Pieces (White)</t>
        </is>
      </c>
      <c r="E35" s="39" t="inlineStr">
        <is>
          <t>King</t>
        </is>
      </c>
      <c r="F35" s="39" t="inlineStr">
        <is>
          <t>White</t>
        </is>
      </c>
      <c r="G35" s="40" t="n"/>
      <c r="H35" s="39" t="n"/>
      <c r="I35" s="40" t="n"/>
      <c r="J35" s="39" t="n"/>
      <c r="K35" s="40" t="n"/>
      <c r="L35" s="76" t="n"/>
      <c r="M35" s="77" t="n"/>
      <c r="N35" s="39" t="inlineStr">
        <is>
          <t>Inactive</t>
        </is>
      </c>
      <c r="O35" s="39" t="n"/>
      <c r="P35" s="78" t="n"/>
      <c r="Q35" s="77" t="n"/>
      <c r="R35" s="77" t="n"/>
      <c r="S35" s="77" t="n"/>
      <c r="T35" s="39" t="n"/>
    </row>
    <row r="36" ht="62" customHeight="1">
      <c r="A36" s="45" t="inlineStr">
        <is>
          <t>COMING SOON</t>
        </is>
      </c>
      <c r="B36" s="39" t="inlineStr">
        <is>
          <t>B0FX2RX7WX</t>
        </is>
      </c>
      <c r="C36" s="39" t="inlineStr">
        <is>
          <t>SL-BMB-PC-QUEEN-BLACK-2PC</t>
        </is>
      </c>
      <c r="D36" s="39" t="inlineStr">
        <is>
          <t>SLEEPHORIA 100% Viscose Dervied from Bamboo Pillowcase Queen Size 2-Pieces (Black)</t>
        </is>
      </c>
      <c r="E36" s="39" t="inlineStr">
        <is>
          <t>Queen</t>
        </is>
      </c>
      <c r="F36" s="39" t="inlineStr">
        <is>
          <t>Black</t>
        </is>
      </c>
      <c r="G36" s="40" t="n"/>
      <c r="H36" s="39" t="n"/>
      <c r="I36" s="40" t="n"/>
      <c r="J36" s="39" t="n"/>
      <c r="K36" s="40" t="n"/>
      <c r="L36" s="76" t="n"/>
      <c r="M36" s="77" t="n"/>
      <c r="N36" s="39" t="inlineStr">
        <is>
          <t>Inactive</t>
        </is>
      </c>
      <c r="O36" s="39" t="n"/>
      <c r="P36" s="78" t="n"/>
      <c r="Q36" s="77" t="n"/>
      <c r="R36" s="77" t="n"/>
      <c r="S36" s="77" t="n"/>
      <c r="T36" s="39" t="n"/>
    </row>
    <row r="37" ht="62" customHeight="1">
      <c r="A37" s="45" t="inlineStr">
        <is>
          <t>COMING SOON</t>
        </is>
      </c>
      <c r="B37" s="39" t="inlineStr">
        <is>
          <t>B0FX2SWWKL</t>
        </is>
      </c>
      <c r="C37" s="39" t="inlineStr">
        <is>
          <t>SL-BMB-PC-QUEEN-CHARCOAL-2PC</t>
        </is>
      </c>
      <c r="D37" s="39" t="inlineStr">
        <is>
          <t>SLEEPHORIA 100% Viscose Dervied from Bamboo Pillowcase Queen Size 2-Pieces (Charcoal)</t>
        </is>
      </c>
      <c r="E37" s="39" t="inlineStr">
        <is>
          <t>Queen</t>
        </is>
      </c>
      <c r="F37" s="39" t="inlineStr">
        <is>
          <t>Charcoal</t>
        </is>
      </c>
      <c r="G37" s="40" t="n"/>
      <c r="H37" s="39" t="n"/>
      <c r="I37" s="40" t="n"/>
      <c r="J37" s="39" t="n"/>
      <c r="K37" s="40" t="n"/>
      <c r="L37" s="76" t="n"/>
      <c r="M37" s="77" t="n"/>
      <c r="N37" s="39" t="inlineStr">
        <is>
          <t>Inactive</t>
        </is>
      </c>
      <c r="O37" s="39" t="n"/>
      <c r="P37" s="78" t="n"/>
      <c r="Q37" s="77" t="n"/>
      <c r="R37" s="77" t="n"/>
      <c r="S37" s="77" t="n"/>
      <c r="T37" s="39" t="n"/>
    </row>
    <row r="38" ht="62" customHeight="1">
      <c r="A38" s="45" t="inlineStr">
        <is>
          <t>COMING SOON</t>
        </is>
      </c>
      <c r="B38" s="39" t="inlineStr">
        <is>
          <t>B0FX2SBFTH</t>
        </is>
      </c>
      <c r="C38" s="39" t="inlineStr">
        <is>
          <t>SL-BMB-PC-QUEEN-COBALT-BLUE-2PC</t>
        </is>
      </c>
      <c r="D38" s="39" t="inlineStr">
        <is>
          <t>SLEEPHORIA 100% Viscose Dervied from Bamboo Pillowcase Queen Size 2-Pieces (Cobalt Blue)</t>
        </is>
      </c>
      <c r="E38" s="39" t="inlineStr">
        <is>
          <t>Queen</t>
        </is>
      </c>
      <c r="F38" s="39" t="inlineStr">
        <is>
          <t>Cobalt Blue</t>
        </is>
      </c>
      <c r="G38" s="40" t="n"/>
      <c r="H38" s="39" t="n"/>
      <c r="I38" s="40" t="n"/>
      <c r="J38" s="39" t="n"/>
      <c r="K38" s="40" t="n"/>
      <c r="L38" s="76" t="n"/>
      <c r="M38" s="77" t="n"/>
      <c r="N38" s="39" t="inlineStr">
        <is>
          <t>Inactive</t>
        </is>
      </c>
      <c r="O38" s="39" t="n"/>
      <c r="P38" s="78" t="n"/>
      <c r="Q38" s="77" t="n"/>
      <c r="R38" s="77" t="n"/>
      <c r="S38" s="77" t="n"/>
      <c r="T38" s="39" t="n"/>
    </row>
    <row r="39" ht="62" customHeight="1">
      <c r="A39" s="45" t="inlineStr">
        <is>
          <t>COMING SOON</t>
        </is>
      </c>
      <c r="B39" s="39" t="inlineStr">
        <is>
          <t>B0FX2Q55FG</t>
        </is>
      </c>
      <c r="C39" s="39" t="inlineStr">
        <is>
          <t>SL-BMB-PC-QUEEN-CREAM-2PC</t>
        </is>
      </c>
      <c r="D39" s="39" t="inlineStr">
        <is>
          <t>SLEEPHORIA 100% Viscose Dervied from Bamboo Pillowcase Queen Size 2-Pieces (Cream)</t>
        </is>
      </c>
      <c r="E39" s="39" t="inlineStr">
        <is>
          <t>Queen</t>
        </is>
      </c>
      <c r="F39" s="39" t="inlineStr">
        <is>
          <t>Cream</t>
        </is>
      </c>
      <c r="G39" s="40" t="n"/>
      <c r="H39" s="39" t="n"/>
      <c r="I39" s="40" t="n"/>
      <c r="J39" s="39" t="n"/>
      <c r="K39" s="40" t="n"/>
      <c r="L39" s="76" t="n"/>
      <c r="M39" s="77" t="n"/>
      <c r="N39" s="39" t="inlineStr">
        <is>
          <t>Inactive</t>
        </is>
      </c>
      <c r="O39" s="39" t="n"/>
      <c r="P39" s="78" t="n"/>
      <c r="Q39" s="77" t="n"/>
      <c r="R39" s="77" t="n"/>
      <c r="S39" s="77" t="n"/>
      <c r="T39" s="39" t="n"/>
    </row>
    <row r="40" ht="62" customHeight="1">
      <c r="A40" s="45" t="inlineStr">
        <is>
          <t>COMING SOON</t>
        </is>
      </c>
      <c r="B40" s="39" t="inlineStr">
        <is>
          <t>B0FX2S2N5H</t>
        </is>
      </c>
      <c r="C40" s="39" t="inlineStr">
        <is>
          <t>SL-BMB-PC-QUEEN-DARK-GREY-2PC</t>
        </is>
      </c>
      <c r="D40" s="39" t="inlineStr">
        <is>
          <t>SLEEPHORIA 100% Viscose Dervied from Bamboo Pillowcase Queen Size 2-Pieces (Dark Grey)</t>
        </is>
      </c>
      <c r="E40" s="39" t="inlineStr">
        <is>
          <t>Queen</t>
        </is>
      </c>
      <c r="F40" s="39" t="inlineStr">
        <is>
          <t>Dark Grey</t>
        </is>
      </c>
      <c r="G40" s="40" t="n"/>
      <c r="H40" s="39" t="n"/>
      <c r="I40" s="40" t="n"/>
      <c r="J40" s="39" t="n"/>
      <c r="K40" s="40" t="n"/>
      <c r="L40" s="76" t="n"/>
      <c r="M40" s="77" t="n"/>
      <c r="N40" s="39" t="inlineStr">
        <is>
          <t>Inactive</t>
        </is>
      </c>
      <c r="O40" s="39" t="n"/>
      <c r="P40" s="78" t="n"/>
      <c r="Q40" s="77" t="n"/>
      <c r="R40" s="77" t="n"/>
      <c r="S40" s="77" t="n"/>
      <c r="T40" s="39" t="n"/>
    </row>
    <row r="41" ht="62" customHeight="1">
      <c r="A41" s="45" t="inlineStr">
        <is>
          <t>COMING SOON</t>
        </is>
      </c>
      <c r="B41" s="39" t="inlineStr">
        <is>
          <t>B0FX2NDPVM</t>
        </is>
      </c>
      <c r="C41" s="39" t="inlineStr">
        <is>
          <t>SL-BMB-PC-QUEEN-DUNE-2PC</t>
        </is>
      </c>
      <c r="D41" s="39" t="inlineStr">
        <is>
          <t>SLEEPHORIA 100% Viscose Dervied from Bamboo Pillowcase Queen Size 2-Pieces (Dune)</t>
        </is>
      </c>
      <c r="E41" s="39" t="inlineStr">
        <is>
          <t>Queen</t>
        </is>
      </c>
      <c r="F41" s="39" t="inlineStr">
        <is>
          <t>Dune</t>
        </is>
      </c>
      <c r="G41" s="40" t="n"/>
      <c r="H41" s="39" t="n"/>
      <c r="I41" s="40" t="n"/>
      <c r="J41" s="39" t="n"/>
      <c r="K41" s="40" t="n"/>
      <c r="L41" s="76" t="n"/>
      <c r="M41" s="77" t="n"/>
      <c r="N41" s="39" t="inlineStr">
        <is>
          <t>Inactive</t>
        </is>
      </c>
      <c r="O41" s="39" t="n"/>
      <c r="P41" s="78" t="n"/>
      <c r="Q41" s="77" t="n"/>
      <c r="R41" s="77" t="n"/>
      <c r="S41" s="77" t="n"/>
      <c r="T41" s="39" t="n"/>
    </row>
    <row r="42" ht="62" customHeight="1">
      <c r="A42" s="45" t="inlineStr">
        <is>
          <t>COMING SOON</t>
        </is>
      </c>
      <c r="B42" s="39" t="inlineStr">
        <is>
          <t>B0FX2RJMZZ</t>
        </is>
      </c>
      <c r="C42" s="39" t="inlineStr">
        <is>
          <t>SL-BMB-PC-QUEEN-HAZE-BLUE-2PC</t>
        </is>
      </c>
      <c r="D42" s="39" t="inlineStr">
        <is>
          <t>SLEEPHORIA 100% Viscose Dervied from Bamboo Pillowcase Queen Size 2-Pieces (Haze Blue)</t>
        </is>
      </c>
      <c r="E42" s="39" t="inlineStr">
        <is>
          <t>Queen</t>
        </is>
      </c>
      <c r="F42" s="39" t="inlineStr">
        <is>
          <t>Haze Blue</t>
        </is>
      </c>
      <c r="G42" s="40" t="n"/>
      <c r="H42" s="39" t="n"/>
      <c r="I42" s="40" t="n"/>
      <c r="J42" s="39" t="n"/>
      <c r="K42" s="40" t="n"/>
      <c r="L42" s="76" t="n"/>
      <c r="M42" s="77" t="n"/>
      <c r="N42" s="39" t="inlineStr">
        <is>
          <t>Inactive</t>
        </is>
      </c>
      <c r="O42" s="39" t="n"/>
      <c r="P42" s="78" t="n"/>
      <c r="Q42" s="77" t="n"/>
      <c r="R42" s="77" t="n"/>
      <c r="S42" s="77" t="n"/>
      <c r="T42" s="39" t="n"/>
    </row>
    <row r="43" ht="62" customHeight="1">
      <c r="A43" s="45" t="inlineStr">
        <is>
          <t>COMING SOON</t>
        </is>
      </c>
      <c r="B43" s="39" t="inlineStr">
        <is>
          <t>B0FX2RNR4M</t>
        </is>
      </c>
      <c r="C43" s="39" t="inlineStr">
        <is>
          <t>SL-BMB-PC-QUEEN-IVORY-2PC</t>
        </is>
      </c>
      <c r="D43" s="39" t="inlineStr">
        <is>
          <t>SLEEPHORIA 100% Viscose Dervied from Bamboo Pillowcase Queen Size 2-Pieces (Ivory)</t>
        </is>
      </c>
      <c r="E43" s="39" t="inlineStr">
        <is>
          <t>Queen</t>
        </is>
      </c>
      <c r="F43" s="39" t="inlineStr">
        <is>
          <t>Ivory</t>
        </is>
      </c>
      <c r="G43" s="40" t="n"/>
      <c r="H43" s="39" t="n"/>
      <c r="I43" s="40" t="n"/>
      <c r="J43" s="39" t="n"/>
      <c r="K43" s="40" t="n"/>
      <c r="L43" s="76" t="n"/>
      <c r="M43" s="77" t="n"/>
      <c r="N43" s="39" t="inlineStr">
        <is>
          <t>Inactive</t>
        </is>
      </c>
      <c r="O43" s="39" t="n"/>
      <c r="P43" s="78" t="n"/>
      <c r="Q43" s="77" t="n"/>
      <c r="R43" s="77" t="n"/>
      <c r="S43" s="77" t="n"/>
      <c r="T43" s="39" t="n"/>
    </row>
    <row r="44" ht="62" customHeight="1">
      <c r="A44" s="45" t="inlineStr">
        <is>
          <t>COMING SOON</t>
        </is>
      </c>
      <c r="B44" s="39" t="inlineStr">
        <is>
          <t>B0FX2T8RFV</t>
        </is>
      </c>
      <c r="C44" s="39" t="inlineStr">
        <is>
          <t>SL-BMB-PC-QUEEN-JACQUARD-SAND-2PC</t>
        </is>
      </c>
      <c r="D44" s="39" t="inlineStr">
        <is>
          <t>SLEEPHORIA 100% Viscose Dervied from Bamboo Pillowcase Queen Size 2-Pieces (Jacquard Sand)</t>
        </is>
      </c>
      <c r="E44" s="39" t="inlineStr">
        <is>
          <t>Queen</t>
        </is>
      </c>
      <c r="F44" s="39" t="inlineStr">
        <is>
          <t>Jacquard Sand</t>
        </is>
      </c>
      <c r="G44" s="40" t="n"/>
      <c r="H44" s="39" t="n"/>
      <c r="I44" s="40" t="n"/>
      <c r="J44" s="39" t="n"/>
      <c r="K44" s="40" t="n"/>
      <c r="L44" s="76" t="n"/>
      <c r="M44" s="77" t="n"/>
      <c r="N44" s="39" t="inlineStr">
        <is>
          <t>Inactive</t>
        </is>
      </c>
      <c r="O44" s="39" t="n"/>
      <c r="P44" s="78" t="n"/>
      <c r="Q44" s="77" t="n"/>
      <c r="R44" s="77" t="n"/>
      <c r="S44" s="77" t="n"/>
      <c r="T44" s="39" t="n"/>
    </row>
    <row r="45" ht="62" customHeight="1">
      <c r="A45" s="45" t="inlineStr">
        <is>
          <t>COMING SOON</t>
        </is>
      </c>
      <c r="B45" s="39" t="inlineStr">
        <is>
          <t>B0FX2SQWY9</t>
        </is>
      </c>
      <c r="C45" s="39" t="inlineStr">
        <is>
          <t>SL-BMB-PC-QUEEN-LIGHT-GREY-2PC</t>
        </is>
      </c>
      <c r="D45" s="39" t="inlineStr">
        <is>
          <t>SLEEPHORIA 100% Viscose Dervied from Bamboo Pillowcase Queen Size 2-Pieces (Light Grey)</t>
        </is>
      </c>
      <c r="E45" s="39" t="inlineStr">
        <is>
          <t>Queen</t>
        </is>
      </c>
      <c r="F45" s="39" t="inlineStr">
        <is>
          <t>Light Grey</t>
        </is>
      </c>
      <c r="G45" s="40" t="n"/>
      <c r="H45" s="39" t="n"/>
      <c r="I45" s="40" t="n"/>
      <c r="J45" s="39" t="n"/>
      <c r="K45" s="40" t="n"/>
      <c r="L45" s="76" t="n"/>
      <c r="M45" s="77" t="n"/>
      <c r="N45" s="39" t="inlineStr">
        <is>
          <t>Inactive</t>
        </is>
      </c>
      <c r="O45" s="39" t="n"/>
      <c r="P45" s="78" t="n"/>
      <c r="Q45" s="77" t="n"/>
      <c r="R45" s="77" t="n"/>
      <c r="S45" s="77" t="n"/>
      <c r="T45" s="39" t="n"/>
    </row>
    <row r="46" ht="62" customHeight="1">
      <c r="A46" s="45" t="inlineStr">
        <is>
          <t>COMING SOON</t>
        </is>
      </c>
      <c r="B46" s="39" t="inlineStr">
        <is>
          <t>B0FX2NKYC7</t>
        </is>
      </c>
      <c r="C46" s="39" t="inlineStr">
        <is>
          <t>SL-BMB-PC-QUEEN-NAVY-BLUE-2PC</t>
        </is>
      </c>
      <c r="D46" s="39" t="inlineStr">
        <is>
          <t>SLEEPHORIA 100% Viscose Dervied from Bamboo Pillowcase Queen Size 2-Pieces (Navy Blue)</t>
        </is>
      </c>
      <c r="E46" s="39" t="inlineStr">
        <is>
          <t>Queen</t>
        </is>
      </c>
      <c r="F46" s="39" t="inlineStr">
        <is>
          <t>Navy Blue</t>
        </is>
      </c>
      <c r="G46" s="40" t="n"/>
      <c r="H46" s="39" t="n"/>
      <c r="I46" s="40" t="n"/>
      <c r="J46" s="39" t="n"/>
      <c r="K46" s="40" t="n"/>
      <c r="L46" s="76" t="n"/>
      <c r="M46" s="77" t="n"/>
      <c r="N46" s="39" t="inlineStr">
        <is>
          <t>Inactive</t>
        </is>
      </c>
      <c r="O46" s="39" t="n"/>
      <c r="P46" s="78" t="n"/>
      <c r="Q46" s="77" t="n"/>
      <c r="R46" s="77" t="n"/>
      <c r="S46" s="77" t="n"/>
      <c r="T46" s="39" t="n"/>
    </row>
    <row r="47" ht="62" customHeight="1">
      <c r="A47" s="45" t="inlineStr">
        <is>
          <t>COMING SOON</t>
        </is>
      </c>
      <c r="B47" s="39" t="inlineStr">
        <is>
          <t>B0FX2R75R3</t>
        </is>
      </c>
      <c r="C47" s="39" t="inlineStr">
        <is>
          <t>SL-BMB-PC-QUEEN-SAGE-GREEN-2PC</t>
        </is>
      </c>
      <c r="D47" s="39" t="inlineStr">
        <is>
          <t>SLEEPHORIA 100% Viscose Dervied from Bamboo Pillowcase Queen Size 2-Pieces (Sage Green)</t>
        </is>
      </c>
      <c r="E47" s="39" t="inlineStr">
        <is>
          <t>Queen</t>
        </is>
      </c>
      <c r="F47" s="39" t="inlineStr">
        <is>
          <t>Sage Green</t>
        </is>
      </c>
      <c r="G47" s="40" t="n"/>
      <c r="H47" s="39" t="n"/>
      <c r="I47" s="40" t="n"/>
      <c r="J47" s="39" t="n"/>
      <c r="K47" s="40" t="n"/>
      <c r="L47" s="76" t="n"/>
      <c r="M47" s="77" t="n"/>
      <c r="N47" s="39" t="inlineStr">
        <is>
          <t>Inactive</t>
        </is>
      </c>
      <c r="O47" s="39" t="n"/>
      <c r="P47" s="78" t="n"/>
      <c r="Q47" s="77" t="n"/>
      <c r="R47" s="77" t="n"/>
      <c r="S47" s="77" t="n"/>
      <c r="T47" s="39" t="n"/>
    </row>
    <row r="48" ht="62" customHeight="1">
      <c r="A48" s="45" t="inlineStr">
        <is>
          <t>COMING SOON</t>
        </is>
      </c>
      <c r="B48" s="39" t="inlineStr">
        <is>
          <t>B0FX2RH4JZ</t>
        </is>
      </c>
      <c r="C48" s="39" t="inlineStr">
        <is>
          <t>SL-BMB-PC-QUEEN-SAND-2PC</t>
        </is>
      </c>
      <c r="D48" s="39" t="inlineStr">
        <is>
          <t>SLEEPHORIA 100% Viscose Dervied from Bamboo Pillowcase Queen Size 2-Pieces (Sand)</t>
        </is>
      </c>
      <c r="E48" s="39" t="inlineStr">
        <is>
          <t>Queen</t>
        </is>
      </c>
      <c r="F48" s="39" t="inlineStr">
        <is>
          <t>Sand</t>
        </is>
      </c>
      <c r="G48" s="40" t="n"/>
      <c r="H48" s="39" t="n"/>
      <c r="I48" s="40" t="n"/>
      <c r="J48" s="39" t="n"/>
      <c r="K48" s="40" t="n"/>
      <c r="L48" s="76" t="n"/>
      <c r="M48" s="77" t="n"/>
      <c r="N48" s="39" t="inlineStr">
        <is>
          <t>Inactive</t>
        </is>
      </c>
      <c r="O48" s="39" t="n"/>
      <c r="P48" s="78" t="n"/>
      <c r="Q48" s="77" t="n"/>
      <c r="R48" s="77" t="n"/>
      <c r="S48" s="77" t="n"/>
      <c r="T48" s="39" t="n"/>
    </row>
    <row r="49" ht="62" customHeight="1">
      <c r="A49" s="45" t="inlineStr">
        <is>
          <t>COMING SOON</t>
        </is>
      </c>
      <c r="B49" s="39" t="inlineStr">
        <is>
          <t>B0FX2P1D32</t>
        </is>
      </c>
      <c r="C49" s="39" t="inlineStr">
        <is>
          <t>SL-BMB-PC-QUEEN-SEA-GLASS-2PC</t>
        </is>
      </c>
      <c r="D49" s="39" t="inlineStr">
        <is>
          <t>SLEEPHORIA 100% Viscose Dervied from Bamboo Pillowcase Queen Size 2-Pieces (Sea Glass)</t>
        </is>
      </c>
      <c r="E49" s="39" t="inlineStr">
        <is>
          <t>Queen</t>
        </is>
      </c>
      <c r="F49" s="39" t="inlineStr">
        <is>
          <t>Sea Glass</t>
        </is>
      </c>
      <c r="G49" s="40" t="n"/>
      <c r="H49" s="39" t="n"/>
      <c r="I49" s="40" t="n"/>
      <c r="J49" s="39" t="n"/>
      <c r="K49" s="40" t="n"/>
      <c r="L49" s="76" t="n"/>
      <c r="M49" s="77" t="n"/>
      <c r="N49" s="39" t="inlineStr">
        <is>
          <t>Inactive</t>
        </is>
      </c>
      <c r="O49" s="39" t="n"/>
      <c r="P49" s="78" t="n"/>
      <c r="Q49" s="77" t="n"/>
      <c r="R49" s="77" t="n"/>
      <c r="S49" s="77" t="n"/>
      <c r="T49" s="39" t="n"/>
    </row>
    <row r="50" ht="62" customHeight="1">
      <c r="A50" s="45" t="inlineStr">
        <is>
          <t>COMING SOON</t>
        </is>
      </c>
      <c r="B50" s="39" t="inlineStr">
        <is>
          <t>B0FX2S4MJY</t>
        </is>
      </c>
      <c r="C50" s="39" t="inlineStr">
        <is>
          <t>SL-BMB-PC-QUEEN-SILVER-GREY-2PC</t>
        </is>
      </c>
      <c r="D50" s="39" t="inlineStr">
        <is>
          <t>SLEEPHORIA 100% Viscose Dervied from Bamboo Pillowcase Queen Size 2-Pieces (Silver Grey)</t>
        </is>
      </c>
      <c r="E50" s="39" t="inlineStr">
        <is>
          <t>Queen</t>
        </is>
      </c>
      <c r="F50" s="39" t="inlineStr">
        <is>
          <t>Silver Grey</t>
        </is>
      </c>
      <c r="G50" s="40" t="n"/>
      <c r="H50" s="39" t="n"/>
      <c r="I50" s="40" t="n"/>
      <c r="J50" s="39" t="n"/>
      <c r="K50" s="40" t="n"/>
      <c r="L50" s="76" t="n"/>
      <c r="M50" s="77" t="n"/>
      <c r="N50" s="39" t="inlineStr">
        <is>
          <t>Inactive</t>
        </is>
      </c>
      <c r="O50" s="39" t="n"/>
      <c r="P50" s="78" t="n"/>
      <c r="Q50" s="77" t="n"/>
      <c r="R50" s="77" t="n"/>
      <c r="S50" s="77" t="n"/>
      <c r="T50" s="39" t="n"/>
    </row>
    <row r="51" ht="62" customHeight="1">
      <c r="A51" s="45" t="inlineStr">
        <is>
          <t>COMING SOON</t>
        </is>
      </c>
      <c r="B51" s="39" t="inlineStr">
        <is>
          <t>B0FX2SKYR6</t>
        </is>
      </c>
      <c r="C51" s="39" t="inlineStr">
        <is>
          <t>SL-BMB-PC-QUEEN-STERLING-BLUE-2PC</t>
        </is>
      </c>
      <c r="D51" s="39" t="inlineStr">
        <is>
          <t>SLEEPHORIA 100% Viscose Dervied from Bamboo Pillowcase Queen Size 2-Pieces (Sterling Blue)</t>
        </is>
      </c>
      <c r="E51" s="39" t="inlineStr">
        <is>
          <t>Queen</t>
        </is>
      </c>
      <c r="F51" s="39" t="inlineStr">
        <is>
          <t>Sterling Blue</t>
        </is>
      </c>
      <c r="G51" s="40" t="n"/>
      <c r="H51" s="39" t="n"/>
      <c r="I51" s="40" t="n"/>
      <c r="J51" s="39" t="n"/>
      <c r="K51" s="40" t="n"/>
      <c r="L51" s="76" t="n"/>
      <c r="M51" s="77" t="n"/>
      <c r="N51" s="39" t="inlineStr">
        <is>
          <t>Inactive</t>
        </is>
      </c>
      <c r="O51" s="39" t="n"/>
      <c r="P51" s="78" t="n"/>
      <c r="Q51" s="77" t="n"/>
      <c r="R51" s="77" t="n"/>
      <c r="S51" s="77" t="n"/>
      <c r="T51" s="39" t="n"/>
    </row>
    <row r="52" ht="62" customHeight="1">
      <c r="A52" s="45" t="inlineStr">
        <is>
          <t>COMING SOON</t>
        </is>
      </c>
      <c r="B52" s="39" t="inlineStr">
        <is>
          <t>B0FX2MWK57</t>
        </is>
      </c>
      <c r="C52" s="39" t="inlineStr">
        <is>
          <t>SL-BMB-PC-QUEEN-TERRACOTTA-2PC</t>
        </is>
      </c>
      <c r="D52" s="39" t="inlineStr">
        <is>
          <t>SLEEPHORIA 100% Viscose Dervied from Bamboo Pillowcase Queen Size 2-Pieces (Terracotta)</t>
        </is>
      </c>
      <c r="E52" s="39" t="inlineStr">
        <is>
          <t>Queen</t>
        </is>
      </c>
      <c r="F52" s="39" t="inlineStr">
        <is>
          <t>Terracotta</t>
        </is>
      </c>
      <c r="G52" s="40" t="n"/>
      <c r="H52" s="39" t="n"/>
      <c r="I52" s="40" t="n"/>
      <c r="J52" s="39" t="n"/>
      <c r="K52" s="40" t="n"/>
      <c r="L52" s="76" t="n"/>
      <c r="M52" s="77" t="n"/>
      <c r="N52" s="39" t="inlineStr">
        <is>
          <t>Inactive</t>
        </is>
      </c>
      <c r="O52" s="39" t="n"/>
      <c r="P52" s="78" t="n"/>
      <c r="Q52" s="77" t="n"/>
      <c r="R52" s="77" t="n"/>
      <c r="S52" s="77" t="n"/>
      <c r="T52" s="39" t="n"/>
    </row>
    <row r="53" ht="62" customHeight="1">
      <c r="A53" s="45" t="inlineStr">
        <is>
          <t>COMING SOON</t>
        </is>
      </c>
      <c r="B53" s="39" t="inlineStr">
        <is>
          <t>B0FX2RHW11</t>
        </is>
      </c>
      <c r="C53" s="39" t="inlineStr">
        <is>
          <t>SL-BMB-PC-QUEEN-WHITE-2PC</t>
        </is>
      </c>
      <c r="D53" s="39" t="inlineStr">
        <is>
          <t>SLEEPHORIA 100% Viscose Dervied from Bamboo Pillowcase Queen Size 2-Pieces (White)</t>
        </is>
      </c>
      <c r="E53" s="39" t="inlineStr">
        <is>
          <t>Queen</t>
        </is>
      </c>
      <c r="F53" s="39" t="inlineStr">
        <is>
          <t>White</t>
        </is>
      </c>
      <c r="G53" s="40" t="n"/>
      <c r="H53" s="39" t="n"/>
      <c r="I53" s="40" t="n"/>
      <c r="J53" s="39" t="n"/>
      <c r="K53" s="40" t="n"/>
      <c r="L53" s="76" t="n"/>
      <c r="M53" s="77" t="n"/>
      <c r="N53" s="39" t="inlineStr">
        <is>
          <t>Inactive</t>
        </is>
      </c>
      <c r="O53" s="39" t="n"/>
      <c r="P53" s="78" t="n"/>
      <c r="Q53" s="77" t="n"/>
      <c r="R53" s="77" t="n"/>
      <c r="S53" s="77" t="n"/>
      <c r="T53" s="39" t="n"/>
    </row>
    <row r="54" ht="62" customHeight="1">
      <c r="A54" s="45" t="inlineStr">
        <is>
          <t>COMING SOON</t>
        </is>
      </c>
      <c r="B54" s="39" t="inlineStr">
        <is>
          <t>B0FX2S3YLG</t>
        </is>
      </c>
      <c r="C54" s="39" t="inlineStr">
        <is>
          <t>SL-BMB-PC-STANDARD-BLACK-2PC</t>
        </is>
      </c>
      <c r="D54" s="39" t="inlineStr">
        <is>
          <t>SLEEPHORIA 100% Viscose Dervied from Bamboo Pillowcase Standard Size 2-Pieces (Black)</t>
        </is>
      </c>
      <c r="E54" s="39" t="inlineStr">
        <is>
          <t>Standard</t>
        </is>
      </c>
      <c r="F54" s="39" t="inlineStr">
        <is>
          <t>Black</t>
        </is>
      </c>
      <c r="G54" s="40" t="n"/>
      <c r="H54" s="39" t="n"/>
      <c r="I54" s="40" t="n"/>
      <c r="J54" s="39" t="n"/>
      <c r="K54" s="40" t="n"/>
      <c r="L54" s="76" t="n"/>
      <c r="M54" s="77" t="n"/>
      <c r="N54" s="39" t="inlineStr">
        <is>
          <t>Inactive</t>
        </is>
      </c>
      <c r="O54" s="39" t="n"/>
      <c r="P54" s="78" t="n"/>
      <c r="Q54" s="77" t="n"/>
      <c r="R54" s="77" t="n"/>
      <c r="S54" s="77" t="n"/>
      <c r="T54" s="39" t="n"/>
    </row>
    <row r="55" ht="62" customHeight="1">
      <c r="A55" s="45" t="inlineStr">
        <is>
          <t>COMING SOON</t>
        </is>
      </c>
      <c r="B55" s="39" t="inlineStr">
        <is>
          <t>B0FX2PJYFB</t>
        </is>
      </c>
      <c r="C55" s="39" t="inlineStr">
        <is>
          <t>SL-BMB-PC-STANDARD-CHARCOAL-2PC</t>
        </is>
      </c>
      <c r="D55" s="39" t="inlineStr">
        <is>
          <t>SLEEPHORIA 100% Viscose Dervied from Bamboo Pillowcase Standard Size 2-Pieces (Charcoal)</t>
        </is>
      </c>
      <c r="E55" s="39" t="inlineStr">
        <is>
          <t>Standard</t>
        </is>
      </c>
      <c r="F55" s="39" t="inlineStr">
        <is>
          <t>Charcoal</t>
        </is>
      </c>
      <c r="G55" s="40" t="n"/>
      <c r="H55" s="39" t="n"/>
      <c r="I55" s="40" t="n"/>
      <c r="J55" s="39" t="n"/>
      <c r="K55" s="40" t="n"/>
      <c r="L55" s="76" t="n"/>
      <c r="M55" s="77" t="n"/>
      <c r="N55" s="39" t="inlineStr">
        <is>
          <t>Inactive</t>
        </is>
      </c>
      <c r="O55" s="39" t="n"/>
      <c r="P55" s="78" t="n"/>
      <c r="Q55" s="77" t="n"/>
      <c r="R55" s="77" t="n"/>
      <c r="S55" s="77" t="n"/>
      <c r="T55" s="39" t="n"/>
    </row>
    <row r="56" ht="62" customHeight="1">
      <c r="A56" s="45" t="inlineStr">
        <is>
          <t>COMING SOON</t>
        </is>
      </c>
      <c r="B56" s="39" t="inlineStr">
        <is>
          <t>B0FX2TFSLV</t>
        </is>
      </c>
      <c r="C56" s="39" t="inlineStr">
        <is>
          <t>SL-BMB-PC-STANDARD-COBALT-BLUE-2PC</t>
        </is>
      </c>
      <c r="D56" s="39" t="inlineStr">
        <is>
          <t>SLEEPHORIA 100% Viscose Dervied from Bamboo Pillowcase Standard Size 2-Pieces (Cobalt Blue)</t>
        </is>
      </c>
      <c r="E56" s="39" t="inlineStr">
        <is>
          <t>Standard</t>
        </is>
      </c>
      <c r="F56" s="39" t="inlineStr">
        <is>
          <t>Cobalt Blue</t>
        </is>
      </c>
      <c r="G56" s="40" t="n"/>
      <c r="H56" s="39" t="n"/>
      <c r="I56" s="40" t="n"/>
      <c r="J56" s="39" t="n"/>
      <c r="K56" s="40" t="n"/>
      <c r="L56" s="76" t="n"/>
      <c r="M56" s="77" t="n"/>
      <c r="N56" s="39" t="inlineStr">
        <is>
          <t>Inactive</t>
        </is>
      </c>
      <c r="O56" s="39" t="n"/>
      <c r="P56" s="78" t="n"/>
      <c r="Q56" s="77" t="n"/>
      <c r="R56" s="77" t="n"/>
      <c r="S56" s="77" t="n"/>
      <c r="T56" s="39" t="n"/>
    </row>
    <row r="57" ht="62" customHeight="1">
      <c r="A57" s="45" t="inlineStr">
        <is>
          <t>COMING SOON</t>
        </is>
      </c>
      <c r="B57" s="39" t="inlineStr">
        <is>
          <t>B0FX2QG92P</t>
        </is>
      </c>
      <c r="C57" s="39" t="inlineStr">
        <is>
          <t>SL-BMB-PC-STANDARD-CREAM-2PC</t>
        </is>
      </c>
      <c r="D57" s="39" t="inlineStr">
        <is>
          <t>SLEEPHORIA 100% Viscose Dervied from Bamboo Pillowcase Standard Size 2-Pieces (Cream)</t>
        </is>
      </c>
      <c r="E57" s="39" t="inlineStr">
        <is>
          <t>Standard</t>
        </is>
      </c>
      <c r="F57" s="39" t="inlineStr">
        <is>
          <t>Cream</t>
        </is>
      </c>
      <c r="G57" s="40" t="n"/>
      <c r="H57" s="39" t="n"/>
      <c r="I57" s="40" t="n"/>
      <c r="J57" s="39" t="n"/>
      <c r="K57" s="40" t="n"/>
      <c r="L57" s="76" t="n"/>
      <c r="M57" s="77" t="n"/>
      <c r="N57" s="39" t="inlineStr">
        <is>
          <t>Inactive</t>
        </is>
      </c>
      <c r="O57" s="39" t="n"/>
      <c r="P57" s="78" t="n"/>
      <c r="Q57" s="77" t="n"/>
      <c r="R57" s="77" t="n"/>
      <c r="S57" s="77" t="n"/>
      <c r="T57" s="39" t="n"/>
    </row>
    <row r="58" ht="62" customHeight="1">
      <c r="A58" s="45" t="inlineStr">
        <is>
          <t>COMING SOON</t>
        </is>
      </c>
      <c r="B58" s="39" t="inlineStr">
        <is>
          <t>B0FX2RLSJM</t>
        </is>
      </c>
      <c r="C58" s="39" t="inlineStr">
        <is>
          <t>SL-BMB-PC-STANDARD-DARK-GREY-2PC</t>
        </is>
      </c>
      <c r="D58" s="39" t="inlineStr">
        <is>
          <t>SLEEPHORIA 100% Viscose Dervied from Bamboo Pillowcase Standard Size 2-Pieces (Dark Grey)</t>
        </is>
      </c>
      <c r="E58" s="39" t="inlineStr">
        <is>
          <t>Standard</t>
        </is>
      </c>
      <c r="F58" s="39" t="inlineStr">
        <is>
          <t>Dark Grey</t>
        </is>
      </c>
      <c r="G58" s="40" t="n"/>
      <c r="H58" s="39" t="n"/>
      <c r="I58" s="40" t="n"/>
      <c r="J58" s="39" t="n"/>
      <c r="K58" s="40" t="n"/>
      <c r="L58" s="76" t="n"/>
      <c r="M58" s="77" t="n"/>
      <c r="N58" s="39" t="inlineStr">
        <is>
          <t>Inactive</t>
        </is>
      </c>
      <c r="O58" s="39" t="n"/>
      <c r="P58" s="78" t="n"/>
      <c r="Q58" s="77" t="n"/>
      <c r="R58" s="77" t="n"/>
      <c r="S58" s="77" t="n"/>
      <c r="T58" s="39" t="n"/>
    </row>
    <row r="59" ht="62" customHeight="1">
      <c r="A59" s="45" t="inlineStr">
        <is>
          <t>COMING SOON</t>
        </is>
      </c>
      <c r="B59" s="39" t="inlineStr">
        <is>
          <t>B0FX2SJW11</t>
        </is>
      </c>
      <c r="C59" s="39" t="inlineStr">
        <is>
          <t>SL-BMB-PC-STANDARD-DUNE-2PC</t>
        </is>
      </c>
      <c r="D59" s="39" t="inlineStr">
        <is>
          <t>SLEEPHORIA 100% Viscose Dervied from Bamboo Pillowcase Standard Size 2-Pieces (Dune)</t>
        </is>
      </c>
      <c r="E59" s="39" t="inlineStr">
        <is>
          <t>Standard</t>
        </is>
      </c>
      <c r="F59" s="39" t="inlineStr">
        <is>
          <t>Dune</t>
        </is>
      </c>
      <c r="G59" s="40" t="n"/>
      <c r="H59" s="39" t="n"/>
      <c r="I59" s="40" t="n"/>
      <c r="J59" s="39" t="n"/>
      <c r="K59" s="40" t="n"/>
      <c r="L59" s="76" t="n"/>
      <c r="M59" s="77" t="n"/>
      <c r="N59" s="39" t="inlineStr">
        <is>
          <t>Inactive</t>
        </is>
      </c>
      <c r="O59" s="39" t="n"/>
      <c r="P59" s="78" t="n"/>
      <c r="Q59" s="77" t="n"/>
      <c r="R59" s="77" t="n"/>
      <c r="S59" s="77" t="n"/>
      <c r="T59" s="39" t="n"/>
    </row>
    <row r="60" ht="62" customHeight="1">
      <c r="A60" s="45" t="inlineStr">
        <is>
          <t>COMING SOON</t>
        </is>
      </c>
      <c r="B60" s="39" t="inlineStr">
        <is>
          <t>B0FX2RPMY2</t>
        </is>
      </c>
      <c r="C60" s="39" t="inlineStr">
        <is>
          <t>SL-BMB-PC-STANDARD-HAZE-BLUE-2PC</t>
        </is>
      </c>
      <c r="D60" s="39" t="inlineStr">
        <is>
          <t>SLEEPHORIA 100% Viscose Dervied from Bamboo Pillowcase Standard Size 2-Pieces (Haze Blue)</t>
        </is>
      </c>
      <c r="E60" s="39" t="inlineStr">
        <is>
          <t>Standard</t>
        </is>
      </c>
      <c r="F60" s="39" t="inlineStr">
        <is>
          <t>Haze Blue</t>
        </is>
      </c>
      <c r="G60" s="40" t="n"/>
      <c r="H60" s="39" t="n"/>
      <c r="I60" s="40" t="n"/>
      <c r="J60" s="39" t="n"/>
      <c r="K60" s="40" t="n"/>
      <c r="L60" s="76" t="n"/>
      <c r="M60" s="77" t="n"/>
      <c r="N60" s="39" t="inlineStr">
        <is>
          <t>Inactive</t>
        </is>
      </c>
      <c r="O60" s="39" t="n"/>
      <c r="P60" s="78" t="n"/>
      <c r="Q60" s="77" t="n"/>
      <c r="R60" s="77" t="n"/>
      <c r="S60" s="77" t="n"/>
      <c r="T60" s="39" t="n"/>
    </row>
    <row r="61" ht="62" customHeight="1">
      <c r="A61" s="45" t="inlineStr">
        <is>
          <t>COMING SOON</t>
        </is>
      </c>
      <c r="B61" s="39" t="inlineStr">
        <is>
          <t>B0FX2T47XX</t>
        </is>
      </c>
      <c r="C61" s="39" t="inlineStr">
        <is>
          <t>SL-BMB-PC-STANDARD-IVORY-2PC</t>
        </is>
      </c>
      <c r="D61" s="39" t="inlineStr">
        <is>
          <t>SLEEPHORIA 100% Viscose Dervied from Bamboo Pillowcase Standard Size 2-Pieces (Ivory)</t>
        </is>
      </c>
      <c r="E61" s="39" t="inlineStr">
        <is>
          <t>Standard</t>
        </is>
      </c>
      <c r="F61" s="39" t="inlineStr">
        <is>
          <t>Ivory</t>
        </is>
      </c>
      <c r="G61" s="40" t="n"/>
      <c r="H61" s="39" t="n"/>
      <c r="I61" s="40" t="n"/>
      <c r="J61" s="39" t="n"/>
      <c r="K61" s="40" t="n"/>
      <c r="L61" s="76" t="n"/>
      <c r="M61" s="77" t="n"/>
      <c r="N61" s="39" t="inlineStr">
        <is>
          <t>Inactive</t>
        </is>
      </c>
      <c r="O61" s="39" t="n"/>
      <c r="P61" s="78" t="n"/>
      <c r="Q61" s="77" t="n"/>
      <c r="R61" s="77" t="n"/>
      <c r="S61" s="77" t="n"/>
      <c r="T61" s="39" t="n"/>
    </row>
    <row r="62" ht="62" customHeight="1">
      <c r="A62" s="45" t="inlineStr">
        <is>
          <t>COMING SOON</t>
        </is>
      </c>
      <c r="B62" s="39" t="inlineStr">
        <is>
          <t>B0FX2THV38</t>
        </is>
      </c>
      <c r="C62" s="39" t="inlineStr">
        <is>
          <t>SL-BMB-PC-STANDARD-JACQUARD-SAND-2PC</t>
        </is>
      </c>
      <c r="D62" s="39" t="inlineStr">
        <is>
          <t>SLEEPHORIA 100% Viscose Dervied from Bamboo Pillowcase Standard Size 2-Pieces (Jacquard Sand)</t>
        </is>
      </c>
      <c r="E62" s="39" t="inlineStr">
        <is>
          <t>Standard</t>
        </is>
      </c>
      <c r="F62" s="39" t="inlineStr">
        <is>
          <t>Jacquard Sand</t>
        </is>
      </c>
      <c r="G62" s="40" t="n"/>
      <c r="H62" s="39" t="n"/>
      <c r="I62" s="40" t="n"/>
      <c r="J62" s="39" t="n"/>
      <c r="K62" s="40" t="n"/>
      <c r="L62" s="76" t="n"/>
      <c r="M62" s="77" t="n"/>
      <c r="N62" s="39" t="inlineStr">
        <is>
          <t>Inactive</t>
        </is>
      </c>
      <c r="O62" s="39" t="n"/>
      <c r="P62" s="78" t="n"/>
      <c r="Q62" s="77" t="n"/>
      <c r="R62" s="77" t="n"/>
      <c r="S62" s="77" t="n"/>
      <c r="T62" s="39" t="n"/>
    </row>
    <row r="63" ht="62" customHeight="1">
      <c r="A63" s="45" t="inlineStr">
        <is>
          <t>COMING SOON</t>
        </is>
      </c>
      <c r="B63" s="39" t="inlineStr">
        <is>
          <t>B0FX2QWH2B</t>
        </is>
      </c>
      <c r="C63" s="39" t="inlineStr">
        <is>
          <t>SL-BMB-PC-STANDARD-LIGHT-GREY-2PC</t>
        </is>
      </c>
      <c r="D63" s="39" t="inlineStr">
        <is>
          <t>SLEEPHORIA 100% Viscose Dervied from Bamboo Pillowcase Standard Size 2-Pieces (Light Grey)</t>
        </is>
      </c>
      <c r="E63" s="39" t="inlineStr">
        <is>
          <t>Standard</t>
        </is>
      </c>
      <c r="F63" s="39" t="inlineStr">
        <is>
          <t>Light Grey</t>
        </is>
      </c>
      <c r="G63" s="40" t="n"/>
      <c r="H63" s="39" t="n"/>
      <c r="I63" s="40" t="n"/>
      <c r="J63" s="39" t="n"/>
      <c r="K63" s="40" t="n"/>
      <c r="L63" s="76" t="n"/>
      <c r="M63" s="77" t="n"/>
      <c r="N63" s="39" t="inlineStr">
        <is>
          <t>Inactive</t>
        </is>
      </c>
      <c r="O63" s="39" t="n"/>
      <c r="P63" s="78" t="n"/>
      <c r="Q63" s="77" t="n"/>
      <c r="R63" s="77" t="n"/>
      <c r="S63" s="77" t="n"/>
      <c r="T63" s="39" t="n"/>
    </row>
    <row r="64" ht="62" customHeight="1">
      <c r="A64" s="45" t="inlineStr">
        <is>
          <t>COMING SOON</t>
        </is>
      </c>
      <c r="B64" s="39" t="inlineStr">
        <is>
          <t>B0FX2N6BTT</t>
        </is>
      </c>
      <c r="C64" s="39" t="inlineStr">
        <is>
          <t>SL-BMB-PC-STANDARD-NAVY-BLUE-2PC</t>
        </is>
      </c>
      <c r="D64" s="39" t="inlineStr">
        <is>
          <t>SLEEPHORIA 100% Viscose Dervied from Bamboo Pillowcase Standard Size 2-Pieces (Navy Blue)</t>
        </is>
      </c>
      <c r="E64" s="39" t="inlineStr">
        <is>
          <t>Standard</t>
        </is>
      </c>
      <c r="F64" s="39" t="inlineStr">
        <is>
          <t>Navy Blue</t>
        </is>
      </c>
      <c r="G64" s="40" t="n"/>
      <c r="H64" s="39" t="n"/>
      <c r="I64" s="40" t="n"/>
      <c r="J64" s="39" t="n"/>
      <c r="K64" s="40" t="n"/>
      <c r="L64" s="76" t="n"/>
      <c r="M64" s="77" t="n"/>
      <c r="N64" s="39" t="inlineStr">
        <is>
          <t>Inactive</t>
        </is>
      </c>
      <c r="O64" s="39" t="n"/>
      <c r="P64" s="78" t="n"/>
      <c r="Q64" s="77" t="n"/>
      <c r="R64" s="77" t="n"/>
      <c r="S64" s="77" t="n"/>
      <c r="T64" s="39" t="n"/>
    </row>
    <row r="65" ht="62" customHeight="1">
      <c r="A65" s="45" t="inlineStr">
        <is>
          <t>COMING SOON</t>
        </is>
      </c>
      <c r="B65" s="39" t="inlineStr">
        <is>
          <t>B0FX2NFFGS</t>
        </is>
      </c>
      <c r="C65" s="39" t="inlineStr">
        <is>
          <t>SL-BMB-PC-STANDARD-SAGE-GREEN-2PC</t>
        </is>
      </c>
      <c r="D65" s="39" t="inlineStr">
        <is>
          <t>SLEEPHORIA 100% Viscose Dervied from Bamboo Pillowcase Standard Size 2-Pieces (Sage Green)</t>
        </is>
      </c>
      <c r="E65" s="39" t="inlineStr">
        <is>
          <t>Standard</t>
        </is>
      </c>
      <c r="F65" s="39" t="inlineStr">
        <is>
          <t>Sage Green</t>
        </is>
      </c>
      <c r="G65" s="40" t="n"/>
      <c r="H65" s="39" t="n"/>
      <c r="I65" s="40" t="n"/>
      <c r="J65" s="39" t="n"/>
      <c r="K65" s="40" t="n"/>
      <c r="L65" s="76" t="n"/>
      <c r="M65" s="77" t="n"/>
      <c r="N65" s="39" t="inlineStr">
        <is>
          <t>Inactive</t>
        </is>
      </c>
      <c r="O65" s="39" t="n"/>
      <c r="P65" s="78" t="n"/>
      <c r="Q65" s="77" t="n"/>
      <c r="R65" s="77" t="n"/>
      <c r="S65" s="77" t="n"/>
      <c r="T65" s="39" t="n"/>
    </row>
    <row r="66" ht="62" customHeight="1">
      <c r="A66" s="45" t="inlineStr">
        <is>
          <t>COMING SOON</t>
        </is>
      </c>
      <c r="B66" s="39" t="inlineStr">
        <is>
          <t>B0FX2PBVLS</t>
        </is>
      </c>
      <c r="C66" s="39" t="inlineStr">
        <is>
          <t>SL-BMB-PC-STANDARD-SAND-2PC</t>
        </is>
      </c>
      <c r="D66" s="39" t="inlineStr">
        <is>
          <t>SLEEPHORIA 100% Viscose Dervied from Bamboo Pillowcase Standard Size 2-Pieces (Sand)</t>
        </is>
      </c>
      <c r="E66" s="39" t="inlineStr">
        <is>
          <t>Standard</t>
        </is>
      </c>
      <c r="F66" s="39" t="inlineStr">
        <is>
          <t>Sand</t>
        </is>
      </c>
      <c r="G66" s="40" t="n"/>
      <c r="H66" s="39" t="n"/>
      <c r="I66" s="40" t="n"/>
      <c r="J66" s="39" t="n"/>
      <c r="K66" s="40" t="n"/>
      <c r="L66" s="76" t="n"/>
      <c r="M66" s="77" t="n"/>
      <c r="N66" s="39" t="inlineStr">
        <is>
          <t>Inactive</t>
        </is>
      </c>
      <c r="O66" s="39" t="n"/>
      <c r="P66" s="78" t="n"/>
      <c r="Q66" s="77" t="n"/>
      <c r="R66" s="77" t="n"/>
      <c r="S66" s="77" t="n"/>
      <c r="T66" s="39" t="n"/>
    </row>
    <row r="67" ht="62" customHeight="1">
      <c r="A67" s="45" t="inlineStr">
        <is>
          <t>COMING SOON</t>
        </is>
      </c>
      <c r="B67" s="39" t="inlineStr">
        <is>
          <t>B0FX2SCP4H</t>
        </is>
      </c>
      <c r="C67" s="39" t="inlineStr">
        <is>
          <t>SL-BMB-PC-STANDARD-SEA-GLASS-2PC</t>
        </is>
      </c>
      <c r="D67" s="39" t="inlineStr">
        <is>
          <t>SLEEPHORIA 100% Viscose Dervied from Bamboo Pillowcase Standard Size 2-Pieces (Sea Glass)</t>
        </is>
      </c>
      <c r="E67" s="39" t="inlineStr">
        <is>
          <t>Standard</t>
        </is>
      </c>
      <c r="F67" s="39" t="inlineStr">
        <is>
          <t>Sea Glass</t>
        </is>
      </c>
      <c r="G67" s="40" t="n"/>
      <c r="H67" s="39" t="n"/>
      <c r="I67" s="40" t="n"/>
      <c r="J67" s="39" t="n"/>
      <c r="K67" s="40" t="n"/>
      <c r="L67" s="76" t="n"/>
      <c r="M67" s="77" t="n"/>
      <c r="N67" s="39" t="inlineStr">
        <is>
          <t>Inactive</t>
        </is>
      </c>
      <c r="O67" s="39" t="n"/>
      <c r="P67" s="78" t="n"/>
      <c r="Q67" s="77" t="n"/>
      <c r="R67" s="77" t="n"/>
      <c r="S67" s="77" t="n"/>
      <c r="T67" s="39" t="n"/>
    </row>
    <row r="68" ht="62" customHeight="1">
      <c r="A68" s="45" t="inlineStr">
        <is>
          <t>COMING SOON</t>
        </is>
      </c>
      <c r="B68" s="39" t="inlineStr">
        <is>
          <t>B0FX2RQ3DH</t>
        </is>
      </c>
      <c r="C68" s="39" t="inlineStr">
        <is>
          <t>SL-BMB-PC-STANDARD-SILVER-GREY-2PC</t>
        </is>
      </c>
      <c r="D68" s="39" t="inlineStr">
        <is>
          <t>SLEEPHORIA 100% Viscose Dervied from Bamboo Pillowcase Standard Size 2-Pieces (Silver Grey)</t>
        </is>
      </c>
      <c r="E68" s="39" t="inlineStr">
        <is>
          <t>Standard</t>
        </is>
      </c>
      <c r="F68" s="39" t="inlineStr">
        <is>
          <t>Silver Grey</t>
        </is>
      </c>
      <c r="G68" s="40" t="n"/>
      <c r="H68" s="39" t="n"/>
      <c r="I68" s="40" t="n"/>
      <c r="J68" s="39" t="n"/>
      <c r="K68" s="40" t="n"/>
      <c r="L68" s="76" t="n"/>
      <c r="M68" s="77" t="n"/>
      <c r="N68" s="39" t="inlineStr">
        <is>
          <t>Inactive</t>
        </is>
      </c>
      <c r="O68" s="39" t="n"/>
      <c r="P68" s="78" t="n"/>
      <c r="Q68" s="77" t="n"/>
      <c r="R68" s="77" t="n"/>
      <c r="S68" s="77" t="n"/>
      <c r="T68" s="39" t="n"/>
    </row>
    <row r="69" ht="62" customHeight="1">
      <c r="A69" s="45" t="inlineStr">
        <is>
          <t>COMING SOON</t>
        </is>
      </c>
      <c r="B69" s="39" t="inlineStr">
        <is>
          <t>B0FX2SR21Z</t>
        </is>
      </c>
      <c r="C69" s="39" t="inlineStr">
        <is>
          <t>SL-BMB-PC-STANDARD-STERLING-BLUE-2PC</t>
        </is>
      </c>
      <c r="D69" s="39" t="inlineStr">
        <is>
          <t>SLEEPHORIA 100% Viscose Dervied from Bamboo Pillowcase Standard Size 2-Pieces (Sterling Blue)</t>
        </is>
      </c>
      <c r="E69" s="39" t="inlineStr">
        <is>
          <t>Standard</t>
        </is>
      </c>
      <c r="F69" s="39" t="inlineStr">
        <is>
          <t>Sterling Blue</t>
        </is>
      </c>
      <c r="G69" s="40" t="n"/>
      <c r="H69" s="39" t="n"/>
      <c r="I69" s="40" t="n"/>
      <c r="J69" s="39" t="n"/>
      <c r="K69" s="40" t="n"/>
      <c r="L69" s="76" t="n"/>
      <c r="M69" s="77" t="n"/>
      <c r="N69" s="39" t="inlineStr">
        <is>
          <t>Inactive</t>
        </is>
      </c>
      <c r="O69" s="39" t="n"/>
      <c r="P69" s="78" t="n"/>
      <c r="Q69" s="77" t="n"/>
      <c r="R69" s="77" t="n"/>
      <c r="S69" s="77" t="n"/>
      <c r="T69" s="39" t="n"/>
    </row>
    <row r="70" ht="62" customHeight="1">
      <c r="A70" s="45" t="inlineStr">
        <is>
          <t>COMING SOON</t>
        </is>
      </c>
      <c r="B70" s="39" t="inlineStr">
        <is>
          <t>B0FX2V4K2G</t>
        </is>
      </c>
      <c r="C70" s="39" t="inlineStr">
        <is>
          <t>SL-BMB-PC-STANDARD-TERRACOTTA-2PC</t>
        </is>
      </c>
      <c r="D70" s="39" t="inlineStr">
        <is>
          <t>SLEEPHORIA 100% Viscose Dervied from Bamboo Pillowcase Standard Size 2-Pieces (Terracotta)</t>
        </is>
      </c>
      <c r="E70" s="39" t="inlineStr">
        <is>
          <t>Standard</t>
        </is>
      </c>
      <c r="F70" s="39" t="inlineStr">
        <is>
          <t>Terracotta</t>
        </is>
      </c>
      <c r="G70" s="40" t="n"/>
      <c r="H70" s="39" t="n"/>
      <c r="I70" s="40" t="n"/>
      <c r="J70" s="39" t="n"/>
      <c r="K70" s="40" t="n"/>
      <c r="L70" s="76" t="n"/>
      <c r="M70" s="77" t="n"/>
      <c r="N70" s="39" t="inlineStr">
        <is>
          <t>Inactive</t>
        </is>
      </c>
      <c r="O70" s="39" t="n"/>
      <c r="P70" s="78" t="n"/>
      <c r="Q70" s="77" t="n"/>
      <c r="R70" s="77" t="n"/>
      <c r="S70" s="77" t="n"/>
      <c r="T70" s="39" t="n"/>
    </row>
    <row r="71" ht="62" customHeight="1">
      <c r="A71" s="45" t="inlineStr">
        <is>
          <t>COMING SOON</t>
        </is>
      </c>
      <c r="B71" s="39" t="inlineStr">
        <is>
          <t>B0FX2T23GD</t>
        </is>
      </c>
      <c r="C71" s="39" t="inlineStr">
        <is>
          <t>SL-BMB-PC-STANDARD-WHITE-2PC</t>
        </is>
      </c>
      <c r="D71" s="39" t="inlineStr">
        <is>
          <t>SLEEPHORIA 100% Viscose Dervied from Bamboo Pillowcase Standard Size 2-Pieces (White)</t>
        </is>
      </c>
      <c r="E71" s="39" t="inlineStr">
        <is>
          <t>Standard</t>
        </is>
      </c>
      <c r="F71" s="39" t="inlineStr">
        <is>
          <t>White</t>
        </is>
      </c>
      <c r="G71" s="40" t="n"/>
      <c r="H71" s="39" t="n"/>
      <c r="I71" s="40" t="n"/>
      <c r="J71" s="39" t="n"/>
      <c r="K71" s="40" t="n"/>
      <c r="L71" s="76" t="n"/>
      <c r="M71" s="77" t="n"/>
      <c r="N71" s="39" t="inlineStr">
        <is>
          <t>Inactive</t>
        </is>
      </c>
      <c r="O71" s="39" t="n"/>
      <c r="P71" s="78" t="n"/>
      <c r="Q71" s="77" t="n"/>
      <c r="R71" s="77" t="n"/>
      <c r="S71" s="77" t="n"/>
      <c r="T71" s="39" t="n"/>
    </row>
    <row r="72"/>
    <row r="73" ht="22" customHeight="1">
      <c r="A73" s="65" t="inlineStr">
        <is>
          <t>3 ▼</t>
        </is>
      </c>
      <c r="B73" s="66" t="inlineStr">
        <is>
          <t>OUR BFCM 2025 RESULT &amp; EVENT VISIBILITY</t>
        </is>
      </c>
      <c r="C73" s="67" t="n"/>
      <c r="D73" s="67" t="n"/>
      <c r="E73" s="67" t="n"/>
      <c r="F73" s="67" t="n"/>
      <c r="G73" s="67" t="n"/>
      <c r="H73" s="67" t="n"/>
      <c r="I73" s="67" t="n"/>
      <c r="J73" s="67" t="n"/>
      <c r="K73" s="67" t="n"/>
      <c r="L73" s="67" t="n"/>
      <c r="M73" s="67" t="n"/>
      <c r="N73" s="67" t="n"/>
      <c r="O73" s="67" t="n"/>
      <c r="P73" s="67" t="n"/>
      <c r="Q73" s="67" t="n"/>
      <c r="R73" s="67" t="n"/>
      <c r="S73" s="67" t="n"/>
      <c r="T73" s="67" t="n"/>
      <c r="U73" s="67" t="n"/>
      <c r="V73" s="67" t="n"/>
      <c r="W73" s="67" t="n"/>
      <c r="X73" s="67" t="n"/>
      <c r="Y73" s="67" t="n"/>
      <c r="Z73" s="67" t="n"/>
      <c r="AA73" s="67" t="n"/>
      <c r="AB73" s="67" t="n"/>
      <c r="AC73" s="67" t="n"/>
      <c r="AD73" s="67" t="n"/>
      <c r="AE73" s="67" t="n"/>
      <c r="AF73" s="67" t="n"/>
      <c r="AG73" s="67" t="n"/>
      <c r="AH73" s="67" t="n"/>
      <c r="AI73" s="67" t="n"/>
      <c r="AJ73" s="67" t="n"/>
      <c r="AK73" s="67" t="n"/>
      <c r="AL73" s="67" t="n"/>
      <c r="AM73" s="67" t="n"/>
      <c r="AN73" s="67" t="n"/>
      <c r="AO73" s="67" t="n"/>
      <c r="AP73" s="67" t="n"/>
      <c r="AQ73" s="67" t="n"/>
      <c r="AR73" s="67" t="n"/>
      <c r="AS73" s="67" t="n"/>
      <c r="AT73" s="67" t="n"/>
      <c r="AU73" s="67" t="n"/>
      <c r="AV73" s="67" t="n"/>
      <c r="AW73" s="67" t="n"/>
      <c r="AX73" s="67" t="n"/>
      <c r="AY73" s="67" t="n"/>
      <c r="AZ73" s="67" t="n"/>
      <c r="BA73" s="67" t="n"/>
      <c r="BB73" s="67" t="n"/>
      <c r="BC73" s="67" t="n"/>
      <c r="BD73" s="67" t="n"/>
      <c r="BE73" s="67" t="n"/>
      <c r="BF73" s="67" t="n"/>
      <c r="BG73" s="67" t="n"/>
      <c r="BH73" s="67" t="n"/>
      <c r="BI73" s="67" t="n"/>
      <c r="BJ73" s="67" t="n"/>
      <c r="BK73" s="67" t="n"/>
    </row>
    <row r="74">
      <c r="A74" s="80" t="inlineStr">
        <is>
          <t>Window</t>
        </is>
      </c>
      <c r="B74" s="81" t="n"/>
      <c r="C74" s="82" t="n"/>
      <c r="D74" s="80" t="inlineStr">
        <is>
          <t>Ad spend</t>
        </is>
      </c>
      <c r="E74" s="80" t="inlineStr">
        <is>
          <t>Ad sales</t>
        </is>
      </c>
      <c r="F74" s="80" t="inlineStr">
        <is>
          <t>ACoS</t>
        </is>
      </c>
      <c r="G74" s="80" t="inlineStr">
        <is>
          <t>TACoS</t>
        </is>
      </c>
      <c r="H74" s="80" t="inlineStr">
        <is>
          <t>Total sales (derived)</t>
        </is>
      </c>
      <c r="J74" s="80" t="inlineStr">
        <is>
          <t>Ad orders</t>
        </is>
      </c>
      <c r="K74" s="80" t="inlineStr">
        <is>
          <t>CVR</t>
        </is>
      </c>
    </row>
    <row r="75">
      <c r="A75" s="83" t="inlineStr">
        <is>
          <t>Pre-event Oct 21 - Nov 19, 2025 (30d)</t>
        </is>
      </c>
      <c r="B75" s="81" t="n"/>
      <c r="C75" s="82" t="n"/>
      <c r="D75" s="84" t="n"/>
      <c r="E75" s="84" t="n"/>
      <c r="F75" s="85" t="n"/>
      <c r="G75" s="85" t="n"/>
      <c r="H75" s="84" t="n"/>
      <c r="J75" s="86" t="n"/>
      <c r="K75" s="87" t="n"/>
    </row>
    <row r="76">
      <c r="A76" s="83" t="inlineStr">
        <is>
          <t>BFCM week Nov 20 - Dec 1, 2025 (12d)</t>
        </is>
      </c>
      <c r="B76" s="81" t="n"/>
      <c r="C76" s="82" t="n"/>
      <c r="D76" s="84" t="n"/>
      <c r="E76" s="84" t="n"/>
      <c r="F76" s="85" t="n"/>
      <c r="G76" s="85" t="n"/>
      <c r="H76" s="84" t="n"/>
      <c r="J76" s="86" t="n"/>
      <c r="K76" s="87" t="n"/>
    </row>
    <row r="77">
      <c r="A77" s="83" t="inlineStr">
        <is>
          <t>December 2 - 31, 2025 (30d)</t>
        </is>
      </c>
      <c r="B77" s="81" t="n"/>
      <c r="C77" s="82" t="n"/>
      <c r="D77" s="84" t="n"/>
      <c r="E77" s="84" t="n"/>
      <c r="F77" s="85" t="n"/>
      <c r="G77" s="85" t="n"/>
      <c r="H77" s="84" t="n"/>
      <c r="J77" s="86" t="n"/>
      <c r="K77" s="87" t="n"/>
    </row>
    <row r="78" ht="18" customHeight="1">
      <c r="A78" s="94" t="inlineStr">
        <is>
          <t>BFCM 2026 plan: NOT IN A DEAL. the team confirmed that products without a planned deal are not in any BFCM 2026 deal; they sell at their regular price.</t>
        </is>
      </c>
    </row>
    <row r="79">
      <c r="A79" s="90" t="inlineStr">
        <is>
          <t>No market data visibility history for our best child ASIN.</t>
        </is>
      </c>
    </row>
    <row r="80">
      <c r="A80" s="132" t="inlineStr">
        <is>
          <t>No BFCM 2025 PPC data for this product (not advertised or launched after BFCM 2025).</t>
        </is>
      </c>
    </row>
    <row r="81"/>
    <row r="82" ht="22" customHeight="1">
      <c r="A82" s="65" t="inlineStr">
        <is>
          <t>4 ▼</t>
        </is>
      </c>
      <c r="B82" s="66" t="inlineStr">
        <is>
          <t>COMPETITOR LANDSCAPE (6 mapped)</t>
        </is>
      </c>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c r="AC82" s="67" t="n"/>
      <c r="AD82" s="67" t="n"/>
      <c r="AE82" s="67" t="n"/>
      <c r="AF82" s="67" t="n"/>
      <c r="AG82" s="67" t="n"/>
      <c r="AH82" s="67" t="n"/>
      <c r="AI82" s="67" t="n"/>
      <c r="AJ82" s="67" t="n"/>
      <c r="AK82" s="67" t="n"/>
      <c r="AL82" s="67" t="n"/>
      <c r="AM82" s="67" t="n"/>
      <c r="AN82" s="67" t="n"/>
      <c r="AO82" s="67" t="n"/>
      <c r="AP82" s="67" t="n"/>
      <c r="AQ82" s="67" t="n"/>
      <c r="AR82" s="67" t="n"/>
      <c r="AS82" s="67" t="n"/>
      <c r="AT82" s="67" t="n"/>
      <c r="AU82" s="67" t="n"/>
      <c r="AV82" s="67" t="n"/>
      <c r="AW82" s="67" t="n"/>
      <c r="AX82" s="67" t="n"/>
      <c r="AY82" s="67" t="n"/>
      <c r="AZ82" s="67" t="n"/>
      <c r="BA82" s="67" t="n"/>
      <c r="BB82" s="67" t="n"/>
      <c r="BC82" s="67" t="n"/>
      <c r="BD82" s="67" t="n"/>
      <c r="BE82" s="67" t="n"/>
      <c r="BF82" s="67" t="n"/>
      <c r="BG82" s="67" t="n"/>
      <c r="BH82" s="67" t="n"/>
      <c r="BI82" s="67" t="n"/>
      <c r="BJ82" s="67" t="n"/>
      <c r="BK82" s="67" t="n"/>
    </row>
    <row r="83" ht="20" customHeight="1">
      <c r="A83" s="96" t="inlineStr">
        <is>
          <t>▼▼▼</t>
        </is>
      </c>
      <c r="B83" s="97" t="inlineStr">
        <is>
          <t>COMPETITOR DATA BELOW: one row per competitor (6 direct first, then alternative material). Scroll right for listing, search, strikethrough now and BFCM 2025 history (deal type, price, discount, rank change).</t>
        </is>
      </c>
      <c r="C83" s="98" t="n"/>
      <c r="D83" s="98" t="n"/>
      <c r="E83" s="98" t="n"/>
      <c r="F83" s="98" t="n"/>
      <c r="G83" s="98" t="n"/>
      <c r="H83" s="98" t="n"/>
      <c r="I83" s="98" t="n"/>
      <c r="J83" s="98" t="n"/>
      <c r="K83" s="98" t="n"/>
      <c r="L83" s="98" t="n"/>
      <c r="M83" s="98" t="n"/>
      <c r="N83" s="98" t="n"/>
      <c r="O83" s="98" t="n"/>
      <c r="P83" s="98" t="n"/>
      <c r="Q83" s="98" t="n"/>
      <c r="R83" s="98" t="n"/>
      <c r="S83" s="98" t="n"/>
      <c r="T83" s="98" t="n"/>
      <c r="U83" s="98" t="n"/>
      <c r="V83" s="98" t="n"/>
      <c r="W83" s="98" t="n"/>
      <c r="X83" s="98" t="n"/>
      <c r="Y83" s="98" t="n"/>
      <c r="Z83" s="98" t="n"/>
      <c r="AA83" s="98" t="n"/>
      <c r="AB83" s="98" t="n"/>
      <c r="AC83" s="98" t="n"/>
      <c r="AD83" s="98" t="n"/>
      <c r="AE83" s="98" t="n"/>
      <c r="AF83" s="98" t="n"/>
      <c r="AG83" s="98" t="n"/>
      <c r="AH83" s="98" t="n"/>
      <c r="AI83" s="98" t="n"/>
      <c r="AJ83" s="98" t="n"/>
      <c r="AK83" s="98" t="n"/>
      <c r="AL83" s="98" t="n"/>
      <c r="AM83" s="98" t="n"/>
      <c r="AN83" s="98" t="n"/>
      <c r="AO83" s="98" t="n"/>
      <c r="AP83" s="98" t="n"/>
      <c r="AQ83" s="98" t="n"/>
      <c r="AR83" s="98" t="n"/>
      <c r="AS83" s="98" t="n"/>
      <c r="AT83" s="98" t="n"/>
      <c r="AU83" s="98" t="n"/>
      <c r="AV83" s="98" t="n"/>
      <c r="AW83" s="98" t="n"/>
      <c r="AX83" s="98" t="n"/>
      <c r="AY83" s="98" t="n"/>
      <c r="AZ83" s="98" t="n"/>
      <c r="BA83" s="98" t="n"/>
      <c r="BB83" s="98" t="n"/>
      <c r="BC83" s="98" t="n"/>
      <c r="BD83" s="98" t="n"/>
      <c r="BE83" s="98" t="n"/>
      <c r="BF83" s="98" t="n"/>
      <c r="BG83" s="98" t="n"/>
      <c r="BH83" s="98" t="n"/>
      <c r="BI83" s="98" t="n"/>
      <c r="BJ83" s="98" t="n"/>
      <c r="BK83" s="98" t="n"/>
    </row>
    <row r="84">
      <c r="A84" s="99" t="inlineStr">
        <is>
          <t>COMPETITOR</t>
        </is>
      </c>
      <c r="L84" s="100" t="inlineStr">
        <is>
          <t>LISTING - catalog data</t>
        </is>
      </c>
      <c r="M84" s="101" t="inlineStr">
        <is>
          <t>SEARCH STRATEGY - market data search data</t>
        </is>
      </c>
      <c r="N84" s="102" t="inlineStr">
        <is>
          <t>PRICE &amp; SALES - market data snapshot (date per row)</t>
        </is>
      </c>
      <c r="AA84" s="100" t="inlineStr">
        <is>
          <t>LISTING - catalog data</t>
        </is>
      </c>
      <c r="AD84" s="101" t="inlineStr">
        <is>
          <t>SEARCH STRATEGY - market data search data</t>
        </is>
      </c>
      <c r="AU84" s="103" t="inlineStr">
        <is>
          <t>STR NOW - Amazon page check (Oct 13, P1 + P2)</t>
        </is>
      </c>
      <c r="BB84" s="104" t="inlineStr">
        <is>
          <t>BFCM 2025 - price history (P1 filled; yellow = not pulled yet)</t>
        </is>
      </c>
    </row>
    <row r="85" ht="48" customHeight="1">
      <c r="A85" s="26" t="inlineStr">
        <is>
          <t>Image</t>
        </is>
      </c>
      <c r="B85" s="26" t="inlineStr">
        <is>
          <t>Brand</t>
        </is>
      </c>
      <c r="C85" s="26" t="inlineStr">
        <is>
          <t>Product title</t>
        </is>
      </c>
      <c r="D85" s="26" t="inlineStr">
        <is>
          <t>Tier</t>
        </is>
      </c>
      <c r="E85" s="26" t="inlineStr">
        <is>
          <t>Competitor type</t>
        </is>
      </c>
      <c r="F85" s="26" t="inlineStr">
        <is>
          <t>Material</t>
        </is>
      </c>
      <c r="G85" s="26" t="inlineStr">
        <is>
          <t>Why this type</t>
        </is>
      </c>
      <c r="H85" s="26" t="inlineStr">
        <is>
          <t>Parent ASIN</t>
        </is>
      </c>
      <c r="I85" s="26" t="inlineStr">
        <is>
          <t>Tracked child ASIN</t>
        </is>
      </c>
      <c r="J85" s="26" t="inlineStr">
        <is>
          <t>Size</t>
        </is>
      </c>
      <c r="K85" s="26" t="inlineStr">
        <is>
          <t>Colour</t>
        </is>
      </c>
      <c r="L85" s="26" t="inlineStr">
        <is>
          <t>Variations</t>
        </is>
      </c>
      <c r="M85" s="26" t="inlineStr">
        <is>
          <t>Hero child ASINs (share of their visibility)</t>
        </is>
      </c>
      <c r="N85" s="26" t="inlineStr">
        <is>
          <t>Price ($)</t>
        </is>
      </c>
      <c r="O85" s="26" t="inlineStr">
        <is>
          <t>List Price ($)</t>
        </is>
      </c>
      <c r="P85" s="26" t="inlineStr">
        <is>
          <t>List Price % over</t>
        </is>
      </c>
      <c r="Q85" s="26" t="inlineStr">
        <is>
          <t>STR band</t>
        </is>
      </c>
      <c r="R85" s="26" t="inlineStr">
        <is>
          <t>Our price, same size ($)</t>
        </is>
      </c>
      <c r="S85" s="26" t="inlineStr">
        <is>
          <t>Their price vs ours</t>
        </is>
      </c>
      <c r="T85" s="26" t="inlineStr">
        <is>
          <t>Comparison basis</t>
        </is>
      </c>
      <c r="U85" s="26" t="inlineStr">
        <is>
          <t>BSR</t>
        </is>
      </c>
      <c r="V85" s="26" t="inlineStr">
        <is>
          <t>Est weekly units</t>
        </is>
      </c>
      <c r="W85" s="26" t="inlineStr">
        <is>
          <t>Est monthly revenue ($)</t>
        </is>
      </c>
      <c r="X85" s="26" t="inlineStr">
        <is>
          <t>Rating</t>
        </is>
      </c>
      <c r="Y85" s="26" t="inlineStr">
        <is>
          <t>Reviews</t>
        </is>
      </c>
      <c r="Z85" s="26" t="inlineStr">
        <is>
          <t>Snapshot date</t>
        </is>
      </c>
      <c r="AA85" s="26" t="inlineStr">
        <is>
          <t>Listed</t>
        </is>
      </c>
      <c r="AB85" s="26" t="inlineStr">
        <is>
          <t>Fulfil.</t>
        </is>
      </c>
      <c r="AC85" s="26" t="inlineStr">
        <is>
          <t>Seller country</t>
        </is>
      </c>
      <c r="AD85" s="26" t="inlineStr">
        <is>
          <t>search data 7d traffic</t>
        </is>
      </c>
      <c r="AE85" s="26" t="inlineStr">
        <is>
          <t>Keywords ranked</t>
        </is>
      </c>
      <c r="AF85" s="26" t="inlineStr">
        <is>
          <t>Organic share of traffic</t>
        </is>
      </c>
      <c r="AG85" s="26" t="inlineStr">
        <is>
          <t>Ad share of traffic</t>
        </is>
      </c>
      <c r="AH85" s="26" t="inlineStr">
        <is>
          <t>Top keyword</t>
        </is>
      </c>
      <c r="AI85" s="26" t="inlineStr">
        <is>
          <t>SP reach</t>
        </is>
      </c>
      <c r="AJ85" s="26" t="inlineStr">
        <is>
          <t>SB reach</t>
        </is>
      </c>
      <c r="AK85" s="26" t="inlineStr">
        <is>
          <t>SB video reach</t>
        </is>
      </c>
      <c r="AL85" s="26" t="inlineStr">
        <is>
          <t>Amazon's Choice reach</t>
        </is>
      </c>
      <c r="AM85" s="26" t="inlineStr">
        <is>
          <t>Shared keywords</t>
        </is>
      </c>
      <c r="AN85" s="26" t="inlineStr">
        <is>
          <t>We win</t>
        </is>
      </c>
      <c r="AO85" s="26" t="inlineStr">
        <is>
          <t>We lose</t>
        </is>
      </c>
      <c r="AP85" s="26" t="inlineStr">
        <is>
          <t>Their keywords we miss</t>
        </is>
      </c>
      <c r="AQ85" s="26" t="inlineStr">
        <is>
          <t>KWs they advertise, we don't</t>
        </is>
      </c>
      <c r="AR85" s="26" t="inlineStr">
        <is>
          <t>KWs they out-advertise us</t>
        </is>
      </c>
      <c r="AS85" s="26" t="inlineStr">
        <is>
          <t>Prime Day 2026 organic vis lift</t>
        </is>
      </c>
      <c r="AT85" s="26" t="inlineStr">
        <is>
          <t>Organic trend (Aug-Sep vs Q2)</t>
        </is>
      </c>
      <c r="AU85" s="26" t="inlineStr">
        <is>
          <t>STR showing now? (Y/N)</t>
        </is>
      </c>
      <c r="AV85" s="26" t="inlineStr">
        <is>
          <t>STR label</t>
        </is>
      </c>
      <c r="AW85" s="26" t="inlineStr">
        <is>
          <t>Strikethrough price ($)</t>
        </is>
      </c>
      <c r="AX85" s="26" t="inlineStr">
        <is>
          <t>Page price at check ($)</t>
        </is>
      </c>
      <c r="AY85" s="26" t="inlineStr">
        <is>
          <t>Deal / coupon now</t>
        </is>
      </c>
      <c r="AZ85" s="26" t="inlineStr">
        <is>
          <t>Orderable now (Y/N)</t>
        </is>
      </c>
      <c r="BA85" s="26" t="inlineStr">
        <is>
          <t>Checked (ET)</t>
        </is>
      </c>
      <c r="BB85" s="26" t="inlineStr">
        <is>
          <t>BFCM 2025 deal type</t>
        </is>
      </c>
      <c r="BC85" s="26" t="inlineStr">
        <is>
          <t>BFCM 2025 deal dates</t>
        </is>
      </c>
      <c r="BD85" s="26" t="inlineStr">
        <is>
          <t>Pre-event price ($)</t>
        </is>
      </c>
      <c r="BE85" s="26" t="inlineStr">
        <is>
          <t>BFCM 2025 low ($)</t>
        </is>
      </c>
      <c r="BF85" s="26" t="inlineStr">
        <is>
          <t>BFCM 2025 discount</t>
        </is>
      </c>
      <c r="BG85" s="26" t="inlineStr">
        <is>
          <t>BSR pre-event</t>
        </is>
      </c>
      <c r="BH85" s="26" t="inlineStr">
        <is>
          <t>BSR BFCM wk</t>
        </is>
      </c>
      <c r="BI85" s="26" t="inlineStr">
        <is>
          <t>BSR lift (x)</t>
        </is>
      </c>
      <c r="BJ85" s="26" t="inlineStr">
        <is>
          <t>OOS in BFCM? (Y/N)</t>
        </is>
      </c>
      <c r="BK85" s="26" t="inlineStr">
        <is>
          <t>Notes</t>
        </is>
      </c>
    </row>
    <row r="86" ht="62" customHeight="1">
      <c r="A86" s="12">
        <f>_xlfn.IMAGE("https://images-na.ssl-images-amazon.com/images/I/71xcauK1dlL.jpg")</f>
        <v/>
      </c>
      <c r="B86" s="105" t="inlineStr">
        <is>
          <t>Bedsure</t>
        </is>
      </c>
      <c r="C86" s="39" t="inlineStr">
        <is>
          <t>Bedsure PureWoven Pillow Cases Queen Set of 2, Rayon Derived from Bamboo</t>
        </is>
      </c>
      <c r="D86" s="105" t="inlineStr">
        <is>
          <t>Untiered</t>
        </is>
      </c>
      <c r="E86" s="106" t="inlineStr">
        <is>
          <t>Direct</t>
        </is>
      </c>
      <c r="F86" s="105" t="inlineStr">
        <is>
          <t>Bamboo viscose</t>
        </is>
      </c>
      <c r="G86" s="39" t="inlineStr">
        <is>
          <t>Same product (pillowcase) in the same material family: Bamboo viscose (product page material: Rayon Derived from Bamboo); ours: our listing: viscose from bamboo.</t>
        </is>
      </c>
      <c r="H86" s="107" t="inlineStr">
        <is>
          <t>B0DCZYVLFC</t>
        </is>
      </c>
      <c r="I86" s="107" t="inlineStr">
        <is>
          <t>B07JP2L1TG</t>
        </is>
      </c>
      <c r="J86" s="105" t="inlineStr">
        <is>
          <t>Queen (20" X 30")</t>
        </is>
      </c>
      <c r="K86" s="105" t="inlineStr">
        <is>
          <t>01 - Dark Grey</t>
        </is>
      </c>
      <c r="L86" s="108" t="n">
        <v>64</v>
      </c>
      <c r="M86" s="39" t="inlineStr"/>
      <c r="N86" s="109" t="n">
        <v>12.99</v>
      </c>
      <c r="O86" s="109" t="n">
        <v>17.49</v>
      </c>
      <c r="P86" s="110">
        <f>IF(AND(ISNUMBER(O86),ISNUMBER(N86),N(N86)&gt;0),O86/N86-1,"")</f>
        <v/>
      </c>
      <c r="Q86" s="111">
        <f>IF(P86="","No List Price",IF(P86&lt;=0,"At/below price",IF(P86&lt;=0.12,"&lt;=12% STR zone",IF(P86&lt;=0.25,"12-25%","&gt;25% over"))))</f>
        <v/>
      </c>
      <c r="R86" s="109" t="n"/>
      <c r="S86" s="112">
        <f>IF(AND(ISNUMBER(N86),ISNUMBER(R86),N(R86)&gt;0),N86/R86-1,"")</f>
        <v/>
      </c>
      <c r="T86" s="39" t="inlineStr">
        <is>
          <t>No price for us</t>
        </is>
      </c>
      <c r="U86" s="108" t="n">
        <v>559</v>
      </c>
      <c r="V86" s="108" t="n">
        <v>1040</v>
      </c>
      <c r="W86" s="113">
        <f>IF(AND(ISNUMBER(N86),ISNUMBER(V86)),N86*V86*52/12,"")</f>
        <v/>
      </c>
      <c r="X86" s="114" t="n">
        <v>4.4</v>
      </c>
      <c r="Y86" s="108" t="n">
        <v>37593</v>
      </c>
      <c r="Z86" s="115" t="n">
        <v>46307</v>
      </c>
      <c r="AA86" s="115" t="n">
        <v>43397</v>
      </c>
      <c r="AB86" s="105" t="inlineStr">
        <is>
          <t>FBA</t>
        </is>
      </c>
      <c r="AC86" s="105" t="inlineStr">
        <is>
          <t>US</t>
        </is>
      </c>
      <c r="AD86" s="108" t="n"/>
      <c r="AE86" s="108" t="n"/>
      <c r="AF86" s="116" t="n"/>
      <c r="AG86" s="116" t="n"/>
      <c r="AH86" s="39" t="n"/>
      <c r="AI86" s="116" t="n"/>
      <c r="AJ86" s="116" t="n"/>
      <c r="AK86" s="116" t="n"/>
      <c r="AL86" s="116" t="n"/>
      <c r="AM86" s="108" t="n"/>
      <c r="AN86" s="108" t="n"/>
      <c r="AO86" s="108" t="n"/>
      <c r="AP86" s="108" t="n"/>
      <c r="AQ86" s="108" t="n"/>
      <c r="AR86" s="108" t="n"/>
      <c r="AS86" s="117" t="n"/>
      <c r="AT86" s="112" t="n"/>
      <c r="AU86" s="118" t="inlineStr">
        <is>
          <t>Y</t>
        </is>
      </c>
      <c r="AV86" s="118" t="inlineStr">
        <is>
          <t>List Price</t>
        </is>
      </c>
      <c r="AW86" s="119" t="n">
        <v>17.49</v>
      </c>
      <c r="AX86" s="119" t="n">
        <v>12.99</v>
      </c>
      <c r="AY86" s="118" t="inlineStr">
        <is>
          <t>none</t>
        </is>
      </c>
      <c r="AZ86" s="118" t="inlineStr">
        <is>
          <t>Y</t>
        </is>
      </c>
      <c r="BA86" s="118" t="inlineStr">
        <is>
          <t>2026-10-13 23:35:22</t>
        </is>
      </c>
      <c r="BB86" s="120" t="inlineStr">
        <is>
          <t>Prime Exclusive Discount</t>
        </is>
      </c>
      <c r="BC86" s="120" t="inlineStr">
        <is>
          <t>11-25 to 12-01</t>
        </is>
      </c>
      <c r="BD86" s="121" t="n">
        <v>11.19</v>
      </c>
      <c r="BE86" s="121" t="n">
        <v>9.99</v>
      </c>
      <c r="BF86" s="110">
        <f>IF(AND(ISNUMBER(BD86),ISNUMBER(BE86),N(BD86)&gt;0),1-BE86/BD86,"")</f>
        <v/>
      </c>
      <c r="BG86" s="122" t="n">
        <v>314</v>
      </c>
      <c r="BH86" s="122" t="n">
        <v>652</v>
      </c>
      <c r="BI86" s="123">
        <f>IF(AND(ISNUMBER(BG86),ISNUMBER(BH86),N(BH86)&gt;0),BG86/BH86,"")</f>
        <v/>
      </c>
      <c r="BJ86" s="120" t="inlineStr">
        <is>
          <t>N</t>
        </is>
      </c>
      <c r="BK86" s="120" t="inlineStr">
        <is>
          <t>Buy Box RAISED in BFCM week (median $14.99 vs $11.19 before); List Price $14.99</t>
        </is>
      </c>
    </row>
    <row r="87" ht="62" customHeight="1">
      <c r="A87" s="12">
        <f>_xlfn.IMAGE("https://m.media-amazon.com/images/I/71cLDIlmGqL._AC_SL1500_.jpg")</f>
        <v/>
      </c>
      <c r="B87" s="105" t="inlineStr">
        <is>
          <t>BEDELITE</t>
        </is>
      </c>
      <c r="C87" s="39" t="inlineStr">
        <is>
          <t>BEDELITE Cooling Pillow Cases for Hot Sleepers &amp; Night Sweats, Rayon Derived fro</t>
        </is>
      </c>
      <c r="D87" s="105" t="inlineStr">
        <is>
          <t>Untiered</t>
        </is>
      </c>
      <c r="E87" s="106" t="inlineStr">
        <is>
          <t>Direct</t>
        </is>
      </c>
      <c r="F87" s="105" t="inlineStr">
        <is>
          <t>Bamboo viscose</t>
        </is>
      </c>
      <c r="G87" s="39" t="inlineStr">
        <is>
          <t>Same product (pillowcase) in the same material family: Bamboo viscose (product page material: Viscose Derived from Bamboo); ours: our listing: viscose from bamboo.</t>
        </is>
      </c>
      <c r="H87" s="107" t="inlineStr">
        <is>
          <t>B0BZ8RQ9RQ</t>
        </is>
      </c>
      <c r="I87" s="107" t="inlineStr">
        <is>
          <t>B08GWQY7B3</t>
        </is>
      </c>
      <c r="J87" s="105" t="inlineStr">
        <is>
          <t>Body（20"X 54"）</t>
        </is>
      </c>
      <c r="K87" s="105" t="inlineStr">
        <is>
          <t>Grey</t>
        </is>
      </c>
      <c r="L87" s="108" t="n"/>
      <c r="M87" s="39" t="inlineStr"/>
      <c r="N87" s="109" t="n">
        <v>8.49</v>
      </c>
      <c r="O87" s="109" t="n"/>
      <c r="P87" s="110">
        <f>IF(AND(ISNUMBER(O87),ISNUMBER(N87),N(N87)&gt;0),O87/N87-1,"")</f>
        <v/>
      </c>
      <c r="Q87" s="111">
        <f>IF(P87="","No List Price",IF(P87&lt;=0,"At/below price",IF(P87&lt;=0.12,"&lt;=12% STR zone",IF(P87&lt;=0.25,"12-25%","&gt;25% over"))))</f>
        <v/>
      </c>
      <c r="R87" s="109" t="n"/>
      <c r="S87" s="112">
        <f>IF(AND(ISNUMBER(N87),ISNUMBER(R87),N(R87)&gt;0),N87/R87-1,"")</f>
        <v/>
      </c>
      <c r="T87" s="39" t="inlineStr">
        <is>
          <t>No price for us</t>
        </is>
      </c>
      <c r="U87" s="108" t="n">
        <v>1250</v>
      </c>
      <c r="V87" s="108" t="n">
        <v>924</v>
      </c>
      <c r="W87" s="113">
        <f>IF(AND(ISNUMBER(N87),ISNUMBER(V87)),N87*V87*52/12,"")</f>
        <v/>
      </c>
      <c r="X87" s="114" t="n">
        <v>4.4</v>
      </c>
      <c r="Y87" s="108" t="n">
        <v>12316</v>
      </c>
      <c r="Z87" s="115" t="n">
        <v>46307</v>
      </c>
      <c r="AA87" s="115" t="n"/>
      <c r="AB87" s="105" t="n"/>
      <c r="AC87" s="105" t="n"/>
      <c r="AD87" s="108" t="n"/>
      <c r="AE87" s="108" t="n"/>
      <c r="AF87" s="116" t="n"/>
      <c r="AG87" s="116" t="n"/>
      <c r="AH87" s="39" t="n"/>
      <c r="AI87" s="116" t="n"/>
      <c r="AJ87" s="116" t="n"/>
      <c r="AK87" s="116" t="n"/>
      <c r="AL87" s="116" t="n"/>
      <c r="AM87" s="108" t="n"/>
      <c r="AN87" s="108" t="n"/>
      <c r="AO87" s="108" t="n"/>
      <c r="AP87" s="108" t="n"/>
      <c r="AQ87" s="108" t="n"/>
      <c r="AR87" s="108" t="n"/>
      <c r="AS87" s="117" t="n"/>
      <c r="AT87" s="112" t="n"/>
      <c r="AU87" s="118" t="inlineStr">
        <is>
          <t>Y</t>
        </is>
      </c>
      <c r="AV87" s="118" t="inlineStr">
        <is>
          <t>List Price</t>
        </is>
      </c>
      <c r="AW87" s="119" t="n">
        <v>9.99</v>
      </c>
      <c r="AX87" s="119" t="n">
        <v>8.49</v>
      </c>
      <c r="AY87" s="118" t="inlineStr">
        <is>
          <t>none</t>
        </is>
      </c>
      <c r="AZ87" s="118" t="inlineStr">
        <is>
          <t>Y</t>
        </is>
      </c>
      <c r="BA87" s="118" t="inlineStr">
        <is>
          <t>2026-10-13 23:35:41</t>
        </is>
      </c>
      <c r="BB87" s="120" t="inlineStr">
        <is>
          <t>Price cut only</t>
        </is>
      </c>
      <c r="BC87" s="120" t="inlineStr">
        <is>
          <t>11-20 to 12-01</t>
        </is>
      </c>
      <c r="BD87" s="121" t="n">
        <v>8.49</v>
      </c>
      <c r="BE87" s="121" t="n">
        <v>7.98</v>
      </c>
      <c r="BF87" s="110">
        <f>IF(AND(ISNUMBER(BD87),ISNUMBER(BE87),N(BD87)&gt;0),1-BE87/BD87,"")</f>
        <v/>
      </c>
      <c r="BG87" s="122" t="n">
        <v>1284</v>
      </c>
      <c r="BH87" s="122" t="n">
        <v>1992</v>
      </c>
      <c r="BI87" s="123">
        <f>IF(AND(ISNUMBER(BG87),ISNUMBER(BH87),N(BH87)&gt;0),BG87/BH87,"")</f>
        <v/>
      </c>
      <c r="BJ87" s="120" t="inlineStr">
        <is>
          <t>N</t>
        </is>
      </c>
      <c r="BK87" s="120" t="inlineStr">
        <is>
          <t>Prime Exclusive 11-03 to 12-05; Lightning Deal 11-09 to 11-12; Prime Exclusive already running before BFCM week; List Price $9.99</t>
        </is>
      </c>
    </row>
    <row r="88" ht="62" customHeight="1">
      <c r="A88" s="12">
        <f>_xlfn.IMAGE("https://m.media-amazon.com/images/I/51lX1uo9xJL._AC_SL1500_.jpg")</f>
        <v/>
      </c>
      <c r="B88" s="105" t="inlineStr">
        <is>
          <t>WISHSMILE</t>
        </is>
      </c>
      <c r="C88" s="39" t="inlineStr">
        <is>
          <t>WishSmile Cooling Queen Pillowcases Set of 2 Breathable Cool Silky Soft Rayon De</t>
        </is>
      </c>
      <c r="D88" s="105" t="inlineStr">
        <is>
          <t>Untiered</t>
        </is>
      </c>
      <c r="E88" s="106" t="inlineStr">
        <is>
          <t>Direct</t>
        </is>
      </c>
      <c r="F88" s="105" t="inlineStr">
        <is>
          <t>Bamboo viscose</t>
        </is>
      </c>
      <c r="G88" s="39" t="inlineStr">
        <is>
          <t>Same product (pillowcase) in the same material family: Bamboo viscose (product page material: Rayon derived from bamboo); ours: our listing: viscose from bamboo.</t>
        </is>
      </c>
      <c r="H88" s="107" t="inlineStr">
        <is>
          <t>B09BKQK7RZ</t>
        </is>
      </c>
      <c r="I88" s="107" t="inlineStr">
        <is>
          <t>B09BL2SMVG</t>
        </is>
      </c>
      <c r="J88" s="105" t="inlineStr">
        <is>
          <t>1 Pack Body(20x54)-Regular</t>
        </is>
      </c>
      <c r="K88" s="105" t="inlineStr">
        <is>
          <t>Dark Grey</t>
        </is>
      </c>
      <c r="L88" s="108" t="n">
        <v>41</v>
      </c>
      <c r="M88" s="39" t="inlineStr">
        <is>
          <t>B09BL2SMVG (51%), B09BKY53J5 (20%), B09BKXKF1P (6%), B09BKV27TP (4%)</t>
        </is>
      </c>
      <c r="N88" s="109" t="n">
        <v>12.99</v>
      </c>
      <c r="O88" s="109" t="n"/>
      <c r="P88" s="110">
        <f>IF(AND(ISNUMBER(O88),ISNUMBER(N88),N(N88)&gt;0),O88/N88-1,"")</f>
        <v/>
      </c>
      <c r="Q88" s="111">
        <f>IF(P88="","No List Price",IF(P88&lt;=0,"At/below price",IF(P88&lt;=0.12,"&lt;=12% STR zone",IF(P88&lt;=0.25,"12-25%","&gt;25% over"))))</f>
        <v/>
      </c>
      <c r="R88" s="109" t="n"/>
      <c r="S88" s="112">
        <f>IF(AND(ISNUMBER(N88),ISNUMBER(R88),N(R88)&gt;0),N88/R88-1,"")</f>
        <v/>
      </c>
      <c r="T88" s="39" t="inlineStr">
        <is>
          <t>No price for us</t>
        </is>
      </c>
      <c r="U88" s="108" t="n">
        <v>2467</v>
      </c>
      <c r="V88" s="108" t="n">
        <v>809</v>
      </c>
      <c r="W88" s="113">
        <f>IF(AND(ISNUMBER(N88),ISNUMBER(V88)),N88*V88*52/12,"")</f>
        <v/>
      </c>
      <c r="X88" s="114" t="n">
        <v>4.4</v>
      </c>
      <c r="Y88" s="108" t="n">
        <v>7225</v>
      </c>
      <c r="Z88" s="115" t="n">
        <v>46307</v>
      </c>
      <c r="AA88" s="115" t="n"/>
      <c r="AB88" s="105" t="n"/>
      <c r="AC88" s="105" t="n"/>
      <c r="AD88" s="108" t="n">
        <v>151964</v>
      </c>
      <c r="AE88" s="108" t="n">
        <v>1980</v>
      </c>
      <c r="AF88" s="116" t="n">
        <v>0.8020060705167013</v>
      </c>
      <c r="AG88" s="116" t="n">
        <v>0.1979940979442499</v>
      </c>
      <c r="AH88" s="39" t="inlineStr">
        <is>
          <t>body pillow pillowcase</t>
        </is>
      </c>
      <c r="AI88" s="116" t="n">
        <v>0.8215695822694848</v>
      </c>
      <c r="AJ88" s="116" t="n">
        <v>0.5012437156168567</v>
      </c>
      <c r="AK88" s="116" t="n">
        <v>0.8610986812666158</v>
      </c>
      <c r="AL88" s="116" t="n">
        <v>0.02574951962306862</v>
      </c>
      <c r="AM88" s="108" t="n"/>
      <c r="AN88" s="108" t="n"/>
      <c r="AO88" s="108" t="n"/>
      <c r="AP88" s="108" t="n"/>
      <c r="AQ88" s="108" t="n"/>
      <c r="AR88" s="108" t="n"/>
      <c r="AS88" s="117" t="n">
        <v>1.226522481502561</v>
      </c>
      <c r="AT88" s="112" t="n">
        <v>1.045692883895131</v>
      </c>
      <c r="AU88" s="118" t="inlineStr">
        <is>
          <t>N</t>
        </is>
      </c>
      <c r="AV88" s="118" t="inlineStr">
        <is>
          <t>none</t>
        </is>
      </c>
      <c r="AW88" s="124" t="n"/>
      <c r="AX88" s="119" t="n">
        <v>12.99</v>
      </c>
      <c r="AY88" s="118" t="inlineStr">
        <is>
          <t>none</t>
        </is>
      </c>
      <c r="AZ88" s="118" t="inlineStr">
        <is>
          <t>Y</t>
        </is>
      </c>
      <c r="BA88" s="118" t="inlineStr">
        <is>
          <t>2026-10-13 23:37:09</t>
        </is>
      </c>
      <c r="BB88" s="120" t="inlineStr">
        <is>
          <t>Prime Exclusive Discount</t>
        </is>
      </c>
      <c r="BC88" s="120" t="inlineStr">
        <is>
          <t>11-20 to 12-01</t>
        </is>
      </c>
      <c r="BD88" s="121" t="n">
        <v>11.99</v>
      </c>
      <c r="BE88" s="121" t="n">
        <v>10.19</v>
      </c>
      <c r="BF88" s="110">
        <f>IF(AND(ISNUMBER(BD88),ISNUMBER(BE88),N(BD88)&gt;0),1-BE88/BD88,"")</f>
        <v/>
      </c>
      <c r="BG88" s="122" t="n">
        <v>4924</v>
      </c>
      <c r="BH88" s="122" t="n">
        <v>4617</v>
      </c>
      <c r="BI88" s="123">
        <f>IF(AND(ISNUMBER(BG88),ISNUMBER(BH88),N(BH88)&gt;0),BG88/BH88,"")</f>
        <v/>
      </c>
      <c r="BJ88" s="120" t="inlineStr">
        <is>
          <t>N</t>
        </is>
      </c>
      <c r="BK88" s="120" t="inlineStr">
        <is>
          <t>Buy Box RAISED in BFCM week (median $13.99 vs $11.99 before); List Price $17.99</t>
        </is>
      </c>
    </row>
    <row r="89" ht="62" customHeight="1">
      <c r="A89" s="12">
        <f>_xlfn.IMAGE("https://m.media-amazon.com/images/I/81A7A-gflUL._AC_SL1500_.jpg")</f>
        <v/>
      </c>
      <c r="B89" s="105" t="inlineStr">
        <is>
          <t>Bedsure</t>
        </is>
      </c>
      <c r="C89" s="39" t="inlineStr">
        <is>
          <t>Bedsure Zipper Pillow Cases Queen, Cooling Pillow Cases Queen Size Set of 2, Ray</t>
        </is>
      </c>
      <c r="D89" s="105" t="inlineStr">
        <is>
          <t>Untiered</t>
        </is>
      </c>
      <c r="E89" s="106" t="inlineStr">
        <is>
          <t>Direct</t>
        </is>
      </c>
      <c r="F89" s="105" t="inlineStr">
        <is>
          <t>Bamboo viscose</t>
        </is>
      </c>
      <c r="G89" s="39" t="inlineStr">
        <is>
          <t>Same product (pillowcase) in the same material family: Bamboo viscose (product page material: Rayon Derived from Bamboo); ours: our listing: viscose from bamboo.</t>
        </is>
      </c>
      <c r="H89" s="107" t="inlineStr">
        <is>
          <t>B0DD7BMGZ7</t>
        </is>
      </c>
      <c r="I89" s="107" t="inlineStr">
        <is>
          <t>B0CRR369GQ</t>
        </is>
      </c>
      <c r="J89" s="105" t="inlineStr">
        <is>
          <t>Queen (20" x 30")</t>
        </is>
      </c>
      <c r="K89" s="105" t="inlineStr">
        <is>
          <t>01 - Grey</t>
        </is>
      </c>
      <c r="L89" s="108" t="n"/>
      <c r="M89" s="39" t="inlineStr"/>
      <c r="N89" s="109" t="n">
        <v>14.99</v>
      </c>
      <c r="O89" s="109" t="n">
        <v>23.15</v>
      </c>
      <c r="P89" s="110">
        <f>IF(AND(ISNUMBER(O89),ISNUMBER(N89),N(N89)&gt;0),O89/N89-1,"")</f>
        <v/>
      </c>
      <c r="Q89" s="111">
        <f>IF(P89="","No List Price",IF(P89&lt;=0,"At/below price",IF(P89&lt;=0.12,"&lt;=12% STR zone",IF(P89&lt;=0.25,"12-25%","&gt;25% over"))))</f>
        <v/>
      </c>
      <c r="R89" s="109" t="n"/>
      <c r="S89" s="112">
        <f>IF(AND(ISNUMBER(N89),ISNUMBER(R89),N(R89)&gt;0),N89/R89-1,"")</f>
        <v/>
      </c>
      <c r="T89" s="39" t="inlineStr">
        <is>
          <t>No price for us</t>
        </is>
      </c>
      <c r="U89" s="108" t="n">
        <v>3133</v>
      </c>
      <c r="V89" s="108" t="n">
        <v>347</v>
      </c>
      <c r="W89" s="113">
        <f>IF(AND(ISNUMBER(N89),ISNUMBER(V89)),N89*V89*52/12,"")</f>
        <v/>
      </c>
      <c r="X89" s="114" t="n">
        <v>4.6</v>
      </c>
      <c r="Y89" s="108" t="n">
        <v>1289</v>
      </c>
      <c r="Z89" s="115" t="n">
        <v>46307</v>
      </c>
      <c r="AA89" s="115" t="n"/>
      <c r="AB89" s="105" t="n"/>
      <c r="AC89" s="105" t="n"/>
      <c r="AD89" s="108" t="n"/>
      <c r="AE89" s="108" t="n"/>
      <c r="AF89" s="116" t="n"/>
      <c r="AG89" s="116" t="n"/>
      <c r="AH89" s="39" t="n"/>
      <c r="AI89" s="116" t="n"/>
      <c r="AJ89" s="116" t="n"/>
      <c r="AK89" s="116" t="n"/>
      <c r="AL89" s="116" t="n"/>
      <c r="AM89" s="108" t="n"/>
      <c r="AN89" s="108" t="n"/>
      <c r="AO89" s="108" t="n"/>
      <c r="AP89" s="108" t="n"/>
      <c r="AQ89" s="108" t="n"/>
      <c r="AR89" s="108" t="n"/>
      <c r="AS89" s="117" t="n"/>
      <c r="AT89" s="112" t="n"/>
      <c r="AU89" s="118" t="inlineStr">
        <is>
          <t>Y</t>
        </is>
      </c>
      <c r="AV89" s="118" t="inlineStr">
        <is>
          <t>List Price</t>
        </is>
      </c>
      <c r="AW89" s="119" t="n">
        <v>23.15</v>
      </c>
      <c r="AX89" s="119" t="n">
        <v>14.99</v>
      </c>
      <c r="AY89" s="118" t="inlineStr">
        <is>
          <t>Limited time deal</t>
        </is>
      </c>
      <c r="AZ89" s="118" t="inlineStr">
        <is>
          <t>Y</t>
        </is>
      </c>
      <c r="BA89" s="118" t="inlineStr">
        <is>
          <t>2026-10-13 23:35:25</t>
        </is>
      </c>
      <c r="BB89" s="120" t="inlineStr">
        <is>
          <t>Prime Exclusive Discount</t>
        </is>
      </c>
      <c r="BC89" s="120" t="inlineStr">
        <is>
          <t>11-26 to 12-01</t>
        </is>
      </c>
      <c r="BD89" s="121" t="n">
        <v>14.24</v>
      </c>
      <c r="BE89" s="121" t="n">
        <v>13.29</v>
      </c>
      <c r="BF89" s="110">
        <f>IF(AND(ISNUMBER(BD89),ISNUMBER(BE89),N(BD89)&gt;0),1-BE89/BD89,"")</f>
        <v/>
      </c>
      <c r="BG89" s="122" t="n">
        <v>17277</v>
      </c>
      <c r="BH89" s="122" t="n">
        <v>20240</v>
      </c>
      <c r="BI89" s="123">
        <f>IF(AND(ISNUMBER(BG89),ISNUMBER(BH89),N(BH89)&gt;0),BG89/BH89,"")</f>
        <v/>
      </c>
      <c r="BJ89" s="120" t="inlineStr">
        <is>
          <t>N</t>
        </is>
      </c>
      <c r="BK89" s="120" t="inlineStr">
        <is>
          <t>Buy Box RAISED in BFCM week (median $16.99 vs $14.24 before); List Price $16.99</t>
        </is>
      </c>
    </row>
    <row r="90" ht="62" customHeight="1">
      <c r="A90" s="12">
        <f>_xlfn.IMAGE("https://m.media-amazon.com/images/I/71ShKn05Z2L._AC_SL1500_.jpg")</f>
        <v/>
      </c>
      <c r="B90" s="105" t="inlineStr">
        <is>
          <t>ELIBABA</t>
        </is>
      </c>
      <c r="C90" s="39" t="inlineStr">
        <is>
          <t>Cooling Side Sleeper Pillow Cases - Curved Rayon Derived from Bamboo Pillowcase</t>
        </is>
      </c>
      <c r="D90" s="105" t="inlineStr">
        <is>
          <t>Untiered</t>
        </is>
      </c>
      <c r="E90" s="106" t="inlineStr">
        <is>
          <t>Direct</t>
        </is>
      </c>
      <c r="F90" s="105" t="inlineStr">
        <is>
          <t>Bamboo viscose</t>
        </is>
      </c>
      <c r="G90" s="39" t="inlineStr">
        <is>
          <t>Same product (pillowcase) in the same material family: Bamboo viscose (product page material: rayon derived from bamboo); ours: our listing: viscose from bamboo.</t>
        </is>
      </c>
      <c r="H90" s="107" t="inlineStr">
        <is>
          <t>B0HGLD1P8V</t>
        </is>
      </c>
      <c r="I90" s="107" t="inlineStr">
        <is>
          <t>B0CQK3KHHH</t>
        </is>
      </c>
      <c r="J90" s="105" t="inlineStr">
        <is>
          <t>1 Pack Queen (20 x 30)</t>
        </is>
      </c>
      <c r="K90" s="105" t="inlineStr">
        <is>
          <t>Dark Grey</t>
        </is>
      </c>
      <c r="L90" s="108" t="n">
        <v>25</v>
      </c>
      <c r="M90" s="39" t="inlineStr">
        <is>
          <t>B0CQK3KHHH (38%), B0B8Y484FV (19%), B0BJ6PPDL4 (12%), B0DSSYCX22 (9%), B0DSVP4PKM (5%)</t>
        </is>
      </c>
      <c r="N90" s="109" t="n">
        <v>17.99</v>
      </c>
      <c r="O90" s="109" t="n"/>
      <c r="P90" s="110">
        <f>IF(AND(ISNUMBER(O90),ISNUMBER(N90),N(N90)&gt;0),O90/N90-1,"")</f>
        <v/>
      </c>
      <c r="Q90" s="111">
        <f>IF(P90="","No List Price",IF(P90&lt;=0,"At/below price",IF(P90&lt;=0.12,"&lt;=12% STR zone",IF(P90&lt;=0.25,"12-25%","&gt;25% over"))))</f>
        <v/>
      </c>
      <c r="R90" s="109" t="n"/>
      <c r="S90" s="112">
        <f>IF(AND(ISNUMBER(N90),ISNUMBER(R90),N(R90)&gt;0),N90/R90-1,"")</f>
        <v/>
      </c>
      <c r="T90" s="39" t="inlineStr">
        <is>
          <t>No price for us</t>
        </is>
      </c>
      <c r="U90" s="108" t="n">
        <v>12744</v>
      </c>
      <c r="V90" s="108" t="n">
        <v>92</v>
      </c>
      <c r="W90" s="113">
        <f>IF(AND(ISNUMBER(N90),ISNUMBER(V90)),N90*V90*52/12,"")</f>
        <v/>
      </c>
      <c r="X90" s="114" t="n">
        <v>4.2</v>
      </c>
      <c r="Y90" s="108" t="n">
        <v>1630</v>
      </c>
      <c r="Z90" s="115" t="n">
        <v>46307</v>
      </c>
      <c r="AA90" s="115" t="n"/>
      <c r="AB90" s="105" t="n"/>
      <c r="AC90" s="105" t="n"/>
      <c r="AD90" s="108" t="n">
        <v>15537</v>
      </c>
      <c r="AE90" s="108" t="n">
        <v>438</v>
      </c>
      <c r="AF90" s="116" t="n">
        <v>0.770486258608483</v>
      </c>
      <c r="AG90" s="116" t="n">
        <v>0.229513741391517</v>
      </c>
      <c r="AH90" s="39" t="inlineStr">
        <is>
          <t>curved pillow case</t>
        </is>
      </c>
      <c r="AI90" s="116" t="n">
        <v>0.7482783034047757</v>
      </c>
      <c r="AJ90" s="116" t="n">
        <v>0.4866447834202227</v>
      </c>
      <c r="AK90" s="116" t="n">
        <v>0.2338289245027998</v>
      </c>
      <c r="AL90" s="116" t="n">
        <v>0.3666087404260797</v>
      </c>
      <c r="AM90" s="108" t="n"/>
      <c r="AN90" s="108" t="n"/>
      <c r="AO90" s="108" t="n"/>
      <c r="AP90" s="108" t="n"/>
      <c r="AQ90" s="108" t="n"/>
      <c r="AR90" s="108" t="n"/>
      <c r="AS90" s="117" t="n">
        <v>0.8564593301435407</v>
      </c>
      <c r="AT90" s="112" t="n">
        <v>-0.2191358024691358</v>
      </c>
      <c r="AU90" s="118" t="inlineStr">
        <is>
          <t>N</t>
        </is>
      </c>
      <c r="AV90" s="118" t="inlineStr">
        <is>
          <t>none</t>
        </is>
      </c>
      <c r="AW90" s="124" t="n"/>
      <c r="AX90" s="119" t="n">
        <v>17.99</v>
      </c>
      <c r="AY90" s="118" t="inlineStr">
        <is>
          <t>none</t>
        </is>
      </c>
      <c r="AZ90" s="118" t="inlineStr">
        <is>
          <t>Y</t>
        </is>
      </c>
      <c r="BA90" s="118" t="inlineStr">
        <is>
          <t>2026-10-13 23:36:15</t>
        </is>
      </c>
      <c r="BB90" s="120" t="inlineStr">
        <is>
          <t>Prime Exclusive Discount</t>
        </is>
      </c>
      <c r="BC90" s="120" t="inlineStr">
        <is>
          <t>11-26 to 12-01</t>
        </is>
      </c>
      <c r="BD90" s="121" t="n">
        <v>18.99</v>
      </c>
      <c r="BE90" s="121" t="n">
        <v>15.19</v>
      </c>
      <c r="BF90" s="110">
        <f>IF(AND(ISNUMBER(BD90),ISNUMBER(BE90),N(BD90)&gt;0),1-BE90/BD90,"")</f>
        <v/>
      </c>
      <c r="BG90" s="122" t="n">
        <v>14286</v>
      </c>
      <c r="BH90" s="122" t="n">
        <v>13324</v>
      </c>
      <c r="BI90" s="123">
        <f>IF(AND(ISNUMBER(BG90),ISNUMBER(BH90),N(BH90)&gt;0),BG90/BH90,"")</f>
        <v/>
      </c>
      <c r="BJ90" s="120" t="inlineStr">
        <is>
          <t>N</t>
        </is>
      </c>
      <c r="BK90" s="120" t="inlineStr">
        <is>
          <t>List Price $22.99</t>
        </is>
      </c>
    </row>
    <row r="91" ht="62" customHeight="1">
      <c r="A91" s="12">
        <f>_xlfn.IMAGE("https://m.media-amazon.com/images/I/71e77kXyKrL._AC_SL1500_.jpg")</f>
        <v/>
      </c>
      <c r="B91" s="105" t="inlineStr">
        <is>
          <t>Shunjie.Home</t>
        </is>
      </c>
      <c r="C91" s="39" t="inlineStr">
        <is>
          <t>2 Pack Cooling Pillowcases for Hot Sleepers &amp; Night Sweats, 400 TC Bamboo Viscos</t>
        </is>
      </c>
      <c r="D91" s="105" t="inlineStr">
        <is>
          <t>Untiered</t>
        </is>
      </c>
      <c r="E91" s="106" t="inlineStr">
        <is>
          <t>Direct</t>
        </is>
      </c>
      <c r="F91" s="105" t="inlineStr">
        <is>
          <t>Bamboo viscose</t>
        </is>
      </c>
      <c r="G91" s="39" t="inlineStr">
        <is>
          <t>Same product (pillowcase) in the same material family: Bamboo viscose (product page material: Viscose Derived from Bamboo); ours: our listing: viscose from bamboo.</t>
        </is>
      </c>
      <c r="H91" s="107" t="inlineStr">
        <is>
          <t>B0CZFCD9CJ</t>
        </is>
      </c>
      <c r="I91" s="107" t="inlineStr">
        <is>
          <t>B0C2BNK3JD</t>
        </is>
      </c>
      <c r="J91" s="105" t="inlineStr">
        <is>
          <t>2Pack - Queen</t>
        </is>
      </c>
      <c r="K91" s="105" t="inlineStr">
        <is>
          <t>Beige</t>
        </is>
      </c>
      <c r="L91" s="108" t="n"/>
      <c r="M91" s="39" t="inlineStr"/>
      <c r="N91" s="109" t="n">
        <v>13.99</v>
      </c>
      <c r="O91" s="109" t="n"/>
      <c r="P91" s="110">
        <f>IF(AND(ISNUMBER(O91),ISNUMBER(N91),N(N91)&gt;0),O91/N91-1,"")</f>
        <v/>
      </c>
      <c r="Q91" s="111">
        <f>IF(P91="","No List Price",IF(P91&lt;=0,"At/below price",IF(P91&lt;=0.12,"&lt;=12% STR zone",IF(P91&lt;=0.25,"12-25%","&gt;25% over"))))</f>
        <v/>
      </c>
      <c r="R91" s="109" t="n"/>
      <c r="S91" s="112">
        <f>IF(AND(ISNUMBER(N91),ISNUMBER(R91),N(R91)&gt;0),N91/R91-1,"")</f>
        <v/>
      </c>
      <c r="T91" s="39" t="inlineStr">
        <is>
          <t>No price for us</t>
        </is>
      </c>
      <c r="U91" s="108" t="n">
        <v>50401</v>
      </c>
      <c r="V91" s="108" t="n">
        <v>5</v>
      </c>
      <c r="W91" s="113">
        <f>IF(AND(ISNUMBER(N91),ISNUMBER(V91)),N91*V91*52/12,"")</f>
        <v/>
      </c>
      <c r="X91" s="114" t="n">
        <v>4.5</v>
      </c>
      <c r="Y91" s="108" t="n">
        <v>622</v>
      </c>
      <c r="Z91" s="115" t="n">
        <v>46307</v>
      </c>
      <c r="AA91" s="115" t="n"/>
      <c r="AB91" s="105" t="n"/>
      <c r="AC91" s="105" t="n"/>
      <c r="AD91" s="108" t="n"/>
      <c r="AE91" s="108" t="n"/>
      <c r="AF91" s="116" t="n"/>
      <c r="AG91" s="116" t="n"/>
      <c r="AH91" s="39" t="n"/>
      <c r="AI91" s="116" t="n"/>
      <c r="AJ91" s="116" t="n"/>
      <c r="AK91" s="116" t="n"/>
      <c r="AL91" s="116" t="n"/>
      <c r="AM91" s="108" t="n"/>
      <c r="AN91" s="108" t="n"/>
      <c r="AO91" s="108" t="n"/>
      <c r="AP91" s="108" t="n"/>
      <c r="AQ91" s="108" t="n"/>
      <c r="AR91" s="108" t="n"/>
      <c r="AS91" s="117" t="n"/>
      <c r="AT91" s="112" t="n"/>
      <c r="AU91" s="118" t="inlineStr">
        <is>
          <t>N</t>
        </is>
      </c>
      <c r="AV91" s="118" t="inlineStr">
        <is>
          <t>none</t>
        </is>
      </c>
      <c r="AW91" s="124" t="n"/>
      <c r="AX91" s="119" t="n">
        <v>13.99</v>
      </c>
      <c r="AY91" s="118" t="inlineStr">
        <is>
          <t>none</t>
        </is>
      </c>
      <c r="AZ91" s="118" t="inlineStr">
        <is>
          <t>Y</t>
        </is>
      </c>
      <c r="BA91" s="118" t="inlineStr">
        <is>
          <t>2026-10-13 23:36:55</t>
        </is>
      </c>
      <c r="BB91" s="120" t="inlineStr">
        <is>
          <t>Prime Exclusive Discount</t>
        </is>
      </c>
      <c r="BC91" s="120" t="inlineStr">
        <is>
          <t>11-22 to 11-26</t>
        </is>
      </c>
      <c r="BD91" s="121" t="n">
        <v>13.99</v>
      </c>
      <c r="BE91" s="121" t="n">
        <v>10.63</v>
      </c>
      <c r="BF91" s="110">
        <f>IF(AND(ISNUMBER(BD91),ISNUMBER(BE91),N(BD91)&gt;0),1-BE91/BD91,"")</f>
        <v/>
      </c>
      <c r="BG91" s="122" t="n">
        <v>54472</v>
      </c>
      <c r="BH91" s="122" t="n">
        <v>59520</v>
      </c>
      <c r="BI91" s="123">
        <f>IF(AND(ISNUMBER(BG91),ISNUMBER(BH91),N(BH91)&gt;0),BG91/BH91,"")</f>
        <v/>
      </c>
      <c r="BJ91" s="120" t="inlineStr">
        <is>
          <t>N</t>
        </is>
      </c>
      <c r="BK91" s="120" t="inlineStr">
        <is>
          <t>List Price $13.99</t>
        </is>
      </c>
    </row>
    <row r="92"/>
    <row r="93" ht="22" customHeight="1">
      <c r="A93" s="65" t="inlineStr">
        <is>
          <t>5 ▼</t>
        </is>
      </c>
      <c r="B93" s="66" t="inlineStr">
        <is>
          <t>WHAT THIS MEANS FOR BFCM</t>
        </is>
      </c>
      <c r="C93" s="67" t="n"/>
      <c r="D93" s="67" t="n"/>
      <c r="E93" s="67" t="n"/>
      <c r="F93" s="67" t="n"/>
      <c r="G93" s="67" t="n"/>
      <c r="H93" s="67" t="n"/>
      <c r="I93" s="67" t="n"/>
      <c r="J93" s="67" t="n"/>
      <c r="K93" s="67" t="n"/>
      <c r="L93" s="67" t="n"/>
      <c r="M93" s="67" t="n"/>
      <c r="N93" s="67" t="n"/>
      <c r="O93" s="67" t="n"/>
      <c r="P93" s="67" t="n"/>
      <c r="Q93" s="67" t="n"/>
      <c r="R93" s="67" t="n"/>
      <c r="S93" s="67" t="n"/>
      <c r="T93" s="67" t="n"/>
      <c r="U93" s="67" t="n"/>
      <c r="V93" s="67" t="n"/>
      <c r="W93" s="67" t="n"/>
      <c r="X93" s="67" t="n"/>
      <c r="Y93" s="67" t="n"/>
      <c r="Z93" s="67" t="n"/>
      <c r="AA93" s="67" t="n"/>
      <c r="AB93" s="67" t="n"/>
      <c r="AC93" s="67" t="n"/>
      <c r="AD93" s="67" t="n"/>
      <c r="AE93" s="67" t="n"/>
      <c r="AF93" s="67" t="n"/>
      <c r="AG93" s="67" t="n"/>
      <c r="AH93" s="67" t="n"/>
      <c r="AI93" s="67" t="n"/>
      <c r="AJ93" s="67" t="n"/>
      <c r="AK93" s="67" t="n"/>
      <c r="AL93" s="67" t="n"/>
      <c r="AM93" s="67" t="n"/>
      <c r="AN93" s="67" t="n"/>
      <c r="AO93" s="67" t="n"/>
      <c r="AP93" s="67" t="n"/>
      <c r="AQ93" s="67" t="n"/>
      <c r="AR93" s="67" t="n"/>
      <c r="AS93" s="67" t="n"/>
      <c r="AT93" s="67" t="n"/>
      <c r="AU93" s="67" t="n"/>
      <c r="AV93" s="67" t="n"/>
      <c r="AW93" s="67" t="n"/>
      <c r="AX93" s="67" t="n"/>
      <c r="AY93" s="67" t="n"/>
      <c r="AZ93" s="67" t="n"/>
      <c r="BA93" s="67" t="n"/>
      <c r="BB93" s="67" t="n"/>
      <c r="BC93" s="67" t="n"/>
      <c r="BD93" s="67" t="n"/>
      <c r="BE93" s="67" t="n"/>
      <c r="BF93" s="67" t="n"/>
      <c r="BG93" s="67" t="n"/>
      <c r="BH93" s="67" t="n"/>
      <c r="BI93" s="67" t="n"/>
      <c r="BJ93" s="67" t="n"/>
      <c r="BK93" s="67" t="n"/>
    </row>
    <row r="94" ht="30" customHeight="1">
      <c r="A94" s="129" t="inlineStr">
        <is>
          <t>• Who sells most: Bedsure ~1,040/wk at $12.99 (List $17.49, +35%); BEDELITE ~924/wk at $8.49; WISHSMILE ~809/wk at $12.99; Bedsure ~347/wk at $14.99 (List $23.15, +54%); ELIBABA ~92/wk at $17.99. Tracked rivals ~3,217 units/wk; we sell ~0/wk (0.0% of the tracked set).</t>
        </is>
      </c>
    </row>
    <row r="95" ht="18" customHeight="1">
      <c r="A95" s="129" t="inlineStr">
        <is>
          <t>• Strikethrough: 2 of 6 rivals set a List Price above price; 0 within 12%.</t>
        </is>
      </c>
    </row>
    <row r="96" ht="18" customHeight="1">
      <c r="A96" s="129" t="inlineStr">
        <is>
          <t>• Price: 0 of 6 rivals sit below our price today (same size where the title states one). Cheapest strong rivals:.</t>
        </is>
      </c>
    </row>
    <row r="97" ht="30" customHeight="1">
      <c r="A97" s="129" t="inlineStr">
        <is>
          <t>• Strikethrough on the page today (Oct 13 check): 3 of 6 checked rivals show one: Bedsure List Price $17.49 vs $12.99 (+35%), BEDELITE List Price $9.99 vs $8.49 (+18%), Bedsure List Price $23.15 vs $14.99 (+54%) with deal.</t>
        </is>
      </c>
    </row>
    <row r="98" ht="30" customHeight="1">
      <c r="A98" s="129" t="inlineStr">
        <is>
          <t>• BFCM 2025, 6 rivals with price history history: Prime Exclusive Discount 5, Price cut only 1. Median depth vs their Nov 1-19 price 13%; median BSR lift 0.88x. 3 raised their Buy Box in BFCM week, so their deal looked deeper than it was.</t>
        </is>
      </c>
    </row>
  </sheetData>
  <autoFilter ref="B85:BK91"/>
  <mergeCells count="54">
    <mergeCell ref="A75:C75"/>
    <mergeCell ref="BB84:BK84"/>
    <mergeCell ref="L5:Q5"/>
    <mergeCell ref="N84:Z84"/>
    <mergeCell ref="A74:C74"/>
    <mergeCell ref="A98:BK98"/>
    <mergeCell ref="Q11:T11"/>
    <mergeCell ref="A94:BK94"/>
    <mergeCell ref="L8:Q8"/>
    <mergeCell ref="A79:BK79"/>
    <mergeCell ref="L4:Q4"/>
    <mergeCell ref="D7:I7"/>
    <mergeCell ref="A13:D13"/>
    <mergeCell ref="I13:L13"/>
    <mergeCell ref="A76:C76"/>
    <mergeCell ref="A78:BK78"/>
    <mergeCell ref="D4:I4"/>
    <mergeCell ref="L10:Q10"/>
    <mergeCell ref="E12:H12"/>
    <mergeCell ref="Q13:T13"/>
    <mergeCell ref="AA84:AC84"/>
    <mergeCell ref="D9:I9"/>
    <mergeCell ref="U12:X12"/>
    <mergeCell ref="L9:Q9"/>
    <mergeCell ref="Q12:T12"/>
    <mergeCell ref="A84:K84"/>
    <mergeCell ref="A11:D11"/>
    <mergeCell ref="I11:L11"/>
    <mergeCell ref="D8:I8"/>
    <mergeCell ref="L6:Q6"/>
    <mergeCell ref="A4:B9"/>
    <mergeCell ref="AD84:AT84"/>
    <mergeCell ref="T6:Y6"/>
    <mergeCell ref="A95:BK95"/>
    <mergeCell ref="D5:I5"/>
    <mergeCell ref="M11:P11"/>
    <mergeCell ref="U11:X11"/>
    <mergeCell ref="A77:C77"/>
    <mergeCell ref="A97:BK97"/>
    <mergeCell ref="E13:H13"/>
    <mergeCell ref="AU84:BA84"/>
    <mergeCell ref="D10:I10"/>
    <mergeCell ref="L7:Q7"/>
    <mergeCell ref="T5:Y5"/>
    <mergeCell ref="A96:BK96"/>
    <mergeCell ref="J2:BK2"/>
    <mergeCell ref="A12:D12"/>
    <mergeCell ref="M13:P13"/>
    <mergeCell ref="I12:L12"/>
    <mergeCell ref="U13:X13"/>
    <mergeCell ref="M12:P12"/>
    <mergeCell ref="T4:Y4"/>
    <mergeCell ref="D6:I6"/>
    <mergeCell ref="E11:H11"/>
  </mergeCells>
  <conditionalFormatting sqref="Q86:Q91">
    <cfRule type="expression" priority="1" dxfId="1">
      <formula>Q86="&lt;=12% STR zone"</formula>
    </cfRule>
  </conditionalFormatting>
  <conditionalFormatting sqref="Z86:Z91">
    <cfRule type="expression" priority="2" dxfId="0">
      <formula>AND(ISNUMBER(Z86),Z86&lt;DATE(2026,10,6))</formula>
    </cfRule>
  </conditionalFormatting>
  <conditionalFormatting sqref="T86:T91">
    <cfRule type="expression" priority="3" dxfId="0">
      <formula>ISNUMBER(SEARCH("STALE",T86))</formula>
    </cfRule>
  </conditionalFormatting>
  <conditionalFormatting sqref="S86:S91">
    <cfRule type="expression" priority="4" dxfId="0">
      <formula>AND(ISNUMBER(S86),S86&lt;0)</formula>
    </cfRule>
  </conditionalFormatting>
  <dataValidations count="3">
    <dataValidation sqref="AU86:AU91 BJ86:BJ91" showDropDown="0" showInputMessage="0" showErrorMessage="0" allowBlank="1" type="list">
      <formula1>"Y,N"</formula1>
    </dataValidation>
    <dataValidation sqref="AV86:AV91" showDropDown="0" showInputMessage="0" showErrorMessage="0" allowBlank="1" type="list">
      <formula1>"List Price,Typical price,Was price,None"</formula1>
    </dataValidation>
    <dataValidation sqref="BB86:BB91"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Bamboo Pillowcase'!A3" display="1 Our product ↓"/>
    <hyperlink ref="D2" location="'US SL Bamboo Pillowcase'!A15" display="2 Our variations ↓"/>
    <hyperlink ref="E2" location="'US SL Bamboo Pillowcase'!A73" display="3 Our BFCM 2025 ↓"/>
    <hyperlink ref="F2" location="'US SL Bamboo Pillowcase'!A82" display="4 COMPETITORS (6 mapped) ↓"/>
    <hyperlink ref="G2" location="'US SL Bamboo Pillowcase'!A93" display="5 What it means ↓"/>
    <hyperlink xmlns:r="http://schemas.openxmlformats.org/officeDocument/2006/relationships" ref="H86" r:id="rId1"/>
    <hyperlink xmlns:r="http://schemas.openxmlformats.org/officeDocument/2006/relationships" ref="I86" r:id="rId2"/>
    <hyperlink xmlns:r="http://schemas.openxmlformats.org/officeDocument/2006/relationships" ref="H87" r:id="rId3"/>
    <hyperlink xmlns:r="http://schemas.openxmlformats.org/officeDocument/2006/relationships" ref="I87" r:id="rId4"/>
    <hyperlink xmlns:r="http://schemas.openxmlformats.org/officeDocument/2006/relationships" ref="H88" r:id="rId5"/>
    <hyperlink xmlns:r="http://schemas.openxmlformats.org/officeDocument/2006/relationships" ref="I88" r:id="rId6"/>
    <hyperlink xmlns:r="http://schemas.openxmlformats.org/officeDocument/2006/relationships" ref="H89" r:id="rId7"/>
    <hyperlink xmlns:r="http://schemas.openxmlformats.org/officeDocument/2006/relationships" ref="I89" r:id="rId8"/>
    <hyperlink xmlns:r="http://schemas.openxmlformats.org/officeDocument/2006/relationships" ref="H90" r:id="rId9"/>
    <hyperlink xmlns:r="http://schemas.openxmlformats.org/officeDocument/2006/relationships" ref="I90" r:id="rId10"/>
    <hyperlink xmlns:r="http://schemas.openxmlformats.org/officeDocument/2006/relationships" ref="H91" r:id="rId11"/>
    <hyperlink xmlns:r="http://schemas.openxmlformats.org/officeDocument/2006/relationships" ref="I91" r:id="rId12"/>
  </hyperlinks>
  <pageMargins left="0.75" right="0.75" top="1" bottom="1" header="0.5" footer="0.5"/>
  <drawing xmlns:r="http://schemas.openxmlformats.org/officeDocument/2006/relationships" r:id="rId13"/>
  <legacyDrawing xmlns:r="http://schemas.openxmlformats.org/officeDocument/2006/relationships" r:id="anysvml"/>
</worksheet>
</file>

<file path=xl/worksheets/sheet12.xml><?xml version="1.0" encoding="utf-8"?>
<worksheet xmlns="http://schemas.openxmlformats.org/spreadsheetml/2006/main">
  <sheetPr>
    <tabColor rgb="009DC3E6"/>
    <outlinePr summaryBelow="1" summaryRight="1"/>
    <pageSetUpPr/>
  </sheetPr>
  <dimension ref="A1:BK199"/>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Satin Sheets 4 Piece · Amazon.com (US)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(26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_xlfn.IMAGE("https://m.media-amazon.com/images/I/81s3ROxMWEL._AC_SL1500_.jpg")</f>
        <v/>
      </c>
      <c r="C4" s="13" t="inlineStr">
        <is>
          <t>Title</t>
        </is>
      </c>
      <c r="D4" s="14" t="inlineStr">
        <is>
          <t>DECOLURE Satin Sheets Queen Size | Softer Than Silk | Luxury 4 Pc Bed Set</t>
        </is>
      </c>
      <c r="K4" s="13" t="inlineStr">
        <is>
          <t>Sizes</t>
        </is>
      </c>
      <c r="L4" s="68" t="inlineStr">
        <is>
          <t>Full, King, Queen, Twin</t>
        </is>
      </c>
      <c r="S4" s="13" t="inlineStr">
        <is>
          <t>Break-even ACoS</t>
        </is>
      </c>
      <c r="T4" s="68" t="inlineStr">
        <is>
          <t>34%</t>
        </is>
      </c>
    </row>
    <row r="5" ht="22" customHeight="1">
      <c r="C5" s="13" t="inlineStr">
        <is>
          <t>Brand</t>
        </is>
      </c>
      <c r="D5" s="68" t="inlineStr">
        <is>
          <t>Decolure</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c r="S5" s="13" t="inlineStr">
        <is>
          <t>Units last 28 days</t>
        </is>
      </c>
      <c r="T5" s="68" t="inlineStr">
        <is>
          <t>2,620</t>
        </is>
      </c>
    </row>
    <row r="6" ht="22" customHeight="1">
      <c r="C6" s="13" t="inlineStr">
        <is>
          <t>Marketplace</t>
        </is>
      </c>
      <c r="D6" s="68" t="inlineStr">
        <is>
          <t>Amazon.com (US)</t>
        </is>
      </c>
      <c r="K6" s="13" t="inlineStr">
        <is>
          <t>Price now, best child</t>
        </is>
      </c>
      <c r="L6" s="68" t="inlineStr">
        <is>
          <t>$29.95 (catalog price, 2026-10-13)</t>
        </is>
      </c>
      <c r="S6" s="13" t="inlineStr">
        <is>
          <t>market data product ASIN</t>
        </is>
      </c>
      <c r="T6" s="68" t="inlineStr">
        <is>
          <t>B0CQRY9WLD (one of our child ASINs, not the Amazon parent)</t>
        </is>
      </c>
    </row>
    <row r="7" ht="22" customHeight="1">
      <c r="C7" s="13" t="inlineStr">
        <is>
          <t>Parent ASIN (Amazon)</t>
        </is>
      </c>
      <c r="D7" s="68" t="inlineStr">
        <is>
          <t>B0H631FLT8</t>
        </is>
      </c>
      <c r="K7" s="13" t="inlineStr">
        <is>
          <t>Rating / reviews now</t>
        </is>
      </c>
      <c r="L7" s="68" t="inlineStr">
        <is>
          <t>4.4 / 18,632 (catalog price, 2026-10-13)</t>
        </is>
      </c>
    </row>
    <row r="8" ht="22" customHeight="1">
      <c r="C8" s="13" t="inlineStr">
        <is>
          <t>Best-selling child ASIN</t>
        </is>
      </c>
      <c r="D8" s="68" t="inlineStr">
        <is>
          <t>B0839MKJMV</t>
        </is>
      </c>
      <c r="K8" s="13" t="inlineStr">
        <is>
          <t>Live prices held</t>
        </is>
      </c>
      <c r="L8" s="68" t="inlineStr">
        <is>
          <t>98 of 118 variations</t>
        </is>
      </c>
    </row>
    <row r="9" ht="22" customHeight="1">
      <c r="C9" s="13" t="inlineStr">
        <is>
          <t>Stage</t>
        </is>
      </c>
      <c r="D9" s="68" t="inlineStr">
        <is>
          <t>Maintenance</t>
        </is>
      </c>
      <c r="K9" s="13" t="inlineStr">
        <is>
          <t>Blended price (market data)</t>
        </is>
      </c>
      <c r="L9" s="68" t="inlineStr">
        <is>
          <t>$32.04 - fee feed as of 2026-03-30, STALE</t>
        </is>
      </c>
    </row>
    <row r="10">
      <c r="C10" s="13" t="inlineStr">
        <is>
          <t>Total variations (SKUs)</t>
        </is>
      </c>
      <c r="D10" s="68" t="n">
        <v>118</v>
      </c>
      <c r="K10" s="13" t="inlineStr">
        <is>
          <t>Contribution / unit</t>
        </is>
      </c>
      <c r="L10" s="68" t="inlineStr">
        <is>
          <t>$10.82</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2.64x</t>
        </is>
      </c>
      <c r="E12" s="70" t="inlineStr">
        <is>
          <t>4.9%</t>
        </is>
      </c>
      <c r="I12" s="70" t="inlineStr">
        <is>
          <t>1.93x</t>
        </is>
      </c>
      <c r="M12" s="70" t="inlineStr">
        <is>
          <t>26</t>
        </is>
      </c>
      <c r="Q12" s="70" t="inlineStr">
        <is>
          <t>26</t>
        </is>
      </c>
      <c r="U12" s="70" t="inlineStr">
        <is>
          <t>1</t>
        </is>
      </c>
    </row>
    <row r="13">
      <c r="A13" s="71" t="inlineStr">
        <is>
          <t>daily sales, BFCM wk vs 30 days before (account data actual)</t>
        </is>
      </c>
      <c r="E13" s="71" t="inlineStr">
        <is>
          <t>vs 10.4%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(118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_xlfn.IMAGE("https://m.media-amazon.com/images/I/81s3ROxMWEL.jpg")</f>
        <v/>
      </c>
      <c r="B18" s="39" t="inlineStr">
        <is>
          <t>B0839MKJMV</t>
        </is>
      </c>
      <c r="C18" s="39" t="inlineStr">
        <is>
          <t>SATIN-QUEEN-BLACK</t>
        </is>
      </c>
      <c r="D18" s="39" t="inlineStr">
        <is>
          <t>DECOLURE Satin Sheets Queen Size | Softer Than Silk | Luxury 4 Pc Bed Set</t>
        </is>
      </c>
      <c r="E18" s="39" t="inlineStr">
        <is>
          <t>Queen</t>
        </is>
      </c>
      <c r="F18" s="39" t="inlineStr">
        <is>
          <t>Black</t>
        </is>
      </c>
      <c r="G18" s="73" t="n">
        <v>29.95</v>
      </c>
      <c r="H18" s="39" t="inlineStr">
        <is>
          <t>catalog price, 2026-10-13</t>
        </is>
      </c>
      <c r="I18" s="74" t="n">
        <v>29.95</v>
      </c>
      <c r="J18" s="75" t="inlineStr">
        <is>
          <t>2026-03-30</t>
        </is>
      </c>
      <c r="K18" s="40" t="n">
        <v>9.350000000000001</v>
      </c>
      <c r="L18" s="76" t="n">
        <v>0.312186978297162</v>
      </c>
      <c r="M18" s="77" t="n">
        <v>438</v>
      </c>
      <c r="N18" s="39" t="inlineStr">
        <is>
          <t>Active</t>
        </is>
      </c>
      <c r="O18" s="39" t="inlineStr">
        <is>
          <t>Yes (42%)</t>
        </is>
      </c>
      <c r="P18" s="78" t="n">
        <v>4.4</v>
      </c>
      <c r="Q18" s="77" t="n">
        <v>18632</v>
      </c>
      <c r="R18" s="77" t="n">
        <v>10009</v>
      </c>
      <c r="S18" s="77" t="n">
        <v>529</v>
      </c>
      <c r="T18" s="39" t="n"/>
    </row>
    <row r="19" ht="62" customHeight="1">
      <c r="A19" s="12">
        <f>_xlfn.IMAGE("https://m.media-amazon.com/images/I/81s3ROxMWEL.jpg")</f>
        <v/>
      </c>
      <c r="B19" s="39" t="inlineStr">
        <is>
          <t>B0839LCXBP</t>
        </is>
      </c>
      <c r="C19" s="39" t="inlineStr">
        <is>
          <t>SATIN-FULL-BLACK</t>
        </is>
      </c>
      <c r="D19" s="39" t="inlineStr">
        <is>
          <t>DECOLURE Satin Sheets Full Size | Softer Than Silk | Luxury 4 Pc Bed Set</t>
        </is>
      </c>
      <c r="E19" s="39" t="inlineStr">
        <is>
          <t>Full</t>
        </is>
      </c>
      <c r="F19" s="39" t="inlineStr">
        <is>
          <t>Black</t>
        </is>
      </c>
      <c r="G19" s="73" t="n">
        <v>29.95</v>
      </c>
      <c r="H19" s="39" t="inlineStr">
        <is>
          <t>catalog price, 2026-10-13</t>
        </is>
      </c>
      <c r="I19" s="74" t="n">
        <v>29.95</v>
      </c>
      <c r="J19" s="75" t="inlineStr">
        <is>
          <t>2026-03-30</t>
        </is>
      </c>
      <c r="K19" s="40" t="n">
        <v>10.81</v>
      </c>
      <c r="L19" s="76" t="n">
        <v>0.3609348914858097</v>
      </c>
      <c r="M19" s="77" t="n">
        <v>220</v>
      </c>
      <c r="N19" s="39" t="inlineStr">
        <is>
          <t>Active</t>
        </is>
      </c>
      <c r="O19" s="39" t="inlineStr">
        <is>
          <t>Yes (19%)</t>
        </is>
      </c>
      <c r="P19" s="78" t="n">
        <v>4.4</v>
      </c>
      <c r="Q19" s="77" t="n">
        <v>18632</v>
      </c>
      <c r="R19" s="77" t="n">
        <v>10009</v>
      </c>
      <c r="S19" s="77" t="n">
        <v>182</v>
      </c>
      <c r="T19" s="39" t="n"/>
    </row>
    <row r="20" ht="62" customHeight="1">
      <c r="A20" s="12">
        <f>_xlfn.IMAGE("https://m.media-amazon.com/images/I/81s3ROxMWEL.jpg")</f>
        <v/>
      </c>
      <c r="B20" s="39" t="inlineStr">
        <is>
          <t>B0839LD2WQ</t>
        </is>
      </c>
      <c r="C20" s="39" t="inlineStr">
        <is>
          <t>SATIN-KING-BLACK</t>
        </is>
      </c>
      <c r="D20" s="39" t="inlineStr">
        <is>
          <t>DECOLURE Satin Sheets King Size | Softer Than Silk | Luxury 4 Pc Bed Set</t>
        </is>
      </c>
      <c r="E20" s="39" t="inlineStr">
        <is>
          <t>King</t>
        </is>
      </c>
      <c r="F20" s="39" t="inlineStr">
        <is>
          <t>Black</t>
        </is>
      </c>
      <c r="G20" s="73" t="n">
        <v>33.95</v>
      </c>
      <c r="H20" s="39" t="inlineStr">
        <is>
          <t>catalog price, 2026-10-13</t>
        </is>
      </c>
      <c r="I20" s="74" t="n">
        <v>33.95</v>
      </c>
      <c r="J20" s="75" t="inlineStr">
        <is>
          <t>2026-03-30</t>
        </is>
      </c>
      <c r="K20" s="40" t="n">
        <v>10.95</v>
      </c>
      <c r="L20" s="76" t="n">
        <v>0.3225331369661267</v>
      </c>
      <c r="M20" s="77" t="n">
        <v>159</v>
      </c>
      <c r="N20" s="39" t="inlineStr">
        <is>
          <t>Active</t>
        </is>
      </c>
      <c r="O20" s="39" t="inlineStr">
        <is>
          <t>Yes (4%)</t>
        </is>
      </c>
      <c r="P20" s="78" t="n">
        <v>4.4</v>
      </c>
      <c r="Q20" s="77" t="n">
        <v>18632</v>
      </c>
      <c r="R20" s="77" t="n">
        <v>10009</v>
      </c>
      <c r="S20" s="77" t="n">
        <v>79</v>
      </c>
      <c r="T20" s="39" t="n"/>
    </row>
    <row r="21" ht="62" customHeight="1">
      <c r="A21" s="12">
        <f>_xlfn.IMAGE("https://m.media-amazon.com/images/I/81RxsA0xn7L.jpg")</f>
        <v/>
      </c>
      <c r="B21" s="39" t="inlineStr">
        <is>
          <t>B0839LQK8K</t>
        </is>
      </c>
      <c r="C21" s="39" t="inlineStr">
        <is>
          <t>SATIN-QUEEN-GREY</t>
        </is>
      </c>
      <c r="D21" s="39" t="inlineStr">
        <is>
          <t>DECOLURE Satin Sheets Queen Size | Softer Than Silk | Luxury 4 Pc Bed Set</t>
        </is>
      </c>
      <c r="E21" s="39" t="inlineStr">
        <is>
          <t>Queen</t>
        </is>
      </c>
      <c r="F21" s="39" t="inlineStr">
        <is>
          <t>Grey</t>
        </is>
      </c>
      <c r="G21" s="73" t="n">
        <v>29.95</v>
      </c>
      <c r="H21" s="39" t="inlineStr">
        <is>
          <t>catalog price, 2026-10-13</t>
        </is>
      </c>
      <c r="I21" s="74" t="n">
        <v>29.95</v>
      </c>
      <c r="J21" s="75" t="inlineStr">
        <is>
          <t>2026-03-30</t>
        </is>
      </c>
      <c r="K21" s="40" t="n">
        <v>8.890000000000001</v>
      </c>
      <c r="L21" s="76" t="n">
        <v>0.2968280467445743</v>
      </c>
      <c r="M21" s="77" t="n">
        <v>96</v>
      </c>
      <c r="N21" s="39" t="inlineStr">
        <is>
          <t>Active</t>
        </is>
      </c>
      <c r="O21" s="39" t="inlineStr">
        <is>
          <t>Yes (11%)</t>
        </is>
      </c>
      <c r="P21" s="78" t="n">
        <v>4.4</v>
      </c>
      <c r="Q21" s="77" t="n">
        <v>18632</v>
      </c>
      <c r="R21" s="77" t="n">
        <v>10006</v>
      </c>
      <c r="S21" s="77" t="n">
        <v>97</v>
      </c>
      <c r="T21" s="39" t="n"/>
    </row>
    <row r="22" ht="62" customHeight="1">
      <c r="A22" s="12">
        <f>_xlfn.IMAGE("https://m.media-amazon.com/images/I/81RxsA0xn7L.jpg")</f>
        <v/>
      </c>
      <c r="B22" s="39" t="inlineStr">
        <is>
          <t>B0CV4D38W9</t>
        </is>
      </c>
      <c r="C22" s="39" t="inlineStr">
        <is>
          <t>SATIN-4PC-KING-GREY</t>
        </is>
      </c>
      <c r="D22" s="39" t="inlineStr">
        <is>
          <t>DECOLURE Satin Sheets King Size | Softer Than Silk | Luxury 4 Pc Bed Set</t>
        </is>
      </c>
      <c r="E22" s="39" t="inlineStr">
        <is>
          <t>King</t>
        </is>
      </c>
      <c r="F22" s="39" t="inlineStr">
        <is>
          <t>Grey</t>
        </is>
      </c>
      <c r="G22" s="73" t="n">
        <v>33.95</v>
      </c>
      <c r="H22" s="39" t="inlineStr">
        <is>
          <t>catalog price, 2026-10-13</t>
        </is>
      </c>
      <c r="I22" s="74" t="n">
        <v>33.95</v>
      </c>
      <c r="J22" s="75" t="inlineStr">
        <is>
          <t>2026-03-30</t>
        </is>
      </c>
      <c r="K22" s="40" t="n">
        <v>10.4</v>
      </c>
      <c r="L22" s="76" t="n">
        <v>0.3063328424153167</v>
      </c>
      <c r="M22" s="77" t="n">
        <v>79</v>
      </c>
      <c r="N22" s="39" t="inlineStr">
        <is>
          <t>Active</t>
        </is>
      </c>
      <c r="O22" s="39" t="n"/>
      <c r="P22" s="78" t="n">
        <v>4.4</v>
      </c>
      <c r="Q22" s="77" t="n">
        <v>18632</v>
      </c>
      <c r="R22" s="77" t="n">
        <v>10009</v>
      </c>
      <c r="S22" s="77" t="n">
        <v>89</v>
      </c>
      <c r="T22" s="39" t="n"/>
    </row>
    <row r="23" ht="62" customHeight="1">
      <c r="A23" s="12">
        <f>_xlfn.IMAGE("https://m.media-amazon.com/images/I/81gmHuZbW4L.jpg")</f>
        <v/>
      </c>
      <c r="B23" s="39" t="inlineStr">
        <is>
          <t>B08KRXDWNN</t>
        </is>
      </c>
      <c r="C23" s="39" t="inlineStr">
        <is>
          <t>SATIN-WHITE-QUEEN</t>
        </is>
      </c>
      <c r="D23" s="39" t="inlineStr">
        <is>
          <t>DECOLURE Satin Sheets Queen Size | Softer Than Silk | Luxury 4 Pc Bed Set</t>
        </is>
      </c>
      <c r="E23" s="39" t="inlineStr">
        <is>
          <t>Queen</t>
        </is>
      </c>
      <c r="F23" s="39" t="inlineStr">
        <is>
          <t>White</t>
        </is>
      </c>
      <c r="G23" s="73" t="n">
        <v>31.95</v>
      </c>
      <c r="H23" s="39" t="inlineStr">
        <is>
          <t>catalog price, 2026-10-13</t>
        </is>
      </c>
      <c r="I23" s="74" t="n">
        <v>31.95</v>
      </c>
      <c r="J23" s="75" t="inlineStr">
        <is>
          <t>2026-03-30</t>
        </is>
      </c>
      <c r="K23" s="40" t="n">
        <v>10.33</v>
      </c>
      <c r="L23" s="76" t="n">
        <v>0.3233176838810642</v>
      </c>
      <c r="M23" s="77" t="n">
        <v>69</v>
      </c>
      <c r="N23" s="39" t="inlineStr">
        <is>
          <t>Active</t>
        </is>
      </c>
      <c r="O23" s="39" t="inlineStr">
        <is>
          <t>Yes (5%)</t>
        </is>
      </c>
      <c r="P23" s="78" t="n">
        <v>4.4</v>
      </c>
      <c r="Q23" s="77" t="n">
        <v>18632</v>
      </c>
      <c r="R23" s="77" t="n">
        <v>10006</v>
      </c>
      <c r="S23" s="77" t="n">
        <v>80</v>
      </c>
      <c r="T23" s="39" t="n"/>
    </row>
    <row r="24" ht="62" customHeight="1">
      <c r="A24" s="12">
        <f>_xlfn.IMAGE("https://m.media-amazon.com/images/I/81XsKf7Tk0L.jpg")</f>
        <v/>
      </c>
      <c r="B24" s="39" t="inlineStr">
        <is>
          <t>B0DBQVGKTV</t>
        </is>
      </c>
      <c r="C24" s="39" t="inlineStr">
        <is>
          <t>SATIN-4PCS-KING-RED</t>
        </is>
      </c>
      <c r="D24" s="39" t="inlineStr">
        <is>
          <t>DECOLURE Satin Sheets King Size | Softer Than Silk | Luxury 4 Pc Bed Set</t>
        </is>
      </c>
      <c r="E24" s="39" t="inlineStr">
        <is>
          <t>King</t>
        </is>
      </c>
      <c r="F24" s="39" t="inlineStr">
        <is>
          <t>Red</t>
        </is>
      </c>
      <c r="G24" s="73" t="n">
        <v>33.95</v>
      </c>
      <c r="H24" s="39" t="inlineStr">
        <is>
          <t>catalog price, 2026-10-13</t>
        </is>
      </c>
      <c r="I24" s="74" t="n">
        <v>33.95</v>
      </c>
      <c r="J24" s="75" t="inlineStr">
        <is>
          <t>2026-03-30</t>
        </is>
      </c>
      <c r="K24" s="40" t="n">
        <v>11.4</v>
      </c>
      <c r="L24" s="76" t="n">
        <v>0.3357879234167894</v>
      </c>
      <c r="M24" s="77" t="n">
        <v>67</v>
      </c>
      <c r="N24" s="39" t="inlineStr">
        <is>
          <t>Active</t>
        </is>
      </c>
      <c r="O24" s="39" t="n"/>
      <c r="P24" s="78" t="n">
        <v>4.4</v>
      </c>
      <c r="Q24" s="77" t="n">
        <v>18632</v>
      </c>
      <c r="R24" s="77" t="n">
        <v>10006</v>
      </c>
      <c r="S24" s="77" t="n">
        <v>60</v>
      </c>
      <c r="T24" s="39" t="n"/>
    </row>
    <row r="25" ht="62" customHeight="1">
      <c r="A25" s="12">
        <f>_xlfn.IMAGE("https://m.media-amazon.com/images/I/812d7h4NK3L.jpg")</f>
        <v/>
      </c>
      <c r="B25" s="39" t="inlineStr">
        <is>
          <t>B0DD4JMGXN</t>
        </is>
      </c>
      <c r="C25" s="39" t="inlineStr">
        <is>
          <t>SATIN-4PCS-QUEEN-STONE-GREY</t>
        </is>
      </c>
      <c r="D25" s="39" t="inlineStr">
        <is>
          <t>DECOLURE Satin Sheets Queen Size | Softer Than Silk | Luxury 4 Pc Bed Set</t>
        </is>
      </c>
      <c r="E25" s="39" t="inlineStr">
        <is>
          <t>Queen</t>
        </is>
      </c>
      <c r="F25" s="39" t="inlineStr">
        <is>
          <t>Stone Grey</t>
        </is>
      </c>
      <c r="G25" s="73" t="n">
        <v>31.95</v>
      </c>
      <c r="H25" s="39" t="inlineStr">
        <is>
          <t>catalog price, 2026-10-13</t>
        </is>
      </c>
      <c r="I25" s="74" t="n">
        <v>31.95</v>
      </c>
      <c r="J25" s="75" t="inlineStr">
        <is>
          <t>2026-03-30</t>
        </is>
      </c>
      <c r="K25" s="40" t="n">
        <v>10.43</v>
      </c>
      <c r="L25" s="76" t="n">
        <v>0.3264475743348983</v>
      </c>
      <c r="M25" s="77" t="n">
        <v>50</v>
      </c>
      <c r="N25" s="39" t="inlineStr">
        <is>
          <t>Active</t>
        </is>
      </c>
      <c r="O25" s="39" t="n"/>
      <c r="P25" s="78" t="n">
        <v>4.4</v>
      </c>
      <c r="Q25" s="77" t="n">
        <v>18632</v>
      </c>
      <c r="R25" s="77" t="n">
        <v>10009</v>
      </c>
      <c r="S25" s="77" t="n"/>
      <c r="T25" s="39" t="n"/>
    </row>
    <row r="26" ht="62" customHeight="1">
      <c r="A26" s="12">
        <f>_xlfn.IMAGE("https://m.media-amazon.com/images/I/81Yn7rZGUhL.jpg")</f>
        <v/>
      </c>
      <c r="B26" s="39" t="inlineStr">
        <is>
          <t>B0839LKZV9</t>
        </is>
      </c>
      <c r="C26" s="39" t="inlineStr">
        <is>
          <t>SATIN-KING-PURPLE</t>
        </is>
      </c>
      <c r="D26" s="39" t="inlineStr">
        <is>
          <t>DECOLURE Satin Bed Sheets - 4 Piece Luxury Silky King Size Bedding Set - Softer Than Silk, Wrinkle-Free with 15” Deep Pocket Fitted Sheet, Perfect for Hair &amp; Skin, Gifts for Women (Purple)</t>
        </is>
      </c>
      <c r="E26" s="39" t="inlineStr">
        <is>
          <t>King</t>
        </is>
      </c>
      <c r="F26" s="39" t="inlineStr">
        <is>
          <t>Purple</t>
        </is>
      </c>
      <c r="G26" s="73" t="n">
        <v>33.95</v>
      </c>
      <c r="H26" s="39" t="inlineStr">
        <is>
          <t>catalog price, 2026-10-13</t>
        </is>
      </c>
      <c r="I26" s="74" t="n">
        <v>33.95</v>
      </c>
      <c r="J26" s="75" t="inlineStr">
        <is>
          <t>2026-03-30</t>
        </is>
      </c>
      <c r="K26" s="40" t="n">
        <v>11.09</v>
      </c>
      <c r="L26" s="76" t="n">
        <v>0.3266568483063329</v>
      </c>
      <c r="M26" s="77" t="n">
        <v>49</v>
      </c>
      <c r="N26" s="39" t="inlineStr">
        <is>
          <t>Active</t>
        </is>
      </c>
      <c r="O26" s="39" t="n"/>
      <c r="P26" s="78" t="n">
        <v>4.4</v>
      </c>
      <c r="Q26" s="77" t="n">
        <v>18632</v>
      </c>
      <c r="R26" s="77" t="n">
        <v>10006</v>
      </c>
      <c r="S26" s="77" t="n">
        <v>20</v>
      </c>
      <c r="T26" s="39" t="n"/>
    </row>
    <row r="27" ht="62" customHeight="1">
      <c r="A27" s="12">
        <f>_xlfn.IMAGE("https://m.media-amazon.com/images/I/81gmHuZbW4L.jpg")</f>
        <v/>
      </c>
      <c r="B27" s="39" t="inlineStr">
        <is>
          <t>B0CV4CY67M</t>
        </is>
      </c>
      <c r="C27" s="39" t="inlineStr">
        <is>
          <t>SATIN-4PC-WHITE-KING</t>
        </is>
      </c>
      <c r="D27" s="39" t="inlineStr">
        <is>
          <t>DECOLURE Satin Sheets King Size | Softer Than Silk | Luxury 4 Pc Bed Set</t>
        </is>
      </c>
      <c r="E27" s="39" t="inlineStr">
        <is>
          <t>King</t>
        </is>
      </c>
      <c r="F27" s="39" t="inlineStr">
        <is>
          <t>White</t>
        </is>
      </c>
      <c r="G27" s="73" t="n">
        <v>37.99</v>
      </c>
      <c r="H27" s="39" t="inlineStr">
        <is>
          <t>catalog price, 2026-10-13</t>
        </is>
      </c>
      <c r="I27" s="74" t="n">
        <v>33.95</v>
      </c>
      <c r="J27" s="75" t="inlineStr">
        <is>
          <t>2026-03-30</t>
        </is>
      </c>
      <c r="K27" s="40" t="n">
        <v>11</v>
      </c>
      <c r="L27" s="76" t="n">
        <v>0.3240058910162003</v>
      </c>
      <c r="M27" s="77" t="n">
        <v>46</v>
      </c>
      <c r="N27" s="39" t="inlineStr">
        <is>
          <t>Active</t>
        </is>
      </c>
      <c r="O27" s="39" t="n"/>
      <c r="P27" s="78" t="n">
        <v>4.4</v>
      </c>
      <c r="Q27" s="77" t="n">
        <v>18632</v>
      </c>
      <c r="R27" s="77" t="n">
        <v>10009</v>
      </c>
      <c r="S27" s="77" t="n">
        <v>22</v>
      </c>
      <c r="T27" s="39" t="n"/>
    </row>
    <row r="28" ht="62" customHeight="1">
      <c r="A28" s="12">
        <f>_xlfn.IMAGE("https://m.media-amazon.com/images/I/81VtFuMce8L.jpg")</f>
        <v/>
      </c>
      <c r="B28" s="39" t="inlineStr">
        <is>
          <t>B0839L4HWH</t>
        </is>
      </c>
      <c r="C28" s="39" t="inlineStr">
        <is>
          <t>SATIN-QUEEN-BLUE</t>
        </is>
      </c>
      <c r="D28" s="39" t="inlineStr">
        <is>
          <t>DECOLURE Satin Bed Sheets - 4 Piece Luxury Silky Queen Size Bedding Set - Softer Than Silk, Wrinkle-Free with 15” Deep Pocket Fitted Sheet, Perfect for Hair &amp; Skin, Gifts for Women (Blue)</t>
        </is>
      </c>
      <c r="E28" s="39" t="inlineStr">
        <is>
          <t>Queen</t>
        </is>
      </c>
      <c r="F28" s="39" t="inlineStr">
        <is>
          <t>Blue</t>
        </is>
      </c>
      <c r="G28" s="73" t="n">
        <v>34.95</v>
      </c>
      <c r="H28" s="39" t="inlineStr">
        <is>
          <t>catalog price, 2026-10-13</t>
        </is>
      </c>
      <c r="I28" s="74" t="n">
        <v>31.95</v>
      </c>
      <c r="J28" s="75" t="inlineStr">
        <is>
          <t>2026-03-30</t>
        </is>
      </c>
      <c r="K28" s="40" t="n">
        <v>11.51</v>
      </c>
      <c r="L28" s="76" t="n">
        <v>0.3602503912363068</v>
      </c>
      <c r="M28" s="77" t="n">
        <v>45</v>
      </c>
      <c r="N28" s="39" t="inlineStr">
        <is>
          <t>Active</t>
        </is>
      </c>
      <c r="O28" s="39" t="n"/>
      <c r="P28" s="78" t="n">
        <v>4.4</v>
      </c>
      <c r="Q28" s="77" t="n">
        <v>18632</v>
      </c>
      <c r="R28" s="77" t="n">
        <v>10006</v>
      </c>
      <c r="S28" s="77" t="n">
        <v>19</v>
      </c>
      <c r="T28" s="39" t="n"/>
    </row>
    <row r="29" ht="62" customHeight="1">
      <c r="A29" s="12">
        <f>_xlfn.IMAGE("https://m.media-amazon.com/images/I/813j5CwQxPL.jpg")</f>
        <v/>
      </c>
      <c r="B29" s="39" t="inlineStr">
        <is>
          <t>B0CQRXDZYF</t>
        </is>
      </c>
      <c r="C29" s="39" t="inlineStr">
        <is>
          <t>SATIN-4PC-QUEEN-NAVY BLUE</t>
        </is>
      </c>
      <c r="D29" s="39" t="inlineStr">
        <is>
          <t>DECOLURE Satin Sheets Queen Size | Softer Than Silk | Luxury 4 Pc Bed Set</t>
        </is>
      </c>
      <c r="E29" s="39" t="inlineStr">
        <is>
          <t>Queen</t>
        </is>
      </c>
      <c r="F29" s="39" t="inlineStr">
        <is>
          <t>Navy Blue</t>
        </is>
      </c>
      <c r="G29" s="73" t="n">
        <v>31.95</v>
      </c>
      <c r="H29" s="39" t="inlineStr">
        <is>
          <t>catalog price, 2026-10-13</t>
        </is>
      </c>
      <c r="I29" s="74" t="n">
        <v>31.95</v>
      </c>
      <c r="J29" s="75" t="inlineStr">
        <is>
          <t>2026-03-30</t>
        </is>
      </c>
      <c r="K29" s="40" t="n">
        <v>10.6</v>
      </c>
      <c r="L29" s="76" t="n">
        <v>0.3317683881064163</v>
      </c>
      <c r="M29" s="77" t="n">
        <v>45</v>
      </c>
      <c r="N29" s="39" t="inlineStr">
        <is>
          <t>Active</t>
        </is>
      </c>
      <c r="O29" s="39" t="n"/>
      <c r="P29" s="78" t="n">
        <v>4.4</v>
      </c>
      <c r="Q29" s="77" t="n">
        <v>18632</v>
      </c>
      <c r="R29" s="77" t="n">
        <v>10009</v>
      </c>
      <c r="S29" s="77" t="n">
        <v>72</v>
      </c>
      <c r="T29" s="39" t="n"/>
    </row>
    <row r="30" ht="62" customHeight="1">
      <c r="A30" s="12">
        <f>_xlfn.IMAGE("https://m.media-amazon.com/images/I/81XsKf7Tk0L.jpg")</f>
        <v/>
      </c>
      <c r="B30" s="39" t="inlineStr">
        <is>
          <t>B0CV4D54FV</t>
        </is>
      </c>
      <c r="C30" s="39" t="inlineStr">
        <is>
          <t>SATIN-4PC-RED-QUEEN</t>
        </is>
      </c>
      <c r="D30" s="39" t="inlineStr">
        <is>
          <t>DECOLURE Satin Sheets Queen Size | Softer Than Silk | Luxury 4 Pc Bed Set</t>
        </is>
      </c>
      <c r="E30" s="39" t="inlineStr">
        <is>
          <t>Queen</t>
        </is>
      </c>
      <c r="F30" s="39" t="inlineStr">
        <is>
          <t>Red</t>
        </is>
      </c>
      <c r="G30" s="40" t="n"/>
      <c r="H30" s="39" t="n"/>
      <c r="I30" s="74" t="n">
        <v>48.95</v>
      </c>
      <c r="J30" s="75" t="inlineStr">
        <is>
          <t>2026-03-30</t>
        </is>
      </c>
      <c r="K30" s="40" t="n">
        <v>25.36</v>
      </c>
      <c r="L30" s="76" t="n">
        <v>0.5180796731358529</v>
      </c>
      <c r="M30" s="77" t="n">
        <v>45</v>
      </c>
      <c r="N30" s="39" t="inlineStr">
        <is>
          <t>Inactive</t>
        </is>
      </c>
      <c r="O30" s="39" t="n"/>
      <c r="P30" s="78" t="n"/>
      <c r="Q30" s="77" t="n"/>
      <c r="R30" s="77" t="n"/>
      <c r="S30" s="77" t="n"/>
      <c r="T30" s="39" t="n"/>
    </row>
    <row r="31" ht="62" customHeight="1">
      <c r="A31" s="12">
        <f>_xlfn.IMAGE("https://m.media-amazon.com/images/I/81owOVQLwdL.jpg")</f>
        <v/>
      </c>
      <c r="B31" s="39" t="inlineStr">
        <is>
          <t>B0CQRXLH6M</t>
        </is>
      </c>
      <c r="C31" s="39" t="inlineStr">
        <is>
          <t>SATIN-4PC-QUEEN-BABY BLUE</t>
        </is>
      </c>
      <c r="D31" s="39" t="inlineStr">
        <is>
          <t>DECOLURE Satin Sheets Queen Size | Softer Than Silk | Luxury 4 Pc Bed Set</t>
        </is>
      </c>
      <c r="E31" s="39" t="inlineStr">
        <is>
          <t>Queen</t>
        </is>
      </c>
      <c r="F31" s="39" t="inlineStr">
        <is>
          <t>Baby Blue</t>
        </is>
      </c>
      <c r="G31" s="73" t="n">
        <v>31.95</v>
      </c>
      <c r="H31" s="39" t="inlineStr">
        <is>
          <t>catalog price, 2026-10-13</t>
        </is>
      </c>
      <c r="I31" s="74" t="n">
        <v>31.95</v>
      </c>
      <c r="J31" s="75" t="inlineStr">
        <is>
          <t>2026-03-30</t>
        </is>
      </c>
      <c r="K31" s="40" t="n">
        <v>10.55</v>
      </c>
      <c r="L31" s="76" t="n">
        <v>0.3302034428794993</v>
      </c>
      <c r="M31" s="77" t="n">
        <v>43</v>
      </c>
      <c r="N31" s="39" t="inlineStr">
        <is>
          <t>Active</t>
        </is>
      </c>
      <c r="O31" s="39" t="n"/>
      <c r="P31" s="78" t="n">
        <v>4.4</v>
      </c>
      <c r="Q31" s="77" t="n">
        <v>18632</v>
      </c>
      <c r="R31" s="77" t="n">
        <v>10009</v>
      </c>
      <c r="S31" s="77" t="n">
        <v>32</v>
      </c>
      <c r="T31" s="39" t="n"/>
    </row>
    <row r="32" ht="62" customHeight="1">
      <c r="A32" s="12">
        <f>_xlfn.IMAGE("https://m.media-amazon.com/images/I/81Ktu4N6y2L.jpg")</f>
        <v/>
      </c>
      <c r="B32" s="39" t="inlineStr">
        <is>
          <t>B0BG21THPM</t>
        </is>
      </c>
      <c r="C32" s="39" t="inlineStr">
        <is>
          <t>SATIN-ROSEWOOD-QUEEN</t>
        </is>
      </c>
      <c r="D32" s="39" t="inlineStr">
        <is>
          <t>DECOLURE Satin Sheets Queen Size | Softer Than Silk | Luxury 4 Pc Bed Set</t>
        </is>
      </c>
      <c r="E32" s="39" t="inlineStr">
        <is>
          <t>Queen</t>
        </is>
      </c>
      <c r="F32" s="39" t="inlineStr">
        <is>
          <t>Rosewood</t>
        </is>
      </c>
      <c r="G32" s="73" t="n">
        <v>34.49</v>
      </c>
      <c r="H32" s="39" t="inlineStr">
        <is>
          <t>catalog price, 2026-10-13</t>
        </is>
      </c>
      <c r="I32" s="74" t="n">
        <v>31.95</v>
      </c>
      <c r="J32" s="75" t="inlineStr">
        <is>
          <t>2026-03-30</t>
        </is>
      </c>
      <c r="K32" s="40" t="n">
        <v>10.73</v>
      </c>
      <c r="L32" s="76" t="n">
        <v>0.3358372456964007</v>
      </c>
      <c r="M32" s="77" t="n">
        <v>43</v>
      </c>
      <c r="N32" s="39" t="inlineStr">
        <is>
          <t>Active</t>
        </is>
      </c>
      <c r="O32" s="39" t="n"/>
      <c r="P32" s="78" t="n">
        <v>4.4</v>
      </c>
      <c r="Q32" s="77" t="n">
        <v>18632</v>
      </c>
      <c r="R32" s="77" t="n">
        <v>10009</v>
      </c>
      <c r="S32" s="77" t="n">
        <v>21</v>
      </c>
      <c r="T32" s="39" t="n"/>
    </row>
    <row r="33" ht="62" customHeight="1">
      <c r="A33" s="12">
        <f>_xlfn.IMAGE("https://m.media-amazon.com/images/I/81xinUykzIL.jpg")</f>
        <v/>
      </c>
      <c r="B33" s="39" t="inlineStr">
        <is>
          <t>B0BG225D1J</t>
        </is>
      </c>
      <c r="C33" s="39" t="inlineStr">
        <is>
          <t>SATIN-IVORY-KING</t>
        </is>
      </c>
      <c r="D33" s="39" t="inlineStr">
        <is>
          <t>DECOLURE Satin Sheets King Size | Softer Than Silk | Luxury 4 Pc Bed Set</t>
        </is>
      </c>
      <c r="E33" s="39" t="inlineStr">
        <is>
          <t>King</t>
        </is>
      </c>
      <c r="F33" s="39" t="inlineStr">
        <is>
          <t>Ivory</t>
        </is>
      </c>
      <c r="G33" s="73" t="n">
        <v>35.95</v>
      </c>
      <c r="H33" s="39" t="inlineStr">
        <is>
          <t>catalog price, 2026-10-13</t>
        </is>
      </c>
      <c r="I33" s="74" t="n">
        <v>33.95</v>
      </c>
      <c r="J33" s="75" t="inlineStr">
        <is>
          <t>2026-03-30</t>
        </is>
      </c>
      <c r="K33" s="40" t="n">
        <v>8.710000000000003</v>
      </c>
      <c r="L33" s="76" t="n">
        <v>0.2565537555228277</v>
      </c>
      <c r="M33" s="77" t="n">
        <v>41</v>
      </c>
      <c r="N33" s="39" t="inlineStr">
        <is>
          <t>Active</t>
        </is>
      </c>
      <c r="O33" s="39" t="n"/>
      <c r="P33" s="78" t="n">
        <v>4.4</v>
      </c>
      <c r="Q33" s="77" t="n">
        <v>18632</v>
      </c>
      <c r="R33" s="77" t="n">
        <v>10009</v>
      </c>
      <c r="S33" s="77" t="n">
        <v>15</v>
      </c>
      <c r="T33" s="39" t="n"/>
    </row>
    <row r="34" ht="62" customHeight="1">
      <c r="A34" s="12">
        <f>_xlfn.IMAGE("https://m.media-amazon.com/images/I/81xinUykzIL.jpg")</f>
        <v/>
      </c>
      <c r="B34" s="39" t="inlineStr">
        <is>
          <t>B0BG1YXQGT</t>
        </is>
      </c>
      <c r="C34" s="39" t="inlineStr">
        <is>
          <t>SATIN-IVORY-QUEEN</t>
        </is>
      </c>
      <c r="D34" s="39" t="inlineStr">
        <is>
          <t>DECOLURE Satin Sheets Queen Size | Softer Than Silk | Luxury 4 Pc Bed Set</t>
        </is>
      </c>
      <c r="E34" s="39" t="inlineStr">
        <is>
          <t>Queen</t>
        </is>
      </c>
      <c r="F34" s="39" t="inlineStr">
        <is>
          <t>Ivory</t>
        </is>
      </c>
      <c r="G34" s="73" t="n">
        <v>32.99</v>
      </c>
      <c r="H34" s="39" t="inlineStr">
        <is>
          <t>catalog price, 2026-10-13</t>
        </is>
      </c>
      <c r="I34" s="74" t="n">
        <v>31.95</v>
      </c>
      <c r="J34" s="75" t="inlineStr">
        <is>
          <t>2026-03-30</t>
        </is>
      </c>
      <c r="K34" s="40" t="n">
        <v>10.83</v>
      </c>
      <c r="L34" s="76" t="n">
        <v>0.3389671361502348</v>
      </c>
      <c r="M34" s="77" t="n">
        <v>40</v>
      </c>
      <c r="N34" s="39" t="inlineStr">
        <is>
          <t>Active</t>
        </is>
      </c>
      <c r="O34" s="39" t="n"/>
      <c r="P34" s="78" t="n">
        <v>4.4</v>
      </c>
      <c r="Q34" s="77" t="n">
        <v>18632</v>
      </c>
      <c r="R34" s="77" t="n">
        <v>10006</v>
      </c>
      <c r="S34" s="77" t="n">
        <v>6</v>
      </c>
      <c r="T34" s="39" t="n"/>
    </row>
    <row r="35" ht="62" customHeight="1">
      <c r="A35" s="12">
        <f>_xlfn.IMAGE("https://m.media-amazon.com/images/I/81VtFuMce8L.jpg")</f>
        <v/>
      </c>
      <c r="B35" s="39" t="inlineStr">
        <is>
          <t>B0839L5PDJ</t>
        </is>
      </c>
      <c r="C35" s="39" t="inlineStr">
        <is>
          <t>SATIN-KING-BLUE</t>
        </is>
      </c>
      <c r="D35" s="39" t="inlineStr">
        <is>
          <t>DECOLURE Satin Sheets King Size | Softer Than Silk | Luxury 4 Pc Bed Set</t>
        </is>
      </c>
      <c r="E35" s="39" t="inlineStr">
        <is>
          <t>King</t>
        </is>
      </c>
      <c r="F35" s="39" t="inlineStr">
        <is>
          <t>Blue</t>
        </is>
      </c>
      <c r="G35" s="73" t="n">
        <v>33.95</v>
      </c>
      <c r="H35" s="39" t="inlineStr">
        <is>
          <t>catalog price, 2026-10-13</t>
        </is>
      </c>
      <c r="I35" s="74" t="n">
        <v>33.95</v>
      </c>
      <c r="J35" s="75" t="inlineStr">
        <is>
          <t>2026-03-30</t>
        </is>
      </c>
      <c r="K35" s="40" t="n">
        <v>10.92</v>
      </c>
      <c r="L35" s="76" t="n">
        <v>0.3216494845360824</v>
      </c>
      <c r="M35" s="77" t="n">
        <v>38</v>
      </c>
      <c r="N35" s="39" t="inlineStr">
        <is>
          <t>Active</t>
        </is>
      </c>
      <c r="O35" s="39" t="n"/>
      <c r="P35" s="78" t="n">
        <v>4.4</v>
      </c>
      <c r="Q35" s="77" t="n">
        <v>18632</v>
      </c>
      <c r="R35" s="77" t="n">
        <v>10006</v>
      </c>
      <c r="S35" s="77" t="n">
        <v>5</v>
      </c>
      <c r="T35" s="39" t="n"/>
    </row>
    <row r="36" ht="62" customHeight="1">
      <c r="A36" s="12">
        <f>_xlfn.IMAGE("https://m.media-amazon.com/images/I/81Yn7rZGUhL.jpg")</f>
        <v/>
      </c>
      <c r="B36" s="39" t="inlineStr">
        <is>
          <t>B0839L6R8Y</t>
        </is>
      </c>
      <c r="C36" s="39" t="inlineStr">
        <is>
          <t>SATIN-QUEEN-PURPLE</t>
        </is>
      </c>
      <c r="D36" s="39" t="inlineStr">
        <is>
          <t>DECOLURE Satin Sheets Queen Size | Softer Than Silk | Luxury 4 Pc Bed Set</t>
        </is>
      </c>
      <c r="E36" s="39" t="inlineStr">
        <is>
          <t>Queen</t>
        </is>
      </c>
      <c r="F36" s="39" t="inlineStr">
        <is>
          <t>Purple</t>
        </is>
      </c>
      <c r="G36" s="73" t="n">
        <v>31.95</v>
      </c>
      <c r="H36" s="39" t="inlineStr">
        <is>
          <t>catalog price, 2026-10-13</t>
        </is>
      </c>
      <c r="I36" s="74" t="n">
        <v>31.95</v>
      </c>
      <c r="J36" s="75" t="inlineStr">
        <is>
          <t>2026-03-30</t>
        </is>
      </c>
      <c r="K36" s="40" t="n">
        <v>11.07</v>
      </c>
      <c r="L36" s="76" t="n">
        <v>0.3464788732394367</v>
      </c>
      <c r="M36" s="77" t="n">
        <v>37</v>
      </c>
      <c r="N36" s="39" t="inlineStr">
        <is>
          <t>Active</t>
        </is>
      </c>
      <c r="O36" s="39" t="n"/>
      <c r="P36" s="78" t="n">
        <v>4.4</v>
      </c>
      <c r="Q36" s="77" t="n">
        <v>18632</v>
      </c>
      <c r="R36" s="77" t="n">
        <v>10006</v>
      </c>
      <c r="S36" s="77" t="n">
        <v>48</v>
      </c>
      <c r="T36" s="39" t="n"/>
    </row>
    <row r="37" ht="62" customHeight="1">
      <c r="A37" s="12">
        <f>_xlfn.IMAGE("https://m.media-amazon.com/images/I/811r8QX1AiL.jpg")</f>
        <v/>
      </c>
      <c r="B37" s="39" t="inlineStr">
        <is>
          <t>B0839L7PJL</t>
        </is>
      </c>
      <c r="C37" s="39" t="inlineStr">
        <is>
          <t>SATIN-TWIN-BLACK-NEW</t>
        </is>
      </c>
      <c r="D37" s="39" t="inlineStr">
        <is>
          <t>DECOLURE Satin Sheets Twin Size | Softer Than Silk | Luxury 3 Pc Bed Set</t>
        </is>
      </c>
      <c r="E37" s="39" t="inlineStr">
        <is>
          <t>Twin</t>
        </is>
      </c>
      <c r="F37" s="39" t="inlineStr">
        <is>
          <t>Black</t>
        </is>
      </c>
      <c r="G37" s="73" t="n">
        <v>27.95</v>
      </c>
      <c r="H37" s="39" t="inlineStr">
        <is>
          <t>catalog price, 2026-10-13</t>
        </is>
      </c>
      <c r="I37" s="74" t="n">
        <v>27.95</v>
      </c>
      <c r="J37" s="75" t="inlineStr">
        <is>
          <t>2026-03-30</t>
        </is>
      </c>
      <c r="K37" s="40" t="n">
        <v>10.6</v>
      </c>
      <c r="L37" s="76" t="n">
        <v>0.3792486583184257</v>
      </c>
      <c r="M37" s="77" t="n">
        <v>37</v>
      </c>
      <c r="N37" s="39" t="inlineStr">
        <is>
          <t>Active</t>
        </is>
      </c>
      <c r="O37" s="39" t="n"/>
      <c r="P37" s="78" t="n">
        <v>4.4</v>
      </c>
      <c r="Q37" s="77" t="n">
        <v>18632</v>
      </c>
      <c r="R37" s="77" t="n">
        <v>10009</v>
      </c>
      <c r="S37" s="77" t="n">
        <v>61</v>
      </c>
      <c r="T37" s="39" t="n"/>
    </row>
    <row r="38" ht="62" customHeight="1">
      <c r="A38" s="12">
        <f>_xlfn.IMAGE("https://m.media-amazon.com/images/I/81RxsA0xn7L.jpg")</f>
        <v/>
      </c>
      <c r="B38" s="39" t="inlineStr">
        <is>
          <t>B0839LMS13</t>
        </is>
      </c>
      <c r="C38" s="39" t="inlineStr">
        <is>
          <t>SATIN-FULL-GREY</t>
        </is>
      </c>
      <c r="D38" s="39" t="inlineStr">
        <is>
          <t>DECOLURE Satin Sheets Full Size | Softer Than Silk | Luxury 4 Pc Bed Set | Gentle on Hair &amp; Skin | Silky, Shiny Weave | 15 In Deep Pocket w Corner Straps | Full Sheet Set | Grey</t>
        </is>
      </c>
      <c r="E38" s="39" t="inlineStr">
        <is>
          <t>Full</t>
        </is>
      </c>
      <c r="F38" s="39" t="inlineStr">
        <is>
          <t>Grey</t>
        </is>
      </c>
      <c r="G38" s="73" t="n">
        <v>29.95</v>
      </c>
      <c r="H38" s="39" t="inlineStr">
        <is>
          <t>catalog price, 2026-10-13</t>
        </is>
      </c>
      <c r="I38" s="74" t="n">
        <v>29.95</v>
      </c>
      <c r="J38" s="75" t="inlineStr">
        <is>
          <t>2026-03-30</t>
        </is>
      </c>
      <c r="K38" s="40" t="n">
        <v>10.57</v>
      </c>
      <c r="L38" s="76" t="n">
        <v>0.3529215358931552</v>
      </c>
      <c r="M38" s="77" t="n">
        <v>33</v>
      </c>
      <c r="N38" s="39" t="inlineStr">
        <is>
          <t>Active</t>
        </is>
      </c>
      <c r="O38" s="39" t="n"/>
      <c r="P38" s="78" t="n">
        <v>4.4</v>
      </c>
      <c r="Q38" s="77" t="n">
        <v>18632</v>
      </c>
      <c r="R38" s="77" t="n">
        <v>10009</v>
      </c>
      <c r="S38" s="77" t="n">
        <v>11</v>
      </c>
      <c r="T38" s="39" t="n"/>
    </row>
    <row r="39" ht="62" customHeight="1">
      <c r="A39" s="12">
        <f>_xlfn.IMAGE("https://m.media-amazon.com/images/I/81UtPaYWlbL.jpg")</f>
        <v/>
      </c>
      <c r="B39" s="39" t="inlineStr">
        <is>
          <t>B0BG228RDJ</t>
        </is>
      </c>
      <c r="C39" s="39" t="inlineStr">
        <is>
          <t>SATIN-SEA-TEAL-QUEEN</t>
        </is>
      </c>
      <c r="D39" s="39" t="inlineStr">
        <is>
          <t>DECOLURE Satin Sheets Queen Size | Softer Than Silk | Luxury 4 Pc Bed Set</t>
        </is>
      </c>
      <c r="E39" s="39" t="inlineStr">
        <is>
          <t>Queen</t>
        </is>
      </c>
      <c r="F39" s="39" t="inlineStr">
        <is>
          <t>Sea Teal</t>
        </is>
      </c>
      <c r="G39" s="73" t="n">
        <v>31.95</v>
      </c>
      <c r="H39" s="39" t="inlineStr">
        <is>
          <t>catalog price, 2026-10-13</t>
        </is>
      </c>
      <c r="I39" s="74" t="n">
        <v>31.95</v>
      </c>
      <c r="J39" s="75" t="inlineStr">
        <is>
          <t>2026-03-30</t>
        </is>
      </c>
      <c r="K39" s="40" t="n">
        <v>10.54</v>
      </c>
      <c r="L39" s="76" t="n">
        <v>0.3298904538341158</v>
      </c>
      <c r="M39" s="77" t="n">
        <v>33</v>
      </c>
      <c r="N39" s="39" t="inlineStr">
        <is>
          <t>Active</t>
        </is>
      </c>
      <c r="O39" s="39" t="n"/>
      <c r="P39" s="78" t="n">
        <v>4.4</v>
      </c>
      <c r="Q39" s="77" t="n">
        <v>18632</v>
      </c>
      <c r="R39" s="77" t="n">
        <v>10009</v>
      </c>
      <c r="S39" s="77" t="n">
        <v>7</v>
      </c>
      <c r="T39" s="39" t="n"/>
    </row>
    <row r="40" ht="62" customHeight="1">
      <c r="A40" s="12">
        <f>_xlfn.IMAGE("https://m.media-amazon.com/images/I/81owOVQLwdL.jpg")</f>
        <v/>
      </c>
      <c r="B40" s="39" t="inlineStr">
        <is>
          <t>B0CQRYDFC1</t>
        </is>
      </c>
      <c r="C40" s="39" t="inlineStr">
        <is>
          <t>SATIN-4PC-KING-BABY BLUE</t>
        </is>
      </c>
      <c r="D40" s="39" t="inlineStr">
        <is>
          <t>DECOLURE Satin Sheets King Size | Softer Than Silk | Luxury 4 Pc Bed Set</t>
        </is>
      </c>
      <c r="E40" s="39" t="inlineStr">
        <is>
          <t>King</t>
        </is>
      </c>
      <c r="F40" s="39" t="inlineStr">
        <is>
          <t>Baby Blue</t>
        </is>
      </c>
      <c r="G40" s="73" t="n">
        <v>36.49</v>
      </c>
      <c r="H40" s="39" t="inlineStr">
        <is>
          <t>catalog price, 2026-10-13</t>
        </is>
      </c>
      <c r="I40" s="74" t="n">
        <v>33.95</v>
      </c>
      <c r="J40" s="75" t="inlineStr">
        <is>
          <t>2026-03-30</t>
        </is>
      </c>
      <c r="K40" s="40" t="n">
        <v>11.1</v>
      </c>
      <c r="L40" s="76" t="n">
        <v>0.3269513991163476</v>
      </c>
      <c r="M40" s="77" t="n">
        <v>32</v>
      </c>
      <c r="N40" s="39" t="inlineStr">
        <is>
          <t>Active</t>
        </is>
      </c>
      <c r="O40" s="39" t="n"/>
      <c r="P40" s="78" t="n">
        <v>4.4</v>
      </c>
      <c r="Q40" s="77" t="n">
        <v>18632</v>
      </c>
      <c r="R40" s="77" t="n">
        <v>10009</v>
      </c>
      <c r="S40" s="77" t="n">
        <v>5</v>
      </c>
      <c r="T40" s="39" t="n"/>
    </row>
    <row r="41" ht="62" customHeight="1">
      <c r="A41" s="12">
        <f>_xlfn.IMAGE("https://m.media-amazon.com/images/I/81Omquwv1WL.jpg")</f>
        <v/>
      </c>
      <c r="B41" s="39" t="inlineStr">
        <is>
          <t>B0CQRXKRPN</t>
        </is>
      </c>
      <c r="C41" s="39" t="inlineStr">
        <is>
          <t>SATIN-4PC-QUEEN-LAVENDER</t>
        </is>
      </c>
      <c r="D41" s="39" t="inlineStr">
        <is>
          <t>DECOLURE Satin Sheets Queen Size | Softer Than Silk | Luxury 4 Pc Bed Set</t>
        </is>
      </c>
      <c r="E41" s="39" t="inlineStr">
        <is>
          <t>Queen</t>
        </is>
      </c>
      <c r="F41" s="39" t="inlineStr">
        <is>
          <t>Lavender</t>
        </is>
      </c>
      <c r="G41" s="73" t="n">
        <v>31.95</v>
      </c>
      <c r="H41" s="39" t="inlineStr">
        <is>
          <t>catalog price, 2026-10-13</t>
        </is>
      </c>
      <c r="I41" s="74" t="n">
        <v>31.95</v>
      </c>
      <c r="J41" s="75" t="inlineStr">
        <is>
          <t>2026-03-30</t>
        </is>
      </c>
      <c r="K41" s="40" t="n">
        <v>11</v>
      </c>
      <c r="L41" s="76" t="n">
        <v>0.3442879499217528</v>
      </c>
      <c r="M41" s="77" t="n">
        <v>29</v>
      </c>
      <c r="N41" s="39" t="inlineStr">
        <is>
          <t>Active</t>
        </is>
      </c>
      <c r="O41" s="39" t="n"/>
      <c r="P41" s="78" t="n">
        <v>4.4</v>
      </c>
      <c r="Q41" s="77" t="n">
        <v>18632</v>
      </c>
      <c r="R41" s="77" t="n">
        <v>10006</v>
      </c>
      <c r="S41" s="77" t="n">
        <v>37</v>
      </c>
      <c r="T41" s="39" t="n"/>
    </row>
    <row r="42" ht="62" customHeight="1">
      <c r="A42" s="12">
        <f>_xlfn.IMAGE("https://m.media-amazon.com/images/I/814U4uyFqnL.jpg")</f>
        <v/>
      </c>
      <c r="B42" s="39" t="inlineStr">
        <is>
          <t>B0CQRWGHJN</t>
        </is>
      </c>
      <c r="C42" s="39" t="inlineStr">
        <is>
          <t>SATIN-4PC-QUEEN-DARK GREEN</t>
        </is>
      </c>
      <c r="D42" s="39" t="inlineStr">
        <is>
          <t>DECOLURE Satin Sheets Queen Size | Softer Than Silk | Luxury 4 Pc Bed Set</t>
        </is>
      </c>
      <c r="E42" s="39" t="inlineStr">
        <is>
          <t>Queen</t>
        </is>
      </c>
      <c r="F42" s="39" t="inlineStr">
        <is>
          <t>Dark Green</t>
        </is>
      </c>
      <c r="G42" s="40" t="n"/>
      <c r="H42" s="39" t="n"/>
      <c r="I42" s="74" t="n">
        <v>31.95</v>
      </c>
      <c r="J42" s="75" t="inlineStr">
        <is>
          <t>2026-03-28</t>
        </is>
      </c>
      <c r="K42" s="40" t="n">
        <v>10.85</v>
      </c>
      <c r="L42" s="76" t="n">
        <v>0.3395931142410016</v>
      </c>
      <c r="M42" s="77" t="n">
        <v>28</v>
      </c>
      <c r="N42" s="39" t="inlineStr">
        <is>
          <t>Inactive</t>
        </is>
      </c>
      <c r="O42" s="39" t="n"/>
      <c r="P42" s="78" t="n"/>
      <c r="Q42" s="77" t="n"/>
      <c r="R42" s="77" t="n"/>
      <c r="S42" s="77" t="n"/>
      <c r="T42" s="39" t="n"/>
    </row>
    <row r="43" ht="62" customHeight="1">
      <c r="A43" s="12">
        <f>_xlfn.IMAGE("https://m.media-amazon.com/images/I/81zvGkE8vhL.jpg")</f>
        <v/>
      </c>
      <c r="B43" s="39" t="inlineStr">
        <is>
          <t>B0839LQG4C</t>
        </is>
      </c>
      <c r="C43" s="39" t="inlineStr">
        <is>
          <t>SATIN-QUEEN-PINK</t>
        </is>
      </c>
      <c r="D43" s="39" t="inlineStr">
        <is>
          <t>DECOLURE Satin Sheets Queen Size | Softer Than Silk | Luxury 4 Pc Bed Set</t>
        </is>
      </c>
      <c r="E43" s="39" t="inlineStr">
        <is>
          <t>Queen</t>
        </is>
      </c>
      <c r="F43" s="39" t="inlineStr">
        <is>
          <t>Pink</t>
        </is>
      </c>
      <c r="G43" s="73" t="n">
        <v>31.95</v>
      </c>
      <c r="H43" s="39" t="inlineStr">
        <is>
          <t>catalog price, 2026-10-13</t>
        </is>
      </c>
      <c r="I43" s="74" t="n">
        <v>31.95</v>
      </c>
      <c r="J43" s="75" t="inlineStr">
        <is>
          <t>2026-03-30</t>
        </is>
      </c>
      <c r="K43" s="40" t="n">
        <v>10.53</v>
      </c>
      <c r="L43" s="76" t="n">
        <v>0.3295774647887324</v>
      </c>
      <c r="M43" s="77" t="n">
        <v>28</v>
      </c>
      <c r="N43" s="39" t="inlineStr">
        <is>
          <t>Active</t>
        </is>
      </c>
      <c r="O43" s="39" t="n"/>
      <c r="P43" s="78" t="n">
        <v>4.4</v>
      </c>
      <c r="Q43" s="77" t="n">
        <v>18632</v>
      </c>
      <c r="R43" s="77" t="n">
        <v>10006</v>
      </c>
      <c r="S43" s="77" t="n">
        <v>38</v>
      </c>
      <c r="T43" s="39" t="n"/>
    </row>
    <row r="44" ht="62" customHeight="1">
      <c r="A44" s="12">
        <f>_xlfn.IMAGE("https://m.media-amazon.com/images/I/813j5CwQxPL.jpg")</f>
        <v/>
      </c>
      <c r="B44" s="39" t="inlineStr">
        <is>
          <t>B0CQRXNLN6</t>
        </is>
      </c>
      <c r="C44" s="39" t="inlineStr">
        <is>
          <t>SATIN-4PC-KING-NAVY BLUE</t>
        </is>
      </c>
      <c r="D44" s="39" t="inlineStr">
        <is>
          <t>DECOLURE Satin Sheets King Size | Softer Than Silk | Luxury 4 Pc Bed Set</t>
        </is>
      </c>
      <c r="E44" s="39" t="inlineStr">
        <is>
          <t>King</t>
        </is>
      </c>
      <c r="F44" s="39" t="inlineStr">
        <is>
          <t>Navy Blue</t>
        </is>
      </c>
      <c r="G44" s="73" t="n">
        <v>37.99</v>
      </c>
      <c r="H44" s="39" t="inlineStr">
        <is>
          <t>catalog price, 2026-10-13</t>
        </is>
      </c>
      <c r="I44" s="74" t="n">
        <v>33.95</v>
      </c>
      <c r="J44" s="75" t="inlineStr">
        <is>
          <t>2026-03-30</t>
        </is>
      </c>
      <c r="K44" s="40" t="n">
        <v>11.02</v>
      </c>
      <c r="L44" s="76" t="n">
        <v>0.3245949926362298</v>
      </c>
      <c r="M44" s="77" t="n">
        <v>27</v>
      </c>
      <c r="N44" s="39" t="inlineStr">
        <is>
          <t>Active</t>
        </is>
      </c>
      <c r="O44" s="39" t="n"/>
      <c r="P44" s="78" t="n">
        <v>4.4</v>
      </c>
      <c r="Q44" s="77" t="n">
        <v>18632</v>
      </c>
      <c r="R44" s="77" t="n">
        <v>10009</v>
      </c>
      <c r="S44" s="77" t="n">
        <v>3</v>
      </c>
      <c r="T44" s="39" t="n"/>
    </row>
    <row r="45" ht="62" customHeight="1">
      <c r="A45" s="12">
        <f>_xlfn.IMAGE("https://m.media-amazon.com/images/I/81Owp6T1ibL.jpg")</f>
        <v/>
      </c>
      <c r="B45" s="39" t="inlineStr">
        <is>
          <t>B0BZPV84V7</t>
        </is>
      </c>
      <c r="C45" s="39" t="inlineStr">
        <is>
          <t>SATIN-CHAMPAGNE-QUEEN</t>
        </is>
      </c>
      <c r="D45" s="39" t="inlineStr">
        <is>
          <t>DECOLURE Satin Sheets Queen Size | Softer Than Silk | Luxury 4 Pc Bed Set</t>
        </is>
      </c>
      <c r="E45" s="39" t="inlineStr">
        <is>
          <t>Queen</t>
        </is>
      </c>
      <c r="F45" s="39" t="inlineStr">
        <is>
          <t>Champagne</t>
        </is>
      </c>
      <c r="G45" s="73" t="n">
        <v>35.95</v>
      </c>
      <c r="H45" s="39" t="inlineStr">
        <is>
          <t>catalog price, 2026-10-13</t>
        </is>
      </c>
      <c r="I45" s="74" t="n">
        <v>31.95</v>
      </c>
      <c r="J45" s="75" t="inlineStr">
        <is>
          <t>2026-03-30</t>
        </is>
      </c>
      <c r="K45" s="40" t="n">
        <v>10.86</v>
      </c>
      <c r="L45" s="76" t="n">
        <v>0.339906103286385</v>
      </c>
      <c r="M45" s="77" t="n">
        <v>26</v>
      </c>
      <c r="N45" s="39" t="inlineStr">
        <is>
          <t>Active</t>
        </is>
      </c>
      <c r="O45" s="39" t="n"/>
      <c r="P45" s="78" t="n">
        <v>4.4</v>
      </c>
      <c r="Q45" s="77" t="n">
        <v>18632</v>
      </c>
      <c r="R45" s="77" t="n">
        <v>10009</v>
      </c>
      <c r="S45" s="77" t="n">
        <v>7</v>
      </c>
      <c r="T45" s="39" t="n"/>
    </row>
    <row r="46" ht="62" customHeight="1">
      <c r="A46" s="12">
        <f>_xlfn.IMAGE("https://m.media-amazon.com/images/I/812d7h4NK3L.jpg")</f>
        <v/>
      </c>
      <c r="B46" s="39" t="inlineStr">
        <is>
          <t>B0BG23H2QY</t>
        </is>
      </c>
      <c r="C46" s="39" t="inlineStr">
        <is>
          <t>SATIN-STONEGREY-FULL</t>
        </is>
      </c>
      <c r="D46" s="39" t="inlineStr">
        <is>
          <t>DECOLURE Satin Sheets Full Size | Softer Than Silk | Luxury 4 Pc Bed Set</t>
        </is>
      </c>
      <c r="E46" s="39" t="inlineStr">
        <is>
          <t>Full</t>
        </is>
      </c>
      <c r="F46" s="39" t="inlineStr">
        <is>
          <t>Stone Grey</t>
        </is>
      </c>
      <c r="G46" s="73" t="n">
        <v>29.95</v>
      </c>
      <c r="H46" s="39" t="inlineStr">
        <is>
          <t>catalog price, 2026-10-13</t>
        </is>
      </c>
      <c r="I46" s="74" t="n">
        <v>29.95</v>
      </c>
      <c r="J46" s="75" t="inlineStr">
        <is>
          <t>2026-03-30</t>
        </is>
      </c>
      <c r="K46" s="40" t="n">
        <v>9.84</v>
      </c>
      <c r="L46" s="76" t="n">
        <v>0.3285475792988313</v>
      </c>
      <c r="M46" s="77" t="n">
        <v>25</v>
      </c>
      <c r="N46" s="39" t="inlineStr">
        <is>
          <t>Active</t>
        </is>
      </c>
      <c r="O46" s="39" t="n"/>
      <c r="P46" s="78" t="n">
        <v>4.4</v>
      </c>
      <c r="Q46" s="77" t="n">
        <v>18632</v>
      </c>
      <c r="R46" s="77" t="n">
        <v>10009</v>
      </c>
      <c r="S46" s="77" t="n">
        <v>36</v>
      </c>
      <c r="T46" s="39" t="n"/>
    </row>
    <row r="47" ht="62" customHeight="1">
      <c r="A47" s="12">
        <f>_xlfn.IMAGE("https://m.media-amazon.com/images/I/81Ktu4N6y2L.jpg")</f>
        <v/>
      </c>
      <c r="B47" s="39" t="inlineStr">
        <is>
          <t>B0DBR1DWPP</t>
        </is>
      </c>
      <c r="C47" s="39" t="inlineStr">
        <is>
          <t>SATIN-4PCS-KING-ROSEWOOD</t>
        </is>
      </c>
      <c r="D47" s="39" t="inlineStr">
        <is>
          <t>DECOLURE Satin Sheets King Size | Softer Than Silk | Luxury 4 Pc Bed Set</t>
        </is>
      </c>
      <c r="E47" s="39" t="inlineStr">
        <is>
          <t>King</t>
        </is>
      </c>
      <c r="F47" s="39" t="inlineStr">
        <is>
          <t>Rosewood</t>
        </is>
      </c>
      <c r="G47" s="73" t="n">
        <v>36.95</v>
      </c>
      <c r="H47" s="39" t="inlineStr">
        <is>
          <t>catalog price, 2026-10-13</t>
        </is>
      </c>
      <c r="I47" s="74" t="n">
        <v>33.95</v>
      </c>
      <c r="J47" s="75" t="inlineStr">
        <is>
          <t>2026-03-30</t>
        </is>
      </c>
      <c r="K47" s="40" t="n">
        <v>10.47</v>
      </c>
      <c r="L47" s="76" t="n">
        <v>0.3083946980854198</v>
      </c>
      <c r="M47" s="77" t="n">
        <v>24</v>
      </c>
      <c r="N47" s="39" t="inlineStr">
        <is>
          <t>Active</t>
        </is>
      </c>
      <c r="O47" s="39" t="n"/>
      <c r="P47" s="78" t="n">
        <v>4.4</v>
      </c>
      <c r="Q47" s="77" t="n">
        <v>18632</v>
      </c>
      <c r="R47" s="77" t="n">
        <v>10006</v>
      </c>
      <c r="S47" s="77" t="n">
        <v>69</v>
      </c>
      <c r="T47" s="39" t="n"/>
    </row>
    <row r="48" ht="62" customHeight="1">
      <c r="A48" s="12">
        <f>_xlfn.IMAGE("https://m.media-amazon.com/images/I/81Yn7rZGUhL.jpg")</f>
        <v/>
      </c>
      <c r="B48" s="39" t="inlineStr">
        <is>
          <t>B0839LP6TM</t>
        </is>
      </c>
      <c r="C48" s="39" t="inlineStr">
        <is>
          <t>SATIN-FULL-PURPLE</t>
        </is>
      </c>
      <c r="D48" s="39" t="inlineStr">
        <is>
          <t>DECOLURE Satin Sheets Full Size | Softer Than Silk | Luxury 4 Pc Bed Set</t>
        </is>
      </c>
      <c r="E48" s="39" t="inlineStr">
        <is>
          <t>Full</t>
        </is>
      </c>
      <c r="F48" s="39" t="inlineStr">
        <is>
          <t>Purple</t>
        </is>
      </c>
      <c r="G48" s="73" t="n">
        <v>29.95</v>
      </c>
      <c r="H48" s="39" t="inlineStr">
        <is>
          <t>catalog price, 2026-10-13</t>
        </is>
      </c>
      <c r="I48" s="74" t="n">
        <v>29.95</v>
      </c>
      <c r="J48" s="75" t="inlineStr">
        <is>
          <t>2026-03-30</t>
        </is>
      </c>
      <c r="K48" s="40" t="n">
        <v>11.26</v>
      </c>
      <c r="L48" s="76" t="n">
        <v>0.3759599332220367</v>
      </c>
      <c r="M48" s="77" t="n">
        <v>23</v>
      </c>
      <c r="N48" s="39" t="inlineStr">
        <is>
          <t>Active</t>
        </is>
      </c>
      <c r="O48" s="39" t="n"/>
      <c r="P48" s="78" t="n">
        <v>4.4</v>
      </c>
      <c r="Q48" s="77" t="n">
        <v>18632</v>
      </c>
      <c r="R48" s="77" t="n">
        <v>10006</v>
      </c>
      <c r="S48" s="77" t="n">
        <v>11</v>
      </c>
      <c r="T48" s="39" t="n"/>
    </row>
    <row r="49" ht="62" customHeight="1">
      <c r="A49" s="12">
        <f>_xlfn.IMAGE("https://m.media-amazon.com/images/I/814U4uyFqnL.jpg")</f>
        <v/>
      </c>
      <c r="B49" s="39" t="inlineStr">
        <is>
          <t>B0CQPPJFWN</t>
        </is>
      </c>
      <c r="C49" s="39" t="inlineStr">
        <is>
          <t>SATIN-4PC-KING-DARK GREEN</t>
        </is>
      </c>
      <c r="D49" s="39" t="inlineStr">
        <is>
          <t>DECOLURE Satin Sheets King Size | Softer Than Silk | Luxury 4 Pc Bed Set</t>
        </is>
      </c>
      <c r="E49" s="39" t="inlineStr">
        <is>
          <t>King</t>
        </is>
      </c>
      <c r="F49" s="39" t="inlineStr">
        <is>
          <t>Dark Green</t>
        </is>
      </c>
      <c r="G49" s="73" t="n">
        <v>33.95</v>
      </c>
      <c r="H49" s="39" t="inlineStr">
        <is>
          <t>catalog price, 2026-10-13</t>
        </is>
      </c>
      <c r="I49" s="74" t="n">
        <v>33.95</v>
      </c>
      <c r="J49" s="75" t="inlineStr">
        <is>
          <t>2026-03-30</t>
        </is>
      </c>
      <c r="K49" s="40" t="n">
        <v>10.71</v>
      </c>
      <c r="L49" s="76" t="n">
        <v>0.3154639175257732</v>
      </c>
      <c r="M49" s="77" t="n">
        <v>23</v>
      </c>
      <c r="N49" s="39" t="inlineStr">
        <is>
          <t>Active</t>
        </is>
      </c>
      <c r="O49" s="39" t="n"/>
      <c r="P49" s="78" t="n">
        <v>4.4</v>
      </c>
      <c r="Q49" s="77" t="n">
        <v>18632</v>
      </c>
      <c r="R49" s="77" t="n">
        <v>10009</v>
      </c>
      <c r="S49" s="77" t="n">
        <v>4</v>
      </c>
      <c r="T49" s="39" t="n"/>
    </row>
    <row r="50" ht="62" customHeight="1">
      <c r="A50" s="12">
        <f>_xlfn.IMAGE("https://m.media-amazon.com/images/I/812d7h4NK3L.jpg")</f>
        <v/>
      </c>
      <c r="B50" s="39" t="inlineStr">
        <is>
          <t>B0DBR1X2XQ</t>
        </is>
      </c>
      <c r="C50" s="39" t="inlineStr">
        <is>
          <t>SATIN-4PCS-KING-STONEGREY</t>
        </is>
      </c>
      <c r="D50" s="39" t="inlineStr">
        <is>
          <t>DECOLURE Satin Sheets King Size | Softer Than Silk | Luxury 4 Pc Bed Set</t>
        </is>
      </c>
      <c r="E50" s="39" t="inlineStr">
        <is>
          <t>King</t>
        </is>
      </c>
      <c r="F50" s="39" t="inlineStr">
        <is>
          <t>Stone Grey</t>
        </is>
      </c>
      <c r="G50" s="73" t="n">
        <v>33.95</v>
      </c>
      <c r="H50" s="39" t="inlineStr">
        <is>
          <t>catalog price, 2026-10-13</t>
        </is>
      </c>
      <c r="I50" s="74" t="n">
        <v>33.95</v>
      </c>
      <c r="J50" s="75" t="inlineStr">
        <is>
          <t>2026-03-30</t>
        </is>
      </c>
      <c r="K50" s="40" t="n">
        <v>10.46</v>
      </c>
      <c r="L50" s="76" t="n">
        <v>0.3081001472754051</v>
      </c>
      <c r="M50" s="77" t="n">
        <v>23</v>
      </c>
      <c r="N50" s="39" t="inlineStr">
        <is>
          <t>Active</t>
        </is>
      </c>
      <c r="O50" s="39" t="n"/>
      <c r="P50" s="78" t="n">
        <v>4.4</v>
      </c>
      <c r="Q50" s="77" t="n">
        <v>18632</v>
      </c>
      <c r="R50" s="77" t="n">
        <v>10009</v>
      </c>
      <c r="S50" s="77" t="n">
        <v>39</v>
      </c>
      <c r="T50" s="39" t="n"/>
    </row>
    <row r="51" ht="62" customHeight="1">
      <c r="A51" s="12">
        <f>_xlfn.IMAGE("https://m.media-amazon.com/images/I/81NOa451cTL.jpg")</f>
        <v/>
      </c>
      <c r="B51" s="39" t="inlineStr">
        <is>
          <t>B08KRW2BX3</t>
        </is>
      </c>
      <c r="C51" s="39" t="inlineStr">
        <is>
          <t>SATIN-GOLD-QUEEN</t>
        </is>
      </c>
      <c r="D51" s="39" t="inlineStr">
        <is>
          <t>DECOLURE Satin Sheets Queen Size | Softer Than Silk | Luxury 4 Pc Bed Set</t>
        </is>
      </c>
      <c r="E51" s="39" t="inlineStr">
        <is>
          <t>Queen</t>
        </is>
      </c>
      <c r="F51" s="39" t="inlineStr">
        <is>
          <t>Gold</t>
        </is>
      </c>
      <c r="G51" s="73" t="n">
        <v>31.95</v>
      </c>
      <c r="H51" s="39" t="inlineStr">
        <is>
          <t>catalog price, 2026-10-13</t>
        </is>
      </c>
      <c r="I51" s="74" t="n">
        <v>31.95</v>
      </c>
      <c r="J51" s="75" t="inlineStr">
        <is>
          <t>2026-03-30</t>
        </is>
      </c>
      <c r="K51" s="40" t="n">
        <v>10.99</v>
      </c>
      <c r="L51" s="76" t="n">
        <v>0.3439749608763694</v>
      </c>
      <c r="M51" s="77" t="n">
        <v>22</v>
      </c>
      <c r="N51" s="39" t="inlineStr">
        <is>
          <t>Active</t>
        </is>
      </c>
      <c r="O51" s="39" t="n"/>
      <c r="P51" s="78" t="n">
        <v>4.4</v>
      </c>
      <c r="Q51" s="77" t="n">
        <v>18632</v>
      </c>
      <c r="R51" s="77" t="n">
        <v>10006</v>
      </c>
      <c r="S51" s="77" t="n">
        <v>10</v>
      </c>
      <c r="T51" s="39" t="n"/>
    </row>
    <row r="52" ht="62" customHeight="1">
      <c r="A52" s="12">
        <f>_xlfn.IMAGE("https://m.media-amazon.com/images/I/81gmHuZbW4L.jpg")</f>
        <v/>
      </c>
      <c r="B52" s="39" t="inlineStr">
        <is>
          <t>B08KRNYD9B</t>
        </is>
      </c>
      <c r="C52" s="39" t="inlineStr">
        <is>
          <t>SATIN-WHITE-FULL</t>
        </is>
      </c>
      <c r="D52" s="39" t="inlineStr">
        <is>
          <t>DECOLURE Satin Sheets Full Size | Softer Than Silk | Luxury 4 Pc Bed Set | Gentle on Hair &amp; Skin | Silky, Shiny Weave | 15 In Deep Pocket w Corner Straps | Full Sheet Set | White</t>
        </is>
      </c>
      <c r="E52" s="39" t="inlineStr">
        <is>
          <t>Full</t>
        </is>
      </c>
      <c r="F52" s="39" t="inlineStr">
        <is>
          <t>White</t>
        </is>
      </c>
      <c r="G52" s="73" t="n">
        <v>29.95</v>
      </c>
      <c r="H52" s="39" t="inlineStr">
        <is>
          <t>catalog price, 2026-10-13</t>
        </is>
      </c>
      <c r="I52" s="74" t="n">
        <v>29.95</v>
      </c>
      <c r="J52" s="75" t="inlineStr">
        <is>
          <t>2026-03-30</t>
        </is>
      </c>
      <c r="K52" s="40" t="n">
        <v>10.55</v>
      </c>
      <c r="L52" s="76" t="n">
        <v>0.3522537562604341</v>
      </c>
      <c r="M52" s="77" t="n">
        <v>19</v>
      </c>
      <c r="N52" s="39" t="inlineStr">
        <is>
          <t>Active</t>
        </is>
      </c>
      <c r="O52" s="39" t="n"/>
      <c r="P52" s="78" t="n">
        <v>4.4</v>
      </c>
      <c r="Q52" s="77" t="n">
        <v>18632</v>
      </c>
      <c r="R52" s="77" t="n">
        <v>10009</v>
      </c>
      <c r="S52" s="77" t="n">
        <v>15</v>
      </c>
      <c r="T52" s="39" t="n"/>
    </row>
    <row r="53" ht="62" customHeight="1">
      <c r="A53" s="12">
        <f>_xlfn.IMAGE("https://m.media-amazon.com/images/I/81zgEKHZOlL.jpg")</f>
        <v/>
      </c>
      <c r="B53" s="39" t="inlineStr">
        <is>
          <t>B0CNS8T4ZK</t>
        </is>
      </c>
      <c r="C53" s="39" t="inlineStr">
        <is>
          <t>SATIN-QUEEN-BLUSH PINK</t>
        </is>
      </c>
      <c r="D53" s="39" t="inlineStr">
        <is>
          <t>DECOLURE Satin Sheets Queen Size | Softer Than Silk | Luxury 4 Pc Bed Set</t>
        </is>
      </c>
      <c r="E53" s="39" t="inlineStr">
        <is>
          <t>Queen</t>
        </is>
      </c>
      <c r="F53" s="39" t="inlineStr">
        <is>
          <t>Blush Pink</t>
        </is>
      </c>
      <c r="G53" s="73" t="n">
        <v>36.95</v>
      </c>
      <c r="H53" s="39" t="inlineStr">
        <is>
          <t>catalog price, 2026-10-13</t>
        </is>
      </c>
      <c r="I53" s="74" t="n">
        <v>31.95</v>
      </c>
      <c r="J53" s="75" t="inlineStr">
        <is>
          <t>2026-03-30</t>
        </is>
      </c>
      <c r="K53" s="40" t="n">
        <v>10.96</v>
      </c>
      <c r="L53" s="76" t="n">
        <v>0.3430359937402191</v>
      </c>
      <c r="M53" s="77" t="n">
        <v>19</v>
      </c>
      <c r="N53" s="39" t="inlineStr">
        <is>
          <t>Active</t>
        </is>
      </c>
      <c r="O53" s="39" t="n"/>
      <c r="P53" s="78" t="n">
        <v>4.4</v>
      </c>
      <c r="Q53" s="77" t="n">
        <v>18632</v>
      </c>
      <c r="R53" s="77" t="n">
        <v>10006</v>
      </c>
      <c r="S53" s="77" t="n">
        <v>40</v>
      </c>
      <c r="T53" s="39" t="n"/>
    </row>
    <row r="54" ht="62" customHeight="1">
      <c r="A54" s="12">
        <f>_xlfn.IMAGE("https://m.media-amazon.com/images/I/81VtFuMce8L.jpg")</f>
        <v/>
      </c>
      <c r="B54" s="39" t="inlineStr">
        <is>
          <t>B0839L9RSB</t>
        </is>
      </c>
      <c r="C54" s="39" t="inlineStr">
        <is>
          <t>SATIN-FULL-BLUE</t>
        </is>
      </c>
      <c r="D54" s="39" t="inlineStr">
        <is>
          <t>DECOLURE Satin Bed Sheets - 4 Piece Luxury Silky Full Size Bedding Set - Softer Than Silk, Wrinkle-Free with 15” Deep Pocket Fitted Sheet, Perfect for Hair &amp; Skin, Gifts for Women (Blue)</t>
        </is>
      </c>
      <c r="E54" s="39" t="inlineStr">
        <is>
          <t>Full</t>
        </is>
      </c>
      <c r="F54" s="39" t="inlineStr">
        <is>
          <t>Blue</t>
        </is>
      </c>
      <c r="G54" s="73" t="n">
        <v>29.95</v>
      </c>
      <c r="H54" s="39" t="inlineStr">
        <is>
          <t>catalog price, 2026-10-13</t>
        </is>
      </c>
      <c r="I54" s="74" t="n">
        <v>29.95</v>
      </c>
      <c r="J54" s="75" t="inlineStr">
        <is>
          <t>2026-03-30</t>
        </is>
      </c>
      <c r="K54" s="40" t="n">
        <v>10.67</v>
      </c>
      <c r="L54" s="76" t="n">
        <v>0.3562604340567613</v>
      </c>
      <c r="M54" s="77" t="n">
        <v>18</v>
      </c>
      <c r="N54" s="39" t="inlineStr">
        <is>
          <t>Active</t>
        </is>
      </c>
      <c r="O54" s="39" t="n"/>
      <c r="P54" s="78" t="n">
        <v>4.4</v>
      </c>
      <c r="Q54" s="77" t="n">
        <v>18632</v>
      </c>
      <c r="R54" s="77" t="n">
        <v>10006</v>
      </c>
      <c r="S54" s="77" t="n">
        <v>12</v>
      </c>
      <c r="T54" s="39" t="n"/>
    </row>
    <row r="55" ht="62" customHeight="1">
      <c r="A55" s="12">
        <f>_xlfn.IMAGE("https://m.media-amazon.com/images/I/81xinUykzIL.jpg")</f>
        <v/>
      </c>
      <c r="B55" s="39" t="inlineStr">
        <is>
          <t>B0BG22CYFP</t>
        </is>
      </c>
      <c r="C55" s="39" t="inlineStr">
        <is>
          <t>SATIN-IVORY-FULL</t>
        </is>
      </c>
      <c r="D55" s="39" t="inlineStr">
        <is>
          <t>DECOLURE Satin Sheets Full Size | Softer Than Silk | Luxury 4 Pc Bed Set</t>
        </is>
      </c>
      <c r="E55" s="39" t="inlineStr">
        <is>
          <t>Full</t>
        </is>
      </c>
      <c r="F55" s="39" t="inlineStr">
        <is>
          <t>Ivory</t>
        </is>
      </c>
      <c r="G55" s="73" t="n">
        <v>31.95</v>
      </c>
      <c r="H55" s="39" t="inlineStr">
        <is>
          <t>catalog price, 2026-10-13</t>
        </is>
      </c>
      <c r="I55" s="74" t="n">
        <v>29.95</v>
      </c>
      <c r="J55" s="75" t="inlineStr">
        <is>
          <t>2026-03-30</t>
        </is>
      </c>
      <c r="K55" s="40" t="n">
        <v>9.32</v>
      </c>
      <c r="L55" s="76" t="n">
        <v>0.3111853088480802</v>
      </c>
      <c r="M55" s="77" t="n">
        <v>18</v>
      </c>
      <c r="N55" s="39" t="inlineStr">
        <is>
          <t>Active</t>
        </is>
      </c>
      <c r="O55" s="39" t="n"/>
      <c r="P55" s="78" t="n">
        <v>4.4</v>
      </c>
      <c r="Q55" s="77" t="n">
        <v>18632</v>
      </c>
      <c r="R55" s="77" t="n">
        <v>10006</v>
      </c>
      <c r="S55" s="77" t="n">
        <v>8</v>
      </c>
      <c r="T55" s="39" t="n"/>
    </row>
    <row r="56" ht="62" customHeight="1">
      <c r="A56" s="12">
        <f>_xlfn.IMAGE("https://m.media-amazon.com/images/I/81XsKf7Tk0L.jpg")</f>
        <v/>
      </c>
      <c r="B56" s="39" t="inlineStr">
        <is>
          <t>B08KRHBD49</t>
        </is>
      </c>
      <c r="C56" s="39" t="inlineStr">
        <is>
          <t>SATIN-RED-FULL</t>
        </is>
      </c>
      <c r="D56" s="39" t="inlineStr">
        <is>
          <t>DECOLURE Satin Sheets Full Size | Softer Than Silk | Luxury 4 Pc Bed Set</t>
        </is>
      </c>
      <c r="E56" s="39" t="inlineStr">
        <is>
          <t>Full</t>
        </is>
      </c>
      <c r="F56" s="39" t="inlineStr">
        <is>
          <t>Red</t>
        </is>
      </c>
      <c r="G56" s="73" t="n">
        <v>31.95</v>
      </c>
      <c r="H56" s="39" t="inlineStr">
        <is>
          <t>catalog price, 2026-10-13</t>
        </is>
      </c>
      <c r="I56" s="74" t="n">
        <v>47.95</v>
      </c>
      <c r="J56" s="75" t="inlineStr">
        <is>
          <t>2026-03-30</t>
        </is>
      </c>
      <c r="K56" s="40" t="n">
        <v>26.04000000000001</v>
      </c>
      <c r="L56" s="76" t="n">
        <v>0.543065693430657</v>
      </c>
      <c r="M56" s="77" t="n">
        <v>18</v>
      </c>
      <c r="N56" s="39" t="inlineStr">
        <is>
          <t>Active</t>
        </is>
      </c>
      <c r="O56" s="39" t="n"/>
      <c r="P56" s="78" t="n">
        <v>4.4</v>
      </c>
      <c r="Q56" s="77" t="n">
        <v>18632</v>
      </c>
      <c r="R56" s="77" t="n">
        <v>10006</v>
      </c>
      <c r="S56" s="77" t="n">
        <v>10</v>
      </c>
      <c r="T56" s="39" t="n"/>
    </row>
    <row r="57" ht="62" customHeight="1">
      <c r="A57" s="12">
        <f>_xlfn.IMAGE("https://m.media-amazon.com/images/I/81b2FINCUgL.jpg")</f>
        <v/>
      </c>
      <c r="B57" s="39" t="inlineStr">
        <is>
          <t>B0CQRY9WLG</t>
        </is>
      </c>
      <c r="C57" s="39" t="inlineStr">
        <is>
          <t>SATIN-4PC-FULL-SAGE GREEN</t>
        </is>
      </c>
      <c r="D57" s="39" t="inlineStr">
        <is>
          <t>DECOLURE Satin Sheets Full Size | Softer Than Silk | Luxury 4 Pc Bed Set</t>
        </is>
      </c>
      <c r="E57" s="39" t="inlineStr">
        <is>
          <t>Full</t>
        </is>
      </c>
      <c r="F57" s="39" t="inlineStr">
        <is>
          <t>Sage Green</t>
        </is>
      </c>
      <c r="G57" s="73" t="n">
        <v>29.95</v>
      </c>
      <c r="H57" s="39" t="inlineStr">
        <is>
          <t>catalog price, 2026-10-13</t>
        </is>
      </c>
      <c r="I57" s="74" t="n">
        <v>29.95</v>
      </c>
      <c r="J57" s="75" t="inlineStr">
        <is>
          <t>2026-03-30</t>
        </is>
      </c>
      <c r="K57" s="40" t="n">
        <v>9.77</v>
      </c>
      <c r="L57" s="76" t="n">
        <v>0.3262103505843072</v>
      </c>
      <c r="M57" s="77" t="n">
        <v>18</v>
      </c>
      <c r="N57" s="39" t="inlineStr">
        <is>
          <t>Active</t>
        </is>
      </c>
      <c r="O57" s="39" t="n"/>
      <c r="P57" s="78" t="n">
        <v>4.4</v>
      </c>
      <c r="Q57" s="77" t="n">
        <v>18632</v>
      </c>
      <c r="R57" s="77" t="n">
        <v>10006</v>
      </c>
      <c r="S57" s="77" t="n">
        <v>9</v>
      </c>
      <c r="T57" s="39" t="n"/>
    </row>
    <row r="58" ht="62" customHeight="1">
      <c r="A58" s="12">
        <f>_xlfn.IMAGE("https://m.media-amazon.com/images/I/81NiOUuge2L.jpg")</f>
        <v/>
      </c>
      <c r="B58" s="39" t="inlineStr">
        <is>
          <t>B0CQRZ6JQ3</t>
        </is>
      </c>
      <c r="C58" s="39" t="inlineStr">
        <is>
          <t>SATIN-4PC-QUEEN-BURNT ORANGE</t>
        </is>
      </c>
      <c r="D58" s="39" t="inlineStr">
        <is>
          <t>DECOLURE Satin Sheets Queen Size | Softer Than Silk | Luxury 4 Pc Bed Set</t>
        </is>
      </c>
      <c r="E58" s="39" t="inlineStr">
        <is>
          <t>Queen</t>
        </is>
      </c>
      <c r="F58" s="39" t="inlineStr">
        <is>
          <t>Burnt Orange</t>
        </is>
      </c>
      <c r="G58" s="73" t="n">
        <v>31.95</v>
      </c>
      <c r="H58" s="39" t="inlineStr">
        <is>
          <t>catalog price, 2026-10-13</t>
        </is>
      </c>
      <c r="I58" s="74" t="n">
        <v>31.95</v>
      </c>
      <c r="J58" s="75" t="inlineStr">
        <is>
          <t>2026-03-30</t>
        </is>
      </c>
      <c r="K58" s="40" t="n">
        <v>10.91</v>
      </c>
      <c r="L58" s="76" t="n">
        <v>0.341471048513302</v>
      </c>
      <c r="M58" s="77" t="n">
        <v>18</v>
      </c>
      <c r="N58" s="39" t="inlineStr">
        <is>
          <t>Active</t>
        </is>
      </c>
      <c r="O58" s="39" t="n"/>
      <c r="P58" s="78" t="n">
        <v>4.4</v>
      </c>
      <c r="Q58" s="77" t="n">
        <v>18632</v>
      </c>
      <c r="R58" s="77" t="n">
        <v>10006</v>
      </c>
      <c r="S58" s="77" t="n">
        <v>5</v>
      </c>
      <c r="T58" s="39" t="n"/>
    </row>
    <row r="59" ht="62" customHeight="1">
      <c r="A59" s="12">
        <f>_xlfn.IMAGE("https://m.media-amazon.com/images/I/813j5CwQxPL.jpg")</f>
        <v/>
      </c>
      <c r="B59" s="39" t="inlineStr">
        <is>
          <t>B0CQRYGLY3</t>
        </is>
      </c>
      <c r="C59" s="39" t="inlineStr">
        <is>
          <t>SATIN-4PC-FULL-NAVY BLUE</t>
        </is>
      </c>
      <c r="D59" s="39" t="inlineStr">
        <is>
          <t>DECOLURE Satin Sheets Full Size | Softer Than Silk | Luxury 4 Pc Bed Set</t>
        </is>
      </c>
      <c r="E59" s="39" t="inlineStr">
        <is>
          <t>Full</t>
        </is>
      </c>
      <c r="F59" s="39" t="inlineStr">
        <is>
          <t>Navy Blue</t>
        </is>
      </c>
      <c r="G59" s="73" t="n">
        <v>32.95</v>
      </c>
      <c r="H59" s="39" t="inlineStr">
        <is>
          <t>catalog price, 2026-10-13</t>
        </is>
      </c>
      <c r="I59" s="74" t="n">
        <v>29.95</v>
      </c>
      <c r="J59" s="75" t="inlineStr">
        <is>
          <t>2026-03-30</t>
        </is>
      </c>
      <c r="K59" s="40" t="n">
        <v>10.62</v>
      </c>
      <c r="L59" s="76" t="n">
        <v>0.3545909849749582</v>
      </c>
      <c r="M59" s="77" t="n">
        <v>17</v>
      </c>
      <c r="N59" s="39" t="inlineStr">
        <is>
          <t>Active</t>
        </is>
      </c>
      <c r="O59" s="39" t="n"/>
      <c r="P59" s="78" t="n">
        <v>4.4</v>
      </c>
      <c r="Q59" s="77" t="n">
        <v>18632</v>
      </c>
      <c r="R59" s="77" t="n">
        <v>10006</v>
      </c>
      <c r="S59" s="77" t="n">
        <v>9</v>
      </c>
      <c r="T59" s="39" t="n"/>
    </row>
    <row r="60" ht="62" customHeight="1">
      <c r="A60" s="12">
        <f>_xlfn.IMAGE("https://m.media-amazon.com/images/I/81zvGkE8vhL.jpg")</f>
        <v/>
      </c>
      <c r="B60" s="39" t="inlineStr">
        <is>
          <t>B0839L6QG5</t>
        </is>
      </c>
      <c r="C60" s="39" t="inlineStr">
        <is>
          <t>SATIN-FULL-PINK</t>
        </is>
      </c>
      <c r="D60" s="39" t="inlineStr">
        <is>
          <t>DECOLURE Satin Sheets Full Size | Softer Than Silk | Luxury 4 Pc Bed Set</t>
        </is>
      </c>
      <c r="E60" s="39" t="inlineStr">
        <is>
          <t>Full</t>
        </is>
      </c>
      <c r="F60" s="39" t="inlineStr">
        <is>
          <t>Pink</t>
        </is>
      </c>
      <c r="G60" s="73" t="n">
        <v>29.95</v>
      </c>
      <c r="H60" s="39" t="inlineStr">
        <is>
          <t>catalog price, 2026-10-13</t>
        </is>
      </c>
      <c r="I60" s="74" t="n">
        <v>29.95</v>
      </c>
      <c r="J60" s="75" t="inlineStr">
        <is>
          <t>2026-03-30</t>
        </is>
      </c>
      <c r="K60" s="40" t="n">
        <v>10.37</v>
      </c>
      <c r="L60" s="76" t="n">
        <v>0.3462437395659432</v>
      </c>
      <c r="M60" s="77" t="n">
        <v>17</v>
      </c>
      <c r="N60" s="39" t="inlineStr">
        <is>
          <t>Active</t>
        </is>
      </c>
      <c r="O60" s="39" t="n"/>
      <c r="P60" s="78" t="n">
        <v>4.4</v>
      </c>
      <c r="Q60" s="77" t="n">
        <v>18632</v>
      </c>
      <c r="R60" s="77" t="n">
        <v>10006</v>
      </c>
      <c r="S60" s="77" t="n">
        <v>11</v>
      </c>
      <c r="T60" s="39" t="n"/>
    </row>
    <row r="61" ht="62" customHeight="1">
      <c r="A61" s="12">
        <f>_xlfn.IMAGE("https://m.media-amazon.com/images/I/81NiOUuge2L.jpg")</f>
        <v/>
      </c>
      <c r="B61" s="39" t="inlineStr">
        <is>
          <t>B0CQRXP69H</t>
        </is>
      </c>
      <c r="C61" s="39" t="inlineStr">
        <is>
          <t>SATIN-4PC-KING-BURNT ORANGE</t>
        </is>
      </c>
      <c r="D61" s="39" t="inlineStr">
        <is>
          <t>DECOLURE Satin Sheets King Size | Softer Than Silk | Luxury 4 Pc Bed Set</t>
        </is>
      </c>
      <c r="E61" s="39" t="inlineStr">
        <is>
          <t>King</t>
        </is>
      </c>
      <c r="F61" s="39" t="inlineStr">
        <is>
          <t>Burnt Orange</t>
        </is>
      </c>
      <c r="G61" s="73" t="n">
        <v>33.95</v>
      </c>
      <c r="H61" s="39" t="inlineStr">
        <is>
          <t>catalog price, 2026-10-13</t>
        </is>
      </c>
      <c r="I61" s="74" t="n">
        <v>33.95</v>
      </c>
      <c r="J61" s="75" t="inlineStr">
        <is>
          <t>2026-03-30</t>
        </is>
      </c>
      <c r="K61" s="40" t="n">
        <v>11.07</v>
      </c>
      <c r="L61" s="76" t="n">
        <v>0.3260677466863033</v>
      </c>
      <c r="M61" s="77" t="n">
        <v>17</v>
      </c>
      <c r="N61" s="39" t="inlineStr">
        <is>
          <t>Active</t>
        </is>
      </c>
      <c r="O61" s="39" t="n"/>
      <c r="P61" s="78" t="n">
        <v>4.4</v>
      </c>
      <c r="Q61" s="77" t="n">
        <v>18632</v>
      </c>
      <c r="R61" s="77" t="n">
        <v>10006</v>
      </c>
      <c r="S61" s="77" t="n">
        <v>3</v>
      </c>
      <c r="T61" s="39" t="n"/>
    </row>
    <row r="62" ht="62" customHeight="1">
      <c r="A62" s="12">
        <f>_xlfn.IMAGE("https://m.media-amazon.com/images/I/81Omquwv1WL.jpg")</f>
        <v/>
      </c>
      <c r="B62" s="39" t="inlineStr">
        <is>
          <t>B0CQRX1Q8Z</t>
        </is>
      </c>
      <c r="C62" s="39" t="inlineStr">
        <is>
          <t>SATIN-4PC-KING-LAVENDER</t>
        </is>
      </c>
      <c r="D62" s="39" t="inlineStr">
        <is>
          <t>DECOLURE Satin Sheets King Size | Softer Than Silk | Luxury 4 Pc Bed Set</t>
        </is>
      </c>
      <c r="E62" s="39" t="inlineStr">
        <is>
          <t>King</t>
        </is>
      </c>
      <c r="F62" s="39" t="inlineStr">
        <is>
          <t>Lavender</t>
        </is>
      </c>
      <c r="G62" s="73" t="n">
        <v>33.95</v>
      </c>
      <c r="H62" s="39" t="inlineStr">
        <is>
          <t>catalog price, 2026-10-13</t>
        </is>
      </c>
      <c r="I62" s="74" t="n">
        <v>33.95</v>
      </c>
      <c r="J62" s="75" t="inlineStr">
        <is>
          <t>2026-03-30</t>
        </is>
      </c>
      <c r="K62" s="40" t="n">
        <v>10.78</v>
      </c>
      <c r="L62" s="76" t="n">
        <v>0.3175257731958763</v>
      </c>
      <c r="M62" s="77" t="n">
        <v>17</v>
      </c>
      <c r="N62" s="39" t="inlineStr">
        <is>
          <t>Active</t>
        </is>
      </c>
      <c r="O62" s="39" t="n"/>
      <c r="P62" s="78" t="n">
        <v>4.4</v>
      </c>
      <c r="Q62" s="77" t="n">
        <v>18632</v>
      </c>
      <c r="R62" s="77" t="n">
        <v>10006</v>
      </c>
      <c r="S62" s="77" t="n">
        <v>4</v>
      </c>
      <c r="T62" s="39" t="n"/>
    </row>
    <row r="63" ht="62" customHeight="1">
      <c r="A63" s="12">
        <f>_xlfn.IMAGE("https://m.media-amazon.com/images/I/81hy0m4qaGL.jpg")</f>
        <v/>
      </c>
      <c r="B63" s="39" t="inlineStr">
        <is>
          <t>B09G6N2PNK</t>
        </is>
      </c>
      <c r="C63" s="39" t="inlineStr">
        <is>
          <t>SATIN-STRIPE-KING-WHITE</t>
        </is>
      </c>
      <c r="D63" s="39" t="inlineStr">
        <is>
          <t>DECOLURE Satin Sheets King Size | Softer Than Silk | Luxury 4 Pc Bed Set</t>
        </is>
      </c>
      <c r="E63" s="39" t="inlineStr">
        <is>
          <t>King</t>
        </is>
      </c>
      <c r="F63" s="39" t="inlineStr">
        <is>
          <t>Striped White</t>
        </is>
      </c>
      <c r="G63" s="73" t="n">
        <v>33.95</v>
      </c>
      <c r="H63" s="39" t="inlineStr">
        <is>
          <t>catalog price, 2026-10-13</t>
        </is>
      </c>
      <c r="I63" s="74" t="n">
        <v>33.95</v>
      </c>
      <c r="J63" s="75" t="inlineStr">
        <is>
          <t>2026-03-30</t>
        </is>
      </c>
      <c r="K63" s="40" t="n">
        <v>9.790000000000003</v>
      </c>
      <c r="L63" s="76" t="n">
        <v>0.2883652430044183</v>
      </c>
      <c r="M63" s="77" t="n">
        <v>17</v>
      </c>
      <c r="N63" s="39" t="inlineStr">
        <is>
          <t>Active</t>
        </is>
      </c>
      <c r="O63" s="39" t="n"/>
      <c r="P63" s="78" t="n">
        <v>4.4</v>
      </c>
      <c r="Q63" s="77" t="n">
        <v>18632</v>
      </c>
      <c r="R63" s="77" t="n">
        <v>10006</v>
      </c>
      <c r="S63" s="77" t="n">
        <v>5</v>
      </c>
      <c r="T63" s="39" t="n"/>
    </row>
    <row r="64" ht="62" customHeight="1">
      <c r="A64" s="12">
        <f>_xlfn.IMAGE("https://m.media-amazon.com/images/I/81b2FINCUgL.jpg")</f>
        <v/>
      </c>
      <c r="B64" s="39" t="inlineStr">
        <is>
          <t>B0CQRWY3Y7</t>
        </is>
      </c>
      <c r="C64" s="39" t="inlineStr">
        <is>
          <t>SATIN-4PC-KING-SAGE GREEN</t>
        </is>
      </c>
      <c r="D64" s="39" t="inlineStr">
        <is>
          <t>DECOLURE Satin Sheets King Size | Softer Than Silk | Luxury 4 Pc Bed Set</t>
        </is>
      </c>
      <c r="E64" s="39" t="inlineStr">
        <is>
          <t>King</t>
        </is>
      </c>
      <c r="F64" s="39" t="inlineStr">
        <is>
          <t>Sage Green</t>
        </is>
      </c>
      <c r="G64" s="73" t="n">
        <v>33.95</v>
      </c>
      <c r="H64" s="39" t="inlineStr">
        <is>
          <t>catalog price, 2026-10-13</t>
        </is>
      </c>
      <c r="I64" s="74" t="n">
        <v>33.95</v>
      </c>
      <c r="J64" s="75" t="inlineStr">
        <is>
          <t>2026-03-30</t>
        </is>
      </c>
      <c r="K64" s="40" t="n">
        <v>10.56</v>
      </c>
      <c r="L64" s="76" t="n">
        <v>0.3110456553755523</v>
      </c>
      <c r="M64" s="77" t="n">
        <v>16</v>
      </c>
      <c r="N64" s="39" t="inlineStr">
        <is>
          <t>Active</t>
        </is>
      </c>
      <c r="O64" s="39" t="n"/>
      <c r="P64" s="78" t="n">
        <v>4.4</v>
      </c>
      <c r="Q64" s="77" t="n">
        <v>18632</v>
      </c>
      <c r="R64" s="77" t="n">
        <v>10006</v>
      </c>
      <c r="S64" s="77" t="n">
        <v>4</v>
      </c>
      <c r="T64" s="39" t="n"/>
    </row>
    <row r="65" ht="62" customHeight="1">
      <c r="A65" s="12">
        <f>_xlfn.IMAGE("https://m.media-amazon.com/images/I/81UtPaYWlbL.jpg")</f>
        <v/>
      </c>
      <c r="B65" s="39" t="inlineStr">
        <is>
          <t>B0BG1Z32KQ</t>
        </is>
      </c>
      <c r="C65" s="39" t="inlineStr">
        <is>
          <t>SATIN-SEA-TEAL-FULL</t>
        </is>
      </c>
      <c r="D65" s="39" t="inlineStr">
        <is>
          <t>DECOLURE Satin Sheets Full Size | Softer Than Silk | Luxury 4 Pc Bed Set</t>
        </is>
      </c>
      <c r="E65" s="39" t="inlineStr">
        <is>
          <t>Full</t>
        </is>
      </c>
      <c r="F65" s="39" t="inlineStr">
        <is>
          <t>Sea Teal</t>
        </is>
      </c>
      <c r="G65" s="73" t="n">
        <v>29.95</v>
      </c>
      <c r="H65" s="39" t="inlineStr">
        <is>
          <t>catalog price, 2026-10-13</t>
        </is>
      </c>
      <c r="I65" s="74" t="n">
        <v>29.95</v>
      </c>
      <c r="J65" s="75" t="inlineStr">
        <is>
          <t>2026-03-30</t>
        </is>
      </c>
      <c r="K65" s="40" t="n">
        <v>9.75</v>
      </c>
      <c r="L65" s="76" t="n">
        <v>0.3255425709515861</v>
      </c>
      <c r="M65" s="77" t="n">
        <v>15</v>
      </c>
      <c r="N65" s="39" t="inlineStr">
        <is>
          <t>Active</t>
        </is>
      </c>
      <c r="O65" s="39" t="n"/>
      <c r="P65" s="78" t="n">
        <v>4.4</v>
      </c>
      <c r="Q65" s="77" t="n">
        <v>18632</v>
      </c>
      <c r="R65" s="77" t="n">
        <v>10006</v>
      </c>
      <c r="S65" s="77" t="n">
        <v>10</v>
      </c>
      <c r="T65" s="39" t="n"/>
    </row>
    <row r="66" ht="62" customHeight="1">
      <c r="A66" s="12">
        <f>_xlfn.IMAGE("https://m.media-amazon.com/images/I/81owOVQLwdL.jpg")</f>
        <v/>
      </c>
      <c r="B66" s="39" t="inlineStr">
        <is>
          <t>B0CQRY9WLD</t>
        </is>
      </c>
      <c r="C66" s="39" t="inlineStr">
        <is>
          <t>SATIN-4PC-FULL-BABY BLUE</t>
        </is>
      </c>
      <c r="D66" s="39" t="inlineStr">
        <is>
          <t>DECOLURE Satin Sheets Full Size | Softer Than Silk | Luxury 4 Pc Bed Set</t>
        </is>
      </c>
      <c r="E66" s="39" t="inlineStr">
        <is>
          <t>Full</t>
        </is>
      </c>
      <c r="F66" s="39" t="inlineStr">
        <is>
          <t>Baby Blue</t>
        </is>
      </c>
      <c r="G66" s="73" t="n">
        <v>29.95</v>
      </c>
      <c r="H66" s="39" t="inlineStr">
        <is>
          <t>catalog price, 2026-10-13</t>
        </is>
      </c>
      <c r="I66" s="74" t="n">
        <v>29.95</v>
      </c>
      <c r="J66" s="75" t="inlineStr">
        <is>
          <t>2026-03-30</t>
        </is>
      </c>
      <c r="K66" s="40" t="n">
        <v>10.33</v>
      </c>
      <c r="L66" s="76" t="n">
        <v>0.3449081803005009</v>
      </c>
      <c r="M66" s="77" t="n">
        <v>14</v>
      </c>
      <c r="N66" s="39" t="inlineStr">
        <is>
          <t>Active</t>
        </is>
      </c>
      <c r="O66" s="39" t="n"/>
      <c r="P66" s="78" t="n">
        <v>4.4</v>
      </c>
      <c r="Q66" s="77" t="n">
        <v>18632</v>
      </c>
      <c r="R66" s="77" t="n">
        <v>10006</v>
      </c>
      <c r="S66" s="77" t="n">
        <v>9</v>
      </c>
      <c r="T66" s="39" t="n"/>
    </row>
    <row r="67" ht="62" customHeight="1">
      <c r="A67" s="12">
        <f>_xlfn.IMAGE("https://m.media-amazon.com/images/I/81hy0m4qaGL.jpg")</f>
        <v/>
      </c>
      <c r="B67" s="39" t="inlineStr">
        <is>
          <t>B09G6K328B</t>
        </is>
      </c>
      <c r="C67" s="39" t="inlineStr">
        <is>
          <t>SATIN-STRIPE-QUEEN-WHITE</t>
        </is>
      </c>
      <c r="D67" s="39" t="inlineStr">
        <is>
          <t>DECOLURE Satin Sheets Queen Size | Softer Than Silk | Luxury 4 Pc Bed Set</t>
        </is>
      </c>
      <c r="E67" s="39" t="inlineStr">
        <is>
          <t>Queen</t>
        </is>
      </c>
      <c r="F67" s="39" t="inlineStr">
        <is>
          <t>Striped White</t>
        </is>
      </c>
      <c r="G67" s="73" t="n">
        <v>31.95</v>
      </c>
      <c r="H67" s="39" t="inlineStr">
        <is>
          <t>catalog price, 2026-10-13</t>
        </is>
      </c>
      <c r="I67" s="74" t="n">
        <v>31.95</v>
      </c>
      <c r="J67" s="75" t="inlineStr">
        <is>
          <t>2026-03-30</t>
        </is>
      </c>
      <c r="K67" s="40" t="n">
        <v>9.529999999999999</v>
      </c>
      <c r="L67" s="76" t="n">
        <v>0.2982785602503912</v>
      </c>
      <c r="M67" s="77" t="n">
        <v>14</v>
      </c>
      <c r="N67" s="39" t="inlineStr">
        <is>
          <t>Active</t>
        </is>
      </c>
      <c r="O67" s="39" t="n"/>
      <c r="P67" s="78" t="n">
        <v>4.4</v>
      </c>
      <c r="Q67" s="77" t="n">
        <v>18632</v>
      </c>
      <c r="R67" s="77" t="n">
        <v>10006</v>
      </c>
      <c r="S67" s="77" t="n">
        <v>6</v>
      </c>
      <c r="T67" s="39" t="n"/>
    </row>
    <row r="68" ht="62" customHeight="1">
      <c r="A68" s="12">
        <f>_xlfn.IMAGE("https://m.media-amazon.com/images/I/81Bv43jZjZL.jpg")</f>
        <v/>
      </c>
      <c r="B68" s="39" t="inlineStr">
        <is>
          <t>B09G6LBXRX</t>
        </is>
      </c>
      <c r="C68" s="39" t="inlineStr">
        <is>
          <t>SATIN-STRIPE-QUEEN-BLACK</t>
        </is>
      </c>
      <c r="D68" s="39" t="inlineStr">
        <is>
          <t>DECOLURE Satin Sheets Queen Size | Softer Than Silk | Luxury 4 Pc Bed Set</t>
        </is>
      </c>
      <c r="E68" s="39" t="inlineStr">
        <is>
          <t>Queen</t>
        </is>
      </c>
      <c r="F68" s="39" t="inlineStr">
        <is>
          <t>Striped Black</t>
        </is>
      </c>
      <c r="G68" s="73" t="n">
        <v>31.95</v>
      </c>
      <c r="H68" s="39" t="inlineStr">
        <is>
          <t>catalog price, 2026-10-13</t>
        </is>
      </c>
      <c r="I68" s="74" t="n">
        <v>45.95</v>
      </c>
      <c r="J68" s="75" t="inlineStr">
        <is>
          <t>2026-03-30</t>
        </is>
      </c>
      <c r="K68" s="40" t="n">
        <v>21.89</v>
      </c>
      <c r="L68" s="76" t="n">
        <v>0.4763873775843309</v>
      </c>
      <c r="M68" s="77" t="n">
        <v>13</v>
      </c>
      <c r="N68" s="39" t="inlineStr">
        <is>
          <t>Active</t>
        </is>
      </c>
      <c r="O68" s="39" t="n"/>
      <c r="P68" s="78" t="n">
        <v>4.4</v>
      </c>
      <c r="Q68" s="77" t="n">
        <v>18632</v>
      </c>
      <c r="R68" s="77" t="n">
        <v>10006</v>
      </c>
      <c r="S68" s="77" t="n">
        <v>5</v>
      </c>
      <c r="T68" s="39" t="n"/>
    </row>
    <row r="69" ht="62" customHeight="1">
      <c r="A69" s="12">
        <f>_xlfn.IMAGE("https://m.media-amazon.com/images/I/81oeTNry2PL.jpg")</f>
        <v/>
      </c>
      <c r="B69" s="39" t="inlineStr">
        <is>
          <t>B0DBR4XYLB</t>
        </is>
      </c>
      <c r="C69" s="39" t="inlineStr">
        <is>
          <t>SATIN-4PCS-QUEEN-STRIPE-GRAY</t>
        </is>
      </c>
      <c r="D69" s="39" t="inlineStr">
        <is>
          <t>DECOLURE Satin Sheets Queen Size | Softer Than Silk | Luxury 4 Pc Bed Set</t>
        </is>
      </c>
      <c r="E69" s="39" t="inlineStr">
        <is>
          <t>Queen</t>
        </is>
      </c>
      <c r="F69" s="39" t="inlineStr">
        <is>
          <t>Striped Grey</t>
        </is>
      </c>
      <c r="G69" s="40" t="n"/>
      <c r="H69" s="39" t="n"/>
      <c r="I69" s="74" t="n">
        <v>25.49</v>
      </c>
      <c r="J69" s="75" t="inlineStr">
        <is>
          <t>2026-03-30</t>
        </is>
      </c>
      <c r="K69" s="40" t="n">
        <v>3.789999999999997</v>
      </c>
      <c r="L69" s="76" t="n">
        <v>0.1486857591212239</v>
      </c>
      <c r="M69" s="77" t="n">
        <v>13</v>
      </c>
      <c r="N69" s="39" t="inlineStr">
        <is>
          <t>Active</t>
        </is>
      </c>
      <c r="O69" s="39" t="n"/>
      <c r="P69" s="78" t="n"/>
      <c r="Q69" s="77" t="n"/>
      <c r="R69" s="77" t="n"/>
      <c r="S69" s="77" t="n"/>
      <c r="T69" s="39" t="n"/>
    </row>
    <row r="70" ht="62" customHeight="1">
      <c r="A70" s="12">
        <f>_xlfn.IMAGE("https://m.media-amazon.com/images/I/814U4uyFqnL.jpg")</f>
        <v/>
      </c>
      <c r="B70" s="39" t="inlineStr">
        <is>
          <t>B0CQRX2Z2G</t>
        </is>
      </c>
      <c r="C70" s="39" t="inlineStr">
        <is>
          <t>SATIN-4PC-FULL-DARK GREEN</t>
        </is>
      </c>
      <c r="D70" s="39" t="inlineStr">
        <is>
          <t>DECOLURE Satin Sheets Full Size | Softer Than Silk | Luxury 4 Pc Bed Set</t>
        </is>
      </c>
      <c r="E70" s="39" t="inlineStr">
        <is>
          <t>Full</t>
        </is>
      </c>
      <c r="F70" s="39" t="inlineStr">
        <is>
          <t>Dark Green</t>
        </is>
      </c>
      <c r="G70" s="73" t="n">
        <v>29.95</v>
      </c>
      <c r="H70" s="39" t="inlineStr">
        <is>
          <t>catalog price, 2026-10-13</t>
        </is>
      </c>
      <c r="I70" s="74" t="n">
        <v>29.95</v>
      </c>
      <c r="J70" s="75" t="inlineStr">
        <is>
          <t>2026-03-30</t>
        </is>
      </c>
      <c r="K70" s="40" t="n">
        <v>10.33</v>
      </c>
      <c r="L70" s="76" t="n">
        <v>0.3449081803005009</v>
      </c>
      <c r="M70" s="77" t="n">
        <v>12</v>
      </c>
      <c r="N70" s="39" t="inlineStr">
        <is>
          <t>Active</t>
        </is>
      </c>
      <c r="O70" s="39" t="n"/>
      <c r="P70" s="78" t="n">
        <v>4.4</v>
      </c>
      <c r="Q70" s="77" t="n">
        <v>18632</v>
      </c>
      <c r="R70" s="77" t="n">
        <v>10009</v>
      </c>
      <c r="S70" s="77" t="n">
        <v>8</v>
      </c>
      <c r="T70" s="39" t="n"/>
    </row>
    <row r="71" ht="62" customHeight="1">
      <c r="A71" s="12">
        <f>_xlfn.IMAGE("https://m.media-amazon.com/images/I/81Ktu4N6y2L.jpg")</f>
        <v/>
      </c>
      <c r="B71" s="39" t="inlineStr">
        <is>
          <t>B0DBQVFTZS</t>
        </is>
      </c>
      <c r="C71" s="39" t="inlineStr">
        <is>
          <t>SATIN-4PCS-FULL-ROSEWOOD</t>
        </is>
      </c>
      <c r="D71" s="39" t="inlineStr">
        <is>
          <t>DECOLURE Satin Sheets Full Size | Softer Than Silk | Luxury 4 Pc Bed Set</t>
        </is>
      </c>
      <c r="E71" s="39" t="inlineStr">
        <is>
          <t>Full</t>
        </is>
      </c>
      <c r="F71" s="39" t="inlineStr">
        <is>
          <t>Rosewood</t>
        </is>
      </c>
      <c r="G71" s="73" t="n">
        <v>32.95</v>
      </c>
      <c r="H71" s="39" t="inlineStr">
        <is>
          <t>catalog price, 2026-10-13</t>
        </is>
      </c>
      <c r="I71" s="74" t="n">
        <v>29.95</v>
      </c>
      <c r="J71" s="75" t="inlineStr">
        <is>
          <t>2026-03-30</t>
        </is>
      </c>
      <c r="K71" s="40" t="n">
        <v>9.369999999999999</v>
      </c>
      <c r="L71" s="76" t="n">
        <v>0.3128547579298831</v>
      </c>
      <c r="M71" s="77" t="n">
        <v>12</v>
      </c>
      <c r="N71" s="39" t="inlineStr">
        <is>
          <t>Active</t>
        </is>
      </c>
      <c r="O71" s="39" t="n"/>
      <c r="P71" s="78" t="n">
        <v>4.4</v>
      </c>
      <c r="Q71" s="77" t="n">
        <v>18632</v>
      </c>
      <c r="R71" s="77" t="n">
        <v>10006</v>
      </c>
      <c r="S71" s="77" t="n">
        <v>10</v>
      </c>
      <c r="T71" s="39" t="n"/>
    </row>
    <row r="72" ht="62" customHeight="1">
      <c r="A72" s="12">
        <f>_xlfn.IMAGE("https://m.media-amazon.com/images/I/81-wlwJoLcL.jpg")</f>
        <v/>
      </c>
      <c r="B72" s="39" t="inlineStr">
        <is>
          <t>B09G6KCTXW</t>
        </is>
      </c>
      <c r="C72" s="39" t="inlineStr">
        <is>
          <t>SATIN-STRIPE-QUEEN-RED</t>
        </is>
      </c>
      <c r="D72" s="39" t="inlineStr">
        <is>
          <t>DECOLURE Satin Sheets Queen Size | Softer Than Silk | Luxury 4 Pc Bed Set</t>
        </is>
      </c>
      <c r="E72" s="39" t="inlineStr">
        <is>
          <t>Queen</t>
        </is>
      </c>
      <c r="F72" s="39" t="inlineStr">
        <is>
          <t>Striped Red</t>
        </is>
      </c>
      <c r="G72" s="73" t="n">
        <v>31.95</v>
      </c>
      <c r="H72" s="39" t="inlineStr">
        <is>
          <t>catalog price, 2026-10-13</t>
        </is>
      </c>
      <c r="I72" s="74" t="n">
        <v>31.95</v>
      </c>
      <c r="J72" s="75" t="inlineStr">
        <is>
          <t>2026-03-30</t>
        </is>
      </c>
      <c r="K72" s="40" t="n">
        <v>9.879999999999999</v>
      </c>
      <c r="L72" s="76" t="n">
        <v>0.3092331768388106</v>
      </c>
      <c r="M72" s="77" t="n">
        <v>11</v>
      </c>
      <c r="N72" s="39" t="inlineStr">
        <is>
          <t>Active</t>
        </is>
      </c>
      <c r="O72" s="39" t="n"/>
      <c r="P72" s="78" t="n">
        <v>4.4</v>
      </c>
      <c r="Q72" s="77" t="n">
        <v>18632</v>
      </c>
      <c r="R72" s="77" t="n">
        <v>10009</v>
      </c>
      <c r="S72" s="77" t="n">
        <v>5</v>
      </c>
      <c r="T72" s="39" t="n"/>
    </row>
    <row r="73" ht="62" customHeight="1">
      <c r="A73" s="12">
        <f>_xlfn.IMAGE("https://m.media-amazon.com/images/I/81Omquwv1WL.jpg")</f>
        <v/>
      </c>
      <c r="B73" s="39" t="inlineStr">
        <is>
          <t>B0CQRXZLFQ</t>
        </is>
      </c>
      <c r="C73" s="39" t="inlineStr">
        <is>
          <t>SATIN-4PC-FULL-LAVENDER</t>
        </is>
      </c>
      <c r="D73" s="39" t="inlineStr">
        <is>
          <t>DECOLURE Satin Sheets Full Size | Softer Than Silk | Luxury 4 Pc Bed Set</t>
        </is>
      </c>
      <c r="E73" s="39" t="inlineStr">
        <is>
          <t>Full</t>
        </is>
      </c>
      <c r="F73" s="39" t="inlineStr">
        <is>
          <t>Lavender</t>
        </is>
      </c>
      <c r="G73" s="73" t="n">
        <v>29.95</v>
      </c>
      <c r="H73" s="39" t="inlineStr">
        <is>
          <t>catalog price, 2026-10-13</t>
        </is>
      </c>
      <c r="I73" s="74" t="n">
        <v>29.95</v>
      </c>
      <c r="J73" s="75" t="inlineStr">
        <is>
          <t>2026-03-30</t>
        </is>
      </c>
      <c r="K73" s="40" t="n">
        <v>10.59</v>
      </c>
      <c r="L73" s="76" t="n">
        <v>0.3535893155258765</v>
      </c>
      <c r="M73" s="77" t="n">
        <v>9</v>
      </c>
      <c r="N73" s="39" t="inlineStr">
        <is>
          <t>Active</t>
        </is>
      </c>
      <c r="O73" s="39" t="n"/>
      <c r="P73" s="78" t="n">
        <v>4.4</v>
      </c>
      <c r="Q73" s="77" t="n">
        <v>18632</v>
      </c>
      <c r="R73" s="77" t="n">
        <v>10006</v>
      </c>
      <c r="S73" s="77" t="n">
        <v>10</v>
      </c>
      <c r="T73" s="39" t="n"/>
    </row>
    <row r="74" ht="62" customHeight="1">
      <c r="A74" s="12">
        <f>_xlfn.IMAGE("https://m.media-amazon.com/images/I/81o+0vlhHBL.jpg")</f>
        <v/>
      </c>
      <c r="B74" s="39" t="inlineStr">
        <is>
          <t>B0HCZKG6Q8</t>
        </is>
      </c>
      <c r="C74" s="39" t="inlineStr">
        <is>
          <t>SATIN-STRIPE-KING-GRAY-4PCS</t>
        </is>
      </c>
      <c r="D74" s="39" t="inlineStr">
        <is>
          <t>DECOLURE Satin Sheets King Size | Softer Than Silk | Luxury 4 Pc Bed Set</t>
        </is>
      </c>
      <c r="E74" s="39" t="inlineStr">
        <is>
          <t>King</t>
        </is>
      </c>
      <c r="F74" s="39" t="inlineStr">
        <is>
          <t>Striped Grey</t>
        </is>
      </c>
      <c r="G74" s="73" t="n">
        <v>33.95</v>
      </c>
      <c r="H74" s="39" t="inlineStr">
        <is>
          <t>catalog price, 2026-10-13</t>
        </is>
      </c>
      <c r="I74" s="40" t="n"/>
      <c r="J74" s="39" t="n"/>
      <c r="K74" s="40" t="n"/>
      <c r="L74" s="76" t="n"/>
      <c r="M74" s="77" t="n">
        <v>9</v>
      </c>
      <c r="N74" s="39" t="inlineStr">
        <is>
          <t>Active</t>
        </is>
      </c>
      <c r="O74" s="39" t="n"/>
      <c r="P74" s="78" t="n">
        <v>4.4</v>
      </c>
      <c r="Q74" s="77" t="n">
        <v>18632</v>
      </c>
      <c r="R74" s="77" t="n">
        <v>10009</v>
      </c>
      <c r="S74" s="77" t="n">
        <v>0</v>
      </c>
      <c r="T74" s="39" t="n"/>
    </row>
    <row r="75" ht="62" customHeight="1">
      <c r="A75" s="12">
        <f>_xlfn.IMAGE("https://m.media-amazon.com/images/I/81ljfausmpL.jpg")</f>
        <v/>
      </c>
      <c r="B75" s="39" t="inlineStr">
        <is>
          <t>B0839M8LP5</t>
        </is>
      </c>
      <c r="C75" s="39" t="inlineStr">
        <is>
          <t>SATIN-TWIN-GREY</t>
        </is>
      </c>
      <c r="D75" s="39" t="inlineStr">
        <is>
          <t>DECOLURE Satin Sheets Twin Size | Softer Than Silk | Luxury 3 Pc Bed Set</t>
        </is>
      </c>
      <c r="E75" s="39" t="inlineStr">
        <is>
          <t>Twin</t>
        </is>
      </c>
      <c r="F75" s="39" t="inlineStr">
        <is>
          <t>Grey</t>
        </is>
      </c>
      <c r="G75" s="73" t="n">
        <v>27.95</v>
      </c>
      <c r="H75" s="39" t="inlineStr">
        <is>
          <t>catalog price, 2026-10-13</t>
        </is>
      </c>
      <c r="I75" s="74" t="n">
        <v>27.95</v>
      </c>
      <c r="J75" s="75" t="inlineStr">
        <is>
          <t>2026-03-30</t>
        </is>
      </c>
      <c r="K75" s="40" t="n">
        <v>9.619999999999999</v>
      </c>
      <c r="L75" s="76" t="n">
        <v>0.3441860465116279</v>
      </c>
      <c r="M75" s="77" t="n">
        <v>9</v>
      </c>
      <c r="N75" s="39" t="inlineStr">
        <is>
          <t>Active</t>
        </is>
      </c>
      <c r="O75" s="39" t="n"/>
      <c r="P75" s="78" t="n">
        <v>4.4</v>
      </c>
      <c r="Q75" s="77" t="n">
        <v>18632</v>
      </c>
      <c r="R75" s="77" t="n">
        <v>10006</v>
      </c>
      <c r="S75" s="77" t="n">
        <v>17</v>
      </c>
      <c r="T75" s="39" t="n"/>
    </row>
    <row r="76" ht="62" customHeight="1">
      <c r="A76" s="12">
        <f>_xlfn.IMAGE("https://m.media-amazon.com/images/I/81oeTNry2PL.jpg")</f>
        <v/>
      </c>
      <c r="B76" s="39" t="inlineStr">
        <is>
          <t>B09G6J1HVY</t>
        </is>
      </c>
      <c r="C76" s="39" t="inlineStr">
        <is>
          <t>SATIN-STRIPE-FULL-GRAY</t>
        </is>
      </c>
      <c r="D76" s="39" t="inlineStr">
        <is>
          <t>DECOLURE Satin Sheets Full Size | Softer Than Silk | Luxury 4 Pc Bed Set</t>
        </is>
      </c>
      <c r="E76" s="39" t="inlineStr">
        <is>
          <t>Full</t>
        </is>
      </c>
      <c r="F76" s="39" t="inlineStr">
        <is>
          <t>Striped Grey</t>
        </is>
      </c>
      <c r="G76" s="73" t="n">
        <v>29.95</v>
      </c>
      <c r="H76" s="39" t="inlineStr">
        <is>
          <t>catalog price, 2026-10-13</t>
        </is>
      </c>
      <c r="I76" s="74" t="n">
        <v>48.95</v>
      </c>
      <c r="J76" s="75" t="inlineStr">
        <is>
          <t>2026-03-30</t>
        </is>
      </c>
      <c r="K76" s="40" t="n">
        <v>25.61</v>
      </c>
      <c r="L76" s="76" t="n">
        <v>0.5231869254341164</v>
      </c>
      <c r="M76" s="77" t="n">
        <v>8</v>
      </c>
      <c r="N76" s="39" t="inlineStr">
        <is>
          <t>Active</t>
        </is>
      </c>
      <c r="O76" s="39" t="n"/>
      <c r="P76" s="78" t="n">
        <v>4.4</v>
      </c>
      <c r="Q76" s="77" t="n">
        <v>18632</v>
      </c>
      <c r="R76" s="77" t="n">
        <v>10009</v>
      </c>
      <c r="S76" s="77" t="n">
        <v>9</v>
      </c>
      <c r="T76" s="39" t="n"/>
    </row>
    <row r="77" ht="62" customHeight="1">
      <c r="A77" s="12">
        <f>_xlfn.IMAGE("https://m.media-amazon.com/images/I/81zvGkE8vhL.jpg")</f>
        <v/>
      </c>
      <c r="B77" s="39" t="inlineStr">
        <is>
          <t>B0839LK8DB</t>
        </is>
      </c>
      <c r="C77" s="39" t="inlineStr">
        <is>
          <t>SATIN-KING-PINK</t>
        </is>
      </c>
      <c r="D77" s="39" t="inlineStr">
        <is>
          <t>DECOLURE Satin Bed Sheets - 4 Piece Luxury Silky King Size Bedding Set - Softer Than Silk, Wrinkle-Free with 15” Deep Pocket Fitted Sheet, Perfect for Hair &amp; Skin, Gifts for Women (Pink)</t>
        </is>
      </c>
      <c r="E77" s="39" t="inlineStr">
        <is>
          <t>King</t>
        </is>
      </c>
      <c r="F77" s="39" t="inlineStr">
        <is>
          <t>Pink</t>
        </is>
      </c>
      <c r="G77" s="73" t="n">
        <v>33.95</v>
      </c>
      <c r="H77" s="39" t="inlineStr">
        <is>
          <t>catalog price, 2026-10-13</t>
        </is>
      </c>
      <c r="I77" s="74" t="n">
        <v>33.95</v>
      </c>
      <c r="J77" s="75" t="inlineStr">
        <is>
          <t>2026-03-30</t>
        </is>
      </c>
      <c r="K77" s="40" t="n">
        <v>10.2</v>
      </c>
      <c r="L77" s="76" t="n">
        <v>0.3004418262150221</v>
      </c>
      <c r="M77" s="77" t="n">
        <v>8</v>
      </c>
      <c r="N77" s="39" t="inlineStr">
        <is>
          <t>Active</t>
        </is>
      </c>
      <c r="O77" s="39" t="n"/>
      <c r="P77" s="78" t="n">
        <v>4.4</v>
      </c>
      <c r="Q77" s="77" t="n">
        <v>18632</v>
      </c>
      <c r="R77" s="77" t="n">
        <v>10006</v>
      </c>
      <c r="S77" s="77" t="n">
        <v>4</v>
      </c>
      <c r="T77" s="39" t="n"/>
    </row>
    <row r="78" ht="62" customHeight="1">
      <c r="A78" s="12">
        <f>_xlfn.IMAGE("https://m.media-amazon.com/images/I/81O3uGmaMWL.jpg")</f>
        <v/>
      </c>
      <c r="B78" s="39" t="inlineStr">
        <is>
          <t>B0CQRZ6KRR</t>
        </is>
      </c>
      <c r="C78" s="39" t="inlineStr">
        <is>
          <t>SATIN-3PC-TWIN-NAVY BLUE</t>
        </is>
      </c>
      <c r="D78" s="39" t="inlineStr">
        <is>
          <t>DECOLURE Satin Sheets Twin Size | Softer Than Silk | Luxury 3 Pc Bed Set</t>
        </is>
      </c>
      <c r="E78" s="39" t="inlineStr">
        <is>
          <t>Twin</t>
        </is>
      </c>
      <c r="F78" s="39" t="inlineStr">
        <is>
          <t>Navy Blue</t>
        </is>
      </c>
      <c r="G78" s="73" t="n">
        <v>27.95</v>
      </c>
      <c r="H78" s="39" t="inlineStr">
        <is>
          <t>catalog price, 2026-10-13</t>
        </is>
      </c>
      <c r="I78" s="74" t="n">
        <v>27.95</v>
      </c>
      <c r="J78" s="75" t="inlineStr">
        <is>
          <t>2026-03-30</t>
        </is>
      </c>
      <c r="K78" s="40" t="n">
        <v>10.44</v>
      </c>
      <c r="L78" s="76" t="n">
        <v>0.3735241502683364</v>
      </c>
      <c r="M78" s="77" t="n">
        <v>8</v>
      </c>
      <c r="N78" s="39" t="inlineStr">
        <is>
          <t>Active</t>
        </is>
      </c>
      <c r="O78" s="39" t="n"/>
      <c r="P78" s="78" t="n">
        <v>4.4</v>
      </c>
      <c r="Q78" s="77" t="n">
        <v>18632</v>
      </c>
      <c r="R78" s="77" t="n">
        <v>10006</v>
      </c>
      <c r="S78" s="77" t="n">
        <v>15</v>
      </c>
      <c r="T78" s="39" t="n"/>
    </row>
    <row r="79" ht="62" customHeight="1">
      <c r="A79" s="12">
        <f>_xlfn.IMAGE("https://m.media-amazon.com/images/I/81x0CFZ3vUL.jpg")</f>
        <v/>
      </c>
      <c r="B79" s="39" t="inlineStr">
        <is>
          <t>B0BG22FCVJ</t>
        </is>
      </c>
      <c r="C79" s="39" t="inlineStr">
        <is>
          <t>SATIN-ROSEWOOD-TWIN</t>
        </is>
      </c>
      <c r="D79" s="39" t="inlineStr">
        <is>
          <t>DECOLURE Satin Sheets Twin Size | Softer Than Silk | Luxury 3 Pc Bed Set</t>
        </is>
      </c>
      <c r="E79" s="39" t="inlineStr">
        <is>
          <t>Twin</t>
        </is>
      </c>
      <c r="F79" s="39" t="inlineStr">
        <is>
          <t>Rosewood</t>
        </is>
      </c>
      <c r="G79" s="73" t="n">
        <v>27.95</v>
      </c>
      <c r="H79" s="39" t="inlineStr">
        <is>
          <t>catalog price, 2026-10-13</t>
        </is>
      </c>
      <c r="I79" s="74" t="n">
        <v>34.95</v>
      </c>
      <c r="J79" s="75" t="inlineStr">
        <is>
          <t>2026-03-30</t>
        </is>
      </c>
      <c r="K79" s="40" t="n">
        <v>16.37</v>
      </c>
      <c r="L79" s="76" t="n">
        <v>0.4683834048640915</v>
      </c>
      <c r="M79" s="77" t="n">
        <v>8</v>
      </c>
      <c r="N79" s="39" t="inlineStr">
        <is>
          <t>Active</t>
        </is>
      </c>
      <c r="O79" s="39" t="n"/>
      <c r="P79" s="78" t="n">
        <v>4.4</v>
      </c>
      <c r="Q79" s="77" t="n">
        <v>18632</v>
      </c>
      <c r="R79" s="77" t="n">
        <v>10009</v>
      </c>
      <c r="S79" s="77" t="n">
        <v>17</v>
      </c>
      <c r="T79" s="39" t="n"/>
    </row>
    <row r="80" ht="62" customHeight="1">
      <c r="A80" s="12">
        <f>_xlfn.IMAGE("https://m.media-amazon.com/images/I/81Owp6T1ibL.jpg")</f>
        <v/>
      </c>
      <c r="B80" s="39" t="inlineStr">
        <is>
          <t>B0BZPYNXPB</t>
        </is>
      </c>
      <c r="C80" s="39" t="inlineStr">
        <is>
          <t>SATIN-CHAMPAGNE-FULL</t>
        </is>
      </c>
      <c r="D80" s="39" t="inlineStr">
        <is>
          <t>DECOLURE Satin Sheets Full Size | Softer Than Silk | Luxury 4 Pc Bed Set</t>
        </is>
      </c>
      <c r="E80" s="39" t="inlineStr">
        <is>
          <t>Full</t>
        </is>
      </c>
      <c r="F80" s="39" t="inlineStr">
        <is>
          <t>Champagne</t>
        </is>
      </c>
      <c r="G80" s="73" t="n">
        <v>29.95</v>
      </c>
      <c r="H80" s="39" t="inlineStr">
        <is>
          <t>catalog price, 2026-10-13</t>
        </is>
      </c>
      <c r="I80" s="74" t="n">
        <v>26.95</v>
      </c>
      <c r="J80" s="75" t="inlineStr">
        <is>
          <t>2026-03-30</t>
        </is>
      </c>
      <c r="K80" s="40" t="n">
        <v>7.609999999999999</v>
      </c>
      <c r="L80" s="76" t="n">
        <v>0.2823747680890538</v>
      </c>
      <c r="M80" s="77" t="n">
        <v>7</v>
      </c>
      <c r="N80" s="39" t="inlineStr">
        <is>
          <t>Active</t>
        </is>
      </c>
      <c r="O80" s="39" t="n"/>
      <c r="P80" s="78" t="n">
        <v>4.4</v>
      </c>
      <c r="Q80" s="77" t="n">
        <v>18632</v>
      </c>
      <c r="R80" s="77" t="n">
        <v>10009</v>
      </c>
      <c r="S80" s="77" t="n">
        <v>9</v>
      </c>
      <c r="T80" s="39" t="n"/>
    </row>
    <row r="81" ht="62" customHeight="1">
      <c r="A81" s="12">
        <f>_xlfn.IMAGE("https://m.media-amazon.com/images/I/81zgEKHZOlL.jpg")</f>
        <v/>
      </c>
      <c r="B81" s="39" t="inlineStr">
        <is>
          <t>B0CNS9KLZR</t>
        </is>
      </c>
      <c r="C81" s="39" t="inlineStr">
        <is>
          <t>SATIN-KING-BLUSH PINK</t>
        </is>
      </c>
      <c r="D81" s="39" t="inlineStr">
        <is>
          <t>DECOLURE Satin Sheets King Size | Softer Than Silk | Luxury 4 Pc Bed Set</t>
        </is>
      </c>
      <c r="E81" s="39" t="inlineStr">
        <is>
          <t>King</t>
        </is>
      </c>
      <c r="F81" s="39" t="inlineStr">
        <is>
          <t>Blush Pink</t>
        </is>
      </c>
      <c r="G81" s="73" t="n">
        <v>33.95</v>
      </c>
      <c r="H81" s="39" t="inlineStr">
        <is>
          <t>catalog price, 2026-10-13</t>
        </is>
      </c>
      <c r="I81" s="74" t="n">
        <v>33.95</v>
      </c>
      <c r="J81" s="75" t="inlineStr">
        <is>
          <t>2026-03-30</t>
        </is>
      </c>
      <c r="K81" s="40" t="n">
        <v>10.6</v>
      </c>
      <c r="L81" s="76" t="n">
        <v>0.3122238586156112</v>
      </c>
      <c r="M81" s="77" t="n">
        <v>7</v>
      </c>
      <c r="N81" s="39" t="inlineStr">
        <is>
          <t>Active</t>
        </is>
      </c>
      <c r="O81" s="39" t="n"/>
      <c r="P81" s="78" t="n">
        <v>4.4</v>
      </c>
      <c r="Q81" s="77" t="n">
        <v>18632</v>
      </c>
      <c r="R81" s="77" t="n">
        <v>10006</v>
      </c>
      <c r="S81" s="77" t="n">
        <v>6</v>
      </c>
      <c r="T81" s="39" t="n"/>
    </row>
    <row r="82" ht="62" customHeight="1">
      <c r="A82" s="12">
        <f>_xlfn.IMAGE("https://m.media-amazon.com/images/I/81zDJ9hFOlL.jpg")</f>
        <v/>
      </c>
      <c r="B82" s="39" t="inlineStr">
        <is>
          <t>B09G6K9C65</t>
        </is>
      </c>
      <c r="C82" s="39" t="inlineStr">
        <is>
          <t>SATIN-STRIPE-QUEEN-GOLD</t>
        </is>
      </c>
      <c r="D82" s="39" t="inlineStr">
        <is>
          <t>DECOLURE Satin Sheets Queen Size | Softer Than Silk | Luxury 4 Pc Bed Set</t>
        </is>
      </c>
      <c r="E82" s="39" t="inlineStr">
        <is>
          <t>Queen</t>
        </is>
      </c>
      <c r="F82" s="39" t="inlineStr">
        <is>
          <t>Striped Gold</t>
        </is>
      </c>
      <c r="G82" s="73" t="n">
        <v>31.95</v>
      </c>
      <c r="H82" s="39" t="inlineStr">
        <is>
          <t>catalog price, 2026-10-13</t>
        </is>
      </c>
      <c r="I82" s="74" t="n">
        <v>31.95</v>
      </c>
      <c r="J82" s="75" t="inlineStr">
        <is>
          <t>2026-03-30</t>
        </is>
      </c>
      <c r="K82" s="40" t="n">
        <v>9.279999999999999</v>
      </c>
      <c r="L82" s="76" t="n">
        <v>0.2904538341158059</v>
      </c>
      <c r="M82" s="77" t="n">
        <v>7</v>
      </c>
      <c r="N82" s="39" t="inlineStr">
        <is>
          <t>Active</t>
        </is>
      </c>
      <c r="O82" s="39" t="n"/>
      <c r="P82" s="78" t="n">
        <v>4.4</v>
      </c>
      <c r="Q82" s="77" t="n">
        <v>18632</v>
      </c>
      <c r="R82" s="77" t="n">
        <v>10006</v>
      </c>
      <c r="S82" s="77" t="n">
        <v>5</v>
      </c>
      <c r="T82" s="39" t="n"/>
    </row>
    <row r="83" ht="62" customHeight="1">
      <c r="A83" s="12">
        <f>_xlfn.IMAGE("https://m.media-amazon.com/images/I/81HKWhCknYL.jpg")</f>
        <v/>
      </c>
      <c r="B83" s="39" t="inlineStr">
        <is>
          <t>B09G6JSW33</t>
        </is>
      </c>
      <c r="C83" s="39" t="inlineStr">
        <is>
          <t>SATIN-STRIPE-QUEEN-PINK</t>
        </is>
      </c>
      <c r="D83" s="39" t="inlineStr">
        <is>
          <t>DECOLURE Satin Sheets Queen Size | Softer Than Silk | Luxury 4 Pc Bed Set</t>
        </is>
      </c>
      <c r="E83" s="39" t="inlineStr">
        <is>
          <t>Queen</t>
        </is>
      </c>
      <c r="F83" s="39" t="inlineStr">
        <is>
          <t>Striped Pink</t>
        </is>
      </c>
      <c r="G83" s="73" t="n">
        <v>31.95</v>
      </c>
      <c r="H83" s="39" t="inlineStr">
        <is>
          <t>catalog price, 2026-10-13</t>
        </is>
      </c>
      <c r="I83" s="74" t="n">
        <v>31.95</v>
      </c>
      <c r="J83" s="75" t="inlineStr">
        <is>
          <t>2026-03-30</t>
        </is>
      </c>
      <c r="K83" s="40" t="n">
        <v>10.09</v>
      </c>
      <c r="L83" s="76" t="n">
        <v>0.3158059467918623</v>
      </c>
      <c r="M83" s="77" t="n">
        <v>7</v>
      </c>
      <c r="N83" s="39" t="inlineStr">
        <is>
          <t>Active</t>
        </is>
      </c>
      <c r="O83" s="39" t="n"/>
      <c r="P83" s="78" t="n">
        <v>4.4</v>
      </c>
      <c r="Q83" s="77" t="n">
        <v>18632</v>
      </c>
      <c r="R83" s="77" t="n">
        <v>10006</v>
      </c>
      <c r="S83" s="77" t="n">
        <v>5</v>
      </c>
      <c r="T83" s="39" t="n"/>
    </row>
    <row r="84" ht="62" customHeight="1">
      <c r="A84" s="12">
        <f>_xlfn.IMAGE("https://m.media-amazon.com/images/I/817oa7VO10L.jpg")</f>
        <v/>
      </c>
      <c r="B84" s="39" t="inlineStr">
        <is>
          <t>B0CQRXM35T</t>
        </is>
      </c>
      <c r="C84" s="39" t="inlineStr">
        <is>
          <t>SATIN-3PC-TWIN-BABY BLUE</t>
        </is>
      </c>
      <c r="D84" s="39" t="inlineStr">
        <is>
          <t>DECOLURE Satin Sheets Twin Size | Softer Than Silk | Luxury 3 Pc Bed Set</t>
        </is>
      </c>
      <c r="E84" s="39" t="inlineStr">
        <is>
          <t>Twin</t>
        </is>
      </c>
      <c r="F84" s="39" t="inlineStr">
        <is>
          <t>Baby Blue</t>
        </is>
      </c>
      <c r="G84" s="73" t="n">
        <v>27.95</v>
      </c>
      <c r="H84" s="39" t="inlineStr">
        <is>
          <t>catalog price, 2026-10-13</t>
        </is>
      </c>
      <c r="I84" s="74" t="n">
        <v>27.95</v>
      </c>
      <c r="J84" s="75" t="inlineStr">
        <is>
          <t>2026-03-30</t>
        </is>
      </c>
      <c r="K84" s="40" t="n">
        <v>10.66</v>
      </c>
      <c r="L84" s="76" t="n">
        <v>0.3813953488372093</v>
      </c>
      <c r="M84" s="77" t="n">
        <v>7</v>
      </c>
      <c r="N84" s="39" t="inlineStr">
        <is>
          <t>Active</t>
        </is>
      </c>
      <c r="O84" s="39" t="n"/>
      <c r="P84" s="78" t="n">
        <v>4.4</v>
      </c>
      <c r="Q84" s="77" t="n">
        <v>18632</v>
      </c>
      <c r="R84" s="77" t="n">
        <v>10006</v>
      </c>
      <c r="S84" s="77" t="n">
        <v>17</v>
      </c>
      <c r="T84" s="39" t="n"/>
    </row>
    <row r="85" ht="62" customHeight="1">
      <c r="A85" s="12">
        <f>_xlfn.IMAGE("https://m.media-amazon.com/images/I/815ZdEKucfL.jpg")</f>
        <v/>
      </c>
      <c r="B85" s="39" t="inlineStr">
        <is>
          <t>B0CQRY5N4Q</t>
        </is>
      </c>
      <c r="C85" s="39" t="inlineStr">
        <is>
          <t>SATIN-3PC-TWIN-DARK GREEN</t>
        </is>
      </c>
      <c r="D85" s="39" t="inlineStr">
        <is>
          <t>DECOLURE Satin Sheets Twin Size | Softer Than Silk | Luxury 3 Pc Bed Set</t>
        </is>
      </c>
      <c r="E85" s="39" t="inlineStr">
        <is>
          <t>Twin</t>
        </is>
      </c>
      <c r="F85" s="39" t="inlineStr">
        <is>
          <t>Dark Green</t>
        </is>
      </c>
      <c r="G85" s="73" t="n">
        <v>27.95</v>
      </c>
      <c r="H85" s="39" t="inlineStr">
        <is>
          <t>catalog price, 2026-10-13</t>
        </is>
      </c>
      <c r="I85" s="74" t="n">
        <v>34.95</v>
      </c>
      <c r="J85" s="75" t="inlineStr">
        <is>
          <t>2026-03-30</t>
        </is>
      </c>
      <c r="K85" s="40" t="n">
        <v>15.72</v>
      </c>
      <c r="L85" s="76" t="n">
        <v>0.4497854077253218</v>
      </c>
      <c r="M85" s="77" t="n">
        <v>7</v>
      </c>
      <c r="N85" s="39" t="inlineStr">
        <is>
          <t>Active</t>
        </is>
      </c>
      <c r="O85" s="39" t="n"/>
      <c r="P85" s="78" t="n">
        <v>4.4</v>
      </c>
      <c r="Q85" s="77" t="n">
        <v>18632</v>
      </c>
      <c r="R85" s="77" t="n">
        <v>10006</v>
      </c>
      <c r="S85" s="77" t="n">
        <v>16</v>
      </c>
      <c r="T85" s="39" t="n"/>
    </row>
    <row r="86" ht="62" customHeight="1">
      <c r="A86" s="12">
        <f>_xlfn.IMAGE("https://m.media-amazon.com/images/I/81hy0m4qaGL.jpg")</f>
        <v/>
      </c>
      <c r="B86" s="39" t="inlineStr">
        <is>
          <t>B09G6KKB4S</t>
        </is>
      </c>
      <c r="C86" s="39" t="inlineStr">
        <is>
          <t>SATIN-STRIPE-FULL-WHITE</t>
        </is>
      </c>
      <c r="D86" s="39" t="inlineStr">
        <is>
          <t>DECOLURE Satin Sheets Full Size | Softer Than Silk | Luxury 4 Pc Bed Set</t>
        </is>
      </c>
      <c r="E86" s="39" t="inlineStr">
        <is>
          <t>Full</t>
        </is>
      </c>
      <c r="F86" s="39" t="inlineStr">
        <is>
          <t>Striped White</t>
        </is>
      </c>
      <c r="G86" s="73" t="n">
        <v>29.95</v>
      </c>
      <c r="H86" s="39" t="inlineStr">
        <is>
          <t>catalog price, 2026-10-13</t>
        </is>
      </c>
      <c r="I86" s="74" t="n">
        <v>29.95</v>
      </c>
      <c r="J86" s="75" t="inlineStr">
        <is>
          <t>2026-03-30</t>
        </is>
      </c>
      <c r="K86" s="40" t="n">
        <v>9.760000000000002</v>
      </c>
      <c r="L86" s="76" t="n">
        <v>0.3258764607679466</v>
      </c>
      <c r="M86" s="77" t="n">
        <v>6</v>
      </c>
      <c r="N86" s="39" t="inlineStr">
        <is>
          <t>Active</t>
        </is>
      </c>
      <c r="O86" s="39" t="n"/>
      <c r="P86" s="78" t="n">
        <v>4.4</v>
      </c>
      <c r="Q86" s="77" t="n">
        <v>18632</v>
      </c>
      <c r="R86" s="77" t="n">
        <v>10009</v>
      </c>
      <c r="S86" s="77" t="n">
        <v>10</v>
      </c>
      <c r="T86" s="39" t="n"/>
    </row>
    <row r="87" ht="62" customHeight="1">
      <c r="A87" s="12">
        <f>_xlfn.IMAGE("https://m.media-amazon.com/images/I/81wiiAf6okL.jpg")</f>
        <v/>
      </c>
      <c r="B87" s="39" t="inlineStr">
        <is>
          <t>B09G6L5ZW6</t>
        </is>
      </c>
      <c r="C87" s="39" t="inlineStr">
        <is>
          <t>SATIN-STRIPE-QUEEN-PURPLE</t>
        </is>
      </c>
      <c r="D87" s="39" t="inlineStr">
        <is>
          <t>DECOLURE Satin Sheets Queen Size | Softer Than Silk | Luxury 4 Pc Bed Set</t>
        </is>
      </c>
      <c r="E87" s="39" t="inlineStr">
        <is>
          <t>Queen</t>
        </is>
      </c>
      <c r="F87" s="39" t="inlineStr">
        <is>
          <t>Striped Purple</t>
        </is>
      </c>
      <c r="G87" s="73" t="n">
        <v>31.95</v>
      </c>
      <c r="H87" s="39" t="inlineStr">
        <is>
          <t>catalog price, 2026-10-13</t>
        </is>
      </c>
      <c r="I87" s="74" t="n">
        <v>31.95</v>
      </c>
      <c r="J87" s="75" t="inlineStr">
        <is>
          <t>2026-03-30</t>
        </is>
      </c>
      <c r="K87" s="40" t="n">
        <v>8.640000000000001</v>
      </c>
      <c r="L87" s="76" t="n">
        <v>0.2704225352112676</v>
      </c>
      <c r="M87" s="77" t="n">
        <v>6</v>
      </c>
      <c r="N87" s="39" t="inlineStr">
        <is>
          <t>Active</t>
        </is>
      </c>
      <c r="O87" s="39" t="n"/>
      <c r="P87" s="78" t="n">
        <v>4.4</v>
      </c>
      <c r="Q87" s="77" t="n">
        <v>18632</v>
      </c>
      <c r="R87" s="77" t="n">
        <v>10006</v>
      </c>
      <c r="S87" s="77" t="n">
        <v>5</v>
      </c>
      <c r="T87" s="39" t="n"/>
    </row>
    <row r="88" ht="62" customHeight="1">
      <c r="A88" s="12">
        <f>_xlfn.IMAGE("https://m.media-amazon.com/images/I/81rBoUpH30L.jpg")</f>
        <v/>
      </c>
      <c r="B88" s="39" t="inlineStr">
        <is>
          <t>B0839M48YF</t>
        </is>
      </c>
      <c r="C88" s="39" t="inlineStr">
        <is>
          <t>SATIN-TWIN-PURPLE</t>
        </is>
      </c>
      <c r="D88" s="39" t="inlineStr">
        <is>
          <t>DECOLURE Satin Sheets Twin Size | Softer Than Silk | Luxury 3 Pc Bed Set</t>
        </is>
      </c>
      <c r="E88" s="39" t="inlineStr">
        <is>
          <t>Twin</t>
        </is>
      </c>
      <c r="F88" s="39" t="inlineStr">
        <is>
          <t>Purple</t>
        </is>
      </c>
      <c r="G88" s="73" t="n">
        <v>27.95</v>
      </c>
      <c r="H88" s="39" t="inlineStr">
        <is>
          <t>catalog price, 2026-10-13</t>
        </is>
      </c>
      <c r="I88" s="74" t="n">
        <v>29.95</v>
      </c>
      <c r="J88" s="75" t="inlineStr">
        <is>
          <t>2026-03-30</t>
        </is>
      </c>
      <c r="K88" s="40" t="n">
        <v>11.32</v>
      </c>
      <c r="L88" s="76" t="n">
        <v>0.3779632721202005</v>
      </c>
      <c r="M88" s="77" t="n">
        <v>6</v>
      </c>
      <c r="N88" s="39" t="inlineStr">
        <is>
          <t>Active</t>
        </is>
      </c>
      <c r="O88" s="39" t="n"/>
      <c r="P88" s="78" t="n">
        <v>4.4</v>
      </c>
      <c r="Q88" s="77" t="n">
        <v>18632</v>
      </c>
      <c r="R88" s="77" t="n">
        <v>10009</v>
      </c>
      <c r="S88" s="77" t="n">
        <v>17</v>
      </c>
      <c r="T88" s="39" t="n"/>
    </row>
    <row r="89" ht="62" customHeight="1">
      <c r="A89" s="12">
        <f>_xlfn.IMAGE("https://m.media-amazon.com/images/I/8111LRuwkSL.jpg")</f>
        <v/>
      </c>
      <c r="B89" s="39" t="inlineStr">
        <is>
          <t>B0CQRYL8Z4</t>
        </is>
      </c>
      <c r="C89" s="39" t="inlineStr">
        <is>
          <t>SATIN-3PC-TWIN-SAGE GREEN</t>
        </is>
      </c>
      <c r="D89" s="39" t="inlineStr">
        <is>
          <t>DECOLURE Satin Sheets Twin Size | Softer Than Silk | Luxury 3 Pc Bed Set</t>
        </is>
      </c>
      <c r="E89" s="39" t="inlineStr">
        <is>
          <t>Twin</t>
        </is>
      </c>
      <c r="F89" s="39" t="inlineStr">
        <is>
          <t>Sage Green</t>
        </is>
      </c>
      <c r="G89" s="73" t="n">
        <v>27.95</v>
      </c>
      <c r="H89" s="39" t="inlineStr">
        <is>
          <t>catalog price, 2026-10-13</t>
        </is>
      </c>
      <c r="I89" s="74" t="n">
        <v>27.95</v>
      </c>
      <c r="J89" s="75" t="inlineStr">
        <is>
          <t>2026-03-30</t>
        </is>
      </c>
      <c r="K89" s="40" t="n">
        <v>10.1</v>
      </c>
      <c r="L89" s="76" t="n">
        <v>0.3613595706618962</v>
      </c>
      <c r="M89" s="77" t="n">
        <v>6</v>
      </c>
      <c r="N89" s="39" t="inlineStr">
        <is>
          <t>Active</t>
        </is>
      </c>
      <c r="O89" s="39" t="n"/>
      <c r="P89" s="78" t="n">
        <v>4.4</v>
      </c>
      <c r="Q89" s="77" t="n">
        <v>18632</v>
      </c>
      <c r="R89" s="77" t="n">
        <v>10006</v>
      </c>
      <c r="S89" s="77" t="n">
        <v>16</v>
      </c>
      <c r="T89" s="39" t="n"/>
    </row>
    <row r="90" ht="62" customHeight="1">
      <c r="A90" s="12">
        <f>_xlfn.IMAGE("https://m.media-amazon.com/images/I/81cpDU4ugeL.jpg")</f>
        <v/>
      </c>
      <c r="B90" s="39" t="inlineStr">
        <is>
          <t>B0BG21NBG9</t>
        </is>
      </c>
      <c r="C90" s="39" t="inlineStr">
        <is>
          <t>SATIN-STONEGREY-TWIN</t>
        </is>
      </c>
      <c r="D90" s="39" t="inlineStr">
        <is>
          <t>DECOLURE Satin Sheets Twin Size | Softer Than Silk | Luxury 3 Pc Bed Set</t>
        </is>
      </c>
      <c r="E90" s="39" t="inlineStr">
        <is>
          <t>Twin</t>
        </is>
      </c>
      <c r="F90" s="39" t="inlineStr">
        <is>
          <t>Stone Grey</t>
        </is>
      </c>
      <c r="G90" s="73" t="n">
        <v>27.95</v>
      </c>
      <c r="H90" s="39" t="inlineStr">
        <is>
          <t>catalog price, 2026-10-13</t>
        </is>
      </c>
      <c r="I90" s="74" t="n">
        <v>27.95</v>
      </c>
      <c r="J90" s="75" t="inlineStr">
        <is>
          <t>2026-03-30</t>
        </is>
      </c>
      <c r="K90" s="40" t="n">
        <v>9.479999999999997</v>
      </c>
      <c r="L90" s="76" t="n">
        <v>0.3391771019677996</v>
      </c>
      <c r="M90" s="77" t="n">
        <v>6</v>
      </c>
      <c r="N90" s="39" t="inlineStr">
        <is>
          <t>Active</t>
        </is>
      </c>
      <c r="O90" s="39" t="n"/>
      <c r="P90" s="78" t="n">
        <v>4.4</v>
      </c>
      <c r="Q90" s="77" t="n">
        <v>18632</v>
      </c>
      <c r="R90" s="77" t="n">
        <v>10009</v>
      </c>
      <c r="S90" s="77" t="n">
        <v>15</v>
      </c>
      <c r="T90" s="39" t="n"/>
    </row>
    <row r="91" ht="62" customHeight="1">
      <c r="A91" s="12">
        <f>_xlfn.IMAGE("https://m.media-amazon.com/images/I/819ez7t33gL.jpg")</f>
        <v/>
      </c>
      <c r="B91" s="39" t="inlineStr">
        <is>
          <t>B09G6H23C3</t>
        </is>
      </c>
      <c r="C91" s="39" t="inlineStr">
        <is>
          <t>SATIN-STRIPE-TWIN-BLACK</t>
        </is>
      </c>
      <c r="D91" s="39" t="inlineStr">
        <is>
          <t>DECOLURE Satin Sheets Twin Size | Softer Than Silk | Luxury 3 Pc Bed Set</t>
        </is>
      </c>
      <c r="E91" s="39" t="inlineStr">
        <is>
          <t>Twin</t>
        </is>
      </c>
      <c r="F91" s="39" t="inlineStr">
        <is>
          <t>Striped Black</t>
        </is>
      </c>
      <c r="G91" s="73" t="n">
        <v>27.95</v>
      </c>
      <c r="H91" s="39" t="inlineStr">
        <is>
          <t>catalog price, 2026-10-13</t>
        </is>
      </c>
      <c r="I91" s="74" t="n">
        <v>27.95</v>
      </c>
      <c r="J91" s="75" t="inlineStr">
        <is>
          <t>2026-03-30</t>
        </is>
      </c>
      <c r="K91" s="40" t="n">
        <v>9.659999999999997</v>
      </c>
      <c r="L91" s="76" t="n">
        <v>0.3456171735241502</v>
      </c>
      <c r="M91" s="77" t="n">
        <v>6</v>
      </c>
      <c r="N91" s="39" t="inlineStr">
        <is>
          <t>Active</t>
        </is>
      </c>
      <c r="O91" s="39" t="n"/>
      <c r="P91" s="78" t="n">
        <v>4.4</v>
      </c>
      <c r="Q91" s="77" t="n">
        <v>18632</v>
      </c>
      <c r="R91" s="77" t="n">
        <v>10006</v>
      </c>
      <c r="S91" s="77" t="n">
        <v>15</v>
      </c>
      <c r="T91" s="39" t="n"/>
    </row>
    <row r="92" ht="62" customHeight="1">
      <c r="A92" s="12">
        <f>_xlfn.IMAGE("https://m.media-amazon.com/images/I/81NOa451cTL.jpg")</f>
        <v/>
      </c>
      <c r="B92" s="39" t="inlineStr">
        <is>
          <t>B08KR9PWK1</t>
        </is>
      </c>
      <c r="C92" s="39" t="inlineStr">
        <is>
          <t>SATIN-GOLD-FULL</t>
        </is>
      </c>
      <c r="D92" s="39" t="inlineStr">
        <is>
          <t>DECOLURE Satin Sheets Full Size | Softer Than Silk | Luxury 4 Pc Bed Set</t>
        </is>
      </c>
      <c r="E92" s="39" t="inlineStr">
        <is>
          <t>Full</t>
        </is>
      </c>
      <c r="F92" s="39" t="inlineStr">
        <is>
          <t>Gold</t>
        </is>
      </c>
      <c r="G92" s="73" t="n">
        <v>29.95</v>
      </c>
      <c r="H92" s="39" t="inlineStr">
        <is>
          <t>catalog price, 2026-10-13</t>
        </is>
      </c>
      <c r="I92" s="74" t="n">
        <v>29.95</v>
      </c>
      <c r="J92" s="75" t="inlineStr">
        <is>
          <t>2026-03-30</t>
        </is>
      </c>
      <c r="K92" s="40" t="n">
        <v>10.76</v>
      </c>
      <c r="L92" s="76" t="n">
        <v>0.3592654424040067</v>
      </c>
      <c r="M92" s="77" t="n">
        <v>5</v>
      </c>
      <c r="N92" s="39" t="inlineStr">
        <is>
          <t>Active</t>
        </is>
      </c>
      <c r="O92" s="39" t="n"/>
      <c r="P92" s="78" t="n">
        <v>4.4</v>
      </c>
      <c r="Q92" s="77" t="n">
        <v>18632</v>
      </c>
      <c r="R92" s="77" t="n">
        <v>10006</v>
      </c>
      <c r="S92" s="77" t="n">
        <v>10</v>
      </c>
      <c r="T92" s="39" t="n"/>
    </row>
    <row r="93" ht="62" customHeight="1">
      <c r="A93" s="12">
        <f>_xlfn.IMAGE("https://m.media-amazon.com/images/I/81zDJ9hFOlL.jpg")</f>
        <v/>
      </c>
      <c r="B93" s="39" t="inlineStr">
        <is>
          <t>B09G6LCV5J</t>
        </is>
      </c>
      <c r="C93" s="39" t="inlineStr">
        <is>
          <t>SATIN-STRIPE-FULL-GOLD</t>
        </is>
      </c>
      <c r="D93" s="39" t="inlineStr">
        <is>
          <t>DECOLURE Satin Sheets Full Size | Softer Than Silk | Luxury 4 Pc Bed Set</t>
        </is>
      </c>
      <c r="E93" s="39" t="inlineStr">
        <is>
          <t>Full</t>
        </is>
      </c>
      <c r="F93" s="39" t="inlineStr">
        <is>
          <t>Striped Gold</t>
        </is>
      </c>
      <c r="G93" s="73" t="n">
        <v>29.95</v>
      </c>
      <c r="H93" s="39" t="inlineStr">
        <is>
          <t>catalog price, 2026-10-13</t>
        </is>
      </c>
      <c r="I93" s="74" t="n">
        <v>26.95</v>
      </c>
      <c r="J93" s="75" t="inlineStr">
        <is>
          <t>2026-03-30</t>
        </is>
      </c>
      <c r="K93" s="40" t="n">
        <v>6.81</v>
      </c>
      <c r="L93" s="76" t="n">
        <v>0.2526901669758813</v>
      </c>
      <c r="M93" s="77" t="n">
        <v>5</v>
      </c>
      <c r="N93" s="39" t="inlineStr">
        <is>
          <t>Active</t>
        </is>
      </c>
      <c r="O93" s="39" t="n"/>
      <c r="P93" s="78" t="n">
        <v>4.4</v>
      </c>
      <c r="Q93" s="77" t="n">
        <v>18632</v>
      </c>
      <c r="R93" s="77" t="n">
        <v>10006</v>
      </c>
      <c r="S93" s="77" t="n">
        <v>11</v>
      </c>
      <c r="T93" s="39" t="n"/>
    </row>
    <row r="94" ht="62" customHeight="1">
      <c r="A94" s="12">
        <f>_xlfn.IMAGE("https://m.media-amazon.com/images/I/81pznhbbzLL.jpg")</f>
        <v/>
      </c>
      <c r="B94" s="39" t="inlineStr">
        <is>
          <t>B0BZPV4LYC</t>
        </is>
      </c>
      <c r="C94" s="39" t="inlineStr">
        <is>
          <t>SATIN-TAUPE-FULL</t>
        </is>
      </c>
      <c r="D94" s="39" t="inlineStr">
        <is>
          <t>DECOLURE Satin Sheets Full Size | Softer Than Silk | Luxury 4 Pc Bed Set</t>
        </is>
      </c>
      <c r="E94" s="39" t="inlineStr">
        <is>
          <t>Full</t>
        </is>
      </c>
      <c r="F94" s="39" t="inlineStr">
        <is>
          <t>Taupe</t>
        </is>
      </c>
      <c r="G94" s="73" t="n">
        <v>29.95</v>
      </c>
      <c r="H94" s="39" t="inlineStr">
        <is>
          <t>catalog price, 2026-10-13</t>
        </is>
      </c>
      <c r="I94" s="74" t="n">
        <v>29.95</v>
      </c>
      <c r="J94" s="75" t="inlineStr">
        <is>
          <t>2026-03-30</t>
        </is>
      </c>
      <c r="K94" s="40" t="n">
        <v>9.92</v>
      </c>
      <c r="L94" s="76" t="n">
        <v>0.3312186978297162</v>
      </c>
      <c r="M94" s="77" t="n">
        <v>5</v>
      </c>
      <c r="N94" s="39" t="inlineStr">
        <is>
          <t>Active</t>
        </is>
      </c>
      <c r="O94" s="39" t="n"/>
      <c r="P94" s="78" t="n">
        <v>4.4</v>
      </c>
      <c r="Q94" s="77" t="n">
        <v>18632</v>
      </c>
      <c r="R94" s="77" t="n">
        <v>10006</v>
      </c>
      <c r="S94" s="77" t="n">
        <v>10</v>
      </c>
      <c r="T94" s="39" t="n"/>
    </row>
    <row r="95" ht="62" customHeight="1">
      <c r="A95" s="12">
        <f>_xlfn.IMAGE("https://m.media-amazon.com/images/I/81rWdw-y40L.jpg")</f>
        <v/>
      </c>
      <c r="B95" s="39" t="inlineStr">
        <is>
          <t>B08KRS1K6H</t>
        </is>
      </c>
      <c r="C95" s="39" t="inlineStr">
        <is>
          <t>SATIN-WHITE-TWIN</t>
        </is>
      </c>
      <c r="D95" s="39" t="inlineStr">
        <is>
          <t>DECOLURE Satin Sheets Twin Size | Softer Than Silk | Luxury 3 Pc Bed Set</t>
        </is>
      </c>
      <c r="E95" s="39" t="inlineStr">
        <is>
          <t>Twin</t>
        </is>
      </c>
      <c r="F95" s="39" t="inlineStr">
        <is>
          <t>White</t>
        </is>
      </c>
      <c r="G95" s="73" t="n">
        <v>27.95</v>
      </c>
      <c r="H95" s="39" t="inlineStr">
        <is>
          <t>catalog price, 2026-10-13</t>
        </is>
      </c>
      <c r="I95" s="74" t="n">
        <v>27.95</v>
      </c>
      <c r="J95" s="75" t="inlineStr">
        <is>
          <t>2026-03-30</t>
        </is>
      </c>
      <c r="K95" s="40" t="n">
        <v>9.809999999999999</v>
      </c>
      <c r="L95" s="76" t="n">
        <v>0.3509838998211091</v>
      </c>
      <c r="M95" s="77" t="n">
        <v>5</v>
      </c>
      <c r="N95" s="39" t="inlineStr">
        <is>
          <t>Active</t>
        </is>
      </c>
      <c r="O95" s="39" t="n"/>
      <c r="P95" s="78" t="n">
        <v>4.4</v>
      </c>
      <c r="Q95" s="77" t="n">
        <v>18632</v>
      </c>
      <c r="R95" s="77" t="n">
        <v>10009</v>
      </c>
      <c r="S95" s="77" t="n">
        <v>16</v>
      </c>
      <c r="T95" s="39" t="n"/>
    </row>
    <row r="96" ht="62" customHeight="1">
      <c r="A96" s="12">
        <f>_xlfn.IMAGE("https://m.media-amazon.com/images/I/81NiOUuge2L.jpg")</f>
        <v/>
      </c>
      <c r="B96" s="39" t="inlineStr">
        <is>
          <t>B0CQSJZV7C</t>
        </is>
      </c>
      <c r="C96" s="39" t="inlineStr">
        <is>
          <t>SATIN-4PC-FULL-BURNT ORANGE</t>
        </is>
      </c>
      <c r="D96" s="39" t="inlineStr">
        <is>
          <t>DECOLURE Satin Sheets Full Size | Softer Than Silk | Luxury 4 Pc Bed Set</t>
        </is>
      </c>
      <c r="E96" s="39" t="inlineStr">
        <is>
          <t>Full</t>
        </is>
      </c>
      <c r="F96" s="39" t="inlineStr">
        <is>
          <t>Burnt Orange</t>
        </is>
      </c>
      <c r="G96" s="73" t="n">
        <v>29.95</v>
      </c>
      <c r="H96" s="39" t="inlineStr">
        <is>
          <t>catalog price, 2026-10-13</t>
        </is>
      </c>
      <c r="I96" s="74" t="n">
        <v>42.95</v>
      </c>
      <c r="J96" s="75" t="inlineStr">
        <is>
          <t>2026-03-30</t>
        </is>
      </c>
      <c r="K96" s="40" t="n">
        <v>19.26000000000001</v>
      </c>
      <c r="L96" s="76" t="n">
        <v>0.4484284051222353</v>
      </c>
      <c r="M96" s="77" t="n">
        <v>4</v>
      </c>
      <c r="N96" s="39" t="inlineStr">
        <is>
          <t>Active</t>
        </is>
      </c>
      <c r="O96" s="39" t="n"/>
      <c r="P96" s="78" t="n">
        <v>4.4</v>
      </c>
      <c r="Q96" s="77" t="n">
        <v>18632</v>
      </c>
      <c r="R96" s="77" t="n">
        <v>10006</v>
      </c>
      <c r="S96" s="77" t="n">
        <v>9</v>
      </c>
      <c r="T96" s="39" t="n"/>
    </row>
    <row r="97" ht="62" customHeight="1">
      <c r="A97" s="12">
        <f>_xlfn.IMAGE("https://m.media-amazon.com/images/I/81wiiAf6okL.jpg")</f>
        <v/>
      </c>
      <c r="B97" s="39" t="inlineStr">
        <is>
          <t>B09G6K4PXD</t>
        </is>
      </c>
      <c r="C97" s="39" t="inlineStr">
        <is>
          <t>SATIN-STRIPE-FULL-PURPLE</t>
        </is>
      </c>
      <c r="D97" s="39" t="inlineStr">
        <is>
          <t>DECOLURE Satin Sheets Full Size | Softer Than Silk | Luxury 4 Pc Bed Set</t>
        </is>
      </c>
      <c r="E97" s="39" t="inlineStr">
        <is>
          <t>Full</t>
        </is>
      </c>
      <c r="F97" s="39" t="inlineStr">
        <is>
          <t>Striped Purple</t>
        </is>
      </c>
      <c r="G97" s="73" t="n">
        <v>29.95</v>
      </c>
      <c r="H97" s="39" t="inlineStr">
        <is>
          <t>catalog price, 2026-10-13</t>
        </is>
      </c>
      <c r="I97" s="74" t="n">
        <v>45.95</v>
      </c>
      <c r="J97" s="75" t="inlineStr">
        <is>
          <t>2026-03-30</t>
        </is>
      </c>
      <c r="K97" s="40" t="n">
        <v>22.94</v>
      </c>
      <c r="L97" s="76" t="n">
        <v>0.4992383025027205</v>
      </c>
      <c r="M97" s="77" t="n">
        <v>4</v>
      </c>
      <c r="N97" s="39" t="inlineStr">
        <is>
          <t>Active</t>
        </is>
      </c>
      <c r="O97" s="39" t="n"/>
      <c r="P97" s="78" t="n">
        <v>4.4</v>
      </c>
      <c r="Q97" s="77" t="n">
        <v>18632</v>
      </c>
      <c r="R97" s="77" t="n">
        <v>10009</v>
      </c>
      <c r="S97" s="77" t="n">
        <v>9</v>
      </c>
      <c r="T97" s="39" t="n"/>
    </row>
    <row r="98" ht="62" customHeight="1">
      <c r="A98" s="12">
        <f>_xlfn.IMAGE("https://m.media-amazon.com/images/I/81-wlwJoLcL.jpg")</f>
        <v/>
      </c>
      <c r="B98" s="39" t="inlineStr">
        <is>
          <t>B09G6KKSK6</t>
        </is>
      </c>
      <c r="C98" s="39" t="inlineStr">
        <is>
          <t>SATIN-STRIPE-FULL-RED</t>
        </is>
      </c>
      <c r="D98" s="39" t="inlineStr">
        <is>
          <t>DECOLURE Satin Sheets Full Size | Softer Than Silk | Luxury 4 Pc Bed Set</t>
        </is>
      </c>
      <c r="E98" s="39" t="inlineStr">
        <is>
          <t>Full</t>
        </is>
      </c>
      <c r="F98" s="39" t="inlineStr">
        <is>
          <t>Striped Red</t>
        </is>
      </c>
      <c r="G98" s="73" t="n">
        <v>29.95</v>
      </c>
      <c r="H98" s="39" t="inlineStr">
        <is>
          <t>catalog price, 2026-10-13</t>
        </is>
      </c>
      <c r="I98" s="74" t="n">
        <v>29.95</v>
      </c>
      <c r="J98" s="75" t="inlineStr">
        <is>
          <t>2026-03-30</t>
        </is>
      </c>
      <c r="K98" s="40" t="n">
        <v>9.640000000000002</v>
      </c>
      <c r="L98" s="76" t="n">
        <v>0.3218697829716194</v>
      </c>
      <c r="M98" s="77" t="n">
        <v>4</v>
      </c>
      <c r="N98" s="39" t="inlineStr">
        <is>
          <t>Active</t>
        </is>
      </c>
      <c r="O98" s="39" t="n"/>
      <c r="P98" s="78" t="n">
        <v>4.4</v>
      </c>
      <c r="Q98" s="77" t="n">
        <v>18632</v>
      </c>
      <c r="R98" s="77" t="n">
        <v>10009</v>
      </c>
      <c r="S98" s="77" t="n">
        <v>9</v>
      </c>
      <c r="T98" s="39" t="n"/>
    </row>
    <row r="99" ht="62" customHeight="1">
      <c r="A99" s="12">
        <f>_xlfn.IMAGE("https://m.media-amazon.com/images/I/81CS7BCK-hL.jpg")</f>
        <v/>
      </c>
      <c r="B99" s="39" t="inlineStr">
        <is>
          <t>B0839KG4VY</t>
        </is>
      </c>
      <c r="C99" s="39" t="inlineStr">
        <is>
          <t>SATIN-TWIN-BLUE</t>
        </is>
      </c>
      <c r="D99" s="39" t="inlineStr">
        <is>
          <t>DECOLURE Satin Sheets Twin Size | Softer Than Silk | Luxury 3 Pc Bed Set</t>
        </is>
      </c>
      <c r="E99" s="39" t="inlineStr">
        <is>
          <t>Twin</t>
        </is>
      </c>
      <c r="F99" s="39" t="inlineStr">
        <is>
          <t>Blue</t>
        </is>
      </c>
      <c r="G99" s="73" t="n">
        <v>27.95</v>
      </c>
      <c r="H99" s="39" t="inlineStr">
        <is>
          <t>catalog price, 2026-10-13</t>
        </is>
      </c>
      <c r="I99" s="74" t="n">
        <v>27.95</v>
      </c>
      <c r="J99" s="75" t="inlineStr">
        <is>
          <t>2026-03-30</t>
        </is>
      </c>
      <c r="K99" s="40" t="n">
        <v>10.21</v>
      </c>
      <c r="L99" s="76" t="n">
        <v>0.3652951699463327</v>
      </c>
      <c r="M99" s="77" t="n">
        <v>4</v>
      </c>
      <c r="N99" s="39" t="inlineStr">
        <is>
          <t>Active</t>
        </is>
      </c>
      <c r="O99" s="39" t="n"/>
      <c r="P99" s="78" t="n">
        <v>4.4</v>
      </c>
      <c r="Q99" s="77" t="n">
        <v>18632</v>
      </c>
      <c r="R99" s="77" t="n">
        <v>10006</v>
      </c>
      <c r="S99" s="77" t="n">
        <v>17</v>
      </c>
      <c r="T99" s="39" t="n"/>
    </row>
    <row r="100" ht="62" customHeight="1">
      <c r="A100" s="12">
        <f>_xlfn.IMAGE("https://m.media-amazon.com/images/I/81k1CBQWqyL.jpg")</f>
        <v/>
      </c>
      <c r="B100" s="39" t="inlineStr">
        <is>
          <t>B0CNS85C1K</t>
        </is>
      </c>
      <c r="C100" s="39" t="inlineStr">
        <is>
          <t>SATIN-TWIN-BLUSH PINK</t>
        </is>
      </c>
      <c r="D100" s="39" t="inlineStr">
        <is>
          <t>DECOLURE Satin Sheets Twin Size | Softer Than Silk | Luxury 3 Pc Bed Set</t>
        </is>
      </c>
      <c r="E100" s="39" t="inlineStr">
        <is>
          <t>Twin</t>
        </is>
      </c>
      <c r="F100" s="39" t="inlineStr">
        <is>
          <t>Blush Pink</t>
        </is>
      </c>
      <c r="G100" s="73" t="n">
        <v>27.95</v>
      </c>
      <c r="H100" s="39" t="inlineStr">
        <is>
          <t>catalog price, 2026-10-13</t>
        </is>
      </c>
      <c r="I100" s="74" t="n">
        <v>27.95</v>
      </c>
      <c r="J100" s="75" t="inlineStr">
        <is>
          <t>2026-03-30</t>
        </is>
      </c>
      <c r="K100" s="40" t="n">
        <v>10.91</v>
      </c>
      <c r="L100" s="76" t="n">
        <v>0.3903398926654739</v>
      </c>
      <c r="M100" s="77" t="n">
        <v>4</v>
      </c>
      <c r="N100" s="39" t="inlineStr">
        <is>
          <t>Active</t>
        </is>
      </c>
      <c r="O100" s="39" t="n"/>
      <c r="P100" s="78" t="n">
        <v>4.4</v>
      </c>
      <c r="Q100" s="77" t="n">
        <v>18632</v>
      </c>
      <c r="R100" s="77" t="n">
        <v>10006</v>
      </c>
      <c r="S100" s="77" t="n">
        <v>16</v>
      </c>
      <c r="T100" s="39" t="n"/>
    </row>
    <row r="101" ht="62" customHeight="1">
      <c r="A101" s="12">
        <f>_xlfn.IMAGE("https://m.media-amazon.com/images/I/81IyOpde-BL.jpg")</f>
        <v/>
      </c>
      <c r="B101" s="39" t="inlineStr">
        <is>
          <t>B09G6K2WSF</t>
        </is>
      </c>
      <c r="C101" s="39" t="inlineStr">
        <is>
          <t>SATIN-STRIPE-TWIN-GOLD</t>
        </is>
      </c>
      <c r="D101" s="39" t="inlineStr">
        <is>
          <t>DECOLURE Satin Sheets Twin Size | Softer Than Silk | Luxury 3 Pc Bed Set</t>
        </is>
      </c>
      <c r="E101" s="39" t="inlineStr">
        <is>
          <t>Twin</t>
        </is>
      </c>
      <c r="F101" s="39" t="inlineStr">
        <is>
          <t>Striped Gold</t>
        </is>
      </c>
      <c r="G101" s="73" t="n">
        <v>27.95</v>
      </c>
      <c r="H101" s="39" t="inlineStr">
        <is>
          <t>catalog price, 2026-10-13</t>
        </is>
      </c>
      <c r="I101" s="74" t="n">
        <v>22.49</v>
      </c>
      <c r="J101" s="75" t="inlineStr">
        <is>
          <t>2026-03-30</t>
        </is>
      </c>
      <c r="K101" s="40" t="n">
        <v>3.899999999999997</v>
      </c>
      <c r="L101" s="76" t="n">
        <v>0.1734104046242773</v>
      </c>
      <c r="M101" s="77" t="n">
        <v>4</v>
      </c>
      <c r="N101" s="39" t="inlineStr">
        <is>
          <t>Active</t>
        </is>
      </c>
      <c r="O101" s="39" t="n"/>
      <c r="P101" s="78" t="n">
        <v>4.4</v>
      </c>
      <c r="Q101" s="77" t="n">
        <v>18632</v>
      </c>
      <c r="R101" s="77" t="n">
        <v>10009</v>
      </c>
      <c r="S101" s="77" t="n">
        <v>17</v>
      </c>
      <c r="T101" s="39" t="n"/>
    </row>
    <row r="102" ht="62" customHeight="1">
      <c r="A102" s="12">
        <f>_xlfn.IMAGE("https://m.media-amazon.com/images/I/81DY3DsTJhL.jpg")</f>
        <v/>
      </c>
      <c r="B102" s="39" t="inlineStr">
        <is>
          <t>B09G6M7WJ3</t>
        </is>
      </c>
      <c r="C102" s="39" t="inlineStr">
        <is>
          <t>SATIN-STRIPE-TWIN-RED</t>
        </is>
      </c>
      <c r="D102" s="39" t="inlineStr">
        <is>
          <t>DECOLURE Satin Sheets Twin Size | Softer Than Silk | Luxury 3 Pc Bed Set</t>
        </is>
      </c>
      <c r="E102" s="39" t="inlineStr">
        <is>
          <t>Twin</t>
        </is>
      </c>
      <c r="F102" s="39" t="inlineStr">
        <is>
          <t>Striped Red</t>
        </is>
      </c>
      <c r="G102" s="73" t="n">
        <v>27.95</v>
      </c>
      <c r="H102" s="39" t="inlineStr">
        <is>
          <t>catalog price, 2026-10-13</t>
        </is>
      </c>
      <c r="I102" s="74" t="n">
        <v>31.95</v>
      </c>
      <c r="J102" s="75" t="inlineStr">
        <is>
          <t>2026-03-30</t>
        </is>
      </c>
      <c r="K102" s="40" t="n">
        <v>11.79</v>
      </c>
      <c r="L102" s="76" t="n">
        <v>0.3690140845070423</v>
      </c>
      <c r="M102" s="77" t="n">
        <v>4</v>
      </c>
      <c r="N102" s="39" t="inlineStr">
        <is>
          <t>Active</t>
        </is>
      </c>
      <c r="O102" s="39" t="n"/>
      <c r="P102" s="78" t="n">
        <v>4.4</v>
      </c>
      <c r="Q102" s="77" t="n">
        <v>18632</v>
      </c>
      <c r="R102" s="77" t="n">
        <v>10009</v>
      </c>
      <c r="S102" s="77" t="n">
        <v>17</v>
      </c>
      <c r="T102" s="39" t="n"/>
    </row>
    <row r="103" ht="62" customHeight="1">
      <c r="A103" s="12">
        <f>_xlfn.IMAGE("https://m.media-amazon.com/images/I/81bfs+Nmq1L.jpg")</f>
        <v/>
      </c>
      <c r="B103" s="39" t="inlineStr">
        <is>
          <t>B0BZPVYJK4</t>
        </is>
      </c>
      <c r="C103" s="39" t="inlineStr">
        <is>
          <t>SATIN-TAUPE-TWIN</t>
        </is>
      </c>
      <c r="D103" s="39" t="inlineStr">
        <is>
          <t>DECOLURE Satin Sheets Twin Size | Softer Than Silk | Luxury 3 Pc Bed Set</t>
        </is>
      </c>
      <c r="E103" s="39" t="inlineStr">
        <is>
          <t>Twin</t>
        </is>
      </c>
      <c r="F103" s="39" t="inlineStr">
        <is>
          <t>Taupe</t>
        </is>
      </c>
      <c r="G103" s="73" t="n">
        <v>27.95</v>
      </c>
      <c r="H103" s="39" t="inlineStr">
        <is>
          <t>catalog price, 2026-10-13</t>
        </is>
      </c>
      <c r="I103" s="74" t="n">
        <v>27.95</v>
      </c>
      <c r="J103" s="75" t="inlineStr">
        <is>
          <t>2026-03-30</t>
        </is>
      </c>
      <c r="K103" s="40" t="n">
        <v>9.519999999999996</v>
      </c>
      <c r="L103" s="76" t="n">
        <v>0.3406082289803219</v>
      </c>
      <c r="M103" s="77" t="n">
        <v>4</v>
      </c>
      <c r="N103" s="39" t="inlineStr">
        <is>
          <t>Active</t>
        </is>
      </c>
      <c r="O103" s="39" t="n"/>
      <c r="P103" s="78" t="n">
        <v>4.4</v>
      </c>
      <c r="Q103" s="77" t="n">
        <v>18632</v>
      </c>
      <c r="R103" s="77" t="n">
        <v>10006</v>
      </c>
      <c r="S103" s="77" t="n">
        <v>16</v>
      </c>
      <c r="T103" s="39" t="n"/>
    </row>
    <row r="104" ht="62" customHeight="1">
      <c r="A104" s="12">
        <f>_xlfn.IMAGE("https://m.media-amazon.com/images/I/81-wlwJoLcL.jpg")</f>
        <v/>
      </c>
      <c r="B104" s="39" t="inlineStr">
        <is>
          <t>B09G6JHW3F</t>
        </is>
      </c>
      <c r="C104" s="39" t="inlineStr">
        <is>
          <t>SATIN-STRIPE-KING-RED</t>
        </is>
      </c>
      <c r="D104" s="39" t="inlineStr">
        <is>
          <t>DECOLURE Satin Sheets King Size | Softer Than Silk | Luxury 4 Pc Bed Set</t>
        </is>
      </c>
      <c r="E104" s="39" t="inlineStr">
        <is>
          <t>King</t>
        </is>
      </c>
      <c r="F104" s="39" t="inlineStr">
        <is>
          <t>Striped Red</t>
        </is>
      </c>
      <c r="G104" s="40" t="n"/>
      <c r="H104" s="39" t="n"/>
      <c r="I104" s="74" t="n">
        <v>33.95</v>
      </c>
      <c r="J104" s="75" t="inlineStr">
        <is>
          <t>2026-03-30</t>
        </is>
      </c>
      <c r="K104" s="40" t="n">
        <v>9.430000000000001</v>
      </c>
      <c r="L104" s="76" t="n">
        <v>0.2777614138438881</v>
      </c>
      <c r="M104" s="77" t="n">
        <v>3</v>
      </c>
      <c r="N104" s="39" t="inlineStr">
        <is>
          <t>Inactive</t>
        </is>
      </c>
      <c r="O104" s="39" t="n"/>
      <c r="P104" s="78" t="n"/>
      <c r="Q104" s="77" t="n"/>
      <c r="R104" s="77" t="n"/>
      <c r="S104" s="77" t="n"/>
      <c r="T104" s="39" t="n"/>
    </row>
    <row r="105" ht="62" customHeight="1">
      <c r="A105" s="12">
        <f>_xlfn.IMAGE("https://m.media-amazon.com/images/I/81AsBEWJi8L.jpg")</f>
        <v/>
      </c>
      <c r="B105" s="39" t="inlineStr">
        <is>
          <t>B0CQRXC2YT</t>
        </is>
      </c>
      <c r="C105" s="39" t="inlineStr">
        <is>
          <t>SATIN-3PC-TWIN-BURNT ORANGE</t>
        </is>
      </c>
      <c r="D105" s="39" t="inlineStr">
        <is>
          <t>DECOLURE Satin Sheets Twin Size | Softer Than Silk | Luxury 3 Pc Bed Set</t>
        </is>
      </c>
      <c r="E105" s="39" t="inlineStr">
        <is>
          <t>Twin</t>
        </is>
      </c>
      <c r="F105" s="39" t="inlineStr">
        <is>
          <t>Burnt Orange</t>
        </is>
      </c>
      <c r="G105" s="73" t="n">
        <v>27.95</v>
      </c>
      <c r="H105" s="39" t="inlineStr">
        <is>
          <t>catalog price, 2026-10-13</t>
        </is>
      </c>
      <c r="I105" s="74" t="n">
        <v>35.95</v>
      </c>
      <c r="J105" s="75" t="inlineStr">
        <is>
          <t>2026-03-30</t>
        </is>
      </c>
      <c r="K105" s="40" t="n">
        <v>16.05</v>
      </c>
      <c r="L105" s="76" t="n">
        <v>0.4464534075104312</v>
      </c>
      <c r="M105" s="77" t="n">
        <v>3</v>
      </c>
      <c r="N105" s="39" t="inlineStr">
        <is>
          <t>Active</t>
        </is>
      </c>
      <c r="O105" s="39" t="n"/>
      <c r="P105" s="78" t="n">
        <v>4.4</v>
      </c>
      <c r="Q105" s="77" t="n">
        <v>18632</v>
      </c>
      <c r="R105" s="77" t="n">
        <v>10006</v>
      </c>
      <c r="S105" s="77" t="n">
        <v>17</v>
      </c>
      <c r="T105" s="39" t="n"/>
    </row>
    <row r="106" ht="62" customHeight="1">
      <c r="A106" s="12">
        <f>_xlfn.IMAGE("https://m.media-amazon.com/images/I/814bc366nSL.jpg")</f>
        <v/>
      </c>
      <c r="B106" s="39" t="inlineStr">
        <is>
          <t>B08KR9THFG</t>
        </is>
      </c>
      <c r="C106" s="39" t="inlineStr">
        <is>
          <t>SATIN-GOLD-TWIN</t>
        </is>
      </c>
      <c r="D106" s="39" t="inlineStr">
        <is>
          <t>DECOLURE Satin Sheets Twin Size | Softer Than Silk | Luxury 3 Pc Bed Set</t>
        </is>
      </c>
      <c r="E106" s="39" t="inlineStr">
        <is>
          <t>Twin</t>
        </is>
      </c>
      <c r="F106" s="39" t="inlineStr">
        <is>
          <t>Gold</t>
        </is>
      </c>
      <c r="G106" s="73" t="n">
        <v>27.95</v>
      </c>
      <c r="H106" s="39" t="inlineStr">
        <is>
          <t>catalog price, 2026-10-13</t>
        </is>
      </c>
      <c r="I106" s="74" t="n">
        <v>27.95</v>
      </c>
      <c r="J106" s="75" t="inlineStr">
        <is>
          <t>2026-03-30</t>
        </is>
      </c>
      <c r="K106" s="40" t="n">
        <v>9.809999999999999</v>
      </c>
      <c r="L106" s="76" t="n">
        <v>0.3509838998211091</v>
      </c>
      <c r="M106" s="77" t="n">
        <v>3</v>
      </c>
      <c r="N106" s="39" t="inlineStr">
        <is>
          <t>Active</t>
        </is>
      </c>
      <c r="O106" s="39" t="n"/>
      <c r="P106" s="78" t="n">
        <v>4.4</v>
      </c>
      <c r="Q106" s="77" t="n">
        <v>18632</v>
      </c>
      <c r="R106" s="77" t="n">
        <v>10009</v>
      </c>
      <c r="S106" s="77" t="n">
        <v>16</v>
      </c>
      <c r="T106" s="39" t="n"/>
    </row>
    <row r="107" ht="62" customHeight="1">
      <c r="A107" s="12">
        <f>_xlfn.IMAGE("https://m.media-amazon.com/images/I/81c6sUJ9JML.jpg")</f>
        <v/>
      </c>
      <c r="B107" s="39" t="inlineStr">
        <is>
          <t>B0BG21MMW9</t>
        </is>
      </c>
      <c r="C107" s="39" t="inlineStr">
        <is>
          <t>SATIN-SEA-TEAL-TWIN</t>
        </is>
      </c>
      <c r="D107" s="39" t="inlineStr">
        <is>
          <t>DECOLURE Satin Sheets Twin Size | Softer Than Silk | Luxury 3 Pc Bed Set</t>
        </is>
      </c>
      <c r="E107" s="39" t="inlineStr">
        <is>
          <t>Twin</t>
        </is>
      </c>
      <c r="F107" s="39" t="inlineStr">
        <is>
          <t>Sea Teal</t>
        </is>
      </c>
      <c r="G107" s="73" t="n">
        <v>27.95</v>
      </c>
      <c r="H107" s="39" t="inlineStr">
        <is>
          <t>catalog price, 2026-10-13</t>
        </is>
      </c>
      <c r="I107" s="74" t="n">
        <v>27.95</v>
      </c>
      <c r="J107" s="75" t="inlineStr">
        <is>
          <t>2026-03-30</t>
        </is>
      </c>
      <c r="K107" s="40" t="n">
        <v>9.809999999999999</v>
      </c>
      <c r="L107" s="76" t="n">
        <v>0.3509838998211091</v>
      </c>
      <c r="M107" s="77" t="n">
        <v>3</v>
      </c>
      <c r="N107" s="39" t="inlineStr">
        <is>
          <t>Active</t>
        </is>
      </c>
      <c r="O107" s="39" t="n"/>
      <c r="P107" s="78" t="n">
        <v>4.4</v>
      </c>
      <c r="Q107" s="77" t="n">
        <v>18632</v>
      </c>
      <c r="R107" s="77" t="n">
        <v>10009</v>
      </c>
      <c r="S107" s="77" t="n">
        <v>16</v>
      </c>
      <c r="T107" s="39" t="n"/>
    </row>
    <row r="108" ht="62" customHeight="1">
      <c r="A108" s="12">
        <f>_xlfn.IMAGE("https://m.media-amazon.com/images/I/81zKyEoJxzL.jpg")</f>
        <v/>
      </c>
      <c r="B108" s="39" t="inlineStr">
        <is>
          <t>B09G6L5Z5K</t>
        </is>
      </c>
      <c r="C108" s="39" t="inlineStr">
        <is>
          <t>SATIN-STRIPE-TWIN-BLUE</t>
        </is>
      </c>
      <c r="D108" s="39" t="inlineStr">
        <is>
          <t>DECOLURE Satin Sheets Twin Size | Softer Than Silk | Luxury 3 Pc Bed Set</t>
        </is>
      </c>
      <c r="E108" s="39" t="inlineStr">
        <is>
          <t>Twin</t>
        </is>
      </c>
      <c r="F108" s="39" t="inlineStr">
        <is>
          <t>Striped Blue</t>
        </is>
      </c>
      <c r="G108" s="73" t="n">
        <v>27.95</v>
      </c>
      <c r="H108" s="39" t="inlineStr">
        <is>
          <t>catalog price, 2026-10-13</t>
        </is>
      </c>
      <c r="I108" s="74" t="n">
        <v>22.49</v>
      </c>
      <c r="J108" s="75" t="inlineStr">
        <is>
          <t>2026-03-30</t>
        </is>
      </c>
      <c r="K108" s="40" t="n">
        <v>3.519999999999996</v>
      </c>
      <c r="L108" s="76" t="n">
        <v>0.1565140062249887</v>
      </c>
      <c r="M108" s="77" t="n">
        <v>3</v>
      </c>
      <c r="N108" s="39" t="inlineStr">
        <is>
          <t>Active</t>
        </is>
      </c>
      <c r="O108" s="39" t="n"/>
      <c r="P108" s="78" t="n">
        <v>4.4</v>
      </c>
      <c r="Q108" s="77" t="n">
        <v>18632</v>
      </c>
      <c r="R108" s="77" t="n">
        <v>10006</v>
      </c>
      <c r="S108" s="77" t="n">
        <v>16</v>
      </c>
      <c r="T108" s="39" t="n"/>
    </row>
    <row r="109" ht="62" customHeight="1">
      <c r="A109" s="12">
        <f>_xlfn.IMAGE("https://m.media-amazon.com/images/I/81CCAiqMFoL.jpg")</f>
        <v/>
      </c>
      <c r="B109" s="39" t="inlineStr">
        <is>
          <t>B09G6J7WQ8</t>
        </is>
      </c>
      <c r="C109" s="39" t="inlineStr">
        <is>
          <t>SATIN-STRIPE-TWIN-GRAY</t>
        </is>
      </c>
      <c r="D109" s="39" t="inlineStr">
        <is>
          <t>DECOLURE Satin Sheets Twin Size | Softer Than Silk | Luxury 3 Pc Bed Set</t>
        </is>
      </c>
      <c r="E109" s="39" t="inlineStr">
        <is>
          <t>Twin</t>
        </is>
      </c>
      <c r="F109" s="39" t="inlineStr">
        <is>
          <t>Striped Grey</t>
        </is>
      </c>
      <c r="G109" s="40" t="n"/>
      <c r="H109" s="39" t="n"/>
      <c r="I109" s="74" t="n">
        <v>31.95</v>
      </c>
      <c r="J109" s="75" t="inlineStr">
        <is>
          <t>2026-03-30</t>
        </is>
      </c>
      <c r="K109" s="40" t="n">
        <v>12.85</v>
      </c>
      <c r="L109" s="76" t="n">
        <v>0.4021909233176839</v>
      </c>
      <c r="M109" s="77" t="n">
        <v>3</v>
      </c>
      <c r="N109" s="39" t="inlineStr">
        <is>
          <t>Inactive</t>
        </is>
      </c>
      <c r="O109" s="39" t="n"/>
      <c r="P109" s="78" t="n"/>
      <c r="Q109" s="77" t="n"/>
      <c r="R109" s="77" t="n"/>
      <c r="S109" s="77" t="n"/>
      <c r="T109" s="39" t="n"/>
    </row>
    <row r="110" ht="62" customHeight="1">
      <c r="A110" s="12">
        <f>_xlfn.IMAGE("https://m.media-amazon.com/images/I/81HKWhCknYL.jpg")</f>
        <v/>
      </c>
      <c r="B110" s="39" t="inlineStr">
        <is>
          <t>B0DBQZWWHB</t>
        </is>
      </c>
      <c r="C110" s="39" t="inlineStr">
        <is>
          <t>SATIN-4PCS-FULL-STRIPE-PINK</t>
        </is>
      </c>
      <c r="D110" s="39" t="inlineStr">
        <is>
          <t>DECOLURE Satin Sheets Full Size | Softer Than Silk | Luxury 4 Pc Bed Set</t>
        </is>
      </c>
      <c r="E110" s="39" t="inlineStr">
        <is>
          <t>Full</t>
        </is>
      </c>
      <c r="F110" s="39" t="inlineStr">
        <is>
          <t>Striped Pink</t>
        </is>
      </c>
      <c r="G110" s="73" t="n">
        <v>29.95</v>
      </c>
      <c r="H110" s="39" t="inlineStr">
        <is>
          <t>catalog price, 2026-10-13</t>
        </is>
      </c>
      <c r="I110" s="74" t="n">
        <v>29.95</v>
      </c>
      <c r="J110" s="75" t="inlineStr">
        <is>
          <t>2026-03-30</t>
        </is>
      </c>
      <c r="K110" s="40" t="n">
        <v>9.270000000000003</v>
      </c>
      <c r="L110" s="76" t="n">
        <v>0.3095158597662772</v>
      </c>
      <c r="M110" s="77" t="n">
        <v>2</v>
      </c>
      <c r="N110" s="39" t="inlineStr">
        <is>
          <t>Active</t>
        </is>
      </c>
      <c r="O110" s="39" t="n"/>
      <c r="P110" s="78" t="n">
        <v>4.4</v>
      </c>
      <c r="Q110" s="77" t="n">
        <v>18632</v>
      </c>
      <c r="R110" s="77" t="n">
        <v>10006</v>
      </c>
      <c r="S110" s="77" t="n">
        <v>13</v>
      </c>
      <c r="T110" s="39" t="n"/>
    </row>
    <row r="111" ht="62" customHeight="1">
      <c r="A111" s="12">
        <f>_xlfn.IMAGE("https://m.media-amazon.com/images/I/81HKWhCknYL.jpg")</f>
        <v/>
      </c>
      <c r="B111" s="39" t="inlineStr">
        <is>
          <t>B09G6LBQHH</t>
        </is>
      </c>
      <c r="C111" s="39" t="inlineStr">
        <is>
          <t>SATIN-STRIPE-KING-PINK</t>
        </is>
      </c>
      <c r="D111" s="39" t="inlineStr">
        <is>
          <t>DECOLURE Satin Sheets King Size | Softer Than Silk | Luxury 4 Pc Bed Set</t>
        </is>
      </c>
      <c r="E111" s="39" t="inlineStr">
        <is>
          <t>King</t>
        </is>
      </c>
      <c r="F111" s="39" t="inlineStr">
        <is>
          <t>Striped Pink</t>
        </is>
      </c>
      <c r="G111" s="73" t="n">
        <v>33.95</v>
      </c>
      <c r="H111" s="39" t="inlineStr">
        <is>
          <t>catalog price, 2026-10-13</t>
        </is>
      </c>
      <c r="I111" s="74" t="n">
        <v>33.95</v>
      </c>
      <c r="J111" s="75" t="inlineStr">
        <is>
          <t>2026-03-30</t>
        </is>
      </c>
      <c r="K111" s="40" t="n">
        <v>10.16</v>
      </c>
      <c r="L111" s="76" t="n">
        <v>0.2992636229749632</v>
      </c>
      <c r="M111" s="77" t="n">
        <v>2</v>
      </c>
      <c r="N111" s="39" t="inlineStr">
        <is>
          <t>Active</t>
        </is>
      </c>
      <c r="O111" s="39" t="n"/>
      <c r="P111" s="78" t="n">
        <v>4.4</v>
      </c>
      <c r="Q111" s="77" t="n">
        <v>18632</v>
      </c>
      <c r="R111" s="77" t="n">
        <v>10006</v>
      </c>
      <c r="S111" s="77" t="n">
        <v>3</v>
      </c>
      <c r="T111" s="39" t="n"/>
    </row>
    <row r="112" ht="62" customHeight="1">
      <c r="A112" s="12">
        <f>_xlfn.IMAGE("https://m.media-amazon.com/images/I/81eTGAJjLvL.jpg")</f>
        <v/>
      </c>
      <c r="B112" s="39" t="inlineStr">
        <is>
          <t>B0BG25XZHJ</t>
        </is>
      </c>
      <c r="C112" s="39" t="inlineStr">
        <is>
          <t>SATIN-IVORY-TWIN</t>
        </is>
      </c>
      <c r="D112" s="39" t="inlineStr">
        <is>
          <t>DECOLURE Satin Sheets Twin Size | Softer Than Silk | Luxury 3 Pc Bed Set</t>
        </is>
      </c>
      <c r="E112" s="39" t="inlineStr">
        <is>
          <t>Twin</t>
        </is>
      </c>
      <c r="F112" s="39" t="inlineStr">
        <is>
          <t>Ivory</t>
        </is>
      </c>
      <c r="G112" s="73" t="n">
        <v>27.95</v>
      </c>
      <c r="H112" s="39" t="inlineStr">
        <is>
          <t>catalog price, 2026-10-13</t>
        </is>
      </c>
      <c r="I112" s="74" t="n">
        <v>31.95</v>
      </c>
      <c r="J112" s="75" t="inlineStr">
        <is>
          <t>2026-03-30</t>
        </is>
      </c>
      <c r="K112" s="40" t="n">
        <v>12.4</v>
      </c>
      <c r="L112" s="76" t="n">
        <v>0.3881064162754304</v>
      </c>
      <c r="M112" s="77" t="n">
        <v>2</v>
      </c>
      <c r="N112" s="39" t="inlineStr">
        <is>
          <t>Active</t>
        </is>
      </c>
      <c r="O112" s="39" t="n"/>
      <c r="P112" s="78" t="n">
        <v>4.4</v>
      </c>
      <c r="Q112" s="77" t="n">
        <v>18632</v>
      </c>
      <c r="R112" s="77" t="n">
        <v>10009</v>
      </c>
      <c r="S112" s="77" t="n"/>
      <c r="T112" s="39" t="n"/>
    </row>
    <row r="113" ht="62" customHeight="1">
      <c r="A113" s="12">
        <f>_xlfn.IMAGE("https://m.media-amazon.com/images/I/81XZJvH2jAL.jpg")</f>
        <v/>
      </c>
      <c r="B113" s="39" t="inlineStr">
        <is>
          <t>B0CQRX8Q2P</t>
        </is>
      </c>
      <c r="C113" s="39" t="inlineStr">
        <is>
          <t>SATIN-3PC-TWIN-LAVENDER</t>
        </is>
      </c>
      <c r="D113" s="39" t="inlineStr">
        <is>
          <t>DECOLURE Satin Sheets Twin Size | Softer Than Silk | Luxury 3 Pc Bed Set</t>
        </is>
      </c>
      <c r="E113" s="39" t="inlineStr">
        <is>
          <t>Twin</t>
        </is>
      </c>
      <c r="F113" s="39" t="inlineStr">
        <is>
          <t>Lavender</t>
        </is>
      </c>
      <c r="G113" s="73" t="n">
        <v>27.95</v>
      </c>
      <c r="H113" s="39" t="inlineStr">
        <is>
          <t>catalog price, 2026-10-13</t>
        </is>
      </c>
      <c r="I113" s="74" t="n">
        <v>41.95</v>
      </c>
      <c r="J113" s="75" t="inlineStr">
        <is>
          <t>2026-03-30</t>
        </is>
      </c>
      <c r="K113" s="40" t="n">
        <v>22.64</v>
      </c>
      <c r="L113" s="76" t="n">
        <v>0.5396901072705602</v>
      </c>
      <c r="M113" s="77" t="n">
        <v>2</v>
      </c>
      <c r="N113" s="39" t="inlineStr">
        <is>
          <t>Active</t>
        </is>
      </c>
      <c r="O113" s="39" t="n"/>
      <c r="P113" s="78" t="n">
        <v>4.4</v>
      </c>
      <c r="Q113" s="77" t="n">
        <v>18632</v>
      </c>
      <c r="R113" s="77" t="n">
        <v>10009</v>
      </c>
      <c r="S113" s="77" t="n">
        <v>19</v>
      </c>
      <c r="T113" s="39" t="n"/>
    </row>
    <row r="114" ht="62" customHeight="1">
      <c r="A114" s="12">
        <f>_xlfn.IMAGE("https://m.media-amazon.com/images/I/81YR0C1cluL.jpg")</f>
        <v/>
      </c>
      <c r="B114" s="39" t="inlineStr">
        <is>
          <t>B0839LVHL1</t>
        </is>
      </c>
      <c r="C114" s="39" t="inlineStr">
        <is>
          <t>SATIN-TWIN-PINK</t>
        </is>
      </c>
      <c r="D114" s="39" t="inlineStr">
        <is>
          <t>DECOLURE Satin Sheets Twin Size | Softer Than Silk | Luxury 3 Pc Bed Set</t>
        </is>
      </c>
      <c r="E114" s="39" t="inlineStr">
        <is>
          <t>Twin</t>
        </is>
      </c>
      <c r="F114" s="39" t="inlineStr">
        <is>
          <t>Pink</t>
        </is>
      </c>
      <c r="G114" s="73" t="n">
        <v>27.95</v>
      </c>
      <c r="H114" s="39" t="inlineStr">
        <is>
          <t>catalog price, 2026-10-13</t>
        </is>
      </c>
      <c r="I114" s="74" t="n">
        <v>27.95</v>
      </c>
      <c r="J114" s="75" t="inlineStr">
        <is>
          <t>2026-03-30</t>
        </is>
      </c>
      <c r="K114" s="40" t="n">
        <v>10.3</v>
      </c>
      <c r="L114" s="76" t="n">
        <v>0.368515205724508</v>
      </c>
      <c r="M114" s="77" t="n">
        <v>2</v>
      </c>
      <c r="N114" s="39" t="inlineStr">
        <is>
          <t>Active</t>
        </is>
      </c>
      <c r="O114" s="39" t="n"/>
      <c r="P114" s="78" t="n">
        <v>4.4</v>
      </c>
      <c r="Q114" s="77" t="n">
        <v>18632</v>
      </c>
      <c r="R114" s="77" t="n">
        <v>10006</v>
      </c>
      <c r="S114" s="77" t="n">
        <v>15</v>
      </c>
      <c r="T114" s="39" t="n"/>
    </row>
    <row r="115" ht="62" customHeight="1">
      <c r="A115" s="12">
        <f>_xlfn.IMAGE("https://m.media-amazon.com/images/I/81yX5wWsraL.jpg")</f>
        <v/>
      </c>
      <c r="B115" s="39" t="inlineStr">
        <is>
          <t>B08KR7V6TL</t>
        </is>
      </c>
      <c r="C115" s="39" t="inlineStr">
        <is>
          <t>SATIN-RED-TWIN</t>
        </is>
      </c>
      <c r="D115" s="39" t="inlineStr">
        <is>
          <t>DECOLURE Satin Sheets Twin Size | Softer Than Silk | Luxury 3 Pc Bed Set</t>
        </is>
      </c>
      <c r="E115" s="39" t="inlineStr">
        <is>
          <t>Twin</t>
        </is>
      </c>
      <c r="F115" s="39" t="inlineStr">
        <is>
          <t>Red</t>
        </is>
      </c>
      <c r="G115" s="73" t="n">
        <v>27.95</v>
      </c>
      <c r="H115" s="39" t="inlineStr">
        <is>
          <t>catalog price, 2026-10-13</t>
        </is>
      </c>
      <c r="I115" s="74" t="n">
        <v>27.95</v>
      </c>
      <c r="J115" s="75" t="inlineStr">
        <is>
          <t>2026-03-30</t>
        </is>
      </c>
      <c r="K115" s="40" t="n">
        <v>10.27</v>
      </c>
      <c r="L115" s="76" t="n">
        <v>0.3674418604651163</v>
      </c>
      <c r="M115" s="77" t="n">
        <v>2</v>
      </c>
      <c r="N115" s="39" t="inlineStr">
        <is>
          <t>Active</t>
        </is>
      </c>
      <c r="O115" s="39" t="n"/>
      <c r="P115" s="78" t="n">
        <v>4.4</v>
      </c>
      <c r="Q115" s="77" t="n">
        <v>18632</v>
      </c>
      <c r="R115" s="77" t="n">
        <v>10006</v>
      </c>
      <c r="S115" s="77" t="n">
        <v>15</v>
      </c>
      <c r="T115" s="39" t="n"/>
    </row>
    <row r="116" ht="62" customHeight="1">
      <c r="A116" s="12">
        <f>_xlfn.IMAGE("https://m.media-amazon.com/images/I/81Bv43jZjZL.jpg")</f>
        <v/>
      </c>
      <c r="B116" s="39" t="inlineStr">
        <is>
          <t>B09G6HZT1K</t>
        </is>
      </c>
      <c r="C116" s="39" t="inlineStr">
        <is>
          <t>SATIN-STRIPE-KING-BLACK</t>
        </is>
      </c>
      <c r="D116" s="39" t="inlineStr">
        <is>
          <t>DECOLURE Satin Sheets King Size | Softer Than Silk | Luxury 4 Pc Bed Set</t>
        </is>
      </c>
      <c r="E116" s="39" t="inlineStr">
        <is>
          <t>King</t>
        </is>
      </c>
      <c r="F116" s="39" t="inlineStr">
        <is>
          <t>Striped Black</t>
        </is>
      </c>
      <c r="G116" s="40" t="n"/>
      <c r="H116" s="39" t="n"/>
      <c r="I116" s="74" t="n">
        <v>33.95</v>
      </c>
      <c r="J116" s="75" t="inlineStr">
        <is>
          <t>2026-03-30</t>
        </is>
      </c>
      <c r="K116" s="40" t="n">
        <v>9.700000000000001</v>
      </c>
      <c r="L116" s="76" t="n">
        <v>0.2857142857142857</v>
      </c>
      <c r="M116" s="77" t="n">
        <v>1</v>
      </c>
      <c r="N116" s="39" t="inlineStr">
        <is>
          <t>Inactive</t>
        </is>
      </c>
      <c r="O116" s="39" t="n"/>
      <c r="P116" s="78" t="n"/>
      <c r="Q116" s="77" t="n"/>
      <c r="R116" s="77" t="n"/>
      <c r="S116" s="77" t="n"/>
      <c r="T116" s="39" t="n"/>
    </row>
    <row r="117" ht="62" customHeight="1">
      <c r="A117" s="12">
        <f>_xlfn.IMAGE("https://m.media-amazon.com/images/I/81zKyEoJxzL.jpg")</f>
        <v/>
      </c>
      <c r="B117" s="39" t="inlineStr">
        <is>
          <t>B09G6K8WYQ</t>
        </is>
      </c>
      <c r="C117" s="39" t="inlineStr">
        <is>
          <t>SATIN-STRIPE-QUEEN-BLUE</t>
        </is>
      </c>
      <c r="D117" s="39" t="inlineStr">
        <is>
          <t>DECOLURE Satin Sheets Queen Size | Softer Than Silk | Luxury 4 Pc Bed Set</t>
        </is>
      </c>
      <c r="E117" s="39" t="inlineStr">
        <is>
          <t>Queen</t>
        </is>
      </c>
      <c r="F117" s="39" t="inlineStr">
        <is>
          <t>Striped Blue</t>
        </is>
      </c>
      <c r="G117" s="40" t="n"/>
      <c r="H117" s="39" t="n"/>
      <c r="I117" s="74" t="n">
        <v>31.95</v>
      </c>
      <c r="J117" s="75" t="inlineStr">
        <is>
          <t>2026-03-30</t>
        </is>
      </c>
      <c r="K117" s="40" t="n">
        <v>7.559999999999999</v>
      </c>
      <c r="L117" s="76" t="n">
        <v>0.2366197183098591</v>
      </c>
      <c r="M117" s="77" t="n">
        <v>1</v>
      </c>
      <c r="N117" s="39" t="inlineStr">
        <is>
          <t>Inactive</t>
        </is>
      </c>
      <c r="O117" s="39" t="n"/>
      <c r="P117" s="78" t="n"/>
      <c r="Q117" s="77" t="n"/>
      <c r="R117" s="77" t="n"/>
      <c r="S117" s="77" t="n"/>
      <c r="T117" s="39" t="n"/>
    </row>
    <row r="118" ht="62" customHeight="1">
      <c r="A118" s="12">
        <f>_xlfn.IMAGE("https://m.media-amazon.com/images/I/81OrVgMfkxL.jpg")</f>
        <v/>
      </c>
      <c r="B118" s="39" t="inlineStr">
        <is>
          <t>B0BZPVY39R</t>
        </is>
      </c>
      <c r="C118" s="39" t="inlineStr">
        <is>
          <t>SATIN-CHAMPAGNE-TWIN</t>
        </is>
      </c>
      <c r="D118" s="39" t="inlineStr">
        <is>
          <t>DECOLURE Satin Sheets Twin Size | Softer Than Silk | Luxury 3 Pc Bed Set</t>
        </is>
      </c>
      <c r="E118" s="39" t="inlineStr">
        <is>
          <t>Twin</t>
        </is>
      </c>
      <c r="F118" s="39" t="inlineStr">
        <is>
          <t>Champagne</t>
        </is>
      </c>
      <c r="G118" s="73" t="n">
        <v>27.95</v>
      </c>
      <c r="H118" s="39" t="inlineStr">
        <is>
          <t>catalog price, 2026-10-13</t>
        </is>
      </c>
      <c r="I118" s="74" t="n">
        <v>43.95</v>
      </c>
      <c r="J118" s="75" t="inlineStr">
        <is>
          <t>2026-03-30</t>
        </is>
      </c>
      <c r="K118" s="40" t="n">
        <v>23.9</v>
      </c>
      <c r="L118" s="76" t="n">
        <v>0.5437997724687144</v>
      </c>
      <c r="M118" s="77" t="n">
        <v>1</v>
      </c>
      <c r="N118" s="39" t="inlineStr">
        <is>
          <t>Active</t>
        </is>
      </c>
      <c r="O118" s="39" t="n"/>
      <c r="P118" s="78" t="n">
        <v>4.4</v>
      </c>
      <c r="Q118" s="77" t="n">
        <v>18632</v>
      </c>
      <c r="R118" s="77" t="n">
        <v>10006</v>
      </c>
      <c r="S118" s="77" t="n">
        <v>15</v>
      </c>
      <c r="T118" s="39" t="n"/>
    </row>
    <row r="119" ht="62" customHeight="1">
      <c r="A119" s="12">
        <f>_xlfn.IMAGE("https://m.media-amazon.com/images/I/81LZ8DaZObL.jpg")</f>
        <v/>
      </c>
      <c r="B119" s="39" t="inlineStr">
        <is>
          <t>B09G6KRX7T</t>
        </is>
      </c>
      <c r="C119" s="39" t="inlineStr">
        <is>
          <t>SATIN-STRIPE-TWIN-PINK</t>
        </is>
      </c>
      <c r="D119" s="39" t="inlineStr">
        <is>
          <t>DECOLURE Satin Sheets Twin Size | Softer Than Silk | Luxury 3 Pc Bed Set</t>
        </is>
      </c>
      <c r="E119" s="39" t="inlineStr">
        <is>
          <t>Twin</t>
        </is>
      </c>
      <c r="F119" s="39" t="inlineStr">
        <is>
          <t>Striped Pink</t>
        </is>
      </c>
      <c r="G119" s="73" t="n">
        <v>27.95</v>
      </c>
      <c r="H119" s="39" t="inlineStr">
        <is>
          <t>catalog price, 2026-10-13</t>
        </is>
      </c>
      <c r="I119" s="74" t="n">
        <v>39.95</v>
      </c>
      <c r="J119" s="75" t="inlineStr">
        <is>
          <t>2026-03-30</t>
        </is>
      </c>
      <c r="K119" s="40" t="n">
        <v>19.34</v>
      </c>
      <c r="L119" s="76" t="n">
        <v>0.4841051314142678</v>
      </c>
      <c r="M119" s="77" t="n">
        <v>1</v>
      </c>
      <c r="N119" s="39" t="inlineStr">
        <is>
          <t>Active</t>
        </is>
      </c>
      <c r="O119" s="39" t="n"/>
      <c r="P119" s="78" t="n">
        <v>4.4</v>
      </c>
      <c r="Q119" s="77" t="n">
        <v>18632</v>
      </c>
      <c r="R119" s="77" t="n">
        <v>10009</v>
      </c>
      <c r="S119" s="77" t="n">
        <v>16</v>
      </c>
      <c r="T119" s="39" t="n"/>
    </row>
    <row r="120" ht="62" customHeight="1">
      <c r="A120" s="12">
        <f>_xlfn.IMAGE("https://m.media-amazon.com/images/I/815cN-9mlkL.jpg")</f>
        <v/>
      </c>
      <c r="B120" s="39" t="inlineStr">
        <is>
          <t>B09G6JWVWD</t>
        </is>
      </c>
      <c r="C120" s="39" t="inlineStr">
        <is>
          <t>SATIN-STRIPE-TWIN-PURPLE</t>
        </is>
      </c>
      <c r="D120" s="39" t="inlineStr">
        <is>
          <t>DECOLURE Satin Sheets Twin Size | Softer Than Silk | Luxury 3 Pc Bed Set</t>
        </is>
      </c>
      <c r="E120" s="39" t="inlineStr">
        <is>
          <t>Twin</t>
        </is>
      </c>
      <c r="F120" s="39" t="inlineStr">
        <is>
          <t>Striped Purple</t>
        </is>
      </c>
      <c r="G120" s="73" t="n">
        <v>27.95</v>
      </c>
      <c r="H120" s="39" t="inlineStr">
        <is>
          <t>catalog price, 2026-10-13</t>
        </is>
      </c>
      <c r="I120" s="74" t="n">
        <v>42.95</v>
      </c>
      <c r="J120" s="75" t="inlineStr">
        <is>
          <t>2026-03-30</t>
        </is>
      </c>
      <c r="K120" s="40" t="n">
        <v>21.38</v>
      </c>
      <c r="L120" s="76" t="n">
        <v>0.4977881257275902</v>
      </c>
      <c r="M120" s="77" t="n">
        <v>1</v>
      </c>
      <c r="N120" s="39" t="inlineStr">
        <is>
          <t>Active</t>
        </is>
      </c>
      <c r="O120" s="39" t="n"/>
      <c r="P120" s="78" t="n">
        <v>4.4</v>
      </c>
      <c r="Q120" s="77" t="n">
        <v>18632</v>
      </c>
      <c r="R120" s="77" t="n">
        <v>10009</v>
      </c>
      <c r="S120" s="77" t="n">
        <v>15</v>
      </c>
      <c r="T120" s="39" t="n"/>
    </row>
    <row r="121" ht="62" customHeight="1">
      <c r="A121" s="12">
        <f>_xlfn.IMAGE("https://m.media-amazon.com/images/I/81zgEKHZOlL.jpg")</f>
        <v/>
      </c>
      <c r="B121" s="39" t="inlineStr">
        <is>
          <t>B0CNS9FHSD</t>
        </is>
      </c>
      <c r="C121" s="39" t="inlineStr">
        <is>
          <t>SATIN-FULL-BLUSH PINK</t>
        </is>
      </c>
      <c r="D121" s="39" t="inlineStr">
        <is>
          <t>DECOLURE Satin Sheets Full Size | Softer Than Silk | Luxury 4 Pc Bed Set</t>
        </is>
      </c>
      <c r="E121" s="39" t="inlineStr">
        <is>
          <t>Full</t>
        </is>
      </c>
      <c r="F121" s="39" t="inlineStr">
        <is>
          <t>Blush Pink</t>
        </is>
      </c>
      <c r="G121" s="40" t="n"/>
      <c r="H121" s="39" t="n"/>
      <c r="I121" s="74" t="n">
        <v>47.95</v>
      </c>
      <c r="J121" s="75" t="inlineStr">
        <is>
          <t>2026-03-30</t>
        </is>
      </c>
      <c r="K121" s="40" t="n">
        <v>25.05</v>
      </c>
      <c r="L121" s="76" t="n">
        <v>0.5224191866527633</v>
      </c>
      <c r="M121" s="77" t="n">
        <v>0</v>
      </c>
      <c r="N121" s="39" t="inlineStr">
        <is>
          <t>Inactive</t>
        </is>
      </c>
      <c r="O121" s="39" t="n"/>
      <c r="P121" s="78" t="n"/>
      <c r="Q121" s="77" t="n"/>
      <c r="R121" s="77" t="n"/>
      <c r="S121" s="77" t="n"/>
      <c r="T121" s="39" t="n"/>
    </row>
    <row r="122" ht="62" customHeight="1">
      <c r="A122" s="12">
        <f>_xlfn.IMAGE("https://m.media-amazon.com/images/I/81Bv43jZjZL.jpg")</f>
        <v/>
      </c>
      <c r="B122" s="39" t="inlineStr">
        <is>
          <t>B09G6KMXVX</t>
        </is>
      </c>
      <c r="C122" s="39" t="inlineStr">
        <is>
          <t>SATIN-STRIPE-FULL-BLACK</t>
        </is>
      </c>
      <c r="D122" s="39" t="inlineStr">
        <is>
          <t>DECOLURE Satin Sheets Full Size | Softer Than Silk | Luxury 4 Pc Bed Set</t>
        </is>
      </c>
      <c r="E122" s="39" t="inlineStr">
        <is>
          <t>Full</t>
        </is>
      </c>
      <c r="F122" s="39" t="inlineStr">
        <is>
          <t>Striped Black</t>
        </is>
      </c>
      <c r="G122" s="40" t="n"/>
      <c r="H122" s="39" t="n"/>
      <c r="I122" s="74" t="n">
        <v>29.95</v>
      </c>
      <c r="J122" s="75" t="inlineStr">
        <is>
          <t>2026-03-30</t>
        </is>
      </c>
      <c r="K122" s="40" t="n">
        <v>9.920000000000002</v>
      </c>
      <c r="L122" s="76" t="n">
        <v>0.3312186978297162</v>
      </c>
      <c r="M122" s="77" t="n"/>
      <c r="N122" s="39" t="inlineStr">
        <is>
          <t>Inactive</t>
        </is>
      </c>
      <c r="O122" s="39" t="n"/>
      <c r="P122" s="78" t="n"/>
      <c r="Q122" s="77" t="n"/>
      <c r="R122" s="77" t="n"/>
      <c r="S122" s="77" t="n"/>
      <c r="T122" s="39" t="n"/>
    </row>
    <row r="123" ht="62" customHeight="1">
      <c r="A123" s="12">
        <f>_xlfn.IMAGE("https://m.media-amazon.com/images/I/81HcDE0HThL.jpg")</f>
        <v/>
      </c>
      <c r="B123" s="39" t="inlineStr">
        <is>
          <t>B09G6M7WJ2</t>
        </is>
      </c>
      <c r="C123" s="39" t="inlineStr">
        <is>
          <t>SATIN-STRIPE-FULL-BLUE</t>
        </is>
      </c>
      <c r="D123" s="39" t="inlineStr">
        <is>
          <t>DECOLURE Satin Sheets Full Size | Softer Than Silk | Luxury 4 Pc Bed Set</t>
        </is>
      </c>
      <c r="E123" s="39" t="inlineStr">
        <is>
          <t>Full</t>
        </is>
      </c>
      <c r="F123" s="39" t="inlineStr">
        <is>
          <t>Striped Blue</t>
        </is>
      </c>
      <c r="G123" s="73" t="n">
        <v>29.95</v>
      </c>
      <c r="H123" s="39" t="inlineStr">
        <is>
          <t>catalog price, 2026-10-13</t>
        </is>
      </c>
      <c r="I123" s="74" t="n">
        <v>29.95</v>
      </c>
      <c r="J123" s="75" t="inlineStr">
        <is>
          <t>2026-03-30</t>
        </is>
      </c>
      <c r="K123" s="40" t="n">
        <v>9.090000000000002</v>
      </c>
      <c r="L123" s="76" t="n">
        <v>0.3035058430717864</v>
      </c>
      <c r="M123" s="77" t="n">
        <v>0</v>
      </c>
      <c r="N123" s="39" t="inlineStr">
        <is>
          <t>Active</t>
        </is>
      </c>
      <c r="O123" s="39" t="n"/>
      <c r="P123" s="78" t="n">
        <v>4.4</v>
      </c>
      <c r="Q123" s="77" t="n">
        <v>18632</v>
      </c>
      <c r="R123" s="77" t="n">
        <v>10006</v>
      </c>
      <c r="S123" s="77" t="n">
        <v>11</v>
      </c>
      <c r="T123" s="39" t="n"/>
    </row>
    <row r="124" ht="62" customHeight="1">
      <c r="A124" s="12">
        <f>_xlfn.IMAGE("https://m.media-amazon.com/images/I/81Owp6T1ibL.jpg")</f>
        <v/>
      </c>
      <c r="B124" s="39" t="inlineStr">
        <is>
          <t>B0H6QL24T6</t>
        </is>
      </c>
      <c r="C124" s="39" t="inlineStr">
        <is>
          <t>SATIN-CHAMPAGNE-KING-4PCS</t>
        </is>
      </c>
      <c r="D124" s="39" t="inlineStr">
        <is>
          <t>DECOLURE Satin Sheets King Size | Softer Than Silk | Luxury 4 Pc Bed Set</t>
        </is>
      </c>
      <c r="E124" s="39" t="inlineStr">
        <is>
          <t>King</t>
        </is>
      </c>
      <c r="F124" s="39" t="inlineStr">
        <is>
          <t>Champagne</t>
        </is>
      </c>
      <c r="G124" s="40" t="n"/>
      <c r="H124" s="39" t="n"/>
      <c r="I124" s="40" t="n"/>
      <c r="J124" s="39" t="n"/>
      <c r="K124" s="40" t="n"/>
      <c r="L124" s="76" t="n"/>
      <c r="M124" s="77" t="n"/>
      <c r="N124" s="39" t="inlineStr">
        <is>
          <t>Inactive</t>
        </is>
      </c>
      <c r="O124" s="39" t="n"/>
      <c r="P124" s="78" t="n"/>
      <c r="Q124" s="77" t="n"/>
      <c r="R124" s="77" t="n"/>
      <c r="S124" s="77" t="n"/>
      <c r="T124" s="39" t="n"/>
    </row>
    <row r="125" ht="62" customHeight="1">
      <c r="A125" s="12">
        <f>_xlfn.IMAGE("https://m.media-amazon.com/images/I/81NOa451cTL.jpg")</f>
        <v/>
      </c>
      <c r="B125" s="39" t="inlineStr">
        <is>
          <t>B08KRYTRHY</t>
        </is>
      </c>
      <c r="C125" s="39" t="inlineStr">
        <is>
          <t>SATIN-GOLD-KING</t>
        </is>
      </c>
      <c r="D125" s="39" t="inlineStr">
        <is>
          <t>DECOLURE Satin Sheets King Size | Softer Than Silk | Luxury 4 Pc Bed Set</t>
        </is>
      </c>
      <c r="E125" s="39" t="inlineStr">
        <is>
          <t>King</t>
        </is>
      </c>
      <c r="F125" s="39" t="inlineStr">
        <is>
          <t>Gold</t>
        </is>
      </c>
      <c r="G125" s="40" t="n"/>
      <c r="H125" s="39" t="n"/>
      <c r="I125" s="74" t="n">
        <v>48.95</v>
      </c>
      <c r="J125" s="75" t="inlineStr">
        <is>
          <t>2026-03-30</t>
        </is>
      </c>
      <c r="K125" s="40" t="n">
        <v>23.88999999999999</v>
      </c>
      <c r="L125" s="76" t="n">
        <v>0.4880490296220631</v>
      </c>
      <c r="M125" s="77" t="n"/>
      <c r="N125" s="39" t="inlineStr">
        <is>
          <t>Inactive</t>
        </is>
      </c>
      <c r="O125" s="39" t="n"/>
      <c r="P125" s="78" t="n"/>
      <c r="Q125" s="77" t="n"/>
      <c r="R125" s="77" t="n"/>
      <c r="S125" s="77" t="n"/>
      <c r="T125" s="39" t="n"/>
    </row>
    <row r="126" ht="62" customHeight="1">
      <c r="A126" s="12">
        <f>_xlfn.IMAGE("https://m.media-amazon.com/images/I/81UtPaYWlbL.jpg")</f>
        <v/>
      </c>
      <c r="B126" s="39" t="inlineStr">
        <is>
          <t>B0DBQZ1MMF</t>
        </is>
      </c>
      <c r="C126" s="39" t="inlineStr">
        <is>
          <t>SATIN-4PCS-KING-SEA-TEAL</t>
        </is>
      </c>
      <c r="D126" s="39" t="inlineStr">
        <is>
          <t>DECOLURE Satin Sheets King Size | Softer Than Silk | Luxury 4 Pc Bed Set</t>
        </is>
      </c>
      <c r="E126" s="39" t="inlineStr">
        <is>
          <t>King</t>
        </is>
      </c>
      <c r="F126" s="39" t="inlineStr">
        <is>
          <t>Sea Teal</t>
        </is>
      </c>
      <c r="G126" s="40" t="n"/>
      <c r="H126" s="39" t="n"/>
      <c r="I126" s="74" t="n">
        <v>47.95</v>
      </c>
      <c r="J126" s="75" t="inlineStr">
        <is>
          <t>2026-03-30</t>
        </is>
      </c>
      <c r="K126" s="40" t="n">
        <v>22.22000000000001</v>
      </c>
      <c r="L126" s="76" t="n">
        <v>0.4633993743482795</v>
      </c>
      <c r="M126" s="77" t="n">
        <v>0</v>
      </c>
      <c r="N126" s="39" t="inlineStr">
        <is>
          <t>Inactive</t>
        </is>
      </c>
      <c r="O126" s="39" t="n"/>
      <c r="P126" s="78" t="n"/>
      <c r="Q126" s="77" t="n"/>
      <c r="R126" s="77" t="n"/>
      <c r="S126" s="77" t="n"/>
      <c r="T126" s="39" t="n"/>
    </row>
    <row r="127" ht="62" customHeight="1">
      <c r="A127" s="12">
        <f>_xlfn.IMAGE("https://m.media-amazon.com/images/I/81zKyEoJxzL.jpg")</f>
        <v/>
      </c>
      <c r="B127" s="39" t="inlineStr">
        <is>
          <t>B09G6JGMY9</t>
        </is>
      </c>
      <c r="C127" s="39" t="inlineStr">
        <is>
          <t>SATIN-STRIPE-KING-BLUE</t>
        </is>
      </c>
      <c r="D127" s="39" t="inlineStr">
        <is>
          <t>DECOLURE Satin Sheets King Size | Softer Than Silk | Luxury 4 Pc Bed Set</t>
        </is>
      </c>
      <c r="E127" s="39" t="inlineStr">
        <is>
          <t>King</t>
        </is>
      </c>
      <c r="F127" s="39" t="inlineStr">
        <is>
          <t>Striped Blue</t>
        </is>
      </c>
      <c r="G127" s="40" t="n"/>
      <c r="H127" s="39" t="n"/>
      <c r="I127" s="74" t="n">
        <v>50.95</v>
      </c>
      <c r="J127" s="75" t="inlineStr">
        <is>
          <t>2026-03-30</t>
        </is>
      </c>
      <c r="K127" s="40" t="n">
        <v>23.65</v>
      </c>
      <c r="L127" s="76" t="n">
        <v>0.4641805691854759</v>
      </c>
      <c r="M127" s="77" t="n"/>
      <c r="N127" s="39" t="inlineStr">
        <is>
          <t>Inactive</t>
        </is>
      </c>
      <c r="O127" s="39" t="n"/>
      <c r="P127" s="78" t="n"/>
      <c r="Q127" s="77" t="n"/>
      <c r="R127" s="77" t="n"/>
      <c r="S127" s="77" t="n"/>
      <c r="T127" s="39" t="n"/>
    </row>
    <row r="128" ht="62" customHeight="1">
      <c r="A128" s="12">
        <f>_xlfn.IMAGE("https://m.media-amazon.com/images/I/81zDJ9hFOlL.jpg")</f>
        <v/>
      </c>
      <c r="B128" s="39" t="inlineStr">
        <is>
          <t>B09G6K4M5V</t>
        </is>
      </c>
      <c r="C128" s="39" t="inlineStr">
        <is>
          <t>SATIN-STRIPE-KING-GOLD</t>
        </is>
      </c>
      <c r="D128" s="39" t="inlineStr">
        <is>
          <t>DECOLURE Satin Sheets King Size | Softer Than Silk | Luxury 4 Pc Bed Set</t>
        </is>
      </c>
      <c r="E128" s="39" t="inlineStr">
        <is>
          <t>King</t>
        </is>
      </c>
      <c r="F128" s="39" t="inlineStr">
        <is>
          <t>Striped Gold</t>
        </is>
      </c>
      <c r="G128" s="40" t="n"/>
      <c r="H128" s="39" t="n"/>
      <c r="I128" s="74" t="n">
        <v>33.95</v>
      </c>
      <c r="J128" s="75" t="inlineStr">
        <is>
          <t>2026-03-30</t>
        </is>
      </c>
      <c r="K128" s="40" t="n">
        <v>10</v>
      </c>
      <c r="L128" s="76" t="n">
        <v>0.2945508100147275</v>
      </c>
      <c r="M128" s="77" t="n"/>
      <c r="N128" s="39" t="inlineStr">
        <is>
          <t>Inactive</t>
        </is>
      </c>
      <c r="O128" s="39" t="n"/>
      <c r="P128" s="78" t="n"/>
      <c r="Q128" s="77" t="n"/>
      <c r="R128" s="77" t="n"/>
      <c r="S128" s="77" t="n"/>
      <c r="T128" s="39" t="n"/>
    </row>
    <row r="129" ht="62" customHeight="1">
      <c r="A129" s="12">
        <f>_xlfn.IMAGE("https://m.media-amazon.com/images/I/81oeTNry2PL.jpg")</f>
        <v/>
      </c>
      <c r="B129" s="39" t="inlineStr">
        <is>
          <t>B09G6K53S2</t>
        </is>
      </c>
      <c r="C129" s="39" t="inlineStr">
        <is>
          <t>SATIN-STRIPE-KING-GRAY</t>
        </is>
      </c>
      <c r="D129" s="39" t="inlineStr">
        <is>
          <t>DECOLURE Satin Bed Sheets - 4 Piece Luxury Silky King Size Bedding Set - Softer Than Silk, Wrinkle-Free with 15” Deep Pocket Fitted Sheet, Perfect for Hair &amp; Skin, Gifts for Women (Striped Grey)</t>
        </is>
      </c>
      <c r="E129" s="39" t="inlineStr">
        <is>
          <t>King</t>
        </is>
      </c>
      <c r="F129" s="39" t="inlineStr">
        <is>
          <t>Striped Grey</t>
        </is>
      </c>
      <c r="G129" s="40" t="n"/>
      <c r="H129" s="39" t="n"/>
      <c r="I129" s="74" t="n">
        <v>33.95</v>
      </c>
      <c r="J129" s="75" t="inlineStr">
        <is>
          <t>2026-03-30</t>
        </is>
      </c>
      <c r="K129" s="40" t="n">
        <v>9.570000000000004</v>
      </c>
      <c r="L129" s="76" t="n">
        <v>0.2818851251840944</v>
      </c>
      <c r="M129" s="77" t="n"/>
      <c r="N129" s="39" t="inlineStr">
        <is>
          <t>Inactive</t>
        </is>
      </c>
      <c r="O129" s="39" t="n"/>
      <c r="P129" s="78" t="n"/>
      <c r="Q129" s="77" t="n"/>
      <c r="R129" s="77" t="n"/>
      <c r="S129" s="77" t="n"/>
      <c r="T129" s="39" t="n"/>
    </row>
    <row r="130" ht="62" customHeight="1">
      <c r="A130" s="12">
        <f>_xlfn.IMAGE("https://m.media-amazon.com/images/I/81wiiAf6okL.jpg")</f>
        <v/>
      </c>
      <c r="B130" s="39" t="inlineStr">
        <is>
          <t>B09G6JWZCZ</t>
        </is>
      </c>
      <c r="C130" s="39" t="inlineStr">
        <is>
          <t>SATIN-STRIPE-KING-PURPLE</t>
        </is>
      </c>
      <c r="D130" s="39" t="inlineStr">
        <is>
          <t>DECOLURE Satin Sheets King Size | Softer Than Silk | Luxury 4 Pc Bed Set</t>
        </is>
      </c>
      <c r="E130" s="39" t="inlineStr">
        <is>
          <t>King</t>
        </is>
      </c>
      <c r="F130" s="39" t="inlineStr">
        <is>
          <t>Striped Purple</t>
        </is>
      </c>
      <c r="G130" s="40" t="n"/>
      <c r="H130" s="39" t="n"/>
      <c r="I130" s="74" t="n">
        <v>33.95</v>
      </c>
      <c r="J130" s="75" t="inlineStr">
        <is>
          <t>2026-03-30</t>
        </is>
      </c>
      <c r="K130" s="40" t="n">
        <v>9.540000000000003</v>
      </c>
      <c r="L130" s="76" t="n">
        <v>0.2810014727540501</v>
      </c>
      <c r="M130" s="77" t="n"/>
      <c r="N130" s="39" t="inlineStr">
        <is>
          <t>Inactive</t>
        </is>
      </c>
      <c r="O130" s="39" t="n"/>
      <c r="P130" s="78" t="n"/>
      <c r="Q130" s="77" t="n"/>
      <c r="R130" s="77" t="n"/>
      <c r="S130" s="77" t="n"/>
      <c r="T130" s="39" t="n"/>
    </row>
    <row r="131" ht="62" customHeight="1">
      <c r="A131" s="12">
        <f>_xlfn.IMAGE("https://m.media-amazon.com/images/I/81bfs+Nmq1L.jpg")</f>
        <v/>
      </c>
      <c r="B131" s="39" t="inlineStr">
        <is>
          <t>B0BZPVZKVS</t>
        </is>
      </c>
      <c r="C131" s="39" t="inlineStr">
        <is>
          <t>SATIN-TAUPE-KING</t>
        </is>
      </c>
      <c r="D131" s="39" t="inlineStr">
        <is>
          <t>DECOLURE Satin Sheets King Size | Softer Than Silk | Luxury 4 Pc Bed Set</t>
        </is>
      </c>
      <c r="E131" s="39" t="inlineStr">
        <is>
          <t>King</t>
        </is>
      </c>
      <c r="F131" s="39" t="inlineStr">
        <is>
          <t>Taupe</t>
        </is>
      </c>
      <c r="G131" s="40" t="n"/>
      <c r="H131" s="39" t="n"/>
      <c r="I131" s="74" t="n">
        <v>33.95</v>
      </c>
      <c r="J131" s="75" t="inlineStr">
        <is>
          <t>2026-03-30</t>
        </is>
      </c>
      <c r="K131" s="40" t="n">
        <v>10.55</v>
      </c>
      <c r="L131" s="76" t="n">
        <v>0.3107511045655377</v>
      </c>
      <c r="M131" s="77" t="n"/>
      <c r="N131" s="39" t="inlineStr">
        <is>
          <t>Inactive</t>
        </is>
      </c>
      <c r="O131" s="39" t="n"/>
      <c r="P131" s="78" t="n"/>
      <c r="Q131" s="77" t="n"/>
      <c r="R131" s="77" t="n"/>
      <c r="S131" s="77" t="n"/>
      <c r="T131" s="39" t="n"/>
    </row>
    <row r="132" ht="62" customHeight="1">
      <c r="A132" s="12">
        <f>_xlfn.IMAGE("https://m.media-amazon.com/images/I/81TG-RmUYiL.jpg")</f>
        <v/>
      </c>
      <c r="B132" s="39" t="inlineStr">
        <is>
          <t>B0HKN7814L</t>
        </is>
      </c>
      <c r="C132" s="39" t="inlineStr">
        <is>
          <t>SS-SATIN-GREY-4PCS-QUEEN</t>
        </is>
      </c>
      <c r="D132" s="39" t="inlineStr">
        <is>
          <t>SLEEP SANCTUARY Satin Sheets Queen Size – 4 Piece Luxury Silky Bed Set, Softer Than Silk, 15" Deep Pocket, Cooling &amp; Wrinkle-Free, Moisture-Wicking &amp; Breathable for Hair &amp; Skin (Grey)</t>
        </is>
      </c>
      <c r="E132" s="39" t="inlineStr">
        <is>
          <t>Queen</t>
        </is>
      </c>
      <c r="F132" s="39" t="inlineStr">
        <is>
          <t>Grey</t>
        </is>
      </c>
      <c r="G132" s="40" t="n"/>
      <c r="H132" s="39" t="n"/>
      <c r="I132" s="40" t="n"/>
      <c r="J132" s="39" t="n"/>
      <c r="K132" s="40" t="n"/>
      <c r="L132" s="76" t="n"/>
      <c r="M132" s="77" t="n"/>
      <c r="N132" s="39" t="inlineStr">
        <is>
          <t>Inactive</t>
        </is>
      </c>
      <c r="O132" s="39" t="n"/>
      <c r="P132" s="78" t="n"/>
      <c r="Q132" s="77" t="n"/>
      <c r="R132" s="77" t="n"/>
      <c r="S132" s="77" t="n"/>
      <c r="T132" s="39" t="n"/>
    </row>
    <row r="133" ht="62" customHeight="1">
      <c r="A133" s="12">
        <f>_xlfn.IMAGE("https://m.media-amazon.com/images/I/81b2FINCUgL.jpg")</f>
        <v/>
      </c>
      <c r="B133" s="39" t="inlineStr">
        <is>
          <t>B0CQRWSS2D</t>
        </is>
      </c>
      <c r="C133" s="39" t="inlineStr">
        <is>
          <t>SATIN-4PC-QUEEN-SAGE GREEN</t>
        </is>
      </c>
      <c r="D133" s="39" t="inlineStr">
        <is>
          <t>DECOLURE Satin Sheets Queen Size | Softer Than Silk | Luxury 4 Pc Bed Set</t>
        </is>
      </c>
      <c r="E133" s="39" t="inlineStr">
        <is>
          <t>Queen</t>
        </is>
      </c>
      <c r="F133" s="39" t="inlineStr">
        <is>
          <t>Sage Green</t>
        </is>
      </c>
      <c r="G133" s="40" t="n"/>
      <c r="H133" s="39" t="n"/>
      <c r="I133" s="74" t="n">
        <v>31.95</v>
      </c>
      <c r="J133" s="75" t="inlineStr">
        <is>
          <t>2026-03-30</t>
        </is>
      </c>
      <c r="K133" s="40" t="n">
        <v>10.81</v>
      </c>
      <c r="L133" s="76" t="n">
        <v>0.3383411580594679</v>
      </c>
      <c r="M133" s="77" t="n"/>
      <c r="N133" s="39" t="inlineStr">
        <is>
          <t>Inactive</t>
        </is>
      </c>
      <c r="O133" s="39" t="n"/>
      <c r="P133" s="78" t="n"/>
      <c r="Q133" s="77" t="n"/>
      <c r="R133" s="77" t="n"/>
      <c r="S133" s="77" t="n"/>
      <c r="T133" s="39" t="n"/>
    </row>
    <row r="134" ht="62" customHeight="1">
      <c r="A134" s="12">
        <f>_xlfn.IMAGE("https://m.media-amazon.com/images/I/81bfs+Nmq1L.jpg")</f>
        <v/>
      </c>
      <c r="B134" s="39" t="inlineStr">
        <is>
          <t>B0H6QCW72X</t>
        </is>
      </c>
      <c r="C134" s="39" t="inlineStr">
        <is>
          <t>SATIN-TAUPE-QUEEN-4PCS</t>
        </is>
      </c>
      <c r="D134" s="39" t="inlineStr">
        <is>
          <t>DECOLURE Satin Sheets Queen Size | Softer Than Silk | Luxury 4 Pc Bed Set</t>
        </is>
      </c>
      <c r="E134" s="39" t="inlineStr">
        <is>
          <t>Queen</t>
        </is>
      </c>
      <c r="F134" s="39" t="inlineStr">
        <is>
          <t>Taupe</t>
        </is>
      </c>
      <c r="G134" s="40" t="n"/>
      <c r="H134" s="39" t="n"/>
      <c r="I134" s="40" t="n"/>
      <c r="J134" s="39" t="n"/>
      <c r="K134" s="40" t="n"/>
      <c r="L134" s="76" t="n"/>
      <c r="M134" s="77" t="n"/>
      <c r="N134" s="39" t="inlineStr">
        <is>
          <t>Inactive</t>
        </is>
      </c>
      <c r="O134" s="39" t="n"/>
      <c r="P134" s="78" t="n"/>
      <c r="Q134" s="77" t="n"/>
      <c r="R134" s="77" t="n"/>
      <c r="S134" s="77" t="n"/>
      <c r="T134" s="39" t="n"/>
    </row>
    <row r="135" ht="62" customHeight="1">
      <c r="A135" s="12">
        <f>_xlfn.IMAGE("https://m.media-amazon.com/images/I/81VOdox-tCL.jpg")</f>
        <v/>
      </c>
      <c r="B135" s="39" t="inlineStr">
        <is>
          <t>B09G6JK5ZL</t>
        </is>
      </c>
      <c r="C135" s="39" t="inlineStr">
        <is>
          <t>SATIN-STRIPE-TWIN-WHITE</t>
        </is>
      </c>
      <c r="D135" s="39" t="inlineStr">
        <is>
          <t>DECOLURE Satin Sheets Twin Size | Softer Than Silk | Luxury 3 Pc Bed Set</t>
        </is>
      </c>
      <c r="E135" s="39" t="inlineStr">
        <is>
          <t>Twin</t>
        </is>
      </c>
      <c r="F135" s="39" t="inlineStr">
        <is>
          <t>Striped White</t>
        </is>
      </c>
      <c r="G135" s="73" t="n">
        <v>27.95</v>
      </c>
      <c r="H135" s="39" t="inlineStr">
        <is>
          <t>catalog price, 2026-10-13</t>
        </is>
      </c>
      <c r="I135" s="74" t="n">
        <v>22.49</v>
      </c>
      <c r="J135" s="75" t="inlineStr">
        <is>
          <t>2026-03-30</t>
        </is>
      </c>
      <c r="K135" s="40" t="n">
        <v>4.619999999999997</v>
      </c>
      <c r="L135" s="76" t="n">
        <v>0.2054246331702978</v>
      </c>
      <c r="M135" s="77" t="n">
        <v>0</v>
      </c>
      <c r="N135" s="39" t="inlineStr">
        <is>
          <t>Active</t>
        </is>
      </c>
      <c r="O135" s="39" t="n"/>
      <c r="P135" s="78" t="n">
        <v>4.4</v>
      </c>
      <c r="Q135" s="77" t="n">
        <v>18632</v>
      </c>
      <c r="R135" s="77" t="n">
        <v>10009</v>
      </c>
      <c r="S135" s="77" t="n">
        <v>16</v>
      </c>
      <c r="T135" s="39" t="n"/>
    </row>
    <row r="136"/>
    <row r="137" ht="22" customHeight="1">
      <c r="A137" s="65" t="inlineStr">
        <is>
          <t>3 ▼</t>
        </is>
      </c>
      <c r="B137" s="66" t="inlineStr">
        <is>
          <t>OUR BFCM 2025 RESULT &amp; EVENT VISIBILITY</t>
        </is>
      </c>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c r="AC137" s="67" t="n"/>
      <c r="AD137" s="67" t="n"/>
      <c r="AE137" s="67" t="n"/>
      <c r="AF137" s="67" t="n"/>
      <c r="AG137" s="67" t="n"/>
      <c r="AH137" s="67" t="n"/>
      <c r="AI137" s="67" t="n"/>
      <c r="AJ137" s="67" t="n"/>
      <c r="AK137" s="67" t="n"/>
      <c r="AL137" s="67" t="n"/>
      <c r="AM137" s="67" t="n"/>
      <c r="AN137" s="67" t="n"/>
      <c r="AO137" s="67" t="n"/>
      <c r="AP137" s="67" t="n"/>
      <c r="AQ137" s="67" t="n"/>
      <c r="AR137" s="67" t="n"/>
      <c r="AS137" s="67" t="n"/>
      <c r="AT137" s="67" t="n"/>
      <c r="AU137" s="67" t="n"/>
      <c r="AV137" s="67" t="n"/>
      <c r="AW137" s="67" t="n"/>
      <c r="AX137" s="67" t="n"/>
      <c r="AY137" s="67" t="n"/>
      <c r="AZ137" s="67" t="n"/>
      <c r="BA137" s="67" t="n"/>
      <c r="BB137" s="67" t="n"/>
      <c r="BC137" s="67" t="n"/>
      <c r="BD137" s="67" t="n"/>
      <c r="BE137" s="67" t="n"/>
      <c r="BF137" s="67" t="n"/>
      <c r="BG137" s="67" t="n"/>
      <c r="BH137" s="67" t="n"/>
      <c r="BI137" s="67" t="n"/>
      <c r="BJ137" s="67" t="n"/>
      <c r="BK137" s="67" t="n"/>
    </row>
    <row r="138">
      <c r="A138" s="80" t="inlineStr">
        <is>
          <t>Window</t>
        </is>
      </c>
      <c r="B138" s="81" t="n"/>
      <c r="C138" s="82" t="n"/>
      <c r="D138" s="80" t="inlineStr">
        <is>
          <t>Ad spend</t>
        </is>
      </c>
      <c r="E138" s="80" t="inlineStr">
        <is>
          <t>Ad sales</t>
        </is>
      </c>
      <c r="F138" s="80" t="inlineStr">
        <is>
          <t>ACoS</t>
        </is>
      </c>
      <c r="G138" s="80" t="inlineStr">
        <is>
          <t>TACoS</t>
        </is>
      </c>
      <c r="H138" s="80" t="inlineStr">
        <is>
          <t>Total sales (derived)</t>
        </is>
      </c>
      <c r="J138" s="80" t="inlineStr">
        <is>
          <t>Ad orders</t>
        </is>
      </c>
      <c r="K138" s="80" t="inlineStr">
        <is>
          <t>CVR</t>
        </is>
      </c>
    </row>
    <row r="139">
      <c r="A139" s="83" t="inlineStr">
        <is>
          <t>Pre-event Oct 21 - Nov 19, 2025 (30d)</t>
        </is>
      </c>
      <c r="B139" s="81" t="n"/>
      <c r="C139" s="82" t="n"/>
      <c r="D139" s="84" t="n">
        <v>14432.27</v>
      </c>
      <c r="E139" s="84" t="n">
        <v>47769.10000000001</v>
      </c>
      <c r="F139" s="85" t="n">
        <v>30.2</v>
      </c>
      <c r="G139" s="85" t="n">
        <v>10.42259841667862</v>
      </c>
      <c r="H139" s="84" t="n">
        <v>138470.94</v>
      </c>
      <c r="J139" s="86" t="n">
        <v>1478</v>
      </c>
      <c r="K139" s="87" t="n">
        <v>13.75</v>
      </c>
    </row>
    <row r="140">
      <c r="A140" s="83" t="inlineStr">
        <is>
          <t>BFCM week Nov 20 - Dec 1, 2025 (12d)</t>
        </is>
      </c>
      <c r="B140" s="81" t="n"/>
      <c r="C140" s="82" t="n"/>
      <c r="D140" s="84" t="n">
        <v>7096.91</v>
      </c>
      <c r="E140" s="84" t="n">
        <v>33533.42</v>
      </c>
      <c r="F140" s="85" t="n">
        <v>21.2</v>
      </c>
      <c r="G140" s="85" t="n">
        <v>4.860525396789848</v>
      </c>
      <c r="H140" s="84" t="n">
        <v>146011.17</v>
      </c>
      <c r="J140" s="86" t="n">
        <v>1116</v>
      </c>
      <c r="K140" s="87" t="n">
        <v>18.92</v>
      </c>
    </row>
    <row r="141">
      <c r="A141" s="83" t="inlineStr">
        <is>
          <t>December 2 - 31, 2025 (30d)</t>
        </is>
      </c>
      <c r="B141" s="81" t="n"/>
      <c r="C141" s="82" t="n"/>
      <c r="D141" s="84" t="n">
        <v>22104.71</v>
      </c>
      <c r="E141" s="84" t="n">
        <v>92605.79000000001</v>
      </c>
      <c r="F141" s="85" t="n">
        <v>23.9</v>
      </c>
      <c r="G141" s="85" t="n">
        <v>8.247848544454847</v>
      </c>
      <c r="H141" s="84" t="n">
        <v>268005.77</v>
      </c>
      <c r="J141" s="86" t="n">
        <v>2934</v>
      </c>
      <c r="K141" s="87" t="n">
        <v>17.95</v>
      </c>
    </row>
    <row r="142"/>
    <row r="143">
      <c r="A143" s="80" t="inlineStr">
        <is>
          <t>Actual sales (account data)</t>
        </is>
      </c>
      <c r="B143" s="81" t="n"/>
      <c r="C143" s="82" t="n"/>
      <c r="D143" s="80" t="inlineStr">
        <is>
          <t>Sales</t>
        </is>
      </c>
      <c r="E143" s="80" t="inlineStr">
        <is>
          <t>Units</t>
        </is>
      </c>
      <c r="F143" s="80" t="inlineStr">
        <is>
          <t>Organic units</t>
        </is>
      </c>
      <c r="G143" s="80" t="inlineStr">
        <is>
          <t>Ad units</t>
        </is>
      </c>
      <c r="H143" s="80" t="inlineStr">
        <is>
          <t>Ad cost</t>
        </is>
      </c>
      <c r="J143" s="80" t="inlineStr">
        <is>
          <t>TACoS (actual)</t>
        </is>
      </c>
      <c r="K143" s="80" t="inlineStr">
        <is>
          <t>Sessions</t>
        </is>
      </c>
      <c r="L143" s="80" t="inlineStr">
        <is>
          <t>Unit session %</t>
        </is>
      </c>
      <c r="M143" s="80" t="inlineStr">
        <is>
          <t>Avg price</t>
        </is>
      </c>
      <c r="N143" s="80" t="inlineStr">
        <is>
          <t>Refunds</t>
        </is>
      </c>
    </row>
    <row r="144">
      <c r="A144" s="83" t="inlineStr">
        <is>
          <t>Pre-event Oct 21 - Nov 19, 2025 (30d)</t>
        </is>
      </c>
      <c r="B144" s="81" t="n"/>
      <c r="C144" s="82" t="n"/>
      <c r="D144" s="84" t="n">
        <v>138273.24</v>
      </c>
      <c r="E144" s="86" t="n">
        <v>4334</v>
      </c>
      <c r="F144" s="86" t="n">
        <v>3992</v>
      </c>
      <c r="G144" s="86" t="n">
        <v>342</v>
      </c>
      <c r="H144" s="84" t="n">
        <v>20798.83</v>
      </c>
      <c r="J144" s="88" t="n">
        <v>0.150418331124663</v>
      </c>
      <c r="K144" s="86" t="n">
        <v>69580</v>
      </c>
      <c r="L144" s="88" t="n">
        <v>0.06228801379706812</v>
      </c>
      <c r="M144" s="89" t="n">
        <v>31.90430087678818</v>
      </c>
      <c r="N144" s="86" t="n">
        <v>199</v>
      </c>
    </row>
    <row r="145">
      <c r="A145" s="83" t="inlineStr">
        <is>
          <t>BFCM week Nov 20 - Dec 1, 2025 (12d)</t>
        </is>
      </c>
      <c r="B145" s="81" t="n"/>
      <c r="C145" s="82" t="n"/>
      <c r="D145" s="84" t="n">
        <v>145858.84</v>
      </c>
      <c r="E145" s="86" t="n">
        <v>4995</v>
      </c>
      <c r="F145" s="86" t="n">
        <v>4737</v>
      </c>
      <c r="G145" s="86" t="n">
        <v>258</v>
      </c>
      <c r="H145" s="84" t="n">
        <v>11715.29</v>
      </c>
      <c r="J145" s="88" t="n">
        <v>0.08031936905572538</v>
      </c>
      <c r="K145" s="86" t="n">
        <v>82662</v>
      </c>
      <c r="L145" s="88" t="n">
        <v>0.06042679828700007</v>
      </c>
      <c r="M145" s="89" t="n">
        <v>29.20096896896897</v>
      </c>
      <c r="N145" s="86" t="n">
        <v>97</v>
      </c>
    </row>
    <row r="146">
      <c r="A146" s="83" t="inlineStr">
        <is>
          <t>December 2 - 31, 2025 (30d)</t>
        </is>
      </c>
      <c r="B146" s="81" t="n"/>
      <c r="C146" s="82" t="n"/>
      <c r="D146" s="84" t="n">
        <v>267242.58</v>
      </c>
      <c r="E146" s="86" t="n">
        <v>8497</v>
      </c>
      <c r="F146" s="86" t="n">
        <v>7799</v>
      </c>
      <c r="G146" s="86" t="n">
        <v>698</v>
      </c>
      <c r="H146" s="84" t="n">
        <v>29328.07</v>
      </c>
      <c r="J146" s="88" t="n">
        <v>0.1097432527406374</v>
      </c>
      <c r="K146" s="86" t="n">
        <v>112119</v>
      </c>
      <c r="L146" s="88" t="n">
        <v>0.07578554928245881</v>
      </c>
      <c r="M146" s="89" t="n">
        <v>31.45140402494998</v>
      </c>
      <c r="N146" s="86" t="n">
        <v>386</v>
      </c>
    </row>
    <row r="147">
      <c r="A147" s="90" t="inlineStr">
        <is>
          <t>account data, Amazon parent B0H631FLT8 plus any of this product's child ASINs account data lists on their own, UTC days. Lift above uses these actual sales (2.64x; the ad-spend estimate was 2.64x).</t>
        </is>
      </c>
    </row>
    <row r="148" ht="30" customHeight="1">
      <c r="A148" s="91" t="inlineStr">
        <is>
          <t>Deals we ran or scheduled, Nov 1 - Dec 5, 2025 (deal records promotions; scheduled deal price not in the feed. price history price = lowest Buy Box seen during the deal, an observation for the hero child only, not the scheduled deal price): Lightning Deal 11-06 to 11-07 (cancelled, 114 variations); Lightning Deal 11-14 to 11-15 (cancelled, 114 variations); Best Deal 11-20 to 12-02 (ran, 111 variations, 4,311 units; price history lowest Buy Box during it $25.46 on B0839MKJMV).</t>
        </is>
      </c>
    </row>
    <row r="149" ht="18" customHeight="1">
      <c r="A149" s="92" t="inlineStr">
        <is>
          <t>BFCM 2026 plan: Best Deal 11/19-11/30. Deal price and depth not yet given; not yet visible in Amazon's deal feed.</t>
        </is>
      </c>
    </row>
    <row r="150" ht="30" customHeight="1">
      <c r="A150" s="93" t="inlineStr">
        <is>
          <t>Amazon deal price now: Max deal prices have reset: 10% off the current price. Queen Black $29.95 live: about $26.96 at BFCM if the lookback stays clean, about $25.61 if the Oct 16 Best Deal runs.</t>
        </is>
      </c>
    </row>
    <row r="151" ht="30" customHeight="1">
      <c r="A151" s="93" t="inlineStr">
        <is>
          <t>Pre-BFCM deal decision: Oct 16-28 Best Deal: the team recommends cancelling (fee needs ~1.6x sales; the Aug deal lifted 1.37x). S4 BFCM Best Deal confirmed Nov 19-30 in US and CA.</t>
        </is>
      </c>
    </row>
    <row r="152" ht="30" customHeight="1">
      <c r="A152" s="94" t="inlineStr">
        <is>
          <t>BFCM 2026 stock (account data, Oct 15): 15,135 units at Amazon + 832 already sent (no ETA in account data); selling 117.0 a day; need about 7,679 to Nov 30 with a 2.64x BFCM lift (own BFCM 2025 lift (account data)). Variations: 72 covered, 4 need the inbound in time, 25 short even with inbound (729 units), 8 out of stock now. Detail: BFCM Stock tab.</t>
        </is>
      </c>
    </row>
    <row r="153" ht="18" customHeight="1">
      <c r="A153" s="95" t="inlineStr">
        <is>
          <t>ASSUMED 2026 deal prices, until the team's final: B0839MKJMV today $29.95; $25.46 at 15% off (Nov 19-26) and $23.96 at 20% off (Nov 27-30, Black Friday to Cyber Monday). Rule: team rule agreed Oct 15, 2026. Evidence: our BFCM 2025 deal on B0839MKJMV (US, price history): $29.95 before, $25.46 during, 15% off; US competitors' median price cut in BFCM 2025: 8% (3 rivals). Amazon may use a lower reference price than today's (it sets it the day before the deal), which would lower the deal price.</t>
        </is>
      </c>
    </row>
    <row r="154" ht="30" customHeight="1">
      <c r="A154" s="91" t="inlineStr">
        <is>
          <t>Our hero child B0839MKJMV in price history (market data, US): price $29.95 before (median Nov 1-19) → $25.46 in BFCM week (median Nov 20 - Dec 1), 15% lower; lowest $25.46; Best Seller Rank 5,988 → 4,292 (1.40x better). Price is price history's lowest new offer (price history holds no Buy Box series for our own ASINs; we are the only seller).</t>
        </is>
      </c>
    </row>
    <row r="155" ht="40" customHeight="1">
      <c r="A155" s="91" t="inlineStr">
        <is>
          <t>Stock in BFCM week 2025 (FBA inventory snapshots, child-ASIN level, revision 2): 1 of 122 variations hit zero FBA stock on at least one observed day; weighted by today's sales mix that is ~0.0% of variation-days lost. Most important: B0BG21PLYK 3/9 days. Days with no snapshot (Nov 26-27 and Dec 1, Cyber Monday), inferred from sales that day and the readings either side: 361 of 366 variation-days in stock, 1 out of stock, 4 unknown. Inferred, not a stock reading.</t>
        </is>
      </c>
    </row>
    <row r="156">
      <c r="A156" s="90" t="inlineStr">
        <is>
          <t>market data visibility for our best child B0839MKJMV: organic score 123.9 before BFCM 2025 → 163.2 in BFCM week; Prime Day 2026 33.4 → 41.5; Aug-Sep 2026 163.5.</t>
        </is>
      </c>
    </row>
    <row r="157"/>
    <row r="158" ht="22" customHeight="1">
      <c r="A158" s="65" t="inlineStr">
        <is>
          <t>4 ▼</t>
        </is>
      </c>
      <c r="B158" s="66" t="inlineStr">
        <is>
          <t>COMPETITOR LANDSCAPE (26 mapped)</t>
        </is>
      </c>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c r="AC158" s="67" t="n"/>
      <c r="AD158" s="67" t="n"/>
      <c r="AE158" s="67" t="n"/>
      <c r="AF158" s="67" t="n"/>
      <c r="AG158" s="67" t="n"/>
      <c r="AH158" s="67" t="n"/>
      <c r="AI158" s="67" t="n"/>
      <c r="AJ158" s="67" t="n"/>
      <c r="AK158" s="67" t="n"/>
      <c r="AL158" s="67" t="n"/>
      <c r="AM158" s="67" t="n"/>
      <c r="AN158" s="67" t="n"/>
      <c r="AO158" s="67" t="n"/>
      <c r="AP158" s="67" t="n"/>
      <c r="AQ158" s="67" t="n"/>
      <c r="AR158" s="67" t="n"/>
      <c r="AS158" s="67" t="n"/>
      <c r="AT158" s="67" t="n"/>
      <c r="AU158" s="67" t="n"/>
      <c r="AV158" s="67" t="n"/>
      <c r="AW158" s="67" t="n"/>
      <c r="AX158" s="67" t="n"/>
      <c r="AY158" s="67" t="n"/>
      <c r="AZ158" s="67" t="n"/>
      <c r="BA158" s="67" t="n"/>
      <c r="BB158" s="67" t="n"/>
      <c r="BC158" s="67" t="n"/>
      <c r="BD158" s="67" t="n"/>
      <c r="BE158" s="67" t="n"/>
      <c r="BF158" s="67" t="n"/>
      <c r="BG158" s="67" t="n"/>
      <c r="BH158" s="67" t="n"/>
      <c r="BI158" s="67" t="n"/>
      <c r="BJ158" s="67" t="n"/>
      <c r="BK158" s="67" t="n"/>
    </row>
    <row r="159" ht="20" customHeight="1">
      <c r="A159" s="96" t="inlineStr">
        <is>
          <t>▼▼▼</t>
        </is>
      </c>
      <c r="B159" s="97" t="inlineStr">
        <is>
          <t>COMPETITOR DATA BELOW: one row per competitor (16 direct first, then alternative material). Scroll right for listing, search, strikethrough now and BFCM 2025 history (deal type, price, discount, rank change).</t>
        </is>
      </c>
      <c r="C159" s="98" t="n"/>
      <c r="D159" s="98" t="n"/>
      <c r="E159" s="98" t="n"/>
      <c r="F159" s="98" t="n"/>
      <c r="G159" s="98" t="n"/>
      <c r="H159" s="98" t="n"/>
      <c r="I159" s="98" t="n"/>
      <c r="J159" s="98" t="n"/>
      <c r="K159" s="98" t="n"/>
      <c r="L159" s="98" t="n"/>
      <c r="M159" s="98" t="n"/>
      <c r="N159" s="98" t="n"/>
      <c r="O159" s="98" t="n"/>
      <c r="P159" s="98" t="n"/>
      <c r="Q159" s="98" t="n"/>
      <c r="R159" s="98" t="n"/>
      <c r="S159" s="98" t="n"/>
      <c r="T159" s="98" t="n"/>
      <c r="U159" s="98" t="n"/>
      <c r="V159" s="98" t="n"/>
      <c r="W159" s="98" t="n"/>
      <c r="X159" s="98" t="n"/>
      <c r="Y159" s="98" t="n"/>
      <c r="Z159" s="98" t="n"/>
      <c r="AA159" s="98" t="n"/>
      <c r="AB159" s="98" t="n"/>
      <c r="AC159" s="98" t="n"/>
      <c r="AD159" s="98" t="n"/>
      <c r="AE159" s="98" t="n"/>
      <c r="AF159" s="98" t="n"/>
      <c r="AG159" s="98" t="n"/>
      <c r="AH159" s="98" t="n"/>
      <c r="AI159" s="98" t="n"/>
      <c r="AJ159" s="98" t="n"/>
      <c r="AK159" s="98" t="n"/>
      <c r="AL159" s="98" t="n"/>
      <c r="AM159" s="98" t="n"/>
      <c r="AN159" s="98" t="n"/>
      <c r="AO159" s="98" t="n"/>
      <c r="AP159" s="98" t="n"/>
      <c r="AQ159" s="98" t="n"/>
      <c r="AR159" s="98" t="n"/>
      <c r="AS159" s="98" t="n"/>
      <c r="AT159" s="98" t="n"/>
      <c r="AU159" s="98" t="n"/>
      <c r="AV159" s="98" t="n"/>
      <c r="AW159" s="98" t="n"/>
      <c r="AX159" s="98" t="n"/>
      <c r="AY159" s="98" t="n"/>
      <c r="AZ159" s="98" t="n"/>
      <c r="BA159" s="98" t="n"/>
      <c r="BB159" s="98" t="n"/>
      <c r="BC159" s="98" t="n"/>
      <c r="BD159" s="98" t="n"/>
      <c r="BE159" s="98" t="n"/>
      <c r="BF159" s="98" t="n"/>
      <c r="BG159" s="98" t="n"/>
      <c r="BH159" s="98" t="n"/>
      <c r="BI159" s="98" t="n"/>
      <c r="BJ159" s="98" t="n"/>
      <c r="BK159" s="98" t="n"/>
    </row>
    <row r="160">
      <c r="A160" s="99" t="inlineStr">
        <is>
          <t>COMPETITOR</t>
        </is>
      </c>
      <c r="L160" s="100" t="inlineStr">
        <is>
          <t>LISTING - catalog data</t>
        </is>
      </c>
      <c r="M160" s="101" t="inlineStr">
        <is>
          <t>SEARCH STRATEGY - market data search data</t>
        </is>
      </c>
      <c r="N160" s="102" t="inlineStr">
        <is>
          <t>PRICE &amp; SALES - market data snapshot (date per row)</t>
        </is>
      </c>
      <c r="AA160" s="100" t="inlineStr">
        <is>
          <t>LISTING - catalog data</t>
        </is>
      </c>
      <c r="AD160" s="101" t="inlineStr">
        <is>
          <t>SEARCH STRATEGY - market data search data</t>
        </is>
      </c>
      <c r="AU160" s="103" t="inlineStr">
        <is>
          <t>STR NOW - Amazon page check (Oct 13, P1 + P2)</t>
        </is>
      </c>
      <c r="BB160" s="104" t="inlineStr">
        <is>
          <t>BFCM 2025 - price history (P1 filled; yellow = not pulled yet)</t>
        </is>
      </c>
    </row>
    <row r="161" ht="48" customHeight="1">
      <c r="A161" s="26" t="inlineStr">
        <is>
          <t>Image</t>
        </is>
      </c>
      <c r="B161" s="26" t="inlineStr">
        <is>
          <t>Brand</t>
        </is>
      </c>
      <c r="C161" s="26" t="inlineStr">
        <is>
          <t>Product title</t>
        </is>
      </c>
      <c r="D161" s="26" t="inlineStr">
        <is>
          <t>Tier</t>
        </is>
      </c>
      <c r="E161" s="26" t="inlineStr">
        <is>
          <t>Competitor type</t>
        </is>
      </c>
      <c r="F161" s="26" t="inlineStr">
        <is>
          <t>Material</t>
        </is>
      </c>
      <c r="G161" s="26" t="inlineStr">
        <is>
          <t>Why this type</t>
        </is>
      </c>
      <c r="H161" s="26" t="inlineStr">
        <is>
          <t>Parent ASIN</t>
        </is>
      </c>
      <c r="I161" s="26" t="inlineStr">
        <is>
          <t>Tracked child ASIN</t>
        </is>
      </c>
      <c r="J161" s="26" t="inlineStr">
        <is>
          <t>Size</t>
        </is>
      </c>
      <c r="K161" s="26" t="inlineStr">
        <is>
          <t>Colour</t>
        </is>
      </c>
      <c r="L161" s="26" t="inlineStr">
        <is>
          <t>Variations</t>
        </is>
      </c>
      <c r="M161" s="26" t="inlineStr">
        <is>
          <t>Hero child ASINs (share of their visibility)</t>
        </is>
      </c>
      <c r="N161" s="26" t="inlineStr">
        <is>
          <t>Price ($)</t>
        </is>
      </c>
      <c r="O161" s="26" t="inlineStr">
        <is>
          <t>List Price ($)</t>
        </is>
      </c>
      <c r="P161" s="26" t="inlineStr">
        <is>
          <t>List Price % over</t>
        </is>
      </c>
      <c r="Q161" s="26" t="inlineStr">
        <is>
          <t>STR band</t>
        </is>
      </c>
      <c r="R161" s="26" t="inlineStr">
        <is>
          <t>Our price, same size ($)</t>
        </is>
      </c>
      <c r="S161" s="26" t="inlineStr">
        <is>
          <t>Their price vs ours</t>
        </is>
      </c>
      <c r="T161" s="26" t="inlineStr">
        <is>
          <t>Comparison basis</t>
        </is>
      </c>
      <c r="U161" s="26" t="inlineStr">
        <is>
          <t>BSR</t>
        </is>
      </c>
      <c r="V161" s="26" t="inlineStr">
        <is>
          <t>Est weekly units</t>
        </is>
      </c>
      <c r="W161" s="26" t="inlineStr">
        <is>
          <t>Est monthly revenue ($)</t>
        </is>
      </c>
      <c r="X161" s="26" t="inlineStr">
        <is>
          <t>Rating</t>
        </is>
      </c>
      <c r="Y161" s="26" t="inlineStr">
        <is>
          <t>Reviews</t>
        </is>
      </c>
      <c r="Z161" s="26" t="inlineStr">
        <is>
          <t>Snapshot date</t>
        </is>
      </c>
      <c r="AA161" s="26" t="inlineStr">
        <is>
          <t>Listed</t>
        </is>
      </c>
      <c r="AB161" s="26" t="inlineStr">
        <is>
          <t>Fulfil.</t>
        </is>
      </c>
      <c r="AC161" s="26" t="inlineStr">
        <is>
          <t>Seller country</t>
        </is>
      </c>
      <c r="AD161" s="26" t="inlineStr">
        <is>
          <t>search data 7d traffic</t>
        </is>
      </c>
      <c r="AE161" s="26" t="inlineStr">
        <is>
          <t>Keywords ranked</t>
        </is>
      </c>
      <c r="AF161" s="26" t="inlineStr">
        <is>
          <t>Organic share of traffic</t>
        </is>
      </c>
      <c r="AG161" s="26" t="inlineStr">
        <is>
          <t>Ad share of traffic</t>
        </is>
      </c>
      <c r="AH161" s="26" t="inlineStr">
        <is>
          <t>Top keyword</t>
        </is>
      </c>
      <c r="AI161" s="26" t="inlineStr">
        <is>
          <t>SP reach</t>
        </is>
      </c>
      <c r="AJ161" s="26" t="inlineStr">
        <is>
          <t>SB reach</t>
        </is>
      </c>
      <c r="AK161" s="26" t="inlineStr">
        <is>
          <t>SB video reach</t>
        </is>
      </c>
      <c r="AL161" s="26" t="inlineStr">
        <is>
          <t>Amazon's Choice reach</t>
        </is>
      </c>
      <c r="AM161" s="26" t="inlineStr">
        <is>
          <t>Shared keywords</t>
        </is>
      </c>
      <c r="AN161" s="26" t="inlineStr">
        <is>
          <t>We win</t>
        </is>
      </c>
      <c r="AO161" s="26" t="inlineStr">
        <is>
          <t>We lose</t>
        </is>
      </c>
      <c r="AP161" s="26" t="inlineStr">
        <is>
          <t>Their keywords we miss</t>
        </is>
      </c>
      <c r="AQ161" s="26" t="inlineStr">
        <is>
          <t>KWs they advertise, we don't</t>
        </is>
      </c>
      <c r="AR161" s="26" t="inlineStr">
        <is>
          <t>KWs they out-advertise us</t>
        </is>
      </c>
      <c r="AS161" s="26" t="inlineStr">
        <is>
          <t>Prime Day 2026 organic vis lift</t>
        </is>
      </c>
      <c r="AT161" s="26" t="inlineStr">
        <is>
          <t>Organic trend (Aug-Sep vs Q2)</t>
        </is>
      </c>
      <c r="AU161" s="26" t="inlineStr">
        <is>
          <t>STR showing now? (Y/N)</t>
        </is>
      </c>
      <c r="AV161" s="26" t="inlineStr">
        <is>
          <t>STR label</t>
        </is>
      </c>
      <c r="AW161" s="26" t="inlineStr">
        <is>
          <t>Strikethrough price ($)</t>
        </is>
      </c>
      <c r="AX161" s="26" t="inlineStr">
        <is>
          <t>Page price at check ($)</t>
        </is>
      </c>
      <c r="AY161" s="26" t="inlineStr">
        <is>
          <t>Deal / coupon now</t>
        </is>
      </c>
      <c r="AZ161" s="26" t="inlineStr">
        <is>
          <t>Orderable now (Y/N)</t>
        </is>
      </c>
      <c r="BA161" s="26" t="inlineStr">
        <is>
          <t>Checked (ET)</t>
        </is>
      </c>
      <c r="BB161" s="26" t="inlineStr">
        <is>
          <t>BFCM 2025 deal type</t>
        </is>
      </c>
      <c r="BC161" s="26" t="inlineStr">
        <is>
          <t>BFCM 2025 deal dates</t>
        </is>
      </c>
      <c r="BD161" s="26" t="inlineStr">
        <is>
          <t>Pre-event price ($)</t>
        </is>
      </c>
      <c r="BE161" s="26" t="inlineStr">
        <is>
          <t>BFCM 2025 low ($)</t>
        </is>
      </c>
      <c r="BF161" s="26" t="inlineStr">
        <is>
          <t>BFCM 2025 discount</t>
        </is>
      </c>
      <c r="BG161" s="26" t="inlineStr">
        <is>
          <t>BSR pre-event</t>
        </is>
      </c>
      <c r="BH161" s="26" t="inlineStr">
        <is>
          <t>BSR BFCM wk</t>
        </is>
      </c>
      <c r="BI161" s="26" t="inlineStr">
        <is>
          <t>BSR lift (x)</t>
        </is>
      </c>
      <c r="BJ161" s="26" t="inlineStr">
        <is>
          <t>OOS in BFCM? (Y/N)</t>
        </is>
      </c>
      <c r="BK161" s="26" t="inlineStr">
        <is>
          <t>Notes</t>
        </is>
      </c>
    </row>
    <row r="162" ht="62" customHeight="1">
      <c r="A162" s="12">
        <f>_xlfn.IMAGE("https://images-na.ssl-images-amazon.com/images/I/71ujt2CgaQL.jpg")</f>
        <v/>
      </c>
      <c r="B162" s="105" t="inlineStr">
        <is>
          <t>BEDELITE</t>
        </is>
      </c>
      <c r="C162" s="39" t="inlineStr">
        <is>
          <t>BEDELITE Satin Sheets Queen Size Bed Set, Black, 4 Pieces</t>
        </is>
      </c>
      <c r="D162" s="105" t="inlineStr">
        <is>
          <t>Aspirational</t>
        </is>
      </c>
      <c r="E162" s="106" t="inlineStr">
        <is>
          <t>Direct</t>
        </is>
      </c>
      <c r="F162" s="105" t="inlineStr">
        <is>
          <t>Satin (polyester)</t>
        </is>
      </c>
      <c r="G162" s="39" t="inlineStr">
        <is>
          <t>Same product (sheet set) in the same material family: Satin (polyester) (title: BEDELITE Satin Sheets Queen Size Bed Set, Black, 4 Pieces); ours: our listing: polyester satin.</t>
        </is>
      </c>
      <c r="H162" s="107" t="inlineStr">
        <is>
          <t>B0FNMNMZ9T</t>
        </is>
      </c>
      <c r="I162" s="107" t="inlineStr">
        <is>
          <t>B0CSFTRP2X</t>
        </is>
      </c>
      <c r="J162" s="105" t="inlineStr">
        <is>
          <t>Queen</t>
        </is>
      </c>
      <c r="K162" s="105" t="inlineStr">
        <is>
          <t>Black</t>
        </is>
      </c>
      <c r="L162" s="108" t="n">
        <v>141</v>
      </c>
      <c r="M162" s="39" t="inlineStr">
        <is>
          <t>B0CSFTRP2X (57%), B0CSFW9QKP (14%), B0CSFTZ5B9 (14%)</t>
        </is>
      </c>
      <c r="N162" s="109" t="n">
        <v>17.99</v>
      </c>
      <c r="O162" s="109" t="n"/>
      <c r="P162" s="110">
        <f>IF(AND(ISNUMBER(O162),ISNUMBER(N162),N(N162)&gt;0),O162/N162-1,"")</f>
        <v/>
      </c>
      <c r="Q162" s="111">
        <f>IF(P162="","No List Price",IF(P162&lt;=0,"At/below price",IF(P162&lt;=0.12,"&lt;=12% STR zone",IF(P162&lt;=0.25,"12-25%","&gt;25% over"))))</f>
        <v/>
      </c>
      <c r="R162" s="109" t="n">
        <v>31.95</v>
      </c>
      <c r="S162" s="112">
        <f>IF(AND(ISNUMBER(N162),ISNUMBER(R162),N(R162)&gt;0),N162/R162-1,"")</f>
        <v/>
      </c>
      <c r="T162" s="39" t="inlineStr">
        <is>
          <t>Same size (Queen). Ours live: catalog price, 2026-10-13; 23 children</t>
        </is>
      </c>
      <c r="U162" s="108" t="n">
        <v>497</v>
      </c>
      <c r="V162" s="108" t="n">
        <v>1963</v>
      </c>
      <c r="W162" s="113">
        <f>IF(AND(ISNUMBER(N162),ISNUMBER(V162)),N162*V162*52/12,"")</f>
        <v/>
      </c>
      <c r="X162" s="114" t="n">
        <v>4.3</v>
      </c>
      <c r="Y162" s="108" t="n">
        <v>6297</v>
      </c>
      <c r="Z162" s="115" t="n">
        <v>46307</v>
      </c>
      <c r="AA162" s="115" t="n">
        <v>45307</v>
      </c>
      <c r="AB162" s="105" t="inlineStr">
        <is>
          <t>FBA</t>
        </is>
      </c>
      <c r="AC162" s="105" t="inlineStr">
        <is>
          <t>CN</t>
        </is>
      </c>
      <c r="AD162" s="108" t="n">
        <v>997443</v>
      </c>
      <c r="AE162" s="108" t="n">
        <v>3432</v>
      </c>
      <c r="AF162" s="116" t="n">
        <v>0.8161266415223724</v>
      </c>
      <c r="AG162" s="116" t="n">
        <v>0.1838733681022371</v>
      </c>
      <c r="AH162" s="39" t="inlineStr">
        <is>
          <t>silk sheets</t>
        </is>
      </c>
      <c r="AI162" s="116" t="n">
        <v>0.7623814092634867</v>
      </c>
      <c r="AJ162" s="116" t="n">
        <v>0.2406603685624141</v>
      </c>
      <c r="AK162" s="116" t="n">
        <v>0.1818179083917577</v>
      </c>
      <c r="AL162" s="116" t="n">
        <v>0.3718648584430388</v>
      </c>
      <c r="AM162" s="108" t="n">
        <v>871</v>
      </c>
      <c r="AN162" s="108" t="n">
        <v>92</v>
      </c>
      <c r="AO162" s="108" t="n">
        <v>714</v>
      </c>
      <c r="AP162" s="108" t="n">
        <v>2561</v>
      </c>
      <c r="AQ162" s="108" t="n">
        <v>340</v>
      </c>
      <c r="AR162" s="108" t="n">
        <v>36</v>
      </c>
      <c r="AS162" s="117" t="n">
        <v>1.114785561378903</v>
      </c>
      <c r="AT162" s="112" t="n">
        <v>0.3117365084274004</v>
      </c>
      <c r="AU162" s="118" t="inlineStr">
        <is>
          <t>Y</t>
        </is>
      </c>
      <c r="AV162" s="118" t="inlineStr">
        <is>
          <t>List Price</t>
        </is>
      </c>
      <c r="AW162" s="119" t="n">
        <v>19.99</v>
      </c>
      <c r="AX162" s="119" t="n">
        <v>17.99</v>
      </c>
      <c r="AY162" s="118" t="inlineStr">
        <is>
          <t>none</t>
        </is>
      </c>
      <c r="AZ162" s="118" t="inlineStr">
        <is>
          <t>Y</t>
        </is>
      </c>
      <c r="BA162" s="118" t="inlineStr">
        <is>
          <t>2026-10-13 12:12:27</t>
        </is>
      </c>
      <c r="BB162" s="120" t="inlineStr">
        <is>
          <t>Price cut only</t>
        </is>
      </c>
      <c r="BC162" s="120" t="inlineStr">
        <is>
          <t>11-20 to 12-01</t>
        </is>
      </c>
      <c r="BD162" s="121" t="n">
        <v>17.99</v>
      </c>
      <c r="BE162" s="121" t="n">
        <v>17.09</v>
      </c>
      <c r="BF162" s="110">
        <f>IF(AND(ISNUMBER(BD162),ISNUMBER(BE162),N(BD162)&gt;0),1-BE162/BD162,"")</f>
        <v/>
      </c>
      <c r="BG162" s="122" t="n">
        <v>714</v>
      </c>
      <c r="BH162" s="122" t="n">
        <v>473</v>
      </c>
      <c r="BI162" s="123">
        <f>IF(AND(ISNUMBER(BG162),ISNUMBER(BH162),N(BH162)&gt;0),BG162/BH162,"")</f>
        <v/>
      </c>
      <c r="BJ162" s="120" t="inlineStr">
        <is>
          <t>N</t>
        </is>
      </c>
      <c r="BK162" s="120" t="inlineStr">
        <is>
          <t>Prime Exclusive 11-01 to 12-05; Prime Exclusive already running before BFCM week; List Price $23.99</t>
        </is>
      </c>
    </row>
    <row r="163" ht="62" customHeight="1">
      <c r="A163" s="12">
        <f>_xlfn.IMAGE("https://images-na.ssl-images-amazon.com/images/I/81C-fXI71XL.jpg")</f>
        <v/>
      </c>
      <c r="B163" s="105" t="inlineStr">
        <is>
          <t>Love's cabin</t>
        </is>
      </c>
      <c r="C163" s="39" t="inlineStr">
        <is>
          <t>Love's cabin Satin Queen Sheets Set, 4 Pieces, Pink, 15" Deep Pocket</t>
        </is>
      </c>
      <c r="D163" s="105" t="inlineStr">
        <is>
          <t>Aspirational</t>
        </is>
      </c>
      <c r="E163" s="106" t="inlineStr">
        <is>
          <t>Direct</t>
        </is>
      </c>
      <c r="F163" s="105" t="inlineStr">
        <is>
          <t>Satin (polyester)</t>
        </is>
      </c>
      <c r="G163" s="39" t="inlineStr">
        <is>
          <t>Same product (sheet set) in the same material family: Satin (polyester) (title: Love's cabin Satin Queen Sheets Set, 4 Pieces, Pink, 15" Dee); ours: our listing: polyester satin.</t>
        </is>
      </c>
      <c r="H163" s="107" t="inlineStr">
        <is>
          <t>B08DHTB63X</t>
        </is>
      </c>
      <c r="I163" s="107" t="inlineStr">
        <is>
          <t>B0BNMC5G8R</t>
        </is>
      </c>
      <c r="J163" s="105" t="inlineStr">
        <is>
          <t>Queen</t>
        </is>
      </c>
      <c r="K163" s="105" t="inlineStr">
        <is>
          <t>Pink</t>
        </is>
      </c>
      <c r="L163" s="108" t="n">
        <v>128</v>
      </c>
      <c r="M163" s="39" t="inlineStr">
        <is>
          <t>B0BNMC5G8R (45%), B0BNMCRSC6 (13%), B0CM5NFXX1 (9%), B0BNMVM5VM (5%), B0BNMD8S97 (4%)</t>
        </is>
      </c>
      <c r="N163" s="109" t="n">
        <v>16.13</v>
      </c>
      <c r="O163" s="109" t="n">
        <v>19.99</v>
      </c>
      <c r="P163" s="110">
        <f>IF(AND(ISNUMBER(O163),ISNUMBER(N163),N(N163)&gt;0),O163/N163-1,"")</f>
        <v/>
      </c>
      <c r="Q163" s="111">
        <f>IF(P163="","No List Price",IF(P163&lt;=0,"At/below price",IF(P163&lt;=0.12,"&lt;=12% STR zone",IF(P163&lt;=0.25,"12-25%","&gt;25% over"))))</f>
        <v/>
      </c>
      <c r="R163" s="109" t="n">
        <v>31.95</v>
      </c>
      <c r="S163" s="112">
        <f>IF(AND(ISNUMBER(N163),ISNUMBER(R163),N(R163)&gt;0),N163/R163-1,"")</f>
        <v/>
      </c>
      <c r="T163" s="39" t="inlineStr">
        <is>
          <t>Same size (Queen). Ours live: catalog price, 2026-10-13; 23 children</t>
        </is>
      </c>
      <c r="U163" s="108" t="n">
        <v>949</v>
      </c>
      <c r="V163" s="108" t="n">
        <v>809</v>
      </c>
      <c r="W163" s="113">
        <f>IF(AND(ISNUMBER(N163),ISNUMBER(V163)),N163*V163*52/12,"")</f>
        <v/>
      </c>
      <c r="X163" s="114" t="n">
        <v>4.5</v>
      </c>
      <c r="Y163" s="108" t="n">
        <v>5747</v>
      </c>
      <c r="Z163" s="115" t="n">
        <v>46307</v>
      </c>
      <c r="AA163" s="115" t="n">
        <v>44895</v>
      </c>
      <c r="AB163" s="105" t="inlineStr">
        <is>
          <t>FBA</t>
        </is>
      </c>
      <c r="AC163" s="105" t="inlineStr">
        <is>
          <t>CN</t>
        </is>
      </c>
      <c r="AD163" s="108" t="n">
        <v>385363</v>
      </c>
      <c r="AE163" s="108" t="n">
        <v>3599</v>
      </c>
      <c r="AF163" s="116" t="n">
        <v>0.8181775938530695</v>
      </c>
      <c r="AG163" s="116" t="n">
        <v>0.1818224144507905</v>
      </c>
      <c r="AH163" s="39" t="inlineStr">
        <is>
          <t>silk sheets</t>
        </is>
      </c>
      <c r="AI163" s="116" t="n">
        <v>0.8853963665427143</v>
      </c>
      <c r="AJ163" s="116" t="n">
        <v>0.6095447668821345</v>
      </c>
      <c r="AK163" s="116" t="n">
        <v>0.07642664189348744</v>
      </c>
      <c r="AL163" s="116" t="n">
        <v>0.06371395281851137</v>
      </c>
      <c r="AM163" s="108" t="n">
        <v>848</v>
      </c>
      <c r="AN163" s="108" t="n">
        <v>185</v>
      </c>
      <c r="AO163" s="108" t="n">
        <v>585</v>
      </c>
      <c r="AP163" s="108" t="n">
        <v>2751</v>
      </c>
      <c r="AQ163" s="108" t="n">
        <v>425</v>
      </c>
      <c r="AR163" s="108" t="n">
        <v>42</v>
      </c>
      <c r="AS163" s="117" t="n">
        <v>1.036399938565504</v>
      </c>
      <c r="AT163" s="112" t="n">
        <v>-0.1336111472848027</v>
      </c>
      <c r="AU163" s="118" t="inlineStr">
        <is>
          <t>Y</t>
        </is>
      </c>
      <c r="AV163" s="118" t="inlineStr">
        <is>
          <t>List Price</t>
        </is>
      </c>
      <c r="AW163" s="119" t="n">
        <v>19.99</v>
      </c>
      <c r="AX163" s="119" t="n">
        <v>16.13</v>
      </c>
      <c r="AY163" s="118" t="inlineStr">
        <is>
          <t>Limited time deal</t>
        </is>
      </c>
      <c r="AZ163" s="118" t="inlineStr">
        <is>
          <t>Y</t>
        </is>
      </c>
      <c r="BA163" s="118" t="inlineStr">
        <is>
          <t>2026-10-13 12:13:15</t>
        </is>
      </c>
      <c r="BB163" s="120" t="inlineStr">
        <is>
          <t>Prime Exclusive Discount</t>
        </is>
      </c>
      <c r="BC163" s="120" t="inlineStr">
        <is>
          <t>11-10 to 12-05</t>
        </is>
      </c>
      <c r="BD163" s="121" t="n">
        <v>17.99</v>
      </c>
      <c r="BE163" s="121" t="n">
        <v>17.99</v>
      </c>
      <c r="BF163" s="110">
        <f>IF(AND(ISNUMBER(BD163),ISNUMBER(BE163),N(BD163)&gt;0),1-BE163/BD163,"")</f>
        <v/>
      </c>
      <c r="BG163" s="122" t="n">
        <v>1276</v>
      </c>
      <c r="BH163" s="122" t="n">
        <v>1515</v>
      </c>
      <c r="BI163" s="123">
        <f>IF(AND(ISNUMBER(BG163),ISNUMBER(BH163),N(BH163)&gt;0),BG163/BH163,"")</f>
        <v/>
      </c>
      <c r="BJ163" s="120" t="inlineStr">
        <is>
          <t>N</t>
        </is>
      </c>
      <c r="BK163" s="120" t="inlineStr">
        <is>
          <t>Prime Exclusive already running before BFCM week; List Price $25.99</t>
        </is>
      </c>
    </row>
    <row r="164" ht="62" customHeight="1">
      <c r="A164" s="12">
        <f>_xlfn.IMAGE("https://images-na.ssl-images-amazon.com/images/I/71zGuoeuSrL.jpg")</f>
        <v/>
      </c>
      <c r="B164" s="105" t="inlineStr">
        <is>
          <t>MR&amp;HM</t>
        </is>
      </c>
      <c r="C164" s="39" t="inlineStr">
        <is>
          <t>MR&amp;HM Satin Sheets Queen Size with Elastic Corner Straps, Black</t>
        </is>
      </c>
      <c r="D164" s="105" t="inlineStr">
        <is>
          <t>Aspirational</t>
        </is>
      </c>
      <c r="E164" s="106" t="inlineStr">
        <is>
          <t>Direct</t>
        </is>
      </c>
      <c r="F164" s="105" t="inlineStr">
        <is>
          <t>Satin (polyester)</t>
        </is>
      </c>
      <c r="G164" s="39" t="inlineStr">
        <is>
          <t>Same product (sheet set) in the same material family: Satin (polyester) (title: MR&amp;HM Satin Sheets Queen Size with Elastic Corner Straps, Bl); ours: our listing: polyester satin.</t>
        </is>
      </c>
      <c r="H164" s="107" t="inlineStr">
        <is>
          <t>B08NQ3W7PG</t>
        </is>
      </c>
      <c r="I164" s="107" t="inlineStr">
        <is>
          <t>B08HM6WT6X</t>
        </is>
      </c>
      <c r="J164" s="105" t="inlineStr">
        <is>
          <t>Queen</t>
        </is>
      </c>
      <c r="K164" s="105" t="inlineStr">
        <is>
          <t>Black</t>
        </is>
      </c>
      <c r="L164" s="108" t="n">
        <v>183</v>
      </c>
      <c r="M164" s="39" t="inlineStr">
        <is>
          <t>B08HM6WT6X (40%), B0D2CQ6VNT (13%), B08PS3HDFL (10%), B08HM65Z68 (8%), B08HLT8R9M (6%)</t>
        </is>
      </c>
      <c r="N164" s="109" t="n">
        <v>19.99</v>
      </c>
      <c r="O164" s="109" t="n"/>
      <c r="P164" s="110">
        <f>IF(AND(ISNUMBER(O164),ISNUMBER(N164),N(N164)&gt;0),O164/N164-1,"")</f>
        <v/>
      </c>
      <c r="Q164" s="111">
        <f>IF(P164="","No List Price",IF(P164&lt;=0,"At/below price",IF(P164&lt;=0.12,"&lt;=12% STR zone",IF(P164&lt;=0.25,"12-25%","&gt;25% over"))))</f>
        <v/>
      </c>
      <c r="R164" s="109" t="n">
        <v>31.95</v>
      </c>
      <c r="S164" s="112">
        <f>IF(AND(ISNUMBER(N164),ISNUMBER(R164),N(R164)&gt;0),N164/R164-1,"")</f>
        <v/>
      </c>
      <c r="T164" s="39" t="inlineStr">
        <is>
          <t>Same size (Queen). Ours live: catalog price, 2026-10-13; 23 children</t>
        </is>
      </c>
      <c r="U164" s="108" t="n">
        <v>2025</v>
      </c>
      <c r="V164" s="108" t="n">
        <v>809</v>
      </c>
      <c r="W164" s="113">
        <f>IF(AND(ISNUMBER(N164),ISNUMBER(V164)),N164*V164*52/12,"")</f>
        <v/>
      </c>
      <c r="X164" s="114" t="n">
        <v>4.4</v>
      </c>
      <c r="Y164" s="108" t="n">
        <v>17886</v>
      </c>
      <c r="Z164" s="115" t="n">
        <v>46307</v>
      </c>
      <c r="AA164" s="115" t="n">
        <v>44081</v>
      </c>
      <c r="AB164" s="105" t="inlineStr">
        <is>
          <t>FBA</t>
        </is>
      </c>
      <c r="AC164" s="105" t="inlineStr">
        <is>
          <t>HK</t>
        </is>
      </c>
      <c r="AD164" s="108" t="n">
        <v>356457</v>
      </c>
      <c r="AE164" s="108" t="n">
        <v>3352</v>
      </c>
      <c r="AF164" s="116" t="n">
        <v>0.7964633734223203</v>
      </c>
      <c r="AG164" s="116" t="n">
        <v>0.2035367432817982</v>
      </c>
      <c r="AH164" s="39" t="inlineStr">
        <is>
          <t>silk sheets</t>
        </is>
      </c>
      <c r="AI164" s="116" t="n">
        <v>0.839254103580516</v>
      </c>
      <c r="AJ164" s="116" t="n"/>
      <c r="AK164" s="116" t="n"/>
      <c r="AL164" s="116" t="n">
        <v>0.1362268099658584</v>
      </c>
      <c r="AM164" s="108" t="n">
        <v>867</v>
      </c>
      <c r="AN164" s="108" t="n">
        <v>179</v>
      </c>
      <c r="AO164" s="108" t="n">
        <v>608</v>
      </c>
      <c r="AP164" s="108" t="n">
        <v>2485</v>
      </c>
      <c r="AQ164" s="108" t="n">
        <v>383</v>
      </c>
      <c r="AR164" s="108" t="n">
        <v>49</v>
      </c>
      <c r="AS164" s="117" t="n">
        <v>0.9844138242602214</v>
      </c>
      <c r="AT164" s="112" t="n">
        <v>0.1594370096908169</v>
      </c>
      <c r="AU164" s="118" t="inlineStr">
        <is>
          <t>Y</t>
        </is>
      </c>
      <c r="AV164" s="118" t="inlineStr">
        <is>
          <t>List Price</t>
        </is>
      </c>
      <c r="AW164" s="119" t="n">
        <v>28.99</v>
      </c>
      <c r="AX164" s="119" t="n">
        <v>19.99</v>
      </c>
      <c r="AY164" s="118" t="inlineStr">
        <is>
          <t>none</t>
        </is>
      </c>
      <c r="AZ164" s="118" t="inlineStr">
        <is>
          <t>Y</t>
        </is>
      </c>
      <c r="BA164" s="118" t="inlineStr">
        <is>
          <t>2026-10-13 12:13:22</t>
        </is>
      </c>
      <c r="BB164" s="120" t="inlineStr">
        <is>
          <t>None</t>
        </is>
      </c>
      <c r="BC164" s="125" t="n"/>
      <c r="BD164" s="121" t="n">
        <v>17.99</v>
      </c>
      <c r="BE164" s="121" t="n">
        <v>17.99</v>
      </c>
      <c r="BF164" s="110">
        <f>IF(AND(ISNUMBER(BD164),ISNUMBER(BE164),N(BD164)&gt;0),1-BE164/BD164,"")</f>
        <v/>
      </c>
      <c r="BG164" s="122" t="n">
        <v>1500</v>
      </c>
      <c r="BH164" s="122" t="n">
        <v>1119</v>
      </c>
      <c r="BI164" s="123">
        <f>IF(AND(ISNUMBER(BG164),ISNUMBER(BH164),N(BH164)&gt;0),BG164/BH164,"")</f>
        <v/>
      </c>
      <c r="BJ164" s="120" t="inlineStr">
        <is>
          <t>N</t>
        </is>
      </c>
      <c r="BK164" s="120" t="inlineStr">
        <is>
          <t>Prime Exclusive 11-01 to 12-05; Lightning Deal 11-08 to 11-14; Prime Exclusive already running before BFCM week; List Price $28.99</t>
        </is>
      </c>
    </row>
    <row r="165" ht="62" customHeight="1">
      <c r="A165" s="12">
        <f>_xlfn.IMAGE("https://images-na.ssl-images-amazon.com/images/I/810d6GzTlfL.jpg")</f>
        <v/>
      </c>
      <c r="B165" s="105" t="inlineStr">
        <is>
          <t>FreshCulture</t>
        </is>
      </c>
      <c r="C165" s="39" t="inlineStr">
        <is>
          <t>Satin Sheets</t>
        </is>
      </c>
      <c r="D165" s="105" t="inlineStr">
        <is>
          <t>Beatable</t>
        </is>
      </c>
      <c r="E165" s="106" t="inlineStr">
        <is>
          <t>Direct</t>
        </is>
      </c>
      <c r="F165" s="105" t="inlineStr">
        <is>
          <t>Satin (polyester)</t>
        </is>
      </c>
      <c r="G165" s="39" t="inlineStr">
        <is>
          <t>Same product (sheet set) in the same material family: Satin (polyester) (product page material: Polyester Satin); ours: our listing: polyester satin.</t>
        </is>
      </c>
      <c r="H165" s="107" t="inlineStr">
        <is>
          <t>B0D9B18P6N</t>
        </is>
      </c>
      <c r="I165" s="107" t="inlineStr">
        <is>
          <t>B0D9BD63QH</t>
        </is>
      </c>
      <c r="J165" s="105" t="inlineStr">
        <is>
          <t>Full</t>
        </is>
      </c>
      <c r="K165" s="105" t="inlineStr">
        <is>
          <t>Black</t>
        </is>
      </c>
      <c r="L165" s="108" t="n">
        <v>54</v>
      </c>
      <c r="M165" s="39" t="inlineStr">
        <is>
          <t>B0D9BD63QH (41%), B0D9BCKF76 (23%), B0D9BBSLJ5 (8%), B0D9BFR53D (6%), B0D9B9HFLQ (5%)</t>
        </is>
      </c>
      <c r="N165" s="109" t="n">
        <v>23.99</v>
      </c>
      <c r="O165" s="109" t="n"/>
      <c r="P165" s="110">
        <f>IF(AND(ISNUMBER(O165),ISNUMBER(N165),N(N165)&gt;0),O165/N165-1,"")</f>
        <v/>
      </c>
      <c r="Q165" s="111">
        <f>IF(P165="","No List Price",IF(P165&lt;=0,"At/below price",IF(P165&lt;=0.12,"&lt;=12% STR zone",IF(P165&lt;=0.25,"12-25%","&gt;25% over"))))</f>
        <v/>
      </c>
      <c r="R165" s="109" t="n">
        <v>29.95</v>
      </c>
      <c r="S165" s="112">
        <f>IF(AND(ISNUMBER(N165),ISNUMBER(R165),N(R165)&gt;0),N165/R165-1,"")</f>
        <v/>
      </c>
      <c r="T165" s="39" t="inlineStr">
        <is>
          <t>Same size (Full). Ours live: catalog price, 2026-10-13; 27 children</t>
        </is>
      </c>
      <c r="U165" s="108" t="n">
        <v>17918</v>
      </c>
      <c r="V165" s="108" t="n">
        <v>104</v>
      </c>
      <c r="W165" s="113">
        <f>IF(AND(ISNUMBER(N165),ISNUMBER(V165)),N165*V165*52/12,"")</f>
        <v/>
      </c>
      <c r="X165" s="114" t="n">
        <v>4.4</v>
      </c>
      <c r="Y165" s="108" t="n">
        <v>780</v>
      </c>
      <c r="Z165" s="115" t="n">
        <v>46307</v>
      </c>
      <c r="AA165" s="115" t="n"/>
      <c r="AB165" s="105" t="n"/>
      <c r="AC165" s="105" t="n"/>
      <c r="AD165" s="108" t="n">
        <v>99046</v>
      </c>
      <c r="AE165" s="108" t="n">
        <v>1117</v>
      </c>
      <c r="AF165" s="116" t="n">
        <v>0.9634387880378817</v>
      </c>
      <c r="AG165" s="116" t="n">
        <v>0.0365612119621186</v>
      </c>
      <c r="AH165" s="39" t="inlineStr">
        <is>
          <t>silk sheets</t>
        </is>
      </c>
      <c r="AI165" s="116" t="n">
        <v>0.6526159562223613</v>
      </c>
      <c r="AJ165" s="116" t="n"/>
      <c r="AK165" s="116" t="n"/>
      <c r="AL165" s="116" t="n">
        <v>0.05489368576217112</v>
      </c>
      <c r="AM165" s="108" t="n">
        <v>504</v>
      </c>
      <c r="AN165" s="108" t="n">
        <v>191</v>
      </c>
      <c r="AO165" s="108" t="n">
        <v>257</v>
      </c>
      <c r="AP165" s="108" t="n">
        <v>613</v>
      </c>
      <c r="AQ165" s="108" t="n">
        <v>19</v>
      </c>
      <c r="AR165" s="108" t="n">
        <v>8</v>
      </c>
      <c r="AS165" s="117" t="n"/>
      <c r="AT165" s="112" t="n"/>
      <c r="AU165" s="118" t="inlineStr">
        <is>
          <t>N</t>
        </is>
      </c>
      <c r="AV165" s="118" t="inlineStr">
        <is>
          <t>none</t>
        </is>
      </c>
      <c r="AW165" s="124" t="n"/>
      <c r="AX165" s="119" t="n">
        <v>23.99</v>
      </c>
      <c r="AY165" s="118" t="inlineStr">
        <is>
          <t>none</t>
        </is>
      </c>
      <c r="AZ165" s="118" t="inlineStr">
        <is>
          <t>Y</t>
        </is>
      </c>
      <c r="BA165" s="118" t="inlineStr">
        <is>
          <t>2026-10-13 12:12:46</t>
        </is>
      </c>
      <c r="BB165" s="120" t="inlineStr">
        <is>
          <t>Prime Exclusive Discount</t>
        </is>
      </c>
      <c r="BC165" s="120" t="inlineStr">
        <is>
          <t>11-24 to 11-24</t>
        </is>
      </c>
      <c r="BD165" s="121" t="n">
        <v>23.99</v>
      </c>
      <c r="BE165" s="121" t="n">
        <v>18.69</v>
      </c>
      <c r="BF165" s="110">
        <f>IF(AND(ISNUMBER(BD165),ISNUMBER(BE165),N(BD165)&gt;0),1-BE165/BD165,"")</f>
        <v/>
      </c>
      <c r="BG165" s="122" t="n">
        <v>37399</v>
      </c>
      <c r="BH165" s="122" t="n">
        <v>26864</v>
      </c>
      <c r="BI165" s="123">
        <f>IF(AND(ISNUMBER(BG165),ISNUMBER(BH165),N(BH165)&gt;0),BG165/BH165,"")</f>
        <v/>
      </c>
      <c r="BJ165" s="120" t="inlineStr">
        <is>
          <t>Y</t>
        </is>
      </c>
      <c r="BK165" s="120" t="inlineStr">
        <is>
          <t>List Price $34.99</t>
        </is>
      </c>
    </row>
    <row r="166" ht="62" customHeight="1">
      <c r="A166" s="12">
        <f>_xlfn.IMAGE("https://images-na.ssl-images-amazon.com/images/I/81zLU1W0e8L.jpg")</f>
        <v/>
      </c>
      <c r="B166" s="105" t="inlineStr">
        <is>
          <t>Pure Bedding</t>
        </is>
      </c>
      <c r="C166" s="39" t="inlineStr">
        <is>
          <t>Pure Bedding Satin Sheets Queen [4-Piece, Black] Hotel Luxury Silky Bed Sheets - Extra Soft 1800 Microfiber Sheet Set, Wrinkle, Fade, Deep Pocket Fitted Sheet, Flat Sheet, Pillow Cases</t>
        </is>
      </c>
      <c r="D166" s="105" t="inlineStr">
        <is>
          <t>Beatable</t>
        </is>
      </c>
      <c r="E166" s="106" t="inlineStr">
        <is>
          <t>Direct</t>
        </is>
      </c>
      <c r="F166" s="105" t="inlineStr">
        <is>
          <t>Satin (polyester)</t>
        </is>
      </c>
      <c r="G166" s="39" t="inlineStr">
        <is>
          <t>Same product (sheet set) in the same material family: Satin (polyester) (title: Pure Bedding Satin Sheets Queen [4-Piece, Black] Hotel Luxur); ours: our listing: polyester satin.</t>
        </is>
      </c>
      <c r="H166" s="107" t="inlineStr">
        <is>
          <t>B0FMPQYB2J</t>
        </is>
      </c>
      <c r="I166" s="107" t="inlineStr">
        <is>
          <t>B083G81VSH</t>
        </is>
      </c>
      <c r="J166" s="105" t="inlineStr">
        <is>
          <t>Queen</t>
        </is>
      </c>
      <c r="K166" s="105" t="inlineStr">
        <is>
          <t>Black</t>
        </is>
      </c>
      <c r="L166" s="108" t="n">
        <v>146</v>
      </c>
      <c r="M166" s="39" t="inlineStr">
        <is>
          <t>B083G81VSH (53%), B07QVMQHD8 (25%), B0FMZWLSSM (4%)</t>
        </is>
      </c>
      <c r="N166" s="109" t="n">
        <v>20.99</v>
      </c>
      <c r="O166" s="109" t="n"/>
      <c r="P166" s="110">
        <f>IF(AND(ISNUMBER(O166),ISNUMBER(N166),N(N166)&gt;0),O166/N166-1,"")</f>
        <v/>
      </c>
      <c r="Q166" s="111">
        <f>IF(P166="","No List Price",IF(P166&lt;=0,"At/below price",IF(P166&lt;=0.12,"&lt;=12% STR zone",IF(P166&lt;=0.25,"12-25%","&gt;25% over"))))</f>
        <v/>
      </c>
      <c r="R166" s="109" t="n">
        <v>31.95</v>
      </c>
      <c r="S166" s="112">
        <f>IF(AND(ISNUMBER(N166),ISNUMBER(R166),N(R166)&gt;0),N166/R166-1,"")</f>
        <v/>
      </c>
      <c r="T166" s="39" t="inlineStr">
        <is>
          <t>Same size (Queen). Ours live: catalog price, 2026-10-13; 23 children</t>
        </is>
      </c>
      <c r="U166" s="108" t="n">
        <v>30991</v>
      </c>
      <c r="V166" s="108" t="n">
        <v>92</v>
      </c>
      <c r="W166" s="113">
        <f>IF(AND(ISNUMBER(N166),ISNUMBER(V166)),N166*V166*52/12,"")</f>
        <v/>
      </c>
      <c r="X166" s="114" t="n">
        <v>4.4</v>
      </c>
      <c r="Y166" s="108" t="n">
        <v>9828</v>
      </c>
      <c r="Z166" s="115" t="n">
        <v>46307</v>
      </c>
      <c r="AA166" s="115" t="n">
        <v>43833</v>
      </c>
      <c r="AB166" s="105" t="inlineStr">
        <is>
          <t>AMZ</t>
        </is>
      </c>
      <c r="AC166" s="105" t="inlineStr">
        <is>
          <t>(Amazon)</t>
        </is>
      </c>
      <c r="AD166" s="108" t="n">
        <v>119531</v>
      </c>
      <c r="AE166" s="108" t="n">
        <v>1524</v>
      </c>
      <c r="AF166" s="116" t="n">
        <v>0.6204180681162206</v>
      </c>
      <c r="AG166" s="116" t="n">
        <v>0.3795819318837791</v>
      </c>
      <c r="AH166" s="39" t="inlineStr">
        <is>
          <t>satin sheets</t>
        </is>
      </c>
      <c r="AI166" s="116" t="n">
        <v>0.7968142155591437</v>
      </c>
      <c r="AJ166" s="116" t="n"/>
      <c r="AK166" s="116" t="n"/>
      <c r="AL166" s="116" t="n">
        <v>0.001480787410797199</v>
      </c>
      <c r="AM166" s="108" t="n">
        <v>615</v>
      </c>
      <c r="AN166" s="108" t="n">
        <v>291</v>
      </c>
      <c r="AO166" s="108" t="n">
        <v>239</v>
      </c>
      <c r="AP166" s="108" t="n">
        <v>909</v>
      </c>
      <c r="AQ166" s="108" t="n">
        <v>213</v>
      </c>
      <c r="AR166" s="108" t="n">
        <v>41</v>
      </c>
      <c r="AS166" s="117" t="n">
        <v>0.7574960547080484</v>
      </c>
      <c r="AT166" s="112" t="n">
        <v>-0.08414376321353068</v>
      </c>
      <c r="AU166" s="118" t="inlineStr">
        <is>
          <t>N</t>
        </is>
      </c>
      <c r="AV166" s="118" t="inlineStr">
        <is>
          <t>none</t>
        </is>
      </c>
      <c r="AW166" s="124" t="n"/>
      <c r="AX166" s="119" t="n">
        <v>20.99</v>
      </c>
      <c r="AY166" s="118" t="inlineStr">
        <is>
          <t>none</t>
        </is>
      </c>
      <c r="AZ166" s="118" t="inlineStr">
        <is>
          <t>Y</t>
        </is>
      </c>
      <c r="BA166" s="118" t="inlineStr">
        <is>
          <t>2026-10-13 12:13:39</t>
        </is>
      </c>
      <c r="BB166" s="120" t="inlineStr">
        <is>
          <t>Price cut only</t>
        </is>
      </c>
      <c r="BC166" s="120" t="inlineStr">
        <is>
          <t>11-26 to 12-01</t>
        </is>
      </c>
      <c r="BD166" s="121" t="n">
        <v>18.99</v>
      </c>
      <c r="BE166" s="121" t="n">
        <v>17.54</v>
      </c>
      <c r="BF166" s="110">
        <f>IF(AND(ISNUMBER(BD166),ISNUMBER(BE166),N(BD166)&gt;0),1-BE166/BD166,"")</f>
        <v/>
      </c>
      <c r="BG166" s="122" t="n">
        <v>18619</v>
      </c>
      <c r="BH166" s="122" t="n">
        <v>22404</v>
      </c>
      <c r="BI166" s="123">
        <f>IF(AND(ISNUMBER(BG166),ISNUMBER(BH166),N(BH166)&gt;0),BG166/BH166,"")</f>
        <v/>
      </c>
      <c r="BJ166" s="120" t="inlineStr">
        <is>
          <t>N</t>
        </is>
      </c>
      <c r="BK166" s="120" t="inlineStr">
        <is>
          <t>Buy Box RAISED in BFCM week (median $20.02 vs $18.99 before); List Price $32.99</t>
        </is>
      </c>
    </row>
    <row r="167" ht="62" customHeight="1">
      <c r="A167" s="12">
        <f>_xlfn.IMAGE("https://images-na.ssl-images-amazon.com/images/I/71ZrkfMtWLL.jpg")</f>
        <v/>
      </c>
      <c r="B167" s="105" t="inlineStr">
        <is>
          <t>SiinvdaBZX</t>
        </is>
      </c>
      <c r="C167" s="39" t="inlineStr">
        <is>
          <t>SiinvdaBZX 4Pcs Satin Sheet Set Queen Size 15-Inch Deep Pocket, Beige</t>
        </is>
      </c>
      <c r="D167" s="105" t="inlineStr">
        <is>
          <t>Beatable</t>
        </is>
      </c>
      <c r="E167" s="106" t="inlineStr">
        <is>
          <t>Direct</t>
        </is>
      </c>
      <c r="F167" s="105" t="inlineStr">
        <is>
          <t>Satin (polyester)</t>
        </is>
      </c>
      <c r="G167" s="39" t="inlineStr">
        <is>
          <t>Same product (sheet set) in the same material family: Satin (polyester) (title: SiinvdaBZX 4Pcs Satin Sheet Set Queen Size 15-Inch Deep Pock); ours: our listing: polyester satin.</t>
        </is>
      </c>
      <c r="H167" s="107" t="inlineStr">
        <is>
          <t>B0DD37S32L</t>
        </is>
      </c>
      <c r="I167" s="107" t="inlineStr">
        <is>
          <t>B08JP9DG5Z</t>
        </is>
      </c>
      <c r="J167" s="105" t="inlineStr">
        <is>
          <t>Queen</t>
        </is>
      </c>
      <c r="K167" s="105" t="inlineStr">
        <is>
          <t>Beige</t>
        </is>
      </c>
      <c r="L167" s="108" t="n">
        <v>96</v>
      </c>
      <c r="M167" s="39" t="inlineStr">
        <is>
          <t>B08JP9DG5Z (57%), B09QPFBSD4 (12%), B09QP9LCFM (7%), B08JPQ3JJK (4%)</t>
        </is>
      </c>
      <c r="N167" s="109" t="n">
        <v>22.99</v>
      </c>
      <c r="O167" s="109" t="n"/>
      <c r="P167" s="110">
        <f>IF(AND(ISNUMBER(O167),ISNUMBER(N167),N(N167)&gt;0),O167/N167-1,"")</f>
        <v/>
      </c>
      <c r="Q167" s="111">
        <f>IF(P167="","No List Price",IF(P167&lt;=0,"At/below price",IF(P167&lt;=0.12,"&lt;=12% STR zone",IF(P167&lt;=0.25,"12-25%","&gt;25% over"))))</f>
        <v/>
      </c>
      <c r="R167" s="109" t="n">
        <v>31.95</v>
      </c>
      <c r="S167" s="112">
        <f>IF(AND(ISNUMBER(N167),ISNUMBER(R167),N(R167)&gt;0),N167/R167-1,"")</f>
        <v/>
      </c>
      <c r="T167" s="39" t="inlineStr">
        <is>
          <t>Same size (Queen). Ours live: catalog price, 2026-10-13; 23 children</t>
        </is>
      </c>
      <c r="U167" s="108" t="n">
        <v>23154</v>
      </c>
      <c r="V167" s="108" t="n">
        <v>92</v>
      </c>
      <c r="W167" s="113">
        <f>IF(AND(ISNUMBER(N167),ISNUMBER(V167)),N167*V167*52/12,"")</f>
        <v/>
      </c>
      <c r="X167" s="114" t="n">
        <v>4.4</v>
      </c>
      <c r="Y167" s="108" t="n">
        <v>6981</v>
      </c>
      <c r="Z167" s="115" t="n">
        <v>46307</v>
      </c>
      <c r="AA167" s="115" t="n">
        <v>44096</v>
      </c>
      <c r="AB167" s="105" t="inlineStr">
        <is>
          <t>FBA</t>
        </is>
      </c>
      <c r="AC167" s="105" t="inlineStr">
        <is>
          <t>CN</t>
        </is>
      </c>
      <c r="AD167" s="108" t="n">
        <v>47722</v>
      </c>
      <c r="AE167" s="108" t="n">
        <v>1085</v>
      </c>
      <c r="AF167" s="116" t="n">
        <v>0.8752176061355349</v>
      </c>
      <c r="AG167" s="116" t="n">
        <v>0.1247823938644651</v>
      </c>
      <c r="AH167" s="39" t="inlineStr">
        <is>
          <t>silk sheets</t>
        </is>
      </c>
      <c r="AI167" s="116" t="n">
        <v>0.6122543061900172</v>
      </c>
      <c r="AJ167" s="116" t="n">
        <v>0.0001885922635262562</v>
      </c>
      <c r="AK167" s="116" t="n">
        <v>0.01083357780478605</v>
      </c>
      <c r="AL167" s="116" t="n">
        <v>0.004777670675998491</v>
      </c>
      <c r="AM167" s="108" t="n">
        <v>434</v>
      </c>
      <c r="AN167" s="108" t="n">
        <v>234</v>
      </c>
      <c r="AO167" s="108" t="n">
        <v>139</v>
      </c>
      <c r="AP167" s="108" t="n">
        <v>651</v>
      </c>
      <c r="AQ167" s="108" t="n">
        <v>99</v>
      </c>
      <c r="AR167" s="108" t="n">
        <v>16</v>
      </c>
      <c r="AS167" s="117" t="n">
        <v>1.035928143712575</v>
      </c>
      <c r="AT167" s="112" t="n">
        <v>-0.05882352941176483</v>
      </c>
      <c r="AU167" s="118" t="inlineStr">
        <is>
          <t>N</t>
        </is>
      </c>
      <c r="AV167" s="118" t="inlineStr">
        <is>
          <t>none</t>
        </is>
      </c>
      <c r="AW167" s="124" t="n"/>
      <c r="AX167" s="119" t="n">
        <v>22.99</v>
      </c>
      <c r="AY167" s="118" t="inlineStr">
        <is>
          <t>none</t>
        </is>
      </c>
      <c r="AZ167" s="118" t="inlineStr">
        <is>
          <t>Y</t>
        </is>
      </c>
      <c r="BA167" s="118" t="inlineStr">
        <is>
          <t>2026-10-13 12:13:45</t>
        </is>
      </c>
      <c r="BB167" s="120" t="inlineStr">
        <is>
          <t>Prime Exclusive Discount</t>
        </is>
      </c>
      <c r="BC167" s="120" t="inlineStr">
        <is>
          <t>11-01 to 12-01</t>
        </is>
      </c>
      <c r="BD167" s="121" t="n">
        <v>24.49</v>
      </c>
      <c r="BE167" s="121" t="n">
        <v>21.59</v>
      </c>
      <c r="BF167" s="110">
        <f>IF(AND(ISNUMBER(BD167),ISNUMBER(BE167),N(BD167)&gt;0),1-BE167/BD167,"")</f>
        <v/>
      </c>
      <c r="BG167" s="122" t="n">
        <v>20848</v>
      </c>
      <c r="BH167" s="122" t="n">
        <v>20750</v>
      </c>
      <c r="BI167" s="123">
        <f>IF(AND(ISNUMBER(BG167),ISNUMBER(BH167),N(BH167)&gt;0),BG167/BH167,"")</f>
        <v/>
      </c>
      <c r="BJ167" s="120" t="inlineStr">
        <is>
          <t>N</t>
        </is>
      </c>
      <c r="BK167" s="120" t="inlineStr">
        <is>
          <t>Prime Exclusive already running before BFCM week; Buy Box RAISED in BFCM week (median $26.99 vs $24.49 before); List Price $52.59</t>
        </is>
      </c>
    </row>
    <row r="168" ht="62" customHeight="1">
      <c r="A168" s="12">
        <f>_xlfn.IMAGE("https://images-na.ssl-images-amazon.com/images/I/813TGJ9FKjL.jpg")</f>
        <v/>
      </c>
      <c r="B168" s="105" t="inlineStr">
        <is>
          <t>Horbaunal</t>
        </is>
      </c>
      <c r="C168" s="39" t="inlineStr">
        <is>
          <t>Horbaunal 6 Piece Satin Sheet Set Queen, Emerald Green Queen Bed Sheets</t>
        </is>
      </c>
      <c r="D168" s="105" t="inlineStr">
        <is>
          <t>Beatable</t>
        </is>
      </c>
      <c r="E168" s="106" t="inlineStr">
        <is>
          <t>Direct</t>
        </is>
      </c>
      <c r="F168" s="105" t="inlineStr">
        <is>
          <t>Satin (polyester)</t>
        </is>
      </c>
      <c r="G168" s="39" t="inlineStr">
        <is>
          <t>Same product (sheet set) in the same material family: Satin (polyester) (title: Horbaunal 6 Piece Satin Sheet Set Queen, Emerald Green Queen); ours: our listing: polyester satin.</t>
        </is>
      </c>
      <c r="H168" s="107" t="inlineStr">
        <is>
          <t>B0B4MQCT87</t>
        </is>
      </c>
      <c r="I168" s="107" t="inlineStr">
        <is>
          <t>B0B4MQ1PP1</t>
        </is>
      </c>
      <c r="J168" s="105" t="inlineStr">
        <is>
          <t>Queen</t>
        </is>
      </c>
      <c r="K168" s="105" t="inlineStr">
        <is>
          <t>Green</t>
        </is>
      </c>
      <c r="L168" s="108" t="n">
        <v>23</v>
      </c>
      <c r="M168" s="39" t="inlineStr"/>
      <c r="N168" s="109" t="n">
        <v>28.99</v>
      </c>
      <c r="O168" s="109" t="n"/>
      <c r="P168" s="110">
        <f>IF(AND(ISNUMBER(O168),ISNUMBER(N168),N(N168)&gt;0),O168/N168-1,"")</f>
        <v/>
      </c>
      <c r="Q168" s="111">
        <f>IF(P168="","No List Price",IF(P168&lt;=0,"At/below price",IF(P168&lt;=0.12,"&lt;=12% STR zone",IF(P168&lt;=0.25,"12-25%","&gt;25% over"))))</f>
        <v/>
      </c>
      <c r="R168" s="109" t="n">
        <v>31.95</v>
      </c>
      <c r="S168" s="112">
        <f>IF(AND(ISNUMBER(N168),ISNUMBER(R168),N(R168)&gt;0),N168/R168-1,"")</f>
        <v/>
      </c>
      <c r="T168" s="39" t="inlineStr">
        <is>
          <t>Same size (Queen). Ours live: catalog price, 2026-10-13; 23 children</t>
        </is>
      </c>
      <c r="U168" s="108" t="n">
        <v>110638</v>
      </c>
      <c r="V168" s="108" t="n">
        <v>35</v>
      </c>
      <c r="W168" s="113">
        <f>IF(AND(ISNUMBER(N168),ISNUMBER(V168)),N168*V168*52/12,"")</f>
        <v/>
      </c>
      <c r="X168" s="114" t="n">
        <v>4.4</v>
      </c>
      <c r="Y168" s="108" t="n">
        <v>772</v>
      </c>
      <c r="Z168" s="115" t="n">
        <v>46307</v>
      </c>
      <c r="AA168" s="115" t="n">
        <v>44733</v>
      </c>
      <c r="AB168" s="105" t="inlineStr">
        <is>
          <t>FBA</t>
        </is>
      </c>
      <c r="AC168" s="105" t="inlineStr">
        <is>
          <t>CN</t>
        </is>
      </c>
      <c r="AD168" s="108" t="n"/>
      <c r="AE168" s="108" t="n"/>
      <c r="AF168" s="116" t="n"/>
      <c r="AG168" s="116" t="n"/>
      <c r="AH168" s="39" t="n"/>
      <c r="AI168" s="116" t="n"/>
      <c r="AJ168" s="116" t="n"/>
      <c r="AK168" s="116" t="n"/>
      <c r="AL168" s="116" t="n"/>
      <c r="AM168" s="108" t="n"/>
      <c r="AN168" s="108" t="n"/>
      <c r="AO168" s="108" t="n"/>
      <c r="AP168" s="108" t="n"/>
      <c r="AQ168" s="108" t="n"/>
      <c r="AR168" s="108" t="n"/>
      <c r="AS168" s="117" t="n"/>
      <c r="AT168" s="112" t="n"/>
      <c r="AU168" s="118" t="inlineStr">
        <is>
          <t>N</t>
        </is>
      </c>
      <c r="AV168" s="118" t="inlineStr">
        <is>
          <t>none</t>
        </is>
      </c>
      <c r="AW168" s="124" t="n"/>
      <c r="AX168" s="119" t="n">
        <v>28.99</v>
      </c>
      <c r="AY168" s="118" t="inlineStr">
        <is>
          <t>none</t>
        </is>
      </c>
      <c r="AZ168" s="118" t="inlineStr">
        <is>
          <t>Y</t>
        </is>
      </c>
      <c r="BA168" s="118" t="inlineStr">
        <is>
          <t>2026-10-13 12:13:05</t>
        </is>
      </c>
      <c r="BB168" s="120" t="inlineStr">
        <is>
          <t>Prime Exclusive Discount</t>
        </is>
      </c>
      <c r="BC168" s="120" t="inlineStr">
        <is>
          <t>11-01 to 12-01</t>
        </is>
      </c>
      <c r="BD168" s="121" t="n">
        <v>33.43</v>
      </c>
      <c r="BE168" s="121" t="n">
        <v>28.87</v>
      </c>
      <c r="BF168" s="110">
        <f>IF(AND(ISNUMBER(BD168),ISNUMBER(BE168),N(BD168)&gt;0),1-BE168/BD168,"")</f>
        <v/>
      </c>
      <c r="BG168" s="122" t="n">
        <v>93675</v>
      </c>
      <c r="BH168" s="122" t="n">
        <v>83926</v>
      </c>
      <c r="BI168" s="123">
        <f>IF(AND(ISNUMBER(BG168),ISNUMBER(BH168),N(BH168)&gt;0),BG168/BH168,"")</f>
        <v/>
      </c>
      <c r="BJ168" s="120" t="inlineStr">
        <is>
          <t>N</t>
        </is>
      </c>
      <c r="BK168" s="120" t="inlineStr">
        <is>
          <t>Prime Exclusive already running before BFCM week; Buy Box RAISED in BFCM week (median $37.99 vs $33.43 before); List Price $45.49</t>
        </is>
      </c>
    </row>
    <row r="169" ht="62" customHeight="1">
      <c r="A169" s="12">
        <f>_xlfn.IMAGE("https://m.media-amazon.com/images/I/81Ct-nDEEnL._AC_SL1500_.jpg")</f>
        <v/>
      </c>
      <c r="B169" s="105" t="inlineStr">
        <is>
          <t>VACVELT</t>
        </is>
      </c>
      <c r="C169" s="39" t="inlineStr">
        <is>
          <t>Satin Sheets</t>
        </is>
      </c>
      <c r="D169" s="105" t="inlineStr">
        <is>
          <t>Beatable</t>
        </is>
      </c>
      <c r="E169" s="106" t="inlineStr">
        <is>
          <t>Direct</t>
        </is>
      </c>
      <c r="F169" s="105" t="inlineStr">
        <is>
          <t>Satin (polyester)</t>
        </is>
      </c>
      <c r="G169" s="39" t="inlineStr">
        <is>
          <t>Same product (sheet set) in the same material family: Satin (polyester) (product page material: Satin); ours: our listing: polyester satin.</t>
        </is>
      </c>
      <c r="H169" s="107" t="inlineStr">
        <is>
          <t>B0C9T1VY8J</t>
        </is>
      </c>
      <c r="I169" s="107" t="inlineStr">
        <is>
          <t>B0C1GJZB6F</t>
        </is>
      </c>
      <c r="J169" s="105" t="inlineStr">
        <is>
          <t>Full</t>
        </is>
      </c>
      <c r="K169" s="105" t="inlineStr">
        <is>
          <t>Hot Pink</t>
        </is>
      </c>
      <c r="L169" s="108" t="n">
        <v>35</v>
      </c>
      <c r="M169" s="39" t="inlineStr">
        <is>
          <t>B0C1GN34VQ (59%), B0C1GJZB6F (15%), B0C1GN34VL (8%)</t>
        </is>
      </c>
      <c r="N169" s="109" t="n">
        <v>21.99</v>
      </c>
      <c r="O169" s="109" t="n"/>
      <c r="P169" s="110">
        <f>IF(AND(ISNUMBER(O169),ISNUMBER(N169),N(N169)&gt;0),O169/N169-1,"")</f>
        <v/>
      </c>
      <c r="Q169" s="111">
        <f>IF(P169="","No List Price",IF(P169&lt;=0,"At/below price",IF(P169&lt;=0.12,"&lt;=12% STR zone",IF(P169&lt;=0.25,"12-25%","&gt;25% over"))))</f>
        <v/>
      </c>
      <c r="R169" s="109" t="n">
        <v>29.95</v>
      </c>
      <c r="S169" s="112">
        <f>IF(AND(ISNUMBER(N169),ISNUMBER(R169),N(R169)&gt;0),N169/R169-1,"")</f>
        <v/>
      </c>
      <c r="T169" s="39" t="inlineStr">
        <is>
          <t>Same size (Full). Ours live: catalog price, 2026-10-13; 27 children</t>
        </is>
      </c>
      <c r="U169" s="108" t="n">
        <v>57010</v>
      </c>
      <c r="V169" s="108" t="n">
        <v>35</v>
      </c>
      <c r="W169" s="113">
        <f>IF(AND(ISNUMBER(N169),ISNUMBER(V169)),N169*V169*52/12,"")</f>
        <v/>
      </c>
      <c r="X169" s="114" t="n">
        <v>4.5</v>
      </c>
      <c r="Y169" s="108" t="n">
        <v>1017</v>
      </c>
      <c r="Z169" s="115" t="n">
        <v>46307</v>
      </c>
      <c r="AA169" s="115" t="n"/>
      <c r="AB169" s="105" t="n"/>
      <c r="AC169" s="105" t="n"/>
      <c r="AD169" s="108" t="n">
        <v>23621</v>
      </c>
      <c r="AE169" s="108" t="n">
        <v>569</v>
      </c>
      <c r="AF169" s="116" t="n">
        <v>0.9628617755387157</v>
      </c>
      <c r="AG169" s="116" t="n">
        <v>0.03713822446128445</v>
      </c>
      <c r="AH169" s="39" t="inlineStr">
        <is>
          <t>satin sheets</t>
        </is>
      </c>
      <c r="AI169" s="116" t="n">
        <v>0.08949663435078956</v>
      </c>
      <c r="AJ169" s="116" t="n"/>
      <c r="AK169" s="116" t="n"/>
      <c r="AL169" s="116" t="n">
        <v>0.02341137123745819</v>
      </c>
      <c r="AM169" s="108" t="n">
        <v>314</v>
      </c>
      <c r="AN169" s="108" t="n">
        <v>211</v>
      </c>
      <c r="AO169" s="108" t="n">
        <v>69</v>
      </c>
      <c r="AP169" s="108" t="n">
        <v>255</v>
      </c>
      <c r="AQ169" s="108" t="n">
        <v>16</v>
      </c>
      <c r="AR169" s="108" t="n">
        <v>7</v>
      </c>
      <c r="AS169" s="117" t="n">
        <v>1</v>
      </c>
      <c r="AT169" s="112" t="n">
        <v>0.2448979591836733</v>
      </c>
      <c r="AU169" s="118" t="inlineStr">
        <is>
          <t>N</t>
        </is>
      </c>
      <c r="AV169" s="118" t="inlineStr">
        <is>
          <t>none</t>
        </is>
      </c>
      <c r="AW169" s="124" t="n"/>
      <c r="AX169" s="119" t="n">
        <v>21.99</v>
      </c>
      <c r="AY169" s="118" t="inlineStr">
        <is>
          <t>none</t>
        </is>
      </c>
      <c r="AZ169" s="118" t="inlineStr">
        <is>
          <t>Y</t>
        </is>
      </c>
      <c r="BA169" s="118" t="inlineStr">
        <is>
          <t>2026-10-13 12:13:48</t>
        </is>
      </c>
      <c r="BB169" s="120" t="inlineStr">
        <is>
          <t>Prime Exclusive Discount</t>
        </is>
      </c>
      <c r="BC169" s="120" t="inlineStr">
        <is>
          <t>11-18 to 12-05</t>
        </is>
      </c>
      <c r="BD169" s="121" t="n">
        <v>20.99</v>
      </c>
      <c r="BE169" s="121" t="n">
        <v>17.67</v>
      </c>
      <c r="BF169" s="110">
        <f>IF(AND(ISNUMBER(BD169),ISNUMBER(BE169),N(BD169)&gt;0),1-BE169/BD169,"")</f>
        <v/>
      </c>
      <c r="BG169" s="122" t="n">
        <v>56350</v>
      </c>
      <c r="BH169" s="122" t="n">
        <v>47030</v>
      </c>
      <c r="BI169" s="123">
        <f>IF(AND(ISNUMBER(BG169),ISNUMBER(BH169),N(BH169)&gt;0),BG169/BH169,"")</f>
        <v/>
      </c>
      <c r="BJ169" s="120" t="inlineStr">
        <is>
          <t>N</t>
        </is>
      </c>
      <c r="BK169" s="120" t="inlineStr">
        <is>
          <t>Prime Exclusive already running before BFCM week; Buy Box RAISED in BFCM week (median $25.99 vs $20.99 before); List Price $46.38</t>
        </is>
      </c>
    </row>
    <row r="170" ht="62" customHeight="1">
      <c r="A170" s="12">
        <f>_xlfn.IMAGE("https://m.media-amazon.com/images/I/71NLoiG0PKL._AC_SL1500_.jpg")</f>
        <v/>
      </c>
      <c r="B170" s="105" t="inlineStr">
        <is>
          <t>Homiest</t>
        </is>
      </c>
      <c r="C170" s="39" t="inlineStr">
        <is>
          <t>Satin Sheets</t>
        </is>
      </c>
      <c r="D170" s="105" t="inlineStr">
        <is>
          <t>Beatable</t>
        </is>
      </c>
      <c r="E170" s="106" t="inlineStr">
        <is>
          <t>Direct</t>
        </is>
      </c>
      <c r="F170" s="105" t="inlineStr">
        <is>
          <t>Satin (polyester)</t>
        </is>
      </c>
      <c r="G170" s="39" t="inlineStr">
        <is>
          <t>Same product (sheet set) in the same material family: Satin (polyester) (product page material: Satin); ours: our listing: polyester satin.</t>
        </is>
      </c>
      <c r="H170" s="107" t="inlineStr">
        <is>
          <t>B0DYJKM99H</t>
        </is>
      </c>
      <c r="I170" s="107" t="inlineStr">
        <is>
          <t>B0DYJHHJQL</t>
        </is>
      </c>
      <c r="J170" s="105" t="inlineStr">
        <is>
          <t>Queen</t>
        </is>
      </c>
      <c r="K170" s="105" t="inlineStr">
        <is>
          <t>Blush Pink</t>
        </is>
      </c>
      <c r="L170" s="108" t="n"/>
      <c r="M170" s="39" t="inlineStr"/>
      <c r="N170" s="109" t="n">
        <v>27.99</v>
      </c>
      <c r="O170" s="109" t="n"/>
      <c r="P170" s="110">
        <f>IF(AND(ISNUMBER(O170),ISNUMBER(N170),N(N170)&gt;0),O170/N170-1,"")</f>
        <v/>
      </c>
      <c r="Q170" s="111">
        <f>IF(P170="","No List Price",IF(P170&lt;=0,"At/below price",IF(P170&lt;=0.12,"&lt;=12% STR zone",IF(P170&lt;=0.25,"12-25%","&gt;25% over"))))</f>
        <v/>
      </c>
      <c r="R170" s="109" t="n">
        <v>31.95</v>
      </c>
      <c r="S170" s="112">
        <f>IF(AND(ISNUMBER(N170),ISNUMBER(R170),N(R170)&gt;0),N170/R170-1,"")</f>
        <v/>
      </c>
      <c r="T170" s="39" t="inlineStr">
        <is>
          <t>Same size (Queen). Ours live: catalog price, 2026-10-13; 23 children</t>
        </is>
      </c>
      <c r="U170" s="108" t="n">
        <v>89437</v>
      </c>
      <c r="V170" s="108" t="n">
        <v>18</v>
      </c>
      <c r="W170" s="113">
        <f>IF(AND(ISNUMBER(N170),ISNUMBER(V170)),N170*V170*52/12,"")</f>
        <v/>
      </c>
      <c r="X170" s="114" t="n">
        <v>4.5</v>
      </c>
      <c r="Y170" s="108" t="n">
        <v>205</v>
      </c>
      <c r="Z170" s="115" t="n">
        <v>46307</v>
      </c>
      <c r="AA170" s="115" t="n"/>
      <c r="AB170" s="105" t="n"/>
      <c r="AC170" s="105" t="n"/>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N</t>
        </is>
      </c>
      <c r="AV170" s="118" t="inlineStr">
        <is>
          <t>none</t>
        </is>
      </c>
      <c r="AW170" s="124" t="n"/>
      <c r="AX170" s="119" t="n">
        <v>27.99</v>
      </c>
      <c r="AY170" s="118" t="inlineStr">
        <is>
          <t>none</t>
        </is>
      </c>
      <c r="AZ170" s="118" t="inlineStr">
        <is>
          <t>Y</t>
        </is>
      </c>
      <c r="BA170" s="118" t="inlineStr">
        <is>
          <t>2026-10-13 12:12:53</t>
        </is>
      </c>
      <c r="BB170" s="120" t="inlineStr">
        <is>
          <t>None</t>
        </is>
      </c>
      <c r="BC170" s="125" t="n"/>
      <c r="BD170" s="121" t="n">
        <v>28.99</v>
      </c>
      <c r="BE170" s="121" t="n">
        <v>28.99</v>
      </c>
      <c r="BF170" s="110">
        <f>IF(AND(ISNUMBER(BD170),ISNUMBER(BE170),N(BD170)&gt;0),1-BE170/BD170,"")</f>
        <v/>
      </c>
      <c r="BG170" s="122" t="n">
        <v>63419</v>
      </c>
      <c r="BH170" s="122" t="n">
        <v>61469</v>
      </c>
      <c r="BI170" s="123">
        <f>IF(AND(ISNUMBER(BG170),ISNUMBER(BH170),N(BH170)&gt;0),BG170/BH170,"")</f>
        <v/>
      </c>
      <c r="BJ170" s="120" t="inlineStr">
        <is>
          <t>N</t>
        </is>
      </c>
      <c r="BK170" s="120" t="inlineStr">
        <is>
          <t>List Price $34.99</t>
        </is>
      </c>
    </row>
    <row r="171" ht="62" customHeight="1">
      <c r="A171" s="12">
        <f>_xlfn.IMAGE("https://images-na.ssl-images-amazon.com/images/I/71eq-pAu2pL.jpg")</f>
        <v/>
      </c>
      <c r="B171" s="105" t="inlineStr">
        <is>
          <t>LIFCOM</t>
        </is>
      </c>
      <c r="C171" s="39" t="inlineStr">
        <is>
          <t>LIFCOM Satin Sheets Queen,4Pcs Bed Set with 15" Deep Pocket,Brown</t>
        </is>
      </c>
      <c r="D171" s="105" t="inlineStr">
        <is>
          <t>Beatable</t>
        </is>
      </c>
      <c r="E171" s="106" t="inlineStr">
        <is>
          <t>Direct</t>
        </is>
      </c>
      <c r="F171" s="105" t="inlineStr">
        <is>
          <t>Satin (polyester)</t>
        </is>
      </c>
      <c r="G171" s="39" t="inlineStr">
        <is>
          <t>Same product (sheet set) in the same material family: Satin (polyester) (title: LIFCOM Satin Sheets Queen,4Pcs Bed Set with 15" Deep Pocket); ours: our listing: polyester satin.</t>
        </is>
      </c>
      <c r="H171" s="107" t="inlineStr">
        <is>
          <t>B0DBVYL693</t>
        </is>
      </c>
      <c r="I171" s="107" t="inlineStr">
        <is>
          <t>B0DCC78S4N</t>
        </is>
      </c>
      <c r="J171" s="105" t="inlineStr">
        <is>
          <t>Queen</t>
        </is>
      </c>
      <c r="K171" s="105" t="inlineStr">
        <is>
          <t>Brown</t>
        </is>
      </c>
      <c r="L171" s="108" t="n">
        <v>73</v>
      </c>
      <c r="M171" s="39" t="inlineStr">
        <is>
          <t>B0DCC5ZQNW (21%), B0DCC78S4N (17%), B0DC5L2BHY (9%), B0DCC8MLV5 (8%), B0DCC8WZCH (7%)</t>
        </is>
      </c>
      <c r="N171" s="109" t="n">
        <v>23.99</v>
      </c>
      <c r="O171" s="109" t="n"/>
      <c r="P171" s="110">
        <f>IF(AND(ISNUMBER(O171),ISNUMBER(N171),N(N171)&gt;0),O171/N171-1,"")</f>
        <v/>
      </c>
      <c r="Q171" s="111">
        <f>IF(P171="","No List Price",IF(P171&lt;=0,"At/below price",IF(P171&lt;=0.12,"&lt;=12% STR zone",IF(P171&lt;=0.25,"12-25%","&gt;25% over"))))</f>
        <v/>
      </c>
      <c r="R171" s="109" t="n">
        <v>31.95</v>
      </c>
      <c r="S171" s="112">
        <f>IF(AND(ISNUMBER(N171),ISNUMBER(R171),N(R171)&gt;0),N171/R171-1,"")</f>
        <v/>
      </c>
      <c r="T171" s="39" t="inlineStr">
        <is>
          <t>Same size (Queen). Ours live: catalog price, 2026-10-13; 23 children</t>
        </is>
      </c>
      <c r="U171" s="108" t="n">
        <v>96002</v>
      </c>
      <c r="V171" s="108" t="n">
        <v>18</v>
      </c>
      <c r="W171" s="113">
        <f>IF(AND(ISNUMBER(N171),ISNUMBER(V171)),N171*V171*52/12,"")</f>
        <v/>
      </c>
      <c r="X171" s="114" t="n">
        <v>4.2</v>
      </c>
      <c r="Y171" s="108" t="n">
        <v>361</v>
      </c>
      <c r="Z171" s="115" t="n">
        <v>46307</v>
      </c>
      <c r="AA171" s="115" t="n">
        <v>45510</v>
      </c>
      <c r="AB171" s="105" t="inlineStr">
        <is>
          <t>FBA</t>
        </is>
      </c>
      <c r="AC171" s="105" t="inlineStr">
        <is>
          <t>CN</t>
        </is>
      </c>
      <c r="AD171" s="108" t="n">
        <v>23278</v>
      </c>
      <c r="AE171" s="108" t="n">
        <v>634</v>
      </c>
      <c r="AF171" s="116" t="n">
        <v>0.4926462797491192</v>
      </c>
      <c r="AG171" s="116" t="n">
        <v>0.507353720250881</v>
      </c>
      <c r="AH171" s="39" t="inlineStr">
        <is>
          <t>brown sheets</t>
        </is>
      </c>
      <c r="AI171" s="116" t="n">
        <v>0.8651086863132571</v>
      </c>
      <c r="AJ171" s="116" t="n"/>
      <c r="AK171" s="116" t="n"/>
      <c r="AL171" s="116" t="n">
        <v>0.1246241086003952</v>
      </c>
      <c r="AM171" s="108" t="n">
        <v>313</v>
      </c>
      <c r="AN171" s="108" t="n">
        <v>235</v>
      </c>
      <c r="AO171" s="108" t="n">
        <v>50</v>
      </c>
      <c r="AP171" s="108" t="n">
        <v>321</v>
      </c>
      <c r="AQ171" s="108" t="n">
        <v>45</v>
      </c>
      <c r="AR171" s="108" t="n">
        <v>45</v>
      </c>
      <c r="AS171" s="117" t="n">
        <v>0.5539772727272727</v>
      </c>
      <c r="AT171" s="112" t="n">
        <v>-0.4424040066777963</v>
      </c>
      <c r="AU171" s="118" t="inlineStr">
        <is>
          <t>N</t>
        </is>
      </c>
      <c r="AV171" s="118" t="inlineStr">
        <is>
          <t>none</t>
        </is>
      </c>
      <c r="AW171" s="124" t="n"/>
      <c r="AX171" s="119" t="n">
        <v>23.99</v>
      </c>
      <c r="AY171" s="118" t="inlineStr">
        <is>
          <t>none</t>
        </is>
      </c>
      <c r="AZ171" s="118" t="inlineStr">
        <is>
          <t>Y</t>
        </is>
      </c>
      <c r="BA171" s="118" t="inlineStr">
        <is>
          <t>2026-10-13 12:13:09</t>
        </is>
      </c>
      <c r="BB171" s="120" t="inlineStr">
        <is>
          <t>Prime Exclusive Discount</t>
        </is>
      </c>
      <c r="BC171" s="120" t="inlineStr">
        <is>
          <t>11-24 to 12-01</t>
        </is>
      </c>
      <c r="BD171" s="121" t="n">
        <v>22.99</v>
      </c>
      <c r="BE171" s="121" t="n">
        <v>19.27</v>
      </c>
      <c r="BF171" s="110">
        <f>IF(AND(ISNUMBER(BD171),ISNUMBER(BE171),N(BD171)&gt;0),1-BE171/BD171,"")</f>
        <v/>
      </c>
      <c r="BG171" s="122" t="n">
        <v>66815</v>
      </c>
      <c r="BH171" s="122" t="n">
        <v>49602</v>
      </c>
      <c r="BI171" s="123">
        <f>IF(AND(ISNUMBER(BG171),ISNUMBER(BH171),N(BH171)&gt;0),BG171/BH171,"")</f>
        <v/>
      </c>
      <c r="BJ171" s="120" t="inlineStr">
        <is>
          <t>N</t>
        </is>
      </c>
      <c r="BK171" s="120" t="inlineStr">
        <is>
          <t>Buy Box RAISED in BFCM week (median $24.39 vs $22.99 before); List Price $31.99</t>
        </is>
      </c>
    </row>
    <row r="172" ht="62" customHeight="1">
      <c r="A172" s="12">
        <f>_xlfn.IMAGE("https://images-na.ssl-images-amazon.com/images/I/71Upo7a638S.jpg")</f>
        <v/>
      </c>
      <c r="B172" s="105" t="inlineStr">
        <is>
          <t>Homiest</t>
        </is>
      </c>
      <c r="C172" s="39" t="inlineStr">
        <is>
          <t>Satin Sheets</t>
        </is>
      </c>
      <c r="D172" s="105" t="inlineStr">
        <is>
          <t>Beatable</t>
        </is>
      </c>
      <c r="E172" s="106" t="inlineStr">
        <is>
          <t>Direct</t>
        </is>
      </c>
      <c r="F172" s="105" t="inlineStr">
        <is>
          <t>Satin (polyester)</t>
        </is>
      </c>
      <c r="G172" s="39" t="inlineStr">
        <is>
          <t>Same product (sheet set) in the same material family: Satin (polyester) (product page material: Satin); ours: our listing: polyester satin.</t>
        </is>
      </c>
      <c r="H172" s="107" t="inlineStr">
        <is>
          <t>B07XBR22W1</t>
        </is>
      </c>
      <c r="I172" s="107" t="inlineStr">
        <is>
          <t>B0B5Z2B9NN</t>
        </is>
      </c>
      <c r="J172" s="105" t="inlineStr">
        <is>
          <t>EXTRA DEEP pocket - Full size</t>
        </is>
      </c>
      <c r="K172" s="105" t="inlineStr">
        <is>
          <t>Blackish Green</t>
        </is>
      </c>
      <c r="L172" s="108" t="n">
        <v>70</v>
      </c>
      <c r="M172" s="39" t="inlineStr">
        <is>
          <t>B07VTMDK79 (19%), B0C2824DHT (16%), B07XPVHHP9 (9%), B07HN29LH1 (6%), B0B2QZ8NKY (5%)</t>
        </is>
      </c>
      <c r="N172" s="109" t="n">
        <v>23.99</v>
      </c>
      <c r="O172" s="109" t="n">
        <v>25.99</v>
      </c>
      <c r="P172" s="110">
        <f>IF(AND(ISNUMBER(O172),ISNUMBER(N172),N(N172)&gt;0),O172/N172-1,"")</f>
        <v/>
      </c>
      <c r="Q172" s="111">
        <f>IF(P172="","No List Price",IF(P172&lt;=0,"At/below price",IF(P172&lt;=0.12,"&lt;=12% STR zone",IF(P172&lt;=0.25,"12-25%","&gt;25% over"))))</f>
        <v/>
      </c>
      <c r="R172" s="109" t="n">
        <v>32.03724980901451</v>
      </c>
      <c r="S172" s="112">
        <f>IF(AND(ISNUMBER(N172),ISNUMBER(R172),N(R172)&gt;0),N172/R172-1,"")</f>
        <v/>
      </c>
      <c r="T172" s="39" t="inlineStr">
        <is>
          <t>vs our blended price (market data, Mar 2026 - STALE)</t>
        </is>
      </c>
      <c r="U172" s="108" t="n">
        <v>28165</v>
      </c>
      <c r="V172" s="108" t="n">
        <v>5</v>
      </c>
      <c r="W172" s="113">
        <f>IF(AND(ISNUMBER(N172),ISNUMBER(V172)),N172*V172*52/12,"")</f>
        <v/>
      </c>
      <c r="X172" s="114" t="n">
        <v>4.4</v>
      </c>
      <c r="Y172" s="108" t="n">
        <v>12125</v>
      </c>
      <c r="Z172" s="115" t="n">
        <v>46307</v>
      </c>
      <c r="AA172" s="115" t="n"/>
      <c r="AB172" s="105" t="n"/>
      <c r="AC172" s="105" t="n"/>
      <c r="AD172" s="108" t="n">
        <v>20002</v>
      </c>
      <c r="AE172" s="108" t="n">
        <v>618</v>
      </c>
      <c r="AF172" s="116" t="n">
        <v>1</v>
      </c>
      <c r="AG172" s="116" t="n">
        <v>0</v>
      </c>
      <c r="AH172" s="39" t="inlineStr">
        <is>
          <t>satin sheets</t>
        </is>
      </c>
      <c r="AI172" s="116" t="n">
        <v>0.08344165583441655</v>
      </c>
      <c r="AJ172" s="116" t="n"/>
      <c r="AK172" s="116" t="n"/>
      <c r="AL172" s="116" t="n">
        <v>0.02124787521247875</v>
      </c>
      <c r="AM172" s="108" t="n">
        <v>329</v>
      </c>
      <c r="AN172" s="108" t="n">
        <v>225</v>
      </c>
      <c r="AO172" s="108" t="n">
        <v>76</v>
      </c>
      <c r="AP172" s="108" t="n">
        <v>289</v>
      </c>
      <c r="AQ172" s="108" t="n">
        <v>0</v>
      </c>
      <c r="AR172" s="108" t="n">
        <v>0</v>
      </c>
      <c r="AS172" s="117" t="n"/>
      <c r="AT172" s="112" t="n"/>
      <c r="AU172" s="118" t="inlineStr">
        <is>
          <t>Y</t>
        </is>
      </c>
      <c r="AV172" s="118" t="inlineStr">
        <is>
          <t>Typical price</t>
        </is>
      </c>
      <c r="AW172" s="119" t="n">
        <v>25.99</v>
      </c>
      <c r="AX172" s="119" t="n">
        <v>23.99</v>
      </c>
      <c r="AY172" s="118" t="inlineStr">
        <is>
          <t>none</t>
        </is>
      </c>
      <c r="AZ172" s="118" t="inlineStr">
        <is>
          <t>Y</t>
        </is>
      </c>
      <c r="BA172" s="118" t="inlineStr">
        <is>
          <t>2026-10-13 12:12:56</t>
        </is>
      </c>
      <c r="BB172" s="120" t="inlineStr">
        <is>
          <t>Prime Exclusive Discount</t>
        </is>
      </c>
      <c r="BC172" s="120" t="inlineStr">
        <is>
          <t>11-04 to 12-05</t>
        </is>
      </c>
      <c r="BD172" s="121" t="n">
        <v>23.39</v>
      </c>
      <c r="BE172" s="121" t="n">
        <v>21.32</v>
      </c>
      <c r="BF172" s="110">
        <f>IF(AND(ISNUMBER(BD172),ISNUMBER(BE172),N(BD172)&gt;0),1-BE172/BD172,"")</f>
        <v/>
      </c>
      <c r="BG172" s="122" t="n">
        <v>20924</v>
      </c>
      <c r="BH172" s="122" t="n">
        <v>20898</v>
      </c>
      <c r="BI172" s="123">
        <f>IF(AND(ISNUMBER(BG172),ISNUMBER(BH172),N(BH172)&gt;0),BG172/BH172,"")</f>
        <v/>
      </c>
      <c r="BJ172" s="120" t="inlineStr">
        <is>
          <t>N</t>
        </is>
      </c>
      <c r="BK172" s="120" t="inlineStr">
        <is>
          <t>Prime Exclusive already running before BFCM week; List Price $52.78</t>
        </is>
      </c>
    </row>
    <row r="173" ht="62" customHeight="1">
      <c r="A173" s="12">
        <f>_xlfn.IMAGE("https://m.media-amazon.com/images/I/81fhEyi-eTL._AC_SL1500_.jpg")</f>
        <v/>
      </c>
      <c r="B173" s="105" t="inlineStr">
        <is>
          <t>Manyshofu</t>
        </is>
      </c>
      <c r="C173" s="39" t="inlineStr">
        <is>
          <t>Satin Sheets</t>
        </is>
      </c>
      <c r="D173" s="105" t="inlineStr">
        <is>
          <t>Beatable</t>
        </is>
      </c>
      <c r="E173" s="106" t="inlineStr">
        <is>
          <t>Direct</t>
        </is>
      </c>
      <c r="F173" s="105" t="inlineStr">
        <is>
          <t>Satin (polyester)</t>
        </is>
      </c>
      <c r="G173" s="39" t="inlineStr">
        <is>
          <t>Same product (sheet set) in the same material family: Satin (polyester) (product page material: Satin); ours: our listing: polyester satin.</t>
        </is>
      </c>
      <c r="H173" s="107" t="inlineStr">
        <is>
          <t>B09YQW7HBK</t>
        </is>
      </c>
      <c r="I173" s="107" t="inlineStr">
        <is>
          <t>B09S5RNLN9</t>
        </is>
      </c>
      <c r="J173" s="105" t="inlineStr">
        <is>
          <t>California King</t>
        </is>
      </c>
      <c r="K173" s="105" t="inlineStr">
        <is>
          <t>Dark Green</t>
        </is>
      </c>
      <c r="L173" s="108" t="n"/>
      <c r="M173" s="39" t="inlineStr"/>
      <c r="N173" s="109" t="n">
        <v>31.99</v>
      </c>
      <c r="O173" s="109" t="n"/>
      <c r="P173" s="110">
        <f>IF(AND(ISNUMBER(O173),ISNUMBER(N173),N(N173)&gt;0),O173/N173-1,"")</f>
        <v/>
      </c>
      <c r="Q173" s="111">
        <f>IF(P173="","No List Price",IF(P173&lt;=0,"At/below price",IF(P173&lt;=0.12,"&lt;=12% STR zone",IF(P173&lt;=0.25,"12-25%","&gt;25% over"))))</f>
        <v/>
      </c>
      <c r="R173" s="109" t="n">
        <v>32.03724980901451</v>
      </c>
      <c r="S173" s="112">
        <f>IF(AND(ISNUMBER(N173),ISNUMBER(R173),N(R173)&gt;0),N173/R173-1,"")</f>
        <v/>
      </c>
      <c r="T173" s="39" t="inlineStr">
        <is>
          <t>vs our blended price (market data, Mar 2026 - STALE)</t>
        </is>
      </c>
      <c r="U173" s="108" t="n">
        <v>300374</v>
      </c>
      <c r="V173" s="108" t="n">
        <v>5</v>
      </c>
      <c r="W173" s="113">
        <f>IF(AND(ISNUMBER(N173),ISNUMBER(V173)),N173*V173*52/12,"")</f>
        <v/>
      </c>
      <c r="X173" s="114" t="n">
        <v>4.3</v>
      </c>
      <c r="Y173" s="108" t="n">
        <v>907</v>
      </c>
      <c r="Z173" s="115" t="n">
        <v>46307</v>
      </c>
      <c r="AA173" s="115" t="n"/>
      <c r="AB173" s="105" t="n"/>
      <c r="AC173" s="105" t="n"/>
      <c r="AD173" s="108" t="n"/>
      <c r="AE173" s="108" t="n"/>
      <c r="AF173" s="116" t="n"/>
      <c r="AG173" s="116" t="n"/>
      <c r="AH173" s="39" t="n"/>
      <c r="AI173" s="116" t="n"/>
      <c r="AJ173" s="116" t="n"/>
      <c r="AK173" s="116" t="n"/>
      <c r="AL173" s="116" t="n"/>
      <c r="AM173" s="108" t="n"/>
      <c r="AN173" s="108" t="n"/>
      <c r="AO173" s="108" t="n"/>
      <c r="AP173" s="108" t="n"/>
      <c r="AQ173" s="108" t="n"/>
      <c r="AR173" s="108" t="n"/>
      <c r="AS173" s="117" t="n"/>
      <c r="AT173" s="112" t="n"/>
      <c r="AU173" s="118" t="inlineStr">
        <is>
          <t>N</t>
        </is>
      </c>
      <c r="AV173" s="118" t="inlineStr">
        <is>
          <t>none</t>
        </is>
      </c>
      <c r="AW173" s="124" t="n"/>
      <c r="AX173" s="119" t="n">
        <v>28.99</v>
      </c>
      <c r="AY173" s="118" t="inlineStr">
        <is>
          <t>none</t>
        </is>
      </c>
      <c r="AZ173" s="118" t="inlineStr">
        <is>
          <t>Y</t>
        </is>
      </c>
      <c r="BA173" s="118" t="inlineStr">
        <is>
          <t>2026-10-13 12:13:29</t>
        </is>
      </c>
      <c r="BB173" s="120" t="inlineStr">
        <is>
          <t>None</t>
        </is>
      </c>
      <c r="BC173" s="125" t="n"/>
      <c r="BD173" s="121" t="n">
        <v>35.99</v>
      </c>
      <c r="BE173" s="121" t="n">
        <v>43.99</v>
      </c>
      <c r="BF173" s="110">
        <f>IF(AND(ISNUMBER(BD173),ISNUMBER(BE173),N(BD173)&gt;0),1-BE173/BD173,"")</f>
        <v/>
      </c>
      <c r="BG173" s="122" t="n">
        <v>162880</v>
      </c>
      <c r="BH173" s="122" t="n">
        <v>197382</v>
      </c>
      <c r="BI173" s="123">
        <f>IF(AND(ISNUMBER(BG173),ISNUMBER(BH173),N(BH173)&gt;0),BG173/BH173,"")</f>
        <v/>
      </c>
      <c r="BJ173" s="120" t="inlineStr">
        <is>
          <t>Y</t>
        </is>
      </c>
      <c r="BK173" s="120" t="inlineStr">
        <is>
          <t>Buy Box RAISED in BFCM week (median $43.99 vs $35.99 before); List Price $46.99</t>
        </is>
      </c>
    </row>
    <row r="174" ht="62" customHeight="1">
      <c r="A174" s="12">
        <f>_xlfn.IMAGE("https://images-na.ssl-images-amazon.com/images/I/71TbH0l5XfL.jpg")</f>
        <v/>
      </c>
      <c r="B174" s="105" t="inlineStr">
        <is>
          <t>P Pothuiny</t>
        </is>
      </c>
      <c r="C174" s="39" t="inlineStr">
        <is>
          <t>P Pothuiny 6-Piece Queen Satin Sheet Set Burgundy Silky Sheets</t>
        </is>
      </c>
      <c r="D174" s="105" t="inlineStr">
        <is>
          <t>Poor</t>
        </is>
      </c>
      <c r="E174" s="106" t="inlineStr">
        <is>
          <t>Direct</t>
        </is>
      </c>
      <c r="F174" s="105" t="inlineStr">
        <is>
          <t>Satin (polyester)</t>
        </is>
      </c>
      <c r="G174" s="39" t="inlineStr">
        <is>
          <t>Same product (sheet set) in the same material family: Satin (polyester) (title: P Pothuiny 6-Piece Queen Satin Sheet Set Burgundy Silky Shee); ours: our listing: polyester satin.</t>
        </is>
      </c>
      <c r="H174" s="107" t="inlineStr">
        <is>
          <t>B096P2MYZQ</t>
        </is>
      </c>
      <c r="I174" s="107" t="inlineStr">
        <is>
          <t>B08QMF6D5W</t>
        </is>
      </c>
      <c r="J174" s="105" t="inlineStr">
        <is>
          <t>Queen</t>
        </is>
      </c>
      <c r="K174" s="105" t="inlineStr">
        <is>
          <t>Burgundy</t>
        </is>
      </c>
      <c r="L174" s="108" t="n">
        <v>47</v>
      </c>
      <c r="M174" s="39" t="inlineStr">
        <is>
          <t>B08QMF6D5W (52%), B08QMSJFYZ (19%), B08QMYV2YR (10%)</t>
        </is>
      </c>
      <c r="N174" s="109" t="n">
        <v>26.99</v>
      </c>
      <c r="O174" s="109" t="n"/>
      <c r="P174" s="110">
        <f>IF(AND(ISNUMBER(O174),ISNUMBER(N174),N(N174)&gt;0),O174/N174-1,"")</f>
        <v/>
      </c>
      <c r="Q174" s="111">
        <f>IF(P174="","No List Price",IF(P174&lt;=0,"At/below price",IF(P174&lt;=0.12,"&lt;=12% STR zone",IF(P174&lt;=0.25,"12-25%","&gt;25% over"))))</f>
        <v/>
      </c>
      <c r="R174" s="109" t="n">
        <v>31.95</v>
      </c>
      <c r="S174" s="112">
        <f>IF(AND(ISNUMBER(N174),ISNUMBER(R174),N(R174)&gt;0),N174/R174-1,"")</f>
        <v/>
      </c>
      <c r="T174" s="39" t="inlineStr">
        <is>
          <t>Same size (Queen). Ours live: catalog price, 2026-10-13; 23 children</t>
        </is>
      </c>
      <c r="U174" s="108" t="n">
        <v>20031</v>
      </c>
      <c r="V174" s="108" t="n">
        <v>104</v>
      </c>
      <c r="W174" s="113">
        <f>IF(AND(ISNUMBER(N174),ISNUMBER(V174)),N174*V174*52/12,"")</f>
        <v/>
      </c>
      <c r="X174" s="114" t="n">
        <v>4.4</v>
      </c>
      <c r="Y174" s="108" t="n">
        <v>4031</v>
      </c>
      <c r="Z174" s="115" t="n">
        <v>46307</v>
      </c>
      <c r="AA174" s="115" t="n">
        <v>44180</v>
      </c>
      <c r="AB174" s="105" t="inlineStr">
        <is>
          <t>FBA</t>
        </is>
      </c>
      <c r="AC174" s="105" t="inlineStr">
        <is>
          <t>CN</t>
        </is>
      </c>
      <c r="AD174" s="108" t="n">
        <v>66544</v>
      </c>
      <c r="AE174" s="108" t="n">
        <v>832</v>
      </c>
      <c r="AF174" s="116" t="n">
        <v>0.9166959214955518</v>
      </c>
      <c r="AG174" s="116" t="n">
        <v>0.08330407850444821</v>
      </c>
      <c r="AH174" s="39" t="inlineStr">
        <is>
          <t>silk sheets</t>
        </is>
      </c>
      <c r="AI174" s="116" t="n">
        <v>0.1859972349122385</v>
      </c>
      <c r="AJ174" s="116" t="n">
        <v>0.5380349843712431</v>
      </c>
      <c r="AK174" s="116" t="n"/>
      <c r="AL174" s="116" t="n">
        <v>0.01920533782159173</v>
      </c>
      <c r="AM174" s="108" t="n">
        <v>477</v>
      </c>
      <c r="AN174" s="108" t="n">
        <v>235</v>
      </c>
      <c r="AO174" s="108" t="n">
        <v>185</v>
      </c>
      <c r="AP174" s="108" t="n">
        <v>355</v>
      </c>
      <c r="AQ174" s="108" t="n">
        <v>25</v>
      </c>
      <c r="AR174" s="108" t="n">
        <v>10</v>
      </c>
      <c r="AS174" s="117" t="n">
        <v>1.171497584541063</v>
      </c>
      <c r="AT174" s="112" t="n">
        <v>0.608009708737864</v>
      </c>
      <c r="AU174" s="118" t="inlineStr">
        <is>
          <t>N</t>
        </is>
      </c>
      <c r="AV174" s="118" t="inlineStr">
        <is>
          <t>none</t>
        </is>
      </c>
      <c r="AW174" s="124" t="n"/>
      <c r="AX174" s="119" t="n">
        <v>26.99</v>
      </c>
      <c r="AY174" s="118" t="inlineStr">
        <is>
          <t>none</t>
        </is>
      </c>
      <c r="AZ174" s="118" t="inlineStr">
        <is>
          <t>Y</t>
        </is>
      </c>
      <c r="BA174" s="118" t="inlineStr">
        <is>
          <t>2026-10-13 12:13:35</t>
        </is>
      </c>
      <c r="BB174" s="120" t="inlineStr">
        <is>
          <t>Prime Exclusive Discount</t>
        </is>
      </c>
      <c r="BC174" s="120" t="inlineStr">
        <is>
          <t>11-01 to 12-01</t>
        </is>
      </c>
      <c r="BD174" s="121" t="n">
        <v>29.99</v>
      </c>
      <c r="BE174" s="121" t="n">
        <v>24.95</v>
      </c>
      <c r="BF174" s="110">
        <f>IF(AND(ISNUMBER(BD174),ISNUMBER(BE174),N(BD174)&gt;0),1-BE174/BD174,"")</f>
        <v/>
      </c>
      <c r="BG174" s="122" t="n">
        <v>19773</v>
      </c>
      <c r="BH174" s="122" t="n">
        <v>19113</v>
      </c>
      <c r="BI174" s="123">
        <f>IF(AND(ISNUMBER(BG174),ISNUMBER(BH174),N(BH174)&gt;0),BG174/BH174,"")</f>
        <v/>
      </c>
      <c r="BJ174" s="120" t="inlineStr">
        <is>
          <t>N</t>
        </is>
      </c>
      <c r="BK174" s="120" t="inlineStr">
        <is>
          <t>Prime Exclusive already running before BFCM week; Buy Box RAISED in BFCM week (median $31.99 vs $29.99 before); List Price $48.99</t>
        </is>
      </c>
    </row>
    <row r="175" ht="62" customHeight="1">
      <c r="A175" s="12">
        <f>_xlfn.IMAGE("https://m.media-amazon.com/images/I/91BOC0gJVXL._AC_SL1500_.jpg")</f>
        <v/>
      </c>
      <c r="B175" s="105" t="inlineStr">
        <is>
          <t>HommxJF</t>
        </is>
      </c>
      <c r="C175" s="39" t="inlineStr">
        <is>
          <t>Satin Sheets</t>
        </is>
      </c>
      <c r="D175" s="105" t="inlineStr">
        <is>
          <t>Poor</t>
        </is>
      </c>
      <c r="E175" s="106" t="inlineStr">
        <is>
          <t>Direct</t>
        </is>
      </c>
      <c r="F175" s="105" t="inlineStr">
        <is>
          <t>Satin (polyester)</t>
        </is>
      </c>
      <c r="G175" s="39" t="inlineStr">
        <is>
          <t>Same product (sheet set) in the same material family: Satin (polyester) (product page material: Satin); ours: our listing: polyester satin.</t>
        </is>
      </c>
      <c r="H175" s="107" t="inlineStr">
        <is>
          <t>B0BJZT93SL</t>
        </is>
      </c>
      <c r="I175" s="107" t="inlineStr">
        <is>
          <t>B09V52BVJB</t>
        </is>
      </c>
      <c r="J175" s="105" t="inlineStr">
        <is>
          <t>Full</t>
        </is>
      </c>
      <c r="K175" s="105" t="inlineStr">
        <is>
          <t>Blush Pink</t>
        </is>
      </c>
      <c r="L175" s="108" t="n">
        <v>32</v>
      </c>
      <c r="M175" s="39" t="inlineStr">
        <is>
          <t>B09V52BVJB (55%), B0BCKD5X64 (25%), B09V52C9M9 (10%)</t>
        </is>
      </c>
      <c r="N175" s="109" t="n">
        <v>24.99</v>
      </c>
      <c r="O175" s="109" t="n"/>
      <c r="P175" s="110">
        <f>IF(AND(ISNUMBER(O175),ISNUMBER(N175),N(N175)&gt;0),O175/N175-1,"")</f>
        <v/>
      </c>
      <c r="Q175" s="111">
        <f>IF(P175="","No List Price",IF(P175&lt;=0,"At/below price",IF(P175&lt;=0.12,"&lt;=12% STR zone",IF(P175&lt;=0.25,"12-25%","&gt;25% over"))))</f>
        <v/>
      </c>
      <c r="R175" s="109" t="n">
        <v>29.95</v>
      </c>
      <c r="S175" s="112">
        <f>IF(AND(ISNUMBER(N175),ISNUMBER(R175),N(R175)&gt;0),N175/R175-1,"")</f>
        <v/>
      </c>
      <c r="T175" s="39" t="inlineStr">
        <is>
          <t>Same size (Full). Ours live: catalog price, 2026-10-13; 27 children</t>
        </is>
      </c>
      <c r="U175" s="108" t="n">
        <v>180867</v>
      </c>
      <c r="V175" s="108" t="n">
        <v>18</v>
      </c>
      <c r="W175" s="113">
        <f>IF(AND(ISNUMBER(N175),ISNUMBER(V175)),N175*V175*52/12,"")</f>
        <v/>
      </c>
      <c r="X175" s="114" t="n">
        <v>4.3</v>
      </c>
      <c r="Y175" s="108" t="n">
        <v>1032</v>
      </c>
      <c r="Z175" s="115" t="n">
        <v>46307</v>
      </c>
      <c r="AA175" s="115" t="n"/>
      <c r="AB175" s="105" t="n"/>
      <c r="AC175" s="105" t="n"/>
      <c r="AD175" s="108" t="n">
        <v>16567</v>
      </c>
      <c r="AE175" s="108" t="n">
        <v>357</v>
      </c>
      <c r="AF175" s="116" t="n">
        <v>0.8554338745699279</v>
      </c>
      <c r="AG175" s="116" t="n">
        <v>0.1445661254300719</v>
      </c>
      <c r="AH175" s="39" t="inlineStr">
        <is>
          <t>satin sheets</t>
        </is>
      </c>
      <c r="AI175" s="116" t="n">
        <v>0.2936560632582845</v>
      </c>
      <c r="AJ175" s="116" t="n">
        <v>0.02323896903482827</v>
      </c>
      <c r="AK175" s="116" t="n"/>
      <c r="AL175" s="116" t="n"/>
      <c r="AM175" s="108" t="n">
        <v>249</v>
      </c>
      <c r="AN175" s="108" t="n">
        <v>189</v>
      </c>
      <c r="AO175" s="108" t="n">
        <v>41</v>
      </c>
      <c r="AP175" s="108" t="n">
        <v>108</v>
      </c>
      <c r="AQ175" s="108" t="n">
        <v>46</v>
      </c>
      <c r="AR175" s="108" t="n">
        <v>30</v>
      </c>
      <c r="AS175" s="117" t="n">
        <v>1.017857142857143</v>
      </c>
      <c r="AT175" s="112" t="n">
        <v>0.4723247232472323</v>
      </c>
      <c r="AU175" s="118" t="inlineStr">
        <is>
          <t>N</t>
        </is>
      </c>
      <c r="AV175" s="118" t="inlineStr">
        <is>
          <t>none</t>
        </is>
      </c>
      <c r="AW175" s="124" t="n"/>
      <c r="AX175" s="119" t="n">
        <v>24.99</v>
      </c>
      <c r="AY175" s="118" t="inlineStr">
        <is>
          <t>none</t>
        </is>
      </c>
      <c r="AZ175" s="118" t="inlineStr">
        <is>
          <t>Y</t>
        </is>
      </c>
      <c r="BA175" s="118" t="inlineStr">
        <is>
          <t>2026-10-13 12:13:02</t>
        </is>
      </c>
      <c r="BB175" s="120" t="inlineStr">
        <is>
          <t>None</t>
        </is>
      </c>
      <c r="BC175" s="125" t="n"/>
      <c r="BD175" s="121" t="n">
        <v>24.99</v>
      </c>
      <c r="BE175" s="121" t="n">
        <v>24.99</v>
      </c>
      <c r="BF175" s="110">
        <f>IF(AND(ISNUMBER(BD175),ISNUMBER(BE175),N(BD175)&gt;0),1-BE175/BD175,"")</f>
        <v/>
      </c>
      <c r="BG175" s="122" t="n">
        <v>107701</v>
      </c>
      <c r="BH175" s="122" t="n">
        <v>90023</v>
      </c>
      <c r="BI175" s="123">
        <f>IF(AND(ISNUMBER(BG175),ISNUMBER(BH175),N(BH175)&gt;0),BG175/BH175,"")</f>
        <v/>
      </c>
      <c r="BJ175" s="120" t="inlineStr">
        <is>
          <t>N</t>
        </is>
      </c>
      <c r="BK175" s="120" t="inlineStr">
        <is>
          <t>List Price $26.99</t>
        </is>
      </c>
    </row>
    <row r="176" ht="62" customHeight="1">
      <c r="A176" s="12">
        <f>_xlfn.IMAGE("https://m.media-amazon.com/images/I/71ImrNlbFKL._AC_SL1500_.jpg")</f>
        <v/>
      </c>
      <c r="B176" s="105" t="inlineStr">
        <is>
          <t>MK Home</t>
        </is>
      </c>
      <c r="C176" s="39" t="inlineStr">
        <is>
          <t>Satin Sheets</t>
        </is>
      </c>
      <c r="D176" s="105" t="inlineStr">
        <is>
          <t>Poor</t>
        </is>
      </c>
      <c r="E176" s="106" t="inlineStr">
        <is>
          <t>Direct</t>
        </is>
      </c>
      <c r="F176" s="105" t="inlineStr">
        <is>
          <t>Satin (polyester)</t>
        </is>
      </c>
      <c r="G176" s="39" t="inlineStr">
        <is>
          <t>Same product (sheet set) in the same material family: Satin (polyester) (product page material: Soft Silky Satin); ours: our listing: polyester satin.</t>
        </is>
      </c>
      <c r="H176" s="107" t="inlineStr">
        <is>
          <t>B07H522QXD</t>
        </is>
      </c>
      <c r="I176" s="107" t="inlineStr">
        <is>
          <t>B07FGFRZ94</t>
        </is>
      </c>
      <c r="J176" s="105" t="inlineStr">
        <is>
          <t>Queen</t>
        </is>
      </c>
      <c r="K176" s="105" t="inlineStr">
        <is>
          <t>Red</t>
        </is>
      </c>
      <c r="L176" s="108" t="n"/>
      <c r="M176" s="39" t="inlineStr"/>
      <c r="N176" s="109" t="n">
        <v>18.99</v>
      </c>
      <c r="O176" s="109" t="n"/>
      <c r="P176" s="110">
        <f>IF(AND(ISNUMBER(O176),ISNUMBER(N176),N(N176)&gt;0),O176/N176-1,"")</f>
        <v/>
      </c>
      <c r="Q176" s="111">
        <f>IF(P176="","No List Price",IF(P176&lt;=0,"At/below price",IF(P176&lt;=0.12,"&lt;=12% STR zone",IF(P176&lt;=0.25,"12-25%","&gt;25% over"))))</f>
        <v/>
      </c>
      <c r="R176" s="109" t="n">
        <v>31.95</v>
      </c>
      <c r="S176" s="112">
        <f>IF(AND(ISNUMBER(N176),ISNUMBER(R176),N(R176)&gt;0),N176/R176-1,"")</f>
        <v/>
      </c>
      <c r="T176" s="39" t="inlineStr">
        <is>
          <t>Same size (Queen). Ours live: catalog price, 2026-10-13; 23 children</t>
        </is>
      </c>
      <c r="U176" s="108" t="n">
        <v>59039</v>
      </c>
      <c r="V176" s="108" t="n">
        <v>18</v>
      </c>
      <c r="W176" s="113">
        <f>IF(AND(ISNUMBER(N176),ISNUMBER(V176)),N176*V176*52/12,"")</f>
        <v/>
      </c>
      <c r="X176" s="114" t="n">
        <v>4.3</v>
      </c>
      <c r="Y176" s="108" t="n">
        <v>10761</v>
      </c>
      <c r="Z176" s="115" t="n">
        <v>46307</v>
      </c>
      <c r="AA176" s="115" t="n"/>
      <c r="AB176" s="105" t="n"/>
      <c r="AC176" s="105" t="n"/>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18" t="inlineStr">
        <is>
          <t>N</t>
        </is>
      </c>
      <c r="AV176" s="118" t="inlineStr">
        <is>
          <t>none</t>
        </is>
      </c>
      <c r="AW176" s="124" t="n"/>
      <c r="AX176" s="119" t="n">
        <v>18.99</v>
      </c>
      <c r="AY176" s="118" t="inlineStr">
        <is>
          <t>none</t>
        </is>
      </c>
      <c r="AZ176" s="118" t="inlineStr">
        <is>
          <t>Y</t>
        </is>
      </c>
      <c r="BA176" s="118" t="inlineStr">
        <is>
          <t>2026-10-13 12:13:19</t>
        </is>
      </c>
      <c r="BB176" s="120" t="inlineStr">
        <is>
          <t>None</t>
        </is>
      </c>
      <c r="BC176" s="125" t="n"/>
      <c r="BD176" s="121" t="n">
        <v>28.99</v>
      </c>
      <c r="BE176" s="121" t="n">
        <v>28.99</v>
      </c>
      <c r="BF176" s="110">
        <f>IF(AND(ISNUMBER(BD176),ISNUMBER(BE176),N(BD176)&gt;0),1-BE176/BD176,"")</f>
        <v/>
      </c>
      <c r="BG176" s="122" t="n">
        <v>72573</v>
      </c>
      <c r="BH176" s="122" t="n">
        <v>103377</v>
      </c>
      <c r="BI176" s="123">
        <f>IF(AND(ISNUMBER(BG176),ISNUMBER(BH176),N(BH176)&gt;0),BG176/BH176,"")</f>
        <v/>
      </c>
      <c r="BJ176" s="120" t="inlineStr">
        <is>
          <t>N</t>
        </is>
      </c>
      <c r="BK176" s="120" t="inlineStr">
        <is>
          <t>List Price $59.99</t>
        </is>
      </c>
    </row>
    <row r="177" ht="62" customHeight="1">
      <c r="A177" s="12">
        <f>_xlfn.IMAGE("https://m.media-amazon.com/images/I/71PuS2XyTRL._AC_SL1500_.jpg")</f>
        <v/>
      </c>
      <c r="B177" s="105" t="inlineStr">
        <is>
          <t>Candoury</t>
        </is>
      </c>
      <c r="C177" s="39" t="inlineStr">
        <is>
          <t>Satin Sheets</t>
        </is>
      </c>
      <c r="D177" s="105" t="inlineStr">
        <is>
          <t>Untiered</t>
        </is>
      </c>
      <c r="E177" s="106" t="inlineStr">
        <is>
          <t>Direct</t>
        </is>
      </c>
      <c r="F177" s="105" t="inlineStr">
        <is>
          <t>Satin (polyester)</t>
        </is>
      </c>
      <c r="G177" s="39" t="inlineStr">
        <is>
          <t>Same product (sheet set) in the same material family: Satin (polyester) (product page material: Satin polyester); ours: our listing: polyester satin.</t>
        </is>
      </c>
      <c r="H177" s="107" t="inlineStr">
        <is>
          <t>B08RHZ9TMQ</t>
        </is>
      </c>
      <c r="I177" s="107" t="inlineStr">
        <is>
          <t>B08JKWGXZ9</t>
        </is>
      </c>
      <c r="J177" s="105" t="inlineStr">
        <is>
          <t>Queen</t>
        </is>
      </c>
      <c r="K177" s="105" t="inlineStr">
        <is>
          <t>Black</t>
        </is>
      </c>
      <c r="L177" s="108" t="n"/>
      <c r="M177" s="39" t="inlineStr"/>
      <c r="N177" s="109" t="n">
        <v>15.99</v>
      </c>
      <c r="O177" s="109" t="n"/>
      <c r="P177" s="110">
        <f>IF(AND(ISNUMBER(O177),ISNUMBER(N177),N(N177)&gt;0),O177/N177-1,"")</f>
        <v/>
      </c>
      <c r="Q177" s="111">
        <f>IF(P177="","No List Price",IF(P177&lt;=0,"At/below price",IF(P177&lt;=0.12,"&lt;=12% STR zone",IF(P177&lt;=0.25,"12-25%","&gt;25% over"))))</f>
        <v/>
      </c>
      <c r="R177" s="109" t="n">
        <v>31.95</v>
      </c>
      <c r="S177" s="112">
        <f>IF(AND(ISNUMBER(N177),ISNUMBER(R177),N(R177)&gt;0),N177/R177-1,"")</f>
        <v/>
      </c>
      <c r="T177" s="39" t="inlineStr">
        <is>
          <t>Same size (Queen). Ours live: catalog price, 2026-10-13; 23 children</t>
        </is>
      </c>
      <c r="U177" s="108" t="n">
        <v>420044</v>
      </c>
      <c r="V177" s="108" t="n">
        <v>5</v>
      </c>
      <c r="W177" s="113">
        <f>IF(AND(ISNUMBER(N177),ISNUMBER(V177)),N177*V177*52/12,"")</f>
        <v/>
      </c>
      <c r="X177" s="114" t="n">
        <v>4.3</v>
      </c>
      <c r="Y177" s="108" t="n">
        <v>5277</v>
      </c>
      <c r="Z177" s="115" t="n">
        <v>46279</v>
      </c>
      <c r="AA177" s="115" t="n"/>
      <c r="AB177" s="105" t="n"/>
      <c r="AC177" s="105" t="n"/>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18" t="inlineStr">
        <is>
          <t>N</t>
        </is>
      </c>
      <c r="AV177" s="118" t="inlineStr">
        <is>
          <t>none</t>
        </is>
      </c>
      <c r="AW177" s="124" t="n"/>
      <c r="AX177" s="124" t="n"/>
      <c r="AY177" s="118" t="inlineStr">
        <is>
          <t>none</t>
        </is>
      </c>
      <c r="AZ177" s="118" t="inlineStr">
        <is>
          <t>N</t>
        </is>
      </c>
      <c r="BA177" s="118" t="inlineStr">
        <is>
          <t>2026-10-13 23:44:25</t>
        </is>
      </c>
      <c r="BB177" s="125" t="n"/>
      <c r="BC177" s="125" t="n"/>
      <c r="BD177" s="124" t="n"/>
      <c r="BE177" s="124" t="n"/>
      <c r="BF177" s="110">
        <f>IF(AND(ISNUMBER(BD177),ISNUMBER(BE177),N(BD177)&gt;0),1-BE177/BD177,"")</f>
        <v/>
      </c>
      <c r="BG177" s="122" t="n">
        <v>176647</v>
      </c>
      <c r="BH177" s="122" t="n">
        <v>231862</v>
      </c>
      <c r="BI177" s="123">
        <f>IF(AND(ISNUMBER(BG177),ISNUMBER(BH177),N(BH177)&gt;0),BG177/BH177,"")</f>
        <v/>
      </c>
      <c r="BJ177" s="120" t="inlineStr">
        <is>
          <t>Y</t>
        </is>
      </c>
      <c r="BK177" s="120" t="inlineStr">
        <is>
          <t>No Buy Box history in price history for BFCM 2025; List Price $35.99</t>
        </is>
      </c>
    </row>
    <row r="178" ht="62" customHeight="1">
      <c r="A178" s="12">
        <f>_xlfn.IMAGE("https://images-na.ssl-images-amazon.com/images/I/71QlFwpmpcL.jpg")</f>
        <v/>
      </c>
      <c r="B178" s="105" t="inlineStr">
        <is>
          <t>CozyLux</t>
        </is>
      </c>
      <c r="C178" s="39" t="inlineStr">
        <is>
          <t>CozyLux Satin Sheets Queen, 4-Piece 14-Inch Deep Pocket Sheet Set</t>
        </is>
      </c>
      <c r="D178" s="105" t="inlineStr">
        <is>
          <t>Beatable</t>
        </is>
      </c>
      <c r="E178" s="128" t="inlineStr">
        <is>
          <t>Alternative material</t>
        </is>
      </c>
      <c r="F178" s="105" t="inlineStr">
        <is>
          <t>Microfiber / polyester</t>
        </is>
      </c>
      <c r="G178" s="39" t="inlineStr">
        <is>
          <t>Sheet set in Microfiber / polyester (product page material: Polyester microfiber); ours is Satin (polyester) (our listing: polyester satin). Shopper may cross-shop, but not like-for-like.</t>
        </is>
      </c>
      <c r="H178" s="107" t="inlineStr">
        <is>
          <t>B08CQKS3KP</t>
        </is>
      </c>
      <c r="I178" s="107" t="inlineStr">
        <is>
          <t>B08P16XLP2</t>
        </is>
      </c>
      <c r="J178" s="105" t="inlineStr">
        <is>
          <t>Queen</t>
        </is>
      </c>
      <c r="K178" s="105" t="inlineStr">
        <is>
          <t>Black</t>
        </is>
      </c>
      <c r="L178" s="108" t="n">
        <v>115</v>
      </c>
      <c r="M178" s="39" t="inlineStr">
        <is>
          <t>B08P16XLP2 (43%), B08P164867 (8%), B08P17PQ8J (6%), B0CQ8CN4PK (5%), B0BYDSWCJY (4%)</t>
        </is>
      </c>
      <c r="N178" s="109" t="n">
        <v>13.99</v>
      </c>
      <c r="O178" s="109" t="n">
        <v>18.99</v>
      </c>
      <c r="P178" s="110">
        <f>IF(AND(ISNUMBER(O178),ISNUMBER(N178),N(N178)&gt;0),O178/N178-1,"")</f>
        <v/>
      </c>
      <c r="Q178" s="111">
        <f>IF(P178="","No List Price",IF(P178&lt;=0,"At/below price",IF(P178&lt;=0.12,"&lt;=12% STR zone",IF(P178&lt;=0.25,"12-25%","&gt;25% over"))))</f>
        <v/>
      </c>
      <c r="R178" s="109" t="n">
        <v>31.95</v>
      </c>
      <c r="S178" s="112">
        <f>IF(AND(ISNUMBER(N178),ISNUMBER(R178),N(R178)&gt;0),N178/R178-1,"")</f>
        <v/>
      </c>
      <c r="T178" s="39" t="inlineStr">
        <is>
          <t>Same size (Queen). Ours live: catalog price, 2026-10-13; 23 children</t>
        </is>
      </c>
      <c r="U178" s="108" t="n">
        <v>3102</v>
      </c>
      <c r="V178" s="108" t="n">
        <v>347</v>
      </c>
      <c r="W178" s="113">
        <f>IF(AND(ISNUMBER(N178),ISNUMBER(V178)),N178*V178*52/12,"")</f>
        <v/>
      </c>
      <c r="X178" s="114" t="n">
        <v>4.3</v>
      </c>
      <c r="Y178" s="108" t="n">
        <v>7075</v>
      </c>
      <c r="Z178" s="115" t="n">
        <v>46307</v>
      </c>
      <c r="AA178" s="115" t="n">
        <v>44158</v>
      </c>
      <c r="AB178" s="105" t="inlineStr">
        <is>
          <t>FBA</t>
        </is>
      </c>
      <c r="AC178" s="105" t="inlineStr">
        <is>
          <t>CN</t>
        </is>
      </c>
      <c r="AD178" s="108" t="n">
        <v>164434</v>
      </c>
      <c r="AE178" s="108" t="n">
        <v>2031</v>
      </c>
      <c r="AF178" s="116" t="n">
        <v>0.724298132381382</v>
      </c>
      <c r="AG178" s="116" t="n">
        <v>0.2757019065400104</v>
      </c>
      <c r="AH178" s="39" t="inlineStr">
        <is>
          <t>silk sheets</t>
        </is>
      </c>
      <c r="AI178" s="116" t="n">
        <v>0.601335490227082</v>
      </c>
      <c r="AJ178" s="116" t="n">
        <v>0.5155016602405829</v>
      </c>
      <c r="AK178" s="116" t="n"/>
      <c r="AL178" s="116" t="n">
        <v>0.04596981159614192</v>
      </c>
      <c r="AM178" s="108" t="n">
        <v>768</v>
      </c>
      <c r="AN178" s="108" t="n">
        <v>242</v>
      </c>
      <c r="AO178" s="108" t="n">
        <v>438</v>
      </c>
      <c r="AP178" s="108" t="n">
        <v>1263</v>
      </c>
      <c r="AQ178" s="108" t="n">
        <v>332</v>
      </c>
      <c r="AR178" s="108" t="n">
        <v>36</v>
      </c>
      <c r="AS178" s="117" t="n">
        <v>0.8168981481481481</v>
      </c>
      <c r="AT178" s="112" t="n">
        <v>-0.1447276536312849</v>
      </c>
      <c r="AU178" s="118" t="inlineStr">
        <is>
          <t>Y</t>
        </is>
      </c>
      <c r="AV178" s="118" t="inlineStr">
        <is>
          <t>List Price</t>
        </is>
      </c>
      <c r="AW178" s="119" t="n">
        <v>18.99</v>
      </c>
      <c r="AX178" s="119" t="n">
        <v>13.99</v>
      </c>
      <c r="AY178" s="118" t="inlineStr">
        <is>
          <t>Limited time deal</t>
        </is>
      </c>
      <c r="AZ178" s="118" t="inlineStr">
        <is>
          <t>Y</t>
        </is>
      </c>
      <c r="BA178" s="118" t="inlineStr">
        <is>
          <t>2026-10-13 12:12:43</t>
        </is>
      </c>
      <c r="BB178" s="120" t="inlineStr">
        <is>
          <t>Prime Exclusive Discount</t>
        </is>
      </c>
      <c r="BC178" s="120" t="inlineStr">
        <is>
          <t>11-01 to 12-05</t>
        </is>
      </c>
      <c r="BD178" s="121" t="n">
        <v>17.99</v>
      </c>
      <c r="BE178" s="121" t="n">
        <v>16.99</v>
      </c>
      <c r="BF178" s="110">
        <f>IF(AND(ISNUMBER(BD178),ISNUMBER(BE178),N(BD178)&gt;0),1-BE178/BD178,"")</f>
        <v/>
      </c>
      <c r="BG178" s="122" t="n">
        <v>1165</v>
      </c>
      <c r="BH178" s="122" t="n">
        <v>1226</v>
      </c>
      <c r="BI178" s="123">
        <f>IF(AND(ISNUMBER(BG178),ISNUMBER(BH178),N(BH178)&gt;0),BG178/BH178,"")</f>
        <v/>
      </c>
      <c r="BJ178" s="120" t="inlineStr">
        <is>
          <t>N</t>
        </is>
      </c>
      <c r="BK178" s="120" t="inlineStr">
        <is>
          <t>Lightning Deal 11-09 to 11-16; Prime Exclusive already running before BFCM week; List Price $22.99</t>
        </is>
      </c>
    </row>
    <row r="179" ht="62" customHeight="1">
      <c r="A179" s="12">
        <f>_xlfn.IMAGE("https://images-na.ssl-images-amazon.com/images/I/71PMIXXTc0L.jpg")</f>
        <v/>
      </c>
      <c r="B179" s="105" t="inlineStr">
        <is>
          <t>Lanest Housing</t>
        </is>
      </c>
      <c r="C179" s="39" t="inlineStr">
        <is>
          <t>Lanest Housing Silk Satin Sheets, Queen Size Satin Bed Sheet Set with Deep Pockets, Cooling Soft and Hypoallergenic Satin Sheets Queen - Light Gray</t>
        </is>
      </c>
      <c r="D179" s="105" t="inlineStr">
        <is>
          <t>Beatable</t>
        </is>
      </c>
      <c r="E179" s="128" t="inlineStr">
        <is>
          <t>Alternative material</t>
        </is>
      </c>
      <c r="F179" s="105" t="inlineStr">
        <is>
          <t>Silk</t>
        </is>
      </c>
      <c r="G179" s="39" t="inlineStr">
        <is>
          <t>Sheet set in Silk (title: Lanest Housing Silk Satin Sheets, Queen Size Satin Bed Sheet); ours is Satin (polyester) (our listing: polyester satin). Shopper may cross-shop, but not like-for-like.</t>
        </is>
      </c>
      <c r="H179" s="107" t="inlineStr">
        <is>
          <t>B0DC3MX1DP</t>
        </is>
      </c>
      <c r="I179" s="107" t="inlineStr">
        <is>
          <t>B082B5CY3D</t>
        </is>
      </c>
      <c r="J179" s="105" t="inlineStr">
        <is>
          <t>Queen</t>
        </is>
      </c>
      <c r="K179" s="105" t="inlineStr">
        <is>
          <t>Gray</t>
        </is>
      </c>
      <c r="L179" s="108" t="n">
        <v>154</v>
      </c>
      <c r="M179" s="39" t="inlineStr">
        <is>
          <t>B082B5CY3D (41%), B07VWFV7MB (21%), B07VTSWJPH (21%)</t>
        </is>
      </c>
      <c r="N179" s="109" t="n">
        <v>22.99</v>
      </c>
      <c r="O179" s="109" t="n"/>
      <c r="P179" s="110">
        <f>IF(AND(ISNUMBER(O179),ISNUMBER(N179),N(N179)&gt;0),O179/N179-1,"")</f>
        <v/>
      </c>
      <c r="Q179" s="111">
        <f>IF(P179="","No List Price",IF(P179&lt;=0,"At/below price",IF(P179&lt;=0.12,"&lt;=12% STR zone",IF(P179&lt;=0.25,"12-25%","&gt;25% over"))))</f>
        <v/>
      </c>
      <c r="R179" s="109" t="n">
        <v>31.95</v>
      </c>
      <c r="S179" s="112">
        <f>IF(AND(ISNUMBER(N179),ISNUMBER(R179),N(R179)&gt;0),N179/R179-1,"")</f>
        <v/>
      </c>
      <c r="T179" s="39" t="inlineStr">
        <is>
          <t>Same size (Queen). Ours live: catalog price, 2026-10-13; 23 children</t>
        </is>
      </c>
      <c r="U179" s="108" t="n">
        <v>4671</v>
      </c>
      <c r="V179" s="108" t="n">
        <v>208</v>
      </c>
      <c r="W179" s="113">
        <f>IF(AND(ISNUMBER(N179),ISNUMBER(V179)),N179*V179*52/12,"")</f>
        <v/>
      </c>
      <c r="X179" s="114" t="n">
        <v>4.3</v>
      </c>
      <c r="Y179" s="108" t="n">
        <v>5837</v>
      </c>
      <c r="Z179" s="115" t="n">
        <v>46307</v>
      </c>
      <c r="AA179" s="115" t="n">
        <v>43803</v>
      </c>
      <c r="AB179" s="105" t="inlineStr">
        <is>
          <t>FBA</t>
        </is>
      </c>
      <c r="AC179" s="105" t="inlineStr">
        <is>
          <t>CN</t>
        </is>
      </c>
      <c r="AD179" s="108" t="n">
        <v>163454</v>
      </c>
      <c r="AE179" s="108" t="n">
        <v>1240</v>
      </c>
      <c r="AF179" s="116" t="n">
        <v>0.511816095659941</v>
      </c>
      <c r="AG179" s="116" t="n">
        <v>0.488184002226926</v>
      </c>
      <c r="AH179" s="39" t="inlineStr">
        <is>
          <t>silk sheets</t>
        </is>
      </c>
      <c r="AI179" s="116" t="n">
        <v>0.9357923330111224</v>
      </c>
      <c r="AJ179" s="116" t="n">
        <v>0.9225470162859275</v>
      </c>
      <c r="AK179" s="116" t="n"/>
      <c r="AL179" s="116" t="n">
        <v>0.002850955008748639</v>
      </c>
      <c r="AM179" s="108" t="n">
        <v>628</v>
      </c>
      <c r="AN179" s="108" t="n">
        <v>234</v>
      </c>
      <c r="AO179" s="108" t="n">
        <v>285</v>
      </c>
      <c r="AP179" s="108" t="n">
        <v>612</v>
      </c>
      <c r="AQ179" s="108" t="n">
        <v>50</v>
      </c>
      <c r="AR179" s="108" t="n">
        <v>61</v>
      </c>
      <c r="AS179" s="117" t="n">
        <v>0.4183908045977011</v>
      </c>
      <c r="AT179" s="112" t="n">
        <v>1.815972222222222</v>
      </c>
      <c r="AU179" s="118" t="inlineStr">
        <is>
          <t>N</t>
        </is>
      </c>
      <c r="AV179" s="118" t="inlineStr">
        <is>
          <t>none</t>
        </is>
      </c>
      <c r="AW179" s="124" t="n"/>
      <c r="AX179" s="119" t="n">
        <v>22.99</v>
      </c>
      <c r="AY179" s="118" t="inlineStr">
        <is>
          <t>none</t>
        </is>
      </c>
      <c r="AZ179" s="118" t="inlineStr">
        <is>
          <t>Y</t>
        </is>
      </c>
      <c r="BA179" s="118" t="inlineStr">
        <is>
          <t>2026-10-13 12:13:12</t>
        </is>
      </c>
      <c r="BB179" s="120" t="inlineStr">
        <is>
          <t>Prime Exclusive Discount</t>
        </is>
      </c>
      <c r="BC179" s="120" t="inlineStr">
        <is>
          <t>11-20 to 11-27</t>
        </is>
      </c>
      <c r="BD179" s="121" t="n">
        <v>19.99</v>
      </c>
      <c r="BE179" s="121" t="n">
        <v>17.99</v>
      </c>
      <c r="BF179" s="110">
        <f>IF(AND(ISNUMBER(BD179),ISNUMBER(BE179),N(BD179)&gt;0),1-BE179/BD179,"")</f>
        <v/>
      </c>
      <c r="BG179" s="122" t="n">
        <v>3675</v>
      </c>
      <c r="BH179" s="122" t="n">
        <v>3550</v>
      </c>
      <c r="BI179" s="123">
        <f>IF(AND(ISNUMBER(BG179),ISNUMBER(BH179),N(BH179)&gt;0),BG179/BH179,"")</f>
        <v/>
      </c>
      <c r="BJ179" s="120" t="inlineStr">
        <is>
          <t>Y</t>
        </is>
      </c>
      <c r="BK179" s="120" t="inlineStr">
        <is>
          <t>Buy Box RAISED in BFCM week (median $27.79 vs $19.99 before); List Price $37.99</t>
        </is>
      </c>
    </row>
    <row r="180" ht="62" customHeight="1">
      <c r="A180" s="12">
        <f>_xlfn.IMAGE("https://images-na.ssl-images-amazon.com/images/I/61QL2B3WPsL.jpg")</f>
        <v/>
      </c>
      <c r="B180" s="105" t="inlineStr">
        <is>
          <t>Cobedzy</t>
        </is>
      </c>
      <c r="C180" s="39" t="inlineStr">
        <is>
          <t>Satin Sheets</t>
        </is>
      </c>
      <c r="D180" s="105" t="inlineStr">
        <is>
          <t>Beatable</t>
        </is>
      </c>
      <c r="E180" s="128" t="inlineStr">
        <is>
          <t>Alternative material</t>
        </is>
      </c>
      <c r="F180" s="105" t="inlineStr">
        <is>
          <t>Microfiber / polyester</t>
        </is>
      </c>
      <c r="G180" s="39" t="inlineStr">
        <is>
          <t>Sheet set in Microfiber / polyester (product page material: Polyester); ours is Satin (polyester) (our listing: polyester satin). Shopper may cross-shop, but not like-for-like.</t>
        </is>
      </c>
      <c r="H180" s="107" t="inlineStr">
        <is>
          <t>B099PPQ7T3</t>
        </is>
      </c>
      <c r="I180" s="107" t="inlineStr">
        <is>
          <t>B087CSRQQ4</t>
        </is>
      </c>
      <c r="J180" s="105" t="inlineStr">
        <is>
          <t>Queen</t>
        </is>
      </c>
      <c r="K180" s="105" t="inlineStr">
        <is>
          <t>Blush Pink</t>
        </is>
      </c>
      <c r="L180" s="108" t="n">
        <v>18</v>
      </c>
      <c r="M180" s="39" t="inlineStr">
        <is>
          <t>B087CSJ1FV (44%), B087CSRQQ4 (26%), B087CSNV9S (8%), B088CX6RW8 (4%)</t>
        </is>
      </c>
      <c r="N180" s="109" t="n">
        <v>24.99</v>
      </c>
      <c r="O180" s="109" t="n"/>
      <c r="P180" s="110">
        <f>IF(AND(ISNUMBER(O180),ISNUMBER(N180),N(N180)&gt;0),O180/N180-1,"")</f>
        <v/>
      </c>
      <c r="Q180" s="111">
        <f>IF(P180="","No List Price",IF(P180&lt;=0,"At/below price",IF(P180&lt;=0.12,"&lt;=12% STR zone",IF(P180&lt;=0.25,"12-25%","&gt;25% over"))))</f>
        <v/>
      </c>
      <c r="R180" s="109" t="n">
        <v>31.95</v>
      </c>
      <c r="S180" s="112">
        <f>IF(AND(ISNUMBER(N180),ISNUMBER(R180),N(R180)&gt;0),N180/R180-1,"")</f>
        <v/>
      </c>
      <c r="T180" s="39" t="inlineStr">
        <is>
          <t>Same size (Queen). Ours live: catalog price, 2026-10-13; 23 children</t>
        </is>
      </c>
      <c r="U180" s="108" t="n">
        <v>68667</v>
      </c>
      <c r="V180" s="108" t="n">
        <v>35</v>
      </c>
      <c r="W180" s="113">
        <f>IF(AND(ISNUMBER(N180),ISNUMBER(V180)),N180*V180*52/12,"")</f>
        <v/>
      </c>
      <c r="X180" s="114" t="n">
        <v>4.4</v>
      </c>
      <c r="Y180" s="108" t="n">
        <v>2838</v>
      </c>
      <c r="Z180" s="115" t="n">
        <v>46307</v>
      </c>
      <c r="AA180" s="115" t="n"/>
      <c r="AB180" s="105" t="n"/>
      <c r="AC180" s="105" t="n"/>
      <c r="AD180" s="108" t="n">
        <v>21925</v>
      </c>
      <c r="AE180" s="108" t="n">
        <v>461</v>
      </c>
      <c r="AF180" s="116" t="n">
        <v>0.9295306681870016</v>
      </c>
      <c r="AG180" s="116" t="n">
        <v>0.07046991562143676</v>
      </c>
      <c r="AH180" s="39" t="inlineStr">
        <is>
          <t>satin sheets</t>
        </is>
      </c>
      <c r="AI180" s="116" t="n">
        <v>0.3978563283922463</v>
      </c>
      <c r="AJ180" s="116" t="n"/>
      <c r="AK180" s="116" t="n"/>
      <c r="AL180" s="116" t="n">
        <v>0.01299885974914481</v>
      </c>
      <c r="AM180" s="108" t="n">
        <v>266</v>
      </c>
      <c r="AN180" s="108" t="n">
        <v>182</v>
      </c>
      <c r="AO180" s="108" t="n">
        <v>65</v>
      </c>
      <c r="AP180" s="108" t="n">
        <v>195</v>
      </c>
      <c r="AQ180" s="108" t="n">
        <v>43</v>
      </c>
      <c r="AR180" s="108" t="n">
        <v>20</v>
      </c>
      <c r="AS180" s="117" t="n">
        <v>0.8934169278996865</v>
      </c>
      <c r="AT180" s="112" t="n">
        <v>-0.4259740259740259</v>
      </c>
      <c r="AU180" s="118" t="inlineStr">
        <is>
          <t>Y</t>
        </is>
      </c>
      <c r="AV180" s="118" t="inlineStr">
        <is>
          <t>Typical price</t>
        </is>
      </c>
      <c r="AW180" s="119" t="n">
        <v>26.99</v>
      </c>
      <c r="AX180" s="119" t="n">
        <v>24.99</v>
      </c>
      <c r="AY180" s="118" t="inlineStr">
        <is>
          <t>none</t>
        </is>
      </c>
      <c r="AZ180" s="118" t="inlineStr">
        <is>
          <t>Y</t>
        </is>
      </c>
      <c r="BA180" s="118" t="inlineStr">
        <is>
          <t>2026-10-13 12:12:40</t>
        </is>
      </c>
      <c r="BB180" s="120" t="inlineStr">
        <is>
          <t>Price cut only</t>
        </is>
      </c>
      <c r="BC180" s="120" t="inlineStr">
        <is>
          <t>11-20 to 12-01</t>
        </is>
      </c>
      <c r="BD180" s="121" t="n">
        <v>27.99</v>
      </c>
      <c r="BE180" s="121" t="n">
        <v>22.39</v>
      </c>
      <c r="BF180" s="110">
        <f>IF(AND(ISNUMBER(BD180),ISNUMBER(BE180),N(BD180)&gt;0),1-BE180/BD180,"")</f>
        <v/>
      </c>
      <c r="BG180" s="122" t="n">
        <v>39293</v>
      </c>
      <c r="BH180" s="122" t="n">
        <v>27923</v>
      </c>
      <c r="BI180" s="123">
        <f>IF(AND(ISNUMBER(BG180),ISNUMBER(BH180),N(BH180)&gt;0),BG180/BH180,"")</f>
        <v/>
      </c>
      <c r="BJ180" s="120" t="inlineStr">
        <is>
          <t>N</t>
        </is>
      </c>
      <c r="BK180" s="120" t="inlineStr">
        <is>
          <t>List Price $38.99</t>
        </is>
      </c>
    </row>
    <row r="181" ht="62" customHeight="1">
      <c r="A181" s="12">
        <f>_xlfn.IMAGE("https://m.media-amazon.com/images/I/71kVc8L0urL._AC_SL1500_.jpg")</f>
        <v/>
      </c>
      <c r="B181" s="105" t="inlineStr">
        <is>
          <t>Martex</t>
        </is>
      </c>
      <c r="C181" s="39" t="inlineStr">
        <is>
          <t>Satin Sheets</t>
        </is>
      </c>
      <c r="D181" s="105" t="inlineStr">
        <is>
          <t>Beatable</t>
        </is>
      </c>
      <c r="E181" s="128" t="inlineStr">
        <is>
          <t>Alternative material</t>
        </is>
      </c>
      <c r="F181" s="105" t="inlineStr">
        <is>
          <t>Microfiber / polyester</t>
        </is>
      </c>
      <c r="G181" s="39" t="inlineStr">
        <is>
          <t>Sheet set in Microfiber / polyester (product page material: Polyester); ours is Satin (polyester) (our listing: polyester satin). Shopper may cross-shop, but not like-for-like.</t>
        </is>
      </c>
      <c r="H181" s="107" t="inlineStr">
        <is>
          <t>B0DLGX8P9D</t>
        </is>
      </c>
      <c r="I181" s="107" t="inlineStr">
        <is>
          <t>B07X49LFDC</t>
        </is>
      </c>
      <c r="J181" s="105" t="inlineStr">
        <is>
          <t>Queen</t>
        </is>
      </c>
      <c r="K181" s="105" t="inlineStr">
        <is>
          <t>Pink</t>
        </is>
      </c>
      <c r="L181" s="108" t="n"/>
      <c r="M181" s="39" t="inlineStr"/>
      <c r="N181" s="109" t="n">
        <v>23.34</v>
      </c>
      <c r="O181" s="109" t="n"/>
      <c r="P181" s="110">
        <f>IF(AND(ISNUMBER(O181),ISNUMBER(N181),N(N181)&gt;0),O181/N181-1,"")</f>
        <v/>
      </c>
      <c r="Q181" s="111">
        <f>IF(P181="","No List Price",IF(P181&lt;=0,"At/below price",IF(P181&lt;=0.12,"&lt;=12% STR zone",IF(P181&lt;=0.25,"12-25%","&gt;25% over"))))</f>
        <v/>
      </c>
      <c r="R181" s="109" t="n">
        <v>31.95</v>
      </c>
      <c r="S181" s="112">
        <f>IF(AND(ISNUMBER(N181),ISNUMBER(R181),N(R181)&gt;0),N181/R181-1,"")</f>
        <v/>
      </c>
      <c r="T181" s="39" t="inlineStr">
        <is>
          <t>Same size (Queen). Ours live: catalog price, 2026-10-13; 23 children</t>
        </is>
      </c>
      <c r="U181" s="108" t="n">
        <v>52458</v>
      </c>
      <c r="V181" s="108" t="n">
        <v>5</v>
      </c>
      <c r="W181" s="113">
        <f>IF(AND(ISNUMBER(N181),ISNUMBER(V181)),N181*V181*52/12,"")</f>
        <v/>
      </c>
      <c r="X181" s="114" t="n">
        <v>4.3</v>
      </c>
      <c r="Y181" s="108" t="n">
        <v>2260</v>
      </c>
      <c r="Z181" s="115" t="n">
        <v>46307</v>
      </c>
      <c r="AA181" s="115" t="n"/>
      <c r="AB181" s="105" t="n"/>
      <c r="AC181" s="105" t="n"/>
      <c r="AD181" s="108" t="n"/>
      <c r="AE181" s="108" t="n"/>
      <c r="AF181" s="116" t="n"/>
      <c r="AG181" s="116" t="n"/>
      <c r="AH181" s="39" t="n"/>
      <c r="AI181" s="116" t="n"/>
      <c r="AJ181" s="116" t="n"/>
      <c r="AK181" s="116" t="n"/>
      <c r="AL181" s="116" t="n"/>
      <c r="AM181" s="108" t="n"/>
      <c r="AN181" s="108" t="n"/>
      <c r="AO181" s="108" t="n"/>
      <c r="AP181" s="108" t="n"/>
      <c r="AQ181" s="108" t="n"/>
      <c r="AR181" s="108" t="n"/>
      <c r="AS181" s="117" t="n"/>
      <c r="AT181" s="112" t="n"/>
      <c r="AU181" s="118" t="inlineStr">
        <is>
          <t>Y</t>
        </is>
      </c>
      <c r="AV181" s="118" t="inlineStr">
        <is>
          <t>Typical price</t>
        </is>
      </c>
      <c r="AW181" s="119" t="n">
        <v>26.99</v>
      </c>
      <c r="AX181" s="119" t="n">
        <v>22.99</v>
      </c>
      <c r="AY181" s="118" t="inlineStr">
        <is>
          <t>none</t>
        </is>
      </c>
      <c r="AZ181" s="118" t="inlineStr">
        <is>
          <t>Y</t>
        </is>
      </c>
      <c r="BA181" s="118" t="inlineStr">
        <is>
          <t>2026-10-13 12:13:32</t>
        </is>
      </c>
      <c r="BB181" s="120" t="inlineStr">
        <is>
          <t>None</t>
        </is>
      </c>
      <c r="BC181" s="125" t="n"/>
      <c r="BD181" s="121" t="n">
        <v>23.21</v>
      </c>
      <c r="BE181" s="121" t="n">
        <v>26.99</v>
      </c>
      <c r="BF181" s="110">
        <f>IF(AND(ISNUMBER(BD181),ISNUMBER(BE181),N(BD181)&gt;0),1-BE181/BD181,"")</f>
        <v/>
      </c>
      <c r="BG181" s="122" t="n">
        <v>29868</v>
      </c>
      <c r="BH181" s="122" t="n">
        <v>28928</v>
      </c>
      <c r="BI181" s="123">
        <f>IF(AND(ISNUMBER(BG181),ISNUMBER(BH181),N(BH181)&gt;0),BG181/BH181,"")</f>
        <v/>
      </c>
      <c r="BJ181" s="120" t="inlineStr">
        <is>
          <t>N</t>
        </is>
      </c>
      <c r="BK181" s="120" t="inlineStr">
        <is>
          <t>Buy Box RAISED in BFCM week (median $26.99 vs $23.21 before); List Price $34.99</t>
        </is>
      </c>
    </row>
    <row r="182" ht="62" customHeight="1">
      <c r="A182" s="12">
        <f>_xlfn.IMAGE("https://images-na.ssl-images-amazon.com/images/I/81zMSoUAMJL.jpg")</f>
        <v/>
      </c>
      <c r="B182" s="105" t="inlineStr">
        <is>
          <t>Bedsure</t>
        </is>
      </c>
      <c r="C182" s="39" t="inlineStr">
        <is>
          <t>Satin Sheets</t>
        </is>
      </c>
      <c r="D182" s="105" t="inlineStr">
        <is>
          <t>Poor</t>
        </is>
      </c>
      <c r="E182" s="128" t="inlineStr">
        <is>
          <t>Alternative material</t>
        </is>
      </c>
      <c r="F182" s="105" t="inlineStr">
        <is>
          <t>Microfiber / polyester</t>
        </is>
      </c>
      <c r="G182" s="39" t="inlineStr">
        <is>
          <t>Sheet set in Microfiber / polyester (product page material: Polyester); ours is Satin (polyester) (our listing: polyester satin). Shopper may cross-shop, but not like-for-like.</t>
        </is>
      </c>
      <c r="H182" s="107" t="inlineStr">
        <is>
          <t>B0DCZYNBYS</t>
        </is>
      </c>
      <c r="I182" s="107" t="inlineStr">
        <is>
          <t>B0CJ8RYNTS</t>
        </is>
      </c>
      <c r="J182" s="105" t="inlineStr">
        <is>
          <t>Queen</t>
        </is>
      </c>
      <c r="K182" s="105" t="inlineStr">
        <is>
          <t>02 - Black</t>
        </is>
      </c>
      <c r="L182" s="108" t="n">
        <v>32</v>
      </c>
      <c r="M182" s="39" t="inlineStr">
        <is>
          <t>B0CJ8SSQ6B (37%), B0CJ8RDYQ7 (17%), B0CJ8RYNTS (17%), B0CL4FSC1R (9%), B0CJ8SB44M (7%)</t>
        </is>
      </c>
      <c r="N182" s="109" t="n">
        <v>19.99</v>
      </c>
      <c r="O182" s="109" t="n"/>
      <c r="P182" s="110">
        <f>IF(AND(ISNUMBER(O182),ISNUMBER(N182),N(N182)&gt;0),O182/N182-1,"")</f>
        <v/>
      </c>
      <c r="Q182" s="111">
        <f>IF(P182="","No List Price",IF(P182&lt;=0,"At/below price",IF(P182&lt;=0.12,"&lt;=12% STR zone",IF(P182&lt;=0.25,"12-25%","&gt;25% over"))))</f>
        <v/>
      </c>
      <c r="R182" s="109" t="n">
        <v>31.95</v>
      </c>
      <c r="S182" s="112">
        <f>IF(AND(ISNUMBER(N182),ISNUMBER(R182),N(R182)&gt;0),N182/R182-1,"")</f>
        <v/>
      </c>
      <c r="T182" s="39" t="inlineStr">
        <is>
          <t>Same size (Queen). Ours live: catalog price, 2026-10-13; 23 children</t>
        </is>
      </c>
      <c r="U182" s="108" t="n">
        <v>22342</v>
      </c>
      <c r="V182" s="108" t="n">
        <v>92</v>
      </c>
      <c r="W182" s="113">
        <f>IF(AND(ISNUMBER(N182),ISNUMBER(V182)),N182*V182*52/12,"")</f>
        <v/>
      </c>
      <c r="X182" s="114" t="n">
        <v>4.3</v>
      </c>
      <c r="Y182" s="108" t="n">
        <v>2745</v>
      </c>
      <c r="Z182" s="115" t="n">
        <v>46307</v>
      </c>
      <c r="AA182" s="115" t="n"/>
      <c r="AB182" s="105" t="n"/>
      <c r="AC182" s="105" t="n"/>
      <c r="AD182" s="108" t="n">
        <v>89691</v>
      </c>
      <c r="AE182" s="108" t="n">
        <v>1094</v>
      </c>
      <c r="AF182" s="116" t="n">
        <v>0.6850140036347012</v>
      </c>
      <c r="AG182" s="116" t="n">
        <v>0.3149859963652986</v>
      </c>
      <c r="AH182" s="39" t="inlineStr">
        <is>
          <t>satin sheets</t>
        </is>
      </c>
      <c r="AI182" s="116" t="n">
        <v>0.7987311993399561</v>
      </c>
      <c r="AJ182" s="116" t="n">
        <v>0.4455742493672721</v>
      </c>
      <c r="AK182" s="116" t="n"/>
      <c r="AL182" s="116" t="n">
        <v>0.011428125452944</v>
      </c>
      <c r="AM182" s="108" t="n">
        <v>552</v>
      </c>
      <c r="AN182" s="108" t="n">
        <v>263</v>
      </c>
      <c r="AO182" s="108" t="n">
        <v>213</v>
      </c>
      <c r="AP182" s="108" t="n">
        <v>542</v>
      </c>
      <c r="AQ182" s="108" t="n">
        <v>140</v>
      </c>
      <c r="AR182" s="108" t="n">
        <v>43</v>
      </c>
      <c r="AS182" s="117" t="n">
        <v>1.528846153846154</v>
      </c>
      <c r="AT182" s="112" t="n">
        <v>0.1557377049180328</v>
      </c>
      <c r="AU182" s="118" t="inlineStr">
        <is>
          <t>N</t>
        </is>
      </c>
      <c r="AV182" s="118" t="inlineStr">
        <is>
          <t>none</t>
        </is>
      </c>
      <c r="AW182" s="124" t="n"/>
      <c r="AX182" s="119" t="n">
        <v>19.99</v>
      </c>
      <c r="AY182" s="118" t="inlineStr">
        <is>
          <t>none</t>
        </is>
      </c>
      <c r="AZ182" s="118" t="inlineStr">
        <is>
          <t>Y</t>
        </is>
      </c>
      <c r="BA182" s="118" t="inlineStr">
        <is>
          <t>2026-10-13 12:12:37</t>
        </is>
      </c>
      <c r="BB182" s="120" t="inlineStr">
        <is>
          <t>Prime Exclusive Discount</t>
        </is>
      </c>
      <c r="BC182" s="120" t="inlineStr">
        <is>
          <t>11-08 to 12-04</t>
        </is>
      </c>
      <c r="BD182" s="121" t="n">
        <v>22.39</v>
      </c>
      <c r="BE182" s="121" t="n">
        <v>20.99</v>
      </c>
      <c r="BF182" s="110">
        <f>IF(AND(ISNUMBER(BD182),ISNUMBER(BE182),N(BD182)&gt;0),1-BE182/BD182,"")</f>
        <v/>
      </c>
      <c r="BG182" s="122" t="n">
        <v>4549</v>
      </c>
      <c r="BH182" s="122" t="n">
        <v>5323</v>
      </c>
      <c r="BI182" s="123">
        <f>IF(AND(ISNUMBER(BG182),ISNUMBER(BH182),N(BH182)&gt;0),BG182/BH182,"")</f>
        <v/>
      </c>
      <c r="BJ182" s="120" t="inlineStr">
        <is>
          <t>N</t>
        </is>
      </c>
      <c r="BK182" s="120" t="inlineStr">
        <is>
          <t>Prime Exclusive already running before BFCM week; Buy Box RAISED in BFCM week (median $28.99 vs $24.99 before); List Price $44.99</t>
        </is>
      </c>
    </row>
    <row r="183" ht="62" customHeight="1">
      <c r="A183" s="12">
        <f>_xlfn.IMAGE("https://images-na.ssl-images-amazon.com/images/I/71r48b+Sh9L.jpg")</f>
        <v/>
      </c>
      <c r="B183" s="105" t="inlineStr">
        <is>
          <t>GOLAL</t>
        </is>
      </c>
      <c r="C183" s="39" t="inlineStr">
        <is>
          <t>GOLAL Satin Sheets Full Size - 4 Pieces Luxury Silky Soft Bed Sheets, Wrinkle-Free Black Satin Silk Sheet Set with 1 Deep Pocket Fitted Sheet, 1 Flat Sheet, 2 Pillow Cases</t>
        </is>
      </c>
      <c r="D183" s="105" t="inlineStr">
        <is>
          <t>Poor</t>
        </is>
      </c>
      <c r="E183" s="128" t="inlineStr">
        <is>
          <t>Alternative material</t>
        </is>
      </c>
      <c r="F183" s="105" t="inlineStr">
        <is>
          <t>Silk</t>
        </is>
      </c>
      <c r="G183" s="39" t="inlineStr">
        <is>
          <t>Sheet set in Silk (title: GOLAL Satin Sheets Full Size - 4 Pieces Luxury Silky Soft Be); ours is Satin (polyester) (our listing: polyester satin). Shopper may cross-shop, but not like-for-like.</t>
        </is>
      </c>
      <c r="H183" s="107" t="inlineStr">
        <is>
          <t>B0B1Q2JG5X</t>
        </is>
      </c>
      <c r="I183" s="107" t="inlineStr">
        <is>
          <t>B09G17SQXF</t>
        </is>
      </c>
      <c r="J183" s="105" t="inlineStr">
        <is>
          <t>Full</t>
        </is>
      </c>
      <c r="K183" s="105" t="inlineStr">
        <is>
          <t>Black</t>
        </is>
      </c>
      <c r="L183" s="108" t="n">
        <v>94</v>
      </c>
      <c r="M183" s="39" t="inlineStr">
        <is>
          <t>B09G17XZC5 (35%), B09G17SQXF (27%), B09G18ZJ9S (10%), B09G18GFJL (10%)</t>
        </is>
      </c>
      <c r="N183" s="109" t="n">
        <v>21.99</v>
      </c>
      <c r="O183" s="109" t="n"/>
      <c r="P183" s="110">
        <f>IF(AND(ISNUMBER(O183),ISNUMBER(N183),N(N183)&gt;0),O183/N183-1,"")</f>
        <v/>
      </c>
      <c r="Q183" s="111">
        <f>IF(P183="","No List Price",IF(P183&lt;=0,"At/below price",IF(P183&lt;=0.12,"&lt;=12% STR zone",IF(P183&lt;=0.25,"12-25%","&gt;25% over"))))</f>
        <v/>
      </c>
      <c r="R183" s="109" t="n">
        <v>29.95</v>
      </c>
      <c r="S183" s="112">
        <f>IF(AND(ISNUMBER(N183),ISNUMBER(R183),N(R183)&gt;0),N183/R183-1,"")</f>
        <v/>
      </c>
      <c r="T183" s="39" t="inlineStr">
        <is>
          <t>Same size (Full). Ours live: catalog price, 2026-10-13; 27 children</t>
        </is>
      </c>
      <c r="U183" s="108" t="n">
        <v>132024</v>
      </c>
      <c r="V183" s="108" t="n">
        <v>81</v>
      </c>
      <c r="W183" s="113">
        <f>IF(AND(ISNUMBER(N183),ISNUMBER(V183)),N183*V183*52/12,"")</f>
        <v/>
      </c>
      <c r="X183" s="114" t="n">
        <v>4.4</v>
      </c>
      <c r="Y183" s="108" t="n">
        <v>3943</v>
      </c>
      <c r="Z183" s="115" t="n">
        <v>46307</v>
      </c>
      <c r="AA183" s="115" t="n">
        <v>44451</v>
      </c>
      <c r="AB183" s="105" t="inlineStr">
        <is>
          <t>FBA</t>
        </is>
      </c>
      <c r="AC183" s="105" t="inlineStr">
        <is>
          <t>CN</t>
        </is>
      </c>
      <c r="AD183" s="108" t="n">
        <v>48561</v>
      </c>
      <c r="AE183" s="108" t="n">
        <v>615</v>
      </c>
      <c r="AF183" s="116" t="n">
        <v>0.6641788183933609</v>
      </c>
      <c r="AG183" s="116" t="n">
        <v>0.3358211816066392</v>
      </c>
      <c r="AH183" s="39" t="inlineStr">
        <is>
          <t>satin sheets queen size</t>
        </is>
      </c>
      <c r="AI183" s="116" t="n">
        <v>0.6905747410473425</v>
      </c>
      <c r="AJ183" s="116" t="n">
        <v>0.432960606247812</v>
      </c>
      <c r="AK183" s="116" t="n"/>
      <c r="AL183" s="116" t="n">
        <v>0.005930685117687033</v>
      </c>
      <c r="AM183" s="108" t="n">
        <v>394</v>
      </c>
      <c r="AN183" s="108" t="n">
        <v>236</v>
      </c>
      <c r="AO183" s="108" t="n">
        <v>121</v>
      </c>
      <c r="AP183" s="108" t="n">
        <v>221</v>
      </c>
      <c r="AQ183" s="108" t="n">
        <v>21</v>
      </c>
      <c r="AR183" s="108" t="n">
        <v>37</v>
      </c>
      <c r="AS183" s="117" t="n">
        <v>0.8779220779220779</v>
      </c>
      <c r="AT183" s="112" t="n">
        <v>0.803921568627451</v>
      </c>
      <c r="AU183" s="118" t="inlineStr">
        <is>
          <t>N</t>
        </is>
      </c>
      <c r="AV183" s="118" t="inlineStr">
        <is>
          <t>none</t>
        </is>
      </c>
      <c r="AW183" s="124" t="n"/>
      <c r="AX183" s="119" t="n">
        <v>21.99</v>
      </c>
      <c r="AY183" s="118" t="inlineStr">
        <is>
          <t>none</t>
        </is>
      </c>
      <c r="AZ183" s="118" t="inlineStr">
        <is>
          <t>Y</t>
        </is>
      </c>
      <c r="BA183" s="118" t="inlineStr">
        <is>
          <t>2026-10-13 12:12:50</t>
        </is>
      </c>
      <c r="BB183" s="120" t="inlineStr">
        <is>
          <t>Prime Exclusive Discount</t>
        </is>
      </c>
      <c r="BC183" s="120" t="inlineStr">
        <is>
          <t>11-27 to 11-27</t>
        </is>
      </c>
      <c r="BD183" s="121" t="n">
        <v>16.05</v>
      </c>
      <c r="BE183" s="121" t="n">
        <v>17.59</v>
      </c>
      <c r="BF183" s="110">
        <f>IF(AND(ISNUMBER(BD183),ISNUMBER(BE183),N(BD183)&gt;0),1-BE183/BD183,"")</f>
        <v/>
      </c>
      <c r="BG183" s="122" t="n">
        <v>5577</v>
      </c>
      <c r="BH183" s="122" t="n">
        <v>12758</v>
      </c>
      <c r="BI183" s="123">
        <f>IF(AND(ISNUMBER(BG183),ISNUMBER(BH183),N(BH183)&gt;0),BG183/BH183,"")</f>
        <v/>
      </c>
      <c r="BJ183" s="120" t="inlineStr">
        <is>
          <t>N</t>
        </is>
      </c>
      <c r="BK183" s="120" t="inlineStr">
        <is>
          <t>Coupon 10%, 5% (11-01 to 12-05); Buy Box RAISED in BFCM week (median $21.99 vs $16.05 before); List Price $24.99</t>
        </is>
      </c>
    </row>
    <row r="184" ht="62" customHeight="1">
      <c r="A184" s="12">
        <f>_xlfn.IMAGE("https://m.media-amazon.com/images/I/71HVTciZ9oL._AC_SL1500_.jpg")</f>
        <v/>
      </c>
      <c r="B184" s="105" t="inlineStr">
        <is>
          <t>Vonty</t>
        </is>
      </c>
      <c r="C184" s="39" t="inlineStr">
        <is>
          <t>Satin Sheets</t>
        </is>
      </c>
      <c r="D184" s="105" t="inlineStr">
        <is>
          <t>Poor</t>
        </is>
      </c>
      <c r="E184" s="128" t="inlineStr">
        <is>
          <t>Alternative material</t>
        </is>
      </c>
      <c r="F184" s="105" t="inlineStr">
        <is>
          <t>Microfiber / polyester</t>
        </is>
      </c>
      <c r="G184" s="39" t="inlineStr">
        <is>
          <t>Sheet set in Microfiber / polyester (product page material: Polyester); ours is Satin (polyester) (our listing: polyester satin). Shopper may cross-shop, but not like-for-like.</t>
        </is>
      </c>
      <c r="H184" s="107" t="inlineStr">
        <is>
          <t>B0BDDJM9RW</t>
        </is>
      </c>
      <c r="I184" s="107" t="inlineStr">
        <is>
          <t>B0BDDGJ38X</t>
        </is>
      </c>
      <c r="J184" s="105" t="inlineStr">
        <is>
          <t>King - Extra Deep Pocket</t>
        </is>
      </c>
      <c r="K184" s="105" t="inlineStr">
        <is>
          <t>Black</t>
        </is>
      </c>
      <c r="L184" s="108" t="n">
        <v>22</v>
      </c>
      <c r="M184" s="39" t="inlineStr">
        <is>
          <t>B0BDDGJ38X (81%)</t>
        </is>
      </c>
      <c r="N184" s="109" t="n">
        <v>30.99</v>
      </c>
      <c r="O184" s="109" t="n"/>
      <c r="P184" s="110">
        <f>IF(AND(ISNUMBER(O184),ISNUMBER(N184),N(N184)&gt;0),O184/N184-1,"")</f>
        <v/>
      </c>
      <c r="Q184" s="111">
        <f>IF(P184="","No List Price",IF(P184&lt;=0,"At/below price",IF(P184&lt;=0.12,"&lt;=12% STR zone",IF(P184&lt;=0.25,"12-25%","&gt;25% over"))))</f>
        <v/>
      </c>
      <c r="R184" s="109" t="n">
        <v>33.95</v>
      </c>
      <c r="S184" s="112">
        <f>IF(AND(ISNUMBER(N184),ISNUMBER(R184),N(R184)&gt;0),N184/R184-1,"")</f>
        <v/>
      </c>
      <c r="T184" s="39" t="inlineStr">
        <is>
          <t>Same size (King). Ours live: catalog price, 2026-10-13; 20 children</t>
        </is>
      </c>
      <c r="U184" s="108" t="n">
        <v>83620</v>
      </c>
      <c r="V184" s="108" t="n">
        <v>35</v>
      </c>
      <c r="W184" s="113">
        <f>IF(AND(ISNUMBER(N184),ISNUMBER(V184)),N184*V184*52/12,"")</f>
        <v/>
      </c>
      <c r="X184" s="114" t="n">
        <v>4.2</v>
      </c>
      <c r="Y184" s="108" t="n">
        <v>909</v>
      </c>
      <c r="Z184" s="115" t="n">
        <v>46307</v>
      </c>
      <c r="AA184" s="115" t="n"/>
      <c r="AB184" s="105" t="n"/>
      <c r="AC184" s="105" t="n"/>
      <c r="AD184" s="108" t="n">
        <v>11441</v>
      </c>
      <c r="AE184" s="108" t="n">
        <v>382</v>
      </c>
      <c r="AF184" s="116" t="n">
        <v>0.9484301110042829</v>
      </c>
      <c r="AG184" s="116" t="n">
        <v>0.05156988899571716</v>
      </c>
      <c r="AH184" s="39" t="inlineStr">
        <is>
          <t>silk sheets</t>
        </is>
      </c>
      <c r="AI184" s="116" t="n">
        <v>0.06502928065728521</v>
      </c>
      <c r="AJ184" s="116" t="n"/>
      <c r="AK184" s="116" t="n"/>
      <c r="AL184" s="116" t="n"/>
      <c r="AM184" s="108" t="n">
        <v>236</v>
      </c>
      <c r="AN184" s="108" t="n">
        <v>180</v>
      </c>
      <c r="AO184" s="108" t="n">
        <v>38</v>
      </c>
      <c r="AP184" s="108" t="n">
        <v>146</v>
      </c>
      <c r="AQ184" s="108" t="n">
        <v>13</v>
      </c>
      <c r="AR184" s="108" t="n">
        <v>1</v>
      </c>
      <c r="AS184" s="117" t="n">
        <v>0.9861111111111112</v>
      </c>
      <c r="AT184" s="112" t="n">
        <v>0.4680851063829787</v>
      </c>
      <c r="AU184" s="118" t="inlineStr">
        <is>
          <t>N</t>
        </is>
      </c>
      <c r="AV184" s="118" t="inlineStr">
        <is>
          <t>none</t>
        </is>
      </c>
      <c r="AW184" s="124" t="n"/>
      <c r="AX184" s="119" t="n">
        <v>30.99</v>
      </c>
      <c r="AY184" s="118" t="inlineStr">
        <is>
          <t>none</t>
        </is>
      </c>
      <c r="AZ184" s="118" t="inlineStr">
        <is>
          <t>Y</t>
        </is>
      </c>
      <c r="BA184" s="118" t="inlineStr">
        <is>
          <t>2026-10-13 23:44:43</t>
        </is>
      </c>
      <c r="BB184" s="120" t="inlineStr">
        <is>
          <t>Prime Exclusive Discount</t>
        </is>
      </c>
      <c r="BC184" s="120" t="inlineStr">
        <is>
          <t>11-21 to 12-01</t>
        </is>
      </c>
      <c r="BD184" s="121" t="n">
        <v>30.99</v>
      </c>
      <c r="BE184" s="121" t="n">
        <v>25.79</v>
      </c>
      <c r="BF184" s="110">
        <f>IF(AND(ISNUMBER(BD184),ISNUMBER(BE184),N(BD184)&gt;0),1-BE184/BD184,"")</f>
        <v/>
      </c>
      <c r="BG184" s="122" t="n">
        <v>88328</v>
      </c>
      <c r="BH184" s="122" t="n">
        <v>82798</v>
      </c>
      <c r="BI184" s="123">
        <f>IF(AND(ISNUMBER(BG184),ISNUMBER(BH184),N(BH184)&gt;0),BG184/BH184,"")</f>
        <v/>
      </c>
      <c r="BJ184" s="120" t="inlineStr">
        <is>
          <t>N</t>
        </is>
      </c>
      <c r="BK184" s="120" t="inlineStr">
        <is>
          <t>Buy Box RAISED in BFCM week (median $42.99 vs $30.99 before); List Price $49.99</t>
        </is>
      </c>
    </row>
    <row r="185" ht="62" customHeight="1">
      <c r="A185" s="12">
        <f>_xlfn.IMAGE("https://images-na.ssl-images-amazon.com/images/I/81HS7e6wrTL.jpg")</f>
        <v/>
      </c>
      <c r="B185" s="105" t="inlineStr">
        <is>
          <t>Madison Park</t>
        </is>
      </c>
      <c r="C185" s="39" t="inlineStr">
        <is>
          <t>Satin Sheets</t>
        </is>
      </c>
      <c r="D185" s="105" t="inlineStr">
        <is>
          <t>Poor</t>
        </is>
      </c>
      <c r="E185" s="128" t="inlineStr">
        <is>
          <t>Alternative material</t>
        </is>
      </c>
      <c r="F185" s="105" t="inlineStr">
        <is>
          <t>Microfiber / polyester</t>
        </is>
      </c>
      <c r="G185" s="39" t="inlineStr">
        <is>
          <t>Sheet set in Microfiber / polyester (product page material: Polyester); ours is Satin (polyester) (our listing: polyester satin). Shopper may cross-shop, but not like-for-like.</t>
        </is>
      </c>
      <c r="H185" s="107" t="inlineStr">
        <is>
          <t>B0DJ2HJ9M4</t>
        </is>
      </c>
      <c r="I185" s="107" t="inlineStr">
        <is>
          <t>B09HVCPNLX</t>
        </is>
      </c>
      <c r="J185" s="105" t="inlineStr">
        <is>
          <t>Queen</t>
        </is>
      </c>
      <c r="K185" s="105" t="inlineStr">
        <is>
          <t>Ivory</t>
        </is>
      </c>
      <c r="L185" s="108" t="n">
        <v>44</v>
      </c>
      <c r="M185" s="39" t="inlineStr">
        <is>
          <t>B0C5CG12M2 (27%), B09HVCPNLX (24%), B0C25NTWCM (18%), B09HVDQ982 (9%), B0DDQ6PNMP (7%)</t>
        </is>
      </c>
      <c r="N185" s="109" t="n">
        <v>26.99</v>
      </c>
      <c r="O185" s="109" t="n"/>
      <c r="P185" s="110">
        <f>IF(AND(ISNUMBER(O185),ISNUMBER(N185),N(N185)&gt;0),O185/N185-1,"")</f>
        <v/>
      </c>
      <c r="Q185" s="111">
        <f>IF(P185="","No List Price",IF(P185&lt;=0,"At/below price",IF(P185&lt;=0.12,"&lt;=12% STR zone",IF(P185&lt;=0.25,"12-25%","&gt;25% over"))))</f>
        <v/>
      </c>
      <c r="R185" s="109" t="n">
        <v>31.95</v>
      </c>
      <c r="S185" s="112">
        <f>IF(AND(ISNUMBER(N185),ISNUMBER(R185),N(R185)&gt;0),N185/R185-1,"")</f>
        <v/>
      </c>
      <c r="T185" s="39" t="inlineStr">
        <is>
          <t>Same size (Queen). Ours live: catalog price, 2026-10-13; 23 children</t>
        </is>
      </c>
      <c r="U185" s="108" t="n">
        <v>76753</v>
      </c>
      <c r="V185" s="108" t="n">
        <v>18</v>
      </c>
      <c r="W185" s="113">
        <f>IF(AND(ISNUMBER(N185),ISNUMBER(V185)),N185*V185*52/12,"")</f>
        <v/>
      </c>
      <c r="X185" s="114" t="n">
        <v>4.5</v>
      </c>
      <c r="Y185" s="108" t="n">
        <v>127</v>
      </c>
      <c r="Z185" s="115" t="n">
        <v>46307</v>
      </c>
      <c r="AA185" s="115" t="n"/>
      <c r="AB185" s="105" t="n"/>
      <c r="AC185" s="105" t="n"/>
      <c r="AD185" s="108" t="n">
        <v>35631</v>
      </c>
      <c r="AE185" s="108" t="n">
        <v>592</v>
      </c>
      <c r="AF185" s="116" t="n">
        <v>0.9497345738261626</v>
      </c>
      <c r="AG185" s="116" t="n">
        <v>0.05026542617383739</v>
      </c>
      <c r="AH185" s="39" t="inlineStr">
        <is>
          <t>satin sheets</t>
        </is>
      </c>
      <c r="AI185" s="116" t="n">
        <v>0.305408211950268</v>
      </c>
      <c r="AJ185" s="116" t="n"/>
      <c r="AK185" s="116" t="n"/>
      <c r="AL185" s="116" t="n">
        <v>0</v>
      </c>
      <c r="AM185" s="108" t="n">
        <v>308</v>
      </c>
      <c r="AN185" s="108" t="n">
        <v>188</v>
      </c>
      <c r="AO185" s="108" t="n">
        <v>84</v>
      </c>
      <c r="AP185" s="108" t="n">
        <v>284</v>
      </c>
      <c r="AQ185" s="108" t="n">
        <v>13</v>
      </c>
      <c r="AR185" s="108" t="n">
        <v>7</v>
      </c>
      <c r="AS185" s="117" t="n">
        <v>0.6901408450704226</v>
      </c>
      <c r="AT185" s="112" t="n">
        <v>0.1848341232227488</v>
      </c>
      <c r="AU185" s="118" t="inlineStr">
        <is>
          <t>N</t>
        </is>
      </c>
      <c r="AV185" s="118" t="inlineStr">
        <is>
          <t>none</t>
        </is>
      </c>
      <c r="AW185" s="124" t="n"/>
      <c r="AX185" s="119" t="n">
        <v>26.99</v>
      </c>
      <c r="AY185" s="118" t="inlineStr">
        <is>
          <t>none</t>
        </is>
      </c>
      <c r="AZ185" s="118" t="inlineStr">
        <is>
          <t>Y</t>
        </is>
      </c>
      <c r="BA185" s="118" t="inlineStr">
        <is>
          <t>2026-10-13 12:13:26</t>
        </is>
      </c>
      <c r="BB185" s="120" t="inlineStr">
        <is>
          <t>None</t>
        </is>
      </c>
      <c r="BC185" s="125" t="n"/>
      <c r="BD185" s="121" t="n">
        <v>30.99</v>
      </c>
      <c r="BE185" s="121" t="n">
        <v>30.99</v>
      </c>
      <c r="BF185" s="110">
        <f>IF(AND(ISNUMBER(BD185),ISNUMBER(BE185),N(BD185)&gt;0),1-BE185/BD185,"")</f>
        <v/>
      </c>
      <c r="BG185" s="122" t="n">
        <v>38276</v>
      </c>
      <c r="BH185" s="122" t="n">
        <v>39554</v>
      </c>
      <c r="BI185" s="123">
        <f>IF(AND(ISNUMBER(BG185),ISNUMBER(BH185),N(BH185)&gt;0),BG185/BH185,"")</f>
        <v/>
      </c>
      <c r="BJ185" s="120" t="inlineStr">
        <is>
          <t>N</t>
        </is>
      </c>
      <c r="BK185" s="120" t="inlineStr">
        <is>
          <t>List Price $35.99</t>
        </is>
      </c>
    </row>
    <row r="186" ht="62" customHeight="1">
      <c r="A186" s="12">
        <f>_xlfn.IMAGE("https://images-na.ssl-images-amazon.com/images/I/81M3kmoCTLL.jpg")</f>
        <v/>
      </c>
      <c r="B186" s="105" t="inlineStr">
        <is>
          <t>Juicy Couture</t>
        </is>
      </c>
      <c r="C186" s="39" t="inlineStr">
        <is>
          <t>Juicy Couture Queen Size Satin Bed Sheet Set, Deep Pocket Silky Satin Queen Shee</t>
        </is>
      </c>
      <c r="D186" s="105" t="inlineStr">
        <is>
          <t>Poor</t>
        </is>
      </c>
      <c r="E186" s="128" t="inlineStr">
        <is>
          <t>Alternative material</t>
        </is>
      </c>
      <c r="F186" s="105" t="inlineStr">
        <is>
          <t>Microfiber / polyester</t>
        </is>
      </c>
      <c r="G186" s="39" t="inlineStr">
        <is>
          <t>Sheet set in Microfiber / polyester (product page material: Polyester); ours is Satin (polyester) (our listing: polyester satin). Shopper may cross-shop, but not like-for-like.</t>
        </is>
      </c>
      <c r="H186" s="107" t="inlineStr">
        <is>
          <t>B0FB47M9WR</t>
        </is>
      </c>
      <c r="I186" s="107" t="inlineStr">
        <is>
          <t>B0BK1WH383</t>
        </is>
      </c>
      <c r="J186" s="105" t="inlineStr">
        <is>
          <t>Standard Pillowcases - 2 Piece Set</t>
        </is>
      </c>
      <c r="K186" s="105" t="inlineStr">
        <is>
          <t>Pink</t>
        </is>
      </c>
      <c r="L186" s="108" t="n">
        <v>58</v>
      </c>
      <c r="M186" s="39" t="inlineStr">
        <is>
          <t>B09NP86NP2 (22%), B0DKYVPBLR (21%), B0BK1WRYR5 (11%), B09NP9WVDR (11%), B0F3KT7FWM (8%)</t>
        </is>
      </c>
      <c r="N186" s="109" t="n">
        <v>5.93</v>
      </c>
      <c r="O186" s="109" t="n"/>
      <c r="P186" s="110">
        <f>IF(AND(ISNUMBER(O186),ISNUMBER(N186),N(N186)&gt;0),O186/N186-1,"")</f>
        <v/>
      </c>
      <c r="Q186" s="111">
        <f>IF(P186="","No List Price",IF(P186&lt;=0,"At/below price",IF(P186&lt;=0.12,"&lt;=12% STR zone",IF(P186&lt;=0.25,"12-25%","&gt;25% over"))))</f>
        <v/>
      </c>
      <c r="R186" s="109" t="n">
        <v>32.03724980901451</v>
      </c>
      <c r="S186" s="112">
        <f>IF(AND(ISNUMBER(N186),ISNUMBER(R186),N(R186)&gt;0),N186/R186-1,"")</f>
        <v/>
      </c>
      <c r="T186" s="39" t="inlineStr">
        <is>
          <t>vs our blended price (market data, Mar 2026 - STALE)</t>
        </is>
      </c>
      <c r="U186" s="108" t="n">
        <v>80060</v>
      </c>
      <c r="V186" s="108" t="n">
        <v>5</v>
      </c>
      <c r="W186" s="113">
        <f>IF(AND(ISNUMBER(N186),ISNUMBER(V186)),N186*V186*52/12,"")</f>
        <v/>
      </c>
      <c r="X186" s="114" t="n">
        <v>4.6</v>
      </c>
      <c r="Y186" s="108" t="n">
        <v>46</v>
      </c>
      <c r="Z186" s="115" t="n">
        <v>46307</v>
      </c>
      <c r="AA186" s="115" t="n"/>
      <c r="AB186" s="105" t="n"/>
      <c r="AC186" s="105" t="n"/>
      <c r="AD186" s="108" t="n">
        <v>41904</v>
      </c>
      <c r="AE186" s="108" t="n">
        <v>827</v>
      </c>
      <c r="AF186" s="116" t="n">
        <v>0.8273237471363115</v>
      </c>
      <c r="AG186" s="116" t="n">
        <v>0.1726766346888126</v>
      </c>
      <c r="AH186" s="39" t="inlineStr">
        <is>
          <t>juicy couture</t>
        </is>
      </c>
      <c r="AI186" s="116" t="n">
        <v>0.1212533409698358</v>
      </c>
      <c r="AJ186" s="116" t="n">
        <v>0.1026870943108057</v>
      </c>
      <c r="AK186" s="116" t="n">
        <v>0.5394234440626193</v>
      </c>
      <c r="AL186" s="116" t="n">
        <v>0.09507445589919816</v>
      </c>
      <c r="AM186" s="108" t="n">
        <v>368</v>
      </c>
      <c r="AN186" s="108" t="n">
        <v>225</v>
      </c>
      <c r="AO186" s="108" t="n">
        <v>113</v>
      </c>
      <c r="AP186" s="108" t="n">
        <v>459</v>
      </c>
      <c r="AQ186" s="108" t="n">
        <v>124</v>
      </c>
      <c r="AR186" s="108" t="n">
        <v>17</v>
      </c>
      <c r="AS186" s="117" t="n"/>
      <c r="AT186" s="112" t="n"/>
      <c r="AU186" s="118" t="inlineStr">
        <is>
          <t>N</t>
        </is>
      </c>
      <c r="AV186" s="118" t="inlineStr">
        <is>
          <t>none</t>
        </is>
      </c>
      <c r="AW186" s="124" t="n"/>
      <c r="AX186" s="124" t="n"/>
      <c r="AY186" s="118" t="inlineStr">
        <is>
          <t>none</t>
        </is>
      </c>
      <c r="AZ186" s="118" t="inlineStr">
        <is>
          <t>N</t>
        </is>
      </c>
      <c r="BA186" s="118" t="inlineStr">
        <is>
          <t>2026-10-13 12:12:23</t>
        </is>
      </c>
      <c r="BB186" s="125" t="n"/>
      <c r="BC186" s="125" t="n"/>
      <c r="BD186" s="124" t="n"/>
      <c r="BE186" s="124" t="n"/>
      <c r="BF186" s="110">
        <f>IF(AND(ISNUMBER(BD186),ISNUMBER(BE186),N(BD186)&gt;0),1-BE186/BD186,"")</f>
        <v/>
      </c>
      <c r="BG186" s="122" t="n">
        <v>54981</v>
      </c>
      <c r="BH186" s="122" t="n">
        <v>50922</v>
      </c>
      <c r="BI186" s="123">
        <f>IF(AND(ISNUMBER(BG186),ISNUMBER(BH186),N(BH186)&gt;0),BG186/BH186,"")</f>
        <v/>
      </c>
      <c r="BJ186" s="120" t="inlineStr">
        <is>
          <t>Y</t>
        </is>
      </c>
      <c r="BK186" s="120" t="inlineStr">
        <is>
          <t>No Buy Box history in price history for BFCM 2025; List Price $19.99</t>
        </is>
      </c>
    </row>
    <row r="187" ht="62" customHeight="1">
      <c r="A187" s="12">
        <f>_xlfn.IMAGE("https://images-na.ssl-images-amazon.com/images/I/71MADUOjsFL.jpg")</f>
        <v/>
      </c>
      <c r="B187" s="105" t="inlineStr">
        <is>
          <t>Sasttie</t>
        </is>
      </c>
      <c r="C187" s="39" t="inlineStr">
        <is>
          <t>Sasttie Satin Sheets Queen Size - 4 Pieces Luxury Soft Black Silky Bed Sheets Set with Pillowcases - Smooth Silk-Like Satin Fabric, Reinforced 14 Inches Pocket, Oeko-Tex Certified</t>
        </is>
      </c>
      <c r="D187" s="105" t="inlineStr">
        <is>
          <t>Untiered</t>
        </is>
      </c>
      <c r="E187" s="128" t="inlineStr">
        <is>
          <t>Alternative material</t>
        </is>
      </c>
      <c r="F187" s="105" t="inlineStr">
        <is>
          <t>Silk</t>
        </is>
      </c>
      <c r="G187" s="39" t="inlineStr">
        <is>
          <t>Sheet set in Silk (title: Sasttie Satin Sheets Queen Size - 4 Pieces Luxury Soft Black); ours is Satin (polyester) (our listing: polyester satin). Shopper may cross-shop, but not like-for-like.</t>
        </is>
      </c>
      <c r="H187" s="107" t="inlineStr">
        <is>
          <t>B0F2H9HX69</t>
        </is>
      </c>
      <c r="I187" s="107" t="inlineStr">
        <is>
          <t>B0F2H8LPB3</t>
        </is>
      </c>
      <c r="J187" s="105" t="inlineStr">
        <is>
          <t>Queen</t>
        </is>
      </c>
      <c r="K187" s="105" t="inlineStr">
        <is>
          <t>Black</t>
        </is>
      </c>
      <c r="L187" s="108" t="n">
        <v>47</v>
      </c>
      <c r="M187" s="39" t="inlineStr">
        <is>
          <t>B0F2H8LPB3 (57%), B0F2H92RZ5 (13%), B0F2H9HRJJ (11%)</t>
        </is>
      </c>
      <c r="N187" s="109" t="n">
        <v>15.99</v>
      </c>
      <c r="O187" s="109" t="n"/>
      <c r="P187" s="110">
        <f>IF(AND(ISNUMBER(O187),ISNUMBER(N187),N(N187)&gt;0),O187/N187-1,"")</f>
        <v/>
      </c>
      <c r="Q187" s="111">
        <f>IF(P187="","No List Price",IF(P187&lt;=0,"At/below price",IF(P187&lt;=0.12,"&lt;=12% STR zone",IF(P187&lt;=0.25,"12-25%","&gt;25% over"))))</f>
        <v/>
      </c>
      <c r="R187" s="109" t="n">
        <v>31.95</v>
      </c>
      <c r="S187" s="112">
        <f>IF(AND(ISNUMBER(N187),ISNUMBER(R187),N(R187)&gt;0),N187/R187-1,"")</f>
        <v/>
      </c>
      <c r="T187" s="39" t="inlineStr">
        <is>
          <t>Same size (Queen). Ours live: catalog price, 2026-10-13; 23 children</t>
        </is>
      </c>
      <c r="U187" s="108" t="n">
        <v>58723</v>
      </c>
      <c r="V187" s="108" t="n">
        <v>35</v>
      </c>
      <c r="W187" s="113">
        <f>IF(AND(ISNUMBER(N187),ISNUMBER(V187)),N187*V187*52/12,"")</f>
        <v/>
      </c>
      <c r="X187" s="114" t="n">
        <v>4.5</v>
      </c>
      <c r="Y187" s="108" t="n">
        <v>968</v>
      </c>
      <c r="Z187" s="115" t="n">
        <v>46307</v>
      </c>
      <c r="AA187" s="115" t="n">
        <v>45742</v>
      </c>
      <c r="AB187" s="105" t="inlineStr">
        <is>
          <t>FBA</t>
        </is>
      </c>
      <c r="AC187" s="105" t="inlineStr">
        <is>
          <t>CN</t>
        </is>
      </c>
      <c r="AD187" s="108" t="n">
        <v>26952</v>
      </c>
      <c r="AE187" s="108" t="n">
        <v>504</v>
      </c>
      <c r="AF187" s="116" t="n">
        <v>0.9879767104482041</v>
      </c>
      <c r="AG187" s="116" t="n">
        <v>0.01202328955179578</v>
      </c>
      <c r="AH187" s="39" t="inlineStr">
        <is>
          <t>satin sheets</t>
        </is>
      </c>
      <c r="AI187" s="116" t="n"/>
      <c r="AJ187" s="116" t="n">
        <v>0.004081329771445533</v>
      </c>
      <c r="AK187" s="116" t="n">
        <v>0.1173567824280202</v>
      </c>
      <c r="AL187" s="116" t="n"/>
      <c r="AM187" s="108" t="n">
        <v>343</v>
      </c>
      <c r="AN187" s="108" t="n">
        <v>242</v>
      </c>
      <c r="AO187" s="108" t="n">
        <v>78</v>
      </c>
      <c r="AP187" s="108" t="n">
        <v>161</v>
      </c>
      <c r="AQ187" s="108" t="n">
        <v>12</v>
      </c>
      <c r="AR187" s="108" t="n">
        <v>1</v>
      </c>
      <c r="AS187" s="117" t="n">
        <v>1.063356164383562</v>
      </c>
      <c r="AT187" s="112" t="n">
        <v>-0.1631084543125534</v>
      </c>
      <c r="AU187" s="118" t="inlineStr">
        <is>
          <t>N</t>
        </is>
      </c>
      <c r="AV187" s="118" t="inlineStr">
        <is>
          <t>none</t>
        </is>
      </c>
      <c r="AW187" s="124" t="n"/>
      <c r="AX187" s="119" t="n">
        <v>15.99</v>
      </c>
      <c r="AY187" s="118" t="inlineStr">
        <is>
          <t>none</t>
        </is>
      </c>
      <c r="AZ187" s="118" t="inlineStr">
        <is>
          <t>Y</t>
        </is>
      </c>
      <c r="BA187" s="118" t="inlineStr">
        <is>
          <t>2026-10-13 12:13:42</t>
        </is>
      </c>
      <c r="BB187" s="120" t="inlineStr">
        <is>
          <t>Prime Exclusive Discount</t>
        </is>
      </c>
      <c r="BC187" s="120" t="inlineStr">
        <is>
          <t>11-08 to 12-05</t>
        </is>
      </c>
      <c r="BD187" s="121" t="n">
        <v>15.99</v>
      </c>
      <c r="BE187" s="121" t="n">
        <v>15.98</v>
      </c>
      <c r="BF187" s="110">
        <f>IF(AND(ISNUMBER(BD187),ISNUMBER(BE187),N(BD187)&gt;0),1-BE187/BD187,"")</f>
        <v/>
      </c>
      <c r="BG187" s="122" t="n">
        <v>71449</v>
      </c>
      <c r="BH187" s="122" t="n">
        <v>98796</v>
      </c>
      <c r="BI187" s="123">
        <f>IF(AND(ISNUMBER(BG187),ISNUMBER(BH187),N(BH187)&gt;0),BG187/BH187,"")</f>
        <v/>
      </c>
      <c r="BJ187" s="120" t="inlineStr">
        <is>
          <t>N</t>
        </is>
      </c>
      <c r="BK187" s="120" t="inlineStr">
        <is>
          <t>Prime Exclusive already running before BFCM week; Buy Box RAISED in BFCM week (median $19.99 vs $16.99 before); List Price $19.98</t>
        </is>
      </c>
    </row>
    <row r="188"/>
    <row r="189" ht="22" customHeight="1">
      <c r="A189" s="65" t="inlineStr">
        <is>
          <t>5 ▼</t>
        </is>
      </c>
      <c r="B189" s="66" t="inlineStr">
        <is>
          <t>WHAT THIS MEANS FOR BFCM</t>
        </is>
      </c>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c r="AC189" s="67" t="n"/>
      <c r="AD189" s="67" t="n"/>
      <c r="AE189" s="67" t="n"/>
      <c r="AF189" s="67" t="n"/>
      <c r="AG189" s="67" t="n"/>
      <c r="AH189" s="67" t="n"/>
      <c r="AI189" s="67" t="n"/>
      <c r="AJ189" s="67" t="n"/>
      <c r="AK189" s="67" t="n"/>
      <c r="AL189" s="67" t="n"/>
      <c r="AM189" s="67" t="n"/>
      <c r="AN189" s="67" t="n"/>
      <c r="AO189" s="67" t="n"/>
      <c r="AP189" s="67" t="n"/>
      <c r="AQ189" s="67" t="n"/>
      <c r="AR189" s="67" t="n"/>
      <c r="AS189" s="67" t="n"/>
      <c r="AT189" s="67" t="n"/>
      <c r="AU189" s="67" t="n"/>
      <c r="AV189" s="67" t="n"/>
      <c r="AW189" s="67" t="n"/>
      <c r="AX189" s="67" t="n"/>
      <c r="AY189" s="67" t="n"/>
      <c r="AZ189" s="67" t="n"/>
      <c r="BA189" s="67" t="n"/>
      <c r="BB189" s="67" t="n"/>
      <c r="BC189" s="67" t="n"/>
      <c r="BD189" s="67" t="n"/>
      <c r="BE189" s="67" t="n"/>
      <c r="BF189" s="67" t="n"/>
      <c r="BG189" s="67" t="n"/>
      <c r="BH189" s="67" t="n"/>
      <c r="BI189" s="67" t="n"/>
      <c r="BJ189" s="67" t="n"/>
      <c r="BK189" s="67" t="n"/>
    </row>
    <row r="190" ht="30" customHeight="1">
      <c r="A190" s="129" t="inlineStr">
        <is>
          <t>• Who sells most: BEDELITE ~1,963/wk at $17.99; Love's cabin ~809/wk at $16.13 (List $19.99, +24%); MR&amp;HM ~809/wk at $19.99; CozyLux ~347/wk at $13.99 (List $18.99, +36%); Lanest Housing ~208/wk at $22.99. Tracked rivals ~4,991 units/wk; we sell ~655/wk (11.6% of the tracked set).</t>
        </is>
      </c>
    </row>
    <row r="191" ht="18" customHeight="1">
      <c r="A191" s="129" t="inlineStr">
        <is>
          <t>• Strikethrough: 3 of 26 rivals set a List Price above price; 1 within 12%: Homiest +8%.</t>
        </is>
      </c>
    </row>
    <row r="192" ht="18" customHeight="1">
      <c r="A192" s="129" t="inlineStr">
        <is>
          <t>• Price: 26 of 26 rivals sit below our price today (same size where the title states one). Cheapest strong rivals: CozyLux $13.99, Love's cabin $16.13, BEDELITE $17.99, MR&amp;HM $19.99.</t>
        </is>
      </c>
    </row>
    <row r="193" ht="30" customHeight="1">
      <c r="A193" s="129" t="inlineStr">
        <is>
          <t>• Strikethrough on the page today (Oct 13 check): 7 of 26 checked rivals show one: BEDELITE List Price $19.99 vs $17.99 (+11%), Love's cabin List Price $19.99 vs $16.13 (+24%) with deal, MR&amp;HM List Price $28.99 vs $19.99 (+45%), Homiest Typical price $25.99 vs $23.99 (+8%), CozyLux List Price $18.99 vs $13.99 (+36%) with deal, Cobedzy Typical price $26.99 vs $24.99 (+8%).</t>
        </is>
      </c>
    </row>
    <row r="194" ht="30" customHeight="1">
      <c r="A194" s="129" t="inlineStr">
        <is>
          <t>• Search: we lose most shared keywords to BEDELITE (we win 92, lose 714), MR&amp;HM (we win 179, lose 608), Love's cabin (we win 185, lose 585). Biggest ad gaps (they advertise where we don't or harder): BEDELITE 340 + 36 KWs, Lanest Housing 50 + 61 KWs, Love's cabin 425 + 42 KWs.</t>
        </is>
      </c>
    </row>
    <row r="195" ht="30" customHeight="1">
      <c r="A195" s="129" t="inlineStr">
        <is>
          <t>• Brand ads: Love's cabin (SB 61%, SBV 8%), P Pothuiny (SB 54%, SBV 0%), CozyLux (SB 52%, SBV 0%), Lanest Housing (SB 92%, SBV 0%), Juicy Couture (SB 10%, SBV 54%) hold Sponsored Brands / video on most of their traffic - the plan has our SB, SBV and display live by Nov 1.</t>
        </is>
      </c>
    </row>
    <row r="196" ht="18" customHeight="1">
      <c r="A196" s="129" t="inlineStr">
        <is>
          <t>• Our BFCM 2025: 2.64x daily sales in BFCM week vs the 30 days before; TACoS 4.9% vs 10.4% before; December 1.93x.</t>
        </is>
      </c>
    </row>
    <row r="197" ht="18" customHeight="1">
      <c r="A197" s="129" t="inlineStr">
        <is>
          <t>• Prime Day 2026: our organic visibility 1.24x vs rivals' median 0.99x (n=17) - we held or out-gained rivals.</t>
        </is>
      </c>
    </row>
    <row r="198" ht="30" customHeight="1">
      <c r="A198" s="129" t="inlineStr">
        <is>
          <t>• BFCM 2025, 24 rivals with price history history: Prime Exclusive Discount 14, None 7, Price cut only 3. Median depth vs their Nov 1-19 price 6%; median BSR lift 1.03x. 13 raised their Buy Box in BFCM week, so their deal looked deeper than it was.</t>
        </is>
      </c>
    </row>
    <row r="199" ht="18" customHeight="1">
      <c r="A199" s="129" t="inlineStr">
        <is>
          <t>• 2 rivals not in the price history pulls yet (yellow BFCM 2025 columns) - remaining P2 batches,.</t>
        </is>
      </c>
    </row>
  </sheetData>
  <autoFilter ref="B161:BK187"/>
  <mergeCells count="70">
    <mergeCell ref="A148:BK148"/>
    <mergeCell ref="L5:Q5"/>
    <mergeCell ref="A191:BK191"/>
    <mergeCell ref="AU160:BA160"/>
    <mergeCell ref="A145:C145"/>
    <mergeCell ref="Q11:T11"/>
    <mergeCell ref="A139:C139"/>
    <mergeCell ref="L8:Q8"/>
    <mergeCell ref="A197:BK197"/>
    <mergeCell ref="L4:Q4"/>
    <mergeCell ref="D7:I7"/>
    <mergeCell ref="A13:D13"/>
    <mergeCell ref="I13:L13"/>
    <mergeCell ref="A153:BK153"/>
    <mergeCell ref="A196:BK196"/>
    <mergeCell ref="D4:I4"/>
    <mergeCell ref="L10:Q10"/>
    <mergeCell ref="E12:H12"/>
    <mergeCell ref="Q13:T13"/>
    <mergeCell ref="A141:C141"/>
    <mergeCell ref="D9:I9"/>
    <mergeCell ref="A193:BK193"/>
    <mergeCell ref="U12:X12"/>
    <mergeCell ref="L9:Q9"/>
    <mergeCell ref="Q12:T12"/>
    <mergeCell ref="A140:C140"/>
    <mergeCell ref="A11:D11"/>
    <mergeCell ref="A144:C144"/>
    <mergeCell ref="BB160:BK160"/>
    <mergeCell ref="I11:L11"/>
    <mergeCell ref="A149:BK149"/>
    <mergeCell ref="D8:I8"/>
    <mergeCell ref="L6:Q6"/>
    <mergeCell ref="A4:B9"/>
    <mergeCell ref="N160:Z160"/>
    <mergeCell ref="A198:BK198"/>
    <mergeCell ref="T6:Y6"/>
    <mergeCell ref="A154:BK154"/>
    <mergeCell ref="A192:BK192"/>
    <mergeCell ref="A195:BK195"/>
    <mergeCell ref="AA160:AC160"/>
    <mergeCell ref="D5:I5"/>
    <mergeCell ref="A194:BK194"/>
    <mergeCell ref="A151:BK151"/>
    <mergeCell ref="M11:P11"/>
    <mergeCell ref="A143:C143"/>
    <mergeCell ref="A160:K160"/>
    <mergeCell ref="U11:X11"/>
    <mergeCell ref="A150:BK150"/>
    <mergeCell ref="AD160:AT160"/>
    <mergeCell ref="E13:H13"/>
    <mergeCell ref="D10:I10"/>
    <mergeCell ref="L7:Q7"/>
    <mergeCell ref="T5:Y5"/>
    <mergeCell ref="A138:C138"/>
    <mergeCell ref="A147:BK147"/>
    <mergeCell ref="A156:BK156"/>
    <mergeCell ref="A12:D12"/>
    <mergeCell ref="M13:P13"/>
    <mergeCell ref="A152:BK152"/>
    <mergeCell ref="A190:BK190"/>
    <mergeCell ref="I12:L12"/>
    <mergeCell ref="U13:X13"/>
    <mergeCell ref="A155:BK155"/>
    <mergeCell ref="A199:BK199"/>
    <mergeCell ref="A146:C146"/>
    <mergeCell ref="M12:P12"/>
    <mergeCell ref="T4:Y4"/>
    <mergeCell ref="D6:I6"/>
    <mergeCell ref="E11:H11"/>
  </mergeCells>
  <conditionalFormatting sqref="Q162:Q187">
    <cfRule type="expression" priority="1" dxfId="1">
      <formula>Q162="&lt;=12% STR zone"</formula>
    </cfRule>
  </conditionalFormatting>
  <conditionalFormatting sqref="Z162:Z187">
    <cfRule type="expression" priority="2" dxfId="0">
      <formula>AND(ISNUMBER(Z162),Z162&lt;DATE(2026,10,6))</formula>
    </cfRule>
  </conditionalFormatting>
  <conditionalFormatting sqref="T162:T187">
    <cfRule type="expression" priority="3" dxfId="0">
      <formula>ISNUMBER(SEARCH("STALE",T162))</formula>
    </cfRule>
  </conditionalFormatting>
  <conditionalFormatting sqref="S162:S187">
    <cfRule type="expression" priority="4" dxfId="0">
      <formula>AND(ISNUMBER(S162),S162&lt;0)</formula>
    </cfRule>
  </conditionalFormatting>
  <dataValidations count="3">
    <dataValidation sqref="AU162:AU187 BJ162:BJ187" showDropDown="0" showInputMessage="0" showErrorMessage="0" allowBlank="1" type="list">
      <formula1>"Y,N"</formula1>
    </dataValidation>
    <dataValidation sqref="AV162:AV187" showDropDown="0" showInputMessage="0" showErrorMessage="0" allowBlank="1" type="list">
      <formula1>"List Price,Typical price,Was price,None"</formula1>
    </dataValidation>
    <dataValidation sqref="BB162:BB187"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S4'!A3" display="1 Our product ↓"/>
    <hyperlink ref="D2" location="'US DC S4'!A15" display="2 Our variations ↓"/>
    <hyperlink ref="E2" location="'US DC S4'!A137" display="3 Our BFCM 2025 ↓"/>
    <hyperlink ref="F2" location="'US DC S4'!A158" display="4 COMPETITORS (26 mapped) ↓"/>
    <hyperlink ref="G2" location="'US DC S4'!A189" display="5 What it means ↓"/>
    <hyperlink xmlns:r="http://schemas.openxmlformats.org/officeDocument/2006/relationships" ref="H162" r:id="rId1"/>
    <hyperlink xmlns:r="http://schemas.openxmlformats.org/officeDocument/2006/relationships" ref="I162" r:id="rId2"/>
    <hyperlink xmlns:r="http://schemas.openxmlformats.org/officeDocument/2006/relationships" ref="H163" r:id="rId3"/>
    <hyperlink xmlns:r="http://schemas.openxmlformats.org/officeDocument/2006/relationships" ref="I163" r:id="rId4"/>
    <hyperlink xmlns:r="http://schemas.openxmlformats.org/officeDocument/2006/relationships" ref="H164" r:id="rId5"/>
    <hyperlink xmlns:r="http://schemas.openxmlformats.org/officeDocument/2006/relationships" ref="I164" r:id="rId6"/>
    <hyperlink xmlns:r="http://schemas.openxmlformats.org/officeDocument/2006/relationships" ref="H165" r:id="rId7"/>
    <hyperlink xmlns:r="http://schemas.openxmlformats.org/officeDocument/2006/relationships" ref="I165" r:id="rId8"/>
    <hyperlink xmlns:r="http://schemas.openxmlformats.org/officeDocument/2006/relationships" ref="H166" r:id="rId9"/>
    <hyperlink xmlns:r="http://schemas.openxmlformats.org/officeDocument/2006/relationships" ref="I166" r:id="rId10"/>
    <hyperlink xmlns:r="http://schemas.openxmlformats.org/officeDocument/2006/relationships" ref="H167" r:id="rId11"/>
    <hyperlink xmlns:r="http://schemas.openxmlformats.org/officeDocument/2006/relationships" ref="I167" r:id="rId12"/>
    <hyperlink xmlns:r="http://schemas.openxmlformats.org/officeDocument/2006/relationships" ref="H168" r:id="rId13"/>
    <hyperlink xmlns:r="http://schemas.openxmlformats.org/officeDocument/2006/relationships" ref="I168" r:id="rId14"/>
    <hyperlink xmlns:r="http://schemas.openxmlformats.org/officeDocument/2006/relationships" ref="H169" r:id="rId15"/>
    <hyperlink xmlns:r="http://schemas.openxmlformats.org/officeDocument/2006/relationships" ref="I169" r:id="rId16"/>
    <hyperlink xmlns:r="http://schemas.openxmlformats.org/officeDocument/2006/relationships" ref="H170" r:id="rId17"/>
    <hyperlink xmlns:r="http://schemas.openxmlformats.org/officeDocument/2006/relationships" ref="I170" r:id="rId18"/>
    <hyperlink xmlns:r="http://schemas.openxmlformats.org/officeDocument/2006/relationships" ref="H171" r:id="rId19"/>
    <hyperlink xmlns:r="http://schemas.openxmlformats.org/officeDocument/2006/relationships" ref="I171" r:id="rId20"/>
    <hyperlink xmlns:r="http://schemas.openxmlformats.org/officeDocument/2006/relationships" ref="H172" r:id="rId21"/>
    <hyperlink xmlns:r="http://schemas.openxmlformats.org/officeDocument/2006/relationships" ref="I172" r:id="rId22"/>
    <hyperlink xmlns:r="http://schemas.openxmlformats.org/officeDocument/2006/relationships" ref="H173" r:id="rId23"/>
    <hyperlink xmlns:r="http://schemas.openxmlformats.org/officeDocument/2006/relationships" ref="I173" r:id="rId24"/>
    <hyperlink xmlns:r="http://schemas.openxmlformats.org/officeDocument/2006/relationships" ref="H174" r:id="rId25"/>
    <hyperlink xmlns:r="http://schemas.openxmlformats.org/officeDocument/2006/relationships" ref="I174" r:id="rId26"/>
    <hyperlink xmlns:r="http://schemas.openxmlformats.org/officeDocument/2006/relationships" ref="H175" r:id="rId27"/>
    <hyperlink xmlns:r="http://schemas.openxmlformats.org/officeDocument/2006/relationships" ref="I175" r:id="rId28"/>
    <hyperlink xmlns:r="http://schemas.openxmlformats.org/officeDocument/2006/relationships" ref="H176" r:id="rId29"/>
    <hyperlink xmlns:r="http://schemas.openxmlformats.org/officeDocument/2006/relationships" ref="I176" r:id="rId30"/>
    <hyperlink xmlns:r="http://schemas.openxmlformats.org/officeDocument/2006/relationships" ref="H177" r:id="rId31"/>
    <hyperlink xmlns:r="http://schemas.openxmlformats.org/officeDocument/2006/relationships" ref="I177" r:id="rId32"/>
    <hyperlink xmlns:r="http://schemas.openxmlformats.org/officeDocument/2006/relationships" ref="H178" r:id="rId33"/>
    <hyperlink xmlns:r="http://schemas.openxmlformats.org/officeDocument/2006/relationships" ref="I178" r:id="rId34"/>
    <hyperlink xmlns:r="http://schemas.openxmlformats.org/officeDocument/2006/relationships" ref="H179" r:id="rId35"/>
    <hyperlink xmlns:r="http://schemas.openxmlformats.org/officeDocument/2006/relationships" ref="I179" r:id="rId36"/>
    <hyperlink xmlns:r="http://schemas.openxmlformats.org/officeDocument/2006/relationships" ref="H180" r:id="rId37"/>
    <hyperlink xmlns:r="http://schemas.openxmlformats.org/officeDocument/2006/relationships" ref="I180" r:id="rId38"/>
    <hyperlink xmlns:r="http://schemas.openxmlformats.org/officeDocument/2006/relationships" ref="H181" r:id="rId39"/>
    <hyperlink xmlns:r="http://schemas.openxmlformats.org/officeDocument/2006/relationships" ref="I181" r:id="rId40"/>
    <hyperlink xmlns:r="http://schemas.openxmlformats.org/officeDocument/2006/relationships" ref="H182" r:id="rId41"/>
    <hyperlink xmlns:r="http://schemas.openxmlformats.org/officeDocument/2006/relationships" ref="I182" r:id="rId42"/>
    <hyperlink xmlns:r="http://schemas.openxmlformats.org/officeDocument/2006/relationships" ref="H183" r:id="rId43"/>
    <hyperlink xmlns:r="http://schemas.openxmlformats.org/officeDocument/2006/relationships" ref="I183" r:id="rId44"/>
    <hyperlink xmlns:r="http://schemas.openxmlformats.org/officeDocument/2006/relationships" ref="H184" r:id="rId45"/>
    <hyperlink xmlns:r="http://schemas.openxmlformats.org/officeDocument/2006/relationships" ref="I184" r:id="rId46"/>
    <hyperlink xmlns:r="http://schemas.openxmlformats.org/officeDocument/2006/relationships" ref="H185" r:id="rId47"/>
    <hyperlink xmlns:r="http://schemas.openxmlformats.org/officeDocument/2006/relationships" ref="I185" r:id="rId48"/>
    <hyperlink xmlns:r="http://schemas.openxmlformats.org/officeDocument/2006/relationships" ref="H186" r:id="rId49"/>
    <hyperlink xmlns:r="http://schemas.openxmlformats.org/officeDocument/2006/relationships" ref="I186" r:id="rId50"/>
    <hyperlink xmlns:r="http://schemas.openxmlformats.org/officeDocument/2006/relationships" ref="H187" r:id="rId51"/>
    <hyperlink xmlns:r="http://schemas.openxmlformats.org/officeDocument/2006/relationships" ref="I187" r:id="rId52"/>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9DC3E6"/>
    <outlinePr summaryBelow="1" summaryRight="1"/>
    <pageSetUpPr/>
  </sheetPr>
  <dimension ref="A1:BK199"/>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Satin Sheets 6 Piece · Amazon.com (US)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(26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_xlfn.IMAGE("https://m.media-amazon.com/images/I/81C4Dr0ylML._AC_SL1500_.jpg")</f>
        <v/>
      </c>
      <c r="C4" s="13" t="inlineStr">
        <is>
          <t>Title</t>
        </is>
      </c>
      <c r="D4" s="14" t="inlineStr">
        <is>
          <t>DECOLURE Satin Sheets King Size | Softer Than Silk | Luxury 6 Pc Bed Set</t>
        </is>
      </c>
      <c r="K4" s="13" t="inlineStr">
        <is>
          <t>Sizes</t>
        </is>
      </c>
      <c r="L4" s="68" t="inlineStr">
        <is>
          <t>Full, King, Queen, Twin</t>
        </is>
      </c>
      <c r="S4" s="13" t="inlineStr">
        <is>
          <t>Break-even ACoS</t>
        </is>
      </c>
      <c r="T4" s="68" t="inlineStr">
        <is>
          <t>27%</t>
        </is>
      </c>
    </row>
    <row r="5" ht="22" customHeight="1">
      <c r="C5" s="13" t="inlineStr">
        <is>
          <t>Brand</t>
        </is>
      </c>
      <c r="D5" s="68" t="inlineStr">
        <is>
          <t>Decolure</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c r="S5" s="13" t="inlineStr">
        <is>
          <t>Units last 28 days</t>
        </is>
      </c>
      <c r="T5" s="68" t="inlineStr">
        <is>
          <t>486</t>
        </is>
      </c>
    </row>
    <row r="6" ht="22" customHeight="1">
      <c r="C6" s="13" t="inlineStr">
        <is>
          <t>Marketplace</t>
        </is>
      </c>
      <c r="D6" s="68" t="inlineStr">
        <is>
          <t>Amazon.com (US)</t>
        </is>
      </c>
      <c r="K6" s="13" t="inlineStr">
        <is>
          <t>Price now, best child</t>
        </is>
      </c>
      <c r="L6" s="68" t="inlineStr">
        <is>
          <t>$33.95 (catalog price, 2026-10-13)</t>
        </is>
      </c>
      <c r="S6" s="13" t="inlineStr">
        <is>
          <t>market data product ASIN</t>
        </is>
      </c>
      <c r="T6" s="68" t="inlineStr">
        <is>
          <t>B0D9QQWYP4 (one of our child ASINs, not the Amazon parent)</t>
        </is>
      </c>
    </row>
    <row r="7" ht="22" customHeight="1">
      <c r="C7" s="13" t="inlineStr">
        <is>
          <t>Parent ASIN (Amazon)</t>
        </is>
      </c>
      <c r="D7" s="68" t="inlineStr">
        <is>
          <t>B0HDTF4MN2</t>
        </is>
      </c>
      <c r="K7" s="13" t="inlineStr">
        <is>
          <t>Rating / reviews now</t>
        </is>
      </c>
      <c r="L7" s="68" t="inlineStr">
        <is>
          <t>4.4 / 1,628 (catalog price, 2026-10-13)</t>
        </is>
      </c>
    </row>
    <row r="8" ht="22" customHeight="1">
      <c r="C8" s="13" t="inlineStr">
        <is>
          <t>Best-selling child ASIN</t>
        </is>
      </c>
      <c r="D8" s="68" t="inlineStr">
        <is>
          <t>B0C7FXXS6R</t>
        </is>
      </c>
      <c r="K8" s="13" t="inlineStr">
        <is>
          <t>Live prices held</t>
        </is>
      </c>
      <c r="L8" s="68" t="inlineStr">
        <is>
          <t>101 of 119 variations</t>
        </is>
      </c>
    </row>
    <row r="9" ht="22" customHeight="1">
      <c r="C9" s="13" t="inlineStr">
        <is>
          <t>Stage</t>
        </is>
      </c>
      <c r="D9" s="68" t="inlineStr">
        <is>
          <t>Maintenance</t>
        </is>
      </c>
      <c r="K9" s="13" t="inlineStr">
        <is>
          <t>Blended price (market data)</t>
        </is>
      </c>
      <c r="L9" s="68" t="inlineStr">
        <is>
          <t>$32.90 - fee feed as of 2026-03-30, STALE</t>
        </is>
      </c>
    </row>
    <row r="10">
      <c r="C10" s="13" t="inlineStr">
        <is>
          <t>Total variations (SKUs)</t>
        </is>
      </c>
      <c r="D10" s="68" t="n">
        <v>118</v>
      </c>
      <c r="K10" s="13" t="inlineStr">
        <is>
          <t>Contribution / unit</t>
        </is>
      </c>
      <c r="L10" s="68" t="inlineStr">
        <is>
          <t>$9.00</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3.08x</t>
        </is>
      </c>
      <c r="E12" s="70" t="inlineStr">
        <is>
          <t>14.8%</t>
        </is>
      </c>
      <c r="I12" s="70" t="inlineStr">
        <is>
          <t>2.54x</t>
        </is>
      </c>
      <c r="M12" s="70" t="inlineStr">
        <is>
          <t>26</t>
        </is>
      </c>
      <c r="Q12" s="70" t="inlineStr">
        <is>
          <t>26</t>
        </is>
      </c>
      <c r="U12" s="70" t="inlineStr">
        <is>
          <t>1</t>
        </is>
      </c>
    </row>
    <row r="13">
      <c r="A13" s="71" t="inlineStr">
        <is>
          <t>daily sales, BFCM wk vs 30 days before (account data actual)</t>
        </is>
      </c>
      <c r="E13" s="71" t="inlineStr">
        <is>
          <t>vs 19.9%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(119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_xlfn.IMAGE("https://m.media-amazon.com/images/I/81C4Dr0ylML.jpg")</f>
        <v/>
      </c>
      <c r="B18" s="39" t="inlineStr">
        <is>
          <t>B0C7FXXS6R</t>
        </is>
      </c>
      <c r="C18" s="39" t="inlineStr">
        <is>
          <t>SATIN-KING-BLACK-6-PCS</t>
        </is>
      </c>
      <c r="D18" s="39" t="inlineStr">
        <is>
          <t>DECOLURE Satin Sheets King Size | Softer Than Silk | Luxury 6 Pc Bed Set</t>
        </is>
      </c>
      <c r="E18" s="39" t="inlineStr">
        <is>
          <t>King</t>
        </is>
      </c>
      <c r="F18" s="39" t="inlineStr">
        <is>
          <t>Black</t>
        </is>
      </c>
      <c r="G18" s="73" t="n">
        <v>33.95</v>
      </c>
      <c r="H18" s="39" t="inlineStr">
        <is>
          <t>catalog price, 2026-10-13</t>
        </is>
      </c>
      <c r="I18" s="74" t="n">
        <v>33.95</v>
      </c>
      <c r="J18" s="75" t="inlineStr">
        <is>
          <t>2026-03-30</t>
        </is>
      </c>
      <c r="K18" s="40" t="n">
        <v>8.810000000000002</v>
      </c>
      <c r="L18" s="76" t="n">
        <v>0.259499263622975</v>
      </c>
      <c r="M18" s="77" t="n">
        <v>59</v>
      </c>
      <c r="N18" s="39" t="inlineStr">
        <is>
          <t>Active</t>
        </is>
      </c>
      <c r="O18" s="39" t="inlineStr">
        <is>
          <t>Yes (29%)</t>
        </is>
      </c>
      <c r="P18" s="78" t="n">
        <v>4.4</v>
      </c>
      <c r="Q18" s="77" t="n">
        <v>1628</v>
      </c>
      <c r="R18" s="77" t="n">
        <v>52125</v>
      </c>
      <c r="S18" s="77" t="n">
        <v>78</v>
      </c>
      <c r="T18" s="39" t="n"/>
    </row>
    <row r="19" ht="62" customHeight="1">
      <c r="A19" s="12">
        <f>_xlfn.IMAGE("https://m.media-amazon.com/images/I/81C4Dr0ylML.jpg")</f>
        <v/>
      </c>
      <c r="B19" s="39" t="inlineStr">
        <is>
          <t>B0C7FX1GFS</t>
        </is>
      </c>
      <c r="C19" s="39" t="inlineStr">
        <is>
          <t>SATIN-QUEEN-BLACK-6-PCS</t>
        </is>
      </c>
      <c r="D19" s="39" t="inlineStr">
        <is>
          <t>DECOLURE Satin Sheets Queen Size | Softer Than Silk | Luxury 6 Pc Bed Set</t>
        </is>
      </c>
      <c r="E19" s="39" t="inlineStr">
        <is>
          <t>Queen</t>
        </is>
      </c>
      <c r="F19" s="39" t="inlineStr">
        <is>
          <t>Black</t>
        </is>
      </c>
      <c r="G19" s="73" t="n">
        <v>29.95</v>
      </c>
      <c r="H19" s="39" t="inlineStr">
        <is>
          <t>catalog price, 2026-10-13</t>
        </is>
      </c>
      <c r="I19" s="74" t="n">
        <v>29.95</v>
      </c>
      <c r="J19" s="75" t="inlineStr">
        <is>
          <t>2026-03-30</t>
        </is>
      </c>
      <c r="K19" s="40" t="n">
        <v>6.390000000000001</v>
      </c>
      <c r="L19" s="76" t="n">
        <v>0.2133555926544241</v>
      </c>
      <c r="M19" s="77" t="n">
        <v>39</v>
      </c>
      <c r="N19" s="39" t="inlineStr">
        <is>
          <t>Active</t>
        </is>
      </c>
      <c r="O19" s="39" t="inlineStr">
        <is>
          <t>Yes (38%)</t>
        </is>
      </c>
      <c r="P19" s="78" t="n">
        <v>4.4</v>
      </c>
      <c r="Q19" s="77" t="n">
        <v>1628</v>
      </c>
      <c r="R19" s="77" t="n">
        <v>52125</v>
      </c>
      <c r="S19" s="77" t="n">
        <v>165</v>
      </c>
      <c r="T19" s="39" t="n"/>
    </row>
    <row r="20" ht="62" customHeight="1">
      <c r="A20" s="12">
        <f>_xlfn.IMAGE("https://m.media-amazon.com/images/I/81osNI447+L.jpg")</f>
        <v/>
      </c>
      <c r="B20" s="39" t="inlineStr">
        <is>
          <t>B0C7FMCXBV</t>
        </is>
      </c>
      <c r="C20" s="39" t="inlineStr">
        <is>
          <t>SATIN-ROSEWOOD-QUEEN-6PCS</t>
        </is>
      </c>
      <c r="D20" s="39" t="inlineStr">
        <is>
          <t>DECOLURE Satin Sheets Queen Size | Softer Than Silk | Luxury 6 Pc Bed Set</t>
        </is>
      </c>
      <c r="E20" s="39" t="inlineStr">
        <is>
          <t>Queen</t>
        </is>
      </c>
      <c r="F20" s="39" t="inlineStr">
        <is>
          <t>Rosewood</t>
        </is>
      </c>
      <c r="G20" s="73" t="n">
        <v>31.95</v>
      </c>
      <c r="H20" s="39" t="inlineStr">
        <is>
          <t>catalog price, 2026-10-13</t>
        </is>
      </c>
      <c r="I20" s="74" t="n">
        <v>31.95</v>
      </c>
      <c r="J20" s="75" t="inlineStr">
        <is>
          <t>2026-03-30</t>
        </is>
      </c>
      <c r="K20" s="40" t="n">
        <v>8.780000000000001</v>
      </c>
      <c r="L20" s="76" t="n">
        <v>0.2748043818466354</v>
      </c>
      <c r="M20" s="77" t="n">
        <v>24</v>
      </c>
      <c r="N20" s="39" t="inlineStr">
        <is>
          <t>Active</t>
        </is>
      </c>
      <c r="O20" s="39" t="inlineStr">
        <is>
          <t>Yes (6%)</t>
        </is>
      </c>
      <c r="P20" s="78" t="n">
        <v>4.4</v>
      </c>
      <c r="Q20" s="77" t="n">
        <v>1628</v>
      </c>
      <c r="R20" s="77" t="n">
        <v>52121</v>
      </c>
      <c r="S20" s="77" t="n">
        <v>11</v>
      </c>
      <c r="T20" s="39" t="n"/>
    </row>
    <row r="21" ht="62" customHeight="1">
      <c r="A21" s="12">
        <f>_xlfn.IMAGE("https://m.media-amazon.com/images/I/81u38yfz4ML.jpg")</f>
        <v/>
      </c>
      <c r="B21" s="39" t="inlineStr">
        <is>
          <t>B0C7FMYDFC</t>
        </is>
      </c>
      <c r="C21" s="39" t="inlineStr">
        <is>
          <t>SATIN-GOLD-KING-6PCS</t>
        </is>
      </c>
      <c r="D21" s="39" t="inlineStr">
        <is>
          <t>DECOLURE Satin Sheets King Size | Softer Than Silk | Luxury 6 Pc Bed Set</t>
        </is>
      </c>
      <c r="E21" s="39" t="inlineStr">
        <is>
          <t>King</t>
        </is>
      </c>
      <c r="F21" s="39" t="inlineStr">
        <is>
          <t>Gold</t>
        </is>
      </c>
      <c r="G21" s="73" t="n">
        <v>33.95</v>
      </c>
      <c r="H21" s="39" t="inlineStr">
        <is>
          <t>catalog price, 2026-10-13</t>
        </is>
      </c>
      <c r="I21" s="74" t="n">
        <v>33.95</v>
      </c>
      <c r="J21" s="75" t="inlineStr">
        <is>
          <t>2026-03-30</t>
        </is>
      </c>
      <c r="K21" s="40" t="n">
        <v>8.590000000000002</v>
      </c>
      <c r="L21" s="76" t="n">
        <v>0.253019145802651</v>
      </c>
      <c r="M21" s="77" t="n">
        <v>20</v>
      </c>
      <c r="N21" s="39" t="inlineStr">
        <is>
          <t>Active</t>
        </is>
      </c>
      <c r="O21" s="39" t="n"/>
      <c r="P21" s="78" t="n">
        <v>4.4</v>
      </c>
      <c r="Q21" s="77" t="n">
        <v>1628</v>
      </c>
      <c r="R21" s="77" t="n">
        <v>52125</v>
      </c>
      <c r="S21" s="77" t="n">
        <v>2</v>
      </c>
      <c r="T21" s="39" t="n"/>
    </row>
    <row r="22" ht="62" customHeight="1">
      <c r="A22" s="12">
        <f>_xlfn.IMAGE("https://m.media-amazon.com/images/I/81C4Dr0ylML.jpg")</f>
        <v/>
      </c>
      <c r="B22" s="39" t="inlineStr">
        <is>
          <t>B0C7FMM2QN</t>
        </is>
      </c>
      <c r="C22" s="39" t="inlineStr">
        <is>
          <t>SATIN-FULL-BLACK-6PCS</t>
        </is>
      </c>
      <c r="D22" s="39" t="inlineStr">
        <is>
          <t>DECOLURE Satin Bed Sheets - 6 Piece Luxury Silky Full Size Bedding Set - Softer Than Silk, Wrinkle-Free with 15” Deep Pocket Fitted Sheet, Perfect for Hair &amp; Skin, Gifts for Women (Black)</t>
        </is>
      </c>
      <c r="E22" s="39" t="inlineStr">
        <is>
          <t>Full</t>
        </is>
      </c>
      <c r="F22" s="39" t="inlineStr">
        <is>
          <t>Black</t>
        </is>
      </c>
      <c r="G22" s="73" t="n">
        <v>29.95</v>
      </c>
      <c r="H22" s="39" t="inlineStr">
        <is>
          <t>catalog price, 2026-10-13</t>
        </is>
      </c>
      <c r="I22" s="74" t="n">
        <v>29.95</v>
      </c>
      <c r="J22" s="75" t="inlineStr">
        <is>
          <t>2026-03-30</t>
        </is>
      </c>
      <c r="K22" s="40" t="n">
        <v>7.74</v>
      </c>
      <c r="L22" s="76" t="n">
        <v>0.2584307178631052</v>
      </c>
      <c r="M22" s="77" t="n">
        <v>15</v>
      </c>
      <c r="N22" s="39" t="inlineStr">
        <is>
          <t>Active</t>
        </is>
      </c>
      <c r="O22" s="39" t="inlineStr">
        <is>
          <t>Yes (6%)</t>
        </is>
      </c>
      <c r="P22" s="78" t="n">
        <v>4.4</v>
      </c>
      <c r="Q22" s="77" t="n">
        <v>1628</v>
      </c>
      <c r="R22" s="77" t="n">
        <v>52125</v>
      </c>
      <c r="S22" s="77" t="n">
        <v>5</v>
      </c>
      <c r="T22" s="39" t="n"/>
    </row>
    <row r="23" ht="62" customHeight="1">
      <c r="A23" s="12">
        <f>_xlfn.IMAGE("https://m.media-amazon.com/images/I/81uzoBSAZyL.jpg")</f>
        <v/>
      </c>
      <c r="B23" s="39" t="inlineStr">
        <is>
          <t>B0C7FJLP2F</t>
        </is>
      </c>
      <c r="C23" s="39" t="inlineStr">
        <is>
          <t>SATIN-RED-QUEEN-6PCS</t>
        </is>
      </c>
      <c r="D23" s="39" t="inlineStr">
        <is>
          <t>DECOLURE Satin Bed Sheets - 6 Piece Luxury Silky Queen Size Bedding Set - Softer Than Silk, Wrinkle-Free with 15” Deep Pocket Fitted Sheet, Perfect for Hair &amp; Skin, Gifts for Women (Red)</t>
        </is>
      </c>
      <c r="E23" s="39" t="inlineStr">
        <is>
          <t>Queen</t>
        </is>
      </c>
      <c r="F23" s="39" t="inlineStr">
        <is>
          <t>Red</t>
        </is>
      </c>
      <c r="G23" s="73" t="n">
        <v>31.95</v>
      </c>
      <c r="H23" s="39" t="inlineStr">
        <is>
          <t>catalog price, 2026-10-13</t>
        </is>
      </c>
      <c r="I23" s="74" t="n">
        <v>31.95</v>
      </c>
      <c r="J23" s="75" t="inlineStr">
        <is>
          <t>2026-03-30</t>
        </is>
      </c>
      <c r="K23" s="40" t="n">
        <v>8.880000000000001</v>
      </c>
      <c r="L23" s="76" t="n">
        <v>0.2779342723004695</v>
      </c>
      <c r="M23" s="77" t="n">
        <v>14</v>
      </c>
      <c r="N23" s="39" t="inlineStr">
        <is>
          <t>Active</t>
        </is>
      </c>
      <c r="O23" s="39" t="n"/>
      <c r="P23" s="78" t="n">
        <v>4.4</v>
      </c>
      <c r="Q23" s="77" t="n">
        <v>1628</v>
      </c>
      <c r="R23" s="77" t="n">
        <v>52121</v>
      </c>
      <c r="S23" s="77" t="n">
        <v>3</v>
      </c>
      <c r="T23" s="39" t="n"/>
    </row>
    <row r="24" ht="62" customHeight="1">
      <c r="A24" s="12">
        <f>_xlfn.IMAGE("https://m.media-amazon.com/images/I/81u38yfz4ML.jpg")</f>
        <v/>
      </c>
      <c r="B24" s="39" t="inlineStr">
        <is>
          <t>B0C7FPM5CR</t>
        </is>
      </c>
      <c r="C24" s="39" t="inlineStr">
        <is>
          <t>SATIN-GOLD-QUEEN-6PCS</t>
        </is>
      </c>
      <c r="D24" s="39" t="inlineStr">
        <is>
          <t>DECOLURE Satin Sheets Queen Size | Softer Than Silk | Luxury 6 Pc Bed Set</t>
        </is>
      </c>
      <c r="E24" s="39" t="inlineStr">
        <is>
          <t>Queen</t>
        </is>
      </c>
      <c r="F24" s="39" t="inlineStr">
        <is>
          <t>Gold</t>
        </is>
      </c>
      <c r="G24" s="73" t="n">
        <v>31.95</v>
      </c>
      <c r="H24" s="39" t="inlineStr">
        <is>
          <t>catalog price, 2026-10-13</t>
        </is>
      </c>
      <c r="I24" s="74" t="n">
        <v>31.95</v>
      </c>
      <c r="J24" s="75" t="inlineStr">
        <is>
          <t>2026-03-30</t>
        </is>
      </c>
      <c r="K24" s="40" t="n">
        <v>8.379999999999999</v>
      </c>
      <c r="L24" s="76" t="n">
        <v>0.2622848200312989</v>
      </c>
      <c r="M24" s="77" t="n">
        <v>11</v>
      </c>
      <c r="N24" s="39" t="inlineStr">
        <is>
          <t>Active</t>
        </is>
      </c>
      <c r="O24" s="39" t="n"/>
      <c r="P24" s="78" t="n">
        <v>4.4</v>
      </c>
      <c r="Q24" s="77" t="n">
        <v>1628</v>
      </c>
      <c r="R24" s="77" t="n">
        <v>52121</v>
      </c>
      <c r="S24" s="77" t="n">
        <v>3</v>
      </c>
      <c r="T24" s="39" t="n"/>
    </row>
    <row r="25" ht="62" customHeight="1">
      <c r="A25" s="12">
        <f>_xlfn.IMAGE("https://m.media-amazon.com/images/I/81NXdWsawHL.jpg")</f>
        <v/>
      </c>
      <c r="B25" s="39" t="inlineStr">
        <is>
          <t>B0C7FKZ4VG</t>
        </is>
      </c>
      <c r="C25" s="39" t="inlineStr">
        <is>
          <t>SATIN-CHAMPAGNE-KING-6PCS</t>
        </is>
      </c>
      <c r="D25" s="39" t="inlineStr">
        <is>
          <t>DECOLURE Satin Sheets King Size | Softer Than Silk | Luxury 6 Pc Bed Set</t>
        </is>
      </c>
      <c r="E25" s="39" t="inlineStr">
        <is>
          <t>King</t>
        </is>
      </c>
      <c r="F25" s="39" t="inlineStr">
        <is>
          <t>Champagne</t>
        </is>
      </c>
      <c r="G25" s="73" t="n">
        <v>33.95</v>
      </c>
      <c r="H25" s="39" t="inlineStr">
        <is>
          <t>catalog price, 2026-10-13</t>
        </is>
      </c>
      <c r="I25" s="74" t="n">
        <v>33.95</v>
      </c>
      <c r="J25" s="75" t="inlineStr">
        <is>
          <t>2026-03-30</t>
        </is>
      </c>
      <c r="K25" s="40" t="n">
        <v>9.210000000000003</v>
      </c>
      <c r="L25" s="76" t="n">
        <v>0.2712812960235641</v>
      </c>
      <c r="M25" s="77" t="n">
        <v>10</v>
      </c>
      <c r="N25" s="39" t="inlineStr">
        <is>
          <t>Active</t>
        </is>
      </c>
      <c r="O25" s="39" t="n"/>
      <c r="P25" s="78" t="n">
        <v>4.4</v>
      </c>
      <c r="Q25" s="77" t="n">
        <v>1628</v>
      </c>
      <c r="R25" s="77" t="n">
        <v>52125</v>
      </c>
      <c r="S25" s="77" t="n">
        <v>1</v>
      </c>
      <c r="T25" s="39" t="n"/>
    </row>
    <row r="26" ht="62" customHeight="1">
      <c r="A26" s="12">
        <f>_xlfn.IMAGE("https://m.media-amazon.com/images/I/81C9qE083yL.jpg")</f>
        <v/>
      </c>
      <c r="B26" s="39" t="inlineStr">
        <is>
          <t>B0C7FNQH3B</t>
        </is>
      </c>
      <c r="C26" s="39" t="inlineStr">
        <is>
          <t>SATIN-KING-GREY-6PCS</t>
        </is>
      </c>
      <c r="D26" s="39" t="inlineStr">
        <is>
          <t>DECOLURE Satin Sheets King Size | Softer Than Silk | Luxury 6 Pc Bed Set</t>
        </is>
      </c>
      <c r="E26" s="39" t="inlineStr">
        <is>
          <t>King</t>
        </is>
      </c>
      <c r="F26" s="39" t="inlineStr">
        <is>
          <t>Grey</t>
        </is>
      </c>
      <c r="G26" s="73" t="n">
        <v>33.95</v>
      </c>
      <c r="H26" s="39" t="inlineStr">
        <is>
          <t>catalog price, 2026-10-13</t>
        </is>
      </c>
      <c r="I26" s="74" t="n">
        <v>33.95</v>
      </c>
      <c r="J26" s="75" t="inlineStr">
        <is>
          <t>2026-03-20</t>
        </is>
      </c>
      <c r="K26" s="40" t="n">
        <v>9.160000000000004</v>
      </c>
      <c r="L26" s="76" t="n">
        <v>0.2698085419734905</v>
      </c>
      <c r="M26" s="77" t="n">
        <v>10</v>
      </c>
      <c r="N26" s="39" t="inlineStr">
        <is>
          <t>Active</t>
        </is>
      </c>
      <c r="O26" s="39" t="n"/>
      <c r="P26" s="78" t="n">
        <v>4.4</v>
      </c>
      <c r="Q26" s="77" t="n">
        <v>1628</v>
      </c>
      <c r="R26" s="77" t="n">
        <v>52125</v>
      </c>
      <c r="S26" s="77" t="n">
        <v>3</v>
      </c>
      <c r="T26" s="39" t="n"/>
    </row>
    <row r="27" ht="62" customHeight="1">
      <c r="A27" s="12">
        <f>_xlfn.IMAGE("https://m.media-amazon.com/images/I/81cInbBJAML.jpg")</f>
        <v/>
      </c>
      <c r="B27" s="39" t="inlineStr">
        <is>
          <t>B0C9LSVFPR</t>
        </is>
      </c>
      <c r="C27" s="39" t="inlineStr">
        <is>
          <t>PURPLE-SATIN-SET-6PCS</t>
        </is>
      </c>
      <c r="D27" s="39" t="inlineStr">
        <is>
          <t>DECOLURE Satin Sheets Queen Size | Softer Than Silk | Luxury 6 Pc Bed Set</t>
        </is>
      </c>
      <c r="E27" s="39" t="inlineStr">
        <is>
          <t>Queen</t>
        </is>
      </c>
      <c r="F27" s="39" t="inlineStr">
        <is>
          <t>Purple</t>
        </is>
      </c>
      <c r="G27" s="73" t="n">
        <v>34.95</v>
      </c>
      <c r="H27" s="39" t="inlineStr">
        <is>
          <t>catalog price, 2026-10-13</t>
        </is>
      </c>
      <c r="I27" s="74" t="n">
        <v>46.95</v>
      </c>
      <c r="J27" s="75" t="inlineStr">
        <is>
          <t>2026-03-30</t>
        </is>
      </c>
      <c r="K27" s="40" t="n">
        <v>21.63</v>
      </c>
      <c r="L27" s="76" t="n">
        <v>0.4607028753993611</v>
      </c>
      <c r="M27" s="77" t="n">
        <v>10</v>
      </c>
      <c r="N27" s="39" t="inlineStr">
        <is>
          <t>Active</t>
        </is>
      </c>
      <c r="O27" s="39" t="n"/>
      <c r="P27" s="78" t="n">
        <v>4.4</v>
      </c>
      <c r="Q27" s="77" t="n">
        <v>1628</v>
      </c>
      <c r="R27" s="77" t="n">
        <v>52125</v>
      </c>
      <c r="S27" s="77" t="n">
        <v>5</v>
      </c>
      <c r="T27" s="39" t="n"/>
    </row>
    <row r="28" ht="62" customHeight="1">
      <c r="A28" s="12">
        <f>_xlfn.IMAGE("https://m.media-amazon.com/images/I/81UqLjdUA4L.jpg")</f>
        <v/>
      </c>
      <c r="B28" s="39" t="inlineStr">
        <is>
          <t>B0C7F622QD</t>
        </is>
      </c>
      <c r="C28" s="39" t="inlineStr">
        <is>
          <t>SATIN-TWIN-BLACK-6PCS</t>
        </is>
      </c>
      <c r="D28" s="39" t="inlineStr">
        <is>
          <t>DECOLURE Satin Sheets Twin Size | Softer Than Silk | Luxury 4 Pc Bed Set</t>
        </is>
      </c>
      <c r="E28" s="39" t="inlineStr">
        <is>
          <t>Twin</t>
        </is>
      </c>
      <c r="F28" s="39" t="inlineStr">
        <is>
          <t>Black</t>
        </is>
      </c>
      <c r="G28" s="73" t="n">
        <v>27.95</v>
      </c>
      <c r="H28" s="39" t="inlineStr">
        <is>
          <t>catalog price, 2026-10-13</t>
        </is>
      </c>
      <c r="I28" s="74" t="n">
        <v>27.95</v>
      </c>
      <c r="J28" s="75" t="inlineStr">
        <is>
          <t>2026-03-30</t>
        </is>
      </c>
      <c r="K28" s="40" t="n">
        <v>8.899999999999997</v>
      </c>
      <c r="L28" s="76" t="n">
        <v>0.3184257602862253</v>
      </c>
      <c r="M28" s="77" t="n">
        <v>10</v>
      </c>
      <c r="N28" s="39" t="inlineStr">
        <is>
          <t>Active</t>
        </is>
      </c>
      <c r="O28" s="39" t="n"/>
      <c r="P28" s="78" t="n">
        <v>4.4</v>
      </c>
      <c r="Q28" s="77" t="n">
        <v>1628</v>
      </c>
      <c r="R28" s="77" t="n">
        <v>52121</v>
      </c>
      <c r="S28" s="77" t="n">
        <v>7</v>
      </c>
      <c r="T28" s="39" t="n"/>
    </row>
    <row r="29" ht="62" customHeight="1">
      <c r="A29" s="12">
        <f>_xlfn.IMAGE("https://m.media-amazon.com/images/I/81osNI447+L.jpg")</f>
        <v/>
      </c>
      <c r="B29" s="39" t="inlineStr">
        <is>
          <t>B0C7FM7GXS</t>
        </is>
      </c>
      <c r="C29" s="39" t="inlineStr">
        <is>
          <t>SATIN-ROSEWOOD-FULL-6PCS</t>
        </is>
      </c>
      <c r="D29" s="39" t="inlineStr">
        <is>
          <t>DECOLURE Satin Sheets Full Size | Softer Than Silk | Luxury 6 Pc Bed Set</t>
        </is>
      </c>
      <c r="E29" s="39" t="inlineStr">
        <is>
          <t>Full</t>
        </is>
      </c>
      <c r="F29" s="39" t="inlineStr">
        <is>
          <t>Rosewood</t>
        </is>
      </c>
      <c r="G29" s="73" t="n">
        <v>29.95</v>
      </c>
      <c r="H29" s="39" t="inlineStr">
        <is>
          <t>catalog price, 2026-10-13</t>
        </is>
      </c>
      <c r="I29" s="74" t="n">
        <v>29.95</v>
      </c>
      <c r="J29" s="75" t="inlineStr">
        <is>
          <t>2026-03-30</t>
        </is>
      </c>
      <c r="K29" s="40" t="n">
        <v>8.32</v>
      </c>
      <c r="L29" s="76" t="n">
        <v>0.27779632721202</v>
      </c>
      <c r="M29" s="77" t="n">
        <v>9</v>
      </c>
      <c r="N29" s="39" t="inlineStr">
        <is>
          <t>Active</t>
        </is>
      </c>
      <c r="O29" s="39" t="n"/>
      <c r="P29" s="78" t="n">
        <v>4.4</v>
      </c>
      <c r="Q29" s="77" t="n">
        <v>1628</v>
      </c>
      <c r="R29" s="77" t="n">
        <v>52121</v>
      </c>
      <c r="S29" s="77" t="n">
        <v>4</v>
      </c>
      <c r="T29" s="39" t="n"/>
    </row>
    <row r="30" ht="62" customHeight="1">
      <c r="A30" s="12">
        <f>_xlfn.IMAGE("https://m.media-amazon.com/images/I/818xrpI8WdL.jpg")</f>
        <v/>
      </c>
      <c r="B30" s="39" t="inlineStr">
        <is>
          <t>B0C7FSZHXL</t>
        </is>
      </c>
      <c r="C30" s="39" t="inlineStr">
        <is>
          <t>SATIN-SEA-TEAL-KING-6PCS</t>
        </is>
      </c>
      <c r="D30" s="39" t="inlineStr">
        <is>
          <t>DECOLURE Satin Sheets King Size | Softer Than Silk | Luxury 6 Pc Bed Set</t>
        </is>
      </c>
      <c r="E30" s="39" t="inlineStr">
        <is>
          <t>King</t>
        </is>
      </c>
      <c r="F30" s="39" t="inlineStr">
        <is>
          <t>Sea Teal</t>
        </is>
      </c>
      <c r="G30" s="73" t="n">
        <v>33.95</v>
      </c>
      <c r="H30" s="39" t="inlineStr">
        <is>
          <t>catalog price, 2026-10-13</t>
        </is>
      </c>
      <c r="I30" s="74" t="n">
        <v>33.95</v>
      </c>
      <c r="J30" s="75" t="inlineStr">
        <is>
          <t>2026-03-30</t>
        </is>
      </c>
      <c r="K30" s="40" t="n">
        <v>8.670000000000002</v>
      </c>
      <c r="L30" s="76" t="n">
        <v>0.2553755522827688</v>
      </c>
      <c r="M30" s="77" t="n">
        <v>9</v>
      </c>
      <c r="N30" s="39" t="inlineStr">
        <is>
          <t>Active</t>
        </is>
      </c>
      <c r="O30" s="39" t="n"/>
      <c r="P30" s="78" t="n">
        <v>4.4</v>
      </c>
      <c r="Q30" s="77" t="n">
        <v>1628</v>
      </c>
      <c r="R30" s="77" t="n">
        <v>52125</v>
      </c>
      <c r="S30" s="77" t="n">
        <v>3</v>
      </c>
      <c r="T30" s="39" t="n"/>
    </row>
    <row r="31" ht="62" customHeight="1">
      <c r="A31" s="12">
        <f>_xlfn.IMAGE("https://m.media-amazon.com/images/I/81PU9JNVXwL.jpg")</f>
        <v/>
      </c>
      <c r="B31" s="39" t="inlineStr">
        <is>
          <t>B0D9QQHLK8</t>
        </is>
      </c>
      <c r="C31" s="39" t="inlineStr">
        <is>
          <t>SATIN-6PC-QUEEN-NAVY BLUE</t>
        </is>
      </c>
      <c r="D31" s="39" t="inlineStr">
        <is>
          <t>DECOLURE Satin Sheets Queen Size | Softer Than Silk | Luxury 6 Pc Bed Set</t>
        </is>
      </c>
      <c r="E31" s="39" t="inlineStr">
        <is>
          <t>Queen</t>
        </is>
      </c>
      <c r="F31" s="39" t="inlineStr">
        <is>
          <t>Navy Blue</t>
        </is>
      </c>
      <c r="G31" s="73" t="n">
        <v>31.95</v>
      </c>
      <c r="H31" s="39" t="inlineStr">
        <is>
          <t>catalog price, 2026-10-13</t>
        </is>
      </c>
      <c r="I31" s="74" t="n">
        <v>32.95</v>
      </c>
      <c r="J31" s="75" t="inlineStr">
        <is>
          <t>2026-03-30</t>
        </is>
      </c>
      <c r="K31" s="40" t="n">
        <v>9.859999999999999</v>
      </c>
      <c r="L31" s="76" t="n">
        <v>0.2992412746585735</v>
      </c>
      <c r="M31" s="77" t="n">
        <v>9</v>
      </c>
      <c r="N31" s="39" t="inlineStr">
        <is>
          <t>Active</t>
        </is>
      </c>
      <c r="O31" s="39" t="n"/>
      <c r="P31" s="78" t="n">
        <v>4.4</v>
      </c>
      <c r="Q31" s="77" t="n">
        <v>1628</v>
      </c>
      <c r="R31" s="77" t="n">
        <v>52121</v>
      </c>
      <c r="S31" s="77" t="n">
        <v>2</v>
      </c>
      <c r="T31" s="39" t="n"/>
    </row>
    <row r="32" ht="62" customHeight="1">
      <c r="A32" s="12">
        <f>_xlfn.IMAGE("https://m.media-amazon.com/images/I/81C9qE083yL.jpg")</f>
        <v/>
      </c>
      <c r="B32" s="39" t="inlineStr">
        <is>
          <t>B0C7F5ZR17</t>
        </is>
      </c>
      <c r="C32" s="39" t="inlineStr">
        <is>
          <t>SATIN-QUEEN-GREY-6PCS</t>
        </is>
      </c>
      <c r="D32" s="39" t="inlineStr">
        <is>
          <t>DECOLURE Satin Sheets Queen Size | Softer Than Silk | Luxury 6 Pc Bed Set</t>
        </is>
      </c>
      <c r="E32" s="39" t="inlineStr">
        <is>
          <t>Queen</t>
        </is>
      </c>
      <c r="F32" s="39" t="inlineStr">
        <is>
          <t>Grey</t>
        </is>
      </c>
      <c r="G32" s="73" t="n">
        <v>29.95</v>
      </c>
      <c r="H32" s="39" t="inlineStr">
        <is>
          <t>catalog price, 2026-10-13</t>
        </is>
      </c>
      <c r="I32" s="74" t="n">
        <v>29.95</v>
      </c>
      <c r="J32" s="75" t="inlineStr">
        <is>
          <t>2026-03-30</t>
        </is>
      </c>
      <c r="K32" s="40" t="n">
        <v>6.270000000000001</v>
      </c>
      <c r="L32" s="76" t="n">
        <v>0.2093489148580969</v>
      </c>
      <c r="M32" s="77" t="n">
        <v>8</v>
      </c>
      <c r="N32" s="39" t="inlineStr">
        <is>
          <t>Active</t>
        </is>
      </c>
      <c r="O32" s="39" t="n"/>
      <c r="P32" s="78" t="n">
        <v>4.4</v>
      </c>
      <c r="Q32" s="77" t="n">
        <v>1628</v>
      </c>
      <c r="R32" s="77" t="n">
        <v>52125</v>
      </c>
      <c r="S32" s="77" t="n">
        <v>4</v>
      </c>
      <c r="T32" s="39" t="n"/>
    </row>
    <row r="33" ht="62" customHeight="1">
      <c r="A33" s="12">
        <f>_xlfn.IMAGE("https://m.media-amazon.com/images/I/818xrpI8WdL.jpg")</f>
        <v/>
      </c>
      <c r="B33" s="39" t="inlineStr">
        <is>
          <t>B0C7FD1CLN</t>
        </is>
      </c>
      <c r="C33" s="39" t="inlineStr">
        <is>
          <t>SATIN-SEA-TEAL-QUEEN-6PCS</t>
        </is>
      </c>
      <c r="D33" s="39" t="inlineStr">
        <is>
          <t>DECOLURE Satin Sheets Queen Size | Softer Than Silk | Luxury 6 Pc Bed Set</t>
        </is>
      </c>
      <c r="E33" s="39" t="inlineStr">
        <is>
          <t>Queen</t>
        </is>
      </c>
      <c r="F33" s="39" t="inlineStr">
        <is>
          <t>Sea Teal</t>
        </is>
      </c>
      <c r="G33" s="73" t="n">
        <v>31.95</v>
      </c>
      <c r="H33" s="39" t="inlineStr">
        <is>
          <t>catalog price, 2026-10-13</t>
        </is>
      </c>
      <c r="I33" s="74" t="n">
        <v>31.95</v>
      </c>
      <c r="J33" s="75" t="inlineStr">
        <is>
          <t>2026-03-30</t>
        </is>
      </c>
      <c r="K33" s="40" t="n">
        <v>9.380000000000001</v>
      </c>
      <c r="L33" s="76" t="n">
        <v>0.2935837245696401</v>
      </c>
      <c r="M33" s="77" t="n">
        <v>8</v>
      </c>
      <c r="N33" s="39" t="inlineStr">
        <is>
          <t>Active</t>
        </is>
      </c>
      <c r="O33" s="39" t="n"/>
      <c r="P33" s="78" t="n">
        <v>4.4</v>
      </c>
      <c r="Q33" s="77" t="n">
        <v>1628</v>
      </c>
      <c r="R33" s="77" t="n">
        <v>52125</v>
      </c>
      <c r="S33" s="77" t="n">
        <v>50</v>
      </c>
      <c r="T33" s="39" t="n"/>
    </row>
    <row r="34" ht="62" customHeight="1">
      <c r="A34" s="12">
        <f>_xlfn.IMAGE("https://m.media-amazon.com/images/I/81h83JgkpAL.jpg")</f>
        <v/>
      </c>
      <c r="B34" s="39" t="inlineStr">
        <is>
          <t>B0D9QSG8V3</t>
        </is>
      </c>
      <c r="C34" s="39" t="inlineStr">
        <is>
          <t>SATIN-6PC-KING-DARK GREEN</t>
        </is>
      </c>
      <c r="D34" s="39" t="inlineStr">
        <is>
          <t>DECOLURE Satin Sheets King Size | Softer Than Silk | Luxury 6 Pc Bed Set</t>
        </is>
      </c>
      <c r="E34" s="39" t="inlineStr">
        <is>
          <t>King</t>
        </is>
      </c>
      <c r="F34" s="39" t="inlineStr">
        <is>
          <t>Dark Green</t>
        </is>
      </c>
      <c r="G34" s="40" t="n"/>
      <c r="H34" s="39" t="n"/>
      <c r="I34" s="74" t="n">
        <v>33.95</v>
      </c>
      <c r="J34" s="75" t="inlineStr">
        <is>
          <t>2026-03-30</t>
        </is>
      </c>
      <c r="K34" s="40" t="n">
        <v>8.640000000000002</v>
      </c>
      <c r="L34" s="76" t="n">
        <v>0.2544918998527246</v>
      </c>
      <c r="M34" s="77" t="n">
        <v>7</v>
      </c>
      <c r="N34" s="39" t="inlineStr">
        <is>
          <t>Inactive</t>
        </is>
      </c>
      <c r="O34" s="39" t="n"/>
      <c r="P34" s="78" t="n"/>
      <c r="Q34" s="77" t="n"/>
      <c r="R34" s="77" t="n"/>
      <c r="S34" s="77" t="n"/>
      <c r="T34" s="39" t="n"/>
    </row>
    <row r="35" ht="62" customHeight="1">
      <c r="A35" s="12">
        <f>_xlfn.IMAGE("https://m.media-amazon.com/images/I/81cInbBJAML.jpg")</f>
        <v/>
      </c>
      <c r="B35" s="39" t="inlineStr">
        <is>
          <t>B0C7FQQH6V</t>
        </is>
      </c>
      <c r="C35" s="39" t="inlineStr">
        <is>
          <t>SATIN-KING-PURPLE-6PCS</t>
        </is>
      </c>
      <c r="D35" s="39" t="inlineStr">
        <is>
          <t>DECOLURE Satin Sheets King Size | Softer Than Silk | Luxury 6 Pc Bed Set</t>
        </is>
      </c>
      <c r="E35" s="39" t="inlineStr">
        <is>
          <t>King</t>
        </is>
      </c>
      <c r="F35" s="39" t="inlineStr">
        <is>
          <t>Purple</t>
        </is>
      </c>
      <c r="G35" s="73" t="n">
        <v>33.95</v>
      </c>
      <c r="H35" s="39" t="inlineStr">
        <is>
          <t>catalog price, 2026-10-13</t>
        </is>
      </c>
      <c r="I35" s="74" t="n">
        <v>33.95</v>
      </c>
      <c r="J35" s="75" t="inlineStr">
        <is>
          <t>2026-03-30</t>
        </is>
      </c>
      <c r="K35" s="40" t="n">
        <v>7.890000000000004</v>
      </c>
      <c r="L35" s="76" t="n">
        <v>0.2324005891016201</v>
      </c>
      <c r="M35" s="77" t="n">
        <v>7</v>
      </c>
      <c r="N35" s="39" t="inlineStr">
        <is>
          <t>Active</t>
        </is>
      </c>
      <c r="O35" s="39" t="n"/>
      <c r="P35" s="78" t="n">
        <v>4.4</v>
      </c>
      <c r="Q35" s="77" t="n">
        <v>1628</v>
      </c>
      <c r="R35" s="77" t="n">
        <v>52125</v>
      </c>
      <c r="S35" s="77" t="n">
        <v>4</v>
      </c>
      <c r="T35" s="39" t="n"/>
    </row>
    <row r="36" ht="62" customHeight="1">
      <c r="A36" s="12">
        <f>_xlfn.IMAGE("https://m.media-amazon.com/images/I/91LEDRktAdL.jpg")</f>
        <v/>
      </c>
      <c r="B36" s="39" t="inlineStr">
        <is>
          <t>B0C7JYWFP8</t>
        </is>
      </c>
      <c r="C36" s="39" t="inlineStr">
        <is>
          <t>SATIN-STRIPE-KING-RED--6-PCS</t>
        </is>
      </c>
      <c r="D36" s="39" t="inlineStr">
        <is>
          <t>DECOLURE Satin Sheets King Size | Softer Than Silk | Luxury 6 Pc Bed Set</t>
        </is>
      </c>
      <c r="E36" s="39" t="inlineStr">
        <is>
          <t>King</t>
        </is>
      </c>
      <c r="F36" s="39" t="inlineStr">
        <is>
          <t>Striped Red</t>
        </is>
      </c>
      <c r="G36" s="73" t="n">
        <v>33.95</v>
      </c>
      <c r="H36" s="39" t="inlineStr">
        <is>
          <t>catalog price, 2026-10-13</t>
        </is>
      </c>
      <c r="I36" s="74" t="n">
        <v>33.95</v>
      </c>
      <c r="J36" s="75" t="inlineStr">
        <is>
          <t>2026-03-30</t>
        </is>
      </c>
      <c r="K36" s="40" t="n">
        <v>7.900000000000002</v>
      </c>
      <c r="L36" s="76" t="n">
        <v>0.2326951399116348</v>
      </c>
      <c r="M36" s="77" t="n">
        <v>7</v>
      </c>
      <c r="N36" s="39" t="inlineStr">
        <is>
          <t>Active</t>
        </is>
      </c>
      <c r="O36" s="39" t="n"/>
      <c r="P36" s="78" t="n">
        <v>4.4</v>
      </c>
      <c r="Q36" s="77" t="n">
        <v>1628</v>
      </c>
      <c r="R36" s="77" t="n">
        <v>52125</v>
      </c>
      <c r="S36" s="77" t="n">
        <v>2</v>
      </c>
      <c r="T36" s="39" t="n"/>
    </row>
    <row r="37" ht="62" customHeight="1">
      <c r="A37" s="12">
        <f>_xlfn.IMAGE("https://m.media-amazon.com/images/I/81gUBcWN2iL.jpg")</f>
        <v/>
      </c>
      <c r="B37" s="39" t="inlineStr">
        <is>
          <t>B0D9QSZH1N</t>
        </is>
      </c>
      <c r="C37" s="39" t="inlineStr">
        <is>
          <t>SATIN-6PC-QUEEN-BABY BLUE</t>
        </is>
      </c>
      <c r="D37" s="39" t="inlineStr">
        <is>
          <t>DECOLURE Satin Sheets Queen Size | Softer Than Silk | Luxury 6 Pc Bed Set</t>
        </is>
      </c>
      <c r="E37" s="39" t="inlineStr">
        <is>
          <t>Queen</t>
        </is>
      </c>
      <c r="F37" s="39" t="inlineStr">
        <is>
          <t>Baby Blue</t>
        </is>
      </c>
      <c r="G37" s="73" t="n">
        <v>35.95</v>
      </c>
      <c r="H37" s="39" t="inlineStr">
        <is>
          <t>catalog price, 2026-10-13</t>
        </is>
      </c>
      <c r="I37" s="74" t="n">
        <v>31.95</v>
      </c>
      <c r="J37" s="75" t="inlineStr">
        <is>
          <t>2026-03-30</t>
        </is>
      </c>
      <c r="K37" s="40" t="n">
        <v>9.009999999999998</v>
      </c>
      <c r="L37" s="76" t="n">
        <v>0.2820031298904538</v>
      </c>
      <c r="M37" s="77" t="n">
        <v>7</v>
      </c>
      <c r="N37" s="39" t="inlineStr">
        <is>
          <t>Active</t>
        </is>
      </c>
      <c r="O37" s="39" t="n"/>
      <c r="P37" s="78" t="n">
        <v>4.4</v>
      </c>
      <c r="Q37" s="77" t="n">
        <v>1628</v>
      </c>
      <c r="R37" s="77" t="n">
        <v>52125</v>
      </c>
      <c r="S37" s="77" t="n">
        <v>3</v>
      </c>
      <c r="T37" s="39" t="n"/>
    </row>
    <row r="38" ht="62" customHeight="1">
      <c r="A38" s="12">
        <f>_xlfn.IMAGE("https://m.media-amazon.com/images/I/81Lq8U6Oz8L.jpg")</f>
        <v/>
      </c>
      <c r="B38" s="39" t="inlineStr">
        <is>
          <t>B0D9QTV7S6</t>
        </is>
      </c>
      <c r="C38" s="39" t="inlineStr">
        <is>
          <t>SATIN-6PC-QUEEN-BURNT ORANGE</t>
        </is>
      </c>
      <c r="D38" s="39" t="inlineStr">
        <is>
          <t>DECOLURE Satin Sheets Queen Size | Softer Than Silk | Luxury 6 Pc Bed Set</t>
        </is>
      </c>
      <c r="E38" s="39" t="inlineStr">
        <is>
          <t>Queen</t>
        </is>
      </c>
      <c r="F38" s="39" t="inlineStr">
        <is>
          <t>Burnt Orange</t>
        </is>
      </c>
      <c r="G38" s="73" t="n">
        <v>31.95</v>
      </c>
      <c r="H38" s="39" t="inlineStr">
        <is>
          <t>catalog price, 2026-10-13</t>
        </is>
      </c>
      <c r="I38" s="74" t="n">
        <v>38.95</v>
      </c>
      <c r="J38" s="75" t="inlineStr">
        <is>
          <t>2026-03-30</t>
        </is>
      </c>
      <c r="K38" s="40" t="n">
        <v>14.56</v>
      </c>
      <c r="L38" s="76" t="n">
        <v>0.3738125802310654</v>
      </c>
      <c r="M38" s="77" t="n">
        <v>7</v>
      </c>
      <c r="N38" s="39" t="inlineStr">
        <is>
          <t>Active</t>
        </is>
      </c>
      <c r="O38" s="39" t="n"/>
      <c r="P38" s="78" t="n">
        <v>4.4</v>
      </c>
      <c r="Q38" s="77" t="n">
        <v>1628</v>
      </c>
      <c r="R38" s="77" t="n">
        <v>52121</v>
      </c>
      <c r="S38" s="77" t="n">
        <v>2</v>
      </c>
      <c r="T38" s="39" t="n"/>
    </row>
    <row r="39" ht="62" customHeight="1">
      <c r="A39" s="12">
        <f>_xlfn.IMAGE("https://m.media-amazon.com/images/I/81VLLob-TFL.jpg")</f>
        <v/>
      </c>
      <c r="B39" s="39" t="inlineStr">
        <is>
          <t>B0D9QSYPF2</t>
        </is>
      </c>
      <c r="C39" s="39" t="inlineStr">
        <is>
          <t>SATIN-6PC-QUEEN-LAVENDER</t>
        </is>
      </c>
      <c r="D39" s="39" t="inlineStr">
        <is>
          <t>DECOLURE Satin Sheets Queen Size | Softer Than Silk | Luxury 6 Pc Bed Set</t>
        </is>
      </c>
      <c r="E39" s="39" t="inlineStr">
        <is>
          <t>Queen</t>
        </is>
      </c>
      <c r="F39" s="39" t="inlineStr">
        <is>
          <t>Lavender</t>
        </is>
      </c>
      <c r="G39" s="73" t="n">
        <v>31.95</v>
      </c>
      <c r="H39" s="39" t="inlineStr">
        <is>
          <t>catalog price, 2026-10-13</t>
        </is>
      </c>
      <c r="I39" s="74" t="n">
        <v>31.95</v>
      </c>
      <c r="J39" s="75" t="inlineStr">
        <is>
          <t>2026-03-30</t>
        </is>
      </c>
      <c r="K39" s="40" t="n">
        <v>8.280000000000001</v>
      </c>
      <c r="L39" s="76" t="n">
        <v>0.2591549295774648</v>
      </c>
      <c r="M39" s="77" t="n">
        <v>7</v>
      </c>
      <c r="N39" s="39" t="inlineStr">
        <is>
          <t>Active</t>
        </is>
      </c>
      <c r="O39" s="39" t="n"/>
      <c r="P39" s="78" t="n">
        <v>4.4</v>
      </c>
      <c r="Q39" s="77" t="n">
        <v>1628</v>
      </c>
      <c r="R39" s="77" t="n">
        <v>52125</v>
      </c>
      <c r="S39" s="77" t="n">
        <v>3</v>
      </c>
      <c r="T39" s="39" t="n"/>
    </row>
    <row r="40" ht="62" customHeight="1">
      <c r="A40" s="12">
        <f>_xlfn.IMAGE("https://m.media-amazon.com/images/I/81QbKTHtUqL.jpg")</f>
        <v/>
      </c>
      <c r="B40" s="39" t="inlineStr">
        <is>
          <t>B0C7FBBPL1</t>
        </is>
      </c>
      <c r="C40" s="39" t="inlineStr">
        <is>
          <t>SATIN-KING-BLUE-6PCS</t>
        </is>
      </c>
      <c r="D40" s="39" t="inlineStr">
        <is>
          <t>DECOLURE Satin Sheets King Size | Softer Than Silk | Luxury 6 Pc Bed Set</t>
        </is>
      </c>
      <c r="E40" s="39" t="inlineStr">
        <is>
          <t>King</t>
        </is>
      </c>
      <c r="F40" s="39" t="inlineStr">
        <is>
          <t>Blue</t>
        </is>
      </c>
      <c r="G40" s="73" t="n">
        <v>33.95</v>
      </c>
      <c r="H40" s="39" t="inlineStr">
        <is>
          <t>catalog price, 2026-10-13</t>
        </is>
      </c>
      <c r="I40" s="74" t="n">
        <v>33.95</v>
      </c>
      <c r="J40" s="75" t="inlineStr">
        <is>
          <t>2026-03-30</t>
        </is>
      </c>
      <c r="K40" s="40" t="n">
        <v>8.360000000000001</v>
      </c>
      <c r="L40" s="76" t="n">
        <v>0.2462444771723122</v>
      </c>
      <c r="M40" s="77" t="n">
        <v>6</v>
      </c>
      <c r="N40" s="39" t="inlineStr">
        <is>
          <t>Active</t>
        </is>
      </c>
      <c r="O40" s="39" t="n"/>
      <c r="P40" s="78" t="n">
        <v>4.4</v>
      </c>
      <c r="Q40" s="77" t="n">
        <v>1628</v>
      </c>
      <c r="R40" s="77" t="n">
        <v>52121</v>
      </c>
      <c r="S40" s="77" t="n">
        <v>6</v>
      </c>
      <c r="T40" s="39" t="n"/>
    </row>
    <row r="41" ht="62" customHeight="1">
      <c r="A41" s="12">
        <f>_xlfn.IMAGE("https://m.media-amazon.com/images/I/81Lq8U6Oz8L.jpg")</f>
        <v/>
      </c>
      <c r="B41" s="39" t="inlineStr">
        <is>
          <t>B0D9QTXKQD</t>
        </is>
      </c>
      <c r="C41" s="39" t="inlineStr">
        <is>
          <t>SATIN-6PC-KING-BURNT ORANGE</t>
        </is>
      </c>
      <c r="D41" s="39" t="inlineStr">
        <is>
          <t>DECOLURE Satin Sheets King Size | Softer Than Silk | Luxury 6 Pc Bed Set</t>
        </is>
      </c>
      <c r="E41" s="39" t="inlineStr">
        <is>
          <t>King</t>
        </is>
      </c>
      <c r="F41" s="39" t="inlineStr">
        <is>
          <t>Burnt Orange</t>
        </is>
      </c>
      <c r="G41" s="73" t="n">
        <v>33.95</v>
      </c>
      <c r="H41" s="39" t="inlineStr">
        <is>
          <t>catalog price, 2026-10-13</t>
        </is>
      </c>
      <c r="I41" s="74" t="n">
        <v>33.95</v>
      </c>
      <c r="J41" s="75" t="inlineStr">
        <is>
          <t>2026-03-30</t>
        </is>
      </c>
      <c r="K41" s="40" t="n">
        <v>9.010000000000003</v>
      </c>
      <c r="L41" s="76" t="n">
        <v>0.2653902798232696</v>
      </c>
      <c r="M41" s="77" t="n">
        <v>6</v>
      </c>
      <c r="N41" s="39" t="inlineStr">
        <is>
          <t>Active</t>
        </is>
      </c>
      <c r="O41" s="39" t="n"/>
      <c r="P41" s="78" t="n">
        <v>4.4</v>
      </c>
      <c r="Q41" s="77" t="n">
        <v>1628</v>
      </c>
      <c r="R41" s="77" t="n">
        <v>52125</v>
      </c>
      <c r="S41" s="77" t="n">
        <v>1</v>
      </c>
      <c r="T41" s="39" t="n"/>
    </row>
    <row r="42" ht="62" customHeight="1">
      <c r="A42" s="12">
        <f>_xlfn.IMAGE("https://m.media-amazon.com/images/I/81VLLob-TFL.jpg")</f>
        <v/>
      </c>
      <c r="B42" s="39" t="inlineStr">
        <is>
          <t>B0D9QRRTN7</t>
        </is>
      </c>
      <c r="C42" s="39" t="inlineStr">
        <is>
          <t>SATIN-6PC-KING-LAVENDER</t>
        </is>
      </c>
      <c r="D42" s="39" t="inlineStr">
        <is>
          <t>DECOLURE Satin Sheets King Size | Softer Than Silk | Luxury 6 Pc Bed Set</t>
        </is>
      </c>
      <c r="E42" s="39" t="inlineStr">
        <is>
          <t>King</t>
        </is>
      </c>
      <c r="F42" s="39" t="inlineStr">
        <is>
          <t>Lavender</t>
        </is>
      </c>
      <c r="G42" s="73" t="n">
        <v>33.95</v>
      </c>
      <c r="H42" s="39" t="inlineStr">
        <is>
          <t>catalog price, 2026-10-13</t>
        </is>
      </c>
      <c r="I42" s="74" t="n">
        <v>33.95</v>
      </c>
      <c r="J42" s="75" t="inlineStr">
        <is>
          <t>2026-03-30</t>
        </is>
      </c>
      <c r="K42" s="40" t="n">
        <v>8.030000000000003</v>
      </c>
      <c r="L42" s="76" t="n">
        <v>0.2365243004418263</v>
      </c>
      <c r="M42" s="77" t="n">
        <v>6</v>
      </c>
      <c r="N42" s="39" t="inlineStr">
        <is>
          <t>Active</t>
        </is>
      </c>
      <c r="O42" s="39" t="n"/>
      <c r="P42" s="78" t="n">
        <v>4.4</v>
      </c>
      <c r="Q42" s="77" t="n">
        <v>1628</v>
      </c>
      <c r="R42" s="77" t="n">
        <v>52125</v>
      </c>
      <c r="S42" s="77" t="n">
        <v>3</v>
      </c>
      <c r="T42" s="39" t="n"/>
    </row>
    <row r="43" ht="62" customHeight="1">
      <c r="A43" s="12">
        <f>_xlfn.IMAGE("https://m.media-amazon.com/images/I/81k4pZo8ZKL.jpg")</f>
        <v/>
      </c>
      <c r="B43" s="39" t="inlineStr">
        <is>
          <t>B0C7KB5TWS</t>
        </is>
      </c>
      <c r="C43" s="39" t="inlineStr">
        <is>
          <t>SATIN-STRIPE-KING-BLACK--6-PCS</t>
        </is>
      </c>
      <c r="D43" s="39" t="inlineStr">
        <is>
          <t>DECOLURE Satin Sheets King Size | Softer Than Silk | Luxury 6 Pc Bed Set</t>
        </is>
      </c>
      <c r="E43" s="39" t="inlineStr">
        <is>
          <t>King</t>
        </is>
      </c>
      <c r="F43" s="39" t="inlineStr">
        <is>
          <t>Striped Black</t>
        </is>
      </c>
      <c r="G43" s="73" t="n">
        <v>33.95</v>
      </c>
      <c r="H43" s="39" t="inlineStr">
        <is>
          <t>catalog price, 2026-10-13</t>
        </is>
      </c>
      <c r="I43" s="74" t="n">
        <v>33.95</v>
      </c>
      <c r="J43" s="75" t="inlineStr">
        <is>
          <t>2026-03-30</t>
        </is>
      </c>
      <c r="K43" s="40" t="n">
        <v>8.360000000000005</v>
      </c>
      <c r="L43" s="76" t="n">
        <v>0.2462444771723123</v>
      </c>
      <c r="M43" s="77" t="n">
        <v>6</v>
      </c>
      <c r="N43" s="39" t="inlineStr">
        <is>
          <t>Active</t>
        </is>
      </c>
      <c r="O43" s="39" t="n"/>
      <c r="P43" s="78" t="n">
        <v>4.4</v>
      </c>
      <c r="Q43" s="77" t="n">
        <v>1628</v>
      </c>
      <c r="R43" s="77" t="n">
        <v>52125</v>
      </c>
      <c r="S43" s="77" t="n">
        <v>3</v>
      </c>
      <c r="T43" s="39" t="n"/>
    </row>
    <row r="44" ht="62" customHeight="1">
      <c r="A44" s="12">
        <f>_xlfn.IMAGE("https://m.media-amazon.com/images/I/81PBLKf1SBL.jpg")</f>
        <v/>
      </c>
      <c r="B44" s="39" t="inlineStr">
        <is>
          <t>B0C7K74SLC</t>
        </is>
      </c>
      <c r="C44" s="39" t="inlineStr">
        <is>
          <t>SATIN-STRIPE-KING-GRAY--6-PCS</t>
        </is>
      </c>
      <c r="D44" s="39" t="inlineStr">
        <is>
          <t>DECOLURE Satin Sheets King Size | Softer Than Silk | Luxury 6 Pc Bed Set</t>
        </is>
      </c>
      <c r="E44" s="39" t="inlineStr">
        <is>
          <t>King</t>
        </is>
      </c>
      <c r="F44" s="39" t="inlineStr">
        <is>
          <t>Striped Grey</t>
        </is>
      </c>
      <c r="G44" s="73" t="n">
        <v>33.95</v>
      </c>
      <c r="H44" s="39" t="inlineStr">
        <is>
          <t>catalog price, 2026-10-13</t>
        </is>
      </c>
      <c r="I44" s="74" t="n">
        <v>33.95</v>
      </c>
      <c r="J44" s="75" t="inlineStr">
        <is>
          <t>2026-03-30</t>
        </is>
      </c>
      <c r="K44" s="40" t="n">
        <v>7.910000000000002</v>
      </c>
      <c r="L44" s="76" t="n">
        <v>0.2329896907216495</v>
      </c>
      <c r="M44" s="77" t="n">
        <v>6</v>
      </c>
      <c r="N44" s="39" t="inlineStr">
        <is>
          <t>Active</t>
        </is>
      </c>
      <c r="O44" s="39" t="n"/>
      <c r="P44" s="78" t="n">
        <v>4.4</v>
      </c>
      <c r="Q44" s="77" t="n">
        <v>1628</v>
      </c>
      <c r="R44" s="77" t="n">
        <v>52125</v>
      </c>
      <c r="S44" s="77" t="n">
        <v>2</v>
      </c>
      <c r="T44" s="39" t="n"/>
    </row>
    <row r="45" ht="62" customHeight="1">
      <c r="A45" s="12">
        <f>_xlfn.IMAGE("https://m.media-amazon.com/images/I/81h83JgkpAL.jpg")</f>
        <v/>
      </c>
      <c r="B45" s="39" t="inlineStr">
        <is>
          <t>B0D9QSYR9G</t>
        </is>
      </c>
      <c r="C45" s="39" t="inlineStr">
        <is>
          <t>SATIN-6PC-QUEEN-DARK GREEN</t>
        </is>
      </c>
      <c r="D45" s="39" t="inlineStr">
        <is>
          <t>DECOLURE Satin Sheets Queen Size | Softer Than Silk | Luxury 6 Pc Bed Set</t>
        </is>
      </c>
      <c r="E45" s="39" t="inlineStr">
        <is>
          <t>Queen</t>
        </is>
      </c>
      <c r="F45" s="39" t="inlineStr">
        <is>
          <t>Dark Green</t>
        </is>
      </c>
      <c r="G45" s="73" t="n">
        <v>31.95</v>
      </c>
      <c r="H45" s="39" t="inlineStr">
        <is>
          <t>catalog price, 2026-10-13</t>
        </is>
      </c>
      <c r="I45" s="74" t="n">
        <v>31.95</v>
      </c>
      <c r="J45" s="75" t="inlineStr">
        <is>
          <t>2026-03-30</t>
        </is>
      </c>
      <c r="K45" s="40" t="n">
        <v>9.409999999999998</v>
      </c>
      <c r="L45" s="76" t="n">
        <v>0.2945226917057903</v>
      </c>
      <c r="M45" s="77" t="n">
        <v>6</v>
      </c>
      <c r="N45" s="39" t="inlineStr">
        <is>
          <t>Active</t>
        </is>
      </c>
      <c r="O45" s="39" t="n"/>
      <c r="P45" s="78" t="n">
        <v>4.4</v>
      </c>
      <c r="Q45" s="77" t="n">
        <v>1628</v>
      </c>
      <c r="R45" s="77" t="n">
        <v>52125</v>
      </c>
      <c r="S45" s="77" t="n">
        <v>4</v>
      </c>
      <c r="T45" s="39" t="n"/>
    </row>
    <row r="46" ht="62" customHeight="1">
      <c r="A46" s="12">
        <f>_xlfn.IMAGE("https://m.media-amazon.com/images/I/81TFWOCMZHL.jpg")</f>
        <v/>
      </c>
      <c r="B46" s="39" t="inlineStr">
        <is>
          <t>B0C7FMQP5L</t>
        </is>
      </c>
      <c r="C46" s="39" t="inlineStr">
        <is>
          <t>SATIN-IVORY-QUEEN-6PCS</t>
        </is>
      </c>
      <c r="D46" s="39" t="inlineStr">
        <is>
          <t>DECOLURE Satin Sheets Queen Size | Softer Than Silk | Luxury 6 Pc Bed Set</t>
        </is>
      </c>
      <c r="E46" s="39" t="inlineStr">
        <is>
          <t>Queen</t>
        </is>
      </c>
      <c r="F46" s="39" t="inlineStr">
        <is>
          <t>Ivory</t>
        </is>
      </c>
      <c r="G46" s="73" t="n">
        <v>31.95</v>
      </c>
      <c r="H46" s="39" t="inlineStr">
        <is>
          <t>catalog price, 2026-10-13</t>
        </is>
      </c>
      <c r="I46" s="74" t="n">
        <v>31.95</v>
      </c>
      <c r="J46" s="75" t="inlineStr">
        <is>
          <t>2026-03-30</t>
        </is>
      </c>
      <c r="K46" s="40" t="n">
        <v>9.369999999999997</v>
      </c>
      <c r="L46" s="76" t="n">
        <v>0.2932707355242566</v>
      </c>
      <c r="M46" s="77" t="n">
        <v>6</v>
      </c>
      <c r="N46" s="39" t="inlineStr">
        <is>
          <t>Active</t>
        </is>
      </c>
      <c r="O46" s="39" t="n"/>
      <c r="P46" s="78" t="n">
        <v>4.4</v>
      </c>
      <c r="Q46" s="77" t="n">
        <v>1628</v>
      </c>
      <c r="R46" s="77" t="n">
        <v>52125</v>
      </c>
      <c r="S46" s="77" t="n">
        <v>3</v>
      </c>
      <c r="T46" s="39" t="n"/>
    </row>
    <row r="47" ht="62" customHeight="1">
      <c r="A47" s="12">
        <f>_xlfn.IMAGE("https://m.media-amazon.com/images/I/81OBu-lV5UL.jpg")</f>
        <v/>
      </c>
      <c r="B47" s="39" t="inlineStr">
        <is>
          <t>B0C7FSZ6RY</t>
        </is>
      </c>
      <c r="C47" s="39" t="inlineStr">
        <is>
          <t>SATIN-QUEEN-PINK-6PCS</t>
        </is>
      </c>
      <c r="D47" s="39" t="inlineStr">
        <is>
          <t>DECOLURE Satin Sheets Queen Size | Softer Than Silk | Luxury 6 Pc Bed Set</t>
        </is>
      </c>
      <c r="E47" s="39" t="inlineStr">
        <is>
          <t>Queen</t>
        </is>
      </c>
      <c r="F47" s="39" t="inlineStr">
        <is>
          <t>Pink</t>
        </is>
      </c>
      <c r="G47" s="73" t="n">
        <v>31.95</v>
      </c>
      <c r="H47" s="39" t="inlineStr">
        <is>
          <t>catalog price, 2026-10-13</t>
        </is>
      </c>
      <c r="I47" s="74" t="n">
        <v>31.95</v>
      </c>
      <c r="J47" s="75" t="inlineStr">
        <is>
          <t>2026-03-30</t>
        </is>
      </c>
      <c r="K47" s="40" t="n">
        <v>9.56</v>
      </c>
      <c r="L47" s="76" t="n">
        <v>0.2992175273865415</v>
      </c>
      <c r="M47" s="77" t="n">
        <v>6</v>
      </c>
      <c r="N47" s="39" t="inlineStr">
        <is>
          <t>Active</t>
        </is>
      </c>
      <c r="O47" s="39" t="n"/>
      <c r="P47" s="78" t="n">
        <v>4.4</v>
      </c>
      <c r="Q47" s="77" t="n">
        <v>1628</v>
      </c>
      <c r="R47" s="77" t="n">
        <v>52125</v>
      </c>
      <c r="S47" s="77" t="n">
        <v>5</v>
      </c>
      <c r="T47" s="39" t="n"/>
    </row>
    <row r="48" ht="62" customHeight="1">
      <c r="A48" s="12">
        <f>_xlfn.IMAGE("https://m.media-amazon.com/images/I/815cp0gvpML.jpg")</f>
        <v/>
      </c>
      <c r="B48" s="39" t="inlineStr">
        <is>
          <t>B0C7FTB8MQ</t>
        </is>
      </c>
      <c r="C48" s="39" t="inlineStr">
        <is>
          <t>SATIN-STONEGREY-QUEEN-6PCS</t>
        </is>
      </c>
      <c r="D48" s="39" t="inlineStr">
        <is>
          <t>DECOLURE Satin Sheets Queen Size | Softer Than Silk | Luxury 6 Pc Bed Set</t>
        </is>
      </c>
      <c r="E48" s="39" t="inlineStr">
        <is>
          <t>Queen</t>
        </is>
      </c>
      <c r="F48" s="39" t="inlineStr">
        <is>
          <t>Stone Grey</t>
        </is>
      </c>
      <c r="G48" s="73" t="n">
        <v>31.95</v>
      </c>
      <c r="H48" s="39" t="inlineStr">
        <is>
          <t>catalog price, 2026-10-13</t>
        </is>
      </c>
      <c r="I48" s="74" t="n">
        <v>31.95</v>
      </c>
      <c r="J48" s="75" t="inlineStr">
        <is>
          <t>2026-03-30</t>
        </is>
      </c>
      <c r="K48" s="40" t="n">
        <v>8.760000000000002</v>
      </c>
      <c r="L48" s="76" t="n">
        <v>0.2741784037558686</v>
      </c>
      <c r="M48" s="77" t="n">
        <v>6</v>
      </c>
      <c r="N48" s="39" t="inlineStr">
        <is>
          <t>Active</t>
        </is>
      </c>
      <c r="O48" s="39" t="inlineStr">
        <is>
          <t>Yes (2%)</t>
        </is>
      </c>
      <c r="P48" s="78" t="n">
        <v>4.4</v>
      </c>
      <c r="Q48" s="77" t="n">
        <v>1628</v>
      </c>
      <c r="R48" s="77" t="n">
        <v>52125</v>
      </c>
      <c r="S48" s="77" t="n">
        <v>78</v>
      </c>
      <c r="T48" s="39" t="n"/>
    </row>
    <row r="49" ht="62" customHeight="1">
      <c r="A49" s="12">
        <f>_xlfn.IMAGE("https://m.media-amazon.com/images/I/81VLLob-TFL.jpg")</f>
        <v/>
      </c>
      <c r="B49" s="39" t="inlineStr">
        <is>
          <t>B0D9QR6YSH</t>
        </is>
      </c>
      <c r="C49" s="39" t="inlineStr">
        <is>
          <t>SATIN-6PC-FULL-LAVENDER</t>
        </is>
      </c>
      <c r="D49" s="39" t="inlineStr">
        <is>
          <t>DECOLURE Satin Sheets Full Size | Softer Than Silk | Luxury 6 Pc Bed Set</t>
        </is>
      </c>
      <c r="E49" s="39" t="inlineStr">
        <is>
          <t>Full</t>
        </is>
      </c>
      <c r="F49" s="39" t="inlineStr">
        <is>
          <t>Lavender</t>
        </is>
      </c>
      <c r="G49" s="73" t="n">
        <v>29.95</v>
      </c>
      <c r="H49" s="39" t="inlineStr">
        <is>
          <t>catalog price, 2026-10-13</t>
        </is>
      </c>
      <c r="I49" s="74" t="n">
        <v>29.95</v>
      </c>
      <c r="J49" s="75" t="inlineStr">
        <is>
          <t>2026-03-30</t>
        </is>
      </c>
      <c r="K49" s="40" t="n">
        <v>6.190000000000001</v>
      </c>
      <c r="L49" s="76" t="n">
        <v>0.2066777963272121</v>
      </c>
      <c r="M49" s="77" t="n">
        <v>5</v>
      </c>
      <c r="N49" s="39" t="inlineStr">
        <is>
          <t>Active</t>
        </is>
      </c>
      <c r="O49" s="39" t="n"/>
      <c r="P49" s="78" t="n">
        <v>4.4</v>
      </c>
      <c r="Q49" s="77" t="n">
        <v>1628</v>
      </c>
      <c r="R49" s="77" t="n">
        <v>52125</v>
      </c>
      <c r="S49" s="77" t="n">
        <v>5</v>
      </c>
      <c r="T49" s="39" t="n"/>
    </row>
    <row r="50" ht="62" customHeight="1">
      <c r="A50" s="12">
        <f>_xlfn.IMAGE("https://m.media-amazon.com/images/I/81uzoBSAZyL.jpg")</f>
        <v/>
      </c>
      <c r="B50" s="39" t="inlineStr">
        <is>
          <t>B0C7FKF7J1</t>
        </is>
      </c>
      <c r="C50" s="39" t="inlineStr">
        <is>
          <t>SATIN-RED-KING-6PCS</t>
        </is>
      </c>
      <c r="D50" s="39" t="inlineStr">
        <is>
          <t>DECOLURE Satin Sheets King Size | Softer Than Silk | Luxury 6 Pc Bed Set</t>
        </is>
      </c>
      <c r="E50" s="39" t="inlineStr">
        <is>
          <t>King</t>
        </is>
      </c>
      <c r="F50" s="39" t="inlineStr">
        <is>
          <t>Red</t>
        </is>
      </c>
      <c r="G50" s="73" t="n">
        <v>33.95</v>
      </c>
      <c r="H50" s="39" t="inlineStr">
        <is>
          <t>catalog price, 2026-10-13</t>
        </is>
      </c>
      <c r="I50" s="74" t="n">
        <v>51.95</v>
      </c>
      <c r="J50" s="75" t="inlineStr">
        <is>
          <t>2026-03-10</t>
        </is>
      </c>
      <c r="K50" s="40" t="n">
        <v>23.69</v>
      </c>
      <c r="L50" s="76" t="n">
        <v>0.4560153994225217</v>
      </c>
      <c r="M50" s="77" t="n">
        <v>5</v>
      </c>
      <c r="N50" s="39" t="inlineStr">
        <is>
          <t>Active</t>
        </is>
      </c>
      <c r="O50" s="39" t="n"/>
      <c r="P50" s="78" t="n">
        <v>4.4</v>
      </c>
      <c r="Q50" s="77" t="n">
        <v>1628</v>
      </c>
      <c r="R50" s="77" t="n">
        <v>52125</v>
      </c>
      <c r="S50" s="77" t="n">
        <v>65</v>
      </c>
      <c r="T50" s="39" t="n"/>
    </row>
    <row r="51" ht="62" customHeight="1">
      <c r="A51" s="12">
        <f>_xlfn.IMAGE("https://m.media-amazon.com/images/I/81osNI447+L.jpg")</f>
        <v/>
      </c>
      <c r="B51" s="39" t="inlineStr">
        <is>
          <t>B0C7FP1L1V</t>
        </is>
      </c>
      <c r="C51" s="39" t="inlineStr">
        <is>
          <t>SATIN-ROSEWOOD-KING-6PCS</t>
        </is>
      </c>
      <c r="D51" s="39" t="inlineStr">
        <is>
          <t>DECOLURE Satin Sheets King Size | Softer Than Silk | Luxury 6 Pc Bed Set</t>
        </is>
      </c>
      <c r="E51" s="39" t="inlineStr">
        <is>
          <t>King</t>
        </is>
      </c>
      <c r="F51" s="39" t="inlineStr">
        <is>
          <t>Rosewood</t>
        </is>
      </c>
      <c r="G51" s="73" t="n">
        <v>33.95</v>
      </c>
      <c r="H51" s="39" t="inlineStr">
        <is>
          <t>catalog price, 2026-10-13</t>
        </is>
      </c>
      <c r="I51" s="74" t="n">
        <v>31.95</v>
      </c>
      <c r="J51" s="75" t="inlineStr">
        <is>
          <t>2026-03-30</t>
        </is>
      </c>
      <c r="K51" s="40" t="n">
        <v>7.959999999999999</v>
      </c>
      <c r="L51" s="76" t="n">
        <v>0.2491392801251956</v>
      </c>
      <c r="M51" s="77" t="n">
        <v>5</v>
      </c>
      <c r="N51" s="39" t="inlineStr">
        <is>
          <t>Active</t>
        </is>
      </c>
      <c r="O51" s="39" t="n"/>
      <c r="P51" s="78" t="n">
        <v>4.4</v>
      </c>
      <c r="Q51" s="77" t="n">
        <v>1628</v>
      </c>
      <c r="R51" s="77" t="n">
        <v>52125</v>
      </c>
      <c r="S51" s="77" t="n">
        <v>0.4812</v>
      </c>
      <c r="T51" s="39" t="n"/>
    </row>
    <row r="52" ht="62" customHeight="1">
      <c r="A52" s="12">
        <f>_xlfn.IMAGE("https://m.media-amazon.com/images/I/91wFGUsQtVL.jpg")</f>
        <v/>
      </c>
      <c r="B52" s="39" t="inlineStr">
        <is>
          <t>B0C7K92CTB</t>
        </is>
      </c>
      <c r="C52" s="39" t="inlineStr">
        <is>
          <t>SATIN-STRIPE-QUEEN-GOLD--6-PCS</t>
        </is>
      </c>
      <c r="D52" s="39" t="inlineStr">
        <is>
          <t>DECOLURE Satin Sheets Queen Size | Softer Than Silk | Luxury 6 Pc Bed Set</t>
        </is>
      </c>
      <c r="E52" s="39" t="inlineStr">
        <is>
          <t>Queen</t>
        </is>
      </c>
      <c r="F52" s="39" t="inlineStr">
        <is>
          <t>Striped Gold</t>
        </is>
      </c>
      <c r="G52" s="73" t="n">
        <v>31.95</v>
      </c>
      <c r="H52" s="39" t="inlineStr">
        <is>
          <t>catalog price, 2026-10-13</t>
        </is>
      </c>
      <c r="I52" s="74" t="n">
        <v>17.84</v>
      </c>
      <c r="J52" s="75" t="inlineStr">
        <is>
          <t>2026-03-30</t>
        </is>
      </c>
      <c r="K52" s="40" t="n">
        <v>-4.579999999999998</v>
      </c>
      <c r="L52" s="76" t="n">
        <v>-0.256726457399103</v>
      </c>
      <c r="M52" s="77" t="n">
        <v>5</v>
      </c>
      <c r="N52" s="39" t="inlineStr">
        <is>
          <t>Active</t>
        </is>
      </c>
      <c r="O52" s="39" t="n"/>
      <c r="P52" s="78" t="n">
        <v>4.4</v>
      </c>
      <c r="Q52" s="77" t="n">
        <v>1628</v>
      </c>
      <c r="R52" s="77" t="n">
        <v>52125</v>
      </c>
      <c r="S52" s="77" t="n">
        <v>6</v>
      </c>
      <c r="T52" s="39" t="n"/>
    </row>
    <row r="53" ht="62" customHeight="1">
      <c r="A53" s="12">
        <f>_xlfn.IMAGE("https://m.media-amazon.com/images/I/81gUBcWN2iL.jpg")</f>
        <v/>
      </c>
      <c r="B53" s="39" t="inlineStr">
        <is>
          <t>B0D9QSZR2C</t>
        </is>
      </c>
      <c r="C53" s="39" t="inlineStr">
        <is>
          <t>SATIN-6PC-KING-BABY BLUE</t>
        </is>
      </c>
      <c r="D53" s="39" t="inlineStr">
        <is>
          <t>DECOLURE Satin Sheets King Size | Softer Than Silk | Luxury 6 Pc Bed Set</t>
        </is>
      </c>
      <c r="E53" s="39" t="inlineStr">
        <is>
          <t>King</t>
        </is>
      </c>
      <c r="F53" s="39" t="inlineStr">
        <is>
          <t>Baby Blue</t>
        </is>
      </c>
      <c r="G53" s="73" t="n">
        <v>33.95</v>
      </c>
      <c r="H53" s="39" t="inlineStr">
        <is>
          <t>catalog price, 2026-10-13</t>
        </is>
      </c>
      <c r="I53" s="74" t="n">
        <v>33.95</v>
      </c>
      <c r="J53" s="75" t="inlineStr">
        <is>
          <t>2026-03-04</t>
        </is>
      </c>
      <c r="K53" s="40" t="n">
        <v>8.910000000000002</v>
      </c>
      <c r="L53" s="76" t="n">
        <v>0.2624447717231222</v>
      </c>
      <c r="M53" s="77" t="n">
        <v>4</v>
      </c>
      <c r="N53" s="39" t="inlineStr">
        <is>
          <t>Active</t>
        </is>
      </c>
      <c r="O53" s="39" t="n"/>
      <c r="P53" s="78" t="n">
        <v>4.4</v>
      </c>
      <c r="Q53" s="77" t="n">
        <v>1628</v>
      </c>
      <c r="R53" s="77" t="n">
        <v>52121</v>
      </c>
      <c r="S53" s="77" t="n">
        <v>2</v>
      </c>
      <c r="T53" s="39" t="n"/>
    </row>
    <row r="54" ht="62" customHeight="1">
      <c r="A54" s="12">
        <f>_xlfn.IMAGE("https://m.media-amazon.com/images/I/81lpi8F4ATL.jpg")</f>
        <v/>
      </c>
      <c r="B54" s="39" t="inlineStr">
        <is>
          <t>B0D9QTCGWW</t>
        </is>
      </c>
      <c r="C54" s="39" t="inlineStr">
        <is>
          <t>SATIN-6PC-KING-SAGE GREEN</t>
        </is>
      </c>
      <c r="D54" s="39" t="inlineStr">
        <is>
          <t>DECOLURE Satin Sheets King Size | Softer Than Silk | Luxury 6 Pc Bed Set</t>
        </is>
      </c>
      <c r="E54" s="39" t="inlineStr">
        <is>
          <t>King</t>
        </is>
      </c>
      <c r="F54" s="39" t="inlineStr">
        <is>
          <t>Sage Green</t>
        </is>
      </c>
      <c r="G54" s="73" t="n">
        <v>33.95</v>
      </c>
      <c r="H54" s="39" t="inlineStr">
        <is>
          <t>catalog price, 2026-10-13</t>
        </is>
      </c>
      <c r="I54" s="74" t="n">
        <v>33.95</v>
      </c>
      <c r="J54" s="75" t="inlineStr">
        <is>
          <t>2026-03-30</t>
        </is>
      </c>
      <c r="K54" s="40" t="n">
        <v>8.680000000000003</v>
      </c>
      <c r="L54" s="76" t="n">
        <v>0.2556701030927836</v>
      </c>
      <c r="M54" s="77" t="n">
        <v>4</v>
      </c>
      <c r="N54" s="39" t="inlineStr">
        <is>
          <t>Active</t>
        </is>
      </c>
      <c r="O54" s="39" t="n"/>
      <c r="P54" s="78" t="n">
        <v>4.4</v>
      </c>
      <c r="Q54" s="77" t="n">
        <v>1628</v>
      </c>
      <c r="R54" s="77" t="n">
        <v>52125</v>
      </c>
      <c r="S54" s="77" t="n">
        <v>1</v>
      </c>
      <c r="T54" s="39" t="n"/>
    </row>
    <row r="55" ht="62" customHeight="1">
      <c r="A55" s="12">
        <f>_xlfn.IMAGE("https://m.media-amazon.com/images/I/81JDVBgWOSL.jpg")</f>
        <v/>
      </c>
      <c r="B55" s="39" t="inlineStr">
        <is>
          <t>B0C7F5VMC8</t>
        </is>
      </c>
      <c r="C55" s="39" t="inlineStr">
        <is>
          <t>SATIN-WHITE-KING-6PCS</t>
        </is>
      </c>
      <c r="D55" s="39" t="inlineStr">
        <is>
          <t>DECOLURE Satin Bed Sheets - 6 Piece Luxury Silky King Size Bedding Set - Softer Than Silk, Wrinkle-Free with 15” Deep Pocket Fitted Sheet, Perfect for Hair &amp; Skin, Gifts for Women (White)</t>
        </is>
      </c>
      <c r="E55" s="39" t="inlineStr">
        <is>
          <t>King</t>
        </is>
      </c>
      <c r="F55" s="39" t="inlineStr">
        <is>
          <t>White</t>
        </is>
      </c>
      <c r="G55" s="73" t="n">
        <v>33.95</v>
      </c>
      <c r="H55" s="39" t="inlineStr">
        <is>
          <t>catalog price, 2026-10-13</t>
        </is>
      </c>
      <c r="I55" s="74" t="n">
        <v>33.95</v>
      </c>
      <c r="J55" s="75" t="inlineStr">
        <is>
          <t>2026-03-30</t>
        </is>
      </c>
      <c r="K55" s="40" t="n">
        <v>8.300000000000002</v>
      </c>
      <c r="L55" s="76" t="n">
        <v>0.2444771723122239</v>
      </c>
      <c r="M55" s="77" t="n">
        <v>4</v>
      </c>
      <c r="N55" s="39" t="inlineStr">
        <is>
          <t>Active</t>
        </is>
      </c>
      <c r="O55" s="39" t="n"/>
      <c r="P55" s="78" t="n">
        <v>4</v>
      </c>
      <c r="Q55" s="77" t="n">
        <v>28</v>
      </c>
      <c r="R55" s="77" t="n">
        <v>1165488</v>
      </c>
      <c r="S55" s="77" t="n">
        <v>6</v>
      </c>
      <c r="T55" s="79" t="inlineStr">
        <is>
          <t>SEPARATE listing - not in the main review family</t>
        </is>
      </c>
    </row>
    <row r="56" ht="62" customHeight="1">
      <c r="A56" s="12">
        <f>_xlfn.IMAGE("https://m.media-amazon.com/images/I/81QbKTHtUqL.jpg")</f>
        <v/>
      </c>
      <c r="B56" s="39" t="inlineStr">
        <is>
          <t>B0C7FJ461D</t>
        </is>
      </c>
      <c r="C56" s="39" t="inlineStr">
        <is>
          <t>SATIN-QUEEN-BLUE-6PCS</t>
        </is>
      </c>
      <c r="D56" s="39" t="inlineStr">
        <is>
          <t>DECOLURE Satin Sheets Queen Size | Softer Than Silk | Luxury 6 Pc Bed Set</t>
        </is>
      </c>
      <c r="E56" s="39" t="inlineStr">
        <is>
          <t>Queen</t>
        </is>
      </c>
      <c r="F56" s="39" t="inlineStr">
        <is>
          <t>Blue</t>
        </is>
      </c>
      <c r="G56" s="73" t="n">
        <v>31.95</v>
      </c>
      <c r="H56" s="39" t="inlineStr">
        <is>
          <t>catalog price, 2026-10-13</t>
        </is>
      </c>
      <c r="I56" s="74" t="n">
        <v>31.95</v>
      </c>
      <c r="J56" s="75" t="inlineStr">
        <is>
          <t>2026-03-30</t>
        </is>
      </c>
      <c r="K56" s="40" t="n">
        <v>9.009999999999998</v>
      </c>
      <c r="L56" s="76" t="n">
        <v>0.2820031298904538</v>
      </c>
      <c r="M56" s="77" t="n">
        <v>4</v>
      </c>
      <c r="N56" s="39" t="inlineStr">
        <is>
          <t>Active</t>
        </is>
      </c>
      <c r="O56" s="39" t="n"/>
      <c r="P56" s="78" t="n">
        <v>4.4</v>
      </c>
      <c r="Q56" s="77" t="n">
        <v>1628</v>
      </c>
      <c r="R56" s="77" t="n">
        <v>52121</v>
      </c>
      <c r="S56" s="77" t="n">
        <v>3</v>
      </c>
      <c r="T56" s="39" t="n"/>
    </row>
    <row r="57" ht="62" customHeight="1">
      <c r="A57" s="12">
        <f>_xlfn.IMAGE("https://m.media-amazon.com/images/I/81xV5hDfr6L.jpg")</f>
        <v/>
      </c>
      <c r="B57" s="39" t="inlineStr">
        <is>
          <t>B0C7KJMDNG</t>
        </is>
      </c>
      <c r="C57" s="39" t="inlineStr">
        <is>
          <t>SATIN-STRIPE-QUEEN-BLUE--6-PCS</t>
        </is>
      </c>
      <c r="D57" s="39" t="inlineStr">
        <is>
          <t>DECOLURE Satin Sheets Queen Size | Softer Than Silk | Luxury 6 Pc Bed Set</t>
        </is>
      </c>
      <c r="E57" s="39" t="inlineStr">
        <is>
          <t>Queen</t>
        </is>
      </c>
      <c r="F57" s="39" t="inlineStr">
        <is>
          <t>Striped Blue</t>
        </is>
      </c>
      <c r="G57" s="73" t="n">
        <v>31.95</v>
      </c>
      <c r="H57" s="39" t="inlineStr">
        <is>
          <t>catalog price, 2026-10-13</t>
        </is>
      </c>
      <c r="I57" s="74" t="n">
        <v>31.95</v>
      </c>
      <c r="J57" s="75" t="inlineStr">
        <is>
          <t>2026-03-30</t>
        </is>
      </c>
      <c r="K57" s="40" t="n">
        <v>7.5</v>
      </c>
      <c r="L57" s="76" t="n">
        <v>0.2347417840375587</v>
      </c>
      <c r="M57" s="77" t="n">
        <v>4</v>
      </c>
      <c r="N57" s="39" t="inlineStr">
        <is>
          <t>Active</t>
        </is>
      </c>
      <c r="O57" s="39" t="n"/>
      <c r="P57" s="78" t="n">
        <v>4.4</v>
      </c>
      <c r="Q57" s="77" t="n">
        <v>1628</v>
      </c>
      <c r="R57" s="77" t="n">
        <v>52125</v>
      </c>
      <c r="S57" s="77" t="n">
        <v>4</v>
      </c>
      <c r="T57" s="39" t="n"/>
    </row>
    <row r="58" ht="62" customHeight="1">
      <c r="A58" s="12">
        <f>_xlfn.IMAGE("https://m.media-amazon.com/images/I/81NTDmYCSHL.jpg")</f>
        <v/>
      </c>
      <c r="B58" s="39" t="inlineStr">
        <is>
          <t>B0C7K5TSRR</t>
        </is>
      </c>
      <c r="C58" s="39" t="inlineStr">
        <is>
          <t>SATIN-STRIPE-TWIN-GOLD--6-PCS</t>
        </is>
      </c>
      <c r="D58" s="39" t="inlineStr">
        <is>
          <t>DECOLURE Satin Sheets Twin Size | Softer Than Silk | Luxury 4 Pc Bed Set</t>
        </is>
      </c>
      <c r="E58" s="39" t="inlineStr">
        <is>
          <t>Twin</t>
        </is>
      </c>
      <c r="F58" s="39" t="inlineStr">
        <is>
          <t>Striped Gold</t>
        </is>
      </c>
      <c r="G58" s="73" t="n">
        <v>27.95</v>
      </c>
      <c r="H58" s="39" t="inlineStr">
        <is>
          <t>catalog price, 2026-10-13</t>
        </is>
      </c>
      <c r="I58" s="74" t="n">
        <v>34.95</v>
      </c>
      <c r="J58" s="75" t="inlineStr">
        <is>
          <t>2026-03-30</t>
        </is>
      </c>
      <c r="K58" s="40" t="n">
        <v>13.71</v>
      </c>
      <c r="L58" s="76" t="n">
        <v>0.392274678111588</v>
      </c>
      <c r="M58" s="77" t="n">
        <v>4</v>
      </c>
      <c r="N58" s="39" t="inlineStr">
        <is>
          <t>Active</t>
        </is>
      </c>
      <c r="O58" s="39" t="n"/>
      <c r="P58" s="78" t="n">
        <v>4.4</v>
      </c>
      <c r="Q58" s="77" t="n">
        <v>1628</v>
      </c>
      <c r="R58" s="77" t="n">
        <v>52125</v>
      </c>
      <c r="S58" s="77" t="n">
        <v>5</v>
      </c>
      <c r="T58" s="39" t="n"/>
    </row>
    <row r="59" ht="62" customHeight="1">
      <c r="A59" s="12">
        <f>_xlfn.IMAGE("https://m.media-amazon.com/images/I/81gUBcWN2iL.jpg")</f>
        <v/>
      </c>
      <c r="B59" s="39" t="inlineStr">
        <is>
          <t>B0D9QQWYP4</t>
        </is>
      </c>
      <c r="C59" s="39" t="inlineStr">
        <is>
          <t>SATIN-6PC-FULL-BABY BLUE</t>
        </is>
      </c>
      <c r="D59" s="39" t="inlineStr">
        <is>
          <t>DECOLURE Satin Sheets Full Size | Softer Than Silk | Luxury 6 Pc Bed Set</t>
        </is>
      </c>
      <c r="E59" s="39" t="inlineStr">
        <is>
          <t>Full</t>
        </is>
      </c>
      <c r="F59" s="39" t="inlineStr">
        <is>
          <t>Baby Blue</t>
        </is>
      </c>
      <c r="G59" s="73" t="n">
        <v>29.95</v>
      </c>
      <c r="H59" s="39" t="inlineStr">
        <is>
          <t>catalog price, 2026-10-13</t>
        </is>
      </c>
      <c r="I59" s="74" t="n">
        <v>41.95</v>
      </c>
      <c r="J59" s="75" t="inlineStr">
        <is>
          <t>2026-03-30</t>
        </is>
      </c>
      <c r="K59" s="40" t="n">
        <v>16.89</v>
      </c>
      <c r="L59" s="76" t="n">
        <v>0.402622169249106</v>
      </c>
      <c r="M59" s="77" t="n">
        <v>3</v>
      </c>
      <c r="N59" s="39" t="inlineStr">
        <is>
          <t>Active</t>
        </is>
      </c>
      <c r="O59" s="39" t="n"/>
      <c r="P59" s="78" t="n">
        <v>4.4</v>
      </c>
      <c r="Q59" s="77" t="n">
        <v>1628</v>
      </c>
      <c r="R59" s="77" t="n">
        <v>52125</v>
      </c>
      <c r="S59" s="77" t="n">
        <v>4</v>
      </c>
      <c r="T59" s="39" t="n"/>
    </row>
    <row r="60" ht="62" customHeight="1">
      <c r="A60" s="12">
        <f>_xlfn.IMAGE("https://m.media-amazon.com/images/I/81QbKTHtUqL.jpg")</f>
        <v/>
      </c>
      <c r="B60" s="39" t="inlineStr">
        <is>
          <t>B0C7FXQZVG</t>
        </is>
      </c>
      <c r="C60" s="39" t="inlineStr">
        <is>
          <t>SATIN-FULL-BLUE-6PCS</t>
        </is>
      </c>
      <c r="D60" s="39" t="inlineStr">
        <is>
          <t>DECOLURE Satin Sheets Full Size | Softer Than Silk | Luxury 6 Pc Bed Set</t>
        </is>
      </c>
      <c r="E60" s="39" t="inlineStr">
        <is>
          <t>Full</t>
        </is>
      </c>
      <c r="F60" s="39" t="inlineStr">
        <is>
          <t>Blue</t>
        </is>
      </c>
      <c r="G60" s="73" t="n">
        <v>29.95</v>
      </c>
      <c r="H60" s="39" t="inlineStr">
        <is>
          <t>catalog price, 2026-10-13</t>
        </is>
      </c>
      <c r="I60" s="74" t="n">
        <v>29.95</v>
      </c>
      <c r="J60" s="75" t="inlineStr">
        <is>
          <t>2026-03-30</t>
        </is>
      </c>
      <c r="K60" s="40" t="n">
        <v>7.699999999999999</v>
      </c>
      <c r="L60" s="76" t="n">
        <v>0.2570951585976627</v>
      </c>
      <c r="M60" s="77" t="n">
        <v>3</v>
      </c>
      <c r="N60" s="39" t="inlineStr">
        <is>
          <t>Active</t>
        </is>
      </c>
      <c r="O60" s="39" t="n"/>
      <c r="P60" s="78" t="n">
        <v>4.4</v>
      </c>
      <c r="Q60" s="77" t="n">
        <v>1628</v>
      </c>
      <c r="R60" s="77" t="n">
        <v>52121</v>
      </c>
      <c r="S60" s="77" t="n">
        <v>3</v>
      </c>
      <c r="T60" s="39" t="n"/>
    </row>
    <row r="61" ht="62" customHeight="1">
      <c r="A61" s="12">
        <f>_xlfn.IMAGE("https://m.media-amazon.com/images/I/81PU9JNVXwL._AC_SY355_.jpg")</f>
        <v/>
      </c>
      <c r="B61" s="39" t="inlineStr">
        <is>
          <t>B0D9QRCV3S</t>
        </is>
      </c>
      <c r="C61" s="39" t="inlineStr">
        <is>
          <t>SATIN-6PC-FULL-NAVY BLUE</t>
        </is>
      </c>
      <c r="D61" s="39" t="inlineStr">
        <is>
          <t>DECOLURE Satin Sheets Full Size | Softer Than Silk | Luxury 6 Pc Bed Set</t>
        </is>
      </c>
      <c r="E61" s="39" t="inlineStr">
        <is>
          <t>Full</t>
        </is>
      </c>
      <c r="F61" s="39" t="inlineStr">
        <is>
          <t>Navy Blue</t>
        </is>
      </c>
      <c r="G61" s="73" t="n">
        <v>29.95</v>
      </c>
      <c r="H61" s="39" t="inlineStr">
        <is>
          <t>catalog price, 2026-10-13</t>
        </is>
      </c>
      <c r="I61" s="74" t="n">
        <v>36.95</v>
      </c>
      <c r="J61" s="75" t="inlineStr">
        <is>
          <t>2026-03-30</t>
        </is>
      </c>
      <c r="K61" s="40" t="n">
        <v>11.94</v>
      </c>
      <c r="L61" s="76" t="n">
        <v>0.3231393775372126</v>
      </c>
      <c r="M61" s="77" t="n">
        <v>3</v>
      </c>
      <c r="N61" s="39" t="n"/>
      <c r="O61" s="39" t="n"/>
      <c r="P61" s="78" t="n">
        <v>4.4</v>
      </c>
      <c r="Q61" s="77" t="n">
        <v>1628</v>
      </c>
      <c r="R61" s="77" t="n">
        <v>52125</v>
      </c>
      <c r="S61" s="77" t="n">
        <v>3</v>
      </c>
      <c r="T61" s="39" t="n"/>
    </row>
    <row r="62" ht="62" customHeight="1">
      <c r="A62" s="12">
        <f>_xlfn.IMAGE("https://m.media-amazon.com/images/I/81cInbBJAML.jpg")</f>
        <v/>
      </c>
      <c r="B62" s="39" t="inlineStr">
        <is>
          <t>B0C7F65432</t>
        </is>
      </c>
      <c r="C62" s="39" t="inlineStr">
        <is>
          <t>SATIN-FULL-PURPLE-6PCS</t>
        </is>
      </c>
      <c r="D62" s="39" t="inlineStr">
        <is>
          <t>DECOLURE Satin Sheets Full Size | Softer Than Silk | Luxury 6 Pc Bed Set</t>
        </is>
      </c>
      <c r="E62" s="39" t="inlineStr">
        <is>
          <t>Full</t>
        </is>
      </c>
      <c r="F62" s="39" t="inlineStr">
        <is>
          <t>Purple</t>
        </is>
      </c>
      <c r="G62" s="73" t="n">
        <v>29.95</v>
      </c>
      <c r="H62" s="39" t="inlineStr">
        <is>
          <t>catalog price, 2026-10-13</t>
        </is>
      </c>
      <c r="I62" s="74" t="n">
        <v>32.95</v>
      </c>
      <c r="J62" s="75" t="inlineStr">
        <is>
          <t>2026-03-30</t>
        </is>
      </c>
      <c r="K62" s="40" t="n">
        <v>9.970000000000001</v>
      </c>
      <c r="L62" s="76" t="n">
        <v>0.3025796661608497</v>
      </c>
      <c r="M62" s="77" t="n">
        <v>3</v>
      </c>
      <c r="N62" s="39" t="inlineStr">
        <is>
          <t>Active</t>
        </is>
      </c>
      <c r="O62" s="39" t="n"/>
      <c r="P62" s="78" t="n">
        <v>4.4</v>
      </c>
      <c r="Q62" s="77" t="n">
        <v>1628</v>
      </c>
      <c r="R62" s="77" t="n">
        <v>52125</v>
      </c>
      <c r="S62" s="77" t="n">
        <v>3</v>
      </c>
      <c r="T62" s="39" t="n"/>
    </row>
    <row r="63" ht="62" customHeight="1">
      <c r="A63" s="12">
        <f>_xlfn.IMAGE("https://m.media-amazon.com/images/I/81uzoBSAZyL.jpg")</f>
        <v/>
      </c>
      <c r="B63" s="39" t="inlineStr">
        <is>
          <t>B0C7FWSYPL</t>
        </is>
      </c>
      <c r="C63" s="39" t="inlineStr">
        <is>
          <t>SATIN-RED-FULL-6-PCS</t>
        </is>
      </c>
      <c r="D63" s="39" t="inlineStr">
        <is>
          <t>DECOLURE Satin Sheets Full Size | Softer Than Silk | Luxury 6 Pc Bed Set</t>
        </is>
      </c>
      <c r="E63" s="39" t="inlineStr">
        <is>
          <t>Full</t>
        </is>
      </c>
      <c r="F63" s="39" t="inlineStr">
        <is>
          <t>Red</t>
        </is>
      </c>
      <c r="G63" s="73" t="n">
        <v>29.95</v>
      </c>
      <c r="H63" s="39" t="inlineStr">
        <is>
          <t>catalog price, 2026-10-13</t>
        </is>
      </c>
      <c r="I63" s="74" t="n">
        <v>29.95</v>
      </c>
      <c r="J63" s="75" t="inlineStr">
        <is>
          <t>2026-03-30</t>
        </is>
      </c>
      <c r="K63" s="40" t="n">
        <v>7.56</v>
      </c>
      <c r="L63" s="76" t="n">
        <v>0.2524207011686144</v>
      </c>
      <c r="M63" s="77" t="n">
        <v>3</v>
      </c>
      <c r="N63" s="39" t="inlineStr">
        <is>
          <t>Active</t>
        </is>
      </c>
      <c r="O63" s="39" t="n"/>
      <c r="P63" s="78" t="n">
        <v>4.4</v>
      </c>
      <c r="Q63" s="77" t="n">
        <v>1628</v>
      </c>
      <c r="R63" s="77" t="n">
        <v>52125</v>
      </c>
      <c r="S63" s="77" t="n">
        <v>3</v>
      </c>
      <c r="T63" s="39" t="n"/>
    </row>
    <row r="64" ht="62" customHeight="1">
      <c r="A64" s="12">
        <f>_xlfn.IMAGE("https://m.media-amazon.com/images/I/81lpi8F4ATL.jpg")</f>
        <v/>
      </c>
      <c r="B64" s="39" t="inlineStr">
        <is>
          <t>B0D9QVPJ4C</t>
        </is>
      </c>
      <c r="C64" s="39" t="inlineStr">
        <is>
          <t>SATIN-6PC-FULL-SAGE GREEN</t>
        </is>
      </c>
      <c r="D64" s="39" t="inlineStr">
        <is>
          <t>DECOLURE Satin Sheets Full Size | Softer Than Silk | Luxury 6 Pc Bed Set</t>
        </is>
      </c>
      <c r="E64" s="39" t="inlineStr">
        <is>
          <t>Full</t>
        </is>
      </c>
      <c r="F64" s="39" t="inlineStr">
        <is>
          <t>Sage Green</t>
        </is>
      </c>
      <c r="G64" s="73" t="n">
        <v>29.95</v>
      </c>
      <c r="H64" s="39" t="inlineStr">
        <is>
          <t>catalog price, 2026-10-13</t>
        </is>
      </c>
      <c r="I64" s="74" t="n">
        <v>17.97</v>
      </c>
      <c r="J64" s="75" t="inlineStr">
        <is>
          <t>2026-03-30</t>
        </is>
      </c>
      <c r="K64" s="40" t="n">
        <v>-4.470000000000001</v>
      </c>
      <c r="L64" s="76" t="n">
        <v>-0.2487479131886478</v>
      </c>
      <c r="M64" s="77" t="n">
        <v>3</v>
      </c>
      <c r="N64" s="39" t="inlineStr">
        <is>
          <t>Active</t>
        </is>
      </c>
      <c r="O64" s="39" t="n"/>
      <c r="P64" s="78" t="n">
        <v>4.4</v>
      </c>
      <c r="Q64" s="77" t="n">
        <v>1628</v>
      </c>
      <c r="R64" s="77" t="n">
        <v>52121</v>
      </c>
      <c r="S64" s="77" t="n">
        <v>5</v>
      </c>
      <c r="T64" s="39" t="n"/>
    </row>
    <row r="65" ht="62" customHeight="1">
      <c r="A65" s="12">
        <f>_xlfn.IMAGE("https://m.media-amazon.com/images/I/815cp0gvpML.jpg")</f>
        <v/>
      </c>
      <c r="B65" s="39" t="inlineStr">
        <is>
          <t>B0C7G4HJL5</t>
        </is>
      </c>
      <c r="C65" s="39" t="inlineStr">
        <is>
          <t>SATIN-STONEGREY-FULL-6PCS</t>
        </is>
      </c>
      <c r="D65" s="39" t="inlineStr">
        <is>
          <t>DECOLURE Satin Sheets Full Size | Softer Than Silk | Luxury 6 Pc Bed Set</t>
        </is>
      </c>
      <c r="E65" s="39" t="inlineStr">
        <is>
          <t>Full</t>
        </is>
      </c>
      <c r="F65" s="39" t="inlineStr">
        <is>
          <t>Stone Grey</t>
        </is>
      </c>
      <c r="G65" s="73" t="n">
        <v>29.95</v>
      </c>
      <c r="H65" s="39" t="inlineStr">
        <is>
          <t>catalog price, 2026-10-13</t>
        </is>
      </c>
      <c r="I65" s="74" t="n">
        <v>40.95</v>
      </c>
      <c r="J65" s="75" t="inlineStr">
        <is>
          <t>2026-03-30</t>
        </is>
      </c>
      <c r="K65" s="40" t="n">
        <v>16.43</v>
      </c>
      <c r="L65" s="76" t="n">
        <v>0.4012210012210012</v>
      </c>
      <c r="M65" s="77" t="n">
        <v>3</v>
      </c>
      <c r="N65" s="39" t="inlineStr">
        <is>
          <t>Active</t>
        </is>
      </c>
      <c r="O65" s="39" t="n"/>
      <c r="P65" s="78" t="n">
        <v>4.4</v>
      </c>
      <c r="Q65" s="77" t="n">
        <v>1628</v>
      </c>
      <c r="R65" s="77" t="n">
        <v>52125</v>
      </c>
      <c r="S65" s="77" t="n">
        <v>3</v>
      </c>
      <c r="T65" s="39" t="n"/>
    </row>
    <row r="66" ht="62" customHeight="1">
      <c r="A66" s="12">
        <f>_xlfn.IMAGE("https://m.media-amazon.com/images/I/81lpi8F4ATL.jpg")</f>
        <v/>
      </c>
      <c r="B66" s="39" t="inlineStr">
        <is>
          <t>B0D9QWZJ4P</t>
        </is>
      </c>
      <c r="C66" s="39" t="inlineStr">
        <is>
          <t>SATIN-6PC-QUEEN-SAGE GREEN</t>
        </is>
      </c>
      <c r="D66" s="39" t="inlineStr">
        <is>
          <t>DECOLURE Satin Sheets Queen Size | Softer Than Silk | Luxury 6 Pc Bed Set</t>
        </is>
      </c>
      <c r="E66" s="39" t="inlineStr">
        <is>
          <t>Queen</t>
        </is>
      </c>
      <c r="F66" s="39" t="inlineStr">
        <is>
          <t>Sage Green</t>
        </is>
      </c>
      <c r="G66" s="73" t="n">
        <v>31.95</v>
      </c>
      <c r="H66" s="39" t="inlineStr">
        <is>
          <t>catalog price, 2026-10-13</t>
        </is>
      </c>
      <c r="I66" s="74" t="n">
        <v>31.95</v>
      </c>
      <c r="J66" s="75" t="inlineStr">
        <is>
          <t>2026-03-30</t>
        </is>
      </c>
      <c r="K66" s="40" t="n">
        <v>8.379999999999999</v>
      </c>
      <c r="L66" s="76" t="n">
        <v>0.2622848200312989</v>
      </c>
      <c r="M66" s="77" t="n">
        <v>3</v>
      </c>
      <c r="N66" s="39" t="inlineStr">
        <is>
          <t>Active</t>
        </is>
      </c>
      <c r="O66" s="39" t="n"/>
      <c r="P66" s="78" t="n">
        <v>4.4</v>
      </c>
      <c r="Q66" s="77" t="n">
        <v>1628</v>
      </c>
      <c r="R66" s="77" t="n">
        <v>52121</v>
      </c>
      <c r="S66" s="77" t="n">
        <v>2</v>
      </c>
      <c r="T66" s="39" t="n"/>
    </row>
    <row r="67" ht="62" customHeight="1">
      <c r="A67" s="12">
        <f>_xlfn.IMAGE("https://m.media-amazon.com/images/I/81k4pZo8ZKL.jpg")</f>
        <v/>
      </c>
      <c r="B67" s="39" t="inlineStr">
        <is>
          <t>B0C7K5GC4L</t>
        </is>
      </c>
      <c r="C67" s="39" t="inlineStr">
        <is>
          <t>SATIN-STRIPE-QUEEN-BLACK--6-PCS</t>
        </is>
      </c>
      <c r="D67" s="39" t="inlineStr">
        <is>
          <t>DECOLURE Satin Sheets Queen Size | Softer Than Silk | Luxury 6 Pc Bed Set</t>
        </is>
      </c>
      <c r="E67" s="39" t="inlineStr">
        <is>
          <t>Queen</t>
        </is>
      </c>
      <c r="F67" s="39" t="inlineStr">
        <is>
          <t>Striped Black</t>
        </is>
      </c>
      <c r="G67" s="73" t="n">
        <v>31.95</v>
      </c>
      <c r="H67" s="39" t="inlineStr">
        <is>
          <t>catalog price, 2026-10-13</t>
        </is>
      </c>
      <c r="I67" s="74" t="n">
        <v>31.95</v>
      </c>
      <c r="J67" s="75" t="inlineStr">
        <is>
          <t>2026-03-30</t>
        </is>
      </c>
      <c r="K67" s="40" t="n">
        <v>8.049999999999999</v>
      </c>
      <c r="L67" s="76" t="n">
        <v>0.2519561815336463</v>
      </c>
      <c r="M67" s="77" t="n">
        <v>3</v>
      </c>
      <c r="N67" s="39" t="inlineStr">
        <is>
          <t>Active</t>
        </is>
      </c>
      <c r="O67" s="39" t="n"/>
      <c r="P67" s="78" t="n">
        <v>4.4</v>
      </c>
      <c r="Q67" s="77" t="n">
        <v>1628</v>
      </c>
      <c r="R67" s="77" t="n">
        <v>52125</v>
      </c>
      <c r="S67" s="77" t="n">
        <v>3</v>
      </c>
      <c r="T67" s="39" t="n"/>
    </row>
    <row r="68" ht="62" customHeight="1">
      <c r="A68" s="12">
        <f>_xlfn.IMAGE("https://m.media-amazon.com/images/I/91LEDRktAdL.jpg")</f>
        <v/>
      </c>
      <c r="B68" s="39" t="inlineStr">
        <is>
          <t>B0C7KBHV72</t>
        </is>
      </c>
      <c r="C68" s="39" t="inlineStr">
        <is>
          <t>SATIN-STRIPE-QUEEN-RED--6-PCS</t>
        </is>
      </c>
      <c r="D68" s="39" t="inlineStr">
        <is>
          <t>DECOLURE Satin Bed Sheets - 6 Piece Luxury Silky Queen Size Bedding Set - Softer Than Silk, Wrinkle-Free with 15” Deep Pocket Fitted Sheet, Perfect for Hair &amp; Skin, Gifts for Women (Striped Red-01)</t>
        </is>
      </c>
      <c r="E68" s="39" t="inlineStr">
        <is>
          <t>Queen</t>
        </is>
      </c>
      <c r="F68" s="39" t="inlineStr">
        <is>
          <t>Striped Red</t>
        </is>
      </c>
      <c r="G68" s="40" t="n"/>
      <c r="H68" s="39" t="n"/>
      <c r="I68" s="74" t="n">
        <v>31.95</v>
      </c>
      <c r="J68" s="75" t="inlineStr">
        <is>
          <t>2026-03-30</t>
        </is>
      </c>
      <c r="K68" s="40" t="n">
        <v>7.49</v>
      </c>
      <c r="L68" s="76" t="n">
        <v>0.2344287949921753</v>
      </c>
      <c r="M68" s="77" t="n">
        <v>3</v>
      </c>
      <c r="N68" s="39" t="inlineStr">
        <is>
          <t>Active</t>
        </is>
      </c>
      <c r="O68" s="39" t="n"/>
      <c r="P68" s="78" t="n"/>
      <c r="Q68" s="77" t="n"/>
      <c r="R68" s="77" t="n"/>
      <c r="S68" s="77" t="n"/>
      <c r="T68" s="39" t="n"/>
    </row>
    <row r="69" ht="62" customHeight="1">
      <c r="A69" s="12">
        <f>_xlfn.IMAGE("https://m.media-amazon.com/images/I/81v12xURZRL.jpg")</f>
        <v/>
      </c>
      <c r="B69" s="39" t="inlineStr">
        <is>
          <t>B0C7JQ8266</t>
        </is>
      </c>
      <c r="C69" s="39" t="inlineStr">
        <is>
          <t>SATIN-STRIPE-QUEEN-WHITE--6-PCS</t>
        </is>
      </c>
      <c r="D69" s="39" t="inlineStr">
        <is>
          <t>DECOLURE Satin Sheets Queen Size | Softer Than Silk | Luxury 6 Pc Bed Set</t>
        </is>
      </c>
      <c r="E69" s="39" t="inlineStr">
        <is>
          <t>Queen</t>
        </is>
      </c>
      <c r="F69" s="39" t="inlineStr">
        <is>
          <t>Striped White</t>
        </is>
      </c>
      <c r="G69" s="73" t="n">
        <v>31.95</v>
      </c>
      <c r="H69" s="39" t="inlineStr">
        <is>
          <t>catalog price, 2026-10-13</t>
        </is>
      </c>
      <c r="I69" s="74" t="n">
        <v>30.76</v>
      </c>
      <c r="J69" s="75" t="inlineStr">
        <is>
          <t>2026-03-30</t>
        </is>
      </c>
      <c r="K69" s="40" t="n">
        <v>6.520000000000001</v>
      </c>
      <c r="L69" s="76" t="n">
        <v>0.2119635890767231</v>
      </c>
      <c r="M69" s="77" t="n">
        <v>3</v>
      </c>
      <c r="N69" s="39" t="inlineStr">
        <is>
          <t>Active</t>
        </is>
      </c>
      <c r="O69" s="39" t="n"/>
      <c r="P69" s="78" t="n">
        <v>4.4</v>
      </c>
      <c r="Q69" s="77" t="n">
        <v>1628</v>
      </c>
      <c r="R69" s="77" t="n">
        <v>52125</v>
      </c>
      <c r="S69" s="77" t="n">
        <v>6</v>
      </c>
      <c r="T69" s="39" t="n"/>
    </row>
    <row r="70" ht="62" customHeight="1">
      <c r="A70" s="12">
        <f>_xlfn.IMAGE("https://m.media-amazon.com/images/I/81eI9Bizi9L.jpg")</f>
        <v/>
      </c>
      <c r="B70" s="39" t="inlineStr">
        <is>
          <t>B0C7FNVCWM</t>
        </is>
      </c>
      <c r="C70" s="39" t="inlineStr">
        <is>
          <t>SATIN-TWIN-GREY-6PCS</t>
        </is>
      </c>
      <c r="D70" s="39" t="inlineStr">
        <is>
          <t>DECOLURE Satin Sheets Twin Size | Softer Than Silk | Luxury 4 Pc Bed Set</t>
        </is>
      </c>
      <c r="E70" s="39" t="inlineStr">
        <is>
          <t>Twin</t>
        </is>
      </c>
      <c r="F70" s="39" t="inlineStr">
        <is>
          <t>Grey</t>
        </is>
      </c>
      <c r="G70" s="73" t="n">
        <v>27.95</v>
      </c>
      <c r="H70" s="39" t="inlineStr">
        <is>
          <t>catalog price, 2026-10-13</t>
        </is>
      </c>
      <c r="I70" s="74" t="n">
        <v>27.95</v>
      </c>
      <c r="J70" s="75" t="inlineStr">
        <is>
          <t>2026-03-30</t>
        </is>
      </c>
      <c r="K70" s="40" t="n">
        <v>7.169999999999996</v>
      </c>
      <c r="L70" s="76" t="n">
        <v>0.2565295169946332</v>
      </c>
      <c r="M70" s="77" t="n">
        <v>3</v>
      </c>
      <c r="N70" s="39" t="inlineStr">
        <is>
          <t>Active</t>
        </is>
      </c>
      <c r="O70" s="39" t="n"/>
      <c r="P70" s="78" t="n">
        <v>4.4</v>
      </c>
      <c r="Q70" s="77" t="n">
        <v>1628</v>
      </c>
      <c r="R70" s="77" t="n">
        <v>52125</v>
      </c>
      <c r="S70" s="77" t="n">
        <v>6</v>
      </c>
      <c r="T70" s="39" t="n"/>
    </row>
    <row r="71" ht="62" customHeight="1">
      <c r="A71" s="12">
        <f>_xlfn.IMAGE("https://m.media-amazon.com/images/I/814pweSkMgL.jpg")</f>
        <v/>
      </c>
      <c r="B71" s="39" t="inlineStr">
        <is>
          <t>B0D9QTXKQ8</t>
        </is>
      </c>
      <c r="C71" s="39" t="inlineStr">
        <is>
          <t>SATIN-4PC-TWIN-LAVENDER</t>
        </is>
      </c>
      <c r="D71" s="39" t="inlineStr">
        <is>
          <t>DECOLURE Satin Sheets Twin Size | Softer Than Silk | Luxury 4 Pc Bed Set</t>
        </is>
      </c>
      <c r="E71" s="39" t="inlineStr">
        <is>
          <t>Twin</t>
        </is>
      </c>
      <c r="F71" s="39" t="inlineStr">
        <is>
          <t>Lavender</t>
        </is>
      </c>
      <c r="G71" s="73" t="n">
        <v>27.95</v>
      </c>
      <c r="H71" s="39" t="inlineStr">
        <is>
          <t>catalog price, 2026-10-13</t>
        </is>
      </c>
      <c r="I71" s="74" t="n">
        <v>27.95</v>
      </c>
      <c r="J71" s="75" t="inlineStr">
        <is>
          <t>2026-03-30</t>
        </is>
      </c>
      <c r="K71" s="40" t="n">
        <v>9.529999999999998</v>
      </c>
      <c r="L71" s="76" t="n">
        <v>0.3409660107334525</v>
      </c>
      <c r="M71" s="77" t="n">
        <v>3</v>
      </c>
      <c r="N71" s="39" t="inlineStr">
        <is>
          <t>Active</t>
        </is>
      </c>
      <c r="O71" s="39" t="n"/>
      <c r="P71" s="78" t="n">
        <v>4.4</v>
      </c>
      <c r="Q71" s="77" t="n">
        <v>1628</v>
      </c>
      <c r="R71" s="77" t="n">
        <v>52125</v>
      </c>
      <c r="S71" s="77" t="n">
        <v>6</v>
      </c>
      <c r="T71" s="39" t="n"/>
    </row>
    <row r="72" ht="62" customHeight="1">
      <c r="A72" s="12">
        <f>_xlfn.IMAGE("https://m.media-amazon.com/images/I/81EP82PeCzL.jpg")</f>
        <v/>
      </c>
      <c r="B72" s="39" t="inlineStr">
        <is>
          <t>B0C7FDN7ZM</t>
        </is>
      </c>
      <c r="C72" s="39" t="inlineStr">
        <is>
          <t>SATIN-ROSEWOOD-TWIN-6PCS</t>
        </is>
      </c>
      <c r="D72" s="39" t="inlineStr">
        <is>
          <t>DECOLURE Satin Sheets Twin Size | Softer Than Silk | Luxury 4 Pc Bed Set</t>
        </is>
      </c>
      <c r="E72" s="39" t="inlineStr">
        <is>
          <t>Twin</t>
        </is>
      </c>
      <c r="F72" s="39" t="inlineStr">
        <is>
          <t>Rosewood</t>
        </is>
      </c>
      <c r="G72" s="73" t="n">
        <v>27.95</v>
      </c>
      <c r="H72" s="39" t="inlineStr">
        <is>
          <t>catalog price, 2026-10-13</t>
        </is>
      </c>
      <c r="I72" s="74" t="n">
        <v>36.95</v>
      </c>
      <c r="J72" s="75" t="inlineStr">
        <is>
          <t>2026-03-30</t>
        </is>
      </c>
      <c r="K72" s="40" t="n">
        <v>16.47000000000001</v>
      </c>
      <c r="L72" s="76" t="n">
        <v>0.4457374830852505</v>
      </c>
      <c r="M72" s="77" t="n">
        <v>3</v>
      </c>
      <c r="N72" s="39" t="inlineStr">
        <is>
          <t>Active</t>
        </is>
      </c>
      <c r="O72" s="39" t="n"/>
      <c r="P72" s="78" t="n">
        <v>4.4</v>
      </c>
      <c r="Q72" s="77" t="n">
        <v>1628</v>
      </c>
      <c r="R72" s="77" t="n">
        <v>52125</v>
      </c>
      <c r="S72" s="77" t="n">
        <v>6</v>
      </c>
      <c r="T72" s="39" t="n"/>
    </row>
    <row r="73" ht="62" customHeight="1">
      <c r="A73" s="12">
        <f>_xlfn.IMAGE("https://m.media-amazon.com/images/I/81NXdWsawHL.jpg")</f>
        <v/>
      </c>
      <c r="B73" s="39" t="inlineStr">
        <is>
          <t>B0C7FSXPC5</t>
        </is>
      </c>
      <c r="C73" s="39" t="inlineStr">
        <is>
          <t>SATIN-CHAMPAGNE-FULL-6PCS</t>
        </is>
      </c>
      <c r="D73" s="39" t="inlineStr">
        <is>
          <t>DECOLURE Satin Sheets Full Size | Softer Than Silk | Luxury 6 Pc Bed Set</t>
        </is>
      </c>
      <c r="E73" s="39" t="inlineStr">
        <is>
          <t>Full</t>
        </is>
      </c>
      <c r="F73" s="39" t="inlineStr">
        <is>
          <t>Champagne</t>
        </is>
      </c>
      <c r="G73" s="73" t="n">
        <v>29.95</v>
      </c>
      <c r="H73" s="39" t="inlineStr">
        <is>
          <t>catalog price, 2026-10-13</t>
        </is>
      </c>
      <c r="I73" s="74" t="n">
        <v>31.95</v>
      </c>
      <c r="J73" s="75" t="inlineStr">
        <is>
          <t>2026-03-30</t>
        </is>
      </c>
      <c r="K73" s="40" t="n">
        <v>9.270000000000001</v>
      </c>
      <c r="L73" s="76" t="n">
        <v>0.2901408450704226</v>
      </c>
      <c r="M73" s="77" t="n">
        <v>2</v>
      </c>
      <c r="N73" s="39" t="inlineStr">
        <is>
          <t>Active</t>
        </is>
      </c>
      <c r="O73" s="39" t="n"/>
      <c r="P73" s="78" t="n">
        <v>4.4</v>
      </c>
      <c r="Q73" s="77" t="n">
        <v>1628</v>
      </c>
      <c r="R73" s="77" t="n">
        <v>52125</v>
      </c>
      <c r="S73" s="77" t="n">
        <v>3</v>
      </c>
      <c r="T73" s="39" t="n"/>
    </row>
    <row r="74" ht="62" customHeight="1">
      <c r="A74" s="12">
        <f>_xlfn.IMAGE("https://m.media-amazon.com/images/I/81OBu-lV5UL.jpg")</f>
        <v/>
      </c>
      <c r="B74" s="39" t="inlineStr">
        <is>
          <t>B0C7FQTJYM</t>
        </is>
      </c>
      <c r="C74" s="39" t="inlineStr">
        <is>
          <t>SATIN-FULL-PINK-6PCS</t>
        </is>
      </c>
      <c r="D74" s="39" t="inlineStr">
        <is>
          <t>DECOLURE Satin Sheets Full Size | Softer Than Silk | Luxury 6 Pc Bed Set</t>
        </is>
      </c>
      <c r="E74" s="39" t="inlineStr">
        <is>
          <t>Full</t>
        </is>
      </c>
      <c r="F74" s="39" t="inlineStr">
        <is>
          <t>Pink</t>
        </is>
      </c>
      <c r="G74" s="73" t="n">
        <v>29.95</v>
      </c>
      <c r="H74" s="39" t="inlineStr">
        <is>
          <t>catalog price, 2026-10-13</t>
        </is>
      </c>
      <c r="I74" s="74" t="n">
        <v>41.95</v>
      </c>
      <c r="J74" s="75" t="inlineStr">
        <is>
          <t>2026-03-30</t>
        </is>
      </c>
      <c r="K74" s="40" t="n">
        <v>18.8</v>
      </c>
      <c r="L74" s="76" t="n">
        <v>0.4481525625744935</v>
      </c>
      <c r="M74" s="77" t="n">
        <v>2</v>
      </c>
      <c r="N74" s="39" t="inlineStr">
        <is>
          <t>Active</t>
        </is>
      </c>
      <c r="O74" s="39" t="n"/>
      <c r="P74" s="78" t="n">
        <v>4.4</v>
      </c>
      <c r="Q74" s="77" t="n">
        <v>1628</v>
      </c>
      <c r="R74" s="77" t="n">
        <v>52125</v>
      </c>
      <c r="S74" s="77" t="n">
        <v>4</v>
      </c>
      <c r="T74" s="39" t="n"/>
    </row>
    <row r="75" ht="62" customHeight="1">
      <c r="A75" s="12">
        <f>_xlfn.IMAGE("https://m.media-amazon.com/images/I/818xrpI8WdL.jpg")</f>
        <v/>
      </c>
      <c r="B75" s="39" t="inlineStr">
        <is>
          <t>B0C7FW4Q1C</t>
        </is>
      </c>
      <c r="C75" s="39" t="inlineStr">
        <is>
          <t>SATIN-SEA-TEAL-FULL-6PCS</t>
        </is>
      </c>
      <c r="D75" s="39" t="inlineStr">
        <is>
          <t>DECOLURE Satin Sheets Full Size | Softer Than Silk | Luxury 6 Pc Bed Set</t>
        </is>
      </c>
      <c r="E75" s="39" t="inlineStr">
        <is>
          <t>Full</t>
        </is>
      </c>
      <c r="F75" s="39" t="inlineStr">
        <is>
          <t>Sea Teal</t>
        </is>
      </c>
      <c r="G75" s="73" t="n">
        <v>29.95</v>
      </c>
      <c r="H75" s="39" t="inlineStr">
        <is>
          <t>catalog price, 2026-10-13</t>
        </is>
      </c>
      <c r="I75" s="74" t="n">
        <v>34.95</v>
      </c>
      <c r="J75" s="75" t="inlineStr">
        <is>
          <t>2026-03-30</t>
        </is>
      </c>
      <c r="K75" s="40" t="n">
        <v>11.91</v>
      </c>
      <c r="L75" s="76" t="n">
        <v>0.3407725321888412</v>
      </c>
      <c r="M75" s="77" t="n">
        <v>2</v>
      </c>
      <c r="N75" s="39" t="inlineStr">
        <is>
          <t>Active</t>
        </is>
      </c>
      <c r="O75" s="39" t="n"/>
      <c r="P75" s="78" t="n">
        <v>4.4</v>
      </c>
      <c r="Q75" s="77" t="n">
        <v>1628</v>
      </c>
      <c r="R75" s="77" t="n">
        <v>52125</v>
      </c>
      <c r="S75" s="77" t="n">
        <v>2</v>
      </c>
      <c r="T75" s="39" t="n"/>
    </row>
    <row r="76" ht="62" customHeight="1">
      <c r="A76" s="12">
        <f>_xlfn.IMAGE("https://m.media-amazon.com/images/I/81TFWOCMZHL.jpg")</f>
        <v/>
      </c>
      <c r="B76" s="39" t="inlineStr">
        <is>
          <t>B0C7FFMKP8</t>
        </is>
      </c>
      <c r="C76" s="39" t="inlineStr">
        <is>
          <t>SATIN-IVORY-KING-6PCS</t>
        </is>
      </c>
      <c r="D76" s="39" t="inlineStr">
        <is>
          <t>DECOLURE Satin Sheets King Size | Softer Than Silk | Luxury 6 Pc Bed Set</t>
        </is>
      </c>
      <c r="E76" s="39" t="inlineStr">
        <is>
          <t>King</t>
        </is>
      </c>
      <c r="F76" s="39" t="inlineStr">
        <is>
          <t>Ivory</t>
        </is>
      </c>
      <c r="G76" s="73" t="n">
        <v>33.95</v>
      </c>
      <c r="H76" s="39" t="inlineStr">
        <is>
          <t>catalog price, 2026-10-13</t>
        </is>
      </c>
      <c r="I76" s="74" t="n">
        <v>33.95</v>
      </c>
      <c r="J76" s="75" t="inlineStr">
        <is>
          <t>2026-03-30</t>
        </is>
      </c>
      <c r="K76" s="40" t="n">
        <v>9.320000000000004</v>
      </c>
      <c r="L76" s="76" t="n">
        <v>0.2745213549337261</v>
      </c>
      <c r="M76" s="77" t="n">
        <v>2</v>
      </c>
      <c r="N76" s="39" t="inlineStr">
        <is>
          <t>Active</t>
        </is>
      </c>
      <c r="O76" s="39" t="n"/>
      <c r="P76" s="78" t="n">
        <v>4.4</v>
      </c>
      <c r="Q76" s="77" t="n">
        <v>1628</v>
      </c>
      <c r="R76" s="77" t="n">
        <v>52125</v>
      </c>
      <c r="S76" s="77" t="n">
        <v>4</v>
      </c>
      <c r="T76" s="39" t="n"/>
    </row>
    <row r="77" ht="62" customHeight="1">
      <c r="A77" s="12">
        <f>_xlfn.IMAGE("https://m.media-amazon.com/images/I/81OBu-lV5UL.jpg")</f>
        <v/>
      </c>
      <c r="B77" s="39" t="inlineStr">
        <is>
          <t>B0C7FMDPBF</t>
        </is>
      </c>
      <c r="C77" s="39" t="inlineStr">
        <is>
          <t>SATIN-KING-PINK-6PCS</t>
        </is>
      </c>
      <c r="D77" s="39" t="inlineStr">
        <is>
          <t>DECOLURE Satin Sheets King Size | Softer Than Silk | Luxury 6 Pc Bed Set</t>
        </is>
      </c>
      <c r="E77" s="39" t="inlineStr">
        <is>
          <t>King</t>
        </is>
      </c>
      <c r="F77" s="39" t="inlineStr">
        <is>
          <t>Pink</t>
        </is>
      </c>
      <c r="G77" s="73" t="n">
        <v>33.95</v>
      </c>
      <c r="H77" s="39" t="inlineStr">
        <is>
          <t>catalog price, 2026-10-13</t>
        </is>
      </c>
      <c r="I77" s="74" t="n">
        <v>48.95</v>
      </c>
      <c r="J77" s="75" t="inlineStr">
        <is>
          <t>2026-03-30</t>
        </is>
      </c>
      <c r="K77" s="40" t="n">
        <v>22.08</v>
      </c>
      <c r="L77" s="76" t="n">
        <v>0.4510725229826352</v>
      </c>
      <c r="M77" s="77" t="n">
        <v>2</v>
      </c>
      <c r="N77" s="39" t="inlineStr">
        <is>
          <t>Active</t>
        </is>
      </c>
      <c r="O77" s="39" t="n"/>
      <c r="P77" s="78" t="n">
        <v>4.4</v>
      </c>
      <c r="Q77" s="77" t="n">
        <v>1628</v>
      </c>
      <c r="R77" s="77" t="n">
        <v>52125</v>
      </c>
      <c r="S77" s="77" t="n">
        <v>3</v>
      </c>
      <c r="T77" s="39" t="n"/>
    </row>
    <row r="78" ht="62" customHeight="1">
      <c r="A78" s="12">
        <f>_xlfn.IMAGE("https://m.media-amazon.com/images/I/81kHTwIB46L.jpg")</f>
        <v/>
      </c>
      <c r="B78" s="39" t="inlineStr">
        <is>
          <t>B0D9QR66X1</t>
        </is>
      </c>
      <c r="C78" s="39" t="inlineStr">
        <is>
          <t>SATIN-6PC-QUEEN-BLUSH PINK</t>
        </is>
      </c>
      <c r="D78" s="39" t="inlineStr">
        <is>
          <t>DECOLURE Satin Sheets Queen Size | Softer Than Silk | Luxury 6 Pc Bed Set</t>
        </is>
      </c>
      <c r="E78" s="39" t="inlineStr">
        <is>
          <t>Queen</t>
        </is>
      </c>
      <c r="F78" s="39" t="inlineStr">
        <is>
          <t>Blush Pink</t>
        </is>
      </c>
      <c r="G78" s="73" t="n">
        <v>31.95</v>
      </c>
      <c r="H78" s="39" t="inlineStr">
        <is>
          <t>catalog price, 2026-10-13</t>
        </is>
      </c>
      <c r="I78" s="74" t="n">
        <v>31.95</v>
      </c>
      <c r="J78" s="75" t="inlineStr">
        <is>
          <t>2026-03-30</t>
        </is>
      </c>
      <c r="K78" s="40" t="n">
        <v>8.370000000000001</v>
      </c>
      <c r="L78" s="76" t="n">
        <v>0.2619718309859155</v>
      </c>
      <c r="M78" s="77" t="n">
        <v>2</v>
      </c>
      <c r="N78" s="39" t="inlineStr">
        <is>
          <t>Active</t>
        </is>
      </c>
      <c r="O78" s="39" t="n"/>
      <c r="P78" s="78" t="n">
        <v>4.4</v>
      </c>
      <c r="Q78" s="77" t="n">
        <v>1628</v>
      </c>
      <c r="R78" s="77" t="n">
        <v>52125</v>
      </c>
      <c r="S78" s="77" t="n">
        <v>118</v>
      </c>
      <c r="T78" s="39" t="n"/>
    </row>
    <row r="79" ht="62" customHeight="1">
      <c r="A79" s="12">
        <f>_xlfn.IMAGE("https://m.media-amazon.com/images/I/81PBLKf1SBL.jpg")</f>
        <v/>
      </c>
      <c r="B79" s="39" t="inlineStr">
        <is>
          <t>B0C7K438ML</t>
        </is>
      </c>
      <c r="C79" s="39" t="inlineStr">
        <is>
          <t>SATIN-STRIPE-QUEEN-GRAY--6-PCS</t>
        </is>
      </c>
      <c r="D79" s="39" t="inlineStr">
        <is>
          <t>DECOLURE Satin Sheets Queen Size | Softer Than Silk | Luxury 6 Pc Bed Set</t>
        </is>
      </c>
      <c r="E79" s="39" t="inlineStr">
        <is>
          <t>Queen</t>
        </is>
      </c>
      <c r="F79" s="39" t="inlineStr">
        <is>
          <t>Striped Grey</t>
        </is>
      </c>
      <c r="G79" s="73" t="n">
        <v>31.95</v>
      </c>
      <c r="H79" s="39" t="inlineStr">
        <is>
          <t>catalog price, 2026-10-13</t>
        </is>
      </c>
      <c r="I79" s="74" t="n">
        <v>23.47</v>
      </c>
      <c r="J79" s="75" t="inlineStr">
        <is>
          <t>2026-03-30</t>
        </is>
      </c>
      <c r="K79" s="40" t="n">
        <v>0.4799999999999986</v>
      </c>
      <c r="L79" s="76" t="n">
        <v>0.02045164039198972</v>
      </c>
      <c r="M79" s="77" t="n">
        <v>2</v>
      </c>
      <c r="N79" s="39" t="inlineStr">
        <is>
          <t>Active</t>
        </is>
      </c>
      <c r="O79" s="39" t="n"/>
      <c r="P79" s="78" t="n">
        <v>4.4</v>
      </c>
      <c r="Q79" s="77" t="n">
        <v>1628</v>
      </c>
      <c r="R79" s="77" t="n">
        <v>52125</v>
      </c>
      <c r="S79" s="77" t="n">
        <v>4</v>
      </c>
      <c r="T79" s="39" t="n"/>
    </row>
    <row r="80" ht="62" customHeight="1">
      <c r="A80" s="12">
        <f>_xlfn.IMAGE("https://m.media-amazon.com/images/I/81Z3bEG6bxL.jpg")</f>
        <v/>
      </c>
      <c r="B80" s="39" t="inlineStr">
        <is>
          <t>B0C7FK58RV</t>
        </is>
      </c>
      <c r="C80" s="39" t="inlineStr">
        <is>
          <t>SATIN-TAUPE-QUEEN-6PCS</t>
        </is>
      </c>
      <c r="D80" s="39" t="inlineStr">
        <is>
          <t>DECOLURE Satin Sheets Queen Size | Softer Than Silk | Luxury 6 Pc Bed Set</t>
        </is>
      </c>
      <c r="E80" s="39" t="inlineStr">
        <is>
          <t>Queen</t>
        </is>
      </c>
      <c r="F80" s="39" t="inlineStr">
        <is>
          <t>Taupe</t>
        </is>
      </c>
      <c r="G80" s="73" t="n">
        <v>31.95</v>
      </c>
      <c r="H80" s="39" t="inlineStr">
        <is>
          <t>catalog price, 2026-10-13</t>
        </is>
      </c>
      <c r="I80" s="74" t="n">
        <v>31.95</v>
      </c>
      <c r="J80" s="75" t="inlineStr">
        <is>
          <t>2026-03-30</t>
        </is>
      </c>
      <c r="K80" s="40" t="n">
        <v>8.160000000000002</v>
      </c>
      <c r="L80" s="76" t="n">
        <v>0.2553990610328639</v>
      </c>
      <c r="M80" s="77" t="n">
        <v>2</v>
      </c>
      <c r="N80" s="39" t="inlineStr">
        <is>
          <t>Active</t>
        </is>
      </c>
      <c r="O80" s="39" t="n"/>
      <c r="P80" s="78" t="n">
        <v>4.4</v>
      </c>
      <c r="Q80" s="77" t="n">
        <v>1628</v>
      </c>
      <c r="R80" s="77" t="n">
        <v>52125</v>
      </c>
      <c r="S80" s="77" t="n">
        <v>2</v>
      </c>
      <c r="T80" s="39" t="n"/>
    </row>
    <row r="81" ht="62" customHeight="1">
      <c r="A81" s="12">
        <f>_xlfn.IMAGE("https://m.media-amazon.com/images/I/81JDVBgWOSL.jpg")</f>
        <v/>
      </c>
      <c r="B81" s="39" t="inlineStr">
        <is>
          <t>B0C7FR94LJ</t>
        </is>
      </c>
      <c r="C81" s="39" t="inlineStr">
        <is>
          <t>SATIN-WHITE-QUEEN-6PCS</t>
        </is>
      </c>
      <c r="D81" s="39" t="inlineStr">
        <is>
          <t>DECOLURE Satin Sheets Queen Size | Softer Than Silk | Luxury 6 Pc Bed Set</t>
        </is>
      </c>
      <c r="E81" s="39" t="inlineStr">
        <is>
          <t>Queen</t>
        </is>
      </c>
      <c r="F81" s="39" t="inlineStr">
        <is>
          <t>White</t>
        </is>
      </c>
      <c r="G81" s="73" t="n">
        <v>31.95</v>
      </c>
      <c r="H81" s="39" t="inlineStr">
        <is>
          <t>catalog price, 2026-10-13</t>
        </is>
      </c>
      <c r="I81" s="74" t="n">
        <v>31.95</v>
      </c>
      <c r="J81" s="75" t="inlineStr">
        <is>
          <t>2026-03-30</t>
        </is>
      </c>
      <c r="K81" s="40" t="n">
        <v>7.9</v>
      </c>
      <c r="L81" s="76" t="n">
        <v>0.2472613458528951</v>
      </c>
      <c r="M81" s="77" t="n">
        <v>2</v>
      </c>
      <c r="N81" s="39" t="inlineStr">
        <is>
          <t>Active</t>
        </is>
      </c>
      <c r="O81" s="39" t="n"/>
      <c r="P81" s="78" t="n">
        <v>4.4</v>
      </c>
      <c r="Q81" s="77" t="n">
        <v>1628</v>
      </c>
      <c r="R81" s="77" t="n">
        <v>52121</v>
      </c>
      <c r="S81" s="77" t="n">
        <v>2</v>
      </c>
      <c r="T81" s="39" t="n"/>
    </row>
    <row r="82" ht="62" customHeight="1">
      <c r="A82" s="12">
        <f>_xlfn.IMAGE("https://m.media-amazon.com/images/I/81pfKYhsMoL.jpg")</f>
        <v/>
      </c>
      <c r="B82" s="39" t="inlineStr">
        <is>
          <t>B0C7FFM7L9</t>
        </is>
      </c>
      <c r="C82" s="39" t="inlineStr">
        <is>
          <t>SATIN-TWIN-BLUE-6PCS</t>
        </is>
      </c>
      <c r="D82" s="39" t="inlineStr">
        <is>
          <t>DECOLURE Satin Sheets Twin Size | Softer Than Silk | Luxury 4 Pc Bed Set</t>
        </is>
      </c>
      <c r="E82" s="39" t="inlineStr">
        <is>
          <t>Twin</t>
        </is>
      </c>
      <c r="F82" s="39" t="inlineStr">
        <is>
          <t>Blue</t>
        </is>
      </c>
      <c r="G82" s="73" t="n">
        <v>27.95</v>
      </c>
      <c r="H82" s="39" t="inlineStr">
        <is>
          <t>catalog price, 2026-10-13</t>
        </is>
      </c>
      <c r="I82" s="74" t="n">
        <v>37.95</v>
      </c>
      <c r="J82" s="75" t="inlineStr">
        <is>
          <t>2026-03-30</t>
        </is>
      </c>
      <c r="K82" s="40" t="n">
        <v>17.14</v>
      </c>
      <c r="L82" s="76" t="n">
        <v>0.451646903820817</v>
      </c>
      <c r="M82" s="77" t="n">
        <v>2</v>
      </c>
      <c r="N82" s="39" t="inlineStr">
        <is>
          <t>Active</t>
        </is>
      </c>
      <c r="O82" s="39" t="n"/>
      <c r="P82" s="78" t="n">
        <v>4.4</v>
      </c>
      <c r="Q82" s="77" t="n">
        <v>1628</v>
      </c>
      <c r="R82" s="77" t="n">
        <v>52125</v>
      </c>
      <c r="S82" s="77" t="n">
        <v>4</v>
      </c>
      <c r="T82" s="39" t="n"/>
    </row>
    <row r="83" ht="62" customHeight="1">
      <c r="A83" s="12">
        <f>_xlfn.IMAGE("https://m.media-amazon.com/images/I/81GTdnhbh2L.jpg")</f>
        <v/>
      </c>
      <c r="B83" s="39" t="inlineStr">
        <is>
          <t>B0C7FM1K6P</t>
        </is>
      </c>
      <c r="C83" s="39" t="inlineStr">
        <is>
          <t>SATIN-IVORY-TWIN-6PCS</t>
        </is>
      </c>
      <c r="D83" s="39" t="inlineStr">
        <is>
          <t>DECOLURE Satin Sheets Twin Size | Softer Than Silk | Luxury 4 Pc Bed Set</t>
        </is>
      </c>
      <c r="E83" s="39" t="inlineStr">
        <is>
          <t>Twin</t>
        </is>
      </c>
      <c r="F83" s="39" t="inlineStr">
        <is>
          <t>Ivory</t>
        </is>
      </c>
      <c r="G83" s="73" t="n">
        <v>27.95</v>
      </c>
      <c r="H83" s="39" t="inlineStr">
        <is>
          <t>catalog price, 2026-10-13</t>
        </is>
      </c>
      <c r="I83" s="74" t="n">
        <v>32.95</v>
      </c>
      <c r="J83" s="75" t="inlineStr">
        <is>
          <t>2026-03-30</t>
        </is>
      </c>
      <c r="K83" s="40" t="n">
        <v>12.29</v>
      </c>
      <c r="L83" s="76" t="n">
        <v>0.3729893778452201</v>
      </c>
      <c r="M83" s="77" t="n">
        <v>2</v>
      </c>
      <c r="N83" s="39" t="inlineStr">
        <is>
          <t>Active</t>
        </is>
      </c>
      <c r="O83" s="39" t="n"/>
      <c r="P83" s="78" t="n">
        <v>4.4</v>
      </c>
      <c r="Q83" s="77" t="n">
        <v>1628</v>
      </c>
      <c r="R83" s="77" t="n">
        <v>52125</v>
      </c>
      <c r="S83" s="77" t="n">
        <v>6</v>
      </c>
      <c r="T83" s="39" t="n"/>
    </row>
    <row r="84" ht="62" customHeight="1">
      <c r="A84" s="12">
        <f>_xlfn.IMAGE("https://m.media-amazon.com/images/I/81Y-A5xTlcL.jpg")</f>
        <v/>
      </c>
      <c r="B84" s="39" t="inlineStr">
        <is>
          <t>B0D9QSYXL8</t>
        </is>
      </c>
      <c r="C84" s="39" t="inlineStr">
        <is>
          <t>SATIN-4PC-TWIN-NAVY BLUE</t>
        </is>
      </c>
      <c r="D84" s="39" t="inlineStr">
        <is>
          <t>DECOLURE Satin Sheets Twin Size | Softer Than Silk | Luxury 4 Pc Bed Set</t>
        </is>
      </c>
      <c r="E84" s="39" t="inlineStr">
        <is>
          <t>Twin</t>
        </is>
      </c>
      <c r="F84" s="39" t="inlineStr">
        <is>
          <t>Navy Blue</t>
        </is>
      </c>
      <c r="G84" s="73" t="n">
        <v>27.95</v>
      </c>
      <c r="H84" s="39" t="inlineStr">
        <is>
          <t>catalog price, 2026-10-13</t>
        </is>
      </c>
      <c r="I84" s="74" t="n">
        <v>22.49</v>
      </c>
      <c r="J84" s="75" t="inlineStr">
        <is>
          <t>2026-03-30</t>
        </is>
      </c>
      <c r="K84" s="40" t="n">
        <v>3.979999999999997</v>
      </c>
      <c r="L84" s="76" t="n">
        <v>0.1769675411293907</v>
      </c>
      <c r="M84" s="77" t="n">
        <v>2</v>
      </c>
      <c r="N84" s="39" t="inlineStr">
        <is>
          <t>Active</t>
        </is>
      </c>
      <c r="O84" s="39" t="n"/>
      <c r="P84" s="78" t="n">
        <v>4.4</v>
      </c>
      <c r="Q84" s="77" t="n">
        <v>1628</v>
      </c>
      <c r="R84" s="77" t="n">
        <v>52125</v>
      </c>
      <c r="S84" s="77" t="n">
        <v>6</v>
      </c>
      <c r="T84" s="39" t="n"/>
    </row>
    <row r="85" ht="62" customHeight="1">
      <c r="A85" s="12">
        <f>_xlfn.IMAGE("https://m.media-amazon.com/images/I/81G94nrfhtL.jpg")</f>
        <v/>
      </c>
      <c r="B85" s="39" t="inlineStr">
        <is>
          <t>B0C7K6YWWL</t>
        </is>
      </c>
      <c r="C85" s="39" t="inlineStr">
        <is>
          <t>SATIN-STRIPE-TWIN-PURPLE--6-PCS</t>
        </is>
      </c>
      <c r="D85" s="39" t="inlineStr">
        <is>
          <t>DECOLURE Satin Sheets Twin Size | Softer Than Silk | Luxury 4 Pc Bed Set</t>
        </is>
      </c>
      <c r="E85" s="39" t="inlineStr">
        <is>
          <t>Twin</t>
        </is>
      </c>
      <c r="F85" s="39" t="inlineStr">
        <is>
          <t>Striped Purple</t>
        </is>
      </c>
      <c r="G85" s="73" t="n">
        <v>27.95</v>
      </c>
      <c r="H85" s="39" t="inlineStr">
        <is>
          <t>catalog price, 2026-10-13</t>
        </is>
      </c>
      <c r="I85" s="74" t="n">
        <v>32.95</v>
      </c>
      <c r="J85" s="75" t="inlineStr">
        <is>
          <t>2026-03-30</t>
        </is>
      </c>
      <c r="K85" s="40" t="n">
        <v>12.45</v>
      </c>
      <c r="L85" s="76" t="n">
        <v>0.377845220030349</v>
      </c>
      <c r="M85" s="77" t="n">
        <v>2</v>
      </c>
      <c r="N85" s="39" t="inlineStr">
        <is>
          <t>Active</t>
        </is>
      </c>
      <c r="O85" s="39" t="n"/>
      <c r="P85" s="78" t="n">
        <v>4.4</v>
      </c>
      <c r="Q85" s="77" t="n">
        <v>1628</v>
      </c>
      <c r="R85" s="77" t="n">
        <v>52121</v>
      </c>
      <c r="S85" s="77" t="n">
        <v>5</v>
      </c>
      <c r="T85" s="39" t="n"/>
    </row>
    <row r="86" ht="62" customHeight="1">
      <c r="A86" s="12">
        <f>_xlfn.IMAGE("https://m.media-amazon.com/images/I/81u38yfz4ML.jpg")</f>
        <v/>
      </c>
      <c r="B86" s="39" t="inlineStr">
        <is>
          <t>B0C7FTBBQB</t>
        </is>
      </c>
      <c r="C86" s="39" t="inlineStr">
        <is>
          <t>SATIN-GOLD-FULL-6PCS</t>
        </is>
      </c>
      <c r="D86" s="39" t="inlineStr">
        <is>
          <t>DECOLURE Satin Sheets Full Size | Softer Than Silk | Luxury 6 Pc Bed Set</t>
        </is>
      </c>
      <c r="E86" s="39" t="inlineStr">
        <is>
          <t>Full</t>
        </is>
      </c>
      <c r="F86" s="39" t="inlineStr">
        <is>
          <t>Gold</t>
        </is>
      </c>
      <c r="G86" s="73" t="n">
        <v>29.95</v>
      </c>
      <c r="H86" s="39" t="inlineStr">
        <is>
          <t>catalog price, 2026-10-13</t>
        </is>
      </c>
      <c r="I86" s="74" t="n">
        <v>38.95</v>
      </c>
      <c r="J86" s="75" t="inlineStr">
        <is>
          <t>2026-03-30</t>
        </is>
      </c>
      <c r="K86" s="40" t="n">
        <v>15.47</v>
      </c>
      <c r="L86" s="76" t="n">
        <v>0.397175866495507</v>
      </c>
      <c r="M86" s="77" t="n">
        <v>1</v>
      </c>
      <c r="N86" s="39" t="inlineStr">
        <is>
          <t>Active</t>
        </is>
      </c>
      <c r="O86" s="39" t="n"/>
      <c r="P86" s="78" t="n">
        <v>4.4</v>
      </c>
      <c r="Q86" s="77" t="n">
        <v>1628</v>
      </c>
      <c r="R86" s="77" t="n">
        <v>52125</v>
      </c>
      <c r="S86" s="77" t="n">
        <v>3</v>
      </c>
      <c r="T86" s="39" t="n"/>
    </row>
    <row r="87" ht="62" customHeight="1">
      <c r="A87" s="12">
        <f>_xlfn.IMAGE("https://m.media-amazon.com/images/I/81C9qE083yL.jpg")</f>
        <v/>
      </c>
      <c r="B87" s="39" t="inlineStr">
        <is>
          <t>B0C7FJFVZY</t>
        </is>
      </c>
      <c r="C87" s="39" t="inlineStr">
        <is>
          <t>SATIN-FULL-GREY-6PCS</t>
        </is>
      </c>
      <c r="D87" s="39" t="inlineStr">
        <is>
          <t>DECOLURE Satin Sheets Full Size | Softer Than Silk | Luxury 6 Pc Bed Set</t>
        </is>
      </c>
      <c r="E87" s="39" t="inlineStr">
        <is>
          <t>Full</t>
        </is>
      </c>
      <c r="F87" s="39" t="inlineStr">
        <is>
          <t>Grey</t>
        </is>
      </c>
      <c r="G87" s="73" t="n">
        <v>29.95</v>
      </c>
      <c r="H87" s="39" t="inlineStr">
        <is>
          <t>catalog price, 2026-10-13</t>
        </is>
      </c>
      <c r="I87" s="74" t="n">
        <v>29.95</v>
      </c>
      <c r="J87" s="75" t="inlineStr">
        <is>
          <t>2026-03-30</t>
        </is>
      </c>
      <c r="K87" s="40" t="n">
        <v>7.73</v>
      </c>
      <c r="L87" s="76" t="n">
        <v>0.2580968280467446</v>
      </c>
      <c r="M87" s="77" t="n">
        <v>1</v>
      </c>
      <c r="N87" s="39" t="inlineStr">
        <is>
          <t>Active</t>
        </is>
      </c>
      <c r="O87" s="39" t="n"/>
      <c r="P87" s="78" t="n">
        <v>4.4</v>
      </c>
      <c r="Q87" s="77" t="n">
        <v>1628</v>
      </c>
      <c r="R87" s="77" t="n">
        <v>52125</v>
      </c>
      <c r="S87" s="77" t="n">
        <v>3</v>
      </c>
      <c r="T87" s="39" t="n"/>
    </row>
    <row r="88" ht="62" customHeight="1">
      <c r="A88" s="12">
        <f>_xlfn.IMAGE("https://m.media-amazon.com/images/I/81k4pZo8ZKL.jpg")</f>
        <v/>
      </c>
      <c r="B88" s="39" t="inlineStr">
        <is>
          <t>B0C7KB53RJ</t>
        </is>
      </c>
      <c r="C88" s="39" t="inlineStr">
        <is>
          <t>SATIN-STRIPE-FULL-BLACK--6-PCS</t>
        </is>
      </c>
      <c r="D88" s="39" t="inlineStr">
        <is>
          <t>DECOLURE Satin Sheets Full Size | Softer Than Silk | Luxury 6 Pc Bed Set</t>
        </is>
      </c>
      <c r="E88" s="39" t="inlineStr">
        <is>
          <t>Full</t>
        </is>
      </c>
      <c r="F88" s="39" t="inlineStr">
        <is>
          <t>Striped Black</t>
        </is>
      </c>
      <c r="G88" s="73" t="n">
        <v>29.95</v>
      </c>
      <c r="H88" s="39" t="inlineStr">
        <is>
          <t>catalog price, 2026-10-13</t>
        </is>
      </c>
      <c r="I88" s="74" t="n">
        <v>29.95</v>
      </c>
      <c r="J88" s="75" t="inlineStr">
        <is>
          <t>2026-03-30</t>
        </is>
      </c>
      <c r="K88" s="40" t="n">
        <v>7.06</v>
      </c>
      <c r="L88" s="76" t="n">
        <v>0.2357262103505843</v>
      </c>
      <c r="M88" s="77" t="n">
        <v>1</v>
      </c>
      <c r="N88" s="39" t="inlineStr">
        <is>
          <t>Active</t>
        </is>
      </c>
      <c r="O88" s="39" t="n"/>
      <c r="P88" s="78" t="n">
        <v>4.4</v>
      </c>
      <c r="Q88" s="77" t="n">
        <v>1628</v>
      </c>
      <c r="R88" s="77" t="n">
        <v>52125</v>
      </c>
      <c r="S88" s="77" t="n">
        <v>6</v>
      </c>
      <c r="T88" s="39" t="n"/>
    </row>
    <row r="89" ht="62" customHeight="1">
      <c r="A89" s="12">
        <f>_xlfn.IMAGE("https://m.media-amazon.com/images/I/81xV5hDfr6L._AC_SY355_.jpg")</f>
        <v/>
      </c>
      <c r="B89" s="39" t="inlineStr">
        <is>
          <t>B0C7K6CKLC</t>
        </is>
      </c>
      <c r="C89" s="39" t="inlineStr">
        <is>
          <t>SATIN-STRIPE-FULL-BLUE--6-PCS</t>
        </is>
      </c>
      <c r="D89" s="39" t="inlineStr">
        <is>
          <t>DECOLURE Satin Sheets Full Size | Softer Than Silk | Luxury 6 Pc Bed Set</t>
        </is>
      </c>
      <c r="E89" s="39" t="inlineStr">
        <is>
          <t>Full</t>
        </is>
      </c>
      <c r="F89" s="39" t="inlineStr">
        <is>
          <t>Striped Blue</t>
        </is>
      </c>
      <c r="G89" s="73" t="n">
        <v>29.95</v>
      </c>
      <c r="H89" s="39" t="inlineStr">
        <is>
          <t>catalog price, 2026-10-13</t>
        </is>
      </c>
      <c r="I89" s="74" t="n">
        <v>25.86</v>
      </c>
      <c r="J89" s="75" t="inlineStr">
        <is>
          <t>2026-03-30</t>
        </is>
      </c>
      <c r="K89" s="40" t="n">
        <v>2.67</v>
      </c>
      <c r="L89" s="76" t="n">
        <v>0.1032482598607889</v>
      </c>
      <c r="M89" s="77" t="n">
        <v>1</v>
      </c>
      <c r="N89" s="39" t="n"/>
      <c r="O89" s="39" t="n"/>
      <c r="P89" s="78" t="n">
        <v>4.4</v>
      </c>
      <c r="Q89" s="77" t="n">
        <v>1628</v>
      </c>
      <c r="R89" s="77" t="n">
        <v>52125</v>
      </c>
      <c r="S89" s="77" t="n">
        <v>7</v>
      </c>
      <c r="T89" s="39" t="n"/>
    </row>
    <row r="90" ht="62" customHeight="1">
      <c r="A90" s="12">
        <f>_xlfn.IMAGE("https://m.media-amazon.com/images/I/91wFGUsQtVL._AC_SY355_.jpg")</f>
        <v/>
      </c>
      <c r="B90" s="39" t="inlineStr">
        <is>
          <t>B0C7KGFHT7</t>
        </is>
      </c>
      <c r="C90" s="39" t="inlineStr">
        <is>
          <t>SATIN-STRIPE-FULL-GOLD--6-PCS</t>
        </is>
      </c>
      <c r="D90" s="39" t="inlineStr">
        <is>
          <t>DECOLURE Satin Sheets Full Size | Softer Than Silk | Luxury 6 Pc Bed Set</t>
        </is>
      </c>
      <c r="E90" s="39" t="inlineStr">
        <is>
          <t>Full</t>
        </is>
      </c>
      <c r="F90" s="39" t="inlineStr">
        <is>
          <t>Striped Gold</t>
        </is>
      </c>
      <c r="G90" s="73" t="n">
        <v>29.95</v>
      </c>
      <c r="H90" s="39" t="inlineStr">
        <is>
          <t>catalog price, 2026-10-13</t>
        </is>
      </c>
      <c r="I90" s="74" t="n">
        <v>25.16</v>
      </c>
      <c r="J90" s="75" t="inlineStr">
        <is>
          <t>2026-03-30</t>
        </is>
      </c>
      <c r="K90" s="40" t="n">
        <v>1.98</v>
      </c>
      <c r="L90" s="76" t="n">
        <v>0.07869634340222577</v>
      </c>
      <c r="M90" s="77" t="n">
        <v>1</v>
      </c>
      <c r="N90" s="39" t="n"/>
      <c r="O90" s="39" t="n"/>
      <c r="P90" s="78" t="n">
        <v>4.4</v>
      </c>
      <c r="Q90" s="77" t="n">
        <v>1628</v>
      </c>
      <c r="R90" s="77" t="n">
        <v>52125</v>
      </c>
      <c r="S90" s="77" t="n">
        <v>5</v>
      </c>
      <c r="T90" s="39" t="n"/>
    </row>
    <row r="91" ht="62" customHeight="1">
      <c r="A91" s="12">
        <f>_xlfn.IMAGE("https://m.media-amazon.com/images/I/81kFS+X+OiL.jpg")</f>
        <v/>
      </c>
      <c r="B91" s="39" t="inlineStr">
        <is>
          <t>B0C7K3WWDT</t>
        </is>
      </c>
      <c r="C91" s="39" t="inlineStr">
        <is>
          <t>SATIN-STRIPE-FULL-PURPLE--6-PCS</t>
        </is>
      </c>
      <c r="D91" s="39" t="inlineStr">
        <is>
          <t>DECOLURE Satin Sheets Full Size | Softer Than Silk | Luxury 6 Pc Bed Set</t>
        </is>
      </c>
      <c r="E91" s="39" t="inlineStr">
        <is>
          <t>Full</t>
        </is>
      </c>
      <c r="F91" s="39" t="inlineStr">
        <is>
          <t>Striped Purple</t>
        </is>
      </c>
      <c r="G91" s="73" t="n">
        <v>29.95</v>
      </c>
      <c r="H91" s="39" t="inlineStr">
        <is>
          <t>catalog price, 2026-10-13</t>
        </is>
      </c>
      <c r="I91" s="74" t="n">
        <v>17.97</v>
      </c>
      <c r="J91" s="75" t="inlineStr">
        <is>
          <t>2026-03-30</t>
        </is>
      </c>
      <c r="K91" s="40" t="n">
        <v>-3.180000000000001</v>
      </c>
      <c r="L91" s="76" t="n">
        <v>-0.1769616026711186</v>
      </c>
      <c r="M91" s="77" t="n">
        <v>1</v>
      </c>
      <c r="N91" s="39" t="inlineStr">
        <is>
          <t>Active</t>
        </is>
      </c>
      <c r="O91" s="39" t="n"/>
      <c r="P91" s="78" t="n">
        <v>4.4</v>
      </c>
      <c r="Q91" s="77" t="n">
        <v>1628</v>
      </c>
      <c r="R91" s="77" t="n">
        <v>52125</v>
      </c>
      <c r="S91" s="77" t="n">
        <v>3</v>
      </c>
      <c r="T91" s="39" t="n"/>
    </row>
    <row r="92" ht="62" customHeight="1">
      <c r="A92" s="12">
        <f>_xlfn.IMAGE("https://m.media-amazon.com/images/I/815cp0gvpML.jpg")</f>
        <v/>
      </c>
      <c r="B92" s="39" t="inlineStr">
        <is>
          <t>B0C7FLGJS8</t>
        </is>
      </c>
      <c r="C92" s="39" t="inlineStr">
        <is>
          <t>SATIN-STONEGREY-KING-6PCS</t>
        </is>
      </c>
      <c r="D92" s="39" t="inlineStr">
        <is>
          <t>DECOLURE Satin Bed Sheets - 6 Piece Luxury Silky King Size Bedding Set - Softer Than Silk, Wrinkle-Free with 15” Deep Pocket Fitted Sheet, Perfect for Hair &amp; Skin, Gifts for Women (Stone Grey)</t>
        </is>
      </c>
      <c r="E92" s="39" t="inlineStr">
        <is>
          <t>King</t>
        </is>
      </c>
      <c r="F92" s="39" t="inlineStr">
        <is>
          <t>Stone Grey</t>
        </is>
      </c>
      <c r="G92" s="40" t="n"/>
      <c r="H92" s="39" t="n"/>
      <c r="I92" s="74" t="n">
        <v>33.95</v>
      </c>
      <c r="J92" s="75" t="inlineStr">
        <is>
          <t>2026-03-30</t>
        </is>
      </c>
      <c r="K92" s="40" t="n">
        <v>8.900000000000002</v>
      </c>
      <c r="L92" s="76" t="n">
        <v>0.2621502209131076</v>
      </c>
      <c r="M92" s="77" t="n">
        <v>1</v>
      </c>
      <c r="N92" s="39" t="inlineStr">
        <is>
          <t>Active</t>
        </is>
      </c>
      <c r="O92" s="39" t="n"/>
      <c r="P92" s="78" t="n"/>
      <c r="Q92" s="77" t="n"/>
      <c r="R92" s="77" t="n"/>
      <c r="S92" s="77" t="n"/>
      <c r="T92" s="39" t="n"/>
    </row>
    <row r="93" ht="62" customHeight="1">
      <c r="A93" s="12">
        <f>_xlfn.IMAGE("https://m.media-amazon.com/images/I/81Z3bEG6bxL.jpg")</f>
        <v/>
      </c>
      <c r="B93" s="39" t="inlineStr">
        <is>
          <t>B0C7FNXRJF</t>
        </is>
      </c>
      <c r="C93" s="39" t="inlineStr">
        <is>
          <t>SATIN-TAUPE-KING-6PCS</t>
        </is>
      </c>
      <c r="D93" s="39" t="inlineStr">
        <is>
          <t>DECOLURE Satin Sheets King Size | Softer Than Silk | Luxury 6 Pc Bed Set</t>
        </is>
      </c>
      <c r="E93" s="39" t="inlineStr">
        <is>
          <t>King</t>
        </is>
      </c>
      <c r="F93" s="39" t="inlineStr">
        <is>
          <t>Taupe</t>
        </is>
      </c>
      <c r="G93" s="40" t="n"/>
      <c r="H93" s="39" t="n"/>
      <c r="I93" s="74" t="n">
        <v>33.95</v>
      </c>
      <c r="J93" s="75" t="inlineStr">
        <is>
          <t>2026-03-30</t>
        </is>
      </c>
      <c r="K93" s="40" t="n">
        <v>8.370000000000005</v>
      </c>
      <c r="L93" s="76" t="n">
        <v>0.2465390279823271</v>
      </c>
      <c r="M93" s="77" t="n">
        <v>1</v>
      </c>
      <c r="N93" s="39" t="inlineStr">
        <is>
          <t>Inactive</t>
        </is>
      </c>
      <c r="O93" s="39" t="n"/>
      <c r="P93" s="78" t="n"/>
      <c r="Q93" s="77" t="n"/>
      <c r="R93" s="77" t="n"/>
      <c r="S93" s="77" t="n"/>
      <c r="T93" s="39" t="n"/>
    </row>
    <row r="94" ht="62" customHeight="1">
      <c r="A94" s="12">
        <f>_xlfn.IMAGE("https://m.media-amazon.com/images/I/81WPJBv71TL.jpg")</f>
        <v/>
      </c>
      <c r="B94" s="39" t="inlineStr">
        <is>
          <t>B0C7FFRNMH</t>
        </is>
      </c>
      <c r="C94" s="39" t="inlineStr">
        <is>
          <t>SATIN-CHAMPAGNE-QUEEN-6PCS</t>
        </is>
      </c>
      <c r="D94" s="39" t="inlineStr">
        <is>
          <t>DECOLURE Satin Sheets Queen Size | Softer Than Silk | Luxury 6 Pc Bed Set</t>
        </is>
      </c>
      <c r="E94" s="39" t="inlineStr">
        <is>
          <t>Queen</t>
        </is>
      </c>
      <c r="F94" s="39" t="inlineStr">
        <is>
          <t>Champagne</t>
        </is>
      </c>
      <c r="G94" s="40" t="n"/>
      <c r="H94" s="39" t="n"/>
      <c r="I94" s="74" t="n">
        <v>31.95</v>
      </c>
      <c r="J94" s="75" t="inlineStr">
        <is>
          <t>2026-03-30</t>
        </is>
      </c>
      <c r="K94" s="40" t="n">
        <v>8.780000000000001</v>
      </c>
      <c r="L94" s="76" t="n">
        <v>0.2748043818466354</v>
      </c>
      <c r="M94" s="77" t="n">
        <v>1</v>
      </c>
      <c r="N94" s="39" t="inlineStr">
        <is>
          <t>Inactive</t>
        </is>
      </c>
      <c r="O94" s="39" t="n"/>
      <c r="P94" s="78" t="n"/>
      <c r="Q94" s="77" t="n"/>
      <c r="R94" s="77" t="n"/>
      <c r="S94" s="77" t="n"/>
      <c r="T94" s="39" t="n"/>
    </row>
    <row r="95" ht="62" customHeight="1">
      <c r="A95" s="12">
        <f>_xlfn.IMAGE("https://m.media-amazon.com/images/I/81OT2-k0G5L.jpg")</f>
        <v/>
      </c>
      <c r="B95" s="39" t="inlineStr">
        <is>
          <t>B0D9QTQGSJ</t>
        </is>
      </c>
      <c r="C95" s="39" t="inlineStr">
        <is>
          <t>SATIN-4PC-TWIN-BABY BLUE</t>
        </is>
      </c>
      <c r="D95" s="39" t="inlineStr">
        <is>
          <t>DECOLURE Satin Sheets Twin Size | Softer Than Silk | Luxury 4 Pc Bed Set</t>
        </is>
      </c>
      <c r="E95" s="39" t="inlineStr">
        <is>
          <t>Twin</t>
        </is>
      </c>
      <c r="F95" s="39" t="inlineStr">
        <is>
          <t>Baby Blue</t>
        </is>
      </c>
      <c r="G95" s="73" t="n">
        <v>27.95</v>
      </c>
      <c r="H95" s="39" t="inlineStr">
        <is>
          <t>catalog price, 2026-10-13</t>
        </is>
      </c>
      <c r="I95" s="74" t="n">
        <v>27.95</v>
      </c>
      <c r="J95" s="75" t="inlineStr">
        <is>
          <t>2026-03-30</t>
        </is>
      </c>
      <c r="K95" s="40" t="n">
        <v>9.27</v>
      </c>
      <c r="L95" s="76" t="n">
        <v>0.3316636851520572</v>
      </c>
      <c r="M95" s="77" t="n">
        <v>1</v>
      </c>
      <c r="N95" s="39" t="inlineStr">
        <is>
          <t>Active</t>
        </is>
      </c>
      <c r="O95" s="39" t="n"/>
      <c r="P95" s="78" t="n">
        <v>4.4</v>
      </c>
      <c r="Q95" s="77" t="n">
        <v>1628</v>
      </c>
      <c r="R95" s="77" t="n">
        <v>52125</v>
      </c>
      <c r="S95" s="77" t="n">
        <v>6</v>
      </c>
      <c r="T95" s="39" t="n"/>
    </row>
    <row r="96" ht="62" customHeight="1">
      <c r="A96" s="12">
        <f>_xlfn.IMAGE("https://m.media-amazon.com/images/I/81DhwdBOQ+L.jpg")</f>
        <v/>
      </c>
      <c r="B96" s="39" t="inlineStr">
        <is>
          <t>B0C7FXTXLD</t>
        </is>
      </c>
      <c r="C96" s="39" t="inlineStr">
        <is>
          <t>SATIN-GOLD-TWIN-6PCS</t>
        </is>
      </c>
      <c r="D96" s="39" t="inlineStr">
        <is>
          <t>DECOLURE Satin Sheets Twin Size | Softer Than Silk | Luxury 4 Pc Bed Set</t>
        </is>
      </c>
      <c r="E96" s="39" t="inlineStr">
        <is>
          <t>Twin</t>
        </is>
      </c>
      <c r="F96" s="39" t="inlineStr">
        <is>
          <t>Gold</t>
        </is>
      </c>
      <c r="G96" s="73" t="n">
        <v>27.95</v>
      </c>
      <c r="H96" s="39" t="inlineStr">
        <is>
          <t>catalog price, 2026-10-13</t>
        </is>
      </c>
      <c r="I96" s="74" t="n">
        <v>29.95</v>
      </c>
      <c r="J96" s="75" t="inlineStr">
        <is>
          <t>2026-03-10</t>
        </is>
      </c>
      <c r="K96" s="40" t="n">
        <v>10.35</v>
      </c>
      <c r="L96" s="76" t="n">
        <v>0.3455759599332221</v>
      </c>
      <c r="M96" s="77" t="n">
        <v>1</v>
      </c>
      <c r="N96" s="39" t="inlineStr">
        <is>
          <t>Active</t>
        </is>
      </c>
      <c r="O96" s="39" t="n"/>
      <c r="P96" s="78" t="n">
        <v>4.4</v>
      </c>
      <c r="Q96" s="77" t="n">
        <v>1628</v>
      </c>
      <c r="R96" s="77" t="n">
        <v>52125</v>
      </c>
      <c r="S96" s="77" t="n">
        <v>5</v>
      </c>
      <c r="T96" s="39" t="n"/>
    </row>
    <row r="97" ht="62" customHeight="1">
      <c r="A97" s="12">
        <f>_xlfn.IMAGE("https://m.media-amazon.com/images/I/81hLIvldLEL.jpg")</f>
        <v/>
      </c>
      <c r="B97" s="39" t="inlineStr">
        <is>
          <t>B0C7FK2H2W</t>
        </is>
      </c>
      <c r="C97" s="39" t="inlineStr">
        <is>
          <t>SATIN-RED-TWIN-6PCS</t>
        </is>
      </c>
      <c r="D97" s="39" t="inlineStr">
        <is>
          <t>DECOLURE Satin Sheets Twin Size | Softer Than Silk | Luxury 4 Pc Bed Set</t>
        </is>
      </c>
      <c r="E97" s="39" t="inlineStr">
        <is>
          <t>Twin</t>
        </is>
      </c>
      <c r="F97" s="39" t="inlineStr">
        <is>
          <t>Red</t>
        </is>
      </c>
      <c r="G97" s="73" t="n">
        <v>27.95</v>
      </c>
      <c r="H97" s="39" t="inlineStr">
        <is>
          <t>catalog price, 2026-10-13</t>
        </is>
      </c>
      <c r="I97" s="74" t="n">
        <v>27.95</v>
      </c>
      <c r="J97" s="75" t="inlineStr">
        <is>
          <t>2026-03-30</t>
        </is>
      </c>
      <c r="K97" s="40" t="n">
        <v>9.659999999999997</v>
      </c>
      <c r="L97" s="76" t="n">
        <v>0.3456171735241502</v>
      </c>
      <c r="M97" s="77" t="n">
        <v>1</v>
      </c>
      <c r="N97" s="39" t="inlineStr">
        <is>
          <t>Active</t>
        </is>
      </c>
      <c r="O97" s="39" t="n"/>
      <c r="P97" s="78" t="n">
        <v>4.4</v>
      </c>
      <c r="Q97" s="77" t="n">
        <v>1628</v>
      </c>
      <c r="R97" s="77" t="n">
        <v>52121</v>
      </c>
      <c r="S97" s="77" t="n">
        <v>6</v>
      </c>
      <c r="T97" s="39" t="n"/>
    </row>
    <row r="98" ht="62" customHeight="1">
      <c r="A98" s="12">
        <f>_xlfn.IMAGE("https://m.media-amazon.com/images/I/81Brwb+ofkL.jpg")</f>
        <v/>
      </c>
      <c r="B98" s="39" t="inlineStr">
        <is>
          <t>B0D9QRVYMT</t>
        </is>
      </c>
      <c r="C98" s="39" t="inlineStr">
        <is>
          <t>SATIN-4PC-TWIN-SAGE GREEN</t>
        </is>
      </c>
      <c r="D98" s="39" t="inlineStr">
        <is>
          <t>DECOLURE Satin Sheets Twin Size | Softer Than Silk | Luxury 4 Pc Bed Set</t>
        </is>
      </c>
      <c r="E98" s="39" t="inlineStr">
        <is>
          <t>Twin</t>
        </is>
      </c>
      <c r="F98" s="39" t="inlineStr">
        <is>
          <t>Sage Green</t>
        </is>
      </c>
      <c r="G98" s="73" t="n">
        <v>27.95</v>
      </c>
      <c r="H98" s="39" t="inlineStr">
        <is>
          <t>catalog price, 2026-10-13</t>
        </is>
      </c>
      <c r="I98" s="74" t="n">
        <v>22.49</v>
      </c>
      <c r="J98" s="75" t="inlineStr">
        <is>
          <t>2026-03-30</t>
        </is>
      </c>
      <c r="K98" s="40" t="n">
        <v>3.259999999999998</v>
      </c>
      <c r="L98" s="76" t="n">
        <v>0.1449533125833703</v>
      </c>
      <c r="M98" s="77" t="n">
        <v>1</v>
      </c>
      <c r="N98" s="39" t="inlineStr">
        <is>
          <t>Active</t>
        </is>
      </c>
      <c r="O98" s="39" t="n"/>
      <c r="P98" s="78" t="n">
        <v>4.4</v>
      </c>
      <c r="Q98" s="77" t="n">
        <v>1628</v>
      </c>
      <c r="R98" s="77" t="n">
        <v>52125</v>
      </c>
      <c r="S98" s="77" t="n">
        <v>6</v>
      </c>
      <c r="T98" s="39" t="n"/>
    </row>
    <row r="99" ht="62" customHeight="1">
      <c r="A99" s="12">
        <f>_xlfn.IMAGE("https://m.media-amazon.com/images/I/81kHTwIB46L.jpg")</f>
        <v/>
      </c>
      <c r="B99" s="39" t="inlineStr">
        <is>
          <t>B0D9QT3LWG</t>
        </is>
      </c>
      <c r="C99" s="39" t="inlineStr">
        <is>
          <t>SATIN-6PC-FULL-BLUSH PINK</t>
        </is>
      </c>
      <c r="D99" s="39" t="inlineStr">
        <is>
          <t>DECOLURE Satin Sheets Full Size | Softer Than Silk | Luxury 6 Pc Bed Set</t>
        </is>
      </c>
      <c r="E99" s="39" t="inlineStr">
        <is>
          <t>Full</t>
        </is>
      </c>
      <c r="F99" s="39" t="inlineStr">
        <is>
          <t>Blush Pink</t>
        </is>
      </c>
      <c r="G99" s="73" t="n">
        <v>29.95</v>
      </c>
      <c r="H99" s="39" t="inlineStr">
        <is>
          <t>catalog price, 2026-10-13</t>
        </is>
      </c>
      <c r="I99" s="74" t="n">
        <v>29.95</v>
      </c>
      <c r="J99" s="75" t="inlineStr">
        <is>
          <t>2026-03-30</t>
        </is>
      </c>
      <c r="K99" s="40" t="n">
        <v>7.23</v>
      </c>
      <c r="L99" s="76" t="n">
        <v>0.2414023372287145</v>
      </c>
      <c r="M99" s="77" t="n">
        <v>0</v>
      </c>
      <c r="N99" s="39" t="inlineStr">
        <is>
          <t>Active</t>
        </is>
      </c>
      <c r="O99" s="39" t="n"/>
      <c r="P99" s="78" t="n">
        <v>4.4</v>
      </c>
      <c r="Q99" s="77" t="n">
        <v>1628</v>
      </c>
      <c r="R99" s="77" t="n">
        <v>52125</v>
      </c>
      <c r="S99" s="77" t="n">
        <v>3</v>
      </c>
      <c r="T99" s="39" t="n"/>
    </row>
    <row r="100" ht="62" customHeight="1">
      <c r="A100" s="12">
        <f>_xlfn.IMAGE("https://m.media-amazon.com/images/I/81Lq8U6Oz8L.jpg")</f>
        <v/>
      </c>
      <c r="B100" s="39" t="inlineStr">
        <is>
          <t>B0D9QRNBSH</t>
        </is>
      </c>
      <c r="C100" s="39" t="inlineStr">
        <is>
          <t>SATIN-6PC-FULL-BURNT ORANGE</t>
        </is>
      </c>
      <c r="D100" s="39" t="inlineStr">
        <is>
          <t>DECOLURE Satin Sheets Full Size | Softer Than Silk | Luxury 6 Pc Bed Set</t>
        </is>
      </c>
      <c r="E100" s="39" t="inlineStr">
        <is>
          <t>Full</t>
        </is>
      </c>
      <c r="F100" s="39" t="inlineStr">
        <is>
          <t>Burnt Orange</t>
        </is>
      </c>
      <c r="G100" s="73" t="n">
        <v>29.95</v>
      </c>
      <c r="H100" s="39" t="inlineStr">
        <is>
          <t>catalog price, 2026-10-13</t>
        </is>
      </c>
      <c r="I100" s="74" t="n">
        <v>29.95</v>
      </c>
      <c r="J100" s="75" t="inlineStr">
        <is>
          <t>2026-03-30</t>
        </is>
      </c>
      <c r="K100" s="40" t="n">
        <v>6.5</v>
      </c>
      <c r="L100" s="76" t="n">
        <v>0.2170283806343906</v>
      </c>
      <c r="M100" s="77" t="n">
        <v>0</v>
      </c>
      <c r="N100" s="39" t="inlineStr">
        <is>
          <t>Active</t>
        </is>
      </c>
      <c r="O100" s="39" t="n"/>
      <c r="P100" s="78" t="n">
        <v>4.4</v>
      </c>
      <c r="Q100" s="77" t="n">
        <v>1628</v>
      </c>
      <c r="R100" s="77" t="n">
        <v>52125</v>
      </c>
      <c r="S100" s="77" t="n">
        <v>3</v>
      </c>
      <c r="T100" s="39" t="n"/>
    </row>
    <row r="101" ht="62" customHeight="1">
      <c r="A101" s="12">
        <f>_xlfn.IMAGE("https://m.media-amazon.com/images/I/81h83JgkpAL.jpg")</f>
        <v/>
      </c>
      <c r="B101" s="39" t="inlineStr">
        <is>
          <t>B0D9QR4PS8</t>
        </is>
      </c>
      <c r="C101" s="39" t="inlineStr">
        <is>
          <t>SATIN-6PC-FULL-DARK GREEN</t>
        </is>
      </c>
      <c r="D101" s="39" t="inlineStr">
        <is>
          <t>DECOLURE Satin Sheets Full Size | Softer Than Silk | Luxury 6 Pc Bed Set</t>
        </is>
      </c>
      <c r="E101" s="39" t="inlineStr">
        <is>
          <t>Full</t>
        </is>
      </c>
      <c r="F101" s="39" t="inlineStr">
        <is>
          <t>Dark Green</t>
        </is>
      </c>
      <c r="G101" s="40" t="n"/>
      <c r="H101" s="39" t="n"/>
      <c r="I101" s="74" t="n">
        <v>29.95</v>
      </c>
      <c r="J101" s="75" t="inlineStr">
        <is>
          <t>2026-03-30</t>
        </is>
      </c>
      <c r="K101" s="40" t="n">
        <v>6.740000000000002</v>
      </c>
      <c r="L101" s="76" t="n">
        <v>0.2250417362270451</v>
      </c>
      <c r="M101" s="77" t="n">
        <v>0</v>
      </c>
      <c r="N101" s="39" t="inlineStr">
        <is>
          <t>Active</t>
        </is>
      </c>
      <c r="O101" s="39" t="n"/>
      <c r="P101" s="78" t="n"/>
      <c r="Q101" s="77" t="n"/>
      <c r="R101" s="77" t="n"/>
      <c r="S101" s="77" t="n"/>
      <c r="T101" s="39" t="n"/>
    </row>
    <row r="102" ht="62" customHeight="1">
      <c r="A102" s="12">
        <f>_xlfn.IMAGE("https://m.media-amazon.com/images/I/81TFWOCMZHL.jpg")</f>
        <v/>
      </c>
      <c r="B102" s="39" t="inlineStr">
        <is>
          <t>B0C7FKJWJV</t>
        </is>
      </c>
      <c r="C102" s="39" t="inlineStr">
        <is>
          <t>SATIN-IVORY-FULL-6PCS</t>
        </is>
      </c>
      <c r="D102" s="39" t="inlineStr">
        <is>
          <t>DECOLURE Satin Sheets Full Size | Softer Than Silk | Luxury 6 Pc Bed Set</t>
        </is>
      </c>
      <c r="E102" s="39" t="inlineStr">
        <is>
          <t>Full</t>
        </is>
      </c>
      <c r="F102" s="39" t="inlineStr">
        <is>
          <t>Ivory</t>
        </is>
      </c>
      <c r="G102" s="73" t="n">
        <v>29.95</v>
      </c>
      <c r="H102" s="39" t="inlineStr">
        <is>
          <t>catalog price, 2026-10-13</t>
        </is>
      </c>
      <c r="I102" s="74" t="n">
        <v>29.95</v>
      </c>
      <c r="J102" s="75" t="inlineStr">
        <is>
          <t>2026-03-30</t>
        </is>
      </c>
      <c r="K102" s="40" t="n">
        <v>7.42</v>
      </c>
      <c r="L102" s="76" t="n">
        <v>0.2477462437395659</v>
      </c>
      <c r="M102" s="77" t="n">
        <v>0</v>
      </c>
      <c r="N102" s="39" t="inlineStr">
        <is>
          <t>Active</t>
        </is>
      </c>
      <c r="O102" s="39" t="n"/>
      <c r="P102" s="78" t="n">
        <v>4.4</v>
      </c>
      <c r="Q102" s="77" t="n">
        <v>1628</v>
      </c>
      <c r="R102" s="77" t="n">
        <v>52125</v>
      </c>
      <c r="S102" s="77" t="n">
        <v>3</v>
      </c>
      <c r="T102" s="39" t="n"/>
    </row>
    <row r="103" ht="62" customHeight="1">
      <c r="A103" s="12">
        <f>_xlfn.IMAGE("https://m.media-amazon.com/images/I/81PBLKf1SBL.jpg")</f>
        <v/>
      </c>
      <c r="B103" s="39" t="inlineStr">
        <is>
          <t>B0C7K7NCKW</t>
        </is>
      </c>
      <c r="C103" s="39" t="inlineStr">
        <is>
          <t>SATIN-STRIPE-FULL-GRAY--6-PCS</t>
        </is>
      </c>
      <c r="D103" s="39" t="inlineStr">
        <is>
          <t>DECOLURE Satin Sheets Full Size | Softer Than Silk | Luxury 6 Pc Bed Set</t>
        </is>
      </c>
      <c r="E103" s="39" t="inlineStr">
        <is>
          <t>Full</t>
        </is>
      </c>
      <c r="F103" s="39" t="inlineStr">
        <is>
          <t>Striped Grey</t>
        </is>
      </c>
      <c r="G103" s="73" t="n">
        <v>29.95</v>
      </c>
      <c r="H103" s="39" t="inlineStr">
        <is>
          <t>catalog price, 2026-10-13</t>
        </is>
      </c>
      <c r="I103" s="74" t="n">
        <v>25.16</v>
      </c>
      <c r="J103" s="75" t="inlineStr">
        <is>
          <t>2026-03-30</t>
        </is>
      </c>
      <c r="K103" s="40" t="n">
        <v>2.119999999999999</v>
      </c>
      <c r="L103" s="76" t="n">
        <v>0.08426073131955482</v>
      </c>
      <c r="M103" s="77" t="n">
        <v>0</v>
      </c>
      <c r="N103" s="39" t="inlineStr">
        <is>
          <t>Active</t>
        </is>
      </c>
      <c r="O103" s="39" t="n"/>
      <c r="P103" s="78" t="n">
        <v>4.4</v>
      </c>
      <c r="Q103" s="77" t="n">
        <v>1628</v>
      </c>
      <c r="R103" s="77" t="n">
        <v>52125</v>
      </c>
      <c r="S103" s="77" t="n">
        <v>3</v>
      </c>
      <c r="T103" s="39" t="n"/>
    </row>
    <row r="104" ht="62" customHeight="1">
      <c r="A104" s="12">
        <f>_xlfn.IMAGE("https://m.media-amazon.com/images/I/81-NapzaU0L.jpg")</f>
        <v/>
      </c>
      <c r="B104" s="39" t="inlineStr">
        <is>
          <t>B0C7K7YWH2</t>
        </is>
      </c>
      <c r="C104" s="39" t="inlineStr">
        <is>
          <t>SATIN-STRIPE-FULL-PINK--6--PCS</t>
        </is>
      </c>
      <c r="D104" s="39" t="inlineStr">
        <is>
          <t>DECOLURE Satin Sheets Full Size | Softer Than Silk | Luxury 6 Pc Bed Set</t>
        </is>
      </c>
      <c r="E104" s="39" t="inlineStr">
        <is>
          <t>Full</t>
        </is>
      </c>
      <c r="F104" s="39" t="inlineStr">
        <is>
          <t>Striped Pink</t>
        </is>
      </c>
      <c r="G104" s="40" t="n"/>
      <c r="H104" s="39" t="n"/>
      <c r="I104" s="74" t="n">
        <v>17.97</v>
      </c>
      <c r="J104" s="75" t="inlineStr">
        <is>
          <t>2026-03-30</t>
        </is>
      </c>
      <c r="K104" s="40" t="n">
        <v>-4.219999999999999</v>
      </c>
      <c r="L104" s="76" t="n">
        <v>-0.234835837506956</v>
      </c>
      <c r="M104" s="77" t="n"/>
      <c r="N104" s="39" t="inlineStr">
        <is>
          <t>Inactive</t>
        </is>
      </c>
      <c r="O104" s="39" t="n"/>
      <c r="P104" s="78" t="n"/>
      <c r="Q104" s="77" t="n"/>
      <c r="R104" s="77" t="n"/>
      <c r="S104" s="77" t="n"/>
      <c r="T104" s="39" t="n"/>
    </row>
    <row r="105" ht="62" customHeight="1">
      <c r="A105" s="12">
        <f>_xlfn.IMAGE("https://m.media-amazon.com/images/I/8121oIZnHFL.jpg")</f>
        <v/>
      </c>
      <c r="B105" s="39" t="inlineStr">
        <is>
          <t>B0C7JYS2K4</t>
        </is>
      </c>
      <c r="C105" s="39" t="inlineStr">
        <is>
          <t>SATIN-STRIPE-FULL-RED--6-PCS</t>
        </is>
      </c>
      <c r="D105" s="39" t="inlineStr">
        <is>
          <t>DECOLURE Satin Sheets Full Size | Softer Than Silk | Luxury 6 Pc Bed Set</t>
        </is>
      </c>
      <c r="E105" s="39" t="inlineStr">
        <is>
          <t>Full</t>
        </is>
      </c>
      <c r="F105" s="39" t="inlineStr">
        <is>
          <t>Striped Red</t>
        </is>
      </c>
      <c r="G105" s="40" t="n"/>
      <c r="H105" s="39" t="n"/>
      <c r="I105" s="74" t="n">
        <v>17.97</v>
      </c>
      <c r="J105" s="75" t="inlineStr">
        <is>
          <t>2026-03-30</t>
        </is>
      </c>
      <c r="K105" s="40" t="n">
        <v>-4.539999999999999</v>
      </c>
      <c r="L105" s="76" t="n">
        <v>-0.2526432943795214</v>
      </c>
      <c r="M105" s="77" t="n"/>
      <c r="N105" s="39" t="inlineStr">
        <is>
          <t>Inactive</t>
        </is>
      </c>
      <c r="O105" s="39" t="n"/>
      <c r="P105" s="78" t="n"/>
      <c r="Q105" s="77" t="n"/>
      <c r="R105" s="77" t="n"/>
      <c r="S105" s="77" t="n"/>
      <c r="T105" s="39" t="n"/>
    </row>
    <row r="106" ht="62" customHeight="1">
      <c r="A106" s="12">
        <f>_xlfn.IMAGE("https://m.media-amazon.com/images/I/81v12xURZRL.jpg")</f>
        <v/>
      </c>
      <c r="B106" s="39" t="inlineStr">
        <is>
          <t>B0C7K2B1Y3</t>
        </is>
      </c>
      <c r="C106" s="39" t="inlineStr">
        <is>
          <t>SATIN-STRIPE-FULL-WHITE--6-PCS</t>
        </is>
      </c>
      <c r="D106" s="39" t="inlineStr">
        <is>
          <t>DECOLURE Satin Sheets Full Size | Softer Than Silk | Luxury 6 Pc Bed Set</t>
        </is>
      </c>
      <c r="E106" s="39" t="inlineStr">
        <is>
          <t>Full</t>
        </is>
      </c>
      <c r="F106" s="39" t="inlineStr">
        <is>
          <t>Striped White</t>
        </is>
      </c>
      <c r="G106" s="73" t="n">
        <v>29.95</v>
      </c>
      <c r="H106" s="39" t="inlineStr">
        <is>
          <t>catalog price, 2026-10-13</t>
        </is>
      </c>
      <c r="I106" s="74" t="n">
        <v>16.97</v>
      </c>
      <c r="J106" s="75" t="inlineStr">
        <is>
          <t>2026-03-30</t>
        </is>
      </c>
      <c r="K106" s="40" t="n">
        <v>-4.370000000000002</v>
      </c>
      <c r="L106" s="76" t="n">
        <v>-0.2575132586918092</v>
      </c>
      <c r="M106" s="77" t="n">
        <v>0</v>
      </c>
      <c r="N106" s="39" t="inlineStr">
        <is>
          <t>Active</t>
        </is>
      </c>
      <c r="O106" s="39" t="n"/>
      <c r="P106" s="78" t="n">
        <v>4.4</v>
      </c>
      <c r="Q106" s="77" t="n">
        <v>1628</v>
      </c>
      <c r="R106" s="77" t="n">
        <v>52125</v>
      </c>
      <c r="S106" s="77" t="n">
        <v>3</v>
      </c>
      <c r="T106" s="39" t="n"/>
    </row>
    <row r="107" ht="62" customHeight="1">
      <c r="A107" s="12">
        <f>_xlfn.IMAGE("https://m.media-amazon.com/images/I/81Z3bEG6bxL.jpg")</f>
        <v/>
      </c>
      <c r="B107" s="39" t="inlineStr">
        <is>
          <t>B0C7FHXP11</t>
        </is>
      </c>
      <c r="C107" s="39" t="inlineStr">
        <is>
          <t>SATIN-TAUPE-FULL-6PCS</t>
        </is>
      </c>
      <c r="D107" s="39" t="inlineStr">
        <is>
          <t>DECOLURE Satin Sheets Full Size | Softer Than Silk | Luxury 6 Pc Bed Set</t>
        </is>
      </c>
      <c r="E107" s="39" t="inlineStr">
        <is>
          <t>Full</t>
        </is>
      </c>
      <c r="F107" s="39" t="inlineStr">
        <is>
          <t>Taupe</t>
        </is>
      </c>
      <c r="G107" s="73" t="n">
        <v>29.95</v>
      </c>
      <c r="H107" s="39" t="inlineStr">
        <is>
          <t>catalog price, 2026-10-13</t>
        </is>
      </c>
      <c r="I107" s="74" t="n">
        <v>20.96</v>
      </c>
      <c r="J107" s="75" t="inlineStr">
        <is>
          <t>2026-03-30</t>
        </is>
      </c>
      <c r="K107" s="40" t="n">
        <v>-0.5199999999999996</v>
      </c>
      <c r="L107" s="76" t="n">
        <v>-0.02480916030534349</v>
      </c>
      <c r="M107" s="77" t="n">
        <v>0</v>
      </c>
      <c r="N107" s="39" t="inlineStr">
        <is>
          <t>Active</t>
        </is>
      </c>
      <c r="O107" s="39" t="n"/>
      <c r="P107" s="78" t="n">
        <v>4.4</v>
      </c>
      <c r="Q107" s="77" t="n">
        <v>1628</v>
      </c>
      <c r="R107" s="77" t="n">
        <v>52125</v>
      </c>
      <c r="S107" s="77" t="n">
        <v>3</v>
      </c>
      <c r="T107" s="39" t="n"/>
    </row>
    <row r="108" ht="62" customHeight="1">
      <c r="A108" s="12">
        <f>_xlfn.IMAGE("https://m.media-amazon.com/images/I/81JDVBgWOSL.jpg")</f>
        <v/>
      </c>
      <c r="B108" s="39" t="inlineStr">
        <is>
          <t>B0D9R9B1VT</t>
        </is>
      </c>
      <c r="C108" s="39" t="inlineStr">
        <is>
          <t>SATIN-6PC-FULL-WHITE</t>
        </is>
      </c>
      <c r="D108" s="39" t="inlineStr">
        <is>
          <t>DECOLURE Satin Sheets Full Size | Softer Than Silk | Luxury 6 Pc Bed Set</t>
        </is>
      </c>
      <c r="E108" s="39" t="inlineStr">
        <is>
          <t>Full</t>
        </is>
      </c>
      <c r="F108" s="39" t="inlineStr">
        <is>
          <t>White</t>
        </is>
      </c>
      <c r="G108" s="73" t="n">
        <v>29.95</v>
      </c>
      <c r="H108" s="39" t="inlineStr">
        <is>
          <t>catalog price, 2026-10-13</t>
        </is>
      </c>
      <c r="I108" s="74" t="n">
        <v>29.95</v>
      </c>
      <c r="J108" s="75" t="inlineStr">
        <is>
          <t>2026-03-30</t>
        </is>
      </c>
      <c r="K108" s="40" t="n">
        <v>7.260000000000002</v>
      </c>
      <c r="L108" s="76" t="n">
        <v>0.2424040066777964</v>
      </c>
      <c r="M108" s="77" t="n">
        <v>0</v>
      </c>
      <c r="N108" s="39" t="inlineStr">
        <is>
          <t>Active</t>
        </is>
      </c>
      <c r="O108" s="39" t="n"/>
      <c r="P108" s="78" t="n">
        <v>4.4</v>
      </c>
      <c r="Q108" s="77" t="n">
        <v>1628</v>
      </c>
      <c r="R108" s="77" t="n">
        <v>52125</v>
      </c>
      <c r="S108" s="77" t="n">
        <v>3</v>
      </c>
      <c r="T108" s="39" t="n"/>
    </row>
    <row r="109" ht="62" customHeight="1">
      <c r="A109" s="12">
        <f>_xlfn.IMAGE("https://m.media-amazon.com/images/I/81JDVBgWOSL.jpg")</f>
        <v/>
      </c>
      <c r="B109" s="39" t="inlineStr">
        <is>
          <t>B0HK541FW9</t>
        </is>
      </c>
      <c r="C109" s="39" t="n"/>
      <c r="D109" s="39" t="inlineStr">
        <is>
          <t>DECOLURE Satin Sheets King Size | Softer Than Silk | Luxury 6 Pc Bed Set</t>
        </is>
      </c>
      <c r="E109" s="39" t="inlineStr">
        <is>
          <t>King</t>
        </is>
      </c>
      <c r="F109" s="39" t="n"/>
      <c r="G109" s="40" t="n"/>
      <c r="H109" s="39" t="n"/>
      <c r="I109" s="40" t="n"/>
      <c r="J109" s="39" t="n"/>
      <c r="K109" s="40" t="n"/>
      <c r="L109" s="76" t="n"/>
      <c r="M109" s="77" t="n"/>
      <c r="N109" s="39" t="inlineStr">
        <is>
          <t>Inactive</t>
        </is>
      </c>
      <c r="O109" s="39" t="n"/>
      <c r="P109" s="78" t="n"/>
      <c r="Q109" s="77" t="n"/>
      <c r="R109" s="77" t="n"/>
      <c r="S109" s="77" t="n"/>
      <c r="T109" s="39" t="n"/>
    </row>
    <row r="110" ht="62" customHeight="1">
      <c r="A110" s="12">
        <f>_xlfn.IMAGE("https://m.media-amazon.com/images/I/81kHTwIB46L.jpg")</f>
        <v/>
      </c>
      <c r="B110" s="39" t="inlineStr">
        <is>
          <t>B0D9QSG9LD</t>
        </is>
      </c>
      <c r="C110" s="39" t="inlineStr">
        <is>
          <t>SATIN-6PC-KING-BLUSH PINK</t>
        </is>
      </c>
      <c r="D110" s="39" t="inlineStr">
        <is>
          <t>DECOLURE Satin Sheets King Size | Softer Than Silk | Luxury 6 Pc Bed Set</t>
        </is>
      </c>
      <c r="E110" s="39" t="inlineStr">
        <is>
          <t>King</t>
        </is>
      </c>
      <c r="F110" s="39" t="inlineStr">
        <is>
          <t>Blush Pink</t>
        </is>
      </c>
      <c r="G110" s="40" t="n"/>
      <c r="H110" s="39" t="n"/>
      <c r="I110" s="74" t="n">
        <v>33.95</v>
      </c>
      <c r="J110" s="75" t="inlineStr">
        <is>
          <t>2026-03-30</t>
        </is>
      </c>
      <c r="K110" s="40" t="n">
        <v>8.570000000000002</v>
      </c>
      <c r="L110" s="76" t="n">
        <v>0.2524300441826215</v>
      </c>
      <c r="M110" s="77" t="n"/>
      <c r="N110" s="39" t="inlineStr">
        <is>
          <t>Inactive</t>
        </is>
      </c>
      <c r="O110" s="39" t="n"/>
      <c r="P110" s="78" t="n"/>
      <c r="Q110" s="77" t="n"/>
      <c r="R110" s="77" t="n"/>
      <c r="S110" s="77" t="n"/>
      <c r="T110" s="39" t="n"/>
    </row>
    <row r="111" ht="62" customHeight="1">
      <c r="A111" s="12">
        <f>_xlfn.IMAGE("https://m.media-amazon.com/images/I/81PU9JNVXwL.jpg")</f>
        <v/>
      </c>
      <c r="B111" s="39" t="inlineStr">
        <is>
          <t>B0D9QSHBSX</t>
        </is>
      </c>
      <c r="C111" s="39" t="inlineStr">
        <is>
          <t>SATIN-6PC-KING-NAVY BLUE</t>
        </is>
      </c>
      <c r="D111" s="39" t="inlineStr">
        <is>
          <t>DECOLURE Satin Sheets King Size | Softer Than Silk | Luxury 6 Pc Bed Set</t>
        </is>
      </c>
      <c r="E111" s="39" t="inlineStr">
        <is>
          <t>King</t>
        </is>
      </c>
      <c r="F111" s="39" t="inlineStr">
        <is>
          <t>Navy Blue</t>
        </is>
      </c>
      <c r="G111" s="40" t="n"/>
      <c r="H111" s="39" t="n"/>
      <c r="I111" s="74" t="n">
        <v>33.95</v>
      </c>
      <c r="J111" s="75" t="inlineStr">
        <is>
          <t>2026-03-26</t>
        </is>
      </c>
      <c r="K111" s="40" t="n">
        <v>8.300000000000004</v>
      </c>
      <c r="L111" s="76" t="n">
        <v>0.244477172312224</v>
      </c>
      <c r="M111" s="77" t="n"/>
      <c r="N111" s="39" t="inlineStr">
        <is>
          <t>Inactive</t>
        </is>
      </c>
      <c r="O111" s="39" t="n"/>
      <c r="P111" s="78" t="n"/>
      <c r="Q111" s="77" t="n"/>
      <c r="R111" s="77" t="n"/>
      <c r="S111" s="77" t="n"/>
      <c r="T111" s="39" t="n"/>
    </row>
    <row r="112" ht="62" customHeight="1">
      <c r="A112" s="12">
        <f>_xlfn.IMAGE("https://m.media-amazon.com/images/I/815cp0gvpML.jpg")</f>
        <v/>
      </c>
      <c r="B112" s="39" t="inlineStr">
        <is>
          <t>B0HF5BK6Y9</t>
        </is>
      </c>
      <c r="C112" s="39" t="inlineStr">
        <is>
          <t>SATIN-STONEGREY-6PC-KING</t>
        </is>
      </c>
      <c r="D112" s="39" t="inlineStr">
        <is>
          <t>DECOLURE Satin Sheets King Size | Softer Than Silk | Luxury 6 Pc Bed Set</t>
        </is>
      </c>
      <c r="E112" s="39" t="inlineStr">
        <is>
          <t>King</t>
        </is>
      </c>
      <c r="F112" s="39" t="inlineStr">
        <is>
          <t>Stone Grey</t>
        </is>
      </c>
      <c r="G112" s="40" t="n"/>
      <c r="H112" s="39" t="n"/>
      <c r="I112" s="40" t="n"/>
      <c r="J112" s="39" t="n"/>
      <c r="K112" s="40" t="n"/>
      <c r="L112" s="76" t="n"/>
      <c r="M112" s="77" t="n"/>
      <c r="N112" s="39" t="inlineStr">
        <is>
          <t>Inactive</t>
        </is>
      </c>
      <c r="O112" s="39" t="n"/>
      <c r="P112" s="78" t="n"/>
      <c r="Q112" s="77" t="n"/>
      <c r="R112" s="77" t="n"/>
      <c r="S112" s="77" t="n"/>
      <c r="T112" s="39" t="n"/>
    </row>
    <row r="113" ht="62" customHeight="1">
      <c r="A113" s="12">
        <f>_xlfn.IMAGE("https://m.media-amazon.com/images/I/81xV5hDfr6L.jpg")</f>
        <v/>
      </c>
      <c r="B113" s="39" t="inlineStr">
        <is>
          <t>B0C7KBKH28</t>
        </is>
      </c>
      <c r="C113" s="39" t="inlineStr">
        <is>
          <t>SATIN-STRIPE-KING-BLUE--6-PCS</t>
        </is>
      </c>
      <c r="D113" s="39" t="inlineStr">
        <is>
          <t>DECOLURE Satin Sheets King Size | Softer Than Silk | Luxury 6 Pc Bed Set</t>
        </is>
      </c>
      <c r="E113" s="39" t="inlineStr">
        <is>
          <t>King</t>
        </is>
      </c>
      <c r="F113" s="39" t="inlineStr">
        <is>
          <t>Striped Blue</t>
        </is>
      </c>
      <c r="G113" s="40" t="n"/>
      <c r="H113" s="39" t="n"/>
      <c r="I113" s="74" t="n">
        <v>33.95</v>
      </c>
      <c r="J113" s="75" t="inlineStr">
        <is>
          <t>2026-03-30</t>
        </is>
      </c>
      <c r="K113" s="40" t="n">
        <v>7.700000000000003</v>
      </c>
      <c r="L113" s="76" t="n">
        <v>0.2268041237113403</v>
      </c>
      <c r="M113" s="77" t="n"/>
      <c r="N113" s="39" t="inlineStr">
        <is>
          <t>Inactive</t>
        </is>
      </c>
      <c r="O113" s="39" t="n"/>
      <c r="P113" s="78" t="n"/>
      <c r="Q113" s="77" t="n"/>
      <c r="R113" s="77" t="n"/>
      <c r="S113" s="77" t="n"/>
      <c r="T113" s="39" t="n"/>
    </row>
    <row r="114" ht="62" customHeight="1">
      <c r="A114" s="12">
        <f>_xlfn.IMAGE("https://m.media-amazon.com/images/I/91wFGUsQtVL.jpg")</f>
        <v/>
      </c>
      <c r="B114" s="39" t="inlineStr">
        <is>
          <t>B0C7KBFK2P</t>
        </is>
      </c>
      <c r="C114" s="39" t="inlineStr">
        <is>
          <t>SATIN-STRIPE-KING-GOLD--6-PCS</t>
        </is>
      </c>
      <c r="D114" s="39" t="inlineStr">
        <is>
          <t>DECOLURE Satin Sheets King Size | Softer Than Silk | Luxury 6 Pc Bed Set</t>
        </is>
      </c>
      <c r="E114" s="39" t="inlineStr">
        <is>
          <t>King</t>
        </is>
      </c>
      <c r="F114" s="39" t="inlineStr">
        <is>
          <t>Striped Gold</t>
        </is>
      </c>
      <c r="G114" s="40" t="n"/>
      <c r="H114" s="39" t="n"/>
      <c r="I114" s="74" t="n">
        <v>33.95</v>
      </c>
      <c r="J114" s="75" t="inlineStr">
        <is>
          <t>2026-03-30</t>
        </is>
      </c>
      <c r="K114" s="40" t="n">
        <v>7.490000000000002</v>
      </c>
      <c r="L114" s="76" t="n">
        <v>0.2206185567010309</v>
      </c>
      <c r="M114" s="77" t="n"/>
      <c r="N114" s="39" t="inlineStr">
        <is>
          <t>Inactive</t>
        </is>
      </c>
      <c r="O114" s="39" t="n"/>
      <c r="P114" s="78" t="n"/>
      <c r="Q114" s="77" t="n"/>
      <c r="R114" s="77" t="n"/>
      <c r="S114" s="77" t="n"/>
      <c r="T114" s="39" t="n"/>
    </row>
    <row r="115" ht="62" customHeight="1">
      <c r="A115" s="12">
        <f>_xlfn.IMAGE("https://m.media-amazon.com/images/I/81-NapzaU0L.jpg")</f>
        <v/>
      </c>
      <c r="B115" s="39" t="inlineStr">
        <is>
          <t>B0C7K2LV1N</t>
        </is>
      </c>
      <c r="C115" s="39" t="inlineStr">
        <is>
          <t>SATIN-STRIPE-KING-PINK--6-PCS</t>
        </is>
      </c>
      <c r="D115" s="39" t="inlineStr">
        <is>
          <t>DECOLURE Satin Sheets King Size | Softer Than Silk | Luxury 6 Pc Bed Set</t>
        </is>
      </c>
      <c r="E115" s="39" t="inlineStr">
        <is>
          <t>King</t>
        </is>
      </c>
      <c r="F115" s="39" t="inlineStr">
        <is>
          <t>Striped Pink</t>
        </is>
      </c>
      <c r="G115" s="73" t="n">
        <v>33.95</v>
      </c>
      <c r="H115" s="39" t="inlineStr">
        <is>
          <t>catalog price, 2026-10-13</t>
        </is>
      </c>
      <c r="I115" s="74" t="n">
        <v>33.95</v>
      </c>
      <c r="J115" s="75" t="inlineStr">
        <is>
          <t>2026-03-30</t>
        </is>
      </c>
      <c r="K115" s="40" t="n">
        <v>7.010000000000003</v>
      </c>
      <c r="L115" s="76" t="n">
        <v>0.2064801178203241</v>
      </c>
      <c r="M115" s="77" t="n"/>
      <c r="N115" s="39" t="inlineStr">
        <is>
          <t>Active</t>
        </is>
      </c>
      <c r="O115" s="39" t="n"/>
      <c r="P115" s="78" t="n">
        <v>4.4</v>
      </c>
      <c r="Q115" s="77" t="n">
        <v>1628</v>
      </c>
      <c r="R115" s="77" t="n">
        <v>52125</v>
      </c>
      <c r="S115" s="77" t="n">
        <v>0</v>
      </c>
      <c r="T115" s="39" t="n"/>
    </row>
    <row r="116" ht="62" customHeight="1">
      <c r="A116" s="12">
        <f>_xlfn.IMAGE("https://m.media-amazon.com/images/I/81G94nrfhtL.jpg")</f>
        <v/>
      </c>
      <c r="B116" s="39" t="inlineStr">
        <is>
          <t>B0C7KGGWS8</t>
        </is>
      </c>
      <c r="C116" s="39" t="inlineStr">
        <is>
          <t>SATIN-STRIPE-KING-PURPLE--6-PCS</t>
        </is>
      </c>
      <c r="D116" s="39" t="inlineStr">
        <is>
          <t>DECOLURE Satin Sheets King Size | Softer Than Silk | Luxury 6 Pc Bed Set</t>
        </is>
      </c>
      <c r="E116" s="39" t="inlineStr">
        <is>
          <t>King</t>
        </is>
      </c>
      <c r="F116" s="39" t="inlineStr">
        <is>
          <t>Striped Purple</t>
        </is>
      </c>
      <c r="G116" s="40" t="n"/>
      <c r="H116" s="39" t="n"/>
      <c r="I116" s="74" t="n">
        <v>33.95</v>
      </c>
      <c r="J116" s="75" t="inlineStr">
        <is>
          <t>2026-03-30</t>
        </is>
      </c>
      <c r="K116" s="40" t="n">
        <v>7.510000000000003</v>
      </c>
      <c r="L116" s="76" t="n">
        <v>0.2212076583210605</v>
      </c>
      <c r="M116" s="77" t="n">
        <v>0</v>
      </c>
      <c r="N116" s="39" t="inlineStr">
        <is>
          <t>Inactive</t>
        </is>
      </c>
      <c r="O116" s="39" t="n"/>
      <c r="P116" s="78" t="n"/>
      <c r="Q116" s="77" t="n"/>
      <c r="R116" s="77" t="n"/>
      <c r="S116" s="77" t="n"/>
      <c r="T116" s="39" t="n"/>
    </row>
    <row r="117" ht="62" customHeight="1">
      <c r="A117" s="12">
        <f>_xlfn.IMAGE("https://m.media-amazon.com/images/I/81v12xURZRL.jpg")</f>
        <v/>
      </c>
      <c r="B117" s="39" t="inlineStr">
        <is>
          <t>B0C7KD5MPK</t>
        </is>
      </c>
      <c r="C117" s="39" t="inlineStr">
        <is>
          <t>SATIN-STRIPE-KING-WHITE--6-PCS</t>
        </is>
      </c>
      <c r="D117" s="39" t="inlineStr">
        <is>
          <t>DECOLURE Satin Sheets King Size | Softer Than Silk | Luxury 6 Pc Bed Set</t>
        </is>
      </c>
      <c r="E117" s="39" t="inlineStr">
        <is>
          <t>King</t>
        </is>
      </c>
      <c r="F117" s="39" t="inlineStr">
        <is>
          <t>Striped White</t>
        </is>
      </c>
      <c r="G117" s="40" t="n"/>
      <c r="H117" s="39" t="n"/>
      <c r="I117" s="74" t="n">
        <v>33.95</v>
      </c>
      <c r="J117" s="75" t="inlineStr">
        <is>
          <t>2026-03-30</t>
        </is>
      </c>
      <c r="K117" s="40" t="n">
        <v>8.530000000000005</v>
      </c>
      <c r="L117" s="76" t="n">
        <v>0.2512518409425627</v>
      </c>
      <c r="M117" s="77" t="n">
        <v>0</v>
      </c>
      <c r="N117" s="39" t="inlineStr">
        <is>
          <t>Inactive</t>
        </is>
      </c>
      <c r="O117" s="39" t="n"/>
      <c r="P117" s="78" t="n"/>
      <c r="Q117" s="77" t="n"/>
      <c r="R117" s="77" t="n"/>
      <c r="S117" s="77" t="n"/>
      <c r="T117" s="39" t="n"/>
    </row>
    <row r="118" ht="62" customHeight="1">
      <c r="A118" s="12">
        <f>_xlfn.IMAGE("https://m.media-amazon.com/images/I/8121oIZnHFL.jpg")</f>
        <v/>
      </c>
      <c r="B118" s="39" t="inlineStr">
        <is>
          <t>B0HK4S8TBH</t>
        </is>
      </c>
      <c r="C118" s="39" t="inlineStr">
        <is>
          <t>SATIN-6PCS-STRIPE-QUEEN-RED</t>
        </is>
      </c>
      <c r="D118" s="39" t="inlineStr">
        <is>
          <t>DECOLURE Satin Sheets Queen Size | Softer Than Silk | Luxury 6 Pc Bed Set</t>
        </is>
      </c>
      <c r="E118" s="39" t="inlineStr">
        <is>
          <t>Queen</t>
        </is>
      </c>
      <c r="F118" s="39" t="inlineStr">
        <is>
          <t>Red</t>
        </is>
      </c>
      <c r="G118" s="40" t="n"/>
      <c r="H118" s="39" t="n"/>
      <c r="I118" s="40" t="n"/>
      <c r="J118" s="39" t="n"/>
      <c r="K118" s="40" t="n"/>
      <c r="L118" s="76" t="n"/>
      <c r="M118" s="77" t="n"/>
      <c r="N118" s="39" t="inlineStr">
        <is>
          <t>Inactive</t>
        </is>
      </c>
      <c r="O118" s="39" t="n"/>
      <c r="P118" s="78" t="n"/>
      <c r="Q118" s="77" t="n"/>
      <c r="R118" s="77" t="n"/>
      <c r="S118" s="77" t="n"/>
      <c r="T118" s="39" t="n"/>
    </row>
    <row r="119" ht="62" customHeight="1">
      <c r="A119" s="12">
        <f>_xlfn.IMAGE("https://m.media-amazon.com/images/I/81-NapzaU0L.jpg")</f>
        <v/>
      </c>
      <c r="B119" s="39" t="inlineStr">
        <is>
          <t>B0C7KD9LMR</t>
        </is>
      </c>
      <c r="C119" s="39" t="inlineStr">
        <is>
          <t>SATIN-STRIPE-QUEEN-PINK--6-PCS</t>
        </is>
      </c>
      <c r="D119" s="39" t="inlineStr">
        <is>
          <t>DECOLURE Satin Sheets Queen Size | Softer Than Silk | Luxury 6 Pc Bed Set</t>
        </is>
      </c>
      <c r="E119" s="39" t="inlineStr">
        <is>
          <t>Queen</t>
        </is>
      </c>
      <c r="F119" s="39" t="inlineStr">
        <is>
          <t>Striped Pink</t>
        </is>
      </c>
      <c r="G119" s="73" t="n">
        <v>31.95</v>
      </c>
      <c r="H119" s="39" t="inlineStr">
        <is>
          <t>catalog price, 2026-10-13</t>
        </is>
      </c>
      <c r="I119" s="74" t="n">
        <v>31.95</v>
      </c>
      <c r="J119" s="75" t="inlineStr">
        <is>
          <t>2026-03-30</t>
        </is>
      </c>
      <c r="K119" s="40" t="n">
        <v>7.6</v>
      </c>
      <c r="L119" s="76" t="n">
        <v>0.2378716744913928</v>
      </c>
      <c r="M119" s="77" t="n">
        <v>0</v>
      </c>
      <c r="N119" s="39" t="inlineStr">
        <is>
          <t>Active</t>
        </is>
      </c>
      <c r="O119" s="39" t="n"/>
      <c r="P119" s="78" t="n">
        <v>4.4</v>
      </c>
      <c r="Q119" s="77" t="n">
        <v>1628</v>
      </c>
      <c r="R119" s="77" t="n">
        <v>52125</v>
      </c>
      <c r="S119" s="77" t="n">
        <v>1</v>
      </c>
      <c r="T119" s="39" t="n"/>
    </row>
    <row r="120" ht="62" customHeight="1">
      <c r="A120" s="12">
        <f>_xlfn.IMAGE("https://m.media-amazon.com/images/I/81G94nrfhtL.jpg")</f>
        <v/>
      </c>
      <c r="B120" s="39" t="inlineStr">
        <is>
          <t>B0C7KFWRM8</t>
        </is>
      </c>
      <c r="C120" s="39" t="inlineStr">
        <is>
          <t>SATIN-STRIPE-QUEEN-PURPLE--6-PCS</t>
        </is>
      </c>
      <c r="D120" s="39" t="inlineStr">
        <is>
          <t>DECOLURE Satin Sheets Queen Size | Softer Than Silk | Luxury 6 Pc Bed Set</t>
        </is>
      </c>
      <c r="E120" s="39" t="inlineStr">
        <is>
          <t>Queen</t>
        </is>
      </c>
      <c r="F120" s="39" t="inlineStr">
        <is>
          <t>Striped Purple</t>
        </is>
      </c>
      <c r="G120" s="40" t="n"/>
      <c r="H120" s="39" t="n"/>
      <c r="I120" s="74" t="n">
        <v>31.95</v>
      </c>
      <c r="J120" s="75" t="inlineStr">
        <is>
          <t>2026-03-30</t>
        </is>
      </c>
      <c r="K120" s="40" t="n">
        <v>7.750000000000002</v>
      </c>
      <c r="L120" s="76" t="n">
        <v>0.242566510172144</v>
      </c>
      <c r="M120" s="77" t="n"/>
      <c r="N120" s="39" t="inlineStr">
        <is>
          <t>Inactive</t>
        </is>
      </c>
      <c r="O120" s="39" t="n"/>
      <c r="P120" s="78" t="n"/>
      <c r="Q120" s="77" t="n"/>
      <c r="R120" s="77" t="n"/>
      <c r="S120" s="77" t="n"/>
      <c r="T120" s="39" t="n"/>
    </row>
    <row r="121" ht="62" customHeight="1">
      <c r="A121" s="12">
        <f>_xlfn.IMAGE("https://m.media-amazon.com/images/I/81z6+tLQ6rL.jpg")</f>
        <v/>
      </c>
      <c r="B121" s="39" t="inlineStr">
        <is>
          <t>B0D9QQ99HB</t>
        </is>
      </c>
      <c r="C121" s="39" t="inlineStr">
        <is>
          <t>SATIN-4PC-TWIN-BLUSH PINK</t>
        </is>
      </c>
      <c r="D121" s="39" t="inlineStr">
        <is>
          <t>DECOLURE Satin Sheets Twin Size | Softer Than Silk | Luxury 4 Pc Bed Set</t>
        </is>
      </c>
      <c r="E121" s="39" t="inlineStr">
        <is>
          <t>Twin</t>
        </is>
      </c>
      <c r="F121" s="39" t="inlineStr">
        <is>
          <t>Blush Pink</t>
        </is>
      </c>
      <c r="G121" s="73" t="n">
        <v>27.95</v>
      </c>
      <c r="H121" s="39" t="inlineStr">
        <is>
          <t>catalog price, 2026-10-13</t>
        </is>
      </c>
      <c r="I121" s="74" t="n">
        <v>34.95</v>
      </c>
      <c r="J121" s="75" t="inlineStr">
        <is>
          <t>2026-03-30</t>
        </is>
      </c>
      <c r="K121" s="40" t="n">
        <v>15.05</v>
      </c>
      <c r="L121" s="76" t="n">
        <v>0.4306151645207439</v>
      </c>
      <c r="M121" s="77" t="n">
        <v>0</v>
      </c>
      <c r="N121" s="39" t="inlineStr">
        <is>
          <t>Active</t>
        </is>
      </c>
      <c r="O121" s="39" t="n"/>
      <c r="P121" s="78" t="n">
        <v>4.4</v>
      </c>
      <c r="Q121" s="77" t="n">
        <v>1628</v>
      </c>
      <c r="R121" s="77" t="n">
        <v>52121</v>
      </c>
      <c r="S121" s="77" t="n">
        <v>2</v>
      </c>
      <c r="T121" s="39" t="n"/>
    </row>
    <row r="122" ht="62" customHeight="1">
      <c r="A122" s="12">
        <f>_xlfn.IMAGE("https://m.media-amazon.com/images/I/81xslWeND-L.jpg")</f>
        <v/>
      </c>
      <c r="B122" s="39" t="inlineStr">
        <is>
          <t>B0D9QSQ8W7</t>
        </is>
      </c>
      <c r="C122" s="39" t="inlineStr">
        <is>
          <t>SATIN-4PC-TWIN-BURNT ORANGE</t>
        </is>
      </c>
      <c r="D122" s="39" t="inlineStr">
        <is>
          <t>DECOLURE Satin Sheets Twin Size | Softer Than Silk | Luxury 4 Pc Bed Set</t>
        </is>
      </c>
      <c r="E122" s="39" t="inlineStr">
        <is>
          <t>Twin</t>
        </is>
      </c>
      <c r="F122" s="39" t="inlineStr">
        <is>
          <t>Burnt Orange</t>
        </is>
      </c>
      <c r="G122" s="73" t="n">
        <v>27.95</v>
      </c>
      <c r="H122" s="39" t="inlineStr">
        <is>
          <t>catalog price, 2026-10-13</t>
        </is>
      </c>
      <c r="I122" s="74" t="n">
        <v>27.95</v>
      </c>
      <c r="J122" s="75" t="inlineStr">
        <is>
          <t>2026-03-30</t>
        </is>
      </c>
      <c r="K122" s="40" t="n">
        <v>8.409999999999998</v>
      </c>
      <c r="L122" s="76" t="n">
        <v>0.3008944543828264</v>
      </c>
      <c r="M122" s="77" t="n">
        <v>0</v>
      </c>
      <c r="N122" s="39" t="inlineStr">
        <is>
          <t>Active</t>
        </is>
      </c>
      <c r="O122" s="39" t="n"/>
      <c r="P122" s="78" t="n">
        <v>4.4</v>
      </c>
      <c r="Q122" s="77" t="n">
        <v>1628</v>
      </c>
      <c r="R122" s="77" t="n">
        <v>52125</v>
      </c>
      <c r="S122" s="77" t="n">
        <v>5</v>
      </c>
      <c r="T122" s="39" t="n"/>
    </row>
    <row r="123" ht="62" customHeight="1">
      <c r="A123" s="12">
        <f>_xlfn.IMAGE("https://m.media-amazon.com/images/I/81WPJBv71TL.jpg")</f>
        <v/>
      </c>
      <c r="B123" s="39" t="inlineStr">
        <is>
          <t>B0C7FLZ6S8</t>
        </is>
      </c>
      <c r="C123" s="39" t="inlineStr">
        <is>
          <t>SATIN-CHAMPAGNE-TWIN-6PCS</t>
        </is>
      </c>
      <c r="D123" s="39" t="inlineStr">
        <is>
          <t>DECOLURE Satin Sheets Twin Size | Softer Than Silk | Luxury 4 Pc Bed Set</t>
        </is>
      </c>
      <c r="E123" s="39" t="inlineStr">
        <is>
          <t>Twin</t>
        </is>
      </c>
      <c r="F123" s="39" t="inlineStr">
        <is>
          <t>Champagne</t>
        </is>
      </c>
      <c r="G123" s="73" t="n">
        <v>27.95</v>
      </c>
      <c r="H123" s="39" t="inlineStr">
        <is>
          <t>catalog price, 2026-10-13</t>
        </is>
      </c>
      <c r="I123" s="74" t="n">
        <v>34.95</v>
      </c>
      <c r="J123" s="75" t="inlineStr">
        <is>
          <t>2026-03-30</t>
        </is>
      </c>
      <c r="K123" s="40" t="n">
        <v>14.89</v>
      </c>
      <c r="L123" s="76" t="n">
        <v>0.4260371959942775</v>
      </c>
      <c r="M123" s="77" t="n">
        <v>0</v>
      </c>
      <c r="N123" s="39" t="inlineStr">
        <is>
          <t>Active</t>
        </is>
      </c>
      <c r="O123" s="39" t="n"/>
      <c r="P123" s="78" t="n">
        <v>4.4</v>
      </c>
      <c r="Q123" s="77" t="n">
        <v>1628</v>
      </c>
      <c r="R123" s="77" t="n">
        <v>52125</v>
      </c>
      <c r="S123" s="77" t="n">
        <v>5</v>
      </c>
      <c r="T123" s="39" t="n"/>
    </row>
    <row r="124" ht="62" customHeight="1">
      <c r="A124" s="12">
        <f>_xlfn.IMAGE("https://m.media-amazon.com/images/I/81Gw0km1nlL.jpg")</f>
        <v/>
      </c>
      <c r="B124" s="39" t="inlineStr">
        <is>
          <t>B0D9QRPTXQ</t>
        </is>
      </c>
      <c r="C124" s="39" t="inlineStr">
        <is>
          <t>SATIN-4PC-TWIN-DARK GREEN</t>
        </is>
      </c>
      <c r="D124" s="39" t="inlineStr">
        <is>
          <t>DECOLURE Satin Sheets Twin Size | Softer Than Silk | Luxury 4 Pc Bed Set</t>
        </is>
      </c>
      <c r="E124" s="39" t="inlineStr">
        <is>
          <t>Twin</t>
        </is>
      </c>
      <c r="F124" s="39" t="inlineStr">
        <is>
          <t>Dark Green</t>
        </is>
      </c>
      <c r="G124" s="73" t="n">
        <v>27.95</v>
      </c>
      <c r="H124" s="39" t="inlineStr">
        <is>
          <t>catalog price, 2026-10-13</t>
        </is>
      </c>
      <c r="I124" s="74" t="n">
        <v>36.95</v>
      </c>
      <c r="J124" s="75" t="inlineStr">
        <is>
          <t>2026-03-30</t>
        </is>
      </c>
      <c r="K124" s="40" t="n">
        <v>14.25</v>
      </c>
      <c r="L124" s="76" t="n">
        <v>0.3856562922868742</v>
      </c>
      <c r="M124" s="77" t="n">
        <v>0</v>
      </c>
      <c r="N124" s="39" t="inlineStr">
        <is>
          <t>Active</t>
        </is>
      </c>
      <c r="O124" s="39" t="n"/>
      <c r="P124" s="78" t="n">
        <v>4.4</v>
      </c>
      <c r="Q124" s="77" t="n">
        <v>1628</v>
      </c>
      <c r="R124" s="77" t="n">
        <v>52125</v>
      </c>
      <c r="S124" s="77" t="n">
        <v>6</v>
      </c>
      <c r="T124" s="39" t="n"/>
    </row>
    <row r="125" ht="62" customHeight="1">
      <c r="A125" s="12">
        <f>_xlfn.IMAGE("https://m.media-amazon.com/images/I/81DvfRbabuL.jpg")</f>
        <v/>
      </c>
      <c r="B125" s="39" t="inlineStr">
        <is>
          <t>B0C7FKPZNT</t>
        </is>
      </c>
      <c r="C125" s="39" t="inlineStr">
        <is>
          <t>SATIN-TWIN-PINK-6PCS</t>
        </is>
      </c>
      <c r="D125" s="39" t="inlineStr">
        <is>
          <t>DECOLURE Satin Sheets Twin Size | Softer Than Silk | Luxury 4 Pc Bed Set</t>
        </is>
      </c>
      <c r="E125" s="39" t="inlineStr">
        <is>
          <t>Twin</t>
        </is>
      </c>
      <c r="F125" s="39" t="inlineStr">
        <is>
          <t>Pink</t>
        </is>
      </c>
      <c r="G125" s="73" t="n">
        <v>27.95</v>
      </c>
      <c r="H125" s="39" t="inlineStr">
        <is>
          <t>catalog price, 2026-10-13</t>
        </is>
      </c>
      <c r="I125" s="74" t="n">
        <v>30.95</v>
      </c>
      <c r="J125" s="75" t="inlineStr">
        <is>
          <t>2026-03-30</t>
        </is>
      </c>
      <c r="K125" s="40" t="n">
        <v>11.2</v>
      </c>
      <c r="L125" s="76" t="n">
        <v>0.3618739903069466</v>
      </c>
      <c r="M125" s="77" t="n">
        <v>0</v>
      </c>
      <c r="N125" s="39" t="inlineStr">
        <is>
          <t>Active</t>
        </is>
      </c>
      <c r="O125" s="39" t="n"/>
      <c r="P125" s="78" t="n">
        <v>4.4</v>
      </c>
      <c r="Q125" s="77" t="n">
        <v>1628</v>
      </c>
      <c r="R125" s="77" t="n">
        <v>52125</v>
      </c>
      <c r="S125" s="77" t="n">
        <v>7</v>
      </c>
      <c r="T125" s="39" t="n"/>
    </row>
    <row r="126" ht="62" customHeight="1">
      <c r="A126" s="12">
        <f>_xlfn.IMAGE("https://m.media-amazon.com/images/I/81fsuYvK0nL.jpg")</f>
        <v/>
      </c>
      <c r="B126" s="39" t="inlineStr">
        <is>
          <t>B0C7FXRDSZ</t>
        </is>
      </c>
      <c r="C126" s="39" t="inlineStr">
        <is>
          <t>SATIN-TWIN-PURPLE-6PCS</t>
        </is>
      </c>
      <c r="D126" s="39" t="inlineStr">
        <is>
          <t>DECOLURE Satin Sheets Twin Size | Softer Than Silk | Luxury 4 Pc Bed Set</t>
        </is>
      </c>
      <c r="E126" s="39" t="inlineStr">
        <is>
          <t>Twin</t>
        </is>
      </c>
      <c r="F126" s="39" t="inlineStr">
        <is>
          <t>Purple</t>
        </is>
      </c>
      <c r="G126" s="73" t="n">
        <v>27.95</v>
      </c>
      <c r="H126" s="39" t="inlineStr">
        <is>
          <t>catalog price, 2026-10-13</t>
        </is>
      </c>
      <c r="I126" s="74" t="n">
        <v>27.95</v>
      </c>
      <c r="J126" s="75" t="inlineStr">
        <is>
          <t>2026-03-30</t>
        </is>
      </c>
      <c r="K126" s="40" t="n">
        <v>8.519999999999996</v>
      </c>
      <c r="L126" s="76" t="n">
        <v>0.3048300536672628</v>
      </c>
      <c r="M126" s="77" t="n">
        <v>0</v>
      </c>
      <c r="N126" s="39" t="inlineStr">
        <is>
          <t>Active</t>
        </is>
      </c>
      <c r="O126" s="39" t="n"/>
      <c r="P126" s="78" t="n">
        <v>4.4</v>
      </c>
      <c r="Q126" s="77" t="n">
        <v>1628</v>
      </c>
      <c r="R126" s="77" t="n">
        <v>52121</v>
      </c>
      <c r="S126" s="77" t="n">
        <v>6</v>
      </c>
      <c r="T126" s="39" t="n"/>
    </row>
    <row r="127" ht="62" customHeight="1">
      <c r="A127" s="12">
        <f>_xlfn.IMAGE("https://m.media-amazon.com/images/I/81iitr63ZVL.jpg")</f>
        <v/>
      </c>
      <c r="B127" s="39" t="inlineStr">
        <is>
          <t>B0C7FF3CWB</t>
        </is>
      </c>
      <c r="C127" s="39" t="inlineStr">
        <is>
          <t>SATIN-SEA-TEAL-TWIN-6PCS</t>
        </is>
      </c>
      <c r="D127" s="39" t="inlineStr">
        <is>
          <t>DECOLURE Satin Sheets Twin Size | Softer Than Silk | Luxury 4 Pc Bed Set</t>
        </is>
      </c>
      <c r="E127" s="39" t="inlineStr">
        <is>
          <t>Twin</t>
        </is>
      </c>
      <c r="F127" s="39" t="inlineStr">
        <is>
          <t>Sea Teal</t>
        </is>
      </c>
      <c r="G127" s="73" t="n">
        <v>27.95</v>
      </c>
      <c r="H127" s="39" t="inlineStr">
        <is>
          <t>catalog price, 2026-10-13</t>
        </is>
      </c>
      <c r="I127" s="74" t="n">
        <v>34.95</v>
      </c>
      <c r="J127" s="75" t="inlineStr">
        <is>
          <t>2026-03-30</t>
        </is>
      </c>
      <c r="K127" s="40" t="n">
        <v>14.53</v>
      </c>
      <c r="L127" s="76" t="n">
        <v>0.4157367668097282</v>
      </c>
      <c r="M127" s="77" t="n">
        <v>0</v>
      </c>
      <c r="N127" s="39" t="inlineStr">
        <is>
          <t>Active</t>
        </is>
      </c>
      <c r="O127" s="39" t="n"/>
      <c r="P127" s="78" t="n">
        <v>4.4</v>
      </c>
      <c r="Q127" s="77" t="n">
        <v>1628</v>
      </c>
      <c r="R127" s="77" t="n">
        <v>52125</v>
      </c>
      <c r="S127" s="77" t="n">
        <v>6</v>
      </c>
      <c r="T127" s="39" t="n"/>
    </row>
    <row r="128" ht="62" customHeight="1">
      <c r="A128" s="12">
        <f>_xlfn.IMAGE("https://m.media-amazon.com/images/I/81tof11clrL.jpg")</f>
        <v/>
      </c>
      <c r="B128" s="39" t="inlineStr">
        <is>
          <t>B0C7F9HG21</t>
        </is>
      </c>
      <c r="C128" s="39" t="inlineStr">
        <is>
          <t>SATIN-STONEGREY-TWIN-6PCS</t>
        </is>
      </c>
      <c r="D128" s="39" t="inlineStr">
        <is>
          <t>DECOLURE Satin Sheets Twin Size | Softer Than Silk | Luxury 4 Pc Bed Set</t>
        </is>
      </c>
      <c r="E128" s="39" t="inlineStr">
        <is>
          <t>Twin</t>
        </is>
      </c>
      <c r="F128" s="39" t="inlineStr">
        <is>
          <t>Stone Grey</t>
        </is>
      </c>
      <c r="G128" s="73" t="n">
        <v>27.95</v>
      </c>
      <c r="H128" s="39" t="inlineStr">
        <is>
          <t>catalog price, 2026-10-13</t>
        </is>
      </c>
      <c r="I128" s="74" t="n">
        <v>36.95</v>
      </c>
      <c r="J128" s="75" t="inlineStr">
        <is>
          <t>2026-03-30</t>
        </is>
      </c>
      <c r="K128" s="40" t="n">
        <v>16.3</v>
      </c>
      <c r="L128" s="76" t="n">
        <v>0.4411366711772667</v>
      </c>
      <c r="M128" s="77" t="n">
        <v>0</v>
      </c>
      <c r="N128" s="39" t="inlineStr">
        <is>
          <t>Active</t>
        </is>
      </c>
      <c r="O128" s="39" t="n"/>
      <c r="P128" s="78" t="n">
        <v>4.4</v>
      </c>
      <c r="Q128" s="77" t="n">
        <v>1628</v>
      </c>
      <c r="R128" s="77" t="n">
        <v>52125</v>
      </c>
      <c r="S128" s="77" t="n">
        <v>6</v>
      </c>
      <c r="T128" s="39" t="n"/>
    </row>
    <row r="129" ht="62" customHeight="1">
      <c r="A129" s="12">
        <f>_xlfn.IMAGE("https://m.media-amazon.com/images/I/81FdNp1E3ZL.jpg")</f>
        <v/>
      </c>
      <c r="B129" s="39" t="inlineStr">
        <is>
          <t>B0C7K6WTJ1</t>
        </is>
      </c>
      <c r="C129" s="39" t="inlineStr">
        <is>
          <t>SATIN-STRIPE-TWIN-BLACK--6-PCS</t>
        </is>
      </c>
      <c r="D129" s="39" t="inlineStr">
        <is>
          <t>DECOLURE Satin Sheets Twin Size | Softer Than Silk | Luxury 4 Pc Bed Set</t>
        </is>
      </c>
      <c r="E129" s="39" t="inlineStr">
        <is>
          <t>Twin</t>
        </is>
      </c>
      <c r="F129" s="39" t="inlineStr">
        <is>
          <t>Striped Black</t>
        </is>
      </c>
      <c r="G129" s="73" t="n">
        <v>27.95</v>
      </c>
      <c r="H129" s="39" t="inlineStr">
        <is>
          <t>catalog price, 2026-10-13</t>
        </is>
      </c>
      <c r="I129" s="74" t="n">
        <v>27.95</v>
      </c>
      <c r="J129" s="75" t="inlineStr">
        <is>
          <t>2026-03-30</t>
        </is>
      </c>
      <c r="K129" s="40" t="n">
        <v>7.25</v>
      </c>
      <c r="L129" s="76" t="n">
        <v>0.259391771019678</v>
      </c>
      <c r="M129" s="77" t="n">
        <v>0</v>
      </c>
      <c r="N129" s="39" t="inlineStr">
        <is>
          <t>Active</t>
        </is>
      </c>
      <c r="O129" s="39" t="n"/>
      <c r="P129" s="78" t="n">
        <v>4.4</v>
      </c>
      <c r="Q129" s="77" t="n">
        <v>1628</v>
      </c>
      <c r="R129" s="77" t="n">
        <v>52125</v>
      </c>
      <c r="S129" s="77" t="n">
        <v>5</v>
      </c>
      <c r="T129" s="39" t="n"/>
    </row>
    <row r="130" ht="62" customHeight="1">
      <c r="A130" s="12">
        <f>_xlfn.IMAGE("https://m.media-amazon.com/images/I/81N5DWhx8TL.jpg")</f>
        <v/>
      </c>
      <c r="B130" s="39" t="inlineStr">
        <is>
          <t>B0C7JVQWDH</t>
        </is>
      </c>
      <c r="C130" s="39" t="inlineStr">
        <is>
          <t>SATIN-STRIPE-TWIN-BLUE--6-PCS</t>
        </is>
      </c>
      <c r="D130" s="39" t="inlineStr">
        <is>
          <t>DECOLURE Satin Sheets Twin Size | Softer Than Silk | Luxury 4 Pc Bed Set</t>
        </is>
      </c>
      <c r="E130" s="39" t="inlineStr">
        <is>
          <t>Twin</t>
        </is>
      </c>
      <c r="F130" s="39" t="inlineStr">
        <is>
          <t>Striped Blue</t>
        </is>
      </c>
      <c r="G130" s="73" t="n">
        <v>27.95</v>
      </c>
      <c r="H130" s="39" t="inlineStr">
        <is>
          <t>catalog price, 2026-10-13</t>
        </is>
      </c>
      <c r="I130" s="74" t="n">
        <v>29.95</v>
      </c>
      <c r="J130" s="75" t="inlineStr">
        <is>
          <t>2026-03-30</t>
        </is>
      </c>
      <c r="K130" s="40" t="n">
        <v>9.370000000000003</v>
      </c>
      <c r="L130" s="76" t="n">
        <v>0.3128547579298833</v>
      </c>
      <c r="M130" s="77" t="n">
        <v>0</v>
      </c>
      <c r="N130" s="39" t="inlineStr">
        <is>
          <t>Active</t>
        </is>
      </c>
      <c r="O130" s="39" t="n"/>
      <c r="P130" s="78" t="n">
        <v>4.4</v>
      </c>
      <c r="Q130" s="77" t="n">
        <v>1628</v>
      </c>
      <c r="R130" s="77" t="n">
        <v>52125</v>
      </c>
      <c r="S130" s="77" t="n">
        <v>6</v>
      </c>
      <c r="T130" s="39" t="n"/>
    </row>
    <row r="131" ht="62" customHeight="1">
      <c r="A131" s="12">
        <f>_xlfn.IMAGE("https://m.media-amazon.com/images/I/81D2zpVVytL.jpg")</f>
        <v/>
      </c>
      <c r="B131" s="39" t="inlineStr">
        <is>
          <t>B0C7K62XCT</t>
        </is>
      </c>
      <c r="C131" s="39" t="inlineStr">
        <is>
          <t>SATIN-STRIPE-TWIN-GRAY--6-PCS</t>
        </is>
      </c>
      <c r="D131" s="39" t="inlineStr">
        <is>
          <t>DECOLURE Satin Sheets Twin Size | Softer Than Silk | Luxury 4 Pc Bed Set</t>
        </is>
      </c>
      <c r="E131" s="39" t="inlineStr">
        <is>
          <t>Twin</t>
        </is>
      </c>
      <c r="F131" s="39" t="inlineStr">
        <is>
          <t>Striped Grey</t>
        </is>
      </c>
      <c r="G131" s="73" t="n">
        <v>27.95</v>
      </c>
      <c r="H131" s="39" t="inlineStr">
        <is>
          <t>catalog price, 2026-10-13</t>
        </is>
      </c>
      <c r="I131" s="74" t="n">
        <v>33.95</v>
      </c>
      <c r="J131" s="75" t="inlineStr">
        <is>
          <t>2026-03-30</t>
        </is>
      </c>
      <c r="K131" s="40" t="n">
        <v>12.77</v>
      </c>
      <c r="L131" s="76" t="n">
        <v>0.3761413843888072</v>
      </c>
      <c r="M131" s="77" t="n">
        <v>0</v>
      </c>
      <c r="N131" s="39" t="inlineStr">
        <is>
          <t>Active</t>
        </is>
      </c>
      <c r="O131" s="39" t="n"/>
      <c r="P131" s="78" t="n">
        <v>4.4</v>
      </c>
      <c r="Q131" s="77" t="n">
        <v>1628</v>
      </c>
      <c r="R131" s="77" t="n">
        <v>52125</v>
      </c>
      <c r="S131" s="77" t="n">
        <v>7</v>
      </c>
      <c r="T131" s="39" t="n"/>
    </row>
    <row r="132" ht="62" customHeight="1">
      <c r="A132" s="12">
        <f>_xlfn.IMAGE("https://m.media-amazon.com/images/I/81jr5OVoTrL.jpg")</f>
        <v/>
      </c>
      <c r="B132" s="39" t="inlineStr">
        <is>
          <t>B0C7KB2CR6</t>
        </is>
      </c>
      <c r="C132" s="39" t="inlineStr">
        <is>
          <t>SATIN-STRIPE-TWIN-PINK--6-PCS</t>
        </is>
      </c>
      <c r="D132" s="39" t="inlineStr">
        <is>
          <t>DECOLURE Satin Sheets Twin Size | Softer Than Silk | Luxury 4 Pc Bed Set</t>
        </is>
      </c>
      <c r="E132" s="39" t="inlineStr">
        <is>
          <t>Twin</t>
        </is>
      </c>
      <c r="F132" s="39" t="inlineStr">
        <is>
          <t>Striped Pink</t>
        </is>
      </c>
      <c r="G132" s="73" t="n">
        <v>27.95</v>
      </c>
      <c r="H132" s="39" t="inlineStr">
        <is>
          <t>catalog price, 2026-10-13</t>
        </is>
      </c>
      <c r="I132" s="74" t="n">
        <v>27.95</v>
      </c>
      <c r="J132" s="75" t="inlineStr">
        <is>
          <t>2026-03-30</t>
        </is>
      </c>
      <c r="K132" s="40" t="n">
        <v>7.809999999999999</v>
      </c>
      <c r="L132" s="76" t="n">
        <v>0.279427549194991</v>
      </c>
      <c r="M132" s="77" t="n">
        <v>0</v>
      </c>
      <c r="N132" s="39" t="inlineStr">
        <is>
          <t>Active</t>
        </is>
      </c>
      <c r="O132" s="39" t="n"/>
      <c r="P132" s="78" t="n">
        <v>4.4</v>
      </c>
      <c r="Q132" s="77" t="n">
        <v>1628</v>
      </c>
      <c r="R132" s="77" t="n">
        <v>52125</v>
      </c>
      <c r="S132" s="77" t="n">
        <v>6</v>
      </c>
      <c r="T132" s="39" t="n"/>
    </row>
    <row r="133" ht="62" customHeight="1">
      <c r="A133" s="12">
        <f>_xlfn.IMAGE("https://m.media-amazon.com/images/I/8121oIZnHFL.jpg")</f>
        <v/>
      </c>
      <c r="B133" s="39" t="inlineStr">
        <is>
          <t>B0C7JQ5MZY</t>
        </is>
      </c>
      <c r="C133" s="39" t="inlineStr">
        <is>
          <t>SATIN-STRIPE-TWIN-RED--6-PCS</t>
        </is>
      </c>
      <c r="D133" s="39" t="inlineStr">
        <is>
          <t>DECOLURE Satin Sheets Twin Size | Softer Than Silk | Luxury 4 Pc Bed Set</t>
        </is>
      </c>
      <c r="E133" s="39" t="inlineStr">
        <is>
          <t>Twin</t>
        </is>
      </c>
      <c r="F133" s="39" t="inlineStr">
        <is>
          <t>Striped Red</t>
        </is>
      </c>
      <c r="G133" s="73" t="n">
        <v>27.95</v>
      </c>
      <c r="H133" s="39" t="inlineStr">
        <is>
          <t>catalog price, 2026-10-13</t>
        </is>
      </c>
      <c r="I133" s="74" t="n">
        <v>34.95</v>
      </c>
      <c r="J133" s="75" t="inlineStr">
        <is>
          <t>2026-03-30</t>
        </is>
      </c>
      <c r="K133" s="40" t="n">
        <v>13.44</v>
      </c>
      <c r="L133" s="76" t="n">
        <v>0.384549356223176</v>
      </c>
      <c r="M133" s="77" t="n">
        <v>0</v>
      </c>
      <c r="N133" s="39" t="inlineStr">
        <is>
          <t>Active</t>
        </is>
      </c>
      <c r="O133" s="39" t="n"/>
      <c r="P133" s="78" t="n">
        <v>4.4</v>
      </c>
      <c r="Q133" s="77" t="n">
        <v>1628</v>
      </c>
      <c r="R133" s="77" t="n">
        <v>52125</v>
      </c>
      <c r="S133" s="77" t="n">
        <v>5</v>
      </c>
      <c r="T133" s="39" t="n"/>
    </row>
    <row r="134" ht="62" customHeight="1">
      <c r="A134" s="12">
        <f>_xlfn.IMAGE("https://m.media-amazon.com/images/I/81RVAQq5A8L.jpg")</f>
        <v/>
      </c>
      <c r="B134" s="39" t="inlineStr">
        <is>
          <t>B0C7KGK2WK</t>
        </is>
      </c>
      <c r="C134" s="39" t="inlineStr">
        <is>
          <t>SATIN-STRIPE-TWIN-WHITE--6-PCS</t>
        </is>
      </c>
      <c r="D134" s="39" t="inlineStr">
        <is>
          <t>DECOLURE Satin Bed Sheets - 4 Piece Luxury Silky Twin Size Bedding Set - Softer Than Silk, Wrinkle-Free with 15” Deep Pocket Fitted Sheet, Perfect for Hair &amp; Skin, Gifts for Women (Striped White)</t>
        </is>
      </c>
      <c r="E134" s="39" t="inlineStr">
        <is>
          <t>Twin</t>
        </is>
      </c>
      <c r="F134" s="39" t="inlineStr">
        <is>
          <t>Striped White</t>
        </is>
      </c>
      <c r="G134" s="73" t="n">
        <v>27.95</v>
      </c>
      <c r="H134" s="39" t="inlineStr">
        <is>
          <t>catalog price, 2026-10-13</t>
        </is>
      </c>
      <c r="I134" s="74" t="n">
        <v>16.97</v>
      </c>
      <c r="J134" s="75" t="inlineStr">
        <is>
          <t>2026-03-30</t>
        </is>
      </c>
      <c r="K134" s="40" t="n">
        <v>-1.900000000000002</v>
      </c>
      <c r="L134" s="76" t="n">
        <v>-0.1119622863877432</v>
      </c>
      <c r="M134" s="77" t="n">
        <v>0</v>
      </c>
      <c r="N134" s="39" t="inlineStr">
        <is>
          <t>Active</t>
        </is>
      </c>
      <c r="O134" s="39" t="n"/>
      <c r="P134" s="78" t="n">
        <v>4.4</v>
      </c>
      <c r="Q134" s="77" t="n">
        <v>1628</v>
      </c>
      <c r="R134" s="77" t="n">
        <v>52125</v>
      </c>
      <c r="S134" s="77" t="n">
        <v>7</v>
      </c>
      <c r="T134" s="39" t="n"/>
    </row>
    <row r="135" ht="62" customHeight="1">
      <c r="A135" s="12">
        <f>_xlfn.IMAGE("https://m.media-amazon.com/images/I/81MYfM3XgsL.jpg")</f>
        <v/>
      </c>
      <c r="B135" s="39" t="inlineStr">
        <is>
          <t>B0C7FD12CQ</t>
        </is>
      </c>
      <c r="C135" s="39" t="inlineStr">
        <is>
          <t>SATIN-TAUPE-TWIN-6PCS</t>
        </is>
      </c>
      <c r="D135" s="39" t="inlineStr">
        <is>
          <t>DECOLURE Satin Sheets Twin Size | Softer Than Silk | Luxury 4 Pc Bed Set</t>
        </is>
      </c>
      <c r="E135" s="39" t="inlineStr">
        <is>
          <t>Twin</t>
        </is>
      </c>
      <c r="F135" s="39" t="inlineStr">
        <is>
          <t>Taupe</t>
        </is>
      </c>
      <c r="G135" s="73" t="n">
        <v>27.95</v>
      </c>
      <c r="H135" s="39" t="inlineStr">
        <is>
          <t>catalog price, 2026-10-13</t>
        </is>
      </c>
      <c r="I135" s="74" t="n">
        <v>31.95</v>
      </c>
      <c r="J135" s="75" t="inlineStr">
        <is>
          <t>2026-03-30</t>
        </is>
      </c>
      <c r="K135" s="40" t="n">
        <v>11.64</v>
      </c>
      <c r="L135" s="76" t="n">
        <v>0.3643192488262911</v>
      </c>
      <c r="M135" s="77" t="n">
        <v>0</v>
      </c>
      <c r="N135" s="39" t="inlineStr">
        <is>
          <t>Active</t>
        </is>
      </c>
      <c r="O135" s="39" t="n"/>
      <c r="P135" s="78" t="n">
        <v>4.4</v>
      </c>
      <c r="Q135" s="77" t="n">
        <v>1628</v>
      </c>
      <c r="R135" s="77" t="n">
        <v>52125</v>
      </c>
      <c r="S135" s="77" t="n">
        <v>6</v>
      </c>
      <c r="T135" s="39" t="n"/>
    </row>
    <row r="136" ht="62" customHeight="1">
      <c r="A136" s="12">
        <f>_xlfn.IMAGE("https://m.media-amazon.com/images/I/81r29XS-EcL.jpg")</f>
        <v/>
      </c>
      <c r="B136" s="39" t="inlineStr">
        <is>
          <t>B0C7FBCF2X</t>
        </is>
      </c>
      <c r="C136" s="39" t="inlineStr">
        <is>
          <t>SATIN-WHITE-TWIN-6PCS</t>
        </is>
      </c>
      <c r="D136" s="39" t="inlineStr">
        <is>
          <t>DECOLURE Satin Sheets Twin Size | Softer Than Silk | Luxury 4 Pc Bed Set</t>
        </is>
      </c>
      <c r="E136" s="39" t="inlineStr">
        <is>
          <t>Twin</t>
        </is>
      </c>
      <c r="F136" s="39" t="inlineStr">
        <is>
          <t>White</t>
        </is>
      </c>
      <c r="G136" s="73" t="n">
        <v>27.95</v>
      </c>
      <c r="H136" s="39" t="inlineStr">
        <is>
          <t>catalog price, 2026-10-13</t>
        </is>
      </c>
      <c r="I136" s="74" t="n">
        <v>27.95</v>
      </c>
      <c r="J136" s="75" t="inlineStr">
        <is>
          <t>2026-03-30</t>
        </is>
      </c>
      <c r="K136" s="40" t="n">
        <v>8.279999999999996</v>
      </c>
      <c r="L136" s="76" t="n">
        <v>0.2962432915921286</v>
      </c>
      <c r="M136" s="77" t="n">
        <v>0</v>
      </c>
      <c r="N136" s="39" t="inlineStr">
        <is>
          <t>Active</t>
        </is>
      </c>
      <c r="O136" s="39" t="n"/>
      <c r="P136" s="78" t="n">
        <v>4.4</v>
      </c>
      <c r="Q136" s="77" t="n">
        <v>1628</v>
      </c>
      <c r="R136" s="77" t="n">
        <v>52125</v>
      </c>
      <c r="S136" s="77" t="n">
        <v>5</v>
      </c>
      <c r="T136" s="39" t="n"/>
    </row>
    <row r="137"/>
    <row r="138" ht="22" customHeight="1">
      <c r="A138" s="65" t="inlineStr">
        <is>
          <t>3 ▼</t>
        </is>
      </c>
      <c r="B138" s="66" t="inlineStr">
        <is>
          <t>OUR BFCM 2025 RESULT &amp; EVENT VISIBILITY</t>
        </is>
      </c>
      <c r="C138" s="67" t="n"/>
      <c r="D138" s="67" t="n"/>
      <c r="E138" s="67" t="n"/>
      <c r="F138" s="67" t="n"/>
      <c r="G138" s="67" t="n"/>
      <c r="H138" s="67" t="n"/>
      <c r="I138" s="67" t="n"/>
      <c r="J138" s="67" t="n"/>
      <c r="K138" s="67" t="n"/>
      <c r="L138" s="67" t="n"/>
      <c r="M138" s="67" t="n"/>
      <c r="N138" s="67" t="n"/>
      <c r="O138" s="67" t="n"/>
      <c r="P138" s="67" t="n"/>
      <c r="Q138" s="67" t="n"/>
      <c r="R138" s="67" t="n"/>
      <c r="S138" s="67" t="n"/>
      <c r="T138" s="67" t="n"/>
      <c r="U138" s="67" t="n"/>
      <c r="V138" s="67" t="n"/>
      <c r="W138" s="67" t="n"/>
      <c r="X138" s="67" t="n"/>
      <c r="Y138" s="67" t="n"/>
      <c r="Z138" s="67" t="n"/>
      <c r="AA138" s="67" t="n"/>
      <c r="AB138" s="67" t="n"/>
      <c r="AC138" s="67" t="n"/>
      <c r="AD138" s="67" t="n"/>
      <c r="AE138" s="67" t="n"/>
      <c r="AF138" s="67" t="n"/>
      <c r="AG138" s="67" t="n"/>
      <c r="AH138" s="67" t="n"/>
      <c r="AI138" s="67" t="n"/>
      <c r="AJ138" s="67" t="n"/>
      <c r="AK138" s="67" t="n"/>
      <c r="AL138" s="67" t="n"/>
      <c r="AM138" s="67" t="n"/>
      <c r="AN138" s="67" t="n"/>
      <c r="AO138" s="67" t="n"/>
      <c r="AP138" s="67" t="n"/>
      <c r="AQ138" s="67" t="n"/>
      <c r="AR138" s="67" t="n"/>
      <c r="AS138" s="67" t="n"/>
      <c r="AT138" s="67" t="n"/>
      <c r="AU138" s="67" t="n"/>
      <c r="AV138" s="67" t="n"/>
      <c r="AW138" s="67" t="n"/>
      <c r="AX138" s="67" t="n"/>
      <c r="AY138" s="67" t="n"/>
      <c r="AZ138" s="67" t="n"/>
      <c r="BA138" s="67" t="n"/>
      <c r="BB138" s="67" t="n"/>
      <c r="BC138" s="67" t="n"/>
      <c r="BD138" s="67" t="n"/>
      <c r="BE138" s="67" t="n"/>
      <c r="BF138" s="67" t="n"/>
      <c r="BG138" s="67" t="n"/>
      <c r="BH138" s="67" t="n"/>
      <c r="BI138" s="67" t="n"/>
      <c r="BJ138" s="67" t="n"/>
      <c r="BK138" s="67" t="n"/>
    </row>
    <row r="139">
      <c r="A139" s="80" t="inlineStr">
        <is>
          <t>Window</t>
        </is>
      </c>
      <c r="B139" s="81" t="n"/>
      <c r="C139" s="82" t="n"/>
      <c r="D139" s="80" t="inlineStr">
        <is>
          <t>Ad spend</t>
        </is>
      </c>
      <c r="E139" s="80" t="inlineStr">
        <is>
          <t>Ad sales</t>
        </is>
      </c>
      <c r="F139" s="80" t="inlineStr">
        <is>
          <t>ACoS</t>
        </is>
      </c>
      <c r="G139" s="80" t="inlineStr">
        <is>
          <t>TACoS</t>
        </is>
      </c>
      <c r="H139" s="80" t="inlineStr">
        <is>
          <t>Total sales (derived)</t>
        </is>
      </c>
      <c r="J139" s="80" t="inlineStr">
        <is>
          <t>Ad orders</t>
        </is>
      </c>
      <c r="K139" s="80" t="inlineStr">
        <is>
          <t>CVR</t>
        </is>
      </c>
    </row>
    <row r="140">
      <c r="A140" s="83" t="inlineStr">
        <is>
          <t>Pre-event Oct 21 - Nov 19, 2025 (30d)</t>
        </is>
      </c>
      <c r="B140" s="81" t="n"/>
      <c r="C140" s="82" t="n"/>
      <c r="D140" s="84" t="n">
        <v>5199.1</v>
      </c>
      <c r="E140" s="84" t="n">
        <v>14337.74</v>
      </c>
      <c r="F140" s="85" t="n">
        <v>36.3</v>
      </c>
      <c r="G140" s="85" t="n">
        <v>19.89891895719269</v>
      </c>
      <c r="H140" s="84" t="n">
        <v>26127.55</v>
      </c>
      <c r="J140" s="86" t="n">
        <v>432</v>
      </c>
      <c r="K140" s="87" t="n">
        <v>14.29</v>
      </c>
    </row>
    <row r="141">
      <c r="A141" s="83" t="inlineStr">
        <is>
          <t>BFCM week Nov 20 - Dec 1, 2025 (12d)</t>
        </is>
      </c>
      <c r="B141" s="81" t="n"/>
      <c r="C141" s="82" t="n"/>
      <c r="D141" s="84" t="n">
        <v>4785.809999999999</v>
      </c>
      <c r="E141" s="84" t="n">
        <v>19198.22</v>
      </c>
      <c r="F141" s="85" t="n">
        <v>24.9</v>
      </c>
      <c r="G141" s="85" t="n">
        <v>14.84492240692087</v>
      </c>
      <c r="H141" s="84" t="n">
        <v>32238.7</v>
      </c>
      <c r="J141" s="86" t="n">
        <v>618</v>
      </c>
      <c r="K141" s="87" t="n">
        <v>18.49</v>
      </c>
    </row>
    <row r="142">
      <c r="A142" s="83" t="inlineStr">
        <is>
          <t>December 2 - 31, 2025 (30d)</t>
        </is>
      </c>
      <c r="B142" s="81" t="n"/>
      <c r="C142" s="82" t="n"/>
      <c r="D142" s="84" t="n">
        <v>11052.01</v>
      </c>
      <c r="E142" s="84" t="n">
        <v>39026.04999999999</v>
      </c>
      <c r="F142" s="85" t="n">
        <v>28.3</v>
      </c>
      <c r="G142" s="85" t="n">
        <v>16.7518607856755</v>
      </c>
      <c r="H142" s="84" t="n">
        <v>65974.82000000001</v>
      </c>
      <c r="J142" s="86" t="n">
        <v>1227</v>
      </c>
      <c r="K142" s="87" t="n">
        <v>16.93</v>
      </c>
    </row>
    <row r="143"/>
    <row r="144">
      <c r="A144" s="80" t="inlineStr">
        <is>
          <t>Actual sales (account data)</t>
        </is>
      </c>
      <c r="B144" s="81" t="n"/>
      <c r="C144" s="82" t="n"/>
      <c r="D144" s="80" t="inlineStr">
        <is>
          <t>Sales</t>
        </is>
      </c>
      <c r="E144" s="80" t="inlineStr">
        <is>
          <t>Units</t>
        </is>
      </c>
      <c r="F144" s="80" t="inlineStr">
        <is>
          <t>Organic units</t>
        </is>
      </c>
      <c r="G144" s="80" t="inlineStr">
        <is>
          <t>Ad units</t>
        </is>
      </c>
      <c r="H144" s="80" t="inlineStr">
        <is>
          <t>Ad cost</t>
        </is>
      </c>
      <c r="J144" s="80" t="inlineStr">
        <is>
          <t>TACoS (actual)</t>
        </is>
      </c>
      <c r="K144" s="80" t="inlineStr">
        <is>
          <t>Sessions</t>
        </is>
      </c>
      <c r="L144" s="80" t="inlineStr">
        <is>
          <t>Unit session %</t>
        </is>
      </c>
      <c r="M144" s="80" t="inlineStr">
        <is>
          <t>Avg price</t>
        </is>
      </c>
      <c r="N144" s="80" t="inlineStr">
        <is>
          <t>Refunds</t>
        </is>
      </c>
    </row>
    <row r="145">
      <c r="A145" s="83" t="inlineStr">
        <is>
          <t>Pre-event Oct 21 - Nov 19, 2025 (30d)</t>
        </is>
      </c>
      <c r="B145" s="81" t="n"/>
      <c r="C145" s="82" t="n"/>
      <c r="D145" s="84" t="n">
        <v>26325.25</v>
      </c>
      <c r="E145" s="86" t="n">
        <v>797</v>
      </c>
      <c r="F145" s="86" t="n">
        <v>658</v>
      </c>
      <c r="G145" s="86" t="n">
        <v>139</v>
      </c>
      <c r="H145" s="84" t="n">
        <v>5222.87</v>
      </c>
      <c r="J145" s="88" t="n">
        <v>0.198397736013903</v>
      </c>
      <c r="K145" s="86" t="n">
        <v>12231</v>
      </c>
      <c r="L145" s="88" t="n">
        <v>0.06516229253536097</v>
      </c>
      <c r="M145" s="89" t="n">
        <v>33.03042659974906</v>
      </c>
      <c r="N145" s="86" t="n">
        <v>44</v>
      </c>
    </row>
    <row r="146">
      <c r="A146" s="83" t="inlineStr">
        <is>
          <t>BFCM week Nov 20 - Dec 1, 2025 (12d)</t>
        </is>
      </c>
      <c r="B146" s="81" t="n"/>
      <c r="C146" s="82" t="n"/>
      <c r="D146" s="84" t="n">
        <v>32391.03</v>
      </c>
      <c r="E146" s="86" t="n">
        <v>1072</v>
      </c>
      <c r="F146" s="86" t="n">
        <v>927</v>
      </c>
      <c r="G146" s="86" t="n">
        <v>145</v>
      </c>
      <c r="H146" s="84" t="n">
        <v>4831.48</v>
      </c>
      <c r="J146" s="88" t="n">
        <v>0.1491610485989485</v>
      </c>
      <c r="K146" s="86" t="n">
        <v>13542</v>
      </c>
      <c r="L146" s="88" t="n">
        <v>0.07916112834145621</v>
      </c>
      <c r="M146" s="89" t="n">
        <v>30.21551305970149</v>
      </c>
      <c r="N146" s="86" t="n">
        <v>10</v>
      </c>
    </row>
    <row r="147">
      <c r="A147" s="83" t="inlineStr">
        <is>
          <t>December 2 - 31, 2025 (30d)</t>
        </is>
      </c>
      <c r="B147" s="81" t="n"/>
      <c r="C147" s="82" t="n"/>
      <c r="D147" s="84" t="n">
        <v>66735.47</v>
      </c>
      <c r="E147" s="86" t="n">
        <v>2149</v>
      </c>
      <c r="F147" s="86" t="n">
        <v>1781</v>
      </c>
      <c r="G147" s="86" t="n">
        <v>368</v>
      </c>
      <c r="H147" s="84" t="n">
        <v>11102.92</v>
      </c>
      <c r="J147" s="88" t="n">
        <v>0.1663720956786549</v>
      </c>
      <c r="K147" s="86" t="n">
        <v>27084</v>
      </c>
      <c r="L147" s="88" t="n">
        <v>0.07934573918180475</v>
      </c>
      <c r="M147" s="89" t="n">
        <v>31.05419730107026</v>
      </c>
      <c r="N147" s="86" t="n">
        <v>84</v>
      </c>
    </row>
    <row r="148">
      <c r="A148" s="90" t="inlineStr">
        <is>
          <t>account data, Amazon parent B0HDTF4MN2 plus any of this product's child ASINs account data lists on their own, UTC days. Lift above uses these actual sales (3.08x; the ad-spend estimate was 3.08x).</t>
        </is>
      </c>
    </row>
    <row r="149" ht="30" customHeight="1">
      <c r="A149" s="91" t="inlineStr">
        <is>
          <t>Deals we ran or scheduled, Nov 1 - Dec 5, 2025 (deal records promotions; scheduled deal price not in the feed. price history price = lowest Buy Box seen during the deal, an observation for the hero child only, not the scheduled deal price): Lightning Deal 11-09 to 11-10 (cancelled, 111 variations); Lightning Deal 11-10 to 11-11 (cancelled, 111 variations); Best Deal 11-20 to 12-02 (ran, 89 variations, 1,008 units; price history lowest Buy Box during it $32.25 on B0C7FXXS6R).</t>
        </is>
      </c>
    </row>
    <row r="150" ht="18" customHeight="1">
      <c r="A150" s="92" t="inlineStr">
        <is>
          <t>BFCM 2026 plan: Lightning Deal 11/23 (Best Deal requested: Lightning Deal Nov 23 was cancelled in Seller Central; a Best Deal is requested and, if it is not granted, the deal is rescheduled). Deal price and depth not yet given; not yet visible in Amazon's deal feed.</t>
        </is>
      </c>
    </row>
    <row r="151" ht="30" customHeight="1">
      <c r="A151" s="93" t="inlineStr">
        <is>
          <t>BFCM deal status: Nov 23 Lightning Deal cancelled in Seller Central while a Best Deal is pursued; rescheduled if not granted.</t>
        </is>
      </c>
    </row>
    <row r="152" ht="30" customHeight="1">
      <c r="A152" s="94" t="inlineStr">
        <is>
          <t>BFCM 2026 stock (account data, Oct 15): 5,874 units at Amazon + 322 already sent (no ETA in account data); selling 30.5 a day; need about 2,164 to Nov 30 with a 3.08x BFCM lift (own BFCM 2025 lift (account data)). Variations: 90 covered, 2 need the inbound in time, 11 short even with inbound (174 units), 5 out of stock now. Detail: BFCM Stock tab.</t>
        </is>
      </c>
    </row>
    <row r="153" ht="18" customHeight="1">
      <c r="A153" s="95" t="inlineStr">
        <is>
          <t>ASSUMED 2026 deal prices, until the team's final: B0C7FXXS6R today $33.95; $28.86 at 15% off (Nov 19-26) and $27.16 at 20% off (Nov 27-30, Black Friday to Cyber Monday). Rule: team rule agreed Oct 15, 2026. Evidence: our BFCM 2025 deal on B0C7FXXS6R (US, price history): $33.95 before, $32.25 during, 5% off; US competitors' median price cut in BFCM 2025: 8% (3 rivals). Amazon may use a lower reference price than today's (it sets it the day before the deal), which would lower the deal price.</t>
        </is>
      </c>
    </row>
    <row r="154" ht="30" customHeight="1">
      <c r="A154" s="91" t="inlineStr">
        <is>
          <t>Our hero child B0C7FXXS6R in price history (market data, US): price $33.95 before (median Nov 1-19) → $32.25 in BFCM week (median Nov 20 - Dec 1), 5% lower; lowest $32.25; Best Seller Rank 41,421 → 28,292 (1.46x better). Price is price history's lowest new offer (price history holds no Buy Box series for our own ASINs; we are the only seller).</t>
        </is>
      </c>
    </row>
    <row r="155" ht="40" customHeight="1">
      <c r="A155" s="91" t="inlineStr">
        <is>
          <t>Stock in BFCM week 2025 (FBA inventory snapshots, child-ASIN level, revision 2): 1 of 115 variations hit zero FBA stock on at least one observed day; weighted by today's sales mix that is ~0.9% of variation-days lost. Most important: B0C7FKZ4VG 4/9 days. Days with no snapshot (Nov 26-27 and Dec 1, Cyber Monday), inferred from sales that day and the readings either side: 334 of 345 variation-days in stock, 3 out of stock, 8 unknown. Inferred, not a stock reading.</t>
        </is>
      </c>
    </row>
    <row r="156">
      <c r="A156" s="90" t="inlineStr">
        <is>
          <t>market data visibility for our best child B0C7FXXS6R: organic score None before BFCM 2025 → None in BFCM week; Prime Day 2026 63.5 → 77.2; Aug-Sep 2026 1.5.</t>
        </is>
      </c>
    </row>
    <row r="157"/>
    <row r="158" ht="22" customHeight="1">
      <c r="A158" s="65" t="inlineStr">
        <is>
          <t>4 ▼</t>
        </is>
      </c>
      <c r="B158" s="66" t="inlineStr">
        <is>
          <t>COMPETITOR LANDSCAPE (26 mapped)</t>
        </is>
      </c>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c r="AC158" s="67" t="n"/>
      <c r="AD158" s="67" t="n"/>
      <c r="AE158" s="67" t="n"/>
      <c r="AF158" s="67" t="n"/>
      <c r="AG158" s="67" t="n"/>
      <c r="AH158" s="67" t="n"/>
      <c r="AI158" s="67" t="n"/>
      <c r="AJ158" s="67" t="n"/>
      <c r="AK158" s="67" t="n"/>
      <c r="AL158" s="67" t="n"/>
      <c r="AM158" s="67" t="n"/>
      <c r="AN158" s="67" t="n"/>
      <c r="AO158" s="67" t="n"/>
      <c r="AP158" s="67" t="n"/>
      <c r="AQ158" s="67" t="n"/>
      <c r="AR158" s="67" t="n"/>
      <c r="AS158" s="67" t="n"/>
      <c r="AT158" s="67" t="n"/>
      <c r="AU158" s="67" t="n"/>
      <c r="AV158" s="67" t="n"/>
      <c r="AW158" s="67" t="n"/>
      <c r="AX158" s="67" t="n"/>
      <c r="AY158" s="67" t="n"/>
      <c r="AZ158" s="67" t="n"/>
      <c r="BA158" s="67" t="n"/>
      <c r="BB158" s="67" t="n"/>
      <c r="BC158" s="67" t="n"/>
      <c r="BD158" s="67" t="n"/>
      <c r="BE158" s="67" t="n"/>
      <c r="BF158" s="67" t="n"/>
      <c r="BG158" s="67" t="n"/>
      <c r="BH158" s="67" t="n"/>
      <c r="BI158" s="67" t="n"/>
      <c r="BJ158" s="67" t="n"/>
      <c r="BK158" s="67" t="n"/>
    </row>
    <row r="159" ht="20" customHeight="1">
      <c r="A159" s="96" t="inlineStr">
        <is>
          <t>▼▼▼</t>
        </is>
      </c>
      <c r="B159" s="97" t="inlineStr">
        <is>
          <t>COMPETITOR DATA BELOW: one row per competitor (16 direct first, then alternative material). Scroll right for listing, search, strikethrough now and BFCM 2025 history (deal type, price, discount, rank change).</t>
        </is>
      </c>
      <c r="C159" s="98" t="n"/>
      <c r="D159" s="98" t="n"/>
      <c r="E159" s="98" t="n"/>
      <c r="F159" s="98" t="n"/>
      <c r="G159" s="98" t="n"/>
      <c r="H159" s="98" t="n"/>
      <c r="I159" s="98" t="n"/>
      <c r="J159" s="98" t="n"/>
      <c r="K159" s="98" t="n"/>
      <c r="L159" s="98" t="n"/>
      <c r="M159" s="98" t="n"/>
      <c r="N159" s="98" t="n"/>
      <c r="O159" s="98" t="n"/>
      <c r="P159" s="98" t="n"/>
      <c r="Q159" s="98" t="n"/>
      <c r="R159" s="98" t="n"/>
      <c r="S159" s="98" t="n"/>
      <c r="T159" s="98" t="n"/>
      <c r="U159" s="98" t="n"/>
      <c r="V159" s="98" t="n"/>
      <c r="W159" s="98" t="n"/>
      <c r="X159" s="98" t="n"/>
      <c r="Y159" s="98" t="n"/>
      <c r="Z159" s="98" t="n"/>
      <c r="AA159" s="98" t="n"/>
      <c r="AB159" s="98" t="n"/>
      <c r="AC159" s="98" t="n"/>
      <c r="AD159" s="98" t="n"/>
      <c r="AE159" s="98" t="n"/>
      <c r="AF159" s="98" t="n"/>
      <c r="AG159" s="98" t="n"/>
      <c r="AH159" s="98" t="n"/>
      <c r="AI159" s="98" t="n"/>
      <c r="AJ159" s="98" t="n"/>
      <c r="AK159" s="98" t="n"/>
      <c r="AL159" s="98" t="n"/>
      <c r="AM159" s="98" t="n"/>
      <c r="AN159" s="98" t="n"/>
      <c r="AO159" s="98" t="n"/>
      <c r="AP159" s="98" t="n"/>
      <c r="AQ159" s="98" t="n"/>
      <c r="AR159" s="98" t="n"/>
      <c r="AS159" s="98" t="n"/>
      <c r="AT159" s="98" t="n"/>
      <c r="AU159" s="98" t="n"/>
      <c r="AV159" s="98" t="n"/>
      <c r="AW159" s="98" t="n"/>
      <c r="AX159" s="98" t="n"/>
      <c r="AY159" s="98" t="n"/>
      <c r="AZ159" s="98" t="n"/>
      <c r="BA159" s="98" t="n"/>
      <c r="BB159" s="98" t="n"/>
      <c r="BC159" s="98" t="n"/>
      <c r="BD159" s="98" t="n"/>
      <c r="BE159" s="98" t="n"/>
      <c r="BF159" s="98" t="n"/>
      <c r="BG159" s="98" t="n"/>
      <c r="BH159" s="98" t="n"/>
      <c r="BI159" s="98" t="n"/>
      <c r="BJ159" s="98" t="n"/>
      <c r="BK159" s="98" t="n"/>
    </row>
    <row r="160">
      <c r="A160" s="99" t="inlineStr">
        <is>
          <t>COMPETITOR</t>
        </is>
      </c>
      <c r="L160" s="100" t="inlineStr">
        <is>
          <t>LISTING - catalog data</t>
        </is>
      </c>
      <c r="M160" s="101" t="inlineStr">
        <is>
          <t>SEARCH STRATEGY - market data search data</t>
        </is>
      </c>
      <c r="N160" s="102" t="inlineStr">
        <is>
          <t>PRICE &amp; SALES - market data snapshot (date per row)</t>
        </is>
      </c>
      <c r="AA160" s="100" t="inlineStr">
        <is>
          <t>LISTING - catalog data</t>
        </is>
      </c>
      <c r="AD160" s="101" t="inlineStr">
        <is>
          <t>SEARCH STRATEGY - market data search data</t>
        </is>
      </c>
      <c r="AU160" s="103" t="inlineStr">
        <is>
          <t>STR NOW - Amazon page check (Oct 13, P1 + P2)</t>
        </is>
      </c>
      <c r="BB160" s="104" t="inlineStr">
        <is>
          <t>BFCM 2025 - price history (P1 filled; yellow = not pulled yet)</t>
        </is>
      </c>
    </row>
    <row r="161" ht="48" customHeight="1">
      <c r="A161" s="26" t="inlineStr">
        <is>
          <t>Image</t>
        </is>
      </c>
      <c r="B161" s="26" t="inlineStr">
        <is>
          <t>Brand</t>
        </is>
      </c>
      <c r="C161" s="26" t="inlineStr">
        <is>
          <t>Product title</t>
        </is>
      </c>
      <c r="D161" s="26" t="inlineStr">
        <is>
          <t>Tier</t>
        </is>
      </c>
      <c r="E161" s="26" t="inlineStr">
        <is>
          <t>Competitor type</t>
        </is>
      </c>
      <c r="F161" s="26" t="inlineStr">
        <is>
          <t>Material</t>
        </is>
      </c>
      <c r="G161" s="26" t="inlineStr">
        <is>
          <t>Why this type</t>
        </is>
      </c>
      <c r="H161" s="26" t="inlineStr">
        <is>
          <t>Parent ASIN</t>
        </is>
      </c>
      <c r="I161" s="26" t="inlineStr">
        <is>
          <t>Tracked child ASIN</t>
        </is>
      </c>
      <c r="J161" s="26" t="inlineStr">
        <is>
          <t>Size</t>
        </is>
      </c>
      <c r="K161" s="26" t="inlineStr">
        <is>
          <t>Colour</t>
        </is>
      </c>
      <c r="L161" s="26" t="inlineStr">
        <is>
          <t>Variations</t>
        </is>
      </c>
      <c r="M161" s="26" t="inlineStr">
        <is>
          <t>Hero child ASINs (share of their visibility)</t>
        </is>
      </c>
      <c r="N161" s="26" t="inlineStr">
        <is>
          <t>Price ($)</t>
        </is>
      </c>
      <c r="O161" s="26" t="inlineStr">
        <is>
          <t>List Price ($)</t>
        </is>
      </c>
      <c r="P161" s="26" t="inlineStr">
        <is>
          <t>List Price % over</t>
        </is>
      </c>
      <c r="Q161" s="26" t="inlineStr">
        <is>
          <t>STR band</t>
        </is>
      </c>
      <c r="R161" s="26" t="inlineStr">
        <is>
          <t>Our price, same size ($)</t>
        </is>
      </c>
      <c r="S161" s="26" t="inlineStr">
        <is>
          <t>Their price vs ours</t>
        </is>
      </c>
      <c r="T161" s="26" t="inlineStr">
        <is>
          <t>Comparison basis</t>
        </is>
      </c>
      <c r="U161" s="26" t="inlineStr">
        <is>
          <t>BSR</t>
        </is>
      </c>
      <c r="V161" s="26" t="inlineStr">
        <is>
          <t>Est weekly units</t>
        </is>
      </c>
      <c r="W161" s="26" t="inlineStr">
        <is>
          <t>Est monthly revenue ($)</t>
        </is>
      </c>
      <c r="X161" s="26" t="inlineStr">
        <is>
          <t>Rating</t>
        </is>
      </c>
      <c r="Y161" s="26" t="inlineStr">
        <is>
          <t>Reviews</t>
        </is>
      </c>
      <c r="Z161" s="26" t="inlineStr">
        <is>
          <t>Snapshot date</t>
        </is>
      </c>
      <c r="AA161" s="26" t="inlineStr">
        <is>
          <t>Listed</t>
        </is>
      </c>
      <c r="AB161" s="26" t="inlineStr">
        <is>
          <t>Fulfil.</t>
        </is>
      </c>
      <c r="AC161" s="26" t="inlineStr">
        <is>
          <t>Seller country</t>
        </is>
      </c>
      <c r="AD161" s="26" t="inlineStr">
        <is>
          <t>search data 7d traffic</t>
        </is>
      </c>
      <c r="AE161" s="26" t="inlineStr">
        <is>
          <t>Keywords ranked</t>
        </is>
      </c>
      <c r="AF161" s="26" t="inlineStr">
        <is>
          <t>Organic share of traffic</t>
        </is>
      </c>
      <c r="AG161" s="26" t="inlineStr">
        <is>
          <t>Ad share of traffic</t>
        </is>
      </c>
      <c r="AH161" s="26" t="inlineStr">
        <is>
          <t>Top keyword</t>
        </is>
      </c>
      <c r="AI161" s="26" t="inlineStr">
        <is>
          <t>SP reach</t>
        </is>
      </c>
      <c r="AJ161" s="26" t="inlineStr">
        <is>
          <t>SB reach</t>
        </is>
      </c>
      <c r="AK161" s="26" t="inlineStr">
        <is>
          <t>SB video reach</t>
        </is>
      </c>
      <c r="AL161" s="26" t="inlineStr">
        <is>
          <t>Amazon's Choice reach</t>
        </is>
      </c>
      <c r="AM161" s="26" t="inlineStr">
        <is>
          <t>Shared keywords</t>
        </is>
      </c>
      <c r="AN161" s="26" t="inlineStr">
        <is>
          <t>We win</t>
        </is>
      </c>
      <c r="AO161" s="26" t="inlineStr">
        <is>
          <t>We lose</t>
        </is>
      </c>
      <c r="AP161" s="26" t="inlineStr">
        <is>
          <t>Their keywords we miss</t>
        </is>
      </c>
      <c r="AQ161" s="26" t="inlineStr">
        <is>
          <t>KWs they advertise, we don't</t>
        </is>
      </c>
      <c r="AR161" s="26" t="inlineStr">
        <is>
          <t>KWs they out-advertise us</t>
        </is>
      </c>
      <c r="AS161" s="26" t="inlineStr">
        <is>
          <t>Prime Day 2026 organic vis lift</t>
        </is>
      </c>
      <c r="AT161" s="26" t="inlineStr">
        <is>
          <t>Organic trend (Aug-Sep vs Q2)</t>
        </is>
      </c>
      <c r="AU161" s="26" t="inlineStr">
        <is>
          <t>STR showing now? (Y/N)</t>
        </is>
      </c>
      <c r="AV161" s="26" t="inlineStr">
        <is>
          <t>STR label</t>
        </is>
      </c>
      <c r="AW161" s="26" t="inlineStr">
        <is>
          <t>Strikethrough price ($)</t>
        </is>
      </c>
      <c r="AX161" s="26" t="inlineStr">
        <is>
          <t>Page price at check ($)</t>
        </is>
      </c>
      <c r="AY161" s="26" t="inlineStr">
        <is>
          <t>Deal / coupon now</t>
        </is>
      </c>
      <c r="AZ161" s="26" t="inlineStr">
        <is>
          <t>Orderable now (Y/N)</t>
        </is>
      </c>
      <c r="BA161" s="26" t="inlineStr">
        <is>
          <t>Checked (ET)</t>
        </is>
      </c>
      <c r="BB161" s="26" t="inlineStr">
        <is>
          <t>BFCM 2025 deal type</t>
        </is>
      </c>
      <c r="BC161" s="26" t="inlineStr">
        <is>
          <t>BFCM 2025 deal dates</t>
        </is>
      </c>
      <c r="BD161" s="26" t="inlineStr">
        <is>
          <t>Pre-event price ($)</t>
        </is>
      </c>
      <c r="BE161" s="26" t="inlineStr">
        <is>
          <t>BFCM 2025 low ($)</t>
        </is>
      </c>
      <c r="BF161" s="26" t="inlineStr">
        <is>
          <t>BFCM 2025 discount</t>
        </is>
      </c>
      <c r="BG161" s="26" t="inlineStr">
        <is>
          <t>BSR pre-event</t>
        </is>
      </c>
      <c r="BH161" s="26" t="inlineStr">
        <is>
          <t>BSR BFCM wk</t>
        </is>
      </c>
      <c r="BI161" s="26" t="inlineStr">
        <is>
          <t>BSR lift (x)</t>
        </is>
      </c>
      <c r="BJ161" s="26" t="inlineStr">
        <is>
          <t>OOS in BFCM? (Y/N)</t>
        </is>
      </c>
      <c r="BK161" s="26" t="inlineStr">
        <is>
          <t>Notes</t>
        </is>
      </c>
    </row>
    <row r="162" ht="62" customHeight="1">
      <c r="A162" s="12">
        <f>_xlfn.IMAGE("https://images-na.ssl-images-amazon.com/images/I/71ujt2CgaQL.jpg")</f>
        <v/>
      </c>
      <c r="B162" s="105" t="inlineStr">
        <is>
          <t>BEDELITE</t>
        </is>
      </c>
      <c r="C162" s="39" t="inlineStr">
        <is>
          <t>BEDELITE Satin Sheets Queen Size Bed Set, Black, 4 Pieces</t>
        </is>
      </c>
      <c r="D162" s="105" t="inlineStr">
        <is>
          <t>Aspirational</t>
        </is>
      </c>
      <c r="E162" s="106" t="inlineStr">
        <is>
          <t>Direct</t>
        </is>
      </c>
      <c r="F162" s="105" t="inlineStr">
        <is>
          <t>Satin (polyester)</t>
        </is>
      </c>
      <c r="G162" s="39" t="inlineStr">
        <is>
          <t>Same product (sheet set) in the same material family: Satin (polyester) (title: BEDELITE Satin Sheets Queen Size Bed Set, Black, 4 Pieces); ours: our listing: polyester satin.</t>
        </is>
      </c>
      <c r="H162" s="107" t="inlineStr">
        <is>
          <t>B0FNMNMZ9T</t>
        </is>
      </c>
      <c r="I162" s="107" t="inlineStr">
        <is>
          <t>B0CSFTRP2X</t>
        </is>
      </c>
      <c r="J162" s="105" t="inlineStr">
        <is>
          <t>Queen</t>
        </is>
      </c>
      <c r="K162" s="105" t="inlineStr">
        <is>
          <t>Black</t>
        </is>
      </c>
      <c r="L162" s="108" t="n">
        <v>141</v>
      </c>
      <c r="M162" s="39" t="inlineStr">
        <is>
          <t>B0CSFTRP2X (57%), B0CSFW9QKP (14%), B0CSFTZ5B9 (14%)</t>
        </is>
      </c>
      <c r="N162" s="109" t="n">
        <v>17.99</v>
      </c>
      <c r="O162" s="109" t="n"/>
      <c r="P162" s="110">
        <f>IF(AND(ISNUMBER(O162),ISNUMBER(N162),N(N162)&gt;0),O162/N162-1,"")</f>
        <v/>
      </c>
      <c r="Q162" s="111">
        <f>IF(P162="","No List Price",IF(P162&lt;=0,"At/below price",IF(P162&lt;=0.12,"&lt;=12% STR zone",IF(P162&lt;=0.25,"12-25%","&gt;25% over"))))</f>
        <v/>
      </c>
      <c r="R162" s="109" t="n">
        <v>31.95</v>
      </c>
      <c r="S162" s="112">
        <f>IF(AND(ISNUMBER(N162),ISNUMBER(R162),N(R162)&gt;0),N162/R162-1,"")</f>
        <v/>
      </c>
      <c r="T162" s="39" t="inlineStr">
        <is>
          <t>Same size (Queen). Ours live: catalog price, 2026-10-13; 26 children</t>
        </is>
      </c>
      <c r="U162" s="108" t="n">
        <v>497</v>
      </c>
      <c r="V162" s="108" t="n">
        <v>1963</v>
      </c>
      <c r="W162" s="113">
        <f>IF(AND(ISNUMBER(N162),ISNUMBER(V162)),N162*V162*52/12,"")</f>
        <v/>
      </c>
      <c r="X162" s="114" t="n">
        <v>4.3</v>
      </c>
      <c r="Y162" s="108" t="n">
        <v>6297</v>
      </c>
      <c r="Z162" s="115" t="n">
        <v>46307</v>
      </c>
      <c r="AA162" s="115" t="n">
        <v>45307</v>
      </c>
      <c r="AB162" s="105" t="inlineStr">
        <is>
          <t>FBA</t>
        </is>
      </c>
      <c r="AC162" s="105" t="inlineStr">
        <is>
          <t>CN</t>
        </is>
      </c>
      <c r="AD162" s="108" t="n">
        <v>997443</v>
      </c>
      <c r="AE162" s="108" t="n">
        <v>3432</v>
      </c>
      <c r="AF162" s="116" t="n">
        <v>0.8161266415223724</v>
      </c>
      <c r="AG162" s="116" t="n">
        <v>0.1838733681022371</v>
      </c>
      <c r="AH162" s="39" t="inlineStr">
        <is>
          <t>silk sheets</t>
        </is>
      </c>
      <c r="AI162" s="116" t="n">
        <v>0.7623814092634867</v>
      </c>
      <c r="AJ162" s="116" t="n">
        <v>0.2406603685624141</v>
      </c>
      <c r="AK162" s="116" t="n">
        <v>0.1818179083917577</v>
      </c>
      <c r="AL162" s="116" t="n">
        <v>0.3718648584430388</v>
      </c>
      <c r="AM162" s="108" t="n">
        <v>435</v>
      </c>
      <c r="AN162" s="108" t="n">
        <v>38</v>
      </c>
      <c r="AO162" s="108" t="n">
        <v>373</v>
      </c>
      <c r="AP162" s="108" t="n">
        <v>2997</v>
      </c>
      <c r="AQ162" s="108" t="n">
        <v>393</v>
      </c>
      <c r="AR162" s="108" t="n">
        <v>23</v>
      </c>
      <c r="AS162" s="117" t="n">
        <v>1.114785561378903</v>
      </c>
      <c r="AT162" s="112" t="n">
        <v>0.3117365084274004</v>
      </c>
      <c r="AU162" s="118" t="inlineStr">
        <is>
          <t>Y</t>
        </is>
      </c>
      <c r="AV162" s="118" t="inlineStr">
        <is>
          <t>List Price</t>
        </is>
      </c>
      <c r="AW162" s="119" t="n">
        <v>19.99</v>
      </c>
      <c r="AX162" s="119" t="n">
        <v>17.99</v>
      </c>
      <c r="AY162" s="118" t="inlineStr">
        <is>
          <t>none</t>
        </is>
      </c>
      <c r="AZ162" s="118" t="inlineStr">
        <is>
          <t>Y</t>
        </is>
      </c>
      <c r="BA162" s="118" t="inlineStr">
        <is>
          <t>2026-10-13 12:12:27</t>
        </is>
      </c>
      <c r="BB162" s="120" t="inlineStr">
        <is>
          <t>Price cut only</t>
        </is>
      </c>
      <c r="BC162" s="120" t="inlineStr">
        <is>
          <t>11-20 to 12-01</t>
        </is>
      </c>
      <c r="BD162" s="121" t="n">
        <v>17.99</v>
      </c>
      <c r="BE162" s="121" t="n">
        <v>17.09</v>
      </c>
      <c r="BF162" s="110">
        <f>IF(AND(ISNUMBER(BD162),ISNUMBER(BE162),N(BD162)&gt;0),1-BE162/BD162,"")</f>
        <v/>
      </c>
      <c r="BG162" s="122" t="n">
        <v>714</v>
      </c>
      <c r="BH162" s="122" t="n">
        <v>473</v>
      </c>
      <c r="BI162" s="123">
        <f>IF(AND(ISNUMBER(BG162),ISNUMBER(BH162),N(BH162)&gt;0),BG162/BH162,"")</f>
        <v/>
      </c>
      <c r="BJ162" s="120" t="inlineStr">
        <is>
          <t>N</t>
        </is>
      </c>
      <c r="BK162" s="120" t="inlineStr">
        <is>
          <t>Prime Exclusive 11-01 to 12-05; Prime Exclusive already running before BFCM week; List Price $23.99</t>
        </is>
      </c>
    </row>
    <row r="163" ht="62" customHeight="1">
      <c r="A163" s="12">
        <f>_xlfn.IMAGE("https://images-na.ssl-images-amazon.com/images/I/81C-fXI71XL.jpg")</f>
        <v/>
      </c>
      <c r="B163" s="105" t="inlineStr">
        <is>
          <t>Love's cabin</t>
        </is>
      </c>
      <c r="C163" s="39" t="inlineStr">
        <is>
          <t>Love's cabin Satin Queen Sheets Set, 4 Pieces, Pink, 15" Deep Pocket</t>
        </is>
      </c>
      <c r="D163" s="105" t="inlineStr">
        <is>
          <t>Aspirational</t>
        </is>
      </c>
      <c r="E163" s="106" t="inlineStr">
        <is>
          <t>Direct</t>
        </is>
      </c>
      <c r="F163" s="105" t="inlineStr">
        <is>
          <t>Satin (polyester)</t>
        </is>
      </c>
      <c r="G163" s="39" t="inlineStr">
        <is>
          <t>Same product (sheet set) in the same material family: Satin (polyester) (title: Love's cabin Satin Queen Sheets Set, 4 Pieces, Pink, 15" Dee); ours: our listing: polyester satin.</t>
        </is>
      </c>
      <c r="H163" s="107" t="inlineStr">
        <is>
          <t>B08DHTB63X</t>
        </is>
      </c>
      <c r="I163" s="107" t="inlineStr">
        <is>
          <t>B0BNMC5G8R</t>
        </is>
      </c>
      <c r="J163" s="105" t="inlineStr">
        <is>
          <t>Queen</t>
        </is>
      </c>
      <c r="K163" s="105" t="inlineStr">
        <is>
          <t>Pink</t>
        </is>
      </c>
      <c r="L163" s="108" t="n">
        <v>128</v>
      </c>
      <c r="M163" s="39" t="inlineStr">
        <is>
          <t>B0BNMC5G8R (45%), B0BNMCRSC6 (13%), B0CM5NFXX1 (9%), B0BNMVM5VM (5%), B0BNMD8S97 (4%)</t>
        </is>
      </c>
      <c r="N163" s="109" t="n">
        <v>16.13</v>
      </c>
      <c r="O163" s="109" t="n">
        <v>19.99</v>
      </c>
      <c r="P163" s="110">
        <f>IF(AND(ISNUMBER(O163),ISNUMBER(N163),N(N163)&gt;0),O163/N163-1,"")</f>
        <v/>
      </c>
      <c r="Q163" s="111">
        <f>IF(P163="","No List Price",IF(P163&lt;=0,"At/below price",IF(P163&lt;=0.12,"&lt;=12% STR zone",IF(P163&lt;=0.25,"12-25%","&gt;25% over"))))</f>
        <v/>
      </c>
      <c r="R163" s="109" t="n">
        <v>31.95</v>
      </c>
      <c r="S163" s="112">
        <f>IF(AND(ISNUMBER(N163),ISNUMBER(R163),N(R163)&gt;0),N163/R163-1,"")</f>
        <v/>
      </c>
      <c r="T163" s="39" t="inlineStr">
        <is>
          <t>Same size (Queen). Ours live: catalog price, 2026-10-13; 26 children</t>
        </is>
      </c>
      <c r="U163" s="108" t="n">
        <v>949</v>
      </c>
      <c r="V163" s="108" t="n">
        <v>809</v>
      </c>
      <c r="W163" s="113">
        <f>IF(AND(ISNUMBER(N163),ISNUMBER(V163)),N163*V163*52/12,"")</f>
        <v/>
      </c>
      <c r="X163" s="114" t="n">
        <v>4.5</v>
      </c>
      <c r="Y163" s="108" t="n">
        <v>5747</v>
      </c>
      <c r="Z163" s="115" t="n">
        <v>46307</v>
      </c>
      <c r="AA163" s="115" t="n">
        <v>44895</v>
      </c>
      <c r="AB163" s="105" t="inlineStr">
        <is>
          <t>FBA</t>
        </is>
      </c>
      <c r="AC163" s="105" t="inlineStr">
        <is>
          <t>CN</t>
        </is>
      </c>
      <c r="AD163" s="108" t="n">
        <v>385363</v>
      </c>
      <c r="AE163" s="108" t="n">
        <v>3599</v>
      </c>
      <c r="AF163" s="116" t="n">
        <v>0.8181775938530695</v>
      </c>
      <c r="AG163" s="116" t="n">
        <v>0.1818224144507905</v>
      </c>
      <c r="AH163" s="39" t="inlineStr">
        <is>
          <t>silk sheets</t>
        </is>
      </c>
      <c r="AI163" s="116" t="n">
        <v>0.8853963665427143</v>
      </c>
      <c r="AJ163" s="116" t="n">
        <v>0.6095447668821345</v>
      </c>
      <c r="AK163" s="116" t="n">
        <v>0.07642664189348744</v>
      </c>
      <c r="AL163" s="116" t="n">
        <v>0.06371395281851137</v>
      </c>
      <c r="AM163" s="108" t="n">
        <v>418</v>
      </c>
      <c r="AN163" s="108" t="n">
        <v>63</v>
      </c>
      <c r="AO163" s="108" t="n">
        <v>328</v>
      </c>
      <c r="AP163" s="108" t="n">
        <v>3181</v>
      </c>
      <c r="AQ163" s="108" t="n">
        <v>478</v>
      </c>
      <c r="AR163" s="108" t="n">
        <v>30</v>
      </c>
      <c r="AS163" s="117" t="n">
        <v>1.036399938565504</v>
      </c>
      <c r="AT163" s="112" t="n">
        <v>-0.1336111472848027</v>
      </c>
      <c r="AU163" s="118" t="inlineStr">
        <is>
          <t>Y</t>
        </is>
      </c>
      <c r="AV163" s="118" t="inlineStr">
        <is>
          <t>List Price</t>
        </is>
      </c>
      <c r="AW163" s="119" t="n">
        <v>19.99</v>
      </c>
      <c r="AX163" s="119" t="n">
        <v>16.13</v>
      </c>
      <c r="AY163" s="118" t="inlineStr">
        <is>
          <t>Limited time deal</t>
        </is>
      </c>
      <c r="AZ163" s="118" t="inlineStr">
        <is>
          <t>Y</t>
        </is>
      </c>
      <c r="BA163" s="118" t="inlineStr">
        <is>
          <t>2026-10-13 12:13:15</t>
        </is>
      </c>
      <c r="BB163" s="120" t="inlineStr">
        <is>
          <t>Prime Exclusive Discount</t>
        </is>
      </c>
      <c r="BC163" s="120" t="inlineStr">
        <is>
          <t>11-10 to 12-05</t>
        </is>
      </c>
      <c r="BD163" s="121" t="n">
        <v>17.99</v>
      </c>
      <c r="BE163" s="121" t="n">
        <v>17.99</v>
      </c>
      <c r="BF163" s="110">
        <f>IF(AND(ISNUMBER(BD163),ISNUMBER(BE163),N(BD163)&gt;0),1-BE163/BD163,"")</f>
        <v/>
      </c>
      <c r="BG163" s="122" t="n">
        <v>1276</v>
      </c>
      <c r="BH163" s="122" t="n">
        <v>1515</v>
      </c>
      <c r="BI163" s="123">
        <f>IF(AND(ISNUMBER(BG163),ISNUMBER(BH163),N(BH163)&gt;0),BG163/BH163,"")</f>
        <v/>
      </c>
      <c r="BJ163" s="120" t="inlineStr">
        <is>
          <t>N</t>
        </is>
      </c>
      <c r="BK163" s="120" t="inlineStr">
        <is>
          <t>Prime Exclusive already running before BFCM week; List Price $25.99</t>
        </is>
      </c>
    </row>
    <row r="164" ht="62" customHeight="1">
      <c r="A164" s="12">
        <f>_xlfn.IMAGE("https://images-na.ssl-images-amazon.com/images/I/71zGuoeuSrL.jpg")</f>
        <v/>
      </c>
      <c r="B164" s="105" t="inlineStr">
        <is>
          <t>MR&amp;HM</t>
        </is>
      </c>
      <c r="C164" s="39" t="inlineStr">
        <is>
          <t>MR&amp;HM Satin Sheets Queen Size with Elastic Corner Straps, Black</t>
        </is>
      </c>
      <c r="D164" s="105" t="inlineStr">
        <is>
          <t>Aspirational</t>
        </is>
      </c>
      <c r="E164" s="106" t="inlineStr">
        <is>
          <t>Direct</t>
        </is>
      </c>
      <c r="F164" s="105" t="inlineStr">
        <is>
          <t>Satin (polyester)</t>
        </is>
      </c>
      <c r="G164" s="39" t="inlineStr">
        <is>
          <t>Same product (sheet set) in the same material family: Satin (polyester) (title: MR&amp;HM Satin Sheets Queen Size with Elastic Corner Straps, Bl); ours: our listing: polyester satin.</t>
        </is>
      </c>
      <c r="H164" s="107" t="inlineStr">
        <is>
          <t>B08NQ3W7PG</t>
        </is>
      </c>
      <c r="I164" s="107" t="inlineStr">
        <is>
          <t>B08HM6WT6X</t>
        </is>
      </c>
      <c r="J164" s="105" t="inlineStr">
        <is>
          <t>Queen</t>
        </is>
      </c>
      <c r="K164" s="105" t="inlineStr">
        <is>
          <t>Black</t>
        </is>
      </c>
      <c r="L164" s="108" t="n">
        <v>183</v>
      </c>
      <c r="M164" s="39" t="inlineStr">
        <is>
          <t>B08HM6WT6X (40%), B0D2CQ6VNT (13%), B08PS3HDFL (10%), B08HM65Z68 (8%), B08HLT8R9M (6%)</t>
        </is>
      </c>
      <c r="N164" s="109" t="n">
        <v>19.99</v>
      </c>
      <c r="O164" s="109" t="n"/>
      <c r="P164" s="110">
        <f>IF(AND(ISNUMBER(O164),ISNUMBER(N164),N(N164)&gt;0),O164/N164-1,"")</f>
        <v/>
      </c>
      <c r="Q164" s="111">
        <f>IF(P164="","No List Price",IF(P164&lt;=0,"At/below price",IF(P164&lt;=0.12,"&lt;=12% STR zone",IF(P164&lt;=0.25,"12-25%","&gt;25% over"))))</f>
        <v/>
      </c>
      <c r="R164" s="109" t="n">
        <v>31.95</v>
      </c>
      <c r="S164" s="112">
        <f>IF(AND(ISNUMBER(N164),ISNUMBER(R164),N(R164)&gt;0),N164/R164-1,"")</f>
        <v/>
      </c>
      <c r="T164" s="39" t="inlineStr">
        <is>
          <t>Same size (Queen). Ours live: catalog price, 2026-10-13; 26 children</t>
        </is>
      </c>
      <c r="U164" s="108" t="n">
        <v>2025</v>
      </c>
      <c r="V164" s="108" t="n">
        <v>809</v>
      </c>
      <c r="W164" s="113">
        <f>IF(AND(ISNUMBER(N164),ISNUMBER(V164)),N164*V164*52/12,"")</f>
        <v/>
      </c>
      <c r="X164" s="114" t="n">
        <v>4.4</v>
      </c>
      <c r="Y164" s="108" t="n">
        <v>17886</v>
      </c>
      <c r="Z164" s="115" t="n">
        <v>46307</v>
      </c>
      <c r="AA164" s="115" t="n">
        <v>44081</v>
      </c>
      <c r="AB164" s="105" t="inlineStr">
        <is>
          <t>FBA</t>
        </is>
      </c>
      <c r="AC164" s="105" t="inlineStr">
        <is>
          <t>HK</t>
        </is>
      </c>
      <c r="AD164" s="108" t="n">
        <v>356457</v>
      </c>
      <c r="AE164" s="108" t="n">
        <v>3352</v>
      </c>
      <c r="AF164" s="116" t="n">
        <v>0.7964633734223203</v>
      </c>
      <c r="AG164" s="116" t="n">
        <v>0.2035367432817982</v>
      </c>
      <c r="AH164" s="39" t="inlineStr">
        <is>
          <t>silk sheets</t>
        </is>
      </c>
      <c r="AI164" s="116" t="n">
        <v>0.839254103580516</v>
      </c>
      <c r="AJ164" s="116" t="n"/>
      <c r="AK164" s="116" t="n"/>
      <c r="AL164" s="116" t="n">
        <v>0.1362268099658584</v>
      </c>
      <c r="AM164" s="108" t="n">
        <v>426</v>
      </c>
      <c r="AN164" s="108" t="n">
        <v>65</v>
      </c>
      <c r="AO164" s="108" t="n">
        <v>314</v>
      </c>
      <c r="AP164" s="108" t="n">
        <v>2926</v>
      </c>
      <c r="AQ164" s="108" t="n">
        <v>443</v>
      </c>
      <c r="AR164" s="108" t="n">
        <v>34</v>
      </c>
      <c r="AS164" s="117" t="n">
        <v>0.9844138242602214</v>
      </c>
      <c r="AT164" s="112" t="n">
        <v>0.1594370096908169</v>
      </c>
      <c r="AU164" s="118" t="inlineStr">
        <is>
          <t>Y</t>
        </is>
      </c>
      <c r="AV164" s="118" t="inlineStr">
        <is>
          <t>List Price</t>
        </is>
      </c>
      <c r="AW164" s="119" t="n">
        <v>28.99</v>
      </c>
      <c r="AX164" s="119" t="n">
        <v>19.99</v>
      </c>
      <c r="AY164" s="118" t="inlineStr">
        <is>
          <t>none</t>
        </is>
      </c>
      <c r="AZ164" s="118" t="inlineStr">
        <is>
          <t>Y</t>
        </is>
      </c>
      <c r="BA164" s="118" t="inlineStr">
        <is>
          <t>2026-10-13 12:13:22</t>
        </is>
      </c>
      <c r="BB164" s="120" t="inlineStr">
        <is>
          <t>None</t>
        </is>
      </c>
      <c r="BC164" s="125" t="n"/>
      <c r="BD164" s="121" t="n">
        <v>17.99</v>
      </c>
      <c r="BE164" s="121" t="n">
        <v>17.99</v>
      </c>
      <c r="BF164" s="110">
        <f>IF(AND(ISNUMBER(BD164),ISNUMBER(BE164),N(BD164)&gt;0),1-BE164/BD164,"")</f>
        <v/>
      </c>
      <c r="BG164" s="122" t="n">
        <v>1500</v>
      </c>
      <c r="BH164" s="122" t="n">
        <v>1119</v>
      </c>
      <c r="BI164" s="123">
        <f>IF(AND(ISNUMBER(BG164),ISNUMBER(BH164),N(BH164)&gt;0),BG164/BH164,"")</f>
        <v/>
      </c>
      <c r="BJ164" s="120" t="inlineStr">
        <is>
          <t>N</t>
        </is>
      </c>
      <c r="BK164" s="120" t="inlineStr">
        <is>
          <t>Prime Exclusive 11-01 to 12-05; Lightning Deal 11-08 to 11-14; Prime Exclusive already running before BFCM week; List Price $28.99</t>
        </is>
      </c>
    </row>
    <row r="165" ht="62" customHeight="1">
      <c r="A165" s="12">
        <f>_xlfn.IMAGE("https://images-na.ssl-images-amazon.com/images/I/81zLU1W0e8L.jpg")</f>
        <v/>
      </c>
      <c r="B165" s="105" t="inlineStr">
        <is>
          <t>Pure Bedding</t>
        </is>
      </c>
      <c r="C165" s="39" t="inlineStr">
        <is>
          <t>Pure Bedding Satin Sheets Queen [4-Piece, Black] Hotel Luxury Silky Bed Sheets - Extra Soft 1800 Microfiber Sheet Set, Wrinkle, Fade, Deep Pocket Fitted Sheet, Flat Sheet, Pillow Cases</t>
        </is>
      </c>
      <c r="D165" s="105" t="inlineStr">
        <is>
          <t>Aspirational</t>
        </is>
      </c>
      <c r="E165" s="106" t="inlineStr">
        <is>
          <t>Direct</t>
        </is>
      </c>
      <c r="F165" s="105" t="inlineStr">
        <is>
          <t>Satin (polyester)</t>
        </is>
      </c>
      <c r="G165" s="39" t="inlineStr">
        <is>
          <t>Same product (sheet set) in the same material family: Satin (polyester) (title: Pure Bedding Satin Sheets Queen [4-Piece, Black] Hotel Luxur); ours: our listing: polyester satin.</t>
        </is>
      </c>
      <c r="H165" s="107" t="inlineStr">
        <is>
          <t>B0FMPQYB2J</t>
        </is>
      </c>
      <c r="I165" s="107" t="inlineStr">
        <is>
          <t>B083G81VSH</t>
        </is>
      </c>
      <c r="J165" s="105" t="inlineStr">
        <is>
          <t>Queen</t>
        </is>
      </c>
      <c r="K165" s="105" t="inlineStr">
        <is>
          <t>Black</t>
        </is>
      </c>
      <c r="L165" s="108" t="n">
        <v>146</v>
      </c>
      <c r="M165" s="39" t="inlineStr">
        <is>
          <t>B083G81VSH (53%), B07QVMQHD8 (25%), B0FMZWLSSM (4%)</t>
        </is>
      </c>
      <c r="N165" s="109" t="n">
        <v>20.99</v>
      </c>
      <c r="O165" s="109" t="n"/>
      <c r="P165" s="110">
        <f>IF(AND(ISNUMBER(O165),ISNUMBER(N165),N(N165)&gt;0),O165/N165-1,"")</f>
        <v/>
      </c>
      <c r="Q165" s="111">
        <f>IF(P165="","No List Price",IF(P165&lt;=0,"At/below price",IF(P165&lt;=0.12,"&lt;=12% STR zone",IF(P165&lt;=0.25,"12-25%","&gt;25% over"))))</f>
        <v/>
      </c>
      <c r="R165" s="109" t="n">
        <v>31.95</v>
      </c>
      <c r="S165" s="112">
        <f>IF(AND(ISNUMBER(N165),ISNUMBER(R165),N(R165)&gt;0),N165/R165-1,"")</f>
        <v/>
      </c>
      <c r="T165" s="39" t="inlineStr">
        <is>
          <t>Same size (Queen). Ours live: catalog price, 2026-10-13; 26 children</t>
        </is>
      </c>
      <c r="U165" s="108" t="n">
        <v>30991</v>
      </c>
      <c r="V165" s="108" t="n">
        <v>92</v>
      </c>
      <c r="W165" s="113">
        <f>IF(AND(ISNUMBER(N165),ISNUMBER(V165)),N165*V165*52/12,"")</f>
        <v/>
      </c>
      <c r="X165" s="114" t="n">
        <v>4.4</v>
      </c>
      <c r="Y165" s="108" t="n">
        <v>9828</v>
      </c>
      <c r="Z165" s="115" t="n">
        <v>46307</v>
      </c>
      <c r="AA165" s="115" t="n">
        <v>43833</v>
      </c>
      <c r="AB165" s="105" t="inlineStr">
        <is>
          <t>AMZ</t>
        </is>
      </c>
      <c r="AC165" s="105" t="inlineStr">
        <is>
          <t>(Amazon)</t>
        </is>
      </c>
      <c r="AD165" s="108" t="n">
        <v>119531</v>
      </c>
      <c r="AE165" s="108" t="n">
        <v>1524</v>
      </c>
      <c r="AF165" s="116" t="n">
        <v>0.6204180681162206</v>
      </c>
      <c r="AG165" s="116" t="n">
        <v>0.3795819318837791</v>
      </c>
      <c r="AH165" s="39" t="inlineStr">
        <is>
          <t>satin sheets</t>
        </is>
      </c>
      <c r="AI165" s="116" t="n">
        <v>0.7968142155591437</v>
      </c>
      <c r="AJ165" s="116" t="n"/>
      <c r="AK165" s="116" t="n"/>
      <c r="AL165" s="116" t="n">
        <v>0.001480787410797199</v>
      </c>
      <c r="AM165" s="108" t="n">
        <v>355</v>
      </c>
      <c r="AN165" s="108" t="n">
        <v>95</v>
      </c>
      <c r="AO165" s="108" t="n">
        <v>225</v>
      </c>
      <c r="AP165" s="108" t="n">
        <v>1169</v>
      </c>
      <c r="AQ165" s="108" t="n">
        <v>241</v>
      </c>
      <c r="AR165" s="108" t="n">
        <v>31</v>
      </c>
      <c r="AS165" s="117" t="n">
        <v>0.7574960547080484</v>
      </c>
      <c r="AT165" s="112" t="n">
        <v>-0.08414376321353068</v>
      </c>
      <c r="AU165" s="118" t="inlineStr">
        <is>
          <t>N</t>
        </is>
      </c>
      <c r="AV165" s="118" t="inlineStr">
        <is>
          <t>none</t>
        </is>
      </c>
      <c r="AW165" s="124" t="n"/>
      <c r="AX165" s="119" t="n">
        <v>20.99</v>
      </c>
      <c r="AY165" s="118" t="inlineStr">
        <is>
          <t>none</t>
        </is>
      </c>
      <c r="AZ165" s="118" t="inlineStr">
        <is>
          <t>Y</t>
        </is>
      </c>
      <c r="BA165" s="118" t="inlineStr">
        <is>
          <t>2026-10-13 12:13:39</t>
        </is>
      </c>
      <c r="BB165" s="120" t="inlineStr">
        <is>
          <t>Price cut only</t>
        </is>
      </c>
      <c r="BC165" s="120" t="inlineStr">
        <is>
          <t>11-26 to 12-01</t>
        </is>
      </c>
      <c r="BD165" s="121" t="n">
        <v>18.99</v>
      </c>
      <c r="BE165" s="121" t="n">
        <v>17.54</v>
      </c>
      <c r="BF165" s="110">
        <f>IF(AND(ISNUMBER(BD165),ISNUMBER(BE165),N(BD165)&gt;0),1-BE165/BD165,"")</f>
        <v/>
      </c>
      <c r="BG165" s="122" t="n">
        <v>18619</v>
      </c>
      <c r="BH165" s="122" t="n">
        <v>22404</v>
      </c>
      <c r="BI165" s="123">
        <f>IF(AND(ISNUMBER(BG165),ISNUMBER(BH165),N(BH165)&gt;0),BG165/BH165,"")</f>
        <v/>
      </c>
      <c r="BJ165" s="120" t="inlineStr">
        <is>
          <t>N</t>
        </is>
      </c>
      <c r="BK165" s="120" t="inlineStr">
        <is>
          <t>Buy Box RAISED in BFCM week (median $20.02 vs $18.99 before); List Price $32.99</t>
        </is>
      </c>
    </row>
    <row r="166" ht="62" customHeight="1">
      <c r="A166" s="12">
        <f>_xlfn.IMAGE("https://images-na.ssl-images-amazon.com/images/I/810d6GzTlfL.jpg")</f>
        <v/>
      </c>
      <c r="B166" s="105" t="inlineStr">
        <is>
          <t>FreshCulture</t>
        </is>
      </c>
      <c r="C166" s="39" t="inlineStr">
        <is>
          <t>Satin Sheets</t>
        </is>
      </c>
      <c r="D166" s="105" t="inlineStr">
        <is>
          <t>Beatable</t>
        </is>
      </c>
      <c r="E166" s="106" t="inlineStr">
        <is>
          <t>Direct</t>
        </is>
      </c>
      <c r="F166" s="105" t="inlineStr">
        <is>
          <t>Satin (polyester)</t>
        </is>
      </c>
      <c r="G166" s="39" t="inlineStr">
        <is>
          <t>Same product (sheet set) in the same material family: Satin (polyester) (product page material: Polyester Satin); ours: our listing: polyester satin.</t>
        </is>
      </c>
      <c r="H166" s="107" t="inlineStr">
        <is>
          <t>B0D9B18P6N</t>
        </is>
      </c>
      <c r="I166" s="107" t="inlineStr">
        <is>
          <t>B0D9BD63QH</t>
        </is>
      </c>
      <c r="J166" s="105" t="inlineStr">
        <is>
          <t>Full</t>
        </is>
      </c>
      <c r="K166" s="105" t="inlineStr">
        <is>
          <t>Black</t>
        </is>
      </c>
      <c r="L166" s="108" t="n">
        <v>54</v>
      </c>
      <c r="M166" s="39" t="inlineStr">
        <is>
          <t>B0D9BD63QH (41%), B0D9BCKF76 (23%), B0D9BBSLJ5 (8%), B0D9BFR53D (6%), B0D9B9HFLQ (5%)</t>
        </is>
      </c>
      <c r="N166" s="109" t="n">
        <v>23.99</v>
      </c>
      <c r="O166" s="109" t="n"/>
      <c r="P166" s="110">
        <f>IF(AND(ISNUMBER(O166),ISNUMBER(N166),N(N166)&gt;0),O166/N166-1,"")</f>
        <v/>
      </c>
      <c r="Q166" s="111">
        <f>IF(P166="","No List Price",IF(P166&lt;=0,"At/below price",IF(P166&lt;=0.12,"&lt;=12% STR zone",IF(P166&lt;=0.25,"12-25%","&gt;25% over"))))</f>
        <v/>
      </c>
      <c r="R166" s="109" t="n">
        <v>29.95</v>
      </c>
      <c r="S166" s="112">
        <f>IF(AND(ISNUMBER(N166),ISNUMBER(R166),N(R166)&gt;0),N166/R166-1,"")</f>
        <v/>
      </c>
      <c r="T166" s="39" t="inlineStr">
        <is>
          <t>Same size (Full). Ours live: catalog price, 2026-10-13; 26 children</t>
        </is>
      </c>
      <c r="U166" s="108" t="n">
        <v>17918</v>
      </c>
      <c r="V166" s="108" t="n">
        <v>104</v>
      </c>
      <c r="W166" s="113">
        <f>IF(AND(ISNUMBER(N166),ISNUMBER(V166)),N166*V166*52/12,"")</f>
        <v/>
      </c>
      <c r="X166" s="114" t="n">
        <v>4.4</v>
      </c>
      <c r="Y166" s="108" t="n">
        <v>780</v>
      </c>
      <c r="Z166" s="115" t="n">
        <v>46307</v>
      </c>
      <c r="AA166" s="115" t="n"/>
      <c r="AB166" s="105" t="n"/>
      <c r="AC166" s="105" t="n"/>
      <c r="AD166" s="108" t="n">
        <v>99046</v>
      </c>
      <c r="AE166" s="108" t="n">
        <v>1117</v>
      </c>
      <c r="AF166" s="116" t="n">
        <v>0.9634387880378817</v>
      </c>
      <c r="AG166" s="116" t="n">
        <v>0.0365612119621186</v>
      </c>
      <c r="AH166" s="39" t="inlineStr">
        <is>
          <t>silk sheets</t>
        </is>
      </c>
      <c r="AI166" s="116" t="n">
        <v>0.6526159562223613</v>
      </c>
      <c r="AJ166" s="116" t="n"/>
      <c r="AK166" s="116" t="n"/>
      <c r="AL166" s="116" t="n">
        <v>0.05489368576217112</v>
      </c>
      <c r="AM166" s="108" t="n">
        <v>295</v>
      </c>
      <c r="AN166" s="108" t="n">
        <v>56</v>
      </c>
      <c r="AO166" s="108" t="n">
        <v>208</v>
      </c>
      <c r="AP166" s="108" t="n">
        <v>822</v>
      </c>
      <c r="AQ166" s="108" t="n">
        <v>32</v>
      </c>
      <c r="AR166" s="108" t="n">
        <v>3</v>
      </c>
      <c r="AS166" s="117" t="n"/>
      <c r="AT166" s="112" t="n"/>
      <c r="AU166" s="118" t="inlineStr">
        <is>
          <t>N</t>
        </is>
      </c>
      <c r="AV166" s="118" t="inlineStr">
        <is>
          <t>none</t>
        </is>
      </c>
      <c r="AW166" s="124" t="n"/>
      <c r="AX166" s="119" t="n">
        <v>23.99</v>
      </c>
      <c r="AY166" s="118" t="inlineStr">
        <is>
          <t>none</t>
        </is>
      </c>
      <c r="AZ166" s="118" t="inlineStr">
        <is>
          <t>Y</t>
        </is>
      </c>
      <c r="BA166" s="118" t="inlineStr">
        <is>
          <t>2026-10-13 12:12:46</t>
        </is>
      </c>
      <c r="BB166" s="120" t="inlineStr">
        <is>
          <t>Prime Exclusive Discount</t>
        </is>
      </c>
      <c r="BC166" s="120" t="inlineStr">
        <is>
          <t>11-24 to 11-24</t>
        </is>
      </c>
      <c r="BD166" s="121" t="n">
        <v>23.99</v>
      </c>
      <c r="BE166" s="121" t="n">
        <v>18.69</v>
      </c>
      <c r="BF166" s="110">
        <f>IF(AND(ISNUMBER(BD166),ISNUMBER(BE166),N(BD166)&gt;0),1-BE166/BD166,"")</f>
        <v/>
      </c>
      <c r="BG166" s="122" t="n">
        <v>37399</v>
      </c>
      <c r="BH166" s="122" t="n">
        <v>26864</v>
      </c>
      <c r="BI166" s="123">
        <f>IF(AND(ISNUMBER(BG166),ISNUMBER(BH166),N(BH166)&gt;0),BG166/BH166,"")</f>
        <v/>
      </c>
      <c r="BJ166" s="120" t="inlineStr">
        <is>
          <t>Y</t>
        </is>
      </c>
      <c r="BK166" s="120" t="inlineStr">
        <is>
          <t>List Price $34.99</t>
        </is>
      </c>
    </row>
    <row r="167" ht="62" customHeight="1">
      <c r="A167" s="12">
        <f>_xlfn.IMAGE("https://images-na.ssl-images-amazon.com/images/I/71TbH0l5XfL.jpg")</f>
        <v/>
      </c>
      <c r="B167" s="105" t="inlineStr">
        <is>
          <t>P Pothuiny</t>
        </is>
      </c>
      <c r="C167" s="39" t="inlineStr">
        <is>
          <t>P Pothuiny 6-Piece Queen Satin Sheet Set Burgundy Silky Sheets</t>
        </is>
      </c>
      <c r="D167" s="105" t="inlineStr">
        <is>
          <t>Beatable</t>
        </is>
      </c>
      <c r="E167" s="106" t="inlineStr">
        <is>
          <t>Direct</t>
        </is>
      </c>
      <c r="F167" s="105" t="inlineStr">
        <is>
          <t>Satin (polyester)</t>
        </is>
      </c>
      <c r="G167" s="39" t="inlineStr">
        <is>
          <t>Same product (sheet set) in the same material family: Satin (polyester) (title: P Pothuiny 6-Piece Queen Satin Sheet Set Burgundy Silky Shee); ours: our listing: polyester satin.</t>
        </is>
      </c>
      <c r="H167" s="107" t="inlineStr">
        <is>
          <t>B096P2MYZQ</t>
        </is>
      </c>
      <c r="I167" s="107" t="inlineStr">
        <is>
          <t>B08QMF6D5W</t>
        </is>
      </c>
      <c r="J167" s="105" t="inlineStr">
        <is>
          <t>Queen</t>
        </is>
      </c>
      <c r="K167" s="105" t="inlineStr">
        <is>
          <t>Burgundy</t>
        </is>
      </c>
      <c r="L167" s="108" t="n">
        <v>47</v>
      </c>
      <c r="M167" s="39" t="inlineStr">
        <is>
          <t>B08QMF6D5W (52%), B08QMSJFYZ (19%), B08QMYV2YR (10%)</t>
        </is>
      </c>
      <c r="N167" s="109" t="n">
        <v>26.99</v>
      </c>
      <c r="O167" s="109" t="n"/>
      <c r="P167" s="110">
        <f>IF(AND(ISNUMBER(O167),ISNUMBER(N167),N(N167)&gt;0),O167/N167-1,"")</f>
        <v/>
      </c>
      <c r="Q167" s="111">
        <f>IF(P167="","No List Price",IF(P167&lt;=0,"At/below price",IF(P167&lt;=0.12,"&lt;=12% STR zone",IF(P167&lt;=0.25,"12-25%","&gt;25% over"))))</f>
        <v/>
      </c>
      <c r="R167" s="109" t="n">
        <v>31.95</v>
      </c>
      <c r="S167" s="112">
        <f>IF(AND(ISNUMBER(N167),ISNUMBER(R167),N(R167)&gt;0),N167/R167-1,"")</f>
        <v/>
      </c>
      <c r="T167" s="39" t="inlineStr">
        <is>
          <t>Same size (Queen). Ours live: catalog price, 2026-10-13; 26 children</t>
        </is>
      </c>
      <c r="U167" s="108" t="n">
        <v>20031</v>
      </c>
      <c r="V167" s="108" t="n">
        <v>104</v>
      </c>
      <c r="W167" s="113">
        <f>IF(AND(ISNUMBER(N167),ISNUMBER(V167)),N167*V167*52/12,"")</f>
        <v/>
      </c>
      <c r="X167" s="114" t="n">
        <v>4.4</v>
      </c>
      <c r="Y167" s="108" t="n">
        <v>4031</v>
      </c>
      <c r="Z167" s="115" t="n">
        <v>46307</v>
      </c>
      <c r="AA167" s="115" t="n">
        <v>44180</v>
      </c>
      <c r="AB167" s="105" t="inlineStr">
        <is>
          <t>FBA</t>
        </is>
      </c>
      <c r="AC167" s="105" t="inlineStr">
        <is>
          <t>CN</t>
        </is>
      </c>
      <c r="AD167" s="108" t="n">
        <v>66544</v>
      </c>
      <c r="AE167" s="108" t="n">
        <v>832</v>
      </c>
      <c r="AF167" s="116" t="n">
        <v>0.9166959214955518</v>
      </c>
      <c r="AG167" s="116" t="n">
        <v>0.08330407850444821</v>
      </c>
      <c r="AH167" s="39" t="inlineStr">
        <is>
          <t>silk sheets</t>
        </is>
      </c>
      <c r="AI167" s="116" t="n">
        <v>0.1859972349122385</v>
      </c>
      <c r="AJ167" s="116" t="n">
        <v>0.5380349843712431</v>
      </c>
      <c r="AK167" s="116" t="n"/>
      <c r="AL167" s="116" t="n">
        <v>0.01920533782159173</v>
      </c>
      <c r="AM167" s="108" t="n">
        <v>363</v>
      </c>
      <c r="AN167" s="108" t="n">
        <v>84</v>
      </c>
      <c r="AO167" s="108" t="n">
        <v>228</v>
      </c>
      <c r="AP167" s="108" t="n">
        <v>469</v>
      </c>
      <c r="AQ167" s="108" t="n">
        <v>42</v>
      </c>
      <c r="AR167" s="108" t="n">
        <v>11</v>
      </c>
      <c r="AS167" s="117" t="n">
        <v>1.171497584541063</v>
      </c>
      <c r="AT167" s="112" t="n">
        <v>0.608009708737864</v>
      </c>
      <c r="AU167" s="118" t="inlineStr">
        <is>
          <t>N</t>
        </is>
      </c>
      <c r="AV167" s="118" t="inlineStr">
        <is>
          <t>none</t>
        </is>
      </c>
      <c r="AW167" s="124" t="n"/>
      <c r="AX167" s="119" t="n">
        <v>26.99</v>
      </c>
      <c r="AY167" s="118" t="inlineStr">
        <is>
          <t>none</t>
        </is>
      </c>
      <c r="AZ167" s="118" t="inlineStr">
        <is>
          <t>Y</t>
        </is>
      </c>
      <c r="BA167" s="118" t="inlineStr">
        <is>
          <t>2026-10-13 12:13:35</t>
        </is>
      </c>
      <c r="BB167" s="120" t="inlineStr">
        <is>
          <t>Prime Exclusive Discount</t>
        </is>
      </c>
      <c r="BC167" s="120" t="inlineStr">
        <is>
          <t>11-01 to 12-01</t>
        </is>
      </c>
      <c r="BD167" s="121" t="n">
        <v>29.99</v>
      </c>
      <c r="BE167" s="121" t="n">
        <v>24.95</v>
      </c>
      <c r="BF167" s="110">
        <f>IF(AND(ISNUMBER(BD167),ISNUMBER(BE167),N(BD167)&gt;0),1-BE167/BD167,"")</f>
        <v/>
      </c>
      <c r="BG167" s="122" t="n">
        <v>19773</v>
      </c>
      <c r="BH167" s="122" t="n">
        <v>19113</v>
      </c>
      <c r="BI167" s="123">
        <f>IF(AND(ISNUMBER(BG167),ISNUMBER(BH167),N(BH167)&gt;0),BG167/BH167,"")</f>
        <v/>
      </c>
      <c r="BJ167" s="120" t="inlineStr">
        <is>
          <t>N</t>
        </is>
      </c>
      <c r="BK167" s="120" t="inlineStr">
        <is>
          <t>Prime Exclusive already running before BFCM week; Buy Box RAISED in BFCM week (median $31.99 vs $29.99 before); List Price $48.99</t>
        </is>
      </c>
    </row>
    <row r="168" ht="62" customHeight="1">
      <c r="A168" s="12">
        <f>_xlfn.IMAGE("https://images-na.ssl-images-amazon.com/images/I/71ZrkfMtWLL.jpg")</f>
        <v/>
      </c>
      <c r="B168" s="105" t="inlineStr">
        <is>
          <t>SiinvdaBZX</t>
        </is>
      </c>
      <c r="C168" s="39" t="inlineStr">
        <is>
          <t>SiinvdaBZX 4Pcs Satin Sheet Set Queen Size 15-Inch Deep Pocket, Beige</t>
        </is>
      </c>
      <c r="D168" s="105" t="inlineStr">
        <is>
          <t>Beatable</t>
        </is>
      </c>
      <c r="E168" s="106" t="inlineStr">
        <is>
          <t>Direct</t>
        </is>
      </c>
      <c r="F168" s="105" t="inlineStr">
        <is>
          <t>Satin (polyester)</t>
        </is>
      </c>
      <c r="G168" s="39" t="inlineStr">
        <is>
          <t>Same product (sheet set) in the same material family: Satin (polyester) (title: SiinvdaBZX 4Pcs Satin Sheet Set Queen Size 15-Inch Deep Pock); ours: our listing: polyester satin.</t>
        </is>
      </c>
      <c r="H168" s="107" t="inlineStr">
        <is>
          <t>B0DD37S32L</t>
        </is>
      </c>
      <c r="I168" s="107" t="inlineStr">
        <is>
          <t>B08JP9DG5Z</t>
        </is>
      </c>
      <c r="J168" s="105" t="inlineStr">
        <is>
          <t>Queen</t>
        </is>
      </c>
      <c r="K168" s="105" t="inlineStr">
        <is>
          <t>Beige</t>
        </is>
      </c>
      <c r="L168" s="108" t="n">
        <v>96</v>
      </c>
      <c r="M168" s="39" t="inlineStr">
        <is>
          <t>B08JP9DG5Z (57%), B09QPFBSD4 (12%), B09QP9LCFM (7%), B08JPQ3JJK (4%)</t>
        </is>
      </c>
      <c r="N168" s="109" t="n">
        <v>22.99</v>
      </c>
      <c r="O168" s="109" t="n"/>
      <c r="P168" s="110">
        <f>IF(AND(ISNUMBER(O168),ISNUMBER(N168),N(N168)&gt;0),O168/N168-1,"")</f>
        <v/>
      </c>
      <c r="Q168" s="111">
        <f>IF(P168="","No List Price",IF(P168&lt;=0,"At/below price",IF(P168&lt;=0.12,"&lt;=12% STR zone",IF(P168&lt;=0.25,"12-25%","&gt;25% over"))))</f>
        <v/>
      </c>
      <c r="R168" s="109" t="n">
        <v>31.95</v>
      </c>
      <c r="S168" s="112">
        <f>IF(AND(ISNUMBER(N168),ISNUMBER(R168),N(R168)&gt;0),N168/R168-1,"")</f>
        <v/>
      </c>
      <c r="T168" s="39" t="inlineStr">
        <is>
          <t>Same size (Queen). Ours live: catalog price, 2026-10-13; 26 children</t>
        </is>
      </c>
      <c r="U168" s="108" t="n">
        <v>23154</v>
      </c>
      <c r="V168" s="108" t="n">
        <v>92</v>
      </c>
      <c r="W168" s="113">
        <f>IF(AND(ISNUMBER(N168),ISNUMBER(V168)),N168*V168*52/12,"")</f>
        <v/>
      </c>
      <c r="X168" s="114" t="n">
        <v>4.4</v>
      </c>
      <c r="Y168" s="108" t="n">
        <v>6981</v>
      </c>
      <c r="Z168" s="115" t="n">
        <v>46307</v>
      </c>
      <c r="AA168" s="115" t="n">
        <v>44096</v>
      </c>
      <c r="AB168" s="105" t="inlineStr">
        <is>
          <t>FBA</t>
        </is>
      </c>
      <c r="AC168" s="105" t="inlineStr">
        <is>
          <t>CN</t>
        </is>
      </c>
      <c r="AD168" s="108" t="n">
        <v>47722</v>
      </c>
      <c r="AE168" s="108" t="n">
        <v>1085</v>
      </c>
      <c r="AF168" s="116" t="n">
        <v>0.8752176061355349</v>
      </c>
      <c r="AG168" s="116" t="n">
        <v>0.1247823938644651</v>
      </c>
      <c r="AH168" s="39" t="inlineStr">
        <is>
          <t>silk sheets</t>
        </is>
      </c>
      <c r="AI168" s="116" t="n">
        <v>0.6122543061900172</v>
      </c>
      <c r="AJ168" s="116" t="n">
        <v>0.0001885922635262562</v>
      </c>
      <c r="AK168" s="116" t="n">
        <v>0.01083357780478605</v>
      </c>
      <c r="AL168" s="116" t="n">
        <v>0.004777670675998491</v>
      </c>
      <c r="AM168" s="108" t="n">
        <v>325</v>
      </c>
      <c r="AN168" s="108" t="n">
        <v>100</v>
      </c>
      <c r="AO168" s="108" t="n">
        <v>189</v>
      </c>
      <c r="AP168" s="108" t="n">
        <v>760</v>
      </c>
      <c r="AQ168" s="108" t="n">
        <v>128</v>
      </c>
      <c r="AR168" s="108" t="n">
        <v>13</v>
      </c>
      <c r="AS168" s="117" t="n">
        <v>1.035928143712575</v>
      </c>
      <c r="AT168" s="112" t="n">
        <v>-0.05882352941176483</v>
      </c>
      <c r="AU168" s="118" t="inlineStr">
        <is>
          <t>N</t>
        </is>
      </c>
      <c r="AV168" s="118" t="inlineStr">
        <is>
          <t>none</t>
        </is>
      </c>
      <c r="AW168" s="124" t="n"/>
      <c r="AX168" s="119" t="n">
        <v>22.99</v>
      </c>
      <c r="AY168" s="118" t="inlineStr">
        <is>
          <t>none</t>
        </is>
      </c>
      <c r="AZ168" s="118" t="inlineStr">
        <is>
          <t>Y</t>
        </is>
      </c>
      <c r="BA168" s="118" t="inlineStr">
        <is>
          <t>2026-10-13 12:13:45</t>
        </is>
      </c>
      <c r="BB168" s="120" t="inlineStr">
        <is>
          <t>Prime Exclusive Discount</t>
        </is>
      </c>
      <c r="BC168" s="120" t="inlineStr">
        <is>
          <t>11-01 to 12-01</t>
        </is>
      </c>
      <c r="BD168" s="121" t="n">
        <v>24.49</v>
      </c>
      <c r="BE168" s="121" t="n">
        <v>21.59</v>
      </c>
      <c r="BF168" s="110">
        <f>IF(AND(ISNUMBER(BD168),ISNUMBER(BE168),N(BD168)&gt;0),1-BE168/BD168,"")</f>
        <v/>
      </c>
      <c r="BG168" s="122" t="n">
        <v>20848</v>
      </c>
      <c r="BH168" s="122" t="n">
        <v>20750</v>
      </c>
      <c r="BI168" s="123">
        <f>IF(AND(ISNUMBER(BG168),ISNUMBER(BH168),N(BH168)&gt;0),BG168/BH168,"")</f>
        <v/>
      </c>
      <c r="BJ168" s="120" t="inlineStr">
        <is>
          <t>N</t>
        </is>
      </c>
      <c r="BK168" s="120" t="inlineStr">
        <is>
          <t>Prime Exclusive already running before BFCM week; Buy Box RAISED in BFCM week (median $26.99 vs $24.49 before); List Price $52.59</t>
        </is>
      </c>
    </row>
    <row r="169" ht="62" customHeight="1">
      <c r="A169" s="12">
        <f>_xlfn.IMAGE("https://images-na.ssl-images-amazon.com/images/I/813TGJ9FKjL.jpg")</f>
        <v/>
      </c>
      <c r="B169" s="105" t="inlineStr">
        <is>
          <t>Horbaunal</t>
        </is>
      </c>
      <c r="C169" s="39" t="inlineStr">
        <is>
          <t>Horbaunal 6 Piece Satin Sheet Set Queen, Emerald Green Queen Bed Sheets</t>
        </is>
      </c>
      <c r="D169" s="105" t="inlineStr">
        <is>
          <t>Beatable</t>
        </is>
      </c>
      <c r="E169" s="106" t="inlineStr">
        <is>
          <t>Direct</t>
        </is>
      </c>
      <c r="F169" s="105" t="inlineStr">
        <is>
          <t>Satin (polyester)</t>
        </is>
      </c>
      <c r="G169" s="39" t="inlineStr">
        <is>
          <t>Same product (sheet set) in the same material family: Satin (polyester) (title: Horbaunal 6 Piece Satin Sheet Set Queen, Emerald Green Queen); ours: our listing: polyester satin.</t>
        </is>
      </c>
      <c r="H169" s="107" t="inlineStr">
        <is>
          <t>B0B4MQCT87</t>
        </is>
      </c>
      <c r="I169" s="107" t="inlineStr">
        <is>
          <t>B0B4MQ1PP1</t>
        </is>
      </c>
      <c r="J169" s="105" t="inlineStr">
        <is>
          <t>Queen</t>
        </is>
      </c>
      <c r="K169" s="105" t="inlineStr">
        <is>
          <t>Green</t>
        </is>
      </c>
      <c r="L169" s="108" t="n">
        <v>23</v>
      </c>
      <c r="M169" s="39" t="inlineStr"/>
      <c r="N169" s="109" t="n">
        <v>28.99</v>
      </c>
      <c r="O169" s="109" t="n"/>
      <c r="P169" s="110">
        <f>IF(AND(ISNUMBER(O169),ISNUMBER(N169),N(N169)&gt;0),O169/N169-1,"")</f>
        <v/>
      </c>
      <c r="Q169" s="111">
        <f>IF(P169="","No List Price",IF(P169&lt;=0,"At/below price",IF(P169&lt;=0.12,"&lt;=12% STR zone",IF(P169&lt;=0.25,"12-25%","&gt;25% over"))))</f>
        <v/>
      </c>
      <c r="R169" s="109" t="n">
        <v>31.95</v>
      </c>
      <c r="S169" s="112">
        <f>IF(AND(ISNUMBER(N169),ISNUMBER(R169),N(R169)&gt;0),N169/R169-1,"")</f>
        <v/>
      </c>
      <c r="T169" s="39" t="inlineStr">
        <is>
          <t>Same size (Queen). Ours live: catalog price, 2026-10-13; 26 children</t>
        </is>
      </c>
      <c r="U169" s="108" t="n">
        <v>110638</v>
      </c>
      <c r="V169" s="108" t="n">
        <v>35</v>
      </c>
      <c r="W169" s="113">
        <f>IF(AND(ISNUMBER(N169),ISNUMBER(V169)),N169*V169*52/12,"")</f>
        <v/>
      </c>
      <c r="X169" s="114" t="n">
        <v>4.4</v>
      </c>
      <c r="Y169" s="108" t="n">
        <v>772</v>
      </c>
      <c r="Z169" s="115" t="n">
        <v>46307</v>
      </c>
      <c r="AA169" s="115" t="n">
        <v>44733</v>
      </c>
      <c r="AB169" s="105" t="inlineStr">
        <is>
          <t>FBA</t>
        </is>
      </c>
      <c r="AC169" s="105" t="inlineStr">
        <is>
          <t>CN</t>
        </is>
      </c>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N</t>
        </is>
      </c>
      <c r="AV169" s="118" t="inlineStr">
        <is>
          <t>none</t>
        </is>
      </c>
      <c r="AW169" s="124" t="n"/>
      <c r="AX169" s="119" t="n">
        <v>28.99</v>
      </c>
      <c r="AY169" s="118" t="inlineStr">
        <is>
          <t>none</t>
        </is>
      </c>
      <c r="AZ169" s="118" t="inlineStr">
        <is>
          <t>Y</t>
        </is>
      </c>
      <c r="BA169" s="118" t="inlineStr">
        <is>
          <t>2026-10-13 12:13:05</t>
        </is>
      </c>
      <c r="BB169" s="120" t="inlineStr">
        <is>
          <t>Prime Exclusive Discount</t>
        </is>
      </c>
      <c r="BC169" s="120" t="inlineStr">
        <is>
          <t>11-01 to 12-01</t>
        </is>
      </c>
      <c r="BD169" s="121" t="n">
        <v>33.43</v>
      </c>
      <c r="BE169" s="121" t="n">
        <v>28.87</v>
      </c>
      <c r="BF169" s="110">
        <f>IF(AND(ISNUMBER(BD169),ISNUMBER(BE169),N(BD169)&gt;0),1-BE169/BD169,"")</f>
        <v/>
      </c>
      <c r="BG169" s="122" t="n">
        <v>93675</v>
      </c>
      <c r="BH169" s="122" t="n">
        <v>83926</v>
      </c>
      <c r="BI169" s="123">
        <f>IF(AND(ISNUMBER(BG169),ISNUMBER(BH169),N(BH169)&gt;0),BG169/BH169,"")</f>
        <v/>
      </c>
      <c r="BJ169" s="120" t="inlineStr">
        <is>
          <t>N</t>
        </is>
      </c>
      <c r="BK169" s="120" t="inlineStr">
        <is>
          <t>Prime Exclusive already running before BFCM week; Buy Box RAISED in BFCM week (median $37.99 vs $33.43 before); List Price $45.49</t>
        </is>
      </c>
    </row>
    <row r="170" ht="62" customHeight="1">
      <c r="A170" s="12">
        <f>_xlfn.IMAGE("https://m.media-amazon.com/images/I/81Ct-nDEEnL._AC_SL1500_.jpg")</f>
        <v/>
      </c>
      <c r="B170" s="105" t="inlineStr">
        <is>
          <t>VACVELT</t>
        </is>
      </c>
      <c r="C170" s="39" t="inlineStr">
        <is>
          <t>Satin Sheets</t>
        </is>
      </c>
      <c r="D170" s="105" t="inlineStr">
        <is>
          <t>Beatable</t>
        </is>
      </c>
      <c r="E170" s="106" t="inlineStr">
        <is>
          <t>Direct</t>
        </is>
      </c>
      <c r="F170" s="105" t="inlineStr">
        <is>
          <t>Satin (polyester)</t>
        </is>
      </c>
      <c r="G170" s="39" t="inlineStr">
        <is>
          <t>Same product (sheet set) in the same material family: Satin (polyester) (product page material: Satin); ours: our listing: polyester satin.</t>
        </is>
      </c>
      <c r="H170" s="107" t="inlineStr">
        <is>
          <t>B0C9T1VY8J</t>
        </is>
      </c>
      <c r="I170" s="107" t="inlineStr">
        <is>
          <t>B0C1GJZB6F</t>
        </is>
      </c>
      <c r="J170" s="105" t="inlineStr">
        <is>
          <t>Full</t>
        </is>
      </c>
      <c r="K170" s="105" t="inlineStr">
        <is>
          <t>Hot Pink</t>
        </is>
      </c>
      <c r="L170" s="108" t="n">
        <v>35</v>
      </c>
      <c r="M170" s="39" t="inlineStr">
        <is>
          <t>B0C1GN34VQ (59%), B0C1GJZB6F (15%), B0C1GN34VL (8%)</t>
        </is>
      </c>
      <c r="N170" s="109" t="n">
        <v>21.99</v>
      </c>
      <c r="O170" s="109" t="n"/>
      <c r="P170" s="110">
        <f>IF(AND(ISNUMBER(O170),ISNUMBER(N170),N(N170)&gt;0),O170/N170-1,"")</f>
        <v/>
      </c>
      <c r="Q170" s="111">
        <f>IF(P170="","No List Price",IF(P170&lt;=0,"At/below price",IF(P170&lt;=0.12,"&lt;=12% STR zone",IF(P170&lt;=0.25,"12-25%","&gt;25% over"))))</f>
        <v/>
      </c>
      <c r="R170" s="109" t="n">
        <v>29.95</v>
      </c>
      <c r="S170" s="112">
        <f>IF(AND(ISNUMBER(N170),ISNUMBER(R170),N(R170)&gt;0),N170/R170-1,"")</f>
        <v/>
      </c>
      <c r="T170" s="39" t="inlineStr">
        <is>
          <t>Same size (Full). Ours live: catalog price, 2026-10-13; 26 children</t>
        </is>
      </c>
      <c r="U170" s="108" t="n">
        <v>57010</v>
      </c>
      <c r="V170" s="108" t="n">
        <v>35</v>
      </c>
      <c r="W170" s="113">
        <f>IF(AND(ISNUMBER(N170),ISNUMBER(V170)),N170*V170*52/12,"")</f>
        <v/>
      </c>
      <c r="X170" s="114" t="n">
        <v>4.5</v>
      </c>
      <c r="Y170" s="108" t="n">
        <v>1017</v>
      </c>
      <c r="Z170" s="115" t="n">
        <v>46307</v>
      </c>
      <c r="AA170" s="115" t="n"/>
      <c r="AB170" s="105" t="n"/>
      <c r="AC170" s="105" t="n"/>
      <c r="AD170" s="108" t="n">
        <v>23621</v>
      </c>
      <c r="AE170" s="108" t="n">
        <v>569</v>
      </c>
      <c r="AF170" s="116" t="n">
        <v>0.9628617755387157</v>
      </c>
      <c r="AG170" s="116" t="n">
        <v>0.03713822446128445</v>
      </c>
      <c r="AH170" s="39" t="inlineStr">
        <is>
          <t>satin sheets</t>
        </is>
      </c>
      <c r="AI170" s="116" t="n">
        <v>0.08949663435078956</v>
      </c>
      <c r="AJ170" s="116" t="n"/>
      <c r="AK170" s="116" t="n"/>
      <c r="AL170" s="116" t="n">
        <v>0.02341137123745819</v>
      </c>
      <c r="AM170" s="108" t="n">
        <v>276</v>
      </c>
      <c r="AN170" s="108" t="n">
        <v>146</v>
      </c>
      <c r="AO170" s="108" t="n">
        <v>106</v>
      </c>
      <c r="AP170" s="108" t="n">
        <v>293</v>
      </c>
      <c r="AQ170" s="108" t="n">
        <v>23</v>
      </c>
      <c r="AR170" s="108" t="n">
        <v>2</v>
      </c>
      <c r="AS170" s="117" t="n">
        <v>1</v>
      </c>
      <c r="AT170" s="112" t="n">
        <v>0.2448979591836733</v>
      </c>
      <c r="AU170" s="118" t="inlineStr">
        <is>
          <t>N</t>
        </is>
      </c>
      <c r="AV170" s="118" t="inlineStr">
        <is>
          <t>none</t>
        </is>
      </c>
      <c r="AW170" s="124" t="n"/>
      <c r="AX170" s="119" t="n">
        <v>21.99</v>
      </c>
      <c r="AY170" s="118" t="inlineStr">
        <is>
          <t>none</t>
        </is>
      </c>
      <c r="AZ170" s="118" t="inlineStr">
        <is>
          <t>Y</t>
        </is>
      </c>
      <c r="BA170" s="118" t="inlineStr">
        <is>
          <t>2026-10-13 12:13:48</t>
        </is>
      </c>
      <c r="BB170" s="120" t="inlineStr">
        <is>
          <t>Prime Exclusive Discount</t>
        </is>
      </c>
      <c r="BC170" s="120" t="inlineStr">
        <is>
          <t>11-18 to 12-05</t>
        </is>
      </c>
      <c r="BD170" s="121" t="n">
        <v>20.99</v>
      </c>
      <c r="BE170" s="121" t="n">
        <v>17.67</v>
      </c>
      <c r="BF170" s="110">
        <f>IF(AND(ISNUMBER(BD170),ISNUMBER(BE170),N(BD170)&gt;0),1-BE170/BD170,"")</f>
        <v/>
      </c>
      <c r="BG170" s="122" t="n">
        <v>56350</v>
      </c>
      <c r="BH170" s="122" t="n">
        <v>47030</v>
      </c>
      <c r="BI170" s="123">
        <f>IF(AND(ISNUMBER(BG170),ISNUMBER(BH170),N(BH170)&gt;0),BG170/BH170,"")</f>
        <v/>
      </c>
      <c r="BJ170" s="120" t="inlineStr">
        <is>
          <t>N</t>
        </is>
      </c>
      <c r="BK170" s="120" t="inlineStr">
        <is>
          <t>Prime Exclusive already running before BFCM week; Buy Box RAISED in BFCM week (median $25.99 vs $20.99 before); List Price $46.38</t>
        </is>
      </c>
    </row>
    <row r="171" ht="62" customHeight="1">
      <c r="A171" s="12">
        <f>_xlfn.IMAGE("https://m.media-amazon.com/images/I/71NLoiG0PKL._AC_SL1500_.jpg")</f>
        <v/>
      </c>
      <c r="B171" s="105" t="inlineStr">
        <is>
          <t>Homiest</t>
        </is>
      </c>
      <c r="C171" s="39" t="inlineStr">
        <is>
          <t>Satin Sheets</t>
        </is>
      </c>
      <c r="D171" s="105" t="inlineStr">
        <is>
          <t>Beatable</t>
        </is>
      </c>
      <c r="E171" s="106" t="inlineStr">
        <is>
          <t>Direct</t>
        </is>
      </c>
      <c r="F171" s="105" t="inlineStr">
        <is>
          <t>Satin (polyester)</t>
        </is>
      </c>
      <c r="G171" s="39" t="inlineStr">
        <is>
          <t>Same product (sheet set) in the same material family: Satin (polyester) (product page material: Satin); ours: our listing: polyester satin.</t>
        </is>
      </c>
      <c r="H171" s="107" t="inlineStr">
        <is>
          <t>B0DYJKM99H</t>
        </is>
      </c>
      <c r="I171" s="107" t="inlineStr">
        <is>
          <t>B0DYJHHJQL</t>
        </is>
      </c>
      <c r="J171" s="105" t="inlineStr">
        <is>
          <t>Queen</t>
        </is>
      </c>
      <c r="K171" s="105" t="inlineStr">
        <is>
          <t>Blush Pink</t>
        </is>
      </c>
      <c r="L171" s="108" t="n"/>
      <c r="M171" s="39" t="inlineStr"/>
      <c r="N171" s="109" t="n">
        <v>27.99</v>
      </c>
      <c r="O171" s="109" t="n"/>
      <c r="P171" s="110">
        <f>IF(AND(ISNUMBER(O171),ISNUMBER(N171),N(N171)&gt;0),O171/N171-1,"")</f>
        <v/>
      </c>
      <c r="Q171" s="111">
        <f>IF(P171="","No List Price",IF(P171&lt;=0,"At/below price",IF(P171&lt;=0.12,"&lt;=12% STR zone",IF(P171&lt;=0.25,"12-25%","&gt;25% over"))))</f>
        <v/>
      </c>
      <c r="R171" s="109" t="n">
        <v>31.95</v>
      </c>
      <c r="S171" s="112">
        <f>IF(AND(ISNUMBER(N171),ISNUMBER(R171),N(R171)&gt;0),N171/R171-1,"")</f>
        <v/>
      </c>
      <c r="T171" s="39" t="inlineStr">
        <is>
          <t>Same size (Queen). Ours live: catalog price, 2026-10-13; 26 children</t>
        </is>
      </c>
      <c r="U171" s="108" t="n">
        <v>89437</v>
      </c>
      <c r="V171" s="108" t="n">
        <v>18</v>
      </c>
      <c r="W171" s="113">
        <f>IF(AND(ISNUMBER(N171),ISNUMBER(V171)),N171*V171*52/12,"")</f>
        <v/>
      </c>
      <c r="X171" s="114" t="n">
        <v>4.5</v>
      </c>
      <c r="Y171" s="108" t="n">
        <v>205</v>
      </c>
      <c r="Z171" s="115" t="n">
        <v>46307</v>
      </c>
      <c r="AA171" s="115" t="n"/>
      <c r="AB171" s="105" t="n"/>
      <c r="AC171" s="105" t="n"/>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N</t>
        </is>
      </c>
      <c r="AV171" s="118" t="inlineStr">
        <is>
          <t>none</t>
        </is>
      </c>
      <c r="AW171" s="124" t="n"/>
      <c r="AX171" s="119" t="n">
        <v>27.99</v>
      </c>
      <c r="AY171" s="118" t="inlineStr">
        <is>
          <t>none</t>
        </is>
      </c>
      <c r="AZ171" s="118" t="inlineStr">
        <is>
          <t>Y</t>
        </is>
      </c>
      <c r="BA171" s="118" t="inlineStr">
        <is>
          <t>2026-10-13 12:12:53</t>
        </is>
      </c>
      <c r="BB171" s="120" t="inlineStr">
        <is>
          <t>None</t>
        </is>
      </c>
      <c r="BC171" s="125" t="n"/>
      <c r="BD171" s="121" t="n">
        <v>28.99</v>
      </c>
      <c r="BE171" s="121" t="n">
        <v>28.99</v>
      </c>
      <c r="BF171" s="110">
        <f>IF(AND(ISNUMBER(BD171),ISNUMBER(BE171),N(BD171)&gt;0),1-BE171/BD171,"")</f>
        <v/>
      </c>
      <c r="BG171" s="122" t="n">
        <v>63419</v>
      </c>
      <c r="BH171" s="122" t="n">
        <v>61469</v>
      </c>
      <c r="BI171" s="123">
        <f>IF(AND(ISNUMBER(BG171),ISNUMBER(BH171),N(BH171)&gt;0),BG171/BH171,"")</f>
        <v/>
      </c>
      <c r="BJ171" s="120" t="inlineStr">
        <is>
          <t>N</t>
        </is>
      </c>
      <c r="BK171" s="120" t="inlineStr">
        <is>
          <t>List Price $34.99</t>
        </is>
      </c>
    </row>
    <row r="172" ht="62" customHeight="1">
      <c r="A172" s="12">
        <f>_xlfn.IMAGE("https://m.media-amazon.com/images/I/91BOC0gJVXL._AC_SL1500_.jpg")</f>
        <v/>
      </c>
      <c r="B172" s="105" t="inlineStr">
        <is>
          <t>HommxJF</t>
        </is>
      </c>
      <c r="C172" s="39" t="inlineStr">
        <is>
          <t>Satin Sheets</t>
        </is>
      </c>
      <c r="D172" s="105" t="inlineStr">
        <is>
          <t>Beatable</t>
        </is>
      </c>
      <c r="E172" s="106" t="inlineStr">
        <is>
          <t>Direct</t>
        </is>
      </c>
      <c r="F172" s="105" t="inlineStr">
        <is>
          <t>Satin (polyester)</t>
        </is>
      </c>
      <c r="G172" s="39" t="inlineStr">
        <is>
          <t>Same product (sheet set) in the same material family: Satin (polyester) (product page material: Satin); ours: our listing: polyester satin.</t>
        </is>
      </c>
      <c r="H172" s="107" t="inlineStr">
        <is>
          <t>B0BJZT93SL</t>
        </is>
      </c>
      <c r="I172" s="107" t="inlineStr">
        <is>
          <t>B09V52BVJB</t>
        </is>
      </c>
      <c r="J172" s="105" t="inlineStr">
        <is>
          <t>Full</t>
        </is>
      </c>
      <c r="K172" s="105" t="inlineStr">
        <is>
          <t>Blush Pink</t>
        </is>
      </c>
      <c r="L172" s="108" t="n">
        <v>32</v>
      </c>
      <c r="M172" s="39" t="inlineStr">
        <is>
          <t>B09V52BVJB (55%), B0BCKD5X64 (25%), B09V52C9M9 (10%)</t>
        </is>
      </c>
      <c r="N172" s="109" t="n">
        <v>24.99</v>
      </c>
      <c r="O172" s="109" t="n"/>
      <c r="P172" s="110">
        <f>IF(AND(ISNUMBER(O172),ISNUMBER(N172),N(N172)&gt;0),O172/N172-1,"")</f>
        <v/>
      </c>
      <c r="Q172" s="111">
        <f>IF(P172="","No List Price",IF(P172&lt;=0,"At/below price",IF(P172&lt;=0.12,"&lt;=12% STR zone",IF(P172&lt;=0.25,"12-25%","&gt;25% over"))))</f>
        <v/>
      </c>
      <c r="R172" s="109" t="n">
        <v>29.95</v>
      </c>
      <c r="S172" s="112">
        <f>IF(AND(ISNUMBER(N172),ISNUMBER(R172),N(R172)&gt;0),N172/R172-1,"")</f>
        <v/>
      </c>
      <c r="T172" s="39" t="inlineStr">
        <is>
          <t>Same size (Full). Ours live: catalog price, 2026-10-13; 26 children</t>
        </is>
      </c>
      <c r="U172" s="108" t="n">
        <v>180867</v>
      </c>
      <c r="V172" s="108" t="n">
        <v>18</v>
      </c>
      <c r="W172" s="113">
        <f>IF(AND(ISNUMBER(N172),ISNUMBER(V172)),N172*V172*52/12,"")</f>
        <v/>
      </c>
      <c r="X172" s="114" t="n">
        <v>4.3</v>
      </c>
      <c r="Y172" s="108" t="n">
        <v>1032</v>
      </c>
      <c r="Z172" s="115" t="n">
        <v>46307</v>
      </c>
      <c r="AA172" s="115" t="n"/>
      <c r="AB172" s="105" t="n"/>
      <c r="AC172" s="105" t="n"/>
      <c r="AD172" s="108" t="n">
        <v>16567</v>
      </c>
      <c r="AE172" s="108" t="n">
        <v>357</v>
      </c>
      <c r="AF172" s="116" t="n">
        <v>0.8554338745699279</v>
      </c>
      <c r="AG172" s="116" t="n">
        <v>0.1445661254300719</v>
      </c>
      <c r="AH172" s="39" t="inlineStr">
        <is>
          <t>satin sheets</t>
        </is>
      </c>
      <c r="AI172" s="116" t="n">
        <v>0.2936560632582845</v>
      </c>
      <c r="AJ172" s="116" t="n">
        <v>0.02323896903482827</v>
      </c>
      <c r="AK172" s="116" t="n"/>
      <c r="AL172" s="116" t="n"/>
      <c r="AM172" s="108" t="n">
        <v>238</v>
      </c>
      <c r="AN172" s="108" t="n">
        <v>142</v>
      </c>
      <c r="AO172" s="108" t="n">
        <v>79</v>
      </c>
      <c r="AP172" s="108" t="n">
        <v>119</v>
      </c>
      <c r="AQ172" s="108" t="n">
        <v>63</v>
      </c>
      <c r="AR172" s="108" t="n">
        <v>25</v>
      </c>
      <c r="AS172" s="117" t="n">
        <v>1.017857142857143</v>
      </c>
      <c r="AT172" s="112" t="n">
        <v>0.4723247232472323</v>
      </c>
      <c r="AU172" s="118" t="inlineStr">
        <is>
          <t>N</t>
        </is>
      </c>
      <c r="AV172" s="118" t="inlineStr">
        <is>
          <t>none</t>
        </is>
      </c>
      <c r="AW172" s="124" t="n"/>
      <c r="AX172" s="119" t="n">
        <v>24.99</v>
      </c>
      <c r="AY172" s="118" t="inlineStr">
        <is>
          <t>none</t>
        </is>
      </c>
      <c r="AZ172" s="118" t="inlineStr">
        <is>
          <t>Y</t>
        </is>
      </c>
      <c r="BA172" s="118" t="inlineStr">
        <is>
          <t>2026-10-13 12:13:02</t>
        </is>
      </c>
      <c r="BB172" s="120" t="inlineStr">
        <is>
          <t>None</t>
        </is>
      </c>
      <c r="BC172" s="125" t="n"/>
      <c r="BD172" s="121" t="n">
        <v>24.99</v>
      </c>
      <c r="BE172" s="121" t="n">
        <v>24.99</v>
      </c>
      <c r="BF172" s="110">
        <f>IF(AND(ISNUMBER(BD172),ISNUMBER(BE172),N(BD172)&gt;0),1-BE172/BD172,"")</f>
        <v/>
      </c>
      <c r="BG172" s="122" t="n">
        <v>107701</v>
      </c>
      <c r="BH172" s="122" t="n">
        <v>90023</v>
      </c>
      <c r="BI172" s="123">
        <f>IF(AND(ISNUMBER(BG172),ISNUMBER(BH172),N(BH172)&gt;0),BG172/BH172,"")</f>
        <v/>
      </c>
      <c r="BJ172" s="120" t="inlineStr">
        <is>
          <t>N</t>
        </is>
      </c>
      <c r="BK172" s="120" t="inlineStr">
        <is>
          <t>List Price $26.99</t>
        </is>
      </c>
    </row>
    <row r="173" ht="62" customHeight="1">
      <c r="A173" s="12">
        <f>_xlfn.IMAGE("https://images-na.ssl-images-amazon.com/images/I/71eq-pAu2pL.jpg")</f>
        <v/>
      </c>
      <c r="B173" s="105" t="inlineStr">
        <is>
          <t>LIFCOM</t>
        </is>
      </c>
      <c r="C173" s="39" t="inlineStr">
        <is>
          <t>LIFCOM Satin Sheets Queen,4Pcs Bed Set with 15" Deep Pocket,Brown</t>
        </is>
      </c>
      <c r="D173" s="105" t="inlineStr">
        <is>
          <t>Beatable</t>
        </is>
      </c>
      <c r="E173" s="106" t="inlineStr">
        <is>
          <t>Direct</t>
        </is>
      </c>
      <c r="F173" s="105" t="inlineStr">
        <is>
          <t>Satin (polyester)</t>
        </is>
      </c>
      <c r="G173" s="39" t="inlineStr">
        <is>
          <t>Same product (sheet set) in the same material family: Satin (polyester) (title: LIFCOM Satin Sheets Queen,4Pcs Bed Set with 15" Deep Pocket); ours: our listing: polyester satin.</t>
        </is>
      </c>
      <c r="H173" s="107" t="inlineStr">
        <is>
          <t>B0DBVYL693</t>
        </is>
      </c>
      <c r="I173" s="107" t="inlineStr">
        <is>
          <t>B0DCC78S4N</t>
        </is>
      </c>
      <c r="J173" s="105" t="inlineStr">
        <is>
          <t>Queen</t>
        </is>
      </c>
      <c r="K173" s="105" t="inlineStr">
        <is>
          <t>Brown</t>
        </is>
      </c>
      <c r="L173" s="108" t="n">
        <v>73</v>
      </c>
      <c r="M173" s="39" t="inlineStr">
        <is>
          <t>B0DCC5ZQNW (21%), B0DCC78S4N (17%), B0DC5L2BHY (9%), B0DCC8MLV5 (8%), B0DCC8WZCH (7%)</t>
        </is>
      </c>
      <c r="N173" s="109" t="n">
        <v>23.99</v>
      </c>
      <c r="O173" s="109" t="n"/>
      <c r="P173" s="110">
        <f>IF(AND(ISNUMBER(O173),ISNUMBER(N173),N(N173)&gt;0),O173/N173-1,"")</f>
        <v/>
      </c>
      <c r="Q173" s="111">
        <f>IF(P173="","No List Price",IF(P173&lt;=0,"At/below price",IF(P173&lt;=0.12,"&lt;=12% STR zone",IF(P173&lt;=0.25,"12-25%","&gt;25% over"))))</f>
        <v/>
      </c>
      <c r="R173" s="109" t="n">
        <v>31.95</v>
      </c>
      <c r="S173" s="112">
        <f>IF(AND(ISNUMBER(N173),ISNUMBER(R173),N(R173)&gt;0),N173/R173-1,"")</f>
        <v/>
      </c>
      <c r="T173" s="39" t="inlineStr">
        <is>
          <t>Same size (Queen). Ours live: catalog price, 2026-10-13; 26 children</t>
        </is>
      </c>
      <c r="U173" s="108" t="n">
        <v>96002</v>
      </c>
      <c r="V173" s="108" t="n">
        <v>18</v>
      </c>
      <c r="W173" s="113">
        <f>IF(AND(ISNUMBER(N173),ISNUMBER(V173)),N173*V173*52/12,"")</f>
        <v/>
      </c>
      <c r="X173" s="114" t="n">
        <v>4.2</v>
      </c>
      <c r="Y173" s="108" t="n">
        <v>361</v>
      </c>
      <c r="Z173" s="115" t="n">
        <v>46307</v>
      </c>
      <c r="AA173" s="115" t="n">
        <v>45510</v>
      </c>
      <c r="AB173" s="105" t="inlineStr">
        <is>
          <t>FBA</t>
        </is>
      </c>
      <c r="AC173" s="105" t="inlineStr">
        <is>
          <t>CN</t>
        </is>
      </c>
      <c r="AD173" s="108" t="n">
        <v>23278</v>
      </c>
      <c r="AE173" s="108" t="n">
        <v>634</v>
      </c>
      <c r="AF173" s="116" t="n">
        <v>0.4926462797491192</v>
      </c>
      <c r="AG173" s="116" t="n">
        <v>0.507353720250881</v>
      </c>
      <c r="AH173" s="39" t="inlineStr">
        <is>
          <t>brown sheets</t>
        </is>
      </c>
      <c r="AI173" s="116" t="n">
        <v>0.8651086863132571</v>
      </c>
      <c r="AJ173" s="116" t="n"/>
      <c r="AK173" s="116" t="n"/>
      <c r="AL173" s="116" t="n">
        <v>0.1246241086003952</v>
      </c>
      <c r="AM173" s="108" t="n">
        <v>270</v>
      </c>
      <c r="AN173" s="108" t="n">
        <v>169</v>
      </c>
      <c r="AO173" s="108" t="n">
        <v>72</v>
      </c>
      <c r="AP173" s="108" t="n">
        <v>364</v>
      </c>
      <c r="AQ173" s="108" t="n">
        <v>70</v>
      </c>
      <c r="AR173" s="108" t="n">
        <v>29</v>
      </c>
      <c r="AS173" s="117" t="n">
        <v>0.5539772727272727</v>
      </c>
      <c r="AT173" s="112" t="n">
        <v>-0.4424040066777963</v>
      </c>
      <c r="AU173" s="118" t="inlineStr">
        <is>
          <t>N</t>
        </is>
      </c>
      <c r="AV173" s="118" t="inlineStr">
        <is>
          <t>none</t>
        </is>
      </c>
      <c r="AW173" s="124" t="n"/>
      <c r="AX173" s="119" t="n">
        <v>23.99</v>
      </c>
      <c r="AY173" s="118" t="inlineStr">
        <is>
          <t>none</t>
        </is>
      </c>
      <c r="AZ173" s="118" t="inlineStr">
        <is>
          <t>Y</t>
        </is>
      </c>
      <c r="BA173" s="118" t="inlineStr">
        <is>
          <t>2026-10-13 12:13:09</t>
        </is>
      </c>
      <c r="BB173" s="120" t="inlineStr">
        <is>
          <t>Prime Exclusive Discount</t>
        </is>
      </c>
      <c r="BC173" s="120" t="inlineStr">
        <is>
          <t>11-24 to 12-01</t>
        </is>
      </c>
      <c r="BD173" s="121" t="n">
        <v>22.99</v>
      </c>
      <c r="BE173" s="121" t="n">
        <v>19.27</v>
      </c>
      <c r="BF173" s="110">
        <f>IF(AND(ISNUMBER(BD173),ISNUMBER(BE173),N(BD173)&gt;0),1-BE173/BD173,"")</f>
        <v/>
      </c>
      <c r="BG173" s="122" t="n">
        <v>66815</v>
      </c>
      <c r="BH173" s="122" t="n">
        <v>49602</v>
      </c>
      <c r="BI173" s="123">
        <f>IF(AND(ISNUMBER(BG173),ISNUMBER(BH173),N(BH173)&gt;0),BG173/BH173,"")</f>
        <v/>
      </c>
      <c r="BJ173" s="120" t="inlineStr">
        <is>
          <t>N</t>
        </is>
      </c>
      <c r="BK173" s="120" t="inlineStr">
        <is>
          <t>Buy Box RAISED in BFCM week (median $24.39 vs $22.99 before); List Price $31.99</t>
        </is>
      </c>
    </row>
    <row r="174" ht="62" customHeight="1">
      <c r="A174" s="12">
        <f>_xlfn.IMAGE("https://m.media-amazon.com/images/I/71ImrNlbFKL._AC_SL1500_.jpg")</f>
        <v/>
      </c>
      <c r="B174" s="105" t="inlineStr">
        <is>
          <t>MK Home</t>
        </is>
      </c>
      <c r="C174" s="39" t="inlineStr">
        <is>
          <t>Satin Sheets</t>
        </is>
      </c>
      <c r="D174" s="105" t="inlineStr">
        <is>
          <t>Beatable</t>
        </is>
      </c>
      <c r="E174" s="106" t="inlineStr">
        <is>
          <t>Direct</t>
        </is>
      </c>
      <c r="F174" s="105" t="inlineStr">
        <is>
          <t>Satin (polyester)</t>
        </is>
      </c>
      <c r="G174" s="39" t="inlineStr">
        <is>
          <t>Same product (sheet set) in the same material family: Satin (polyester) (product page material: Soft Silky Satin); ours: our listing: polyester satin.</t>
        </is>
      </c>
      <c r="H174" s="107" t="inlineStr">
        <is>
          <t>B07H522QXD</t>
        </is>
      </c>
      <c r="I174" s="107" t="inlineStr">
        <is>
          <t>B07FGFRZ94</t>
        </is>
      </c>
      <c r="J174" s="105" t="inlineStr">
        <is>
          <t>Queen</t>
        </is>
      </c>
      <c r="K174" s="105" t="inlineStr">
        <is>
          <t>Red</t>
        </is>
      </c>
      <c r="L174" s="108" t="n"/>
      <c r="M174" s="39" t="inlineStr"/>
      <c r="N174" s="109" t="n">
        <v>18.99</v>
      </c>
      <c r="O174" s="109" t="n"/>
      <c r="P174" s="110">
        <f>IF(AND(ISNUMBER(O174),ISNUMBER(N174),N(N174)&gt;0),O174/N174-1,"")</f>
        <v/>
      </c>
      <c r="Q174" s="111">
        <f>IF(P174="","No List Price",IF(P174&lt;=0,"At/below price",IF(P174&lt;=0.12,"&lt;=12% STR zone",IF(P174&lt;=0.25,"12-25%","&gt;25% over"))))</f>
        <v/>
      </c>
      <c r="R174" s="109" t="n">
        <v>31.95</v>
      </c>
      <c r="S174" s="112">
        <f>IF(AND(ISNUMBER(N174),ISNUMBER(R174),N(R174)&gt;0),N174/R174-1,"")</f>
        <v/>
      </c>
      <c r="T174" s="39" t="inlineStr">
        <is>
          <t>Same size (Queen). Ours live: catalog price, 2026-10-13; 26 children</t>
        </is>
      </c>
      <c r="U174" s="108" t="n">
        <v>59039</v>
      </c>
      <c r="V174" s="108" t="n">
        <v>18</v>
      </c>
      <c r="W174" s="113">
        <f>IF(AND(ISNUMBER(N174),ISNUMBER(V174)),N174*V174*52/12,"")</f>
        <v/>
      </c>
      <c r="X174" s="114" t="n">
        <v>4.3</v>
      </c>
      <c r="Y174" s="108" t="n">
        <v>10761</v>
      </c>
      <c r="Z174" s="115" t="n">
        <v>46307</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N</t>
        </is>
      </c>
      <c r="AV174" s="118" t="inlineStr">
        <is>
          <t>none</t>
        </is>
      </c>
      <c r="AW174" s="124" t="n"/>
      <c r="AX174" s="119" t="n">
        <v>18.99</v>
      </c>
      <c r="AY174" s="118" t="inlineStr">
        <is>
          <t>none</t>
        </is>
      </c>
      <c r="AZ174" s="118" t="inlineStr">
        <is>
          <t>Y</t>
        </is>
      </c>
      <c r="BA174" s="118" t="inlineStr">
        <is>
          <t>2026-10-13 12:13:19</t>
        </is>
      </c>
      <c r="BB174" s="120" t="inlineStr">
        <is>
          <t>None</t>
        </is>
      </c>
      <c r="BC174" s="125" t="n"/>
      <c r="BD174" s="121" t="n">
        <v>28.99</v>
      </c>
      <c r="BE174" s="121" t="n">
        <v>28.99</v>
      </c>
      <c r="BF174" s="110">
        <f>IF(AND(ISNUMBER(BD174),ISNUMBER(BE174),N(BD174)&gt;0),1-BE174/BD174,"")</f>
        <v/>
      </c>
      <c r="BG174" s="122" t="n">
        <v>72573</v>
      </c>
      <c r="BH174" s="122" t="n">
        <v>103377</v>
      </c>
      <c r="BI174" s="123">
        <f>IF(AND(ISNUMBER(BG174),ISNUMBER(BH174),N(BH174)&gt;0),BG174/BH174,"")</f>
        <v/>
      </c>
      <c r="BJ174" s="120" t="inlineStr">
        <is>
          <t>N</t>
        </is>
      </c>
      <c r="BK174" s="120" t="inlineStr">
        <is>
          <t>List Price $59.99</t>
        </is>
      </c>
    </row>
    <row r="175" ht="62" customHeight="1">
      <c r="A175" s="12">
        <f>_xlfn.IMAGE("https://images-na.ssl-images-amazon.com/images/I/71Upo7a638S.jpg")</f>
        <v/>
      </c>
      <c r="B175" s="105" t="inlineStr">
        <is>
          <t>Homiest</t>
        </is>
      </c>
      <c r="C175" s="39" t="inlineStr">
        <is>
          <t>Satin Sheets</t>
        </is>
      </c>
      <c r="D175" s="105" t="inlineStr">
        <is>
          <t>Beatable</t>
        </is>
      </c>
      <c r="E175" s="106" t="inlineStr">
        <is>
          <t>Direct</t>
        </is>
      </c>
      <c r="F175" s="105" t="inlineStr">
        <is>
          <t>Satin (polyester)</t>
        </is>
      </c>
      <c r="G175" s="39" t="inlineStr">
        <is>
          <t>Same product (sheet set) in the same material family: Satin (polyester) (product page material: Satin); ours: our listing: polyester satin.</t>
        </is>
      </c>
      <c r="H175" s="107" t="inlineStr">
        <is>
          <t>B07XBR22W1</t>
        </is>
      </c>
      <c r="I175" s="107" t="inlineStr">
        <is>
          <t>B0B5Z2B9NN</t>
        </is>
      </c>
      <c r="J175" s="105" t="inlineStr">
        <is>
          <t>EXTRA DEEP pocket - Full size</t>
        </is>
      </c>
      <c r="K175" s="105" t="inlineStr">
        <is>
          <t>Blackish Green</t>
        </is>
      </c>
      <c r="L175" s="108" t="n">
        <v>70</v>
      </c>
      <c r="M175" s="39" t="inlineStr">
        <is>
          <t>B07VTMDK79 (19%), B0C2824DHT (16%), B07XPVHHP9 (9%), B07HN29LH1 (6%), B0B2QZ8NKY (5%)</t>
        </is>
      </c>
      <c r="N175" s="109" t="n">
        <v>23.99</v>
      </c>
      <c r="O175" s="109" t="n">
        <v>25.99</v>
      </c>
      <c r="P175" s="110">
        <f>IF(AND(ISNUMBER(O175),ISNUMBER(N175),N(N175)&gt;0),O175/N175-1,"")</f>
        <v/>
      </c>
      <c r="Q175" s="111">
        <f>IF(P175="","No List Price",IF(P175&lt;=0,"At/below price",IF(P175&lt;=0.12,"&lt;=12% STR zone",IF(P175&lt;=0.25,"12-25%","&gt;25% over"))))</f>
        <v/>
      </c>
      <c r="R175" s="109" t="n">
        <v>32.90432150313153</v>
      </c>
      <c r="S175" s="112">
        <f>IF(AND(ISNUMBER(N175),ISNUMBER(R175),N(R175)&gt;0),N175/R175-1,"")</f>
        <v/>
      </c>
      <c r="T175" s="39" t="inlineStr">
        <is>
          <t>vs our blended price (market data, Mar 2026 - STALE)</t>
        </is>
      </c>
      <c r="U175" s="108" t="n">
        <v>28165</v>
      </c>
      <c r="V175" s="108" t="n">
        <v>5</v>
      </c>
      <c r="W175" s="113">
        <f>IF(AND(ISNUMBER(N175),ISNUMBER(V175)),N175*V175*52/12,"")</f>
        <v/>
      </c>
      <c r="X175" s="114" t="n">
        <v>4.4</v>
      </c>
      <c r="Y175" s="108" t="n">
        <v>12125</v>
      </c>
      <c r="Z175" s="115" t="n">
        <v>46307</v>
      </c>
      <c r="AA175" s="115" t="n"/>
      <c r="AB175" s="105" t="n"/>
      <c r="AC175" s="105" t="n"/>
      <c r="AD175" s="108" t="n">
        <v>20002</v>
      </c>
      <c r="AE175" s="108" t="n">
        <v>618</v>
      </c>
      <c r="AF175" s="116" t="n">
        <v>1</v>
      </c>
      <c r="AG175" s="116" t="n">
        <v>0</v>
      </c>
      <c r="AH175" s="39" t="inlineStr">
        <is>
          <t>satin sheets</t>
        </is>
      </c>
      <c r="AI175" s="116" t="n">
        <v>0.08344165583441655</v>
      </c>
      <c r="AJ175" s="116" t="n"/>
      <c r="AK175" s="116" t="n"/>
      <c r="AL175" s="116" t="n">
        <v>0.02124787521247875</v>
      </c>
      <c r="AM175" s="108" t="n">
        <v>294</v>
      </c>
      <c r="AN175" s="108" t="n">
        <v>167</v>
      </c>
      <c r="AO175" s="108" t="n">
        <v>102</v>
      </c>
      <c r="AP175" s="108" t="n">
        <v>324</v>
      </c>
      <c r="AQ175" s="108" t="n">
        <v>0</v>
      </c>
      <c r="AR175" s="108" t="n">
        <v>0</v>
      </c>
      <c r="AS175" s="117" t="n"/>
      <c r="AT175" s="112" t="n"/>
      <c r="AU175" s="118" t="inlineStr">
        <is>
          <t>Y</t>
        </is>
      </c>
      <c r="AV175" s="118" t="inlineStr">
        <is>
          <t>Typical price</t>
        </is>
      </c>
      <c r="AW175" s="119" t="n">
        <v>25.99</v>
      </c>
      <c r="AX175" s="119" t="n">
        <v>23.99</v>
      </c>
      <c r="AY175" s="118" t="inlineStr">
        <is>
          <t>none</t>
        </is>
      </c>
      <c r="AZ175" s="118" t="inlineStr">
        <is>
          <t>Y</t>
        </is>
      </c>
      <c r="BA175" s="118" t="inlineStr">
        <is>
          <t>2026-10-13 12:12:56</t>
        </is>
      </c>
      <c r="BB175" s="120" t="inlineStr">
        <is>
          <t>Prime Exclusive Discount</t>
        </is>
      </c>
      <c r="BC175" s="120" t="inlineStr">
        <is>
          <t>11-04 to 12-05</t>
        </is>
      </c>
      <c r="BD175" s="121" t="n">
        <v>23.39</v>
      </c>
      <c r="BE175" s="121" t="n">
        <v>21.32</v>
      </c>
      <c r="BF175" s="110">
        <f>IF(AND(ISNUMBER(BD175),ISNUMBER(BE175),N(BD175)&gt;0),1-BE175/BD175,"")</f>
        <v/>
      </c>
      <c r="BG175" s="122" t="n">
        <v>20924</v>
      </c>
      <c r="BH175" s="122" t="n">
        <v>20898</v>
      </c>
      <c r="BI175" s="123">
        <f>IF(AND(ISNUMBER(BG175),ISNUMBER(BH175),N(BH175)&gt;0),BG175/BH175,"")</f>
        <v/>
      </c>
      <c r="BJ175" s="120" t="inlineStr">
        <is>
          <t>N</t>
        </is>
      </c>
      <c r="BK175" s="120" t="inlineStr">
        <is>
          <t>Prime Exclusive already running before BFCM week; List Price $52.78</t>
        </is>
      </c>
    </row>
    <row r="176" ht="62" customHeight="1">
      <c r="A176" s="12">
        <f>_xlfn.IMAGE("https://m.media-amazon.com/images/I/81fhEyi-eTL._AC_SL1500_.jpg")</f>
        <v/>
      </c>
      <c r="B176" s="105" t="inlineStr">
        <is>
          <t>Manyshofu</t>
        </is>
      </c>
      <c r="C176" s="39" t="inlineStr">
        <is>
          <t>Satin Sheets</t>
        </is>
      </c>
      <c r="D176" s="105" t="inlineStr">
        <is>
          <t>Beatable</t>
        </is>
      </c>
      <c r="E176" s="106" t="inlineStr">
        <is>
          <t>Direct</t>
        </is>
      </c>
      <c r="F176" s="105" t="inlineStr">
        <is>
          <t>Satin (polyester)</t>
        </is>
      </c>
      <c r="G176" s="39" t="inlineStr">
        <is>
          <t>Same product (sheet set) in the same material family: Satin (polyester) (product page material: Satin); ours: our listing: polyester satin.</t>
        </is>
      </c>
      <c r="H176" s="107" t="inlineStr">
        <is>
          <t>B09YQW7HBK</t>
        </is>
      </c>
      <c r="I176" s="107" t="inlineStr">
        <is>
          <t>B09S5RNLN9</t>
        </is>
      </c>
      <c r="J176" s="105" t="inlineStr">
        <is>
          <t>California King</t>
        </is>
      </c>
      <c r="K176" s="105" t="inlineStr">
        <is>
          <t>Dark Green</t>
        </is>
      </c>
      <c r="L176" s="108" t="n"/>
      <c r="M176" s="39" t="inlineStr"/>
      <c r="N176" s="109" t="n">
        <v>31.99</v>
      </c>
      <c r="O176" s="109" t="n"/>
      <c r="P176" s="110">
        <f>IF(AND(ISNUMBER(O176),ISNUMBER(N176),N(N176)&gt;0),O176/N176-1,"")</f>
        <v/>
      </c>
      <c r="Q176" s="111">
        <f>IF(P176="","No List Price",IF(P176&lt;=0,"At/below price",IF(P176&lt;=0.12,"&lt;=12% STR zone",IF(P176&lt;=0.25,"12-25%","&gt;25% over"))))</f>
        <v/>
      </c>
      <c r="R176" s="109" t="n">
        <v>32.90432150313153</v>
      </c>
      <c r="S176" s="112">
        <f>IF(AND(ISNUMBER(N176),ISNUMBER(R176),N(R176)&gt;0),N176/R176-1,"")</f>
        <v/>
      </c>
      <c r="T176" s="39" t="inlineStr">
        <is>
          <t>vs our blended price (market data, Mar 2026 - STALE)</t>
        </is>
      </c>
      <c r="U176" s="108" t="n">
        <v>300374</v>
      </c>
      <c r="V176" s="108" t="n">
        <v>5</v>
      </c>
      <c r="W176" s="113">
        <f>IF(AND(ISNUMBER(N176),ISNUMBER(V176)),N176*V176*52/12,"")</f>
        <v/>
      </c>
      <c r="X176" s="114" t="n">
        <v>4.3</v>
      </c>
      <c r="Y176" s="108" t="n">
        <v>907</v>
      </c>
      <c r="Z176" s="115" t="n">
        <v>46307</v>
      </c>
      <c r="AA176" s="115" t="n"/>
      <c r="AB176" s="105" t="n"/>
      <c r="AC176" s="105" t="n"/>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18" t="inlineStr">
        <is>
          <t>N</t>
        </is>
      </c>
      <c r="AV176" s="118" t="inlineStr">
        <is>
          <t>none</t>
        </is>
      </c>
      <c r="AW176" s="124" t="n"/>
      <c r="AX176" s="119" t="n">
        <v>28.99</v>
      </c>
      <c r="AY176" s="118" t="inlineStr">
        <is>
          <t>none</t>
        </is>
      </c>
      <c r="AZ176" s="118" t="inlineStr">
        <is>
          <t>Y</t>
        </is>
      </c>
      <c r="BA176" s="118" t="inlineStr">
        <is>
          <t>2026-10-13 12:13:29</t>
        </is>
      </c>
      <c r="BB176" s="120" t="inlineStr">
        <is>
          <t>None</t>
        </is>
      </c>
      <c r="BC176" s="125" t="n"/>
      <c r="BD176" s="121" t="n">
        <v>35.99</v>
      </c>
      <c r="BE176" s="121" t="n">
        <v>43.99</v>
      </c>
      <c r="BF176" s="110">
        <f>IF(AND(ISNUMBER(BD176),ISNUMBER(BE176),N(BD176)&gt;0),1-BE176/BD176,"")</f>
        <v/>
      </c>
      <c r="BG176" s="122" t="n">
        <v>162880</v>
      </c>
      <c r="BH176" s="122" t="n">
        <v>197382</v>
      </c>
      <c r="BI176" s="123">
        <f>IF(AND(ISNUMBER(BG176),ISNUMBER(BH176),N(BH176)&gt;0),BG176/BH176,"")</f>
        <v/>
      </c>
      <c r="BJ176" s="120" t="inlineStr">
        <is>
          <t>Y</t>
        </is>
      </c>
      <c r="BK176" s="120" t="inlineStr">
        <is>
          <t>Buy Box RAISED in BFCM week (median $43.99 vs $35.99 before); List Price $46.99</t>
        </is>
      </c>
    </row>
    <row r="177" ht="62" customHeight="1">
      <c r="A177" s="12">
        <f>_xlfn.IMAGE("https://m.media-amazon.com/images/I/71PuS2XyTRL._AC_SL1500_.jpg")</f>
        <v/>
      </c>
      <c r="B177" s="105" t="inlineStr">
        <is>
          <t>Candoury</t>
        </is>
      </c>
      <c r="C177" s="39" t="inlineStr">
        <is>
          <t>Satin Sheets</t>
        </is>
      </c>
      <c r="D177" s="105" t="inlineStr">
        <is>
          <t>Untiered</t>
        </is>
      </c>
      <c r="E177" s="106" t="inlineStr">
        <is>
          <t>Direct</t>
        </is>
      </c>
      <c r="F177" s="105" t="inlineStr">
        <is>
          <t>Satin (polyester)</t>
        </is>
      </c>
      <c r="G177" s="39" t="inlineStr">
        <is>
          <t>Same product (sheet set) in the same material family: Satin (polyester) (product page material: Satin polyester); ours: our listing: polyester satin.</t>
        </is>
      </c>
      <c r="H177" s="107" t="inlineStr">
        <is>
          <t>B08RHZ9TMQ</t>
        </is>
      </c>
      <c r="I177" s="107" t="inlineStr">
        <is>
          <t>B08JKWGXZ9</t>
        </is>
      </c>
      <c r="J177" s="105" t="inlineStr">
        <is>
          <t>Queen</t>
        </is>
      </c>
      <c r="K177" s="105" t="inlineStr">
        <is>
          <t>Black</t>
        </is>
      </c>
      <c r="L177" s="108" t="n"/>
      <c r="M177" s="39" t="inlineStr"/>
      <c r="N177" s="109" t="n">
        <v>15.99</v>
      </c>
      <c r="O177" s="109" t="n"/>
      <c r="P177" s="110">
        <f>IF(AND(ISNUMBER(O177),ISNUMBER(N177),N(N177)&gt;0),O177/N177-1,"")</f>
        <v/>
      </c>
      <c r="Q177" s="111">
        <f>IF(P177="","No List Price",IF(P177&lt;=0,"At/below price",IF(P177&lt;=0.12,"&lt;=12% STR zone",IF(P177&lt;=0.25,"12-25%","&gt;25% over"))))</f>
        <v/>
      </c>
      <c r="R177" s="109" t="n">
        <v>31.95</v>
      </c>
      <c r="S177" s="112">
        <f>IF(AND(ISNUMBER(N177),ISNUMBER(R177),N(R177)&gt;0),N177/R177-1,"")</f>
        <v/>
      </c>
      <c r="T177" s="39" t="inlineStr">
        <is>
          <t>Same size (Queen). Ours live: catalog price, 2026-10-13; 26 children</t>
        </is>
      </c>
      <c r="U177" s="108" t="n">
        <v>420044</v>
      </c>
      <c r="V177" s="108" t="n">
        <v>5</v>
      </c>
      <c r="W177" s="113">
        <f>IF(AND(ISNUMBER(N177),ISNUMBER(V177)),N177*V177*52/12,"")</f>
        <v/>
      </c>
      <c r="X177" s="114" t="n">
        <v>4.3</v>
      </c>
      <c r="Y177" s="108" t="n">
        <v>5277</v>
      </c>
      <c r="Z177" s="115" t="n">
        <v>46279</v>
      </c>
      <c r="AA177" s="115" t="n"/>
      <c r="AB177" s="105" t="n"/>
      <c r="AC177" s="105" t="n"/>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18" t="inlineStr">
        <is>
          <t>N</t>
        </is>
      </c>
      <c r="AV177" s="118" t="inlineStr">
        <is>
          <t>none</t>
        </is>
      </c>
      <c r="AW177" s="124" t="n"/>
      <c r="AX177" s="124" t="n"/>
      <c r="AY177" s="118" t="inlineStr">
        <is>
          <t>none</t>
        </is>
      </c>
      <c r="AZ177" s="118" t="inlineStr">
        <is>
          <t>N</t>
        </is>
      </c>
      <c r="BA177" s="118" t="inlineStr">
        <is>
          <t>2026-10-13 23:44:25</t>
        </is>
      </c>
      <c r="BB177" s="125" t="n"/>
      <c r="BC177" s="125" t="n"/>
      <c r="BD177" s="124" t="n"/>
      <c r="BE177" s="124" t="n"/>
      <c r="BF177" s="110">
        <f>IF(AND(ISNUMBER(BD177),ISNUMBER(BE177),N(BD177)&gt;0),1-BE177/BD177,"")</f>
        <v/>
      </c>
      <c r="BG177" s="122" t="n">
        <v>176647</v>
      </c>
      <c r="BH177" s="122" t="n">
        <v>231862</v>
      </c>
      <c r="BI177" s="123">
        <f>IF(AND(ISNUMBER(BG177),ISNUMBER(BH177),N(BH177)&gt;0),BG177/BH177,"")</f>
        <v/>
      </c>
      <c r="BJ177" s="120" t="inlineStr">
        <is>
          <t>Y</t>
        </is>
      </c>
      <c r="BK177" s="120" t="inlineStr">
        <is>
          <t>No Buy Box history in price history for BFCM 2025; List Price $35.99</t>
        </is>
      </c>
    </row>
    <row r="178" ht="62" customHeight="1">
      <c r="A178" s="12">
        <f>_xlfn.IMAGE("https://images-na.ssl-images-amazon.com/images/I/71QlFwpmpcL.jpg")</f>
        <v/>
      </c>
      <c r="B178" s="105" t="inlineStr">
        <is>
          <t>CozyLux</t>
        </is>
      </c>
      <c r="C178" s="39" t="inlineStr">
        <is>
          <t>CozyLux Satin Sheets Queen, 4-Piece 14-Inch Deep Pocket Sheet Set</t>
        </is>
      </c>
      <c r="D178" s="105" t="inlineStr">
        <is>
          <t>Aspirational</t>
        </is>
      </c>
      <c r="E178" s="128" t="inlineStr">
        <is>
          <t>Alternative material</t>
        </is>
      </c>
      <c r="F178" s="105" t="inlineStr">
        <is>
          <t>Microfiber / polyester</t>
        </is>
      </c>
      <c r="G178" s="39" t="inlineStr">
        <is>
          <t>Sheet set in Microfiber / polyester (product page material: Polyester microfiber); ours is Satin (polyester) (our listing: polyester satin). Shopper may cross-shop, but not like-for-like.</t>
        </is>
      </c>
      <c r="H178" s="107" t="inlineStr">
        <is>
          <t>B08CQKS3KP</t>
        </is>
      </c>
      <c r="I178" s="107" t="inlineStr">
        <is>
          <t>B08P16XLP2</t>
        </is>
      </c>
      <c r="J178" s="105" t="inlineStr">
        <is>
          <t>Queen</t>
        </is>
      </c>
      <c r="K178" s="105" t="inlineStr">
        <is>
          <t>Black</t>
        </is>
      </c>
      <c r="L178" s="108" t="n">
        <v>115</v>
      </c>
      <c r="M178" s="39" t="inlineStr">
        <is>
          <t>B08P16XLP2 (43%), B08P164867 (8%), B08P17PQ8J (6%), B0CQ8CN4PK (5%), B0BYDSWCJY (4%)</t>
        </is>
      </c>
      <c r="N178" s="109" t="n">
        <v>13.99</v>
      </c>
      <c r="O178" s="109" t="n">
        <v>18.99</v>
      </c>
      <c r="P178" s="110">
        <f>IF(AND(ISNUMBER(O178),ISNUMBER(N178),N(N178)&gt;0),O178/N178-1,"")</f>
        <v/>
      </c>
      <c r="Q178" s="111">
        <f>IF(P178="","No List Price",IF(P178&lt;=0,"At/below price",IF(P178&lt;=0.12,"&lt;=12% STR zone",IF(P178&lt;=0.25,"12-25%","&gt;25% over"))))</f>
        <v/>
      </c>
      <c r="R178" s="109" t="n">
        <v>31.95</v>
      </c>
      <c r="S178" s="112">
        <f>IF(AND(ISNUMBER(N178),ISNUMBER(R178),N(R178)&gt;0),N178/R178-1,"")</f>
        <v/>
      </c>
      <c r="T178" s="39" t="inlineStr">
        <is>
          <t>Same size (Queen). Ours live: catalog price, 2026-10-13; 26 children</t>
        </is>
      </c>
      <c r="U178" s="108" t="n">
        <v>3102</v>
      </c>
      <c r="V178" s="108" t="n">
        <v>347</v>
      </c>
      <c r="W178" s="113">
        <f>IF(AND(ISNUMBER(N178),ISNUMBER(V178)),N178*V178*52/12,"")</f>
        <v/>
      </c>
      <c r="X178" s="114" t="n">
        <v>4.3</v>
      </c>
      <c r="Y178" s="108" t="n">
        <v>7075</v>
      </c>
      <c r="Z178" s="115" t="n">
        <v>46307</v>
      </c>
      <c r="AA178" s="115" t="n">
        <v>44158</v>
      </c>
      <c r="AB178" s="105" t="inlineStr">
        <is>
          <t>FBA</t>
        </is>
      </c>
      <c r="AC178" s="105" t="inlineStr">
        <is>
          <t>CN</t>
        </is>
      </c>
      <c r="AD178" s="108" t="n">
        <v>164434</v>
      </c>
      <c r="AE178" s="108" t="n">
        <v>2031</v>
      </c>
      <c r="AF178" s="116" t="n">
        <v>0.724298132381382</v>
      </c>
      <c r="AG178" s="116" t="n">
        <v>0.2757019065400104</v>
      </c>
      <c r="AH178" s="39" t="inlineStr">
        <is>
          <t>silk sheets</t>
        </is>
      </c>
      <c r="AI178" s="116" t="n">
        <v>0.601335490227082</v>
      </c>
      <c r="AJ178" s="116" t="n">
        <v>0.5155016602405829</v>
      </c>
      <c r="AK178" s="116" t="n"/>
      <c r="AL178" s="116" t="n">
        <v>0.04596981159614192</v>
      </c>
      <c r="AM178" s="108" t="n">
        <v>396</v>
      </c>
      <c r="AN178" s="108" t="n">
        <v>61</v>
      </c>
      <c r="AO178" s="108" t="n">
        <v>300</v>
      </c>
      <c r="AP178" s="108" t="n">
        <v>1635</v>
      </c>
      <c r="AQ178" s="108" t="n">
        <v>361</v>
      </c>
      <c r="AR178" s="108" t="n">
        <v>29</v>
      </c>
      <c r="AS178" s="117" t="n">
        <v>0.8168981481481481</v>
      </c>
      <c r="AT178" s="112" t="n">
        <v>-0.1447276536312849</v>
      </c>
      <c r="AU178" s="118" t="inlineStr">
        <is>
          <t>Y</t>
        </is>
      </c>
      <c r="AV178" s="118" t="inlineStr">
        <is>
          <t>List Price</t>
        </is>
      </c>
      <c r="AW178" s="119" t="n">
        <v>18.99</v>
      </c>
      <c r="AX178" s="119" t="n">
        <v>13.99</v>
      </c>
      <c r="AY178" s="118" t="inlineStr">
        <is>
          <t>Limited time deal</t>
        </is>
      </c>
      <c r="AZ178" s="118" t="inlineStr">
        <is>
          <t>Y</t>
        </is>
      </c>
      <c r="BA178" s="118" t="inlineStr">
        <is>
          <t>2026-10-13 12:12:43</t>
        </is>
      </c>
      <c r="BB178" s="120" t="inlineStr">
        <is>
          <t>Prime Exclusive Discount</t>
        </is>
      </c>
      <c r="BC178" s="120" t="inlineStr">
        <is>
          <t>11-01 to 12-05</t>
        </is>
      </c>
      <c r="BD178" s="121" t="n">
        <v>17.99</v>
      </c>
      <c r="BE178" s="121" t="n">
        <v>16.99</v>
      </c>
      <c r="BF178" s="110">
        <f>IF(AND(ISNUMBER(BD178),ISNUMBER(BE178),N(BD178)&gt;0),1-BE178/BD178,"")</f>
        <v/>
      </c>
      <c r="BG178" s="122" t="n">
        <v>1165</v>
      </c>
      <c r="BH178" s="122" t="n">
        <v>1226</v>
      </c>
      <c r="BI178" s="123">
        <f>IF(AND(ISNUMBER(BG178),ISNUMBER(BH178),N(BH178)&gt;0),BG178/BH178,"")</f>
        <v/>
      </c>
      <c r="BJ178" s="120" t="inlineStr">
        <is>
          <t>N</t>
        </is>
      </c>
      <c r="BK178" s="120" t="inlineStr">
        <is>
          <t>Lightning Deal 11-09 to 11-16; Prime Exclusive already running before BFCM week; List Price $22.99</t>
        </is>
      </c>
    </row>
    <row r="179" ht="62" customHeight="1">
      <c r="A179" s="12">
        <f>_xlfn.IMAGE("https://images-na.ssl-images-amazon.com/images/I/71PMIXXTc0L.jpg")</f>
        <v/>
      </c>
      <c r="B179" s="105" t="inlineStr">
        <is>
          <t>Lanest Housing</t>
        </is>
      </c>
      <c r="C179" s="39" t="inlineStr">
        <is>
          <t>Lanest Housing Silk Satin Sheets, Queen Size Satin Bed Sheet Set with Deep Pockets, Cooling Soft and Hypoallergenic Satin Sheets Queen - Light Gray</t>
        </is>
      </c>
      <c r="D179" s="105" t="inlineStr">
        <is>
          <t>Aspirational</t>
        </is>
      </c>
      <c r="E179" s="128" t="inlineStr">
        <is>
          <t>Alternative material</t>
        </is>
      </c>
      <c r="F179" s="105" t="inlineStr">
        <is>
          <t>Silk</t>
        </is>
      </c>
      <c r="G179" s="39" t="inlineStr">
        <is>
          <t>Sheet set in Silk (title: Lanest Housing Silk Satin Sheets, Queen Size Satin Bed Sheet); ours is Satin (polyester) (our listing: polyester satin). Shopper may cross-shop, but not like-for-like.</t>
        </is>
      </c>
      <c r="H179" s="107" t="inlineStr">
        <is>
          <t>B0DC3MX1DP</t>
        </is>
      </c>
      <c r="I179" s="107" t="inlineStr">
        <is>
          <t>B082B5CY3D</t>
        </is>
      </c>
      <c r="J179" s="105" t="inlineStr">
        <is>
          <t>Queen</t>
        </is>
      </c>
      <c r="K179" s="105" t="inlineStr">
        <is>
          <t>Gray</t>
        </is>
      </c>
      <c r="L179" s="108" t="n">
        <v>154</v>
      </c>
      <c r="M179" s="39" t="inlineStr">
        <is>
          <t>B082B5CY3D (41%), B07VWFV7MB (21%), B07VTSWJPH (21%)</t>
        </is>
      </c>
      <c r="N179" s="109" t="n">
        <v>22.99</v>
      </c>
      <c r="O179" s="109" t="n"/>
      <c r="P179" s="110">
        <f>IF(AND(ISNUMBER(O179),ISNUMBER(N179),N(N179)&gt;0),O179/N179-1,"")</f>
        <v/>
      </c>
      <c r="Q179" s="111">
        <f>IF(P179="","No List Price",IF(P179&lt;=0,"At/below price",IF(P179&lt;=0.12,"&lt;=12% STR zone",IF(P179&lt;=0.25,"12-25%","&gt;25% over"))))</f>
        <v/>
      </c>
      <c r="R179" s="109" t="n">
        <v>31.95</v>
      </c>
      <c r="S179" s="112">
        <f>IF(AND(ISNUMBER(N179),ISNUMBER(R179),N(R179)&gt;0),N179/R179-1,"")</f>
        <v/>
      </c>
      <c r="T179" s="39" t="inlineStr">
        <is>
          <t>Same size (Queen). Ours live: catalog price, 2026-10-13; 26 children</t>
        </is>
      </c>
      <c r="U179" s="108" t="n">
        <v>4671</v>
      </c>
      <c r="V179" s="108" t="n">
        <v>208</v>
      </c>
      <c r="W179" s="113">
        <f>IF(AND(ISNUMBER(N179),ISNUMBER(V179)),N179*V179*52/12,"")</f>
        <v/>
      </c>
      <c r="X179" s="114" t="n">
        <v>4.3</v>
      </c>
      <c r="Y179" s="108" t="n">
        <v>5837</v>
      </c>
      <c r="Z179" s="115" t="n">
        <v>46307</v>
      </c>
      <c r="AA179" s="115" t="n">
        <v>43803</v>
      </c>
      <c r="AB179" s="105" t="inlineStr">
        <is>
          <t>FBA</t>
        </is>
      </c>
      <c r="AC179" s="105" t="inlineStr">
        <is>
          <t>CN</t>
        </is>
      </c>
      <c r="AD179" s="108" t="n">
        <v>163454</v>
      </c>
      <c r="AE179" s="108" t="n">
        <v>1240</v>
      </c>
      <c r="AF179" s="116" t="n">
        <v>0.511816095659941</v>
      </c>
      <c r="AG179" s="116" t="n">
        <v>0.488184002226926</v>
      </c>
      <c r="AH179" s="39" t="inlineStr">
        <is>
          <t>silk sheets</t>
        </is>
      </c>
      <c r="AI179" s="116" t="n">
        <v>0.9357923330111224</v>
      </c>
      <c r="AJ179" s="116" t="n">
        <v>0.9225470162859275</v>
      </c>
      <c r="AK179" s="116" t="n"/>
      <c r="AL179" s="116" t="n">
        <v>0.002850955008748639</v>
      </c>
      <c r="AM179" s="108" t="n">
        <v>356</v>
      </c>
      <c r="AN179" s="108" t="n">
        <v>95</v>
      </c>
      <c r="AO179" s="108" t="n">
        <v>220</v>
      </c>
      <c r="AP179" s="108" t="n">
        <v>884</v>
      </c>
      <c r="AQ179" s="108" t="n">
        <v>98</v>
      </c>
      <c r="AR179" s="108" t="n">
        <v>34</v>
      </c>
      <c r="AS179" s="117" t="n">
        <v>0.4183908045977011</v>
      </c>
      <c r="AT179" s="112" t="n">
        <v>1.815972222222222</v>
      </c>
      <c r="AU179" s="118" t="inlineStr">
        <is>
          <t>N</t>
        </is>
      </c>
      <c r="AV179" s="118" t="inlineStr">
        <is>
          <t>none</t>
        </is>
      </c>
      <c r="AW179" s="124" t="n"/>
      <c r="AX179" s="119" t="n">
        <v>22.99</v>
      </c>
      <c r="AY179" s="118" t="inlineStr">
        <is>
          <t>none</t>
        </is>
      </c>
      <c r="AZ179" s="118" t="inlineStr">
        <is>
          <t>Y</t>
        </is>
      </c>
      <c r="BA179" s="118" t="inlineStr">
        <is>
          <t>2026-10-13 12:13:12</t>
        </is>
      </c>
      <c r="BB179" s="120" t="inlineStr">
        <is>
          <t>Prime Exclusive Discount</t>
        </is>
      </c>
      <c r="BC179" s="120" t="inlineStr">
        <is>
          <t>11-20 to 11-27</t>
        </is>
      </c>
      <c r="BD179" s="121" t="n">
        <v>19.99</v>
      </c>
      <c r="BE179" s="121" t="n">
        <v>17.99</v>
      </c>
      <c r="BF179" s="110">
        <f>IF(AND(ISNUMBER(BD179),ISNUMBER(BE179),N(BD179)&gt;0),1-BE179/BD179,"")</f>
        <v/>
      </c>
      <c r="BG179" s="122" t="n">
        <v>3675</v>
      </c>
      <c r="BH179" s="122" t="n">
        <v>3550</v>
      </c>
      <c r="BI179" s="123">
        <f>IF(AND(ISNUMBER(BG179),ISNUMBER(BH179),N(BH179)&gt;0),BG179/BH179,"")</f>
        <v/>
      </c>
      <c r="BJ179" s="120" t="inlineStr">
        <is>
          <t>Y</t>
        </is>
      </c>
      <c r="BK179" s="120" t="inlineStr">
        <is>
          <t>Buy Box RAISED in BFCM week (median $27.79 vs $19.99 before); List Price $37.99</t>
        </is>
      </c>
    </row>
    <row r="180" ht="62" customHeight="1">
      <c r="A180" s="12">
        <f>_xlfn.IMAGE("https://images-na.ssl-images-amazon.com/images/I/81zMSoUAMJL.jpg")</f>
        <v/>
      </c>
      <c r="B180" s="105" t="inlineStr">
        <is>
          <t>Bedsure</t>
        </is>
      </c>
      <c r="C180" s="39" t="inlineStr">
        <is>
          <t>Satin Sheets</t>
        </is>
      </c>
      <c r="D180" s="105" t="inlineStr">
        <is>
          <t>Beatable</t>
        </is>
      </c>
      <c r="E180" s="128" t="inlineStr">
        <is>
          <t>Alternative material</t>
        </is>
      </c>
      <c r="F180" s="105" t="inlineStr">
        <is>
          <t>Microfiber / polyester</t>
        </is>
      </c>
      <c r="G180" s="39" t="inlineStr">
        <is>
          <t>Sheet set in Microfiber / polyester (product page material: Polyester); ours is Satin (polyester) (our listing: polyester satin). Shopper may cross-shop, but not like-for-like.</t>
        </is>
      </c>
      <c r="H180" s="107" t="inlineStr">
        <is>
          <t>B0DCZYNBYS</t>
        </is>
      </c>
      <c r="I180" s="107" t="inlineStr">
        <is>
          <t>B0CJ8RYNTS</t>
        </is>
      </c>
      <c r="J180" s="105" t="inlineStr">
        <is>
          <t>Queen</t>
        </is>
      </c>
      <c r="K180" s="105" t="inlineStr">
        <is>
          <t>02 - Black</t>
        </is>
      </c>
      <c r="L180" s="108" t="n">
        <v>32</v>
      </c>
      <c r="M180" s="39" t="inlineStr">
        <is>
          <t>B0CJ8SSQ6B (37%), B0CJ8RDYQ7 (17%), B0CJ8RYNTS (17%), B0CL4FSC1R (9%), B0CJ8SB44M (7%)</t>
        </is>
      </c>
      <c r="N180" s="109" t="n">
        <v>19.99</v>
      </c>
      <c r="O180" s="109" t="n"/>
      <c r="P180" s="110">
        <f>IF(AND(ISNUMBER(O180),ISNUMBER(N180),N(N180)&gt;0),O180/N180-1,"")</f>
        <v/>
      </c>
      <c r="Q180" s="111">
        <f>IF(P180="","No List Price",IF(P180&lt;=0,"At/below price",IF(P180&lt;=0.12,"&lt;=12% STR zone",IF(P180&lt;=0.25,"12-25%","&gt;25% over"))))</f>
        <v/>
      </c>
      <c r="R180" s="109" t="n">
        <v>31.95</v>
      </c>
      <c r="S180" s="112">
        <f>IF(AND(ISNUMBER(N180),ISNUMBER(R180),N(R180)&gt;0),N180/R180-1,"")</f>
        <v/>
      </c>
      <c r="T180" s="39" t="inlineStr">
        <is>
          <t>Same size (Queen). Ours live: catalog price, 2026-10-13; 26 children</t>
        </is>
      </c>
      <c r="U180" s="108" t="n">
        <v>22342</v>
      </c>
      <c r="V180" s="108" t="n">
        <v>92</v>
      </c>
      <c r="W180" s="113">
        <f>IF(AND(ISNUMBER(N180),ISNUMBER(V180)),N180*V180*52/12,"")</f>
        <v/>
      </c>
      <c r="X180" s="114" t="n">
        <v>4.3</v>
      </c>
      <c r="Y180" s="108" t="n">
        <v>2745</v>
      </c>
      <c r="Z180" s="115" t="n">
        <v>46307</v>
      </c>
      <c r="AA180" s="115" t="n"/>
      <c r="AB180" s="105" t="n"/>
      <c r="AC180" s="105" t="n"/>
      <c r="AD180" s="108" t="n">
        <v>89691</v>
      </c>
      <c r="AE180" s="108" t="n">
        <v>1094</v>
      </c>
      <c r="AF180" s="116" t="n">
        <v>0.6850140036347012</v>
      </c>
      <c r="AG180" s="116" t="n">
        <v>0.3149859963652986</v>
      </c>
      <c r="AH180" s="39" t="inlineStr">
        <is>
          <t>satin sheets</t>
        </is>
      </c>
      <c r="AI180" s="116" t="n">
        <v>0.7987311993399561</v>
      </c>
      <c r="AJ180" s="116" t="n">
        <v>0.4455742493672721</v>
      </c>
      <c r="AK180" s="116" t="n"/>
      <c r="AL180" s="116" t="n">
        <v>0.011428125452944</v>
      </c>
      <c r="AM180" s="108" t="n">
        <v>328</v>
      </c>
      <c r="AN180" s="108" t="n">
        <v>79</v>
      </c>
      <c r="AO180" s="108" t="n">
        <v>220</v>
      </c>
      <c r="AP180" s="108" t="n">
        <v>766</v>
      </c>
      <c r="AQ180" s="108" t="n">
        <v>181</v>
      </c>
      <c r="AR180" s="108" t="n">
        <v>29</v>
      </c>
      <c r="AS180" s="117" t="n">
        <v>1.528846153846154</v>
      </c>
      <c r="AT180" s="112" t="n">
        <v>0.1557377049180328</v>
      </c>
      <c r="AU180" s="118" t="inlineStr">
        <is>
          <t>N</t>
        </is>
      </c>
      <c r="AV180" s="118" t="inlineStr">
        <is>
          <t>none</t>
        </is>
      </c>
      <c r="AW180" s="124" t="n"/>
      <c r="AX180" s="119" t="n">
        <v>19.99</v>
      </c>
      <c r="AY180" s="118" t="inlineStr">
        <is>
          <t>none</t>
        </is>
      </c>
      <c r="AZ180" s="118" t="inlineStr">
        <is>
          <t>Y</t>
        </is>
      </c>
      <c r="BA180" s="118" t="inlineStr">
        <is>
          <t>2026-10-13 12:12:37</t>
        </is>
      </c>
      <c r="BB180" s="120" t="inlineStr">
        <is>
          <t>Prime Exclusive Discount</t>
        </is>
      </c>
      <c r="BC180" s="120" t="inlineStr">
        <is>
          <t>11-08 to 12-04</t>
        </is>
      </c>
      <c r="BD180" s="121" t="n">
        <v>22.39</v>
      </c>
      <c r="BE180" s="121" t="n">
        <v>20.99</v>
      </c>
      <c r="BF180" s="110">
        <f>IF(AND(ISNUMBER(BD180),ISNUMBER(BE180),N(BD180)&gt;0),1-BE180/BD180,"")</f>
        <v/>
      </c>
      <c r="BG180" s="122" t="n">
        <v>4549</v>
      </c>
      <c r="BH180" s="122" t="n">
        <v>5323</v>
      </c>
      <c r="BI180" s="123">
        <f>IF(AND(ISNUMBER(BG180),ISNUMBER(BH180),N(BH180)&gt;0),BG180/BH180,"")</f>
        <v/>
      </c>
      <c r="BJ180" s="120" t="inlineStr">
        <is>
          <t>N</t>
        </is>
      </c>
      <c r="BK180" s="120" t="inlineStr">
        <is>
          <t>Prime Exclusive already running before BFCM week; Buy Box RAISED in BFCM week (median $28.99 vs $24.99 before); List Price $44.99</t>
        </is>
      </c>
    </row>
    <row r="181" ht="62" customHeight="1">
      <c r="A181" s="12">
        <f>_xlfn.IMAGE("https://images-na.ssl-images-amazon.com/images/I/71r48b+Sh9L.jpg")</f>
        <v/>
      </c>
      <c r="B181" s="105" t="inlineStr">
        <is>
          <t>GOLAL</t>
        </is>
      </c>
      <c r="C181" s="39" t="inlineStr">
        <is>
          <t>GOLAL Satin Sheets Full Size - 4 Pieces Luxury Silky Soft Bed Sheets, Wrinkle-Free Black Satin Silk Sheet Set with 1 Deep Pocket Fitted Sheet, 1 Flat Sheet, 2 Pillow Cases</t>
        </is>
      </c>
      <c r="D181" s="105" t="inlineStr">
        <is>
          <t>Beatable</t>
        </is>
      </c>
      <c r="E181" s="128" t="inlineStr">
        <is>
          <t>Alternative material</t>
        </is>
      </c>
      <c r="F181" s="105" t="inlineStr">
        <is>
          <t>Silk</t>
        </is>
      </c>
      <c r="G181" s="39" t="inlineStr">
        <is>
          <t>Sheet set in Silk (title: GOLAL Satin Sheets Full Size - 4 Pieces Luxury Silky Soft Be); ours is Satin (polyester) (our listing: polyester satin). Shopper may cross-shop, but not like-for-like.</t>
        </is>
      </c>
      <c r="H181" s="107" t="inlineStr">
        <is>
          <t>B0B1Q2JG5X</t>
        </is>
      </c>
      <c r="I181" s="107" t="inlineStr">
        <is>
          <t>B09G17SQXF</t>
        </is>
      </c>
      <c r="J181" s="105" t="inlineStr">
        <is>
          <t>Full</t>
        </is>
      </c>
      <c r="K181" s="105" t="inlineStr">
        <is>
          <t>Black</t>
        </is>
      </c>
      <c r="L181" s="108" t="n">
        <v>94</v>
      </c>
      <c r="M181" s="39" t="inlineStr">
        <is>
          <t>B09G17XZC5 (35%), B09G17SQXF (27%), B09G18ZJ9S (10%), B09G18GFJL (10%)</t>
        </is>
      </c>
      <c r="N181" s="109" t="n">
        <v>21.99</v>
      </c>
      <c r="O181" s="109" t="n"/>
      <c r="P181" s="110">
        <f>IF(AND(ISNUMBER(O181),ISNUMBER(N181),N(N181)&gt;0),O181/N181-1,"")</f>
        <v/>
      </c>
      <c r="Q181" s="111">
        <f>IF(P181="","No List Price",IF(P181&lt;=0,"At/below price",IF(P181&lt;=0.12,"&lt;=12% STR zone",IF(P181&lt;=0.25,"12-25%","&gt;25% over"))))</f>
        <v/>
      </c>
      <c r="R181" s="109" t="n">
        <v>29.95</v>
      </c>
      <c r="S181" s="112">
        <f>IF(AND(ISNUMBER(N181),ISNUMBER(R181),N(R181)&gt;0),N181/R181-1,"")</f>
        <v/>
      </c>
      <c r="T181" s="39" t="inlineStr">
        <is>
          <t>Same size (Full). Ours live: catalog price, 2026-10-13; 26 children</t>
        </is>
      </c>
      <c r="U181" s="108" t="n">
        <v>132024</v>
      </c>
      <c r="V181" s="108" t="n">
        <v>81</v>
      </c>
      <c r="W181" s="113">
        <f>IF(AND(ISNUMBER(N181),ISNUMBER(V181)),N181*V181*52/12,"")</f>
        <v/>
      </c>
      <c r="X181" s="114" t="n">
        <v>4.4</v>
      </c>
      <c r="Y181" s="108" t="n">
        <v>3943</v>
      </c>
      <c r="Z181" s="115" t="n">
        <v>46307</v>
      </c>
      <c r="AA181" s="115" t="n">
        <v>44451</v>
      </c>
      <c r="AB181" s="105" t="inlineStr">
        <is>
          <t>FBA</t>
        </is>
      </c>
      <c r="AC181" s="105" t="inlineStr">
        <is>
          <t>CN</t>
        </is>
      </c>
      <c r="AD181" s="108" t="n">
        <v>48561</v>
      </c>
      <c r="AE181" s="108" t="n">
        <v>615</v>
      </c>
      <c r="AF181" s="116" t="n">
        <v>0.6641788183933609</v>
      </c>
      <c r="AG181" s="116" t="n">
        <v>0.3358211816066392</v>
      </c>
      <c r="AH181" s="39" t="inlineStr">
        <is>
          <t>satin sheets queen size</t>
        </is>
      </c>
      <c r="AI181" s="116" t="n">
        <v>0.6905747410473425</v>
      </c>
      <c r="AJ181" s="116" t="n">
        <v>0.432960606247812</v>
      </c>
      <c r="AK181" s="116" t="n"/>
      <c r="AL181" s="116" t="n">
        <v>0.005930685117687033</v>
      </c>
      <c r="AM181" s="108" t="n">
        <v>301</v>
      </c>
      <c r="AN181" s="108" t="n">
        <v>103</v>
      </c>
      <c r="AO181" s="108" t="n">
        <v>172</v>
      </c>
      <c r="AP181" s="108" t="n">
        <v>314</v>
      </c>
      <c r="AQ181" s="108" t="n">
        <v>51</v>
      </c>
      <c r="AR181" s="108" t="n">
        <v>23</v>
      </c>
      <c r="AS181" s="117" t="n">
        <v>0.8779220779220779</v>
      </c>
      <c r="AT181" s="112" t="n">
        <v>0.803921568627451</v>
      </c>
      <c r="AU181" s="118" t="inlineStr">
        <is>
          <t>N</t>
        </is>
      </c>
      <c r="AV181" s="118" t="inlineStr">
        <is>
          <t>none</t>
        </is>
      </c>
      <c r="AW181" s="124" t="n"/>
      <c r="AX181" s="119" t="n">
        <v>21.99</v>
      </c>
      <c r="AY181" s="118" t="inlineStr">
        <is>
          <t>none</t>
        </is>
      </c>
      <c r="AZ181" s="118" t="inlineStr">
        <is>
          <t>Y</t>
        </is>
      </c>
      <c r="BA181" s="118" t="inlineStr">
        <is>
          <t>2026-10-13 12:12:50</t>
        </is>
      </c>
      <c r="BB181" s="120" t="inlineStr">
        <is>
          <t>Prime Exclusive Discount</t>
        </is>
      </c>
      <c r="BC181" s="120" t="inlineStr">
        <is>
          <t>11-27 to 11-27</t>
        </is>
      </c>
      <c r="BD181" s="121" t="n">
        <v>16.05</v>
      </c>
      <c r="BE181" s="121" t="n">
        <v>17.59</v>
      </c>
      <c r="BF181" s="110">
        <f>IF(AND(ISNUMBER(BD181),ISNUMBER(BE181),N(BD181)&gt;0),1-BE181/BD181,"")</f>
        <v/>
      </c>
      <c r="BG181" s="122" t="n">
        <v>5577</v>
      </c>
      <c r="BH181" s="122" t="n">
        <v>12758</v>
      </c>
      <c r="BI181" s="123">
        <f>IF(AND(ISNUMBER(BG181),ISNUMBER(BH181),N(BH181)&gt;0),BG181/BH181,"")</f>
        <v/>
      </c>
      <c r="BJ181" s="120" t="inlineStr">
        <is>
          <t>N</t>
        </is>
      </c>
      <c r="BK181" s="120" t="inlineStr">
        <is>
          <t>Coupon 10%, 5% (11-01 to 12-05); Buy Box RAISED in BFCM week (median $21.99 vs $16.05 before); List Price $24.99</t>
        </is>
      </c>
    </row>
    <row r="182" ht="62" customHeight="1">
      <c r="A182" s="12">
        <f>_xlfn.IMAGE("https://images-na.ssl-images-amazon.com/images/I/61QL2B3WPsL.jpg")</f>
        <v/>
      </c>
      <c r="B182" s="105" t="inlineStr">
        <is>
          <t>Cobedzy</t>
        </is>
      </c>
      <c r="C182" s="39" t="inlineStr">
        <is>
          <t>Satin Sheets</t>
        </is>
      </c>
      <c r="D182" s="105" t="inlineStr">
        <is>
          <t>Beatable</t>
        </is>
      </c>
      <c r="E182" s="128" t="inlineStr">
        <is>
          <t>Alternative material</t>
        </is>
      </c>
      <c r="F182" s="105" t="inlineStr">
        <is>
          <t>Microfiber / polyester</t>
        </is>
      </c>
      <c r="G182" s="39" t="inlineStr">
        <is>
          <t>Sheet set in Microfiber / polyester (product page material: Polyester); ours is Satin (polyester) (our listing: polyester satin). Shopper may cross-shop, but not like-for-like.</t>
        </is>
      </c>
      <c r="H182" s="107" t="inlineStr">
        <is>
          <t>B099PPQ7T3</t>
        </is>
      </c>
      <c r="I182" s="107" t="inlineStr">
        <is>
          <t>B087CSRQQ4</t>
        </is>
      </c>
      <c r="J182" s="105" t="inlineStr">
        <is>
          <t>Queen</t>
        </is>
      </c>
      <c r="K182" s="105" t="inlineStr">
        <is>
          <t>Blush Pink</t>
        </is>
      </c>
      <c r="L182" s="108" t="n">
        <v>18</v>
      </c>
      <c r="M182" s="39" t="inlineStr">
        <is>
          <t>B087CSJ1FV (44%), B087CSRQQ4 (26%), B087CSNV9S (8%), B088CX6RW8 (4%)</t>
        </is>
      </c>
      <c r="N182" s="109" t="n">
        <v>24.99</v>
      </c>
      <c r="O182" s="109" t="n"/>
      <c r="P182" s="110">
        <f>IF(AND(ISNUMBER(O182),ISNUMBER(N182),N(N182)&gt;0),O182/N182-1,"")</f>
        <v/>
      </c>
      <c r="Q182" s="111">
        <f>IF(P182="","No List Price",IF(P182&lt;=0,"At/below price",IF(P182&lt;=0.12,"&lt;=12% STR zone",IF(P182&lt;=0.25,"12-25%","&gt;25% over"))))</f>
        <v/>
      </c>
      <c r="R182" s="109" t="n">
        <v>31.95</v>
      </c>
      <c r="S182" s="112">
        <f>IF(AND(ISNUMBER(N182),ISNUMBER(R182),N(R182)&gt;0),N182/R182-1,"")</f>
        <v/>
      </c>
      <c r="T182" s="39" t="inlineStr">
        <is>
          <t>Same size (Queen). Ours live: catalog price, 2026-10-13; 26 children</t>
        </is>
      </c>
      <c r="U182" s="108" t="n">
        <v>68667</v>
      </c>
      <c r="V182" s="108" t="n">
        <v>35</v>
      </c>
      <c r="W182" s="113">
        <f>IF(AND(ISNUMBER(N182),ISNUMBER(V182)),N182*V182*52/12,"")</f>
        <v/>
      </c>
      <c r="X182" s="114" t="n">
        <v>4.4</v>
      </c>
      <c r="Y182" s="108" t="n">
        <v>2838</v>
      </c>
      <c r="Z182" s="115" t="n">
        <v>46307</v>
      </c>
      <c r="AA182" s="115" t="n"/>
      <c r="AB182" s="105" t="n"/>
      <c r="AC182" s="105" t="n"/>
      <c r="AD182" s="108" t="n">
        <v>21925</v>
      </c>
      <c r="AE182" s="108" t="n">
        <v>461</v>
      </c>
      <c r="AF182" s="116" t="n">
        <v>0.9295306681870016</v>
      </c>
      <c r="AG182" s="116" t="n">
        <v>0.07046991562143676</v>
      </c>
      <c r="AH182" s="39" t="inlineStr">
        <is>
          <t>satin sheets</t>
        </is>
      </c>
      <c r="AI182" s="116" t="n">
        <v>0.3978563283922463</v>
      </c>
      <c r="AJ182" s="116" t="n"/>
      <c r="AK182" s="116" t="n"/>
      <c r="AL182" s="116" t="n">
        <v>0.01299885974914481</v>
      </c>
      <c r="AM182" s="108" t="n">
        <v>225</v>
      </c>
      <c r="AN182" s="108" t="n">
        <v>114</v>
      </c>
      <c r="AO182" s="108" t="n">
        <v>96</v>
      </c>
      <c r="AP182" s="108" t="n">
        <v>236</v>
      </c>
      <c r="AQ182" s="108" t="n">
        <v>68</v>
      </c>
      <c r="AR182" s="108" t="n">
        <v>9</v>
      </c>
      <c r="AS182" s="117" t="n">
        <v>0.8934169278996865</v>
      </c>
      <c r="AT182" s="112" t="n">
        <v>-0.4259740259740259</v>
      </c>
      <c r="AU182" s="118" t="inlineStr">
        <is>
          <t>Y</t>
        </is>
      </c>
      <c r="AV182" s="118" t="inlineStr">
        <is>
          <t>Typical price</t>
        </is>
      </c>
      <c r="AW182" s="119" t="n">
        <v>26.99</v>
      </c>
      <c r="AX182" s="119" t="n">
        <v>24.99</v>
      </c>
      <c r="AY182" s="118" t="inlineStr">
        <is>
          <t>none</t>
        </is>
      </c>
      <c r="AZ182" s="118" t="inlineStr">
        <is>
          <t>Y</t>
        </is>
      </c>
      <c r="BA182" s="118" t="inlineStr">
        <is>
          <t>2026-10-13 12:12:40</t>
        </is>
      </c>
      <c r="BB182" s="120" t="inlineStr">
        <is>
          <t>Price cut only</t>
        </is>
      </c>
      <c r="BC182" s="120" t="inlineStr">
        <is>
          <t>11-20 to 12-01</t>
        </is>
      </c>
      <c r="BD182" s="121" t="n">
        <v>27.99</v>
      </c>
      <c r="BE182" s="121" t="n">
        <v>22.39</v>
      </c>
      <c r="BF182" s="110">
        <f>IF(AND(ISNUMBER(BD182),ISNUMBER(BE182),N(BD182)&gt;0),1-BE182/BD182,"")</f>
        <v/>
      </c>
      <c r="BG182" s="122" t="n">
        <v>39293</v>
      </c>
      <c r="BH182" s="122" t="n">
        <v>27923</v>
      </c>
      <c r="BI182" s="123">
        <f>IF(AND(ISNUMBER(BG182),ISNUMBER(BH182),N(BH182)&gt;0),BG182/BH182,"")</f>
        <v/>
      </c>
      <c r="BJ182" s="120" t="inlineStr">
        <is>
          <t>N</t>
        </is>
      </c>
      <c r="BK182" s="120" t="inlineStr">
        <is>
          <t>List Price $38.99</t>
        </is>
      </c>
    </row>
    <row r="183" ht="62" customHeight="1">
      <c r="A183" s="12">
        <f>_xlfn.IMAGE("https://images-na.ssl-images-amazon.com/images/I/81HS7e6wrTL.jpg")</f>
        <v/>
      </c>
      <c r="B183" s="105" t="inlineStr">
        <is>
          <t>Madison Park</t>
        </is>
      </c>
      <c r="C183" s="39" t="inlineStr">
        <is>
          <t>Satin Sheets</t>
        </is>
      </c>
      <c r="D183" s="105" t="inlineStr">
        <is>
          <t>Beatable</t>
        </is>
      </c>
      <c r="E183" s="128" t="inlineStr">
        <is>
          <t>Alternative material</t>
        </is>
      </c>
      <c r="F183" s="105" t="inlineStr">
        <is>
          <t>Microfiber / polyester</t>
        </is>
      </c>
      <c r="G183" s="39" t="inlineStr">
        <is>
          <t>Sheet set in Microfiber / polyester (product page material: Polyester); ours is Satin (polyester) (our listing: polyester satin). Shopper may cross-shop, but not like-for-like.</t>
        </is>
      </c>
      <c r="H183" s="107" t="inlineStr">
        <is>
          <t>B0DJ2HJ9M4</t>
        </is>
      </c>
      <c r="I183" s="107" t="inlineStr">
        <is>
          <t>B09HVCPNLX</t>
        </is>
      </c>
      <c r="J183" s="105" t="inlineStr">
        <is>
          <t>Queen</t>
        </is>
      </c>
      <c r="K183" s="105" t="inlineStr">
        <is>
          <t>Ivory</t>
        </is>
      </c>
      <c r="L183" s="108" t="n">
        <v>44</v>
      </c>
      <c r="M183" s="39" t="inlineStr">
        <is>
          <t>B0C5CG12M2 (27%), B09HVCPNLX (24%), B0C25NTWCM (18%), B09HVDQ982 (9%), B0DDQ6PNMP (7%)</t>
        </is>
      </c>
      <c r="N183" s="109" t="n">
        <v>26.99</v>
      </c>
      <c r="O183" s="109" t="n"/>
      <c r="P183" s="110">
        <f>IF(AND(ISNUMBER(O183),ISNUMBER(N183),N(N183)&gt;0),O183/N183-1,"")</f>
        <v/>
      </c>
      <c r="Q183" s="111">
        <f>IF(P183="","No List Price",IF(P183&lt;=0,"At/below price",IF(P183&lt;=0.12,"&lt;=12% STR zone",IF(P183&lt;=0.25,"12-25%","&gt;25% over"))))</f>
        <v/>
      </c>
      <c r="R183" s="109" t="n">
        <v>31.95</v>
      </c>
      <c r="S183" s="112">
        <f>IF(AND(ISNUMBER(N183),ISNUMBER(R183),N(R183)&gt;0),N183/R183-1,"")</f>
        <v/>
      </c>
      <c r="T183" s="39" t="inlineStr">
        <is>
          <t>Same size (Queen). Ours live: catalog price, 2026-10-13; 26 children</t>
        </is>
      </c>
      <c r="U183" s="108" t="n">
        <v>76753</v>
      </c>
      <c r="V183" s="108" t="n">
        <v>18</v>
      </c>
      <c r="W183" s="113">
        <f>IF(AND(ISNUMBER(N183),ISNUMBER(V183)),N183*V183*52/12,"")</f>
        <v/>
      </c>
      <c r="X183" s="114" t="n">
        <v>4.5</v>
      </c>
      <c r="Y183" s="108" t="n">
        <v>127</v>
      </c>
      <c r="Z183" s="115" t="n">
        <v>46307</v>
      </c>
      <c r="AA183" s="115" t="n"/>
      <c r="AB183" s="105" t="n"/>
      <c r="AC183" s="105" t="n"/>
      <c r="AD183" s="108" t="n">
        <v>35631</v>
      </c>
      <c r="AE183" s="108" t="n">
        <v>592</v>
      </c>
      <c r="AF183" s="116" t="n">
        <v>0.9497345738261626</v>
      </c>
      <c r="AG183" s="116" t="n">
        <v>0.05026542617383739</v>
      </c>
      <c r="AH183" s="39" t="inlineStr">
        <is>
          <t>satin sheets</t>
        </is>
      </c>
      <c r="AI183" s="116" t="n">
        <v>0.305408211950268</v>
      </c>
      <c r="AJ183" s="116" t="n"/>
      <c r="AK183" s="116" t="n"/>
      <c r="AL183" s="116" t="n">
        <v>0</v>
      </c>
      <c r="AM183" s="108" t="n">
        <v>249</v>
      </c>
      <c r="AN183" s="108" t="n">
        <v>123</v>
      </c>
      <c r="AO183" s="108" t="n">
        <v>105</v>
      </c>
      <c r="AP183" s="108" t="n">
        <v>343</v>
      </c>
      <c r="AQ183" s="108" t="n">
        <v>20</v>
      </c>
      <c r="AR183" s="108" t="n">
        <v>7</v>
      </c>
      <c r="AS183" s="117" t="n">
        <v>0.6901408450704226</v>
      </c>
      <c r="AT183" s="112" t="n">
        <v>0.1848341232227488</v>
      </c>
      <c r="AU183" s="118" t="inlineStr">
        <is>
          <t>N</t>
        </is>
      </c>
      <c r="AV183" s="118" t="inlineStr">
        <is>
          <t>none</t>
        </is>
      </c>
      <c r="AW183" s="124" t="n"/>
      <c r="AX183" s="119" t="n">
        <v>26.99</v>
      </c>
      <c r="AY183" s="118" t="inlineStr">
        <is>
          <t>none</t>
        </is>
      </c>
      <c r="AZ183" s="118" t="inlineStr">
        <is>
          <t>Y</t>
        </is>
      </c>
      <c r="BA183" s="118" t="inlineStr">
        <is>
          <t>2026-10-13 12:13:26</t>
        </is>
      </c>
      <c r="BB183" s="120" t="inlineStr">
        <is>
          <t>None</t>
        </is>
      </c>
      <c r="BC183" s="125" t="n"/>
      <c r="BD183" s="121" t="n">
        <v>30.99</v>
      </c>
      <c r="BE183" s="121" t="n">
        <v>30.99</v>
      </c>
      <c r="BF183" s="110">
        <f>IF(AND(ISNUMBER(BD183),ISNUMBER(BE183),N(BD183)&gt;0),1-BE183/BD183,"")</f>
        <v/>
      </c>
      <c r="BG183" s="122" t="n">
        <v>38276</v>
      </c>
      <c r="BH183" s="122" t="n">
        <v>39554</v>
      </c>
      <c r="BI183" s="123">
        <f>IF(AND(ISNUMBER(BG183),ISNUMBER(BH183),N(BH183)&gt;0),BG183/BH183,"")</f>
        <v/>
      </c>
      <c r="BJ183" s="120" t="inlineStr">
        <is>
          <t>N</t>
        </is>
      </c>
      <c r="BK183" s="120" t="inlineStr">
        <is>
          <t>List Price $35.99</t>
        </is>
      </c>
    </row>
    <row r="184" ht="62" customHeight="1">
      <c r="A184" s="12">
        <f>_xlfn.IMAGE("https://m.media-amazon.com/images/I/71kVc8L0urL._AC_SL1500_.jpg")</f>
        <v/>
      </c>
      <c r="B184" s="105" t="inlineStr">
        <is>
          <t>Martex</t>
        </is>
      </c>
      <c r="C184" s="39" t="inlineStr">
        <is>
          <t>Satin Sheets</t>
        </is>
      </c>
      <c r="D184" s="105" t="inlineStr">
        <is>
          <t>Beatable</t>
        </is>
      </c>
      <c r="E184" s="128" t="inlineStr">
        <is>
          <t>Alternative material</t>
        </is>
      </c>
      <c r="F184" s="105" t="inlineStr">
        <is>
          <t>Microfiber / polyester</t>
        </is>
      </c>
      <c r="G184" s="39" t="inlineStr">
        <is>
          <t>Sheet set in Microfiber / polyester (product page material: Polyester); ours is Satin (polyester) (our listing: polyester satin). Shopper may cross-shop, but not like-for-like.</t>
        </is>
      </c>
      <c r="H184" s="107" t="inlineStr">
        <is>
          <t>B0DLGX8P9D</t>
        </is>
      </c>
      <c r="I184" s="107" t="inlineStr">
        <is>
          <t>B07X49LFDC</t>
        </is>
      </c>
      <c r="J184" s="105" t="inlineStr">
        <is>
          <t>Queen</t>
        </is>
      </c>
      <c r="K184" s="105" t="inlineStr">
        <is>
          <t>Pink</t>
        </is>
      </c>
      <c r="L184" s="108" t="n"/>
      <c r="M184" s="39" t="inlineStr"/>
      <c r="N184" s="109" t="n">
        <v>23.34</v>
      </c>
      <c r="O184" s="109" t="n"/>
      <c r="P184" s="110">
        <f>IF(AND(ISNUMBER(O184),ISNUMBER(N184),N(N184)&gt;0),O184/N184-1,"")</f>
        <v/>
      </c>
      <c r="Q184" s="111">
        <f>IF(P184="","No List Price",IF(P184&lt;=0,"At/below price",IF(P184&lt;=0.12,"&lt;=12% STR zone",IF(P184&lt;=0.25,"12-25%","&gt;25% over"))))</f>
        <v/>
      </c>
      <c r="R184" s="109" t="n">
        <v>31.95</v>
      </c>
      <c r="S184" s="112">
        <f>IF(AND(ISNUMBER(N184),ISNUMBER(R184),N(R184)&gt;0),N184/R184-1,"")</f>
        <v/>
      </c>
      <c r="T184" s="39" t="inlineStr">
        <is>
          <t>Same size (Queen). Ours live: catalog price, 2026-10-13; 26 children</t>
        </is>
      </c>
      <c r="U184" s="108" t="n">
        <v>52458</v>
      </c>
      <c r="V184" s="108" t="n">
        <v>5</v>
      </c>
      <c r="W184" s="113">
        <f>IF(AND(ISNUMBER(N184),ISNUMBER(V184)),N184*V184*52/12,"")</f>
        <v/>
      </c>
      <c r="X184" s="114" t="n">
        <v>4.3</v>
      </c>
      <c r="Y184" s="108" t="n">
        <v>2260</v>
      </c>
      <c r="Z184" s="115" t="n">
        <v>46307</v>
      </c>
      <c r="AA184" s="115" t="n"/>
      <c r="AB184" s="105" t="n"/>
      <c r="AC184" s="105" t="n"/>
      <c r="AD184" s="108" t="n"/>
      <c r="AE184" s="108" t="n"/>
      <c r="AF184" s="116" t="n"/>
      <c r="AG184" s="116" t="n"/>
      <c r="AH184" s="39" t="n"/>
      <c r="AI184" s="116" t="n"/>
      <c r="AJ184" s="116" t="n"/>
      <c r="AK184" s="116" t="n"/>
      <c r="AL184" s="116" t="n"/>
      <c r="AM184" s="108" t="n"/>
      <c r="AN184" s="108" t="n"/>
      <c r="AO184" s="108" t="n"/>
      <c r="AP184" s="108" t="n"/>
      <c r="AQ184" s="108" t="n"/>
      <c r="AR184" s="108" t="n"/>
      <c r="AS184" s="117" t="n"/>
      <c r="AT184" s="112" t="n"/>
      <c r="AU184" s="118" t="inlineStr">
        <is>
          <t>Y</t>
        </is>
      </c>
      <c r="AV184" s="118" t="inlineStr">
        <is>
          <t>Typical price</t>
        </is>
      </c>
      <c r="AW184" s="119" t="n">
        <v>26.99</v>
      </c>
      <c r="AX184" s="119" t="n">
        <v>22.99</v>
      </c>
      <c r="AY184" s="118" t="inlineStr">
        <is>
          <t>none</t>
        </is>
      </c>
      <c r="AZ184" s="118" t="inlineStr">
        <is>
          <t>Y</t>
        </is>
      </c>
      <c r="BA184" s="118" t="inlineStr">
        <is>
          <t>2026-10-13 12:13:32</t>
        </is>
      </c>
      <c r="BB184" s="120" t="inlineStr">
        <is>
          <t>None</t>
        </is>
      </c>
      <c r="BC184" s="125" t="n"/>
      <c r="BD184" s="121" t="n">
        <v>23.21</v>
      </c>
      <c r="BE184" s="121" t="n">
        <v>26.99</v>
      </c>
      <c r="BF184" s="110">
        <f>IF(AND(ISNUMBER(BD184),ISNUMBER(BE184),N(BD184)&gt;0),1-BE184/BD184,"")</f>
        <v/>
      </c>
      <c r="BG184" s="122" t="n">
        <v>29868</v>
      </c>
      <c r="BH184" s="122" t="n">
        <v>28928</v>
      </c>
      <c r="BI184" s="123">
        <f>IF(AND(ISNUMBER(BG184),ISNUMBER(BH184),N(BH184)&gt;0),BG184/BH184,"")</f>
        <v/>
      </c>
      <c r="BJ184" s="120" t="inlineStr">
        <is>
          <t>N</t>
        </is>
      </c>
      <c r="BK184" s="120" t="inlineStr">
        <is>
          <t>Buy Box RAISED in BFCM week (median $26.99 vs $23.21 before); List Price $34.99</t>
        </is>
      </c>
    </row>
    <row r="185" ht="62" customHeight="1">
      <c r="A185" s="12">
        <f>_xlfn.IMAGE("https://m.media-amazon.com/images/I/71HVTciZ9oL._AC_SL1500_.jpg")</f>
        <v/>
      </c>
      <c r="B185" s="105" t="inlineStr">
        <is>
          <t>Vonty</t>
        </is>
      </c>
      <c r="C185" s="39" t="inlineStr">
        <is>
          <t>Satin Sheets</t>
        </is>
      </c>
      <c r="D185" s="105" t="inlineStr">
        <is>
          <t>Poor</t>
        </is>
      </c>
      <c r="E185" s="128" t="inlineStr">
        <is>
          <t>Alternative material</t>
        </is>
      </c>
      <c r="F185" s="105" t="inlineStr">
        <is>
          <t>Microfiber / polyester</t>
        </is>
      </c>
      <c r="G185" s="39" t="inlineStr">
        <is>
          <t>Sheet set in Microfiber / polyester (product page material: Polyester); ours is Satin (polyester) (our listing: polyester satin). Shopper may cross-shop, but not like-for-like.</t>
        </is>
      </c>
      <c r="H185" s="107" t="inlineStr">
        <is>
          <t>B0BDDJM9RW</t>
        </is>
      </c>
      <c r="I185" s="107" t="inlineStr">
        <is>
          <t>B0BDDGJ38X</t>
        </is>
      </c>
      <c r="J185" s="105" t="inlineStr">
        <is>
          <t>King - Extra Deep Pocket</t>
        </is>
      </c>
      <c r="K185" s="105" t="inlineStr">
        <is>
          <t>Black</t>
        </is>
      </c>
      <c r="L185" s="108" t="n">
        <v>22</v>
      </c>
      <c r="M185" s="39" t="inlineStr">
        <is>
          <t>B0BDDGJ38X (81%)</t>
        </is>
      </c>
      <c r="N185" s="109" t="n">
        <v>30.99</v>
      </c>
      <c r="O185" s="109" t="n"/>
      <c r="P185" s="110">
        <f>IF(AND(ISNUMBER(O185),ISNUMBER(N185),N(N185)&gt;0),O185/N185-1,"")</f>
        <v/>
      </c>
      <c r="Q185" s="111">
        <f>IF(P185="","No List Price",IF(P185&lt;=0,"At/below price",IF(P185&lt;=0.12,"&lt;=12% STR zone",IF(P185&lt;=0.25,"12-25%","&gt;25% over"))))</f>
        <v/>
      </c>
      <c r="R185" s="109" t="n">
        <v>33.95</v>
      </c>
      <c r="S185" s="112">
        <f>IF(AND(ISNUMBER(N185),ISNUMBER(R185),N(R185)&gt;0),N185/R185-1,"")</f>
        <v/>
      </c>
      <c r="T185" s="39" t="inlineStr">
        <is>
          <t>Same size (King). Ours live: catalog price, 2026-10-13; 20 children</t>
        </is>
      </c>
      <c r="U185" s="108" t="n">
        <v>83620</v>
      </c>
      <c r="V185" s="108" t="n">
        <v>35</v>
      </c>
      <c r="W185" s="113">
        <f>IF(AND(ISNUMBER(N185),ISNUMBER(V185)),N185*V185*52/12,"")</f>
        <v/>
      </c>
      <c r="X185" s="114" t="n">
        <v>4.2</v>
      </c>
      <c r="Y185" s="108" t="n">
        <v>909</v>
      </c>
      <c r="Z185" s="115" t="n">
        <v>46307</v>
      </c>
      <c r="AA185" s="115" t="n"/>
      <c r="AB185" s="105" t="n"/>
      <c r="AC185" s="105" t="n"/>
      <c r="AD185" s="108" t="n">
        <v>11441</v>
      </c>
      <c r="AE185" s="108" t="n">
        <v>382</v>
      </c>
      <c r="AF185" s="116" t="n">
        <v>0.9484301110042829</v>
      </c>
      <c r="AG185" s="116" t="n">
        <v>0.05156988899571716</v>
      </c>
      <c r="AH185" s="39" t="inlineStr">
        <is>
          <t>silk sheets</t>
        </is>
      </c>
      <c r="AI185" s="116" t="n">
        <v>0.06502928065728521</v>
      </c>
      <c r="AJ185" s="116" t="n"/>
      <c r="AK185" s="116" t="n"/>
      <c r="AL185" s="116" t="n"/>
      <c r="AM185" s="108" t="n">
        <v>203</v>
      </c>
      <c r="AN185" s="108" t="n">
        <v>141</v>
      </c>
      <c r="AO185" s="108" t="n">
        <v>42</v>
      </c>
      <c r="AP185" s="108" t="n">
        <v>179</v>
      </c>
      <c r="AQ185" s="108" t="n">
        <v>15</v>
      </c>
      <c r="AR185" s="108" t="n">
        <v>1</v>
      </c>
      <c r="AS185" s="117" t="n">
        <v>0.9861111111111112</v>
      </c>
      <c r="AT185" s="112" t="n">
        <v>0.4680851063829787</v>
      </c>
      <c r="AU185" s="118" t="inlineStr">
        <is>
          <t>N</t>
        </is>
      </c>
      <c r="AV185" s="118" t="inlineStr">
        <is>
          <t>none</t>
        </is>
      </c>
      <c r="AW185" s="124" t="n"/>
      <c r="AX185" s="119" t="n">
        <v>30.99</v>
      </c>
      <c r="AY185" s="118" t="inlineStr">
        <is>
          <t>none</t>
        </is>
      </c>
      <c r="AZ185" s="118" t="inlineStr">
        <is>
          <t>Y</t>
        </is>
      </c>
      <c r="BA185" s="118" t="inlineStr">
        <is>
          <t>2026-10-13 23:44:43</t>
        </is>
      </c>
      <c r="BB185" s="120" t="inlineStr">
        <is>
          <t>Prime Exclusive Discount</t>
        </is>
      </c>
      <c r="BC185" s="120" t="inlineStr">
        <is>
          <t>11-21 to 12-01</t>
        </is>
      </c>
      <c r="BD185" s="121" t="n">
        <v>30.99</v>
      </c>
      <c r="BE185" s="121" t="n">
        <v>25.79</v>
      </c>
      <c r="BF185" s="110">
        <f>IF(AND(ISNUMBER(BD185),ISNUMBER(BE185),N(BD185)&gt;0),1-BE185/BD185,"")</f>
        <v/>
      </c>
      <c r="BG185" s="122" t="n">
        <v>88328</v>
      </c>
      <c r="BH185" s="122" t="n">
        <v>82798</v>
      </c>
      <c r="BI185" s="123">
        <f>IF(AND(ISNUMBER(BG185),ISNUMBER(BH185),N(BH185)&gt;0),BG185/BH185,"")</f>
        <v/>
      </c>
      <c r="BJ185" s="120" t="inlineStr">
        <is>
          <t>N</t>
        </is>
      </c>
      <c r="BK185" s="120" t="inlineStr">
        <is>
          <t>Buy Box RAISED in BFCM week (median $42.99 vs $30.99 before); List Price $49.99</t>
        </is>
      </c>
    </row>
    <row r="186" ht="62" customHeight="1">
      <c r="A186" s="12">
        <f>_xlfn.IMAGE("https://images-na.ssl-images-amazon.com/images/I/81M3kmoCTLL.jpg")</f>
        <v/>
      </c>
      <c r="B186" s="105" t="inlineStr">
        <is>
          <t>Juicy Couture</t>
        </is>
      </c>
      <c r="C186" s="39" t="inlineStr">
        <is>
          <t>Juicy Couture Queen Size Satin Bed Sheet Set, Deep Pocket Silky Satin Queen Shee</t>
        </is>
      </c>
      <c r="D186" s="105" t="inlineStr">
        <is>
          <t>Poor</t>
        </is>
      </c>
      <c r="E186" s="128" t="inlineStr">
        <is>
          <t>Alternative material</t>
        </is>
      </c>
      <c r="F186" s="105" t="inlineStr">
        <is>
          <t>Microfiber / polyester</t>
        </is>
      </c>
      <c r="G186" s="39" t="inlineStr">
        <is>
          <t>Sheet set in Microfiber / polyester (product page material: Polyester); ours is Satin (polyester) (our listing: polyester satin). Shopper may cross-shop, but not like-for-like.</t>
        </is>
      </c>
      <c r="H186" s="107" t="inlineStr">
        <is>
          <t>B0FB47M9WR</t>
        </is>
      </c>
      <c r="I186" s="107" t="inlineStr">
        <is>
          <t>B0BK1WH383</t>
        </is>
      </c>
      <c r="J186" s="105" t="inlineStr">
        <is>
          <t>Standard Pillowcases - 2 Piece Set</t>
        </is>
      </c>
      <c r="K186" s="105" t="inlineStr">
        <is>
          <t>Pink</t>
        </is>
      </c>
      <c r="L186" s="108" t="n">
        <v>58</v>
      </c>
      <c r="M186" s="39" t="inlineStr">
        <is>
          <t>B09NP86NP2 (22%), B0DKYVPBLR (21%), B0BK1WRYR5 (11%), B09NP9WVDR (11%), B0F3KT7FWM (8%)</t>
        </is>
      </c>
      <c r="N186" s="109" t="n">
        <v>5.93</v>
      </c>
      <c r="O186" s="109" t="n"/>
      <c r="P186" s="110">
        <f>IF(AND(ISNUMBER(O186),ISNUMBER(N186),N(N186)&gt;0),O186/N186-1,"")</f>
        <v/>
      </c>
      <c r="Q186" s="111">
        <f>IF(P186="","No List Price",IF(P186&lt;=0,"At/below price",IF(P186&lt;=0.12,"&lt;=12% STR zone",IF(P186&lt;=0.25,"12-25%","&gt;25% over"))))</f>
        <v/>
      </c>
      <c r="R186" s="109" t="n">
        <v>32.90432150313153</v>
      </c>
      <c r="S186" s="112">
        <f>IF(AND(ISNUMBER(N186),ISNUMBER(R186),N(R186)&gt;0),N186/R186-1,"")</f>
        <v/>
      </c>
      <c r="T186" s="39" t="inlineStr">
        <is>
          <t>vs our blended price (market data, Mar 2026 - STALE)</t>
        </is>
      </c>
      <c r="U186" s="108" t="n">
        <v>80060</v>
      </c>
      <c r="V186" s="108" t="n">
        <v>5</v>
      </c>
      <c r="W186" s="113">
        <f>IF(AND(ISNUMBER(N186),ISNUMBER(V186)),N186*V186*52/12,"")</f>
        <v/>
      </c>
      <c r="X186" s="114" t="n">
        <v>4.6</v>
      </c>
      <c r="Y186" s="108" t="n">
        <v>46</v>
      </c>
      <c r="Z186" s="115" t="n">
        <v>46307</v>
      </c>
      <c r="AA186" s="115" t="n"/>
      <c r="AB186" s="105" t="n"/>
      <c r="AC186" s="105" t="n"/>
      <c r="AD186" s="108" t="n">
        <v>41904</v>
      </c>
      <c r="AE186" s="108" t="n">
        <v>827</v>
      </c>
      <c r="AF186" s="116" t="n">
        <v>0.8273237471363115</v>
      </c>
      <c r="AG186" s="116" t="n">
        <v>0.1726766346888126</v>
      </c>
      <c r="AH186" s="39" t="inlineStr">
        <is>
          <t>juicy couture</t>
        </is>
      </c>
      <c r="AI186" s="116" t="n">
        <v>0.1212533409698358</v>
      </c>
      <c r="AJ186" s="116" t="n">
        <v>0.1026870943108057</v>
      </c>
      <c r="AK186" s="116" t="n">
        <v>0.5394234440626193</v>
      </c>
      <c r="AL186" s="116" t="n">
        <v>0.09507445589919816</v>
      </c>
      <c r="AM186" s="108" t="n">
        <v>260</v>
      </c>
      <c r="AN186" s="108" t="n">
        <v>149</v>
      </c>
      <c r="AO186" s="108" t="n">
        <v>91</v>
      </c>
      <c r="AP186" s="108" t="n">
        <v>567</v>
      </c>
      <c r="AQ186" s="108" t="n">
        <v>134</v>
      </c>
      <c r="AR186" s="108" t="n">
        <v>12</v>
      </c>
      <c r="AS186" s="117" t="n"/>
      <c r="AT186" s="112" t="n"/>
      <c r="AU186" s="118" t="inlineStr">
        <is>
          <t>N</t>
        </is>
      </c>
      <c r="AV186" s="118" t="inlineStr">
        <is>
          <t>none</t>
        </is>
      </c>
      <c r="AW186" s="124" t="n"/>
      <c r="AX186" s="124" t="n"/>
      <c r="AY186" s="118" t="inlineStr">
        <is>
          <t>none</t>
        </is>
      </c>
      <c r="AZ186" s="118" t="inlineStr">
        <is>
          <t>N</t>
        </is>
      </c>
      <c r="BA186" s="118" t="inlineStr">
        <is>
          <t>2026-10-13 12:12:23</t>
        </is>
      </c>
      <c r="BB186" s="125" t="n"/>
      <c r="BC186" s="125" t="n"/>
      <c r="BD186" s="124" t="n"/>
      <c r="BE186" s="124" t="n"/>
      <c r="BF186" s="110">
        <f>IF(AND(ISNUMBER(BD186),ISNUMBER(BE186),N(BD186)&gt;0),1-BE186/BD186,"")</f>
        <v/>
      </c>
      <c r="BG186" s="122" t="n">
        <v>54981</v>
      </c>
      <c r="BH186" s="122" t="n">
        <v>50922</v>
      </c>
      <c r="BI186" s="123">
        <f>IF(AND(ISNUMBER(BG186),ISNUMBER(BH186),N(BH186)&gt;0),BG186/BH186,"")</f>
        <v/>
      </c>
      <c r="BJ186" s="120" t="inlineStr">
        <is>
          <t>Y</t>
        </is>
      </c>
      <c r="BK186" s="120" t="inlineStr">
        <is>
          <t>No Buy Box history in price history for BFCM 2025; List Price $19.99</t>
        </is>
      </c>
    </row>
    <row r="187" ht="62" customHeight="1">
      <c r="A187" s="12">
        <f>_xlfn.IMAGE("https://images-na.ssl-images-amazon.com/images/I/71MADUOjsFL.jpg")</f>
        <v/>
      </c>
      <c r="B187" s="105" t="inlineStr">
        <is>
          <t>Sasttie</t>
        </is>
      </c>
      <c r="C187" s="39" t="inlineStr">
        <is>
          <t>Sasttie Satin Sheets Queen Size - 4 Pieces Luxury Soft Black Silky Bed Sheets Set with Pillowcases - Smooth Silk-Like Satin Fabric, Reinforced 14 Inches Pocket, Oeko-Tex Certified</t>
        </is>
      </c>
      <c r="D187" s="105" t="inlineStr">
        <is>
          <t>Untiered</t>
        </is>
      </c>
      <c r="E187" s="128" t="inlineStr">
        <is>
          <t>Alternative material</t>
        </is>
      </c>
      <c r="F187" s="105" t="inlineStr">
        <is>
          <t>Silk</t>
        </is>
      </c>
      <c r="G187" s="39" t="inlineStr">
        <is>
          <t>Sheet set in Silk (title: Sasttie Satin Sheets Queen Size - 4 Pieces Luxury Soft Black); ours is Satin (polyester) (our listing: polyester satin). Shopper may cross-shop, but not like-for-like.</t>
        </is>
      </c>
      <c r="H187" s="107" t="inlineStr">
        <is>
          <t>B0F2H9HX69</t>
        </is>
      </c>
      <c r="I187" s="107" t="inlineStr">
        <is>
          <t>B0F2H8LPB3</t>
        </is>
      </c>
      <c r="J187" s="105" t="inlineStr">
        <is>
          <t>Queen</t>
        </is>
      </c>
      <c r="K187" s="105" t="inlineStr">
        <is>
          <t>Black</t>
        </is>
      </c>
      <c r="L187" s="108" t="n">
        <v>47</v>
      </c>
      <c r="M187" s="39" t="inlineStr">
        <is>
          <t>B0F2H8LPB3 (57%), B0F2H92RZ5 (13%), B0F2H9HRJJ (11%)</t>
        </is>
      </c>
      <c r="N187" s="109" t="n">
        <v>15.99</v>
      </c>
      <c r="O187" s="109" t="n"/>
      <c r="P187" s="110">
        <f>IF(AND(ISNUMBER(O187),ISNUMBER(N187),N(N187)&gt;0),O187/N187-1,"")</f>
        <v/>
      </c>
      <c r="Q187" s="111">
        <f>IF(P187="","No List Price",IF(P187&lt;=0,"At/below price",IF(P187&lt;=0.12,"&lt;=12% STR zone",IF(P187&lt;=0.25,"12-25%","&gt;25% over"))))</f>
        <v/>
      </c>
      <c r="R187" s="109" t="n">
        <v>31.95</v>
      </c>
      <c r="S187" s="112">
        <f>IF(AND(ISNUMBER(N187),ISNUMBER(R187),N(R187)&gt;0),N187/R187-1,"")</f>
        <v/>
      </c>
      <c r="T187" s="39" t="inlineStr">
        <is>
          <t>Same size (Queen). Ours live: catalog price, 2026-10-13; 26 children</t>
        </is>
      </c>
      <c r="U187" s="108" t="n">
        <v>58723</v>
      </c>
      <c r="V187" s="108" t="n">
        <v>35</v>
      </c>
      <c r="W187" s="113">
        <f>IF(AND(ISNUMBER(N187),ISNUMBER(V187)),N187*V187*52/12,"")</f>
        <v/>
      </c>
      <c r="X187" s="114" t="n">
        <v>4.5</v>
      </c>
      <c r="Y187" s="108" t="n">
        <v>968</v>
      </c>
      <c r="Z187" s="115" t="n">
        <v>46307</v>
      </c>
      <c r="AA187" s="115" t="n">
        <v>45742</v>
      </c>
      <c r="AB187" s="105" t="inlineStr">
        <is>
          <t>FBA</t>
        </is>
      </c>
      <c r="AC187" s="105" t="inlineStr">
        <is>
          <t>CN</t>
        </is>
      </c>
      <c r="AD187" s="108" t="n">
        <v>26952</v>
      </c>
      <c r="AE187" s="108" t="n">
        <v>504</v>
      </c>
      <c r="AF187" s="116" t="n">
        <v>0.9879767104482041</v>
      </c>
      <c r="AG187" s="116" t="n">
        <v>0.01202328955179578</v>
      </c>
      <c r="AH187" s="39" t="inlineStr">
        <is>
          <t>satin sheets</t>
        </is>
      </c>
      <c r="AI187" s="116" t="n"/>
      <c r="AJ187" s="116" t="n">
        <v>0.004081329771445533</v>
      </c>
      <c r="AK187" s="116" t="n">
        <v>0.1173567824280202</v>
      </c>
      <c r="AL187" s="116" t="n"/>
      <c r="AM187" s="108" t="n">
        <v>279</v>
      </c>
      <c r="AN187" s="108" t="n">
        <v>108</v>
      </c>
      <c r="AO187" s="108" t="n">
        <v>153</v>
      </c>
      <c r="AP187" s="108" t="n">
        <v>225</v>
      </c>
      <c r="AQ187" s="108" t="n">
        <v>13</v>
      </c>
      <c r="AR187" s="108" t="n">
        <v>0</v>
      </c>
      <c r="AS187" s="117" t="n">
        <v>1.063356164383562</v>
      </c>
      <c r="AT187" s="112" t="n">
        <v>-0.1631084543125534</v>
      </c>
      <c r="AU187" s="118" t="inlineStr">
        <is>
          <t>N</t>
        </is>
      </c>
      <c r="AV187" s="118" t="inlineStr">
        <is>
          <t>none</t>
        </is>
      </c>
      <c r="AW187" s="124" t="n"/>
      <c r="AX187" s="119" t="n">
        <v>15.99</v>
      </c>
      <c r="AY187" s="118" t="inlineStr">
        <is>
          <t>none</t>
        </is>
      </c>
      <c r="AZ187" s="118" t="inlineStr">
        <is>
          <t>Y</t>
        </is>
      </c>
      <c r="BA187" s="118" t="inlineStr">
        <is>
          <t>2026-10-13 12:13:42</t>
        </is>
      </c>
      <c r="BB187" s="120" t="inlineStr">
        <is>
          <t>Prime Exclusive Discount</t>
        </is>
      </c>
      <c r="BC187" s="120" t="inlineStr">
        <is>
          <t>11-08 to 12-05</t>
        </is>
      </c>
      <c r="BD187" s="121" t="n">
        <v>15.99</v>
      </c>
      <c r="BE187" s="121" t="n">
        <v>15.98</v>
      </c>
      <c r="BF187" s="110">
        <f>IF(AND(ISNUMBER(BD187),ISNUMBER(BE187),N(BD187)&gt;0),1-BE187/BD187,"")</f>
        <v/>
      </c>
      <c r="BG187" s="122" t="n">
        <v>71449</v>
      </c>
      <c r="BH187" s="122" t="n">
        <v>98796</v>
      </c>
      <c r="BI187" s="123">
        <f>IF(AND(ISNUMBER(BG187),ISNUMBER(BH187),N(BH187)&gt;0),BG187/BH187,"")</f>
        <v/>
      </c>
      <c r="BJ187" s="120" t="inlineStr">
        <is>
          <t>N</t>
        </is>
      </c>
      <c r="BK187" s="120" t="inlineStr">
        <is>
          <t>Prime Exclusive already running before BFCM week; Buy Box RAISED in BFCM week (median $19.99 vs $16.99 before); List Price $19.98</t>
        </is>
      </c>
    </row>
    <row r="188"/>
    <row r="189" ht="22" customHeight="1">
      <c r="A189" s="65" t="inlineStr">
        <is>
          <t>5 ▼</t>
        </is>
      </c>
      <c r="B189" s="66" t="inlineStr">
        <is>
          <t>WHAT THIS MEANS FOR BFCM</t>
        </is>
      </c>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c r="AC189" s="67" t="n"/>
      <c r="AD189" s="67" t="n"/>
      <c r="AE189" s="67" t="n"/>
      <c r="AF189" s="67" t="n"/>
      <c r="AG189" s="67" t="n"/>
      <c r="AH189" s="67" t="n"/>
      <c r="AI189" s="67" t="n"/>
      <c r="AJ189" s="67" t="n"/>
      <c r="AK189" s="67" t="n"/>
      <c r="AL189" s="67" t="n"/>
      <c r="AM189" s="67" t="n"/>
      <c r="AN189" s="67" t="n"/>
      <c r="AO189" s="67" t="n"/>
      <c r="AP189" s="67" t="n"/>
      <c r="AQ189" s="67" t="n"/>
      <c r="AR189" s="67" t="n"/>
      <c r="AS189" s="67" t="n"/>
      <c r="AT189" s="67" t="n"/>
      <c r="AU189" s="67" t="n"/>
      <c r="AV189" s="67" t="n"/>
      <c r="AW189" s="67" t="n"/>
      <c r="AX189" s="67" t="n"/>
      <c r="AY189" s="67" t="n"/>
      <c r="AZ189" s="67" t="n"/>
      <c r="BA189" s="67" t="n"/>
      <c r="BB189" s="67" t="n"/>
      <c r="BC189" s="67" t="n"/>
      <c r="BD189" s="67" t="n"/>
      <c r="BE189" s="67" t="n"/>
      <c r="BF189" s="67" t="n"/>
      <c r="BG189" s="67" t="n"/>
      <c r="BH189" s="67" t="n"/>
      <c r="BI189" s="67" t="n"/>
      <c r="BJ189" s="67" t="n"/>
      <c r="BK189" s="67" t="n"/>
    </row>
    <row r="190" ht="30" customHeight="1">
      <c r="A190" s="129" t="inlineStr">
        <is>
          <t>• Who sells most: BEDELITE ~1,963/wk at $17.99; Love's cabin ~809/wk at $16.13 (List $19.99, +24%); MR&amp;HM ~809/wk at $19.99; CozyLux ~347/wk at $13.99 (List $18.99, +36%); Lanest Housing ~208/wk at $22.99. Tracked rivals ~4,991 units/wk; we sell ~122/wk (2.4% of the tracked set).</t>
        </is>
      </c>
    </row>
    <row r="191" ht="18" customHeight="1">
      <c r="A191" s="129" t="inlineStr">
        <is>
          <t>• Strikethrough: 3 of 26 rivals set a List Price above price; 1 within 12%: Homiest +8%.</t>
        </is>
      </c>
    </row>
    <row r="192" ht="30" customHeight="1">
      <c r="A192" s="129" t="inlineStr">
        <is>
          <t>• Price: 26 of 26 rivals sit below our price today (same size where the title states one). Cheapest strong rivals: CozyLux $13.99, Love's cabin $16.13, BEDELITE $17.99, MK Home $18.99.</t>
        </is>
      </c>
    </row>
    <row r="193" ht="30" customHeight="1">
      <c r="A193" s="129" t="inlineStr">
        <is>
          <t>• Strikethrough on the page today (Oct 13 check): 7 of 26 checked rivals show one: BEDELITE List Price $19.99 vs $17.99 (+11%), Love's cabin List Price $19.99 vs $16.13 (+24%) with deal, MR&amp;HM List Price $28.99 vs $19.99 (+45%), Homiest Typical price $25.99 vs $23.99 (+8%), CozyLux List Price $18.99 vs $13.99 (+36%) with deal, Cobedzy Typical price $26.99 vs $24.99 (+8%).</t>
        </is>
      </c>
    </row>
    <row r="194" ht="30" customHeight="1">
      <c r="A194" s="129" t="inlineStr">
        <is>
          <t>• Search: we lose most shared keywords to BEDELITE (we win 38, lose 373), Love's cabin (we win 63, lose 328), MR&amp;HM (we win 65, lose 314). Biggest ad gaps (they advertise where we don't or harder): BEDELITE 393 + 23 KWs, Lanest Housing 98 + 34 KWs, MR&amp;HM 443 + 34 KWs.</t>
        </is>
      </c>
    </row>
    <row r="195" ht="30" customHeight="1">
      <c r="A195" s="129" t="inlineStr">
        <is>
          <t>• Brand ads: Love's cabin (SB 61%, SBV 8%), P Pothuiny (SB 54%, SBV 0%), CozyLux (SB 52%, SBV 0%), Lanest Housing (SB 92%, SBV 0%), Juicy Couture (SB 10%, SBV 54%) hold Sponsored Brands / video on most of their traffic - the plan has our SB, SBV and display live by Nov 1.</t>
        </is>
      </c>
    </row>
    <row r="196" ht="18" customHeight="1">
      <c r="A196" s="129" t="inlineStr">
        <is>
          <t>• Our BFCM 2025: 3.08x daily sales in BFCM week vs the 30 days before; TACoS 14.8% vs 19.9% before; December 2.54x.</t>
        </is>
      </c>
    </row>
    <row r="197" ht="18" customHeight="1">
      <c r="A197" s="129" t="inlineStr">
        <is>
          <t>• Prime Day 2026: our organic visibility 1.22x vs rivals' median 0.99x (n=17) - we held or out-gained rivals.</t>
        </is>
      </c>
    </row>
    <row r="198" ht="30" customHeight="1">
      <c r="A198" s="129" t="inlineStr">
        <is>
          <t>• BFCM 2025, 24 rivals with price history history: Prime Exclusive Discount 14, None 7, Price cut only 3. Median depth vs their Nov 1-19 price 6%; median BSR lift 1.03x. 13 raised their Buy Box in BFCM week, so their deal looked deeper than it was.</t>
        </is>
      </c>
    </row>
    <row r="199" ht="18" customHeight="1">
      <c r="A199" s="129" t="inlineStr">
        <is>
          <t>• 2 rivals not in the price history pulls yet (yellow BFCM 2025 columns) - remaining P2 batches,.</t>
        </is>
      </c>
    </row>
  </sheetData>
  <autoFilter ref="B161:BK187"/>
  <mergeCells count="69">
    <mergeCell ref="A148:BK148"/>
    <mergeCell ref="L5:Q5"/>
    <mergeCell ref="A191:BK191"/>
    <mergeCell ref="AU160:BA160"/>
    <mergeCell ref="A145:C145"/>
    <mergeCell ref="Q11:T11"/>
    <mergeCell ref="A139:C139"/>
    <mergeCell ref="L8:Q8"/>
    <mergeCell ref="A197:BK197"/>
    <mergeCell ref="A198:BK198"/>
    <mergeCell ref="L4:Q4"/>
    <mergeCell ref="D7:I7"/>
    <mergeCell ref="A13:D13"/>
    <mergeCell ref="I13:L13"/>
    <mergeCell ref="A153:BK153"/>
    <mergeCell ref="A196:BK196"/>
    <mergeCell ref="D4:I4"/>
    <mergeCell ref="L10:Q10"/>
    <mergeCell ref="E12:H12"/>
    <mergeCell ref="Q13:T13"/>
    <mergeCell ref="A141:C141"/>
    <mergeCell ref="D9:I9"/>
    <mergeCell ref="A193:BK193"/>
    <mergeCell ref="U12:X12"/>
    <mergeCell ref="L9:Q9"/>
    <mergeCell ref="Q12:T12"/>
    <mergeCell ref="A140:C140"/>
    <mergeCell ref="A11:D11"/>
    <mergeCell ref="A144:C144"/>
    <mergeCell ref="BB160:BK160"/>
    <mergeCell ref="I11:L11"/>
    <mergeCell ref="A149:BK149"/>
    <mergeCell ref="D8:I8"/>
    <mergeCell ref="L6:Q6"/>
    <mergeCell ref="A4:B9"/>
    <mergeCell ref="A147:C147"/>
    <mergeCell ref="N160:Z160"/>
    <mergeCell ref="T6:Y6"/>
    <mergeCell ref="A154:BK154"/>
    <mergeCell ref="A192:BK192"/>
    <mergeCell ref="A195:BK195"/>
    <mergeCell ref="AA160:AC160"/>
    <mergeCell ref="D5:I5"/>
    <mergeCell ref="A194:BK194"/>
    <mergeCell ref="A151:BK151"/>
    <mergeCell ref="M11:P11"/>
    <mergeCell ref="A160:K160"/>
    <mergeCell ref="U11:X11"/>
    <mergeCell ref="A150:BK150"/>
    <mergeCell ref="AD160:AT160"/>
    <mergeCell ref="E13:H13"/>
    <mergeCell ref="D10:I10"/>
    <mergeCell ref="L7:Q7"/>
    <mergeCell ref="T5:Y5"/>
    <mergeCell ref="A142:C142"/>
    <mergeCell ref="A156:BK156"/>
    <mergeCell ref="A12:D12"/>
    <mergeCell ref="M13:P13"/>
    <mergeCell ref="A152:BK152"/>
    <mergeCell ref="A190:BK190"/>
    <mergeCell ref="I12:L12"/>
    <mergeCell ref="U13:X13"/>
    <mergeCell ref="A155:BK155"/>
    <mergeCell ref="A199:BK199"/>
    <mergeCell ref="A146:C146"/>
    <mergeCell ref="M12:P12"/>
    <mergeCell ref="T4:Y4"/>
    <mergeCell ref="D6:I6"/>
    <mergeCell ref="E11:H11"/>
  </mergeCells>
  <conditionalFormatting sqref="Q162:Q187">
    <cfRule type="expression" priority="1" dxfId="1">
      <formula>Q162="&lt;=12% STR zone"</formula>
    </cfRule>
  </conditionalFormatting>
  <conditionalFormatting sqref="Z162:Z187">
    <cfRule type="expression" priority="2" dxfId="0">
      <formula>AND(ISNUMBER(Z162),Z162&lt;DATE(2026,10,6))</formula>
    </cfRule>
  </conditionalFormatting>
  <conditionalFormatting sqref="T162:T187">
    <cfRule type="expression" priority="3" dxfId="0">
      <formula>ISNUMBER(SEARCH("STALE",T162))</formula>
    </cfRule>
  </conditionalFormatting>
  <conditionalFormatting sqref="S162:S187">
    <cfRule type="expression" priority="4" dxfId="0">
      <formula>AND(ISNUMBER(S162),S162&lt;0)</formula>
    </cfRule>
  </conditionalFormatting>
  <dataValidations count="3">
    <dataValidation sqref="AU162:AU187 BJ162:BJ187" showDropDown="0" showInputMessage="0" showErrorMessage="0" allowBlank="1" type="list">
      <formula1>"Y,N"</formula1>
    </dataValidation>
    <dataValidation sqref="AV162:AV187" showDropDown="0" showInputMessage="0" showErrorMessage="0" allowBlank="1" type="list">
      <formula1>"List Price,Typical price,Was price,None"</formula1>
    </dataValidation>
    <dataValidation sqref="BB162:BB187"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S6'!A3" display="1 Our product ↓"/>
    <hyperlink ref="D2" location="'US DC S6'!A15" display="2 Our variations ↓"/>
    <hyperlink ref="E2" location="'US DC S6'!A138" display="3 Our BFCM 2025 ↓"/>
    <hyperlink ref="F2" location="'US DC S6'!A158" display="4 COMPETITORS (26 mapped) ↓"/>
    <hyperlink ref="G2" location="'US DC S6'!A189" display="5 What it means ↓"/>
    <hyperlink xmlns:r="http://schemas.openxmlformats.org/officeDocument/2006/relationships" ref="H162" r:id="rId1"/>
    <hyperlink xmlns:r="http://schemas.openxmlformats.org/officeDocument/2006/relationships" ref="I162" r:id="rId2"/>
    <hyperlink xmlns:r="http://schemas.openxmlformats.org/officeDocument/2006/relationships" ref="H163" r:id="rId3"/>
    <hyperlink xmlns:r="http://schemas.openxmlformats.org/officeDocument/2006/relationships" ref="I163" r:id="rId4"/>
    <hyperlink xmlns:r="http://schemas.openxmlformats.org/officeDocument/2006/relationships" ref="H164" r:id="rId5"/>
    <hyperlink xmlns:r="http://schemas.openxmlformats.org/officeDocument/2006/relationships" ref="I164" r:id="rId6"/>
    <hyperlink xmlns:r="http://schemas.openxmlformats.org/officeDocument/2006/relationships" ref="H165" r:id="rId7"/>
    <hyperlink xmlns:r="http://schemas.openxmlformats.org/officeDocument/2006/relationships" ref="I165" r:id="rId8"/>
    <hyperlink xmlns:r="http://schemas.openxmlformats.org/officeDocument/2006/relationships" ref="H166" r:id="rId9"/>
    <hyperlink xmlns:r="http://schemas.openxmlformats.org/officeDocument/2006/relationships" ref="I166" r:id="rId10"/>
    <hyperlink xmlns:r="http://schemas.openxmlformats.org/officeDocument/2006/relationships" ref="H167" r:id="rId11"/>
    <hyperlink xmlns:r="http://schemas.openxmlformats.org/officeDocument/2006/relationships" ref="I167" r:id="rId12"/>
    <hyperlink xmlns:r="http://schemas.openxmlformats.org/officeDocument/2006/relationships" ref="H168" r:id="rId13"/>
    <hyperlink xmlns:r="http://schemas.openxmlformats.org/officeDocument/2006/relationships" ref="I168" r:id="rId14"/>
    <hyperlink xmlns:r="http://schemas.openxmlformats.org/officeDocument/2006/relationships" ref="H169" r:id="rId15"/>
    <hyperlink xmlns:r="http://schemas.openxmlformats.org/officeDocument/2006/relationships" ref="I169" r:id="rId16"/>
    <hyperlink xmlns:r="http://schemas.openxmlformats.org/officeDocument/2006/relationships" ref="H170" r:id="rId17"/>
    <hyperlink xmlns:r="http://schemas.openxmlformats.org/officeDocument/2006/relationships" ref="I170" r:id="rId18"/>
    <hyperlink xmlns:r="http://schemas.openxmlformats.org/officeDocument/2006/relationships" ref="H171" r:id="rId19"/>
    <hyperlink xmlns:r="http://schemas.openxmlformats.org/officeDocument/2006/relationships" ref="I171" r:id="rId20"/>
    <hyperlink xmlns:r="http://schemas.openxmlformats.org/officeDocument/2006/relationships" ref="H172" r:id="rId21"/>
    <hyperlink xmlns:r="http://schemas.openxmlformats.org/officeDocument/2006/relationships" ref="I172" r:id="rId22"/>
    <hyperlink xmlns:r="http://schemas.openxmlformats.org/officeDocument/2006/relationships" ref="H173" r:id="rId23"/>
    <hyperlink xmlns:r="http://schemas.openxmlformats.org/officeDocument/2006/relationships" ref="I173" r:id="rId24"/>
    <hyperlink xmlns:r="http://schemas.openxmlformats.org/officeDocument/2006/relationships" ref="H174" r:id="rId25"/>
    <hyperlink xmlns:r="http://schemas.openxmlformats.org/officeDocument/2006/relationships" ref="I174" r:id="rId26"/>
    <hyperlink xmlns:r="http://schemas.openxmlformats.org/officeDocument/2006/relationships" ref="H175" r:id="rId27"/>
    <hyperlink xmlns:r="http://schemas.openxmlformats.org/officeDocument/2006/relationships" ref="I175" r:id="rId28"/>
    <hyperlink xmlns:r="http://schemas.openxmlformats.org/officeDocument/2006/relationships" ref="H176" r:id="rId29"/>
    <hyperlink xmlns:r="http://schemas.openxmlformats.org/officeDocument/2006/relationships" ref="I176" r:id="rId30"/>
    <hyperlink xmlns:r="http://schemas.openxmlformats.org/officeDocument/2006/relationships" ref="H177" r:id="rId31"/>
    <hyperlink xmlns:r="http://schemas.openxmlformats.org/officeDocument/2006/relationships" ref="I177" r:id="rId32"/>
    <hyperlink xmlns:r="http://schemas.openxmlformats.org/officeDocument/2006/relationships" ref="H178" r:id="rId33"/>
    <hyperlink xmlns:r="http://schemas.openxmlformats.org/officeDocument/2006/relationships" ref="I178" r:id="rId34"/>
    <hyperlink xmlns:r="http://schemas.openxmlformats.org/officeDocument/2006/relationships" ref="H179" r:id="rId35"/>
    <hyperlink xmlns:r="http://schemas.openxmlformats.org/officeDocument/2006/relationships" ref="I179" r:id="rId36"/>
    <hyperlink xmlns:r="http://schemas.openxmlformats.org/officeDocument/2006/relationships" ref="H180" r:id="rId37"/>
    <hyperlink xmlns:r="http://schemas.openxmlformats.org/officeDocument/2006/relationships" ref="I180" r:id="rId38"/>
    <hyperlink xmlns:r="http://schemas.openxmlformats.org/officeDocument/2006/relationships" ref="H181" r:id="rId39"/>
    <hyperlink xmlns:r="http://schemas.openxmlformats.org/officeDocument/2006/relationships" ref="I181" r:id="rId40"/>
    <hyperlink xmlns:r="http://schemas.openxmlformats.org/officeDocument/2006/relationships" ref="H182" r:id="rId41"/>
    <hyperlink xmlns:r="http://schemas.openxmlformats.org/officeDocument/2006/relationships" ref="I182" r:id="rId42"/>
    <hyperlink xmlns:r="http://schemas.openxmlformats.org/officeDocument/2006/relationships" ref="H183" r:id="rId43"/>
    <hyperlink xmlns:r="http://schemas.openxmlformats.org/officeDocument/2006/relationships" ref="I183" r:id="rId44"/>
    <hyperlink xmlns:r="http://schemas.openxmlformats.org/officeDocument/2006/relationships" ref="H184" r:id="rId45"/>
    <hyperlink xmlns:r="http://schemas.openxmlformats.org/officeDocument/2006/relationships" ref="I184" r:id="rId46"/>
    <hyperlink xmlns:r="http://schemas.openxmlformats.org/officeDocument/2006/relationships" ref="H185" r:id="rId47"/>
    <hyperlink xmlns:r="http://schemas.openxmlformats.org/officeDocument/2006/relationships" ref="I185" r:id="rId48"/>
    <hyperlink xmlns:r="http://schemas.openxmlformats.org/officeDocument/2006/relationships" ref="H186" r:id="rId49"/>
    <hyperlink xmlns:r="http://schemas.openxmlformats.org/officeDocument/2006/relationships" ref="I186" r:id="rId50"/>
    <hyperlink xmlns:r="http://schemas.openxmlformats.org/officeDocument/2006/relationships" ref="H187" r:id="rId51"/>
    <hyperlink xmlns:r="http://schemas.openxmlformats.org/officeDocument/2006/relationships" ref="I187" r:id="rId52"/>
  </hyperlink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9DC3E6"/>
    <outlinePr summaryBelow="1" summaryRight="1"/>
    <pageSetUpPr/>
  </sheetPr>
  <dimension ref="A1:BK199"/>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Satin Sheets 4 Piece · Amazon.com (US)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(29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_xlfn.IMAGE("https://m.media-amazon.com/images/I/81GoZ+gTjbL._AC_SL1500_.jpg")</f>
        <v/>
      </c>
      <c r="C4" s="13" t="inlineStr">
        <is>
          <t>Title</t>
        </is>
      </c>
      <c r="D4" s="14" t="inlineStr">
        <is>
          <t>SLEEP SANCTUARY Satin Sheets Queen Size – 4 Piece Luxury Silky Bed Set, Softer Than Silk, 15" Deep Pocket, Cooling &amp; Wrinkle-Free, Moisture-Wicking &amp; Breathable for Hair &amp; Skin (Navy Blue)</t>
        </is>
      </c>
      <c r="K4" s="13" t="inlineStr">
        <is>
          <t>Sizes</t>
        </is>
      </c>
      <c r="L4" s="68" t="inlineStr">
        <is>
          <t>Full, King, Queen, Twin</t>
        </is>
      </c>
      <c r="S4" s="13" t="inlineStr">
        <is>
          <t>Break-even ACoS</t>
        </is>
      </c>
      <c r="T4" s="68" t="inlineStr">
        <is>
          <t>37%</t>
        </is>
      </c>
    </row>
    <row r="5" ht="22" customHeight="1">
      <c r="C5" s="13" t="inlineStr">
        <is>
          <t>Brand</t>
        </is>
      </c>
      <c r="D5" s="68" t="inlineStr">
        <is>
          <t>Sleephoria</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c r="S5" s="13" t="inlineStr">
        <is>
          <t>Units last 28 days</t>
        </is>
      </c>
      <c r="T5" s="68" t="inlineStr">
        <is>
          <t>700</t>
        </is>
      </c>
    </row>
    <row r="6" ht="22" customHeight="1">
      <c r="C6" s="13" t="inlineStr">
        <is>
          <t>Marketplace</t>
        </is>
      </c>
      <c r="D6" s="68" t="inlineStr">
        <is>
          <t>Amazon.com (US)</t>
        </is>
      </c>
      <c r="K6" s="13" t="inlineStr">
        <is>
          <t>Price now, best child</t>
        </is>
      </c>
      <c r="L6" s="68" t="inlineStr">
        <is>
          <t>$33.95 (catalog price, 2026-10-13)</t>
        </is>
      </c>
      <c r="S6" s="13" t="inlineStr">
        <is>
          <t>market data product ASIN</t>
        </is>
      </c>
      <c r="T6" s="68" t="inlineStr">
        <is>
          <t>B0DDR4HJCS (one of our child ASINs, not the Amazon parent)</t>
        </is>
      </c>
    </row>
    <row r="7" ht="22" customHeight="1">
      <c r="C7" s="13" t="inlineStr">
        <is>
          <t>Parent ASIN (Amazon)</t>
        </is>
      </c>
      <c r="D7" s="68" t="inlineStr">
        <is>
          <t>B0HFWXSCFP</t>
        </is>
      </c>
      <c r="K7" s="13" t="inlineStr">
        <is>
          <t>Rating / reviews now</t>
        </is>
      </c>
      <c r="L7" s="68" t="inlineStr">
        <is>
          <t>4.4 / 1,080 (catalog price, 2026-10-13)</t>
        </is>
      </c>
    </row>
    <row r="8" ht="22" customHeight="1">
      <c r="C8" s="13" t="inlineStr">
        <is>
          <t>Best-selling child ASIN</t>
        </is>
      </c>
      <c r="D8" s="68" t="inlineStr">
        <is>
          <t>B0DDRH9RD7</t>
        </is>
      </c>
      <c r="K8" s="13" t="inlineStr">
        <is>
          <t>Live prices held</t>
        </is>
      </c>
      <c r="L8" s="68" t="inlineStr">
        <is>
          <t>81 of 117 variations</t>
        </is>
      </c>
    </row>
    <row r="9" ht="22" customHeight="1">
      <c r="C9" s="13" t="inlineStr">
        <is>
          <t>Stage</t>
        </is>
      </c>
      <c r="D9" s="68" t="inlineStr">
        <is>
          <t>Maintenance</t>
        </is>
      </c>
      <c r="K9" s="13" t="inlineStr">
        <is>
          <t>Blended price (market data)</t>
        </is>
      </c>
      <c r="L9" s="68" t="inlineStr">
        <is>
          <t>$37.06 - fee feed as of 2026-03-30, STALE</t>
        </is>
      </c>
    </row>
    <row r="10">
      <c r="C10" s="13" t="inlineStr">
        <is>
          <t>Total variations (SKUs)</t>
        </is>
      </c>
      <c r="D10" s="68" t="n">
        <v>116</v>
      </c>
      <c r="K10" s="13" t="inlineStr">
        <is>
          <t>Contribution / unit</t>
        </is>
      </c>
      <c r="L10" s="68" t="inlineStr">
        <is>
          <t>$13.85</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2.59x</t>
        </is>
      </c>
      <c r="E12" s="70" t="inlineStr">
        <is>
          <t>15.8%</t>
        </is>
      </c>
      <c r="I12" s="70" t="inlineStr">
        <is>
          <t>5.01x</t>
        </is>
      </c>
      <c r="M12" s="70" t="inlineStr">
        <is>
          <t>29</t>
        </is>
      </c>
      <c r="Q12" s="70" t="inlineStr">
        <is>
          <t>29</t>
        </is>
      </c>
      <c r="U12" s="70" t="inlineStr">
        <is>
          <t>1</t>
        </is>
      </c>
    </row>
    <row r="13">
      <c r="A13" s="71" t="inlineStr">
        <is>
          <t>daily sales, BFCM wk vs 30 days before (account data actual)</t>
        </is>
      </c>
      <c r="E13" s="71" t="inlineStr">
        <is>
          <t>vs 18.3%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(117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_xlfn.IMAGE("https://m.media-amazon.com/images/I/81AE8h7l4-L.jpg")</f>
        <v/>
      </c>
      <c r="B18" s="39" t="inlineStr">
        <is>
          <t>B0DDRHPKDV</t>
        </is>
      </c>
      <c r="C18" s="39" t="inlineStr">
        <is>
          <t>SS-SATIN-GOLD-QUEEN-4PCS</t>
        </is>
      </c>
      <c r="D18" s="39" t="inlineStr">
        <is>
          <t>SLEEP SANCTUARY Satin Sheets Queen Size – 4 Piece Luxury Silky Bed Set, Softer Than Silk, 15" Deep Pocket, Cooling &amp; Wrinkle-Free, Moisture-Wicking &amp; Breathable for Hair &amp; Skin (Gold)</t>
        </is>
      </c>
      <c r="E18" s="39" t="inlineStr">
        <is>
          <t>Queen</t>
        </is>
      </c>
      <c r="F18" s="39" t="inlineStr">
        <is>
          <t>Gold</t>
        </is>
      </c>
      <c r="G18" s="73" t="n">
        <v>33.95</v>
      </c>
      <c r="H18" s="39" t="inlineStr">
        <is>
          <t>catalog price, 2026-10-13</t>
        </is>
      </c>
      <c r="I18" s="74" t="n">
        <v>39.95</v>
      </c>
      <c r="J18" s="75" t="inlineStr">
        <is>
          <t>2026-03-30</t>
        </is>
      </c>
      <c r="K18" s="40" t="n">
        <v>17.92</v>
      </c>
      <c r="L18" s="76" t="n">
        <v>0.4485607008760951</v>
      </c>
      <c r="M18" s="77" t="n">
        <v>45</v>
      </c>
      <c r="N18" s="39" t="inlineStr">
        <is>
          <t>Active</t>
        </is>
      </c>
      <c r="O18" s="39" t="inlineStr">
        <is>
          <t>Yes (12%)</t>
        </is>
      </c>
      <c r="P18" s="78" t="n">
        <v>4.4</v>
      </c>
      <c r="Q18" s="77" t="n">
        <v>1080</v>
      </c>
      <c r="R18" s="77" t="n">
        <v>28109</v>
      </c>
      <c r="S18" s="77" t="n">
        <v>47</v>
      </c>
      <c r="T18" s="39" t="n"/>
    </row>
    <row r="19" ht="62" customHeight="1">
      <c r="A19" s="12">
        <f>_xlfn.IMAGE("https://m.media-amazon.com/images/I/81GoZ+gTjbL.jpg")</f>
        <v/>
      </c>
      <c r="B19" s="39" t="inlineStr">
        <is>
          <t>B0DDRH9RD7</t>
        </is>
      </c>
      <c r="C19" s="39" t="inlineStr">
        <is>
          <t>SS-SATIN-NAVY-BLUE-QUEEN-4PCS</t>
        </is>
      </c>
      <c r="D19" s="39" t="inlineStr">
        <is>
          <t>SLEEP SANCTUARY Satin Sheets Queen Size – 4 Piece Luxury Silky Bed Set, Softer Than Silk, 15" Deep Pocket, Cooling &amp; Wrinkle-Free, Moisture-Wicking &amp; Breathable for Hair &amp; Skin (Navy Blue)</t>
        </is>
      </c>
      <c r="E19" s="39" t="inlineStr">
        <is>
          <t>Queen</t>
        </is>
      </c>
      <c r="F19" s="39" t="inlineStr">
        <is>
          <t>Navy Blue</t>
        </is>
      </c>
      <c r="G19" s="73" t="n">
        <v>33.95</v>
      </c>
      <c r="H19" s="39" t="inlineStr">
        <is>
          <t>catalog price, 2026-10-13</t>
        </is>
      </c>
      <c r="I19" s="74" t="n">
        <v>39.95</v>
      </c>
      <c r="J19" s="75" t="inlineStr">
        <is>
          <t>2026-03-30</t>
        </is>
      </c>
      <c r="K19" s="40" t="n">
        <v>17.71</v>
      </c>
      <c r="L19" s="76" t="n">
        <v>0.4433041301627034</v>
      </c>
      <c r="M19" s="77" t="n">
        <v>35</v>
      </c>
      <c r="N19" s="39" t="inlineStr">
        <is>
          <t>Active</t>
        </is>
      </c>
      <c r="O19" s="39" t="inlineStr">
        <is>
          <t>Yes (10%)</t>
        </is>
      </c>
      <c r="P19" s="78" t="n">
        <v>4.4</v>
      </c>
      <c r="Q19" s="77" t="n">
        <v>1080</v>
      </c>
      <c r="R19" s="77" t="n">
        <v>28109</v>
      </c>
      <c r="S19" s="77" t="n">
        <v>126</v>
      </c>
      <c r="T19" s="39" t="n"/>
    </row>
    <row r="20" ht="62" customHeight="1">
      <c r="A20" s="12">
        <f>_xlfn.IMAGE("https://m.media-amazon.com/images/I/81BW8ryqp0L.jpg")</f>
        <v/>
      </c>
      <c r="B20" s="39" t="inlineStr">
        <is>
          <t>B0DDQZ6VT4</t>
        </is>
      </c>
      <c r="C20" s="39" t="inlineStr">
        <is>
          <t>SS-SATIN-WHITE-KING-4PCS</t>
        </is>
      </c>
      <c r="D20" s="39" t="inlineStr">
        <is>
          <t>SLEEP SANCTUARY Satin Sheets King Size – 4 Piece Luxury Silky Bed Set, Softer Than Silk, 15" Deep Pocket, Cooling &amp; Wrinkle-Free, Moisture-Wicking &amp; Breathable for Hair &amp; Skin (White)</t>
        </is>
      </c>
      <c r="E20" s="39" t="inlineStr">
        <is>
          <t>King</t>
        </is>
      </c>
      <c r="F20" s="39" t="inlineStr">
        <is>
          <t>White</t>
        </is>
      </c>
      <c r="G20" s="73" t="n">
        <v>35.95</v>
      </c>
      <c r="H20" s="39" t="inlineStr">
        <is>
          <t>catalog price, 2026-10-13</t>
        </is>
      </c>
      <c r="I20" s="74" t="n">
        <v>35.95</v>
      </c>
      <c r="J20" s="75" t="inlineStr">
        <is>
          <t>2026-03-30</t>
        </is>
      </c>
      <c r="K20" s="40" t="n">
        <v>10.86</v>
      </c>
      <c r="L20" s="76" t="n">
        <v>0.3020862308762171</v>
      </c>
      <c r="M20" s="77" t="n">
        <v>34</v>
      </c>
      <c r="N20" s="39" t="inlineStr">
        <is>
          <t>Active</t>
        </is>
      </c>
      <c r="O20" s="39" t="inlineStr">
        <is>
          <t>Yes (17%)</t>
        </is>
      </c>
      <c r="P20" s="78" t="n">
        <v>4.4</v>
      </c>
      <c r="Q20" s="77" t="n">
        <v>1080</v>
      </c>
      <c r="R20" s="77" t="n">
        <v>28109</v>
      </c>
      <c r="S20" s="77" t="n">
        <v>135</v>
      </c>
      <c r="T20" s="39" t="n"/>
    </row>
    <row r="21" ht="62" customHeight="1">
      <c r="A21" s="12">
        <f>_xlfn.IMAGE("https://m.media-amazon.com/images/I/81AE8h7l4-L.jpg")</f>
        <v/>
      </c>
      <c r="B21" s="39" t="inlineStr">
        <is>
          <t>B0DDR5JMCH</t>
        </is>
      </c>
      <c r="C21" s="39" t="inlineStr">
        <is>
          <t>SS-SATIN-GOLD-KING-4PCS</t>
        </is>
      </c>
      <c r="D21" s="39" t="inlineStr">
        <is>
          <t>SLEEP SANCTUARY Satin Sheets King Size – 4 Piece Luxury Silky Bed Set, Softer Than Silk, 15" Deep Pocket, Cooling &amp; Wrinkle-Free, Moisture-Wicking &amp; Breathable for Hair &amp; Skin (Gold)</t>
        </is>
      </c>
      <c r="E21" s="39" t="inlineStr">
        <is>
          <t>King</t>
        </is>
      </c>
      <c r="F21" s="39" t="inlineStr">
        <is>
          <t>Gold</t>
        </is>
      </c>
      <c r="G21" s="73" t="n">
        <v>39.95</v>
      </c>
      <c r="H21" s="39" t="inlineStr">
        <is>
          <t>catalog price, 2026-10-13</t>
        </is>
      </c>
      <c r="I21" s="74" t="n">
        <v>35.95</v>
      </c>
      <c r="J21" s="75" t="inlineStr">
        <is>
          <t>2026-03-30</t>
        </is>
      </c>
      <c r="K21" s="40" t="n">
        <v>11.41</v>
      </c>
      <c r="L21" s="76" t="n">
        <v>0.3173852573018081</v>
      </c>
      <c r="M21" s="77" t="n">
        <v>33</v>
      </c>
      <c r="N21" s="39" t="inlineStr">
        <is>
          <t>Active</t>
        </is>
      </c>
      <c r="O21" s="39" t="n"/>
      <c r="P21" s="78" t="n">
        <v>4.4</v>
      </c>
      <c r="Q21" s="77" t="n">
        <v>1080</v>
      </c>
      <c r="R21" s="77" t="n">
        <v>28109</v>
      </c>
      <c r="S21" s="77" t="n">
        <v>3</v>
      </c>
      <c r="T21" s="39" t="n"/>
    </row>
    <row r="22" ht="62" customHeight="1">
      <c r="A22" s="12">
        <f>_xlfn.IMAGE("https://m.media-amazon.com/images/I/81UEky8B2XL.jpg")</f>
        <v/>
      </c>
      <c r="B22" s="39" t="inlineStr">
        <is>
          <t>B0DDQXM4RF</t>
        </is>
      </c>
      <c r="C22" s="39" t="inlineStr">
        <is>
          <t>SS-SATIN-GREY-KING-4PCS</t>
        </is>
      </c>
      <c r="D22" s="39" t="inlineStr">
        <is>
          <t>SLEEP SANCTUARY Satin Sheets King Size – 4 Piece Luxury Silky Bed Set, Softer Than Silk, 15" Deep Pocket, Cooling &amp; Wrinkle-Free, Moisture-Wicking &amp; Breathable for Hair &amp; Skin (Grey)</t>
        </is>
      </c>
      <c r="E22" s="39" t="inlineStr">
        <is>
          <t>King</t>
        </is>
      </c>
      <c r="F22" s="39" t="inlineStr">
        <is>
          <t>Grey</t>
        </is>
      </c>
      <c r="G22" s="73" t="n">
        <v>35.95</v>
      </c>
      <c r="H22" s="39" t="inlineStr">
        <is>
          <t>catalog price, 2026-10-13</t>
        </is>
      </c>
      <c r="I22" s="74" t="n">
        <v>35.95</v>
      </c>
      <c r="J22" s="75" t="inlineStr">
        <is>
          <t>2026-03-30</t>
        </is>
      </c>
      <c r="K22" s="40" t="n">
        <v>10.94</v>
      </c>
      <c r="L22" s="76" t="n">
        <v>0.3043115438108485</v>
      </c>
      <c r="M22" s="77" t="n">
        <v>29</v>
      </c>
      <c r="N22" s="39" t="inlineStr">
        <is>
          <t>Active</t>
        </is>
      </c>
      <c r="O22" s="39" t="inlineStr">
        <is>
          <t>Yes (21%)</t>
        </is>
      </c>
      <c r="P22" s="78" t="n">
        <v>4.4</v>
      </c>
      <c r="Q22" s="77" t="n">
        <v>1080</v>
      </c>
      <c r="R22" s="77" t="n">
        <v>28109</v>
      </c>
      <c r="S22" s="77" t="n">
        <v>124</v>
      </c>
      <c r="T22" s="39" t="n"/>
    </row>
    <row r="23" ht="62" customHeight="1">
      <c r="A23" s="12">
        <f>_xlfn.IMAGE("https://m.media-amazon.com/images/I/81aclCTpoYL.jpg")</f>
        <v/>
      </c>
      <c r="B23" s="39" t="inlineStr">
        <is>
          <t>B0DDR6921L</t>
        </is>
      </c>
      <c r="C23" s="39" t="inlineStr">
        <is>
          <t>SS-SATIN-DARK-GREEN-KING-4PCS</t>
        </is>
      </c>
      <c r="D23" s="39" t="inlineStr">
        <is>
          <t>SLEEP SANCTUARY Satin Sheets King Size – 4 Piece Luxury Silky Bed Set, Softer Than Silk, 15" Deep Pocket, Cooling &amp; Wrinkle-Free, Moisture-Wicking &amp; Breathable for Hair &amp; Skin (Dark Green)</t>
        </is>
      </c>
      <c r="E23" s="39" t="inlineStr">
        <is>
          <t>King</t>
        </is>
      </c>
      <c r="F23" s="39" t="inlineStr">
        <is>
          <t>Dark Green</t>
        </is>
      </c>
      <c r="G23" s="73" t="n">
        <v>37.95</v>
      </c>
      <c r="H23" s="39" t="inlineStr">
        <is>
          <t>catalog price, 2026-10-13</t>
        </is>
      </c>
      <c r="I23" s="74" t="n">
        <v>35.95</v>
      </c>
      <c r="J23" s="75" t="inlineStr">
        <is>
          <t>2026-03-30</t>
        </is>
      </c>
      <c r="K23" s="40" t="n">
        <v>12.1</v>
      </c>
      <c r="L23" s="76" t="n">
        <v>0.3365785813630042</v>
      </c>
      <c r="M23" s="77" t="n">
        <v>23</v>
      </c>
      <c r="N23" s="39" t="inlineStr">
        <is>
          <t>Active</t>
        </is>
      </c>
      <c r="O23" s="39" t="n"/>
      <c r="P23" s="78" t="n">
        <v>4.4</v>
      </c>
      <c r="Q23" s="77" t="n">
        <v>1080</v>
      </c>
      <c r="R23" s="77" t="n">
        <v>28101</v>
      </c>
      <c r="S23" s="77" t="n">
        <v>4</v>
      </c>
      <c r="T23" s="39" t="n"/>
    </row>
    <row r="24" ht="62" customHeight="1">
      <c r="A24" s="12">
        <f>_xlfn.IMAGE("https://m.media-amazon.com/images/I/81x+7oMcdCL.jpg")</f>
        <v/>
      </c>
      <c r="B24" s="39" t="inlineStr">
        <is>
          <t>B0DDRM5YW5</t>
        </is>
      </c>
      <c r="C24" s="39" t="inlineStr">
        <is>
          <t>SS-SATIN-ROSEWOOD-KING-4PCS</t>
        </is>
      </c>
      <c r="D24" s="39" t="inlineStr">
        <is>
          <t>SLEEP SANCTUARY Satin Sheets King Size – 4 Piece Luxury Silky Bed Set, Softer Than Silk, 15" Deep Pocket, Cooling &amp; Wrinkle-Free, Moisture-Wicking &amp; Breathable for Hair &amp; Skin (Rosewood)</t>
        </is>
      </c>
      <c r="E24" s="39" t="inlineStr">
        <is>
          <t>King</t>
        </is>
      </c>
      <c r="F24" s="39" t="inlineStr">
        <is>
          <t>Rosewood</t>
        </is>
      </c>
      <c r="G24" s="73" t="n">
        <v>35.95</v>
      </c>
      <c r="H24" s="39" t="inlineStr">
        <is>
          <t>catalog price, 2026-10-13</t>
        </is>
      </c>
      <c r="I24" s="74" t="n">
        <v>35.95</v>
      </c>
      <c r="J24" s="75" t="inlineStr">
        <is>
          <t>2026-03-30</t>
        </is>
      </c>
      <c r="K24" s="40" t="n">
        <v>11.68</v>
      </c>
      <c r="L24" s="76" t="n">
        <v>0.3248956884561892</v>
      </c>
      <c r="M24" s="77" t="n">
        <v>23</v>
      </c>
      <c r="N24" s="39" t="inlineStr">
        <is>
          <t>Active</t>
        </is>
      </c>
      <c r="O24" s="39" t="n"/>
      <c r="P24" s="78" t="n">
        <v>4.4</v>
      </c>
      <c r="Q24" s="77" t="n">
        <v>1080</v>
      </c>
      <c r="R24" s="77" t="n">
        <v>28109</v>
      </c>
      <c r="S24" s="77" t="n">
        <v>2</v>
      </c>
      <c r="T24" s="39" t="n"/>
    </row>
    <row r="25" ht="62" customHeight="1">
      <c r="A25" s="12">
        <f>_xlfn.IMAGE("https://m.media-amazon.com/images/I/816QTAjFcGL.jpg")</f>
        <v/>
      </c>
      <c r="B25" s="39" t="inlineStr">
        <is>
          <t>B0DDR1ZPRZ</t>
        </is>
      </c>
      <c r="C25" s="39" t="inlineStr">
        <is>
          <t>SS-SATIN-STONE-GREY-KING-4PCS</t>
        </is>
      </c>
      <c r="D25" s="39" t="inlineStr">
        <is>
          <t>SLEEP SANCTUARY Satin Sheets King Size – 4 Piece Luxury Silky Bed Set, Softer Than Silk, 15" Deep Pocket, Cooling &amp; Wrinkle-Free, Moisture-Wicking &amp; Breathable for Hair &amp; Skin (Stone Grey)</t>
        </is>
      </c>
      <c r="E25" s="39" t="inlineStr">
        <is>
          <t>King</t>
        </is>
      </c>
      <c r="F25" s="39" t="inlineStr">
        <is>
          <t>Stone Grey</t>
        </is>
      </c>
      <c r="G25" s="73" t="n">
        <v>35.95</v>
      </c>
      <c r="H25" s="39" t="inlineStr">
        <is>
          <t>catalog price, 2026-10-13</t>
        </is>
      </c>
      <c r="I25" s="74" t="n">
        <v>35.95</v>
      </c>
      <c r="J25" s="75" t="inlineStr">
        <is>
          <t>2026-03-30</t>
        </is>
      </c>
      <c r="K25" s="40" t="n">
        <v>11.32</v>
      </c>
      <c r="L25" s="76" t="n">
        <v>0.3148817802503478</v>
      </c>
      <c r="M25" s="77" t="n">
        <v>23</v>
      </c>
      <c r="N25" s="39" t="inlineStr">
        <is>
          <t>Active</t>
        </is>
      </c>
      <c r="O25" s="39" t="n"/>
      <c r="P25" s="78" t="n">
        <v>4.4</v>
      </c>
      <c r="Q25" s="77" t="n">
        <v>1080</v>
      </c>
      <c r="R25" s="77" t="n">
        <v>28101</v>
      </c>
      <c r="S25" s="77" t="n">
        <v>87</v>
      </c>
      <c r="T25" s="39" t="n"/>
    </row>
    <row r="26" ht="62" customHeight="1">
      <c r="A26" s="12">
        <f>_xlfn.IMAGE("https://m.media-amazon.com/images/I/81-8fCPCUcL.jpg")</f>
        <v/>
      </c>
      <c r="B26" s="39" t="inlineStr">
        <is>
          <t>B0DDR1H4YM</t>
        </is>
      </c>
      <c r="C26" s="39" t="inlineStr">
        <is>
          <t>SS-SATIN-BLUSH-PINK-QUEEN-4PCS</t>
        </is>
      </c>
      <c r="D26" s="39" t="inlineStr">
        <is>
          <t>SLEEP SANCTUARY Satin Sheets Queen Size – 4 Piece Luxury Silky Bed Set, Softer Than Silk, 15" Deep Pocket, Cooling &amp; Wrinkle-Free, Moisture-Wicking &amp; Breathable for Hair &amp; Skin (Blush Pink)</t>
        </is>
      </c>
      <c r="E26" s="39" t="inlineStr">
        <is>
          <t>Queen</t>
        </is>
      </c>
      <c r="F26" s="39" t="inlineStr">
        <is>
          <t>Blush Pink</t>
        </is>
      </c>
      <c r="G26" s="73" t="n">
        <v>33.95</v>
      </c>
      <c r="H26" s="39" t="inlineStr">
        <is>
          <t>catalog price, 2026-10-13</t>
        </is>
      </c>
      <c r="I26" s="74" t="n">
        <v>39.95</v>
      </c>
      <c r="J26" s="75" t="inlineStr">
        <is>
          <t>2026-03-30</t>
        </is>
      </c>
      <c r="K26" s="40" t="n">
        <v>15.94</v>
      </c>
      <c r="L26" s="76" t="n">
        <v>0.3989987484355444</v>
      </c>
      <c r="M26" s="77" t="n">
        <v>19</v>
      </c>
      <c r="N26" s="39" t="inlineStr">
        <is>
          <t>Active</t>
        </is>
      </c>
      <c r="O26" s="39" t="n"/>
      <c r="P26" s="78" t="n">
        <v>4.4</v>
      </c>
      <c r="Q26" s="77" t="n">
        <v>1080</v>
      </c>
      <c r="R26" s="77" t="n">
        <v>28101</v>
      </c>
      <c r="S26" s="77" t="n">
        <v>5</v>
      </c>
      <c r="T26" s="39" t="n"/>
    </row>
    <row r="27" ht="62" customHeight="1">
      <c r="A27" s="12">
        <f>_xlfn.IMAGE("https://m.media-amazon.com/images/I/81eHsiCwxyL.jpg")</f>
        <v/>
      </c>
      <c r="B27" s="39" t="inlineStr">
        <is>
          <t>B0DDR5QBGQ</t>
        </is>
      </c>
      <c r="C27" s="39" t="inlineStr">
        <is>
          <t>SS-SATIN-IVORY-KING-4PCS</t>
        </is>
      </c>
      <c r="D27" s="39" t="inlineStr">
        <is>
          <t>SLEEP SANCTUARY Satin Sheets King Size – 4 Piece Luxury Silky Bed Set, Softer Than Silk, 15" Deep Pocket, Cooling &amp; Wrinkle-Free, Moisture-Wicking &amp; Breathable for Hair &amp; Skin (Ivory)</t>
        </is>
      </c>
      <c r="E27" s="39" t="inlineStr">
        <is>
          <t>King</t>
        </is>
      </c>
      <c r="F27" s="39" t="inlineStr">
        <is>
          <t>Ivory</t>
        </is>
      </c>
      <c r="G27" s="73" t="n">
        <v>35.95</v>
      </c>
      <c r="H27" s="39" t="inlineStr">
        <is>
          <t>catalog price, 2026-10-13</t>
        </is>
      </c>
      <c r="I27" s="74" t="n">
        <v>35.95</v>
      </c>
      <c r="J27" s="75" t="inlineStr">
        <is>
          <t>2026-03-30</t>
        </is>
      </c>
      <c r="K27" s="40" t="n">
        <v>11.85</v>
      </c>
      <c r="L27" s="76" t="n">
        <v>0.329624478442281</v>
      </c>
      <c r="M27" s="77" t="n">
        <v>18</v>
      </c>
      <c r="N27" s="39" t="inlineStr">
        <is>
          <t>Active</t>
        </is>
      </c>
      <c r="O27" s="39" t="n"/>
      <c r="P27" s="78" t="n">
        <v>4.4</v>
      </c>
      <c r="Q27" s="77" t="n">
        <v>1080</v>
      </c>
      <c r="R27" s="77" t="n">
        <v>28101</v>
      </c>
      <c r="S27" s="77" t="n">
        <v>2</v>
      </c>
      <c r="T27" s="39" t="n"/>
    </row>
    <row r="28" ht="62" customHeight="1">
      <c r="A28" s="12">
        <f>_xlfn.IMAGE("https://m.media-amazon.com/images/I/81GoZ+gTjbL.jpg")</f>
        <v/>
      </c>
      <c r="B28" s="39" t="inlineStr">
        <is>
          <t>B0DDR5K4JT</t>
        </is>
      </c>
      <c r="C28" s="39" t="inlineStr">
        <is>
          <t>SS-SATIN-NAVY-BLUE-KING-4PCS</t>
        </is>
      </c>
      <c r="D28" s="39" t="inlineStr">
        <is>
          <t>SLEEP SANCTUARY Satin Sheets King Size – 4 Piece Luxury Silky Bed Set, Softer Than Silk, 15" Deep Pocket, Cooling &amp; Wrinkle-Free, Moisture-Wicking &amp; Breathable for Hair &amp; Skin (Navy Blue)</t>
        </is>
      </c>
      <c r="E28" s="39" t="inlineStr">
        <is>
          <t>King</t>
        </is>
      </c>
      <c r="F28" s="39" t="inlineStr">
        <is>
          <t>Navy Blue</t>
        </is>
      </c>
      <c r="G28" s="73" t="n">
        <v>35.95</v>
      </c>
      <c r="H28" s="39" t="inlineStr">
        <is>
          <t>catalog price, 2026-10-13</t>
        </is>
      </c>
      <c r="I28" s="74" t="n">
        <v>35.95</v>
      </c>
      <c r="J28" s="75" t="inlineStr">
        <is>
          <t>2026-03-30</t>
        </is>
      </c>
      <c r="K28" s="40" t="n">
        <v>12.57</v>
      </c>
      <c r="L28" s="76" t="n">
        <v>0.3496522948539639</v>
      </c>
      <c r="M28" s="77" t="n">
        <v>17</v>
      </c>
      <c r="N28" s="39" t="inlineStr">
        <is>
          <t>Active</t>
        </is>
      </c>
      <c r="O28" s="39" t="n"/>
      <c r="P28" s="78" t="n">
        <v>4.4</v>
      </c>
      <c r="Q28" s="77" t="n">
        <v>1080</v>
      </c>
      <c r="R28" s="77" t="n">
        <v>28101</v>
      </c>
      <c r="S28" s="77" t="n">
        <v>69</v>
      </c>
      <c r="T28" s="39" t="n"/>
    </row>
    <row r="29" ht="62" customHeight="1">
      <c r="A29" s="12">
        <f>_xlfn.IMAGE("https://m.media-amazon.com/images/I/81T7uFbjFiL.jpg")</f>
        <v/>
      </c>
      <c r="B29" s="39" t="inlineStr">
        <is>
          <t>B0DDRL7H2W</t>
        </is>
      </c>
      <c r="C29" s="39" t="inlineStr">
        <is>
          <t>SS-SATIN-SEA-TEAL-KING-4PCS</t>
        </is>
      </c>
      <c r="D29" s="39" t="inlineStr">
        <is>
          <t>SLEEP SANCTUARY Satin Sheets King Size – 4 Piece Luxury Silky Bed Set, Softer Than Silk, 15" Deep Pocket, Cooling &amp; Wrinkle-Free, Moisture-Wicking &amp; Breathable for Hair &amp; Skin (Sea Teal)</t>
        </is>
      </c>
      <c r="E29" s="39" t="inlineStr">
        <is>
          <t>King</t>
        </is>
      </c>
      <c r="F29" s="39" t="inlineStr">
        <is>
          <t>Sea Teal</t>
        </is>
      </c>
      <c r="G29" s="73" t="n">
        <v>38.95</v>
      </c>
      <c r="H29" s="39" t="inlineStr">
        <is>
          <t>catalog price, 2026-10-13</t>
        </is>
      </c>
      <c r="I29" s="74" t="n">
        <v>35.95</v>
      </c>
      <c r="J29" s="75" t="inlineStr">
        <is>
          <t>2026-03-30</t>
        </is>
      </c>
      <c r="K29" s="40" t="n">
        <v>12.18</v>
      </c>
      <c r="L29" s="76" t="n">
        <v>0.3388038942976357</v>
      </c>
      <c r="M29" s="77" t="n">
        <v>17</v>
      </c>
      <c r="N29" s="39" t="inlineStr">
        <is>
          <t>Active</t>
        </is>
      </c>
      <c r="O29" s="39" t="n"/>
      <c r="P29" s="78" t="n">
        <v>4.4</v>
      </c>
      <c r="Q29" s="77" t="n">
        <v>1080</v>
      </c>
      <c r="R29" s="77" t="n">
        <v>28109</v>
      </c>
      <c r="S29" s="77" t="n">
        <v>4</v>
      </c>
      <c r="T29" s="39" t="n"/>
    </row>
    <row r="30" ht="62" customHeight="1">
      <c r="A30" s="12">
        <f>_xlfn.IMAGE("https://m.media-amazon.com/images/I/81UEky8B2XL.jpg")</f>
        <v/>
      </c>
      <c r="B30" s="39" t="inlineStr">
        <is>
          <t>B0DDQX793B</t>
        </is>
      </c>
      <c r="C30" s="39" t="inlineStr">
        <is>
          <t>SS-SATIN-GREY-FULL-4PCS</t>
        </is>
      </c>
      <c r="D30" s="39" t="inlineStr">
        <is>
          <t>SLEEP SANCTUARY Satin Sheets Full Size – 4 Piece Luxury Silky Bed Set, Softer Than Silk, 15" Deep Pocket, Cooling &amp; Wrinkle-Free, Moisture-Wicking &amp; Breathable for Hair &amp; Skin (Grey)</t>
        </is>
      </c>
      <c r="E30" s="39" t="inlineStr">
        <is>
          <t>Full</t>
        </is>
      </c>
      <c r="F30" s="39" t="inlineStr">
        <is>
          <t>Grey</t>
        </is>
      </c>
      <c r="G30" s="73" t="n">
        <v>31.95</v>
      </c>
      <c r="H30" s="39" t="inlineStr">
        <is>
          <t>catalog price, 2026-10-13</t>
        </is>
      </c>
      <c r="I30" s="74" t="n">
        <v>37.95</v>
      </c>
      <c r="J30" s="75" t="inlineStr">
        <is>
          <t>2026-03-30</t>
        </is>
      </c>
      <c r="K30" s="40" t="n">
        <v>16.70000000000001</v>
      </c>
      <c r="L30" s="76" t="n">
        <v>0.4400527009222663</v>
      </c>
      <c r="M30" s="77" t="n">
        <v>14</v>
      </c>
      <c r="N30" s="39" t="inlineStr">
        <is>
          <t>Active</t>
        </is>
      </c>
      <c r="O30" s="39" t="inlineStr">
        <is>
          <t>Yes (5%)</t>
        </is>
      </c>
      <c r="P30" s="78" t="n">
        <v>4.4</v>
      </c>
      <c r="Q30" s="77" t="n">
        <v>1080</v>
      </c>
      <c r="R30" s="77" t="n">
        <v>28101</v>
      </c>
      <c r="S30" s="77" t="n">
        <v>36</v>
      </c>
      <c r="T30" s="39" t="n"/>
    </row>
    <row r="31" ht="62" customHeight="1">
      <c r="A31" s="12">
        <f>_xlfn.IMAGE("https://m.media-amazon.com/images/I/81qEq06R1GL.jpg")</f>
        <v/>
      </c>
      <c r="B31" s="39" t="inlineStr">
        <is>
          <t>B0DDR6MK7V</t>
        </is>
      </c>
      <c r="C31" s="39" t="inlineStr">
        <is>
          <t>SS-SATIN-BABY-BLUE-KING-4PCS</t>
        </is>
      </c>
      <c r="D31" s="39" t="inlineStr">
        <is>
          <t>SLEEP SANCTUARY Satin Sheets King Size – 4 Piece Luxury Silky Bed Set, Softer Than Silk, 15" Deep Pocket, Cooling &amp; Wrinkle-Free, Moisture-Wicking &amp; Breathable for Hair &amp; Skin (Baby Blue)</t>
        </is>
      </c>
      <c r="E31" s="39" t="inlineStr">
        <is>
          <t>King</t>
        </is>
      </c>
      <c r="F31" s="39" t="inlineStr">
        <is>
          <t>Baby Blue</t>
        </is>
      </c>
      <c r="G31" s="73" t="n">
        <v>35.95</v>
      </c>
      <c r="H31" s="39" t="inlineStr">
        <is>
          <t>catalog price, 2026-10-13</t>
        </is>
      </c>
      <c r="I31" s="74" t="n">
        <v>41.95</v>
      </c>
      <c r="J31" s="75" t="inlineStr">
        <is>
          <t>2026-03-30</t>
        </is>
      </c>
      <c r="K31" s="40" t="n">
        <v>16.90000000000001</v>
      </c>
      <c r="L31" s="76" t="n">
        <v>0.4028605482717522</v>
      </c>
      <c r="M31" s="77" t="n">
        <v>14</v>
      </c>
      <c r="N31" s="39" t="inlineStr">
        <is>
          <t>Active</t>
        </is>
      </c>
      <c r="O31" s="39" t="n"/>
      <c r="P31" s="78" t="n">
        <v>4.4</v>
      </c>
      <c r="Q31" s="77" t="n">
        <v>1080</v>
      </c>
      <c r="R31" s="77" t="n">
        <v>28109</v>
      </c>
      <c r="S31" s="77" t="n">
        <v>47</v>
      </c>
      <c r="T31" s="39" t="n"/>
    </row>
    <row r="32" ht="62" customHeight="1">
      <c r="A32" s="12">
        <f>_xlfn.IMAGE("https://m.media-amazon.com/images/I/811f9U2X++L.jpg")</f>
        <v/>
      </c>
      <c r="B32" s="39" t="inlineStr">
        <is>
          <t>B0DDRBTG9J</t>
        </is>
      </c>
      <c r="C32" s="39" t="inlineStr">
        <is>
          <t>SS-SATIN-PINK-QUEEN-4PCS</t>
        </is>
      </c>
      <c r="D32" s="39" t="inlineStr">
        <is>
          <t>SLEEP SANCTUARY Satin Sheets Queen Size – 4 Piece Luxury Silky Bed Set, Softer Than Silk, 15" Deep Pocket, Cooling &amp; Wrinkle-Free, Moisture-Wicking &amp; Breathable for Hair &amp; Skin (Pink)</t>
        </is>
      </c>
      <c r="E32" s="39" t="inlineStr">
        <is>
          <t>Queen</t>
        </is>
      </c>
      <c r="F32" s="39" t="inlineStr">
        <is>
          <t>Pink</t>
        </is>
      </c>
      <c r="G32" s="73" t="n">
        <v>31.95</v>
      </c>
      <c r="H32" s="39" t="inlineStr">
        <is>
          <t>catalog price, 2026-10-13</t>
        </is>
      </c>
      <c r="I32" s="74" t="n">
        <v>39.95</v>
      </c>
      <c r="J32" s="75" t="inlineStr">
        <is>
          <t>2026-03-30</t>
        </is>
      </c>
      <c r="K32" s="40" t="n">
        <v>16.98</v>
      </c>
      <c r="L32" s="76" t="n">
        <v>0.4250312891113893</v>
      </c>
      <c r="M32" s="77" t="n">
        <v>14</v>
      </c>
      <c r="N32" s="39" t="inlineStr">
        <is>
          <t>Active</t>
        </is>
      </c>
      <c r="O32" s="39" t="n"/>
      <c r="P32" s="78" t="n">
        <v>4.4</v>
      </c>
      <c r="Q32" s="77" t="n">
        <v>1080</v>
      </c>
      <c r="R32" s="77" t="n">
        <v>28101</v>
      </c>
      <c r="S32" s="77" t="n">
        <v>6</v>
      </c>
      <c r="T32" s="39" t="n"/>
    </row>
    <row r="33" ht="62" customHeight="1">
      <c r="A33" s="12">
        <f>_xlfn.IMAGE("https://m.media-amazon.com/images/I/81nw4rg0gcL.jpg")</f>
        <v/>
      </c>
      <c r="B33" s="39" t="inlineStr">
        <is>
          <t>B0DDR4FVH1</t>
        </is>
      </c>
      <c r="C33" s="39" t="inlineStr">
        <is>
          <t>SS-SATIN-PURPLE-QUEEN-4PCS</t>
        </is>
      </c>
      <c r="D33" s="39" t="inlineStr">
        <is>
          <t>SLEEP SANCTUARY Satin Sheets Queen Size – 4 Piece Luxury Silky Bed Set, Softer Than Silk, 15" Deep Pocket, Cooling &amp; Wrinkle-Free, Moisture-Wicking &amp; Breathable for Hair &amp; Skin (Purple)</t>
        </is>
      </c>
      <c r="E33" s="39" t="inlineStr">
        <is>
          <t>Queen</t>
        </is>
      </c>
      <c r="F33" s="39" t="inlineStr">
        <is>
          <t>Purple</t>
        </is>
      </c>
      <c r="G33" s="73" t="n">
        <v>33.95</v>
      </c>
      <c r="H33" s="39" t="inlineStr">
        <is>
          <t>catalog price, 2026-10-13</t>
        </is>
      </c>
      <c r="I33" s="74" t="n">
        <v>33.95</v>
      </c>
      <c r="J33" s="75" t="inlineStr">
        <is>
          <t>2026-03-30</t>
        </is>
      </c>
      <c r="K33" s="40" t="n">
        <v>11.03</v>
      </c>
      <c r="L33" s="76" t="n">
        <v>0.3248895434462445</v>
      </c>
      <c r="M33" s="77" t="n">
        <v>14</v>
      </c>
      <c r="N33" s="39" t="inlineStr">
        <is>
          <t>Active</t>
        </is>
      </c>
      <c r="O33" s="39" t="n"/>
      <c r="P33" s="78" t="n">
        <v>4.4</v>
      </c>
      <c r="Q33" s="77" t="n">
        <v>1080</v>
      </c>
      <c r="R33" s="77" t="n">
        <v>28101</v>
      </c>
      <c r="S33" s="77" t="n">
        <v>6</v>
      </c>
      <c r="T33" s="39" t="n"/>
    </row>
    <row r="34" ht="62" customHeight="1">
      <c r="A34" s="12">
        <f>_xlfn.IMAGE("https://m.media-amazon.com/images/I/81-8fCPCUcL.jpg")</f>
        <v/>
      </c>
      <c r="B34" s="39" t="inlineStr">
        <is>
          <t>B0DDR4T2Y6</t>
        </is>
      </c>
      <c r="C34" s="39" t="inlineStr">
        <is>
          <t>SS-SATIN-BLUSH-PINK-KING-4PCS</t>
        </is>
      </c>
      <c r="D34" s="39" t="inlineStr">
        <is>
          <t>SLEEP SANCTUARY Satin Sheets King Size – 4 Piece Luxury Silky Bed Set, Softer Than Silk, 15" Deep Pocket, Cooling &amp; Wrinkle-Free, Moisture-Wicking &amp; Breathable for Hair &amp; Skin (Blush Pink)</t>
        </is>
      </c>
      <c r="E34" s="39" t="inlineStr">
        <is>
          <t>King</t>
        </is>
      </c>
      <c r="F34" s="39" t="inlineStr">
        <is>
          <t>Blush Pink</t>
        </is>
      </c>
      <c r="G34" s="73" t="n">
        <v>35.95</v>
      </c>
      <c r="H34" s="39" t="inlineStr">
        <is>
          <t>catalog price, 2026-10-13</t>
        </is>
      </c>
      <c r="I34" s="74" t="n">
        <v>35.95</v>
      </c>
      <c r="J34" s="75" t="inlineStr">
        <is>
          <t>2026-03-30</t>
        </is>
      </c>
      <c r="K34" s="40" t="n">
        <v>10.8</v>
      </c>
      <c r="L34" s="76" t="n">
        <v>0.3004172461752435</v>
      </c>
      <c r="M34" s="77" t="n">
        <v>13</v>
      </c>
      <c r="N34" s="39" t="inlineStr">
        <is>
          <t>Active</t>
        </is>
      </c>
      <c r="O34" s="39" t="inlineStr">
        <is>
          <t>Yes (4%)</t>
        </is>
      </c>
      <c r="P34" s="78" t="n">
        <v>4.4</v>
      </c>
      <c r="Q34" s="77" t="n">
        <v>1080</v>
      </c>
      <c r="R34" s="77" t="n">
        <v>28101</v>
      </c>
      <c r="S34" s="77" t="n">
        <v>4</v>
      </c>
      <c r="T34" s="39" t="n"/>
    </row>
    <row r="35" ht="62" customHeight="1">
      <c r="A35" s="12">
        <f>_xlfn.IMAGE("https://m.media-amazon.com/images/I/81ttAeO-RjL.jpg")</f>
        <v/>
      </c>
      <c r="B35" s="39" t="inlineStr">
        <is>
          <t>B0DDRHLV1C</t>
        </is>
      </c>
      <c r="C35" s="39" t="inlineStr">
        <is>
          <t>SS-SATIN-LAVENDER-QUEEN-4PCS</t>
        </is>
      </c>
      <c r="D35" s="39" t="inlineStr">
        <is>
          <t>SLEEP SANCTUARY Satin Sheets Queen Size – 4 Piece Luxury Silky Bed Set, Softer Than Silk, 15" Deep Pocket, Cooling &amp; Wrinkle-Free, Moisture-Wicking &amp; Breathable for Hair &amp; Skin (Lavender)</t>
        </is>
      </c>
      <c r="E35" s="39" t="inlineStr">
        <is>
          <t>Queen</t>
        </is>
      </c>
      <c r="F35" s="39" t="inlineStr">
        <is>
          <t>Lavender</t>
        </is>
      </c>
      <c r="G35" s="73" t="n">
        <v>33.95</v>
      </c>
      <c r="H35" s="39" t="inlineStr">
        <is>
          <t>catalog price, 2026-10-13</t>
        </is>
      </c>
      <c r="I35" s="74" t="n">
        <v>33.95</v>
      </c>
      <c r="J35" s="75" t="inlineStr">
        <is>
          <t>2026-03-30</t>
        </is>
      </c>
      <c r="K35" s="40" t="n">
        <v>11.92</v>
      </c>
      <c r="L35" s="76" t="n">
        <v>0.3511045655375553</v>
      </c>
      <c r="M35" s="77" t="n">
        <v>13</v>
      </c>
      <c r="N35" s="39" t="inlineStr">
        <is>
          <t>Active</t>
        </is>
      </c>
      <c r="O35" s="39" t="n"/>
      <c r="P35" s="78" t="n">
        <v>4.4</v>
      </c>
      <c r="Q35" s="77" t="n">
        <v>1080</v>
      </c>
      <c r="R35" s="77" t="n">
        <v>28101</v>
      </c>
      <c r="S35" s="77" t="n">
        <v>6</v>
      </c>
      <c r="T35" s="39" t="n"/>
    </row>
    <row r="36" ht="62" customHeight="1">
      <c r="A36" s="12">
        <f>_xlfn.IMAGE("https://m.media-amazon.com/images/I/81iohyoFldL.jpg")</f>
        <v/>
      </c>
      <c r="B36" s="39" t="inlineStr">
        <is>
          <t>B0DDR5K4KK</t>
        </is>
      </c>
      <c r="C36" s="39" t="inlineStr">
        <is>
          <t>SS-SATIN-SAGE-GREEN-QUEEN-4PCS</t>
        </is>
      </c>
      <c r="D36" s="39" t="inlineStr">
        <is>
          <t>SLEEP SANCTUARY Satin Sheets Queen Size – 4 Piece Luxury Silky Bed Set, Softer Than Silk, 15" Deep Pocket, Cooling &amp; Wrinkle-Free, Moisture-Wicking &amp; Breathable for Hair &amp; Skin (Sage Green)</t>
        </is>
      </c>
      <c r="E36" s="39" t="inlineStr">
        <is>
          <t>Queen</t>
        </is>
      </c>
      <c r="F36" s="39" t="inlineStr">
        <is>
          <t>Sage Green</t>
        </is>
      </c>
      <c r="G36" s="73" t="n">
        <v>31.95</v>
      </c>
      <c r="H36" s="39" t="inlineStr">
        <is>
          <t>catalog price, 2026-10-13</t>
        </is>
      </c>
      <c r="I36" s="74" t="n">
        <v>39.95</v>
      </c>
      <c r="J36" s="75" t="inlineStr">
        <is>
          <t>2026-03-30</t>
        </is>
      </c>
      <c r="K36" s="40" t="n">
        <v>16.76</v>
      </c>
      <c r="L36" s="76" t="n">
        <v>0.4195244055068836</v>
      </c>
      <c r="M36" s="77" t="n">
        <v>13</v>
      </c>
      <c r="N36" s="39" t="inlineStr">
        <is>
          <t>Active</t>
        </is>
      </c>
      <c r="O36" s="39" t="n"/>
      <c r="P36" s="78" t="n">
        <v>4.4</v>
      </c>
      <c r="Q36" s="77" t="n">
        <v>1080</v>
      </c>
      <c r="R36" s="77" t="n">
        <v>28101</v>
      </c>
      <c r="S36" s="77" t="n">
        <v>46</v>
      </c>
      <c r="T36" s="39" t="n"/>
    </row>
    <row r="37" ht="62" customHeight="1">
      <c r="A37" s="12">
        <f>_xlfn.IMAGE("https://m.media-amazon.com/images/I/81vHqIiWdYL.jpg")</f>
        <v/>
      </c>
      <c r="B37" s="39" t="inlineStr">
        <is>
          <t>B0DDR6TLDV</t>
        </is>
      </c>
      <c r="C37" s="39" t="inlineStr">
        <is>
          <t>SS-SATIN-ROSEWOOD-TWIN-3PCS</t>
        </is>
      </c>
      <c r="D37" s="39" t="inlineStr">
        <is>
          <t>SLEEP SANCTUARY Satin Sheets Twin Size – 3 Piece Luxury Silky Bed Set, Softer Than Silk, 15" Deep Pocket, Cooling &amp; Wrinkle-Free, Moisture-Wicking &amp; Breathable for Hair &amp; Skin (Rosewood)</t>
        </is>
      </c>
      <c r="E37" s="39" t="inlineStr">
        <is>
          <t>Twin</t>
        </is>
      </c>
      <c r="F37" s="39" t="inlineStr">
        <is>
          <t>Rosewood</t>
        </is>
      </c>
      <c r="G37" s="73" t="n">
        <v>29.95</v>
      </c>
      <c r="H37" s="39" t="inlineStr">
        <is>
          <t>catalog price, 2026-10-13</t>
        </is>
      </c>
      <c r="I37" s="74" t="n">
        <v>31.95</v>
      </c>
      <c r="J37" s="75" t="inlineStr">
        <is>
          <t>2026-03-30</t>
        </is>
      </c>
      <c r="K37" s="40" t="n">
        <v>12.98</v>
      </c>
      <c r="L37" s="76" t="n">
        <v>0.4062597809076681</v>
      </c>
      <c r="M37" s="77" t="n">
        <v>12</v>
      </c>
      <c r="N37" s="39" t="inlineStr">
        <is>
          <t>Active</t>
        </is>
      </c>
      <c r="O37" s="39" t="inlineStr">
        <is>
          <t>Yes (4%)</t>
        </is>
      </c>
      <c r="P37" s="78" t="n">
        <v>4.4</v>
      </c>
      <c r="Q37" s="77" t="n">
        <v>1080</v>
      </c>
      <c r="R37" s="77" t="n">
        <v>28101</v>
      </c>
      <c r="S37" s="77" t="n">
        <v>10</v>
      </c>
      <c r="T37" s="39" t="n"/>
    </row>
    <row r="38" ht="62" customHeight="1">
      <c r="A38" s="12">
        <f>_xlfn.IMAGE("https://m.media-amazon.com/images/I/81nw4rg0gcL.jpg")</f>
        <v/>
      </c>
      <c r="B38" s="39" t="inlineStr">
        <is>
          <t>B0DDRB21Z6</t>
        </is>
      </c>
      <c r="C38" s="39" t="inlineStr">
        <is>
          <t>SS-SATIN-PURPLE-FULL-4PCS</t>
        </is>
      </c>
      <c r="D38" s="39" t="inlineStr">
        <is>
          <t>SLEEP SANCTUARY Satin Sheets Full Size – 4 Piece Luxury Silky Bed Set, Softer Than Silk, 15" Deep Pocket, Cooling &amp; Wrinkle-Free, Moisture-Wicking &amp; Breathable for Hair &amp; Skin (Purple)</t>
        </is>
      </c>
      <c r="E38" s="39" t="inlineStr">
        <is>
          <t>Full</t>
        </is>
      </c>
      <c r="F38" s="39" t="inlineStr">
        <is>
          <t>Purple</t>
        </is>
      </c>
      <c r="G38" s="73" t="n">
        <v>29.95</v>
      </c>
      <c r="H38" s="39" t="inlineStr">
        <is>
          <t>catalog price, 2026-10-13</t>
        </is>
      </c>
      <c r="I38" s="74" t="n">
        <v>37.95</v>
      </c>
      <c r="J38" s="75" t="inlineStr">
        <is>
          <t>2026-03-30</t>
        </is>
      </c>
      <c r="K38" s="40" t="n">
        <v>15.37000000000001</v>
      </c>
      <c r="L38" s="76" t="n">
        <v>0.4050065876152834</v>
      </c>
      <c r="M38" s="77" t="n">
        <v>11</v>
      </c>
      <c r="N38" s="39" t="inlineStr">
        <is>
          <t>Active</t>
        </is>
      </c>
      <c r="O38" s="39" t="n"/>
      <c r="P38" s="78" t="n">
        <v>4.4</v>
      </c>
      <c r="Q38" s="77" t="n">
        <v>1080</v>
      </c>
      <c r="R38" s="77" t="n">
        <v>28101</v>
      </c>
      <c r="S38" s="77" t="n">
        <v>7</v>
      </c>
      <c r="T38" s="39" t="n"/>
    </row>
    <row r="39" ht="62" customHeight="1">
      <c r="A39" s="12">
        <f>_xlfn.IMAGE("https://m.media-amazon.com/images/I/81nw4rg0gcL.jpg")</f>
        <v/>
      </c>
      <c r="B39" s="39" t="inlineStr">
        <is>
          <t>B0DDRCQZ7G</t>
        </is>
      </c>
      <c r="C39" s="39" t="inlineStr">
        <is>
          <t>SS-SATIN-PURPLE-KING-4PCS</t>
        </is>
      </c>
      <c r="D39" s="39" t="inlineStr">
        <is>
          <t>SLEEP SANCTUARY Satin Sheets King Size – 4 Piece Luxury Silky Bed Set, Softer Than Silk, 15" Deep Pocket, Cooling &amp; Wrinkle-Free, Moisture-Wicking &amp; Breathable for Hair &amp; Skin (Purple)</t>
        </is>
      </c>
      <c r="E39" s="39" t="inlineStr">
        <is>
          <t>King</t>
        </is>
      </c>
      <c r="F39" s="39" t="inlineStr">
        <is>
          <t>Purple</t>
        </is>
      </c>
      <c r="G39" s="73" t="n">
        <v>39.95</v>
      </c>
      <c r="H39" s="39" t="inlineStr">
        <is>
          <t>catalog price, 2026-10-13</t>
        </is>
      </c>
      <c r="I39" s="74" t="n">
        <v>35.95</v>
      </c>
      <c r="J39" s="75" t="inlineStr">
        <is>
          <t>2026-03-30</t>
        </is>
      </c>
      <c r="K39" s="40" t="n">
        <v>11.96</v>
      </c>
      <c r="L39" s="76" t="n">
        <v>0.3326842837273992</v>
      </c>
      <c r="M39" s="77" t="n">
        <v>11</v>
      </c>
      <c r="N39" s="39" t="inlineStr">
        <is>
          <t>Active</t>
        </is>
      </c>
      <c r="O39" s="39" t="n"/>
      <c r="P39" s="78" t="n">
        <v>4.4</v>
      </c>
      <c r="Q39" s="77" t="n">
        <v>1080</v>
      </c>
      <c r="R39" s="77" t="n">
        <v>28101</v>
      </c>
      <c r="S39" s="77" t="n">
        <v>3</v>
      </c>
      <c r="T39" s="39" t="n"/>
    </row>
    <row r="40" ht="62" customHeight="1">
      <c r="A40" s="12">
        <f>_xlfn.IMAGE("https://m.media-amazon.com/images/I/81n6eJJsrGL.jpg")</f>
        <v/>
      </c>
      <c r="B40" s="39" t="inlineStr">
        <is>
          <t>B0DDRP3R3F</t>
        </is>
      </c>
      <c r="C40" s="39" t="inlineStr">
        <is>
          <t>SS-SATIN-RED-KING-4PCS</t>
        </is>
      </c>
      <c r="D40" s="39" t="inlineStr">
        <is>
          <t>SLEEP SANCTUARY Satin Sheets King Size – 4 Piece Luxury Silky Bed Set, Softer Than Silk, 15" Deep Pocket, Cooling &amp; Wrinkle-Free, Moisture-Wicking &amp; Breathable for Hair &amp; Skin (Red)</t>
        </is>
      </c>
      <c r="E40" s="39" t="inlineStr">
        <is>
          <t>King</t>
        </is>
      </c>
      <c r="F40" s="39" t="inlineStr">
        <is>
          <t>Red</t>
        </is>
      </c>
      <c r="G40" s="73" t="n">
        <v>35.95</v>
      </c>
      <c r="H40" s="39" t="inlineStr">
        <is>
          <t>catalog price, 2026-10-13</t>
        </is>
      </c>
      <c r="I40" s="74" t="n">
        <v>35.95</v>
      </c>
      <c r="J40" s="75" t="inlineStr">
        <is>
          <t>2026-03-30</t>
        </is>
      </c>
      <c r="K40" s="40" t="n">
        <v>12.68</v>
      </c>
      <c r="L40" s="76" t="n">
        <v>0.3527121001390821</v>
      </c>
      <c r="M40" s="77" t="n">
        <v>11</v>
      </c>
      <c r="N40" s="39" t="inlineStr">
        <is>
          <t>Active</t>
        </is>
      </c>
      <c r="O40" s="39" t="n"/>
      <c r="P40" s="78" t="n">
        <v>4.4</v>
      </c>
      <c r="Q40" s="77" t="n">
        <v>1080</v>
      </c>
      <c r="R40" s="77" t="n">
        <v>28101</v>
      </c>
      <c r="S40" s="77" t="n">
        <v>8</v>
      </c>
      <c r="T40" s="39" t="n"/>
    </row>
    <row r="41" ht="62" customHeight="1">
      <c r="A41" s="12">
        <f>_xlfn.IMAGE("https://m.media-amazon.com/images/I/81bZ3S4CehL.jpg")</f>
        <v/>
      </c>
      <c r="B41" s="39" t="inlineStr">
        <is>
          <t>B0DDRF1Z4N</t>
        </is>
      </c>
      <c r="C41" s="39" t="inlineStr">
        <is>
          <t>SS-SATIN-TAUPE-KING-4PCS</t>
        </is>
      </c>
      <c r="D41" s="39" t="inlineStr">
        <is>
          <t>SLEEP SANCTUARY Satin Sheets King Size – 4 Piece Luxury Silky Bed Set, Softer Than Silk, 15" Deep Pocket, Cooling &amp; Wrinkle-Free, Moisture-Wicking &amp; Breathable for Hair &amp; Skin (Taupe)</t>
        </is>
      </c>
      <c r="E41" s="39" t="inlineStr">
        <is>
          <t>King</t>
        </is>
      </c>
      <c r="F41" s="39" t="inlineStr">
        <is>
          <t>Taupe</t>
        </is>
      </c>
      <c r="G41" s="73" t="n">
        <v>35.95</v>
      </c>
      <c r="H41" s="39" t="inlineStr">
        <is>
          <t>catalog price, 2026-10-13</t>
        </is>
      </c>
      <c r="I41" s="74" t="n">
        <v>41.95</v>
      </c>
      <c r="J41" s="75" t="inlineStr">
        <is>
          <t>2026-03-30</t>
        </is>
      </c>
      <c r="K41" s="40" t="n">
        <v>16.23</v>
      </c>
      <c r="L41" s="76" t="n">
        <v>0.3868891537544697</v>
      </c>
      <c r="M41" s="77" t="n">
        <v>11</v>
      </c>
      <c r="N41" s="39" t="inlineStr">
        <is>
          <t>Active</t>
        </is>
      </c>
      <c r="O41" s="39" t="n"/>
      <c r="P41" s="78" t="n">
        <v>4.4</v>
      </c>
      <c r="Q41" s="77" t="n">
        <v>1080</v>
      </c>
      <c r="R41" s="77" t="n">
        <v>28101</v>
      </c>
      <c r="S41" s="77" t="n">
        <v>5</v>
      </c>
      <c r="T41" s="39" t="n"/>
    </row>
    <row r="42" ht="62" customHeight="1">
      <c r="A42" s="12">
        <f>_xlfn.IMAGE("https://m.media-amazon.com/images/I/81UIBGaUe6L.jpg")</f>
        <v/>
      </c>
      <c r="B42" s="39" t="inlineStr">
        <is>
          <t>B0DDRBX7CN</t>
        </is>
      </c>
      <c r="C42" s="39" t="inlineStr">
        <is>
          <t>SS-SATIN-BLUE-KING-4PCS</t>
        </is>
      </c>
      <c r="D42" s="39" t="inlineStr">
        <is>
          <t>SLEEP SANCTUARY Satin Sheets King Size – 4 Piece Luxury Silky Bed Set, Softer Than Silk, 15" Deep Pocket, Cooling &amp; Wrinkle-Free, Moisture-Wicking &amp; Breathable for Hair &amp; Skin (Blue)</t>
        </is>
      </c>
      <c r="E42" s="39" t="inlineStr">
        <is>
          <t>King</t>
        </is>
      </c>
      <c r="F42" s="39" t="inlineStr">
        <is>
          <t>Blue</t>
        </is>
      </c>
      <c r="G42" s="73" t="n">
        <v>35.95</v>
      </c>
      <c r="H42" s="39" t="inlineStr">
        <is>
          <t>catalog price, 2026-10-13</t>
        </is>
      </c>
      <c r="I42" s="74" t="n">
        <v>41.95</v>
      </c>
      <c r="J42" s="75" t="inlineStr">
        <is>
          <t>2026-03-30</t>
        </is>
      </c>
      <c r="K42" s="40" t="n">
        <v>16.57000000000001</v>
      </c>
      <c r="L42" s="76" t="n">
        <v>0.3949940405244339</v>
      </c>
      <c r="M42" s="77" t="n">
        <v>10</v>
      </c>
      <c r="N42" s="39" t="inlineStr">
        <is>
          <t>Active</t>
        </is>
      </c>
      <c r="O42" s="39" t="n"/>
      <c r="P42" s="78" t="n">
        <v>4.4</v>
      </c>
      <c r="Q42" s="77" t="n">
        <v>1080</v>
      </c>
      <c r="R42" s="77" t="n">
        <v>28101</v>
      </c>
      <c r="S42" s="77" t="n">
        <v>5</v>
      </c>
      <c r="T42" s="39" t="n"/>
    </row>
    <row r="43" ht="62" customHeight="1">
      <c r="A43" s="12">
        <f>_xlfn.IMAGE("https://m.media-amazon.com/images/I/81eHsiCwxyL.jpg")</f>
        <v/>
      </c>
      <c r="B43" s="39" t="inlineStr">
        <is>
          <t>B0DDRHN5JH</t>
        </is>
      </c>
      <c r="C43" s="39" t="inlineStr">
        <is>
          <t>SS-SATIN-IVORY-QUEEN-4PCS</t>
        </is>
      </c>
      <c r="D43" s="39" t="inlineStr">
        <is>
          <t>SLEEP SANCTUARY Satin Sheets Queen Size – 4 Piece Luxury Silky Bed Set, Softer Than Silk, 15" Deep Pocket, Cooling &amp; Wrinkle-Free, Moisture-Wicking &amp; Breathable for Hair &amp; Skin (Ivory)</t>
        </is>
      </c>
      <c r="E43" s="39" t="inlineStr">
        <is>
          <t>Queen</t>
        </is>
      </c>
      <c r="F43" s="39" t="inlineStr">
        <is>
          <t>Ivory</t>
        </is>
      </c>
      <c r="G43" s="73" t="n">
        <v>38.95</v>
      </c>
      <c r="H43" s="39" t="inlineStr">
        <is>
          <t>catalog price, 2026-10-13</t>
        </is>
      </c>
      <c r="I43" s="74" t="n">
        <v>33.95</v>
      </c>
      <c r="J43" s="75" t="inlineStr">
        <is>
          <t>2026-03-30</t>
        </is>
      </c>
      <c r="K43" s="40" t="n">
        <v>11.75</v>
      </c>
      <c r="L43" s="76" t="n">
        <v>0.3460972017673049</v>
      </c>
      <c r="M43" s="77" t="n">
        <v>10</v>
      </c>
      <c r="N43" s="39" t="inlineStr">
        <is>
          <t>Active</t>
        </is>
      </c>
      <c r="O43" s="39" t="n"/>
      <c r="P43" s="78" t="n">
        <v>4.4</v>
      </c>
      <c r="Q43" s="77" t="n">
        <v>1080</v>
      </c>
      <c r="R43" s="77" t="n">
        <v>28109</v>
      </c>
      <c r="S43" s="77" t="n">
        <v>5</v>
      </c>
      <c r="T43" s="39" t="n"/>
    </row>
    <row r="44" ht="62" customHeight="1">
      <c r="A44" s="12">
        <f>_xlfn.IMAGE("https://m.media-amazon.com/images/I/81P2Ae6R78L.jpg")</f>
        <v/>
      </c>
      <c r="B44" s="39" t="inlineStr">
        <is>
          <t>B0DDR852CS</t>
        </is>
      </c>
      <c r="C44" s="39" t="inlineStr">
        <is>
          <t>SS-SATIN-STRIPED-RED-QUEEN-4PCS</t>
        </is>
      </c>
      <c r="D44" s="39" t="inlineStr">
        <is>
          <t>SLEEP SANCTUARY Satin Sheets Queen Size – 4 Piece Luxury Silky Bed Set, Softer Than Silk, 15" Deep Pocket, Cooling &amp; Wrinkle-Free, Moisture-Wicking &amp; Breathable for Hair &amp; Skin (Striped Red)</t>
        </is>
      </c>
      <c r="E44" s="39" t="inlineStr">
        <is>
          <t>Queen</t>
        </is>
      </c>
      <c r="F44" s="39" t="inlineStr">
        <is>
          <t>Striped Red</t>
        </is>
      </c>
      <c r="G44" s="73" t="n">
        <v>36.95</v>
      </c>
      <c r="H44" s="39" t="inlineStr">
        <is>
          <t>catalog price, 2026-10-13</t>
        </is>
      </c>
      <c r="I44" s="74" t="n">
        <v>39.95</v>
      </c>
      <c r="J44" s="75" t="inlineStr">
        <is>
          <t>2026-03-30</t>
        </is>
      </c>
      <c r="K44" s="40" t="n">
        <v>15.17</v>
      </c>
      <c r="L44" s="76" t="n">
        <v>0.3797246558197747</v>
      </c>
      <c r="M44" s="77" t="n">
        <v>10</v>
      </c>
      <c r="N44" s="39" t="inlineStr">
        <is>
          <t>Active</t>
        </is>
      </c>
      <c r="O44" s="39" t="n"/>
      <c r="P44" s="78" t="n">
        <v>4.4</v>
      </c>
      <c r="Q44" s="77" t="n">
        <v>1080</v>
      </c>
      <c r="R44" s="77" t="n">
        <v>28109</v>
      </c>
      <c r="S44" s="77" t="n">
        <v>34</v>
      </c>
      <c r="T44" s="39" t="n"/>
    </row>
    <row r="45" ht="62" customHeight="1">
      <c r="A45" s="12">
        <f>_xlfn.IMAGE("https://m.media-amazon.com/images/I/81-8fCPCUcL.jpg")</f>
        <v/>
      </c>
      <c r="B45" s="39" t="inlineStr">
        <is>
          <t>B0DDR6TLF6</t>
        </is>
      </c>
      <c r="C45" s="39" t="inlineStr">
        <is>
          <t>SS-SATIN-BLUSH-PINK-FULL-4PCS</t>
        </is>
      </c>
      <c r="D45" s="39" t="inlineStr">
        <is>
          <t>SLEEP SANCTUARY Satin Sheets Full Size – 4 Piece Luxury Silky Bed Set, Softer Than Silk, 15" Deep Pocket, Cooling &amp; Wrinkle-Free, Moisture-Wicking &amp; Breathable for Hair &amp; Skin (Blush Pink)</t>
        </is>
      </c>
      <c r="E45" s="39" t="inlineStr">
        <is>
          <t>Full</t>
        </is>
      </c>
      <c r="F45" s="39" t="inlineStr">
        <is>
          <t>Blush Pink</t>
        </is>
      </c>
      <c r="G45" s="73" t="n">
        <v>31.95</v>
      </c>
      <c r="H45" s="39" t="inlineStr">
        <is>
          <t>catalog price, 2026-10-13</t>
        </is>
      </c>
      <c r="I45" s="74" t="n">
        <v>31.95</v>
      </c>
      <c r="J45" s="75" t="inlineStr">
        <is>
          <t>2026-03-30</t>
        </is>
      </c>
      <c r="K45" s="40" t="n">
        <v>11.57</v>
      </c>
      <c r="L45" s="76" t="n">
        <v>0.3621283255086072</v>
      </c>
      <c r="M45" s="77" t="n">
        <v>9</v>
      </c>
      <c r="N45" s="39" t="inlineStr">
        <is>
          <t>Active</t>
        </is>
      </c>
      <c r="O45" s="39" t="n"/>
      <c r="P45" s="78" t="n">
        <v>4.4</v>
      </c>
      <c r="Q45" s="77" t="n">
        <v>1080</v>
      </c>
      <c r="R45" s="77" t="n">
        <v>28101</v>
      </c>
      <c r="S45" s="77" t="n">
        <v>8</v>
      </c>
      <c r="T45" s="39" t="n"/>
    </row>
    <row r="46" ht="62" customHeight="1">
      <c r="A46" s="12">
        <f>_xlfn.IMAGE("https://m.media-amazon.com/images/I/81GoZ+gTjbL.jpg")</f>
        <v/>
      </c>
      <c r="B46" s="39" t="inlineStr">
        <is>
          <t>B0DDRF88H4</t>
        </is>
      </c>
      <c r="C46" s="39" t="inlineStr">
        <is>
          <t>SS-SATIN-NAVY-BLUE-FULL-4PCS</t>
        </is>
      </c>
      <c r="D46" s="39" t="inlineStr">
        <is>
          <t>SLEEP SANCTUARY Satin Sheets Full Size – 4 Piece Luxury Silky Bed Set, Softer Than Silk, 15" Deep Pocket, Cooling &amp; Wrinkle-Free, Moisture-Wicking &amp; Breathable for Hair &amp; Skin (Navy Blue)</t>
        </is>
      </c>
      <c r="E46" s="39" t="inlineStr">
        <is>
          <t>Full</t>
        </is>
      </c>
      <c r="F46" s="39" t="inlineStr">
        <is>
          <t>Navy Blue</t>
        </is>
      </c>
      <c r="G46" s="73" t="n">
        <v>32.95</v>
      </c>
      <c r="H46" s="39" t="inlineStr">
        <is>
          <t>catalog price, 2026-10-13</t>
        </is>
      </c>
      <c r="I46" s="74" t="n">
        <v>40.95</v>
      </c>
      <c r="J46" s="75" t="inlineStr">
        <is>
          <t>2026-03-30</t>
        </is>
      </c>
      <c r="K46" s="40" t="n">
        <v>18.35</v>
      </c>
      <c r="L46" s="76" t="n">
        <v>0.4481074481074481</v>
      </c>
      <c r="M46" s="77" t="n">
        <v>9</v>
      </c>
      <c r="N46" s="39" t="inlineStr">
        <is>
          <t>Active</t>
        </is>
      </c>
      <c r="O46" s="39" t="n"/>
      <c r="P46" s="78" t="n">
        <v>4.4</v>
      </c>
      <c r="Q46" s="77" t="n">
        <v>1080</v>
      </c>
      <c r="R46" s="77" t="n">
        <v>28101</v>
      </c>
      <c r="S46" s="77" t="n">
        <v>6</v>
      </c>
      <c r="T46" s="39" t="n"/>
    </row>
    <row r="47" ht="62" customHeight="1">
      <c r="A47" s="12">
        <f>_xlfn.IMAGE("https://m.media-amazon.com/images/I/81ttAeO-RjL.jpg")</f>
        <v/>
      </c>
      <c r="B47" s="39" t="inlineStr">
        <is>
          <t>B0DDRFLD2F</t>
        </is>
      </c>
      <c r="C47" s="39" t="inlineStr">
        <is>
          <t>SS-SATIN-LAVENDER-KING-4PCS</t>
        </is>
      </c>
      <c r="D47" s="39" t="inlineStr">
        <is>
          <t>SLEEP SANCTUARY Satin Sheets King Size – 4 Piece Luxury Silky Bed Set, Softer Than Silk, 15" Deep Pocket, Cooling &amp; Wrinkle-Free, Moisture-Wicking &amp; Breathable for Hair &amp; Skin (Lavender)</t>
        </is>
      </c>
      <c r="E47" s="39" t="inlineStr">
        <is>
          <t>King</t>
        </is>
      </c>
      <c r="F47" s="39" t="inlineStr">
        <is>
          <t>Lavender</t>
        </is>
      </c>
      <c r="G47" s="73" t="n">
        <v>35.95</v>
      </c>
      <c r="H47" s="39" t="inlineStr">
        <is>
          <t>catalog price, 2026-10-13</t>
        </is>
      </c>
      <c r="I47" s="74" t="n">
        <v>41.95</v>
      </c>
      <c r="J47" s="75" t="inlineStr">
        <is>
          <t>2026-03-30</t>
        </is>
      </c>
      <c r="K47" s="40" t="n">
        <v>16.74000000000001</v>
      </c>
      <c r="L47" s="76" t="n">
        <v>0.399046483909416</v>
      </c>
      <c r="M47" s="77" t="n">
        <v>9</v>
      </c>
      <c r="N47" s="39" t="inlineStr">
        <is>
          <t>Active</t>
        </is>
      </c>
      <c r="O47" s="39" t="n"/>
      <c r="P47" s="78" t="n">
        <v>4.4</v>
      </c>
      <c r="Q47" s="77" t="n">
        <v>1080</v>
      </c>
      <c r="R47" s="77" t="n">
        <v>28101</v>
      </c>
      <c r="S47" s="77" t="n">
        <v>4</v>
      </c>
      <c r="T47" s="39" t="n"/>
    </row>
    <row r="48" ht="62" customHeight="1">
      <c r="A48" s="12">
        <f>_xlfn.IMAGE("https://m.media-amazon.com/images/I/811f9U2X++L.jpg")</f>
        <v/>
      </c>
      <c r="B48" s="39" t="inlineStr">
        <is>
          <t>B0DDQQB8VY</t>
        </is>
      </c>
      <c r="C48" s="39" t="inlineStr">
        <is>
          <t>SS-SATIN-PINK-KING-4PCS</t>
        </is>
      </c>
      <c r="D48" s="39" t="inlineStr">
        <is>
          <t>SLEEP SANCTUARY Satin Sheets King Size – 4 Piece Luxury Silky Bed Set, Softer Than Silk, 15" Deep Pocket, Cooling &amp; Wrinkle-Free, Moisture-Wicking &amp; Breathable for Hair &amp; Skin (Pink)</t>
        </is>
      </c>
      <c r="E48" s="39" t="inlineStr">
        <is>
          <t>King</t>
        </is>
      </c>
      <c r="F48" s="39" t="inlineStr">
        <is>
          <t>Pink</t>
        </is>
      </c>
      <c r="G48" s="73" t="n">
        <v>35.95</v>
      </c>
      <c r="H48" s="39" t="inlineStr">
        <is>
          <t>catalog price, 2026-10-13</t>
        </is>
      </c>
      <c r="I48" s="74" t="n">
        <v>41.95</v>
      </c>
      <c r="J48" s="75" t="inlineStr">
        <is>
          <t>2026-03-30</t>
        </is>
      </c>
      <c r="K48" s="40" t="n">
        <v>15.74000000000001</v>
      </c>
      <c r="L48" s="76" t="n">
        <v>0.3752085816448154</v>
      </c>
      <c r="M48" s="77" t="n">
        <v>9</v>
      </c>
      <c r="N48" s="39" t="inlineStr">
        <is>
          <t>Active</t>
        </is>
      </c>
      <c r="O48" s="39" t="n"/>
      <c r="P48" s="78" t="n">
        <v>4.4</v>
      </c>
      <c r="Q48" s="77" t="n">
        <v>1080</v>
      </c>
      <c r="R48" s="77" t="n">
        <v>28101</v>
      </c>
      <c r="S48" s="77" t="n">
        <v>5</v>
      </c>
      <c r="T48" s="39" t="n"/>
    </row>
    <row r="49" ht="62" customHeight="1">
      <c r="A49" s="12">
        <f>_xlfn.IMAGE("https://m.media-amazon.com/images/I/811f9U2X++L.jpg")</f>
        <v/>
      </c>
      <c r="B49" s="39" t="inlineStr">
        <is>
          <t>B0DDQZG4MQ</t>
        </is>
      </c>
      <c r="C49" s="39" t="inlineStr">
        <is>
          <t>SS-SATIN-PINK-FULL-4PCS</t>
        </is>
      </c>
      <c r="D49" s="39" t="inlineStr">
        <is>
          <t>SLEEP SANCTUARY Satin Sheets Full Size – 4 Piece Luxury Silky Bed Set, Softer Than Silk, 15" Deep Pocket, Cooling &amp; Wrinkle-Free, Moisture-Wicking &amp; Breathable for Hair &amp; Skin (Pink)</t>
        </is>
      </c>
      <c r="E49" s="39" t="inlineStr">
        <is>
          <t>Full</t>
        </is>
      </c>
      <c r="F49" s="39" t="inlineStr">
        <is>
          <t>Pink</t>
        </is>
      </c>
      <c r="G49" s="73" t="n">
        <v>31.95</v>
      </c>
      <c r="H49" s="39" t="inlineStr">
        <is>
          <t>catalog price, 2026-10-13</t>
        </is>
      </c>
      <c r="I49" s="74" t="n">
        <v>37.95</v>
      </c>
      <c r="J49" s="75" t="inlineStr">
        <is>
          <t>2026-03-30</t>
        </is>
      </c>
      <c r="K49" s="40" t="n">
        <v>16.77000000000001</v>
      </c>
      <c r="L49" s="76" t="n">
        <v>0.4418972332015813</v>
      </c>
      <c r="M49" s="77" t="n">
        <v>8</v>
      </c>
      <c r="N49" s="39" t="inlineStr">
        <is>
          <t>Active</t>
        </is>
      </c>
      <c r="O49" s="39" t="inlineStr">
        <is>
          <t>Yes (10%)</t>
        </is>
      </c>
      <c r="P49" s="78" t="n">
        <v>4.4</v>
      </c>
      <c r="Q49" s="77" t="n">
        <v>1080</v>
      </c>
      <c r="R49" s="77" t="n">
        <v>28101</v>
      </c>
      <c r="S49" s="77" t="n">
        <v>6</v>
      </c>
      <c r="T49" s="39" t="n"/>
    </row>
    <row r="50" ht="62" customHeight="1">
      <c r="A50" s="12">
        <f>_xlfn.IMAGE("https://m.media-amazon.com/images/I/81cPOSHJh1L.jpg")</f>
        <v/>
      </c>
      <c r="B50" s="39" t="inlineStr">
        <is>
          <t>B0DDRL4WTJ</t>
        </is>
      </c>
      <c r="C50" s="39" t="inlineStr">
        <is>
          <t>SS-SATIN-BURNT-ORANGE-KING-4PCS</t>
        </is>
      </c>
      <c r="D50" s="39" t="inlineStr">
        <is>
          <t>SLEEP SANCTUARY Satin Sheets King Size – 4 Piece Luxury Silky Bed Set, Softer Than Silk, 15" Deep Pocket, Cooling &amp; Wrinkle-Free, Moisture-Wicking &amp; Breathable for Hair &amp; Skin (Burnt Orange)</t>
        </is>
      </c>
      <c r="E50" s="39" t="inlineStr">
        <is>
          <t>King</t>
        </is>
      </c>
      <c r="F50" s="39" t="inlineStr">
        <is>
          <t>Burnt Orange</t>
        </is>
      </c>
      <c r="G50" s="73" t="n">
        <v>35.95</v>
      </c>
      <c r="H50" s="39" t="inlineStr">
        <is>
          <t>catalog price, 2026-10-13</t>
        </is>
      </c>
      <c r="I50" s="74" t="n">
        <v>41.95</v>
      </c>
      <c r="J50" s="75" t="inlineStr">
        <is>
          <t>2026-03-30</t>
        </is>
      </c>
      <c r="K50" s="40" t="n">
        <v>16.67</v>
      </c>
      <c r="L50" s="76" t="n">
        <v>0.3973778307508939</v>
      </c>
      <c r="M50" s="77" t="n">
        <v>8</v>
      </c>
      <c r="N50" s="39" t="inlineStr">
        <is>
          <t>Active</t>
        </is>
      </c>
      <c r="O50" s="39" t="n"/>
      <c r="P50" s="78" t="n">
        <v>4.4</v>
      </c>
      <c r="Q50" s="77" t="n">
        <v>1080</v>
      </c>
      <c r="R50" s="77" t="n">
        <v>28101</v>
      </c>
      <c r="S50" s="77" t="n">
        <v>5</v>
      </c>
      <c r="T50" s="39" t="n"/>
    </row>
    <row r="51" ht="62" customHeight="1">
      <c r="A51" s="12">
        <f>_xlfn.IMAGE("https://m.media-amazon.com/images/I/81oQ5+OPoZL.jpg")</f>
        <v/>
      </c>
      <c r="B51" s="39" t="inlineStr">
        <is>
          <t>B0DDR3WWT1</t>
        </is>
      </c>
      <c r="C51" s="39" t="inlineStr">
        <is>
          <t>SS-SATIN-STRIPED-PINK-QUEEN-4PCS</t>
        </is>
      </c>
      <c r="D51" s="39" t="inlineStr">
        <is>
          <t>SLEEP SANCTUARY Satin Sheets Queen Size – 4 Piece Luxury Silky Bed Set, Softer Than Silk, 15" Deep Pocket, Cooling &amp; Wrinkle-Free, Moisture-Wicking &amp; Breathable for Hair &amp; Skin (Striped Pink)</t>
        </is>
      </c>
      <c r="E51" s="39" t="inlineStr">
        <is>
          <t>Queen</t>
        </is>
      </c>
      <c r="F51" s="39" t="inlineStr">
        <is>
          <t>Striped Pink</t>
        </is>
      </c>
      <c r="G51" s="40" t="n"/>
      <c r="H51" s="39" t="n"/>
      <c r="I51" s="74" t="n">
        <v>39.95</v>
      </c>
      <c r="J51" s="75" t="inlineStr">
        <is>
          <t>2026-03-30</t>
        </is>
      </c>
      <c r="K51" s="40" t="n">
        <v>14.54</v>
      </c>
      <c r="L51" s="76" t="n">
        <v>0.3639549436795995</v>
      </c>
      <c r="M51" s="77" t="n">
        <v>8</v>
      </c>
      <c r="N51" s="39" t="inlineStr">
        <is>
          <t>Active</t>
        </is>
      </c>
      <c r="O51" s="39" t="n"/>
      <c r="P51" s="78" t="n"/>
      <c r="Q51" s="77" t="n"/>
      <c r="R51" s="77" t="n"/>
      <c r="S51" s="77" t="n"/>
      <c r="T51" s="39" t="n"/>
    </row>
    <row r="52" ht="62" customHeight="1">
      <c r="A52" s="12">
        <f>_xlfn.IMAGE("https://m.media-amazon.com/images/I/81aclCTpoYL.jpg")</f>
        <v/>
      </c>
      <c r="B52" s="39" t="inlineStr">
        <is>
          <t>B0DDRD3S48</t>
        </is>
      </c>
      <c r="C52" s="39" t="inlineStr">
        <is>
          <t>SS-SATIN-DARK-GREEN-FULL-4PCS</t>
        </is>
      </c>
      <c r="D52" s="39" t="inlineStr">
        <is>
          <t>SLEEP SANCTUARY Satin Sheets Full Size – 4 Piece Luxury Silky Bed Set, Softer Than Silk, 15" Deep Pocket, Cooling &amp; Wrinkle-Free, Moisture-Wicking &amp; Breathable for Hair &amp; Skin (Dark Green)</t>
        </is>
      </c>
      <c r="E52" s="39" t="inlineStr">
        <is>
          <t>Full</t>
        </is>
      </c>
      <c r="F52" s="39" t="inlineStr">
        <is>
          <t>Dark Green</t>
        </is>
      </c>
      <c r="G52" s="73" t="n">
        <v>31.95</v>
      </c>
      <c r="H52" s="39" t="inlineStr">
        <is>
          <t>catalog price, 2026-10-13</t>
        </is>
      </c>
      <c r="I52" s="74" t="n">
        <v>37.95</v>
      </c>
      <c r="J52" s="75" t="inlineStr">
        <is>
          <t>2026-03-30</t>
        </is>
      </c>
      <c r="K52" s="40" t="n">
        <v>15.37000000000001</v>
      </c>
      <c r="L52" s="76" t="n">
        <v>0.4050065876152834</v>
      </c>
      <c r="M52" s="77" t="n">
        <v>7</v>
      </c>
      <c r="N52" s="39" t="inlineStr">
        <is>
          <t>Active</t>
        </is>
      </c>
      <c r="O52" s="39" t="n"/>
      <c r="P52" s="78" t="n">
        <v>4.4</v>
      </c>
      <c r="Q52" s="77" t="n">
        <v>1080</v>
      </c>
      <c r="R52" s="77" t="n">
        <v>28101</v>
      </c>
      <c r="S52" s="77" t="n">
        <v>6</v>
      </c>
      <c r="T52" s="39" t="n"/>
    </row>
    <row r="53" ht="62" customHeight="1">
      <c r="A53" s="12">
        <f>_xlfn.IMAGE("https://m.media-amazon.com/images/I/81ttAeO-RjL.jpg")</f>
        <v/>
      </c>
      <c r="B53" s="39" t="inlineStr">
        <is>
          <t>B0DDRFR2FS</t>
        </is>
      </c>
      <c r="C53" s="39" t="inlineStr">
        <is>
          <t>SS-SATIN-LAVENDER-FULL-4PCS</t>
        </is>
      </c>
      <c r="D53" s="39" t="inlineStr">
        <is>
          <t>SLEEP SANCTUARY Satin Sheets Full Size – 4 Piece Luxury Silky Bed Set, Softer Than Silk, 15" Deep Pocket, Cooling &amp; Wrinkle-Free, Moisture-Wicking &amp; Breathable for Hair &amp; Skin (Lavender)</t>
        </is>
      </c>
      <c r="E53" s="39" t="inlineStr">
        <is>
          <t>Full</t>
        </is>
      </c>
      <c r="F53" s="39" t="inlineStr">
        <is>
          <t>Lavender</t>
        </is>
      </c>
      <c r="G53" s="73" t="n">
        <v>31.95</v>
      </c>
      <c r="H53" s="39" t="inlineStr">
        <is>
          <t>catalog price, 2026-10-13</t>
        </is>
      </c>
      <c r="I53" s="74" t="n">
        <v>31.95</v>
      </c>
      <c r="J53" s="75" t="inlineStr">
        <is>
          <t>2026-03-30</t>
        </is>
      </c>
      <c r="K53" s="40" t="n">
        <v>10.68</v>
      </c>
      <c r="L53" s="76" t="n">
        <v>0.3342723004694835</v>
      </c>
      <c r="M53" s="77" t="n">
        <v>7</v>
      </c>
      <c r="N53" s="39" t="inlineStr">
        <is>
          <t>Active</t>
        </is>
      </c>
      <c r="O53" s="39" t="n"/>
      <c r="P53" s="78" t="n">
        <v>4.4</v>
      </c>
      <c r="Q53" s="77" t="n">
        <v>1080</v>
      </c>
      <c r="R53" s="77" t="n">
        <v>28101</v>
      </c>
      <c r="S53" s="77" t="n">
        <v>5</v>
      </c>
      <c r="T53" s="39" t="n"/>
    </row>
    <row r="54" ht="62" customHeight="1">
      <c r="A54" s="12">
        <f>_xlfn.IMAGE("https://m.media-amazon.com/images/I/817pb6oL4YL.jpg")</f>
        <v/>
      </c>
      <c r="B54" s="39" t="inlineStr">
        <is>
          <t>B0DDRB7NTZ</t>
        </is>
      </c>
      <c r="C54" s="39" t="inlineStr">
        <is>
          <t>SS-SATIN-CHAMPAGNE-KING-4PCS</t>
        </is>
      </c>
      <c r="D54" s="39" t="inlineStr">
        <is>
          <t>SLEEP SANCTUARY Satin Sheets King Size – 4 Piece Luxury Silky Bed Set, Softer Than Silk, 15" Deep Pocket, Cooling &amp; Wrinkle-Free, Moisture-Wicking &amp; Breathable for Hair &amp; Skin (Champagne)</t>
        </is>
      </c>
      <c r="E54" s="39" t="inlineStr">
        <is>
          <t>King</t>
        </is>
      </c>
      <c r="F54" s="39" t="inlineStr">
        <is>
          <t>Champagne</t>
        </is>
      </c>
      <c r="G54" s="73" t="n">
        <v>35.95</v>
      </c>
      <c r="H54" s="39" t="inlineStr">
        <is>
          <t>catalog price, 2026-10-13</t>
        </is>
      </c>
      <c r="I54" s="74" t="n">
        <v>41.95</v>
      </c>
      <c r="J54" s="75" t="inlineStr">
        <is>
          <t>2026-03-30</t>
        </is>
      </c>
      <c r="K54" s="40" t="n">
        <v>16.40000000000001</v>
      </c>
      <c r="L54" s="76" t="n">
        <v>0.3909415971394518</v>
      </c>
      <c r="M54" s="77" t="n">
        <v>7</v>
      </c>
      <c r="N54" s="39" t="inlineStr">
        <is>
          <t>Active</t>
        </is>
      </c>
      <c r="O54" s="39" t="n"/>
      <c r="P54" s="78" t="n">
        <v>4.4</v>
      </c>
      <c r="Q54" s="77" t="n">
        <v>1080</v>
      </c>
      <c r="R54" s="77" t="n">
        <v>28101</v>
      </c>
      <c r="S54" s="77" t="n">
        <v>5</v>
      </c>
      <c r="T54" s="39" t="n"/>
    </row>
    <row r="55" ht="62" customHeight="1">
      <c r="A55" s="12">
        <f>_xlfn.IMAGE("https://m.media-amazon.com/images/I/81zlU-hzNOL.jpg")</f>
        <v/>
      </c>
      <c r="B55" s="39" t="inlineStr">
        <is>
          <t>B0DDRHYXFM</t>
        </is>
      </c>
      <c r="C55" s="39" t="inlineStr">
        <is>
          <t>SS-SATIN-STRIPED-GREY-KING-4PCS</t>
        </is>
      </c>
      <c r="D55" s="39" t="inlineStr">
        <is>
          <t>SLEEP SANCTUARY Satin Sheets King Size – 4 Piece Luxury Silky Bed Set, Softer Than Silk, 15" Deep Pocket, Cooling &amp; Wrinkle-Free, Moisture-Wicking &amp; Breathable for Hair &amp; Skin (Striped Grey)</t>
        </is>
      </c>
      <c r="E55" s="39" t="inlineStr">
        <is>
          <t>King</t>
        </is>
      </c>
      <c r="F55" s="39" t="inlineStr">
        <is>
          <t>Striped Grey</t>
        </is>
      </c>
      <c r="G55" s="73" t="n">
        <v>35.95</v>
      </c>
      <c r="H55" s="39" t="inlineStr">
        <is>
          <t>catalog price, 2026-10-13</t>
        </is>
      </c>
      <c r="I55" s="74" t="n">
        <v>35.95</v>
      </c>
      <c r="J55" s="75" t="inlineStr">
        <is>
          <t>2026-03-30</t>
        </is>
      </c>
      <c r="K55" s="40" t="n">
        <v>10.47</v>
      </c>
      <c r="L55" s="76" t="n">
        <v>0.2912378303198888</v>
      </c>
      <c r="M55" s="77" t="n">
        <v>7</v>
      </c>
      <c r="N55" s="39" t="inlineStr">
        <is>
          <t>Active</t>
        </is>
      </c>
      <c r="O55" s="39" t="n"/>
      <c r="P55" s="78" t="n">
        <v>4.4</v>
      </c>
      <c r="Q55" s="77" t="n">
        <v>1080</v>
      </c>
      <c r="R55" s="77" t="n">
        <v>28101</v>
      </c>
      <c r="S55" s="77" t="n">
        <v>2</v>
      </c>
      <c r="T55" s="39" t="n"/>
    </row>
    <row r="56" ht="62" customHeight="1">
      <c r="A56" s="12">
        <f>_xlfn.IMAGE("https://m.media-amazon.com/images/I/81bZ3S4CehL.jpg")</f>
        <v/>
      </c>
      <c r="B56" s="39" t="inlineStr">
        <is>
          <t>B0DDR4V4XB</t>
        </is>
      </c>
      <c r="C56" s="39" t="inlineStr">
        <is>
          <t>SS-SATIN-TAUPE-QUEEN-4PCS</t>
        </is>
      </c>
      <c r="D56" s="39" t="inlineStr">
        <is>
          <t>SLEEP SANCTUARY Satin Sheets Queen Size – 4 Piece Luxury Silky Bed Set, Softer Than Silk, 15" Deep Pocket, Cooling &amp; Wrinkle-Free, Moisture-Wicking &amp; Breathable for Hair &amp; Skin (Taupe)</t>
        </is>
      </c>
      <c r="E56" s="39" t="inlineStr">
        <is>
          <t>Queen</t>
        </is>
      </c>
      <c r="F56" s="39" t="inlineStr">
        <is>
          <t>Taupe</t>
        </is>
      </c>
      <c r="G56" s="73" t="n">
        <v>36.95</v>
      </c>
      <c r="H56" s="39" t="inlineStr">
        <is>
          <t>catalog price, 2026-10-13</t>
        </is>
      </c>
      <c r="I56" s="74" t="n">
        <v>39.95</v>
      </c>
      <c r="J56" s="75" t="inlineStr">
        <is>
          <t>2026-03-30</t>
        </is>
      </c>
      <c r="K56" s="40" t="n">
        <v>16.97</v>
      </c>
      <c r="L56" s="76" t="n">
        <v>0.4247809762202754</v>
      </c>
      <c r="M56" s="77" t="n">
        <v>7</v>
      </c>
      <c r="N56" s="39" t="inlineStr">
        <is>
          <t>Active</t>
        </is>
      </c>
      <c r="O56" s="39" t="n"/>
      <c r="P56" s="78" t="n">
        <v>4.4</v>
      </c>
      <c r="Q56" s="77" t="n">
        <v>1080</v>
      </c>
      <c r="R56" s="77" t="n">
        <v>28101</v>
      </c>
      <c r="S56" s="77" t="n">
        <v>7</v>
      </c>
      <c r="T56" s="39" t="n"/>
    </row>
    <row r="57" ht="62" customHeight="1">
      <c r="A57" s="12">
        <f>_xlfn.IMAGE("https://m.media-amazon.com/images/I/81qEq06R1GL.jpg")</f>
        <v/>
      </c>
      <c r="B57" s="39" t="inlineStr">
        <is>
          <t>B0DDR4HJCS</t>
        </is>
      </c>
      <c r="C57" s="39" t="inlineStr">
        <is>
          <t>SS-SATIN-BABY-BLUE-FULL-4PCS</t>
        </is>
      </c>
      <c r="D57" s="39" t="inlineStr">
        <is>
          <t>SLEEP SANCTUARY Satin Sheets Full Size – 4 Piece Luxury Silky Bed Set, Softer Than Silk, 15" Deep Pocket, Cooling &amp; Wrinkle-Free, Moisture-Wicking &amp; Breathable for Hair &amp; Skin (Baby Blue)</t>
        </is>
      </c>
      <c r="E57" s="39" t="inlineStr">
        <is>
          <t>Full</t>
        </is>
      </c>
      <c r="F57" s="39" t="inlineStr">
        <is>
          <t>Baby Blue</t>
        </is>
      </c>
      <c r="G57" s="73" t="n">
        <v>31.95</v>
      </c>
      <c r="H57" s="39" t="inlineStr">
        <is>
          <t>catalog price, 2026-10-13</t>
        </is>
      </c>
      <c r="I57" s="74" t="n">
        <v>31.95</v>
      </c>
      <c r="J57" s="75" t="inlineStr">
        <is>
          <t>2026-03-30</t>
        </is>
      </c>
      <c r="K57" s="40" t="n">
        <v>10.71</v>
      </c>
      <c r="L57" s="76" t="n">
        <v>0.3352112676056337</v>
      </c>
      <c r="M57" s="77" t="n">
        <v>6</v>
      </c>
      <c r="N57" s="39" t="inlineStr">
        <is>
          <t>Active</t>
        </is>
      </c>
      <c r="O57" s="39" t="n"/>
      <c r="P57" s="78" t="n">
        <v>4.4</v>
      </c>
      <c r="Q57" s="77" t="n">
        <v>1080</v>
      </c>
      <c r="R57" s="77" t="n">
        <v>28101</v>
      </c>
      <c r="S57" s="77" t="n">
        <v>8</v>
      </c>
      <c r="T57" s="39" t="n"/>
    </row>
    <row r="58" ht="62" customHeight="1">
      <c r="A58" s="12">
        <f>_xlfn.IMAGE("https://m.media-amazon.com/images/I/81AE8h7l4-L.jpg")</f>
        <v/>
      </c>
      <c r="B58" s="39" t="inlineStr">
        <is>
          <t>B0DDR6LYLX</t>
        </is>
      </c>
      <c r="C58" s="39" t="inlineStr">
        <is>
          <t>SS-SATIN-GOLD-FULL-4PCS</t>
        </is>
      </c>
      <c r="D58" s="39" t="inlineStr">
        <is>
          <t>SLEEP SANCTUARY Satin Sheets Full Size – 4 Piece Luxury Silky Bed Set, Softer Than Silk, 15" Deep Pocket, Cooling &amp; Wrinkle-Free, Moisture-Wicking &amp; Breathable for Hair &amp; Skin (Gold)</t>
        </is>
      </c>
      <c r="E58" s="39" t="inlineStr">
        <is>
          <t>Full</t>
        </is>
      </c>
      <c r="F58" s="39" t="inlineStr">
        <is>
          <t>Gold</t>
        </is>
      </c>
      <c r="G58" s="73" t="n">
        <v>29.95</v>
      </c>
      <c r="H58" s="39" t="inlineStr">
        <is>
          <t>catalog price, 2026-10-13</t>
        </is>
      </c>
      <c r="I58" s="74" t="n">
        <v>31.95</v>
      </c>
      <c r="J58" s="75" t="inlineStr">
        <is>
          <t>2026-03-30</t>
        </is>
      </c>
      <c r="K58" s="40" t="n">
        <v>9.469999999999999</v>
      </c>
      <c r="L58" s="76" t="n">
        <v>0.2964006259780907</v>
      </c>
      <c r="M58" s="77" t="n">
        <v>6</v>
      </c>
      <c r="N58" s="39" t="inlineStr">
        <is>
          <t>Active</t>
        </is>
      </c>
      <c r="O58" s="39" t="n"/>
      <c r="P58" s="78" t="n">
        <v>4.4</v>
      </c>
      <c r="Q58" s="77" t="n">
        <v>1080</v>
      </c>
      <c r="R58" s="77" t="n">
        <v>28101</v>
      </c>
      <c r="S58" s="77" t="n">
        <v>7</v>
      </c>
      <c r="T58" s="39" t="n"/>
    </row>
    <row r="59" ht="62" customHeight="1">
      <c r="A59" s="12">
        <f>_xlfn.IMAGE("https://m.media-amazon.com/images/I/81eHsiCwxyL.jpg")</f>
        <v/>
      </c>
      <c r="B59" s="39" t="inlineStr">
        <is>
          <t>B0DDRNZ8YM</t>
        </is>
      </c>
      <c r="C59" s="39" t="inlineStr">
        <is>
          <t>SS-SATIN-IVORY-FULL-4PCS</t>
        </is>
      </c>
      <c r="D59" s="39" t="inlineStr">
        <is>
          <t>SLEEP SANCTUARY Satin Sheets Full Size – 4 Piece Luxury Silky Bed Set, Softer Than Silk, 15" Deep Pocket, Cooling &amp; Wrinkle-Free, Moisture-Wicking &amp; Breathable for Hair &amp; Skin (Ivory)</t>
        </is>
      </c>
      <c r="E59" s="39" t="inlineStr">
        <is>
          <t>Full</t>
        </is>
      </c>
      <c r="F59" s="39" t="inlineStr">
        <is>
          <t>Ivory</t>
        </is>
      </c>
      <c r="G59" s="73" t="n">
        <v>31.95</v>
      </c>
      <c r="H59" s="39" t="inlineStr">
        <is>
          <t>catalog price, 2026-10-13</t>
        </is>
      </c>
      <c r="I59" s="74" t="n">
        <v>31.95</v>
      </c>
      <c r="J59" s="75" t="inlineStr">
        <is>
          <t>2026-03-30</t>
        </is>
      </c>
      <c r="K59" s="40" t="n">
        <v>10.99</v>
      </c>
      <c r="L59" s="76" t="n">
        <v>0.3439749608763694</v>
      </c>
      <c r="M59" s="77" t="n">
        <v>6</v>
      </c>
      <c r="N59" s="39" t="inlineStr">
        <is>
          <t>Active</t>
        </is>
      </c>
      <c r="O59" s="39" t="n"/>
      <c r="P59" s="78" t="n">
        <v>4.4</v>
      </c>
      <c r="Q59" s="77" t="n">
        <v>1080</v>
      </c>
      <c r="R59" s="77" t="n">
        <v>28101</v>
      </c>
      <c r="S59" s="77" t="n">
        <v>5</v>
      </c>
      <c r="T59" s="39" t="n"/>
    </row>
    <row r="60" ht="62" customHeight="1">
      <c r="A60" s="12">
        <f>_xlfn.IMAGE("https://m.media-amazon.com/images/I/81c0TeFW0bL.jpg")</f>
        <v/>
      </c>
      <c r="B60" s="39" t="inlineStr">
        <is>
          <t>B0DDQXKZK7</t>
        </is>
      </c>
      <c r="C60" s="39" t="inlineStr">
        <is>
          <t>SS-SATIN-STRIPED-GOLD-KING-4PCS</t>
        </is>
      </c>
      <c r="D60" s="39" t="inlineStr">
        <is>
          <t>SLEEP SANCTUARY Satin Sheets King Size – 4 Piece Luxury Silky Bed Set, Softer Than Silk, 15" Deep Pocket, Cooling &amp; Wrinkle-Free, Moisture-Wicking &amp; Breathable for Hair &amp; Skin (Striped Gold)</t>
        </is>
      </c>
      <c r="E60" s="39" t="inlineStr">
        <is>
          <t>King</t>
        </is>
      </c>
      <c r="F60" s="39" t="inlineStr">
        <is>
          <t>Striped Gold</t>
        </is>
      </c>
      <c r="G60" s="73" t="n">
        <v>35.95</v>
      </c>
      <c r="H60" s="39" t="inlineStr">
        <is>
          <t>catalog price, 2026-10-13</t>
        </is>
      </c>
      <c r="I60" s="74" t="n">
        <v>41.95</v>
      </c>
      <c r="J60" s="75" t="inlineStr">
        <is>
          <t>2026-03-30</t>
        </is>
      </c>
      <c r="K60" s="40" t="n">
        <v>16.5</v>
      </c>
      <c r="L60" s="76" t="n">
        <v>0.3933253873659119</v>
      </c>
      <c r="M60" s="77" t="n">
        <v>6</v>
      </c>
      <c r="N60" s="39" t="inlineStr">
        <is>
          <t>Active</t>
        </is>
      </c>
      <c r="O60" s="39" t="n"/>
      <c r="P60" s="78" t="n">
        <v>4.4</v>
      </c>
      <c r="Q60" s="77" t="n">
        <v>1080</v>
      </c>
      <c r="R60" s="77" t="n">
        <v>28109</v>
      </c>
      <c r="S60" s="77" t="n">
        <v>4</v>
      </c>
      <c r="T60" s="39" t="n"/>
    </row>
    <row r="61" ht="62" customHeight="1">
      <c r="A61" s="12">
        <f>_xlfn.IMAGE("https://m.media-amazon.com/images/I/81z9M9loqlL.jpg")</f>
        <v/>
      </c>
      <c r="B61" s="39" t="inlineStr">
        <is>
          <t>B0DDRFSGVJ</t>
        </is>
      </c>
      <c r="C61" s="39" t="inlineStr">
        <is>
          <t>SS-SATIN-PURPLE-TWIN-3PCS</t>
        </is>
      </c>
      <c r="D61" s="39" t="inlineStr">
        <is>
          <t>SLEEP SANCTUARY Satin Sheets Twin Size – 3 Piece Luxury Silky Bed Set, Softer Than Silk, 15" Deep Pocket, Cooling &amp; Wrinkle-Free, Moisture-Wicking &amp; Breathable for Hair &amp; Skin (Purple)</t>
        </is>
      </c>
      <c r="E61" s="39" t="inlineStr">
        <is>
          <t>Twin</t>
        </is>
      </c>
      <c r="F61" s="39" t="inlineStr">
        <is>
          <t>Purple</t>
        </is>
      </c>
      <c r="G61" s="73" t="n">
        <v>29.95</v>
      </c>
      <c r="H61" s="39" t="inlineStr">
        <is>
          <t>catalog price, 2026-10-13</t>
        </is>
      </c>
      <c r="I61" s="74" t="n">
        <v>34.95</v>
      </c>
      <c r="J61" s="75" t="inlineStr">
        <is>
          <t>2026-03-30</t>
        </is>
      </c>
      <c r="K61" s="40" t="n">
        <v>15.39</v>
      </c>
      <c r="L61" s="76" t="n">
        <v>0.4403433476394849</v>
      </c>
      <c r="M61" s="77" t="n">
        <v>6</v>
      </c>
      <c r="N61" s="39" t="inlineStr">
        <is>
          <t>Active</t>
        </is>
      </c>
      <c r="O61" s="39" t="n"/>
      <c r="P61" s="78" t="n">
        <v>4.4</v>
      </c>
      <c r="Q61" s="77" t="n">
        <v>1080</v>
      </c>
      <c r="R61" s="77" t="n">
        <v>28101</v>
      </c>
      <c r="S61" s="77" t="n">
        <v>9</v>
      </c>
      <c r="T61" s="39" t="n"/>
    </row>
    <row r="62" ht="62" customHeight="1">
      <c r="A62" s="12">
        <f>_xlfn.IMAGE("https://m.media-amazon.com/images/I/81J3uOru1eL.jpg")</f>
        <v/>
      </c>
      <c r="B62" s="39" t="inlineStr">
        <is>
          <t>B0DDRDWVK1</t>
        </is>
      </c>
      <c r="C62" s="39" t="inlineStr">
        <is>
          <t>SS-SATIN-DARK-GREEN-TWIN-3PCS</t>
        </is>
      </c>
      <c r="D62" s="39" t="inlineStr">
        <is>
          <t>SLEEP SANCTUARY Satin Sheets Twin Size – 3 Piece Luxury Silky Bed Set, Softer Than Silk, 15" Deep Pocket, Cooling &amp; Wrinkle-Free, Moisture-Wicking &amp; Breathable for Hair &amp; Skin (Dark Green)</t>
        </is>
      </c>
      <c r="E62" s="39" t="inlineStr">
        <is>
          <t>Twin</t>
        </is>
      </c>
      <c r="F62" s="39" t="inlineStr">
        <is>
          <t>Dark Green</t>
        </is>
      </c>
      <c r="G62" s="73" t="n">
        <v>29.95</v>
      </c>
      <c r="H62" s="39" t="inlineStr">
        <is>
          <t>catalog price, 2026-10-13</t>
        </is>
      </c>
      <c r="I62" s="74" t="n">
        <v>34.95</v>
      </c>
      <c r="J62" s="75" t="inlineStr">
        <is>
          <t>2026-03-30</t>
        </is>
      </c>
      <c r="K62" s="40" t="n">
        <v>16.63</v>
      </c>
      <c r="L62" s="76" t="n">
        <v>0.4758226037195993</v>
      </c>
      <c r="M62" s="77" t="n">
        <v>5</v>
      </c>
      <c r="N62" s="39" t="inlineStr">
        <is>
          <t>Active</t>
        </is>
      </c>
      <c r="O62" s="39" t="n"/>
      <c r="P62" s="78" t="n">
        <v>4.4</v>
      </c>
      <c r="Q62" s="77" t="n">
        <v>1080</v>
      </c>
      <c r="R62" s="77" t="n">
        <v>28101</v>
      </c>
      <c r="S62" s="77" t="n">
        <v>10</v>
      </c>
      <c r="T62" s="39" t="n"/>
    </row>
    <row r="63" ht="62" customHeight="1">
      <c r="A63" s="12">
        <f>_xlfn.IMAGE("https://m.media-amazon.com/images/I/81XKFWjDgKL.jpg")</f>
        <v/>
      </c>
      <c r="B63" s="39" t="inlineStr">
        <is>
          <t>B0DDRC2CDX</t>
        </is>
      </c>
      <c r="C63" s="39" t="inlineStr">
        <is>
          <t>SS-SATIN-PINK-TWIN-3PCS</t>
        </is>
      </c>
      <c r="D63" s="39" t="inlineStr">
        <is>
          <t>SLEEP SANCTUARY Satin Sheets Twin Size – 3 Piece Luxury Silky Bed Set, Softer Than Silk, 15" Deep Pocket, Cooling &amp; Wrinkle-Free, Moisture-Wicking &amp; Breathable for Hair &amp; Skin (Pink)</t>
        </is>
      </c>
      <c r="E63" s="39" t="inlineStr">
        <is>
          <t>Twin</t>
        </is>
      </c>
      <c r="F63" s="39" t="inlineStr">
        <is>
          <t>Pink</t>
        </is>
      </c>
      <c r="G63" s="73" t="n">
        <v>29.95</v>
      </c>
      <c r="H63" s="39" t="inlineStr">
        <is>
          <t>catalog price, 2026-10-13</t>
        </is>
      </c>
      <c r="I63" s="74" t="n">
        <v>29.95</v>
      </c>
      <c r="J63" s="75" t="inlineStr">
        <is>
          <t>2026-03-30</t>
        </is>
      </c>
      <c r="K63" s="40" t="n">
        <v>11.5</v>
      </c>
      <c r="L63" s="76" t="n">
        <v>0.3839732888146912</v>
      </c>
      <c r="M63" s="77" t="n">
        <v>5</v>
      </c>
      <c r="N63" s="39" t="inlineStr">
        <is>
          <t>Active</t>
        </is>
      </c>
      <c r="O63" s="39" t="n"/>
      <c r="P63" s="78" t="n">
        <v>4.4</v>
      </c>
      <c r="Q63" s="77" t="n">
        <v>1080</v>
      </c>
      <c r="R63" s="77" t="n">
        <v>28101</v>
      </c>
      <c r="S63" s="77" t="n">
        <v>10</v>
      </c>
      <c r="T63" s="39" t="n"/>
    </row>
    <row r="64" ht="62" customHeight="1">
      <c r="A64" s="12">
        <f>_xlfn.IMAGE("https://m.media-amazon.com/images/I/81n6eJJsrGL.jpg")</f>
        <v/>
      </c>
      <c r="B64" s="39" t="inlineStr">
        <is>
          <t>B0DDRCZN9J</t>
        </is>
      </c>
      <c r="C64" s="39" t="inlineStr">
        <is>
          <t>SS-SATIN-RED-FULL-4PCS</t>
        </is>
      </c>
      <c r="D64" s="39" t="inlineStr">
        <is>
          <t>SLEEP SANCTUARY Satin Sheets Full Size – 4 Piece Luxury Silky Bed Set, Softer Than Silk, 15" Deep Pocket, Cooling &amp; Wrinkle-Free, Moisture-Wicking &amp; Breathable for Hair &amp; Skin (Red)</t>
        </is>
      </c>
      <c r="E64" s="39" t="inlineStr">
        <is>
          <t>Full</t>
        </is>
      </c>
      <c r="F64" s="39" t="inlineStr">
        <is>
          <t>Red</t>
        </is>
      </c>
      <c r="G64" s="73" t="n">
        <v>31.95</v>
      </c>
      <c r="H64" s="39" t="inlineStr">
        <is>
          <t>catalog price, 2026-10-13</t>
        </is>
      </c>
      <c r="I64" s="74" t="n">
        <v>37.95</v>
      </c>
      <c r="J64" s="75" t="inlineStr">
        <is>
          <t>2026-03-30</t>
        </is>
      </c>
      <c r="K64" s="40" t="n">
        <v>17.04000000000001</v>
      </c>
      <c r="L64" s="76" t="n">
        <v>0.44901185770751</v>
      </c>
      <c r="M64" s="77" t="n">
        <v>4</v>
      </c>
      <c r="N64" s="39" t="inlineStr">
        <is>
          <t>Active</t>
        </is>
      </c>
      <c r="O64" s="39" t="n"/>
      <c r="P64" s="78" t="n">
        <v>4.4</v>
      </c>
      <c r="Q64" s="77" t="n">
        <v>1080</v>
      </c>
      <c r="R64" s="77" t="n">
        <v>28101</v>
      </c>
      <c r="S64" s="77" t="n">
        <v>6</v>
      </c>
      <c r="T64" s="39" t="n"/>
    </row>
    <row r="65" ht="62" customHeight="1">
      <c r="A65" s="12">
        <f>_xlfn.IMAGE("https://m.media-amazon.com/images/I/81iohyoFldL.jpg")</f>
        <v/>
      </c>
      <c r="B65" s="39" t="inlineStr">
        <is>
          <t>B0DDRF2M6S</t>
        </is>
      </c>
      <c r="C65" s="39" t="inlineStr">
        <is>
          <t>SS-SATIN-SAGE-GREEN-FULL-4PCS</t>
        </is>
      </c>
      <c r="D65" s="39" t="inlineStr">
        <is>
          <t>SLEEP SANCTUARY Satin Sheets Full Size – 4 Piece Luxury Silky Bed Set, Softer Than Silk, 15" Deep Pocket, Cooling &amp; Wrinkle-Free, Moisture-Wicking &amp; Breathable for Hair &amp; Skin (Sage Green)</t>
        </is>
      </c>
      <c r="E65" s="39" t="inlineStr">
        <is>
          <t>Full</t>
        </is>
      </c>
      <c r="F65" s="39" t="inlineStr">
        <is>
          <t>Sage Green</t>
        </is>
      </c>
      <c r="G65" s="73" t="n">
        <v>29.95</v>
      </c>
      <c r="H65" s="39" t="inlineStr">
        <is>
          <t>catalog price, 2026-10-13</t>
        </is>
      </c>
      <c r="I65" s="74" t="n">
        <v>37.95</v>
      </c>
      <c r="J65" s="75" t="inlineStr">
        <is>
          <t>2026-03-30</t>
        </is>
      </c>
      <c r="K65" s="40" t="n">
        <v>15.19</v>
      </c>
      <c r="L65" s="76" t="n">
        <v>0.4002635046113309</v>
      </c>
      <c r="M65" s="77" t="n">
        <v>4</v>
      </c>
      <c r="N65" s="39" t="inlineStr">
        <is>
          <t>Active</t>
        </is>
      </c>
      <c r="O65" s="39" t="n"/>
      <c r="P65" s="78" t="n">
        <v>4.4</v>
      </c>
      <c r="Q65" s="77" t="n">
        <v>1080</v>
      </c>
      <c r="R65" s="77" t="n">
        <v>28101</v>
      </c>
      <c r="S65" s="77" t="n">
        <v>9</v>
      </c>
      <c r="T65" s="39" t="n"/>
    </row>
    <row r="66" ht="62" customHeight="1">
      <c r="A66" s="12">
        <f>_xlfn.IMAGE("https://m.media-amazon.com/images/I/81jL7DOnYOL.jpg")</f>
        <v/>
      </c>
      <c r="B66" s="39" t="inlineStr">
        <is>
          <t>B0DDR3M171</t>
        </is>
      </c>
      <c r="C66" s="39" t="inlineStr">
        <is>
          <t>SS-SATIN-STRIPED-BLUE-QUEEN-4PCS</t>
        </is>
      </c>
      <c r="D66" s="39" t="inlineStr">
        <is>
          <t>SLEEP SANCTUARY Satin Sheets Queen Size – 4 Piece Luxury Silky Bed Set, Softer Than Silk, 15" Deep Pocket, Cooling &amp; Wrinkle-Free, Moisture-Wicking &amp; Breathable for Hair &amp; Skin (Striped Blue)</t>
        </is>
      </c>
      <c r="E66" s="39" t="inlineStr">
        <is>
          <t>Queen</t>
        </is>
      </c>
      <c r="F66" s="39" t="inlineStr">
        <is>
          <t>Striped Blue</t>
        </is>
      </c>
      <c r="G66" s="73" t="n">
        <v>33.95</v>
      </c>
      <c r="H66" s="39" t="inlineStr">
        <is>
          <t>catalog price, 2026-10-13</t>
        </is>
      </c>
      <c r="I66" s="74" t="n">
        <v>33.95</v>
      </c>
      <c r="J66" s="75" t="inlineStr">
        <is>
          <t>2026-03-30</t>
        </is>
      </c>
      <c r="K66" s="40" t="n">
        <v>10.61</v>
      </c>
      <c r="L66" s="76" t="n">
        <v>0.312518409425626</v>
      </c>
      <c r="M66" s="77" t="n">
        <v>4</v>
      </c>
      <c r="N66" s="39" t="inlineStr">
        <is>
          <t>Active</t>
        </is>
      </c>
      <c r="O66" s="39" t="n"/>
      <c r="P66" s="78" t="n">
        <v>4.4</v>
      </c>
      <c r="Q66" s="77" t="n">
        <v>1080</v>
      </c>
      <c r="R66" s="77" t="n">
        <v>28101</v>
      </c>
      <c r="S66" s="77" t="n">
        <v>4</v>
      </c>
      <c r="T66" s="39" t="n"/>
    </row>
    <row r="67" ht="62" customHeight="1">
      <c r="A67" s="12">
        <f>_xlfn.IMAGE("https://m.media-amazon.com/images/I/81ScJDSQPTL.jpg")</f>
        <v/>
      </c>
      <c r="B67" s="39" t="inlineStr">
        <is>
          <t>B0DDRM24KV</t>
        </is>
      </c>
      <c r="C67" s="39" t="inlineStr">
        <is>
          <t>SS-SATIN-BLUSH-PINK-TWIN-3PCS</t>
        </is>
      </c>
      <c r="D67" s="39" t="inlineStr">
        <is>
          <t>SLEEP SANCTUARY Satin Sheets Twin Size – 3 Piece Luxury Silky Bed Set, Softer Than Silk, 15" Deep Pocket, Cooling &amp; Wrinkle-Free, Moisture-Wicking &amp; Breathable for Hair &amp; Skin (Blush Pink)</t>
        </is>
      </c>
      <c r="E67" s="39" t="inlineStr">
        <is>
          <t>Twin</t>
        </is>
      </c>
      <c r="F67" s="39" t="inlineStr">
        <is>
          <t>Blush Pink</t>
        </is>
      </c>
      <c r="G67" s="73" t="n">
        <v>29.95</v>
      </c>
      <c r="H67" s="39" t="inlineStr">
        <is>
          <t>catalog price, 2026-10-13</t>
        </is>
      </c>
      <c r="I67" s="74" t="n">
        <v>29.95</v>
      </c>
      <c r="J67" s="75" t="inlineStr">
        <is>
          <t>2026-03-30</t>
        </is>
      </c>
      <c r="K67" s="40" t="n">
        <v>10.49</v>
      </c>
      <c r="L67" s="76" t="n">
        <v>0.3502504173622705</v>
      </c>
      <c r="M67" s="77" t="n">
        <v>4</v>
      </c>
      <c r="N67" s="39" t="inlineStr">
        <is>
          <t>Active</t>
        </is>
      </c>
      <c r="O67" s="39" t="n"/>
      <c r="P67" s="78" t="n">
        <v>4.4</v>
      </c>
      <c r="Q67" s="77" t="n">
        <v>1080</v>
      </c>
      <c r="R67" s="77" t="n">
        <v>28109</v>
      </c>
      <c r="S67" s="77" t="n">
        <v>9</v>
      </c>
      <c r="T67" s="39" t="n"/>
    </row>
    <row r="68" ht="62" customHeight="1">
      <c r="A68" s="12">
        <f>_xlfn.IMAGE("https://m.media-amazon.com/images/I/81cPOSHJh1L.jpg")</f>
        <v/>
      </c>
      <c r="B68" s="39" t="inlineStr">
        <is>
          <t>B0DDQQ83Y4</t>
        </is>
      </c>
      <c r="C68" s="39" t="inlineStr">
        <is>
          <t>SS-SATIN-BURNT-ORANGE-FULL-4PCS</t>
        </is>
      </c>
      <c r="D68" s="39" t="inlineStr">
        <is>
          <t>SLEEP SANCTUARY Satin Sheets Full Size – 4 Piece Luxury Silky Bed Set, Softer Than Silk, 15" Deep Pocket, Cooling &amp; Wrinkle-Free, Moisture-Wicking &amp; Breathable for Hair &amp; Skin (Burnt Orange)</t>
        </is>
      </c>
      <c r="E68" s="39" t="inlineStr">
        <is>
          <t>Full</t>
        </is>
      </c>
      <c r="F68" s="39" t="inlineStr">
        <is>
          <t>Burnt Orange</t>
        </is>
      </c>
      <c r="G68" s="73" t="n">
        <v>29.95</v>
      </c>
      <c r="H68" s="39" t="inlineStr">
        <is>
          <t>catalog price, 2026-10-13</t>
        </is>
      </c>
      <c r="I68" s="74" t="n">
        <v>31.95</v>
      </c>
      <c r="J68" s="75" t="inlineStr">
        <is>
          <t>2026-03-30</t>
        </is>
      </c>
      <c r="K68" s="40" t="n">
        <v>10.16</v>
      </c>
      <c r="L68" s="76" t="n">
        <v>0.3179968701095461</v>
      </c>
      <c r="M68" s="77" t="n">
        <v>3</v>
      </c>
      <c r="N68" s="39" t="inlineStr">
        <is>
          <t>Active</t>
        </is>
      </c>
      <c r="O68" s="39" t="n"/>
      <c r="P68" s="78" t="n">
        <v>4.4</v>
      </c>
      <c r="Q68" s="77" t="n">
        <v>1080</v>
      </c>
      <c r="R68" s="77" t="n">
        <v>28101</v>
      </c>
      <c r="S68" s="77" t="n">
        <v>6</v>
      </c>
      <c r="T68" s="39" t="n"/>
    </row>
    <row r="69" ht="62" customHeight="1">
      <c r="A69" s="12">
        <f>_xlfn.IMAGE("https://m.media-amazon.com/images/I/817pb6oL4YL.jpg")</f>
        <v/>
      </c>
      <c r="B69" s="39" t="inlineStr">
        <is>
          <t>B0DDR5CHW7</t>
        </is>
      </c>
      <c r="C69" s="39" t="inlineStr">
        <is>
          <t>SS-SATIN-CHAMPAGNE-FULL-4PCS</t>
        </is>
      </c>
      <c r="D69" s="39" t="inlineStr">
        <is>
          <t>SLEEP SANCTUARY Satin Sheets Full Size – 4 Piece Luxury Silky Bed Set, Softer Than Silk, 15" Deep Pocket, Cooling &amp; Wrinkle-Free, Moisture-Wicking &amp; Breathable for Hair &amp; Skin (Champagne)</t>
        </is>
      </c>
      <c r="E69" s="39" t="inlineStr">
        <is>
          <t>Full</t>
        </is>
      </c>
      <c r="F69" s="39" t="inlineStr">
        <is>
          <t>Champagne</t>
        </is>
      </c>
      <c r="G69" s="73" t="n">
        <v>29.95</v>
      </c>
      <c r="H69" s="39" t="inlineStr">
        <is>
          <t>catalog price, 2026-10-13</t>
        </is>
      </c>
      <c r="I69" s="74" t="n">
        <v>33.95</v>
      </c>
      <c r="J69" s="75" t="inlineStr">
        <is>
          <t>2026-03-30</t>
        </is>
      </c>
      <c r="K69" s="40" t="n">
        <v>12.98</v>
      </c>
      <c r="L69" s="76" t="n">
        <v>0.3823269513991164</v>
      </c>
      <c r="M69" s="77" t="n">
        <v>3</v>
      </c>
      <c r="N69" s="39" t="inlineStr">
        <is>
          <t>Active</t>
        </is>
      </c>
      <c r="O69" s="39" t="n"/>
      <c r="P69" s="78" t="n">
        <v>4.4</v>
      </c>
      <c r="Q69" s="77" t="n">
        <v>1080</v>
      </c>
      <c r="R69" s="77" t="n">
        <v>28101</v>
      </c>
      <c r="S69" s="77" t="n">
        <v>7</v>
      </c>
      <c r="T69" s="39" t="n"/>
    </row>
    <row r="70" ht="62" customHeight="1">
      <c r="A70" s="12">
        <f>_xlfn.IMAGE("https://m.media-amazon.com/images/I/81oQ5+OPoZL.jpg")</f>
        <v/>
      </c>
      <c r="B70" s="39" t="inlineStr">
        <is>
          <t>B0DDRKMZ6G</t>
        </is>
      </c>
      <c r="C70" s="39" t="inlineStr">
        <is>
          <t>SS-SATIN-STRIPED-PINK-FULL-4PCS</t>
        </is>
      </c>
      <c r="D70" s="39" t="inlineStr">
        <is>
          <t>SLEEP SANCTUARY Satin Sheets Full Size – 4 Piece Luxury Silky Bed Set, Softer Than Silk, 15" Deep Pocket, Cooling &amp; Wrinkle-Free, Moisture-Wicking &amp; Breathable for Hair &amp; Skin (Striped Pink)</t>
        </is>
      </c>
      <c r="E70" s="39" t="inlineStr">
        <is>
          <t>Full</t>
        </is>
      </c>
      <c r="F70" s="39" t="inlineStr">
        <is>
          <t>Striped Pink</t>
        </is>
      </c>
      <c r="G70" s="73" t="n">
        <v>31.95</v>
      </c>
      <c r="H70" s="39" t="inlineStr">
        <is>
          <t>catalog price, 2026-10-13</t>
        </is>
      </c>
      <c r="I70" s="74" t="n">
        <v>37.95</v>
      </c>
      <c r="J70" s="75" t="inlineStr">
        <is>
          <t>2026-03-30</t>
        </is>
      </c>
      <c r="K70" s="40" t="n">
        <v>15.98000000000001</v>
      </c>
      <c r="L70" s="76" t="n">
        <v>0.421080368906456</v>
      </c>
      <c r="M70" s="77" t="n">
        <v>3</v>
      </c>
      <c r="N70" s="39" t="inlineStr">
        <is>
          <t>Active</t>
        </is>
      </c>
      <c r="O70" s="39" t="n"/>
      <c r="P70" s="78" t="n">
        <v>4.4</v>
      </c>
      <c r="Q70" s="77" t="n">
        <v>1080</v>
      </c>
      <c r="R70" s="77" t="n">
        <v>28101</v>
      </c>
      <c r="S70" s="77" t="n">
        <v>6</v>
      </c>
      <c r="T70" s="39" t="n"/>
    </row>
    <row r="71" ht="62" customHeight="1">
      <c r="A71" s="12">
        <f>_xlfn.IMAGE("https://m.media-amazon.com/images/I/81kpdyyPYWL.jpg")</f>
        <v/>
      </c>
      <c r="B71" s="39" t="inlineStr">
        <is>
          <t>B0DDR3SX2D</t>
        </is>
      </c>
      <c r="C71" s="39" t="inlineStr">
        <is>
          <t>SS-SATIN-LAVENDER-TWIN-3PCS</t>
        </is>
      </c>
      <c r="D71" s="39" t="inlineStr">
        <is>
          <t>SLEEP SANCTUARY Satin Sheets Twin Size – 3 Piece Luxury Silky Bed Set, Softer Than Silk, 15" Deep Pocket, Cooling &amp; Wrinkle-Free, Moisture-Wicking &amp; Breathable for Hair &amp; Skin (Lavender)</t>
        </is>
      </c>
      <c r="E71" s="39" t="inlineStr">
        <is>
          <t>Twin</t>
        </is>
      </c>
      <c r="F71" s="39" t="inlineStr">
        <is>
          <t>Lavender</t>
        </is>
      </c>
      <c r="G71" s="73" t="n">
        <v>37.95</v>
      </c>
      <c r="H71" s="39" t="inlineStr">
        <is>
          <t>catalog price, 2026-10-13</t>
        </is>
      </c>
      <c r="I71" s="74" t="n">
        <v>35.95</v>
      </c>
      <c r="J71" s="75" t="inlineStr">
        <is>
          <t>2026-03-30</t>
        </is>
      </c>
      <c r="K71" s="40" t="n">
        <v>17.08</v>
      </c>
      <c r="L71" s="76" t="n">
        <v>0.4751043115438109</v>
      </c>
      <c r="M71" s="77" t="n">
        <v>3</v>
      </c>
      <c r="N71" s="39" t="inlineStr">
        <is>
          <t>Active</t>
        </is>
      </c>
      <c r="O71" s="39" t="n"/>
      <c r="P71" s="78" t="n">
        <v>4.4</v>
      </c>
      <c r="Q71" s="77" t="n">
        <v>1080</v>
      </c>
      <c r="R71" s="77" t="n">
        <v>28101</v>
      </c>
      <c r="S71" s="77" t="n">
        <v>2</v>
      </c>
      <c r="T71" s="39" t="n"/>
    </row>
    <row r="72" ht="62" customHeight="1">
      <c r="A72" s="12">
        <f>_xlfn.IMAGE("https://m.media-amazon.com/images/I/81i0u4Y+8uL.jpg")</f>
        <v/>
      </c>
      <c r="B72" s="39" t="inlineStr">
        <is>
          <t>B0DDR154D4</t>
        </is>
      </c>
      <c r="C72" s="39" t="inlineStr">
        <is>
          <t>SS-SATIN-SAGE-GREEN-TWIN-3PCS</t>
        </is>
      </c>
      <c r="D72" s="39" t="inlineStr">
        <is>
          <t>SLEEP SANCTUARY Satin Sheets Twin Size – 3 Piece Luxury Silky Bed Set, Softer Than Silk, 15" Deep Pocket, Cooling &amp; Wrinkle-Free, Moisture-Wicking &amp; Breathable for Hair &amp; Skin (Sage Green)</t>
        </is>
      </c>
      <c r="E72" s="39" t="inlineStr">
        <is>
          <t>Twin</t>
        </is>
      </c>
      <c r="F72" s="39" t="inlineStr">
        <is>
          <t>Sage Green</t>
        </is>
      </c>
      <c r="G72" s="73" t="n">
        <v>29.95</v>
      </c>
      <c r="H72" s="39" t="inlineStr">
        <is>
          <t>catalog price, 2026-10-13</t>
        </is>
      </c>
      <c r="I72" s="74" t="n">
        <v>35.95</v>
      </c>
      <c r="J72" s="75" t="inlineStr">
        <is>
          <t>2026-03-30</t>
        </is>
      </c>
      <c r="K72" s="40" t="n">
        <v>17.06</v>
      </c>
      <c r="L72" s="76" t="n">
        <v>0.474547983310153</v>
      </c>
      <c r="M72" s="77" t="n">
        <v>3</v>
      </c>
      <c r="N72" s="39" t="inlineStr">
        <is>
          <t>Active</t>
        </is>
      </c>
      <c r="O72" s="39" t="n"/>
      <c r="P72" s="78" t="n">
        <v>4.4</v>
      </c>
      <c r="Q72" s="77" t="n">
        <v>1080</v>
      </c>
      <c r="R72" s="77" t="n">
        <v>28101</v>
      </c>
      <c r="S72" s="77" t="n">
        <v>10</v>
      </c>
      <c r="T72" s="39" t="n"/>
    </row>
    <row r="73" ht="62" customHeight="1">
      <c r="A73" s="12">
        <f>_xlfn.IMAGE("https://m.media-amazon.com/images/I/81B6BzVilhL.jpg")</f>
        <v/>
      </c>
      <c r="B73" s="39" t="inlineStr">
        <is>
          <t>B0DDR2CP9X</t>
        </is>
      </c>
      <c r="C73" s="39" t="inlineStr">
        <is>
          <t>SS-SATIN-SEA-TEAL-TWIN-3PCS</t>
        </is>
      </c>
      <c r="D73" s="39" t="inlineStr">
        <is>
          <t>SLEEP SANCTUARY Satin Sheets Twin Size – 3 Piece Luxury Silky Bed Set, Softer Than Silk, 15" Deep Pocket, Cooling &amp; Wrinkle-Free, Moisture-Wicking &amp; Breathable for Hair &amp; Skin (Sea Teal)</t>
        </is>
      </c>
      <c r="E73" s="39" t="inlineStr">
        <is>
          <t>Twin</t>
        </is>
      </c>
      <c r="F73" s="39" t="inlineStr">
        <is>
          <t>Sea Teal</t>
        </is>
      </c>
      <c r="G73" s="73" t="n">
        <v>29.95</v>
      </c>
      <c r="H73" s="39" t="inlineStr">
        <is>
          <t>catalog price, 2026-10-13</t>
        </is>
      </c>
      <c r="I73" s="74" t="n">
        <v>31.95</v>
      </c>
      <c r="J73" s="75" t="inlineStr">
        <is>
          <t>2026-03-30</t>
        </is>
      </c>
      <c r="K73" s="40" t="n">
        <v>12.39</v>
      </c>
      <c r="L73" s="76" t="n">
        <v>0.3877934272300469</v>
      </c>
      <c r="M73" s="77" t="n">
        <v>3</v>
      </c>
      <c r="N73" s="39" t="inlineStr">
        <is>
          <t>Active</t>
        </is>
      </c>
      <c r="O73" s="39" t="n"/>
      <c r="P73" s="78" t="n">
        <v>4.4</v>
      </c>
      <c r="Q73" s="77" t="n">
        <v>1080</v>
      </c>
      <c r="R73" s="77" t="n">
        <v>28101</v>
      </c>
      <c r="S73" s="77" t="n">
        <v>12</v>
      </c>
      <c r="T73" s="39" t="n"/>
    </row>
    <row r="74" ht="62" customHeight="1">
      <c r="A74" s="12">
        <f>_xlfn.IMAGE("https://m.media-amazon.com/images/I/81XJl86kBiL.jpg")</f>
        <v/>
      </c>
      <c r="B74" s="39" t="inlineStr">
        <is>
          <t>B0DDR7SDNH</t>
        </is>
      </c>
      <c r="C74" s="39" t="inlineStr">
        <is>
          <t>SS-SATIN-TAUPE-TWIN-3PCS</t>
        </is>
      </c>
      <c r="D74" s="39" t="inlineStr">
        <is>
          <t>SLEEP SANCTUARY Satin Sheets Twin Size – 3 Piece Luxury Silky Bed Set, Softer Than Silk, 15" Deep Pocket, Cooling &amp; Wrinkle-Free, Moisture-Wicking &amp; Breathable for Hair &amp; Skin (Taupe)</t>
        </is>
      </c>
      <c r="E74" s="39" t="inlineStr">
        <is>
          <t>Twin</t>
        </is>
      </c>
      <c r="F74" s="39" t="inlineStr">
        <is>
          <t>Taupe</t>
        </is>
      </c>
      <c r="G74" s="73" t="n">
        <v>29.95</v>
      </c>
      <c r="H74" s="39" t="inlineStr">
        <is>
          <t>catalog price, 2026-10-13</t>
        </is>
      </c>
      <c r="I74" s="74" t="n">
        <v>34.95</v>
      </c>
      <c r="J74" s="75" t="inlineStr">
        <is>
          <t>2026-03-30</t>
        </is>
      </c>
      <c r="K74" s="40" t="n">
        <v>15.42</v>
      </c>
      <c r="L74" s="76" t="n">
        <v>0.4412017167381974</v>
      </c>
      <c r="M74" s="77" t="n">
        <v>3</v>
      </c>
      <c r="N74" s="39" t="inlineStr">
        <is>
          <t>Active</t>
        </is>
      </c>
      <c r="O74" s="39" t="n"/>
      <c r="P74" s="78" t="n">
        <v>4.4</v>
      </c>
      <c r="Q74" s="77" t="n">
        <v>1080</v>
      </c>
      <c r="R74" s="77" t="n">
        <v>28101</v>
      </c>
      <c r="S74" s="77" t="n">
        <v>8</v>
      </c>
      <c r="T74" s="39" t="n"/>
    </row>
    <row r="75" ht="62" customHeight="1">
      <c r="A75" s="12">
        <f>_xlfn.IMAGE("https://m.media-amazon.com/images/I/818RX-kt6VL.jpg")</f>
        <v/>
      </c>
      <c r="B75" s="39" t="inlineStr">
        <is>
          <t>B0DDQTZ8NT</t>
        </is>
      </c>
      <c r="C75" s="39" t="inlineStr">
        <is>
          <t>SS-SATIN-WHITE-TWIN-3PCS</t>
        </is>
      </c>
      <c r="D75" s="39" t="inlineStr">
        <is>
          <t>SLEEP SANCTUARY Satin Sheets Twin Size – 3 Piece Luxury Silky Bed Set, Softer Than Silk, 15" Deep Pocket, Cooling &amp; Wrinkle-Free, Moisture-Wicking &amp; Breathable for Hair &amp; Skin (White)</t>
        </is>
      </c>
      <c r="E75" s="39" t="inlineStr">
        <is>
          <t>Twin</t>
        </is>
      </c>
      <c r="F75" s="39" t="inlineStr">
        <is>
          <t>White</t>
        </is>
      </c>
      <c r="G75" s="73" t="n">
        <v>29.95</v>
      </c>
      <c r="H75" s="39" t="inlineStr">
        <is>
          <t>catalog price, 2026-10-13</t>
        </is>
      </c>
      <c r="I75" s="74" t="n">
        <v>35.95</v>
      </c>
      <c r="J75" s="75" t="inlineStr">
        <is>
          <t>2026-03-30</t>
        </is>
      </c>
      <c r="K75" s="40" t="n">
        <v>17.15</v>
      </c>
      <c r="L75" s="76" t="n">
        <v>0.4770514603616134</v>
      </c>
      <c r="M75" s="77" t="n">
        <v>3</v>
      </c>
      <c r="N75" s="39" t="inlineStr">
        <is>
          <t>Active</t>
        </is>
      </c>
      <c r="O75" s="39" t="n"/>
      <c r="P75" s="78" t="n">
        <v>4.4</v>
      </c>
      <c r="Q75" s="77" t="n">
        <v>1080</v>
      </c>
      <c r="R75" s="77" t="n">
        <v>28101</v>
      </c>
      <c r="S75" s="77" t="n">
        <v>19</v>
      </c>
      <c r="T75" s="39" t="n"/>
    </row>
    <row r="76" ht="62" customHeight="1">
      <c r="A76" s="12">
        <f>_xlfn.IMAGE("https://m.media-amazon.com/images/I/81UIBGaUe6L.jpg")</f>
        <v/>
      </c>
      <c r="B76" s="39" t="inlineStr">
        <is>
          <t>B0DDR28N8X</t>
        </is>
      </c>
      <c r="C76" s="39" t="inlineStr">
        <is>
          <t>SS-SATIN-BLUE-FULL-4PCS</t>
        </is>
      </c>
      <c r="D76" s="39" t="inlineStr">
        <is>
          <t>SLEEP SANCTUARY Satin Sheets Full Size – 4 Piece Luxury Silky Bed Set, Softer Than Silk, 15" Deep Pocket, Cooling &amp; Wrinkle-Free, Moisture-Wicking &amp; Breathable for Hair &amp; Skin (Blue)</t>
        </is>
      </c>
      <c r="E76" s="39" t="inlineStr">
        <is>
          <t>Full</t>
        </is>
      </c>
      <c r="F76" s="39" t="inlineStr">
        <is>
          <t>Blue</t>
        </is>
      </c>
      <c r="G76" s="73" t="n">
        <v>31.95</v>
      </c>
      <c r="H76" s="39" t="inlineStr">
        <is>
          <t>catalog price, 2026-10-13</t>
        </is>
      </c>
      <c r="I76" s="74" t="n">
        <v>31.95</v>
      </c>
      <c r="J76" s="75" t="inlineStr">
        <is>
          <t>2026-03-30</t>
        </is>
      </c>
      <c r="K76" s="40" t="n">
        <v>10.26</v>
      </c>
      <c r="L76" s="76" t="n">
        <v>0.3211267605633802</v>
      </c>
      <c r="M76" s="77" t="n">
        <v>2</v>
      </c>
      <c r="N76" s="39" t="inlineStr">
        <is>
          <t>Active</t>
        </is>
      </c>
      <c r="O76" s="39" t="n"/>
      <c r="P76" s="78" t="n">
        <v>4.4</v>
      </c>
      <c r="Q76" s="77" t="n">
        <v>1080</v>
      </c>
      <c r="R76" s="77" t="n">
        <v>28109</v>
      </c>
      <c r="S76" s="77" t="n">
        <v>6</v>
      </c>
      <c r="T76" s="39" t="n"/>
    </row>
    <row r="77" ht="62" customHeight="1">
      <c r="A77" s="12">
        <f>_xlfn.IMAGE("https://m.media-amazon.com/images/I/81T7uFbjFiL.jpg")</f>
        <v/>
      </c>
      <c r="B77" s="39" t="inlineStr">
        <is>
          <t>B0DDRDR4F8</t>
        </is>
      </c>
      <c r="C77" s="39" t="inlineStr">
        <is>
          <t>SS-SATIN-SEA-TEAL-FULL-4PCS</t>
        </is>
      </c>
      <c r="D77" s="39" t="inlineStr">
        <is>
          <t>SLEEP SANCTUARY Satin Sheets Full Size – 4 Piece Luxury Silky Bed Set, Softer Than Silk, 15" Deep Pocket, Cooling &amp; Wrinkle-Free, Moisture-Wicking &amp; Breathable for Hair &amp; Skin (Sea Teal)</t>
        </is>
      </c>
      <c r="E77" s="39" t="inlineStr">
        <is>
          <t>Full</t>
        </is>
      </c>
      <c r="F77" s="39" t="inlineStr">
        <is>
          <t>Sea Teal</t>
        </is>
      </c>
      <c r="G77" s="73" t="n">
        <v>31.95</v>
      </c>
      <c r="H77" s="39" t="inlineStr">
        <is>
          <t>catalog price, 2026-10-13</t>
        </is>
      </c>
      <c r="I77" s="74" t="n">
        <v>31.95</v>
      </c>
      <c r="J77" s="75" t="inlineStr">
        <is>
          <t>2026-03-30</t>
        </is>
      </c>
      <c r="K77" s="40" t="n">
        <v>10.17</v>
      </c>
      <c r="L77" s="76" t="n">
        <v>0.3183098591549295</v>
      </c>
      <c r="M77" s="77" t="n">
        <v>2</v>
      </c>
      <c r="N77" s="39" t="inlineStr">
        <is>
          <t>Active</t>
        </is>
      </c>
      <c r="O77" s="39" t="n"/>
      <c r="P77" s="78" t="n">
        <v>4.4</v>
      </c>
      <c r="Q77" s="77" t="n">
        <v>1080</v>
      </c>
      <c r="R77" s="77" t="n">
        <v>28101</v>
      </c>
      <c r="S77" s="77" t="n">
        <v>6</v>
      </c>
      <c r="T77" s="39" t="n"/>
    </row>
    <row r="78" ht="62" customHeight="1">
      <c r="A78" s="12">
        <f>_xlfn.IMAGE("https://m.media-amazon.com/images/I/81EuG0SlLvL.jpg")</f>
        <v/>
      </c>
      <c r="B78" s="39" t="inlineStr">
        <is>
          <t>B0DDRKF8FG</t>
        </is>
      </c>
      <c r="C78" s="39" t="inlineStr">
        <is>
          <t>SS-SATIN-STRIPED-GREY-FULL-4PCS</t>
        </is>
      </c>
      <c r="D78" s="39" t="inlineStr">
        <is>
          <t>SLEEP SANCTUARY Satin Sheets Full Size – 4 Piece Luxury Silky Bed Set, Softer Than Silk, 15" Deep Pocket, Cooling &amp; Wrinkle-Free, Moisture-Wicking &amp; Breathable for Hair &amp; Skin (Striped Grey)</t>
        </is>
      </c>
      <c r="E78" s="39" t="inlineStr">
        <is>
          <t>Full</t>
        </is>
      </c>
      <c r="F78" s="39" t="inlineStr">
        <is>
          <t>Striped Grey</t>
        </is>
      </c>
      <c r="G78" s="40" t="n"/>
      <c r="H78" s="39" t="n"/>
      <c r="I78" s="74" t="n">
        <v>31.95</v>
      </c>
      <c r="J78" s="75" t="inlineStr">
        <is>
          <t>2026-03-30</t>
        </is>
      </c>
      <c r="K78" s="40" t="n">
        <v>10.12</v>
      </c>
      <c r="L78" s="76" t="n">
        <v>0.3167449139280125</v>
      </c>
      <c r="M78" s="77" t="n">
        <v>2</v>
      </c>
      <c r="N78" s="39" t="inlineStr">
        <is>
          <t>Active</t>
        </is>
      </c>
      <c r="O78" s="39" t="n"/>
      <c r="P78" s="78" t="n"/>
      <c r="Q78" s="77" t="n"/>
      <c r="R78" s="77" t="n"/>
      <c r="S78" s="77" t="n"/>
      <c r="T78" s="39" t="n"/>
    </row>
    <row r="79" ht="62" customHeight="1">
      <c r="A79" s="12">
        <f>_xlfn.IMAGE("https://m.media-amazon.com/images/I/815aPoY4IYL.jpg")</f>
        <v/>
      </c>
      <c r="B79" s="39" t="inlineStr">
        <is>
          <t>B0DDQXMHHQ</t>
        </is>
      </c>
      <c r="C79" s="39" t="inlineStr">
        <is>
          <t>SS-SATIN-STRIPED-PURPLE-FULL-4PCS</t>
        </is>
      </c>
      <c r="D79" s="39" t="inlineStr">
        <is>
          <t>SLEEP SANCTUARY Satin Sheets Full Size – 4 Piece Luxury Silky Bed Set, Softer Than Silk, 15" Deep Pocket, Cooling &amp; Wrinkle-Free, Moisture-Wicking &amp; Breathable for Hair &amp; Skin (Striped Purple)</t>
        </is>
      </c>
      <c r="E79" s="39" t="inlineStr">
        <is>
          <t>Full</t>
        </is>
      </c>
      <c r="F79" s="39" t="inlineStr">
        <is>
          <t>Striped Purple</t>
        </is>
      </c>
      <c r="G79" s="73" t="n">
        <v>31.95</v>
      </c>
      <c r="H79" s="39" t="inlineStr">
        <is>
          <t>catalog price, 2026-10-13</t>
        </is>
      </c>
      <c r="I79" s="74" t="n">
        <v>33.95</v>
      </c>
      <c r="J79" s="75" t="inlineStr">
        <is>
          <t>2026-03-30</t>
        </is>
      </c>
      <c r="K79" s="40" t="n">
        <v>12.56</v>
      </c>
      <c r="L79" s="76" t="n">
        <v>0.3699558173784978</v>
      </c>
      <c r="M79" s="77" t="n">
        <v>2</v>
      </c>
      <c r="N79" s="39" t="inlineStr">
        <is>
          <t>Active</t>
        </is>
      </c>
      <c r="O79" s="39" t="n"/>
      <c r="P79" s="78" t="n">
        <v>4.4</v>
      </c>
      <c r="Q79" s="77" t="n">
        <v>1080</v>
      </c>
      <c r="R79" s="77" t="n">
        <v>28101</v>
      </c>
      <c r="S79" s="77" t="n">
        <v>5</v>
      </c>
      <c r="T79" s="39" t="n"/>
    </row>
    <row r="80" ht="62" customHeight="1">
      <c r="A80" s="12">
        <f>_xlfn.IMAGE("https://m.media-amazon.com/images/I/81P2Ae6R78L.jpg")</f>
        <v/>
      </c>
      <c r="B80" s="39" t="inlineStr">
        <is>
          <t>B0DDRDMJCT</t>
        </is>
      </c>
      <c r="C80" s="39" t="inlineStr">
        <is>
          <t>SS-SATIN-STRIPED-RED-KING-4PCS</t>
        </is>
      </c>
      <c r="D80" s="39" t="inlineStr">
        <is>
          <t>SLEEP SANCTUARY Satin Sheets King Size – 4 Piece Luxury Silky Bed Set, Softer Than Silk, 15" Deep Pocket, Cooling &amp; Wrinkle-Free, Moisture-Wicking &amp; Breathable for Hair &amp; Skin (Striped Red)</t>
        </is>
      </c>
      <c r="E80" s="39" t="inlineStr">
        <is>
          <t>King</t>
        </is>
      </c>
      <c r="F80" s="39" t="inlineStr">
        <is>
          <t>Striped Red</t>
        </is>
      </c>
      <c r="G80" s="73" t="n">
        <v>35.95</v>
      </c>
      <c r="H80" s="39" t="inlineStr">
        <is>
          <t>catalog price, 2026-10-13</t>
        </is>
      </c>
      <c r="I80" s="74" t="n">
        <v>41.95</v>
      </c>
      <c r="J80" s="75" t="inlineStr">
        <is>
          <t>2026-03-30</t>
        </is>
      </c>
      <c r="K80" s="40" t="n">
        <v>15.41</v>
      </c>
      <c r="L80" s="76" t="n">
        <v>0.3673420738974971</v>
      </c>
      <c r="M80" s="77" t="n">
        <v>2</v>
      </c>
      <c r="N80" s="39" t="inlineStr">
        <is>
          <t>Active</t>
        </is>
      </c>
      <c r="O80" s="39" t="n"/>
      <c r="P80" s="78" t="n">
        <v>4.4</v>
      </c>
      <c r="Q80" s="77" t="n">
        <v>1080</v>
      </c>
      <c r="R80" s="77" t="n">
        <v>28109</v>
      </c>
      <c r="S80" s="77" t="n">
        <v>4</v>
      </c>
      <c r="T80" s="39" t="n"/>
    </row>
    <row r="81" ht="62" customHeight="1">
      <c r="A81" s="12">
        <f>_xlfn.IMAGE("https://m.media-amazon.com/images/I/817pb6oL4YL.jpg")</f>
        <v/>
      </c>
      <c r="B81" s="39" t="inlineStr">
        <is>
          <t>B0DDR1YLCM</t>
        </is>
      </c>
      <c r="C81" s="39" t="inlineStr">
        <is>
          <t>SS-SATIN-CHAMPAGNE-QUEEN-4PCS</t>
        </is>
      </c>
      <c r="D81" s="39" t="inlineStr">
        <is>
          <t>SLEEP SANCTUARY Satin Sheets Queen Size – 4 Piece Luxury Silky Bed Set, Softer Than Silk, 15" Deep Pocket, Cooling &amp; Wrinkle-Free, Moisture-Wicking &amp; Breathable for Hair &amp; Skin (Champagne)</t>
        </is>
      </c>
      <c r="E81" s="39" t="inlineStr">
        <is>
          <t>Queen</t>
        </is>
      </c>
      <c r="F81" s="39" t="inlineStr">
        <is>
          <t>Champagne</t>
        </is>
      </c>
      <c r="G81" s="73" t="n">
        <v>33.95</v>
      </c>
      <c r="H81" s="39" t="inlineStr">
        <is>
          <t>catalog price, 2026-10-13</t>
        </is>
      </c>
      <c r="I81" s="74" t="n">
        <v>39.95</v>
      </c>
      <c r="J81" s="75" t="inlineStr">
        <is>
          <t>2026-03-30</t>
        </is>
      </c>
      <c r="K81" s="40" t="n">
        <v>17.35</v>
      </c>
      <c r="L81" s="76" t="n">
        <v>0.4342928660826033</v>
      </c>
      <c r="M81" s="77" t="n">
        <v>2</v>
      </c>
      <c r="N81" s="39" t="inlineStr">
        <is>
          <t>Active</t>
        </is>
      </c>
      <c r="O81" s="39" t="n"/>
      <c r="P81" s="78" t="n">
        <v>4.4</v>
      </c>
      <c r="Q81" s="77" t="n">
        <v>1080</v>
      </c>
      <c r="R81" s="77" t="n">
        <v>28101</v>
      </c>
      <c r="S81" s="77" t="n">
        <v>3</v>
      </c>
      <c r="T81" s="39" t="n"/>
    </row>
    <row r="82" ht="62" customHeight="1">
      <c r="A82" s="12">
        <f>_xlfn.IMAGE("https://m.media-amazon.com/images/I/81+JI5+UtKL.jpg")</f>
        <v/>
      </c>
      <c r="B82" s="39" t="inlineStr">
        <is>
          <t>B0DDR15FTY</t>
        </is>
      </c>
      <c r="C82" s="39" t="inlineStr">
        <is>
          <t>SS-SATIN-GOLD-TWIN-3PCS</t>
        </is>
      </c>
      <c r="D82" s="39" t="inlineStr">
        <is>
          <t>SLEEP SANCTUARY Satin Sheets Twin Size – 3 Piece Luxury Silky Bed Set, Softer Than Silk, 15" Deep Pocket, Cooling &amp; Wrinkle-Free, Moisture-Wicking &amp; Breathable for Hair &amp; Skin (Gold)</t>
        </is>
      </c>
      <c r="E82" s="39" t="inlineStr">
        <is>
          <t>Twin</t>
        </is>
      </c>
      <c r="F82" s="39" t="inlineStr">
        <is>
          <t>Gold</t>
        </is>
      </c>
      <c r="G82" s="73" t="n">
        <v>29.95</v>
      </c>
      <c r="H82" s="39" t="inlineStr">
        <is>
          <t>catalog price, 2026-10-13</t>
        </is>
      </c>
      <c r="I82" s="74" t="n">
        <v>27.95</v>
      </c>
      <c r="J82" s="75" t="inlineStr">
        <is>
          <t>2026-03-30</t>
        </is>
      </c>
      <c r="K82" s="40" t="n">
        <v>8.909999999999997</v>
      </c>
      <c r="L82" s="76" t="n">
        <v>0.3187835420393559</v>
      </c>
      <c r="M82" s="77" t="n">
        <v>2</v>
      </c>
      <c r="N82" s="39" t="inlineStr">
        <is>
          <t>Active</t>
        </is>
      </c>
      <c r="O82" s="39" t="n"/>
      <c r="P82" s="78" t="n">
        <v>4.4</v>
      </c>
      <c r="Q82" s="77" t="n">
        <v>1080</v>
      </c>
      <c r="R82" s="77" t="n">
        <v>28101</v>
      </c>
      <c r="S82" s="77" t="n">
        <v>10</v>
      </c>
      <c r="T82" s="39" t="n"/>
    </row>
    <row r="83" ht="62" customHeight="1">
      <c r="A83" s="12">
        <f>_xlfn.IMAGE("https://m.media-amazon.com/images/I/81TG-RmUYiL.jpg")</f>
        <v/>
      </c>
      <c r="B83" s="39" t="inlineStr">
        <is>
          <t>B0DDRDYFFX</t>
        </is>
      </c>
      <c r="C83" s="39" t="inlineStr">
        <is>
          <t>SS-SATIN-GREY-TWIN-3PCS</t>
        </is>
      </c>
      <c r="D83" s="39" t="inlineStr">
        <is>
          <t>SLEEP SANCTUARY Satin Sheets Twin Size – 3 Piece Luxury Silky Bed Set, Softer Than Silk, 15" Deep Pocket, Cooling &amp; Wrinkle-Free, Moisture-Wicking &amp; Breathable for Hair &amp; Skin (Grey)</t>
        </is>
      </c>
      <c r="E83" s="39" t="inlineStr">
        <is>
          <t>Twin</t>
        </is>
      </c>
      <c r="F83" s="39" t="inlineStr">
        <is>
          <t>Grey</t>
        </is>
      </c>
      <c r="G83" s="73" t="n">
        <v>29.95</v>
      </c>
      <c r="H83" s="39" t="inlineStr">
        <is>
          <t>catalog price, 2026-10-13</t>
        </is>
      </c>
      <c r="I83" s="74" t="n">
        <v>35.95</v>
      </c>
      <c r="J83" s="75" t="inlineStr">
        <is>
          <t>2026-03-30</t>
        </is>
      </c>
      <c r="K83" s="40" t="n">
        <v>16.26</v>
      </c>
      <c r="L83" s="76" t="n">
        <v>0.4522948539638387</v>
      </c>
      <c r="M83" s="77" t="n">
        <v>2</v>
      </c>
      <c r="N83" s="39" t="inlineStr">
        <is>
          <t>Active</t>
        </is>
      </c>
      <c r="O83" s="39" t="n"/>
      <c r="P83" s="78" t="n">
        <v>4.4</v>
      </c>
      <c r="Q83" s="77" t="n">
        <v>1080</v>
      </c>
      <c r="R83" s="77" t="n">
        <v>28109</v>
      </c>
      <c r="S83" s="77" t="n">
        <v>7</v>
      </c>
      <c r="T83" s="39" t="n"/>
    </row>
    <row r="84" ht="62" customHeight="1">
      <c r="A84" s="12">
        <f>_xlfn.IMAGE("https://m.media-amazon.com/images/I/81ZPG1HQdFL.jpg")</f>
        <v/>
      </c>
      <c r="B84" s="39" t="inlineStr">
        <is>
          <t>B0DDR4QMK1</t>
        </is>
      </c>
      <c r="C84" s="39" t="inlineStr">
        <is>
          <t>SS-SATIN-IVORY-TWIN-3PCS</t>
        </is>
      </c>
      <c r="D84" s="39" t="inlineStr">
        <is>
          <t>SLEEP SANCTUARY Satin Sheets Twin Size – 3 Piece Luxury Silky Bed Set, Softer Than Silk, 15" Deep Pocket, Cooling &amp; Wrinkle-Free, Moisture-Wicking &amp; Breathable for Hair &amp; Skin (Ivory)</t>
        </is>
      </c>
      <c r="E84" s="39" t="inlineStr">
        <is>
          <t>Twin</t>
        </is>
      </c>
      <c r="F84" s="39" t="inlineStr">
        <is>
          <t>Ivory</t>
        </is>
      </c>
      <c r="G84" s="73" t="n">
        <v>29.95</v>
      </c>
      <c r="H84" s="39" t="inlineStr">
        <is>
          <t>catalog price, 2026-10-13</t>
        </is>
      </c>
      <c r="I84" s="74" t="n">
        <v>29.95</v>
      </c>
      <c r="J84" s="75" t="inlineStr">
        <is>
          <t>2026-03-30</t>
        </is>
      </c>
      <c r="K84" s="40" t="n">
        <v>11.34</v>
      </c>
      <c r="L84" s="76" t="n">
        <v>0.3786310517529216</v>
      </c>
      <c r="M84" s="77" t="n">
        <v>2</v>
      </c>
      <c r="N84" s="39" t="inlineStr">
        <is>
          <t>Active</t>
        </is>
      </c>
      <c r="O84" s="39" t="n"/>
      <c r="P84" s="78" t="n">
        <v>4.4</v>
      </c>
      <c r="Q84" s="77" t="n">
        <v>1080</v>
      </c>
      <c r="R84" s="77" t="n">
        <v>28101</v>
      </c>
      <c r="S84" s="77" t="n">
        <v>11</v>
      </c>
      <c r="T84" s="39" t="n"/>
    </row>
    <row r="85" ht="62" customHeight="1">
      <c r="A85" s="12">
        <f>_xlfn.IMAGE("https://m.media-amazon.com/images/I/81f-0l1G1jL.jpg")</f>
        <v/>
      </c>
      <c r="B85" s="39" t="inlineStr">
        <is>
          <t>B0DDR95C35</t>
        </is>
      </c>
      <c r="C85" s="39" t="inlineStr">
        <is>
          <t>SS-SATIN-NAVY-BLUE-TWIN-3PCS</t>
        </is>
      </c>
      <c r="D85" s="39" t="inlineStr">
        <is>
          <t>SLEEP SANCTUARY Satin Sheets Twin Size – 3 Piece Luxury Silky Bed Set, Softer Than Silk, 15" Deep Pocket, Cooling &amp; Wrinkle-Free, Moisture-Wicking &amp; Breathable for Hair &amp; Skin (Navy Blue)</t>
        </is>
      </c>
      <c r="E85" s="39" t="inlineStr">
        <is>
          <t>Twin</t>
        </is>
      </c>
      <c r="F85" s="39" t="inlineStr">
        <is>
          <t>Navy Blue</t>
        </is>
      </c>
      <c r="G85" s="73" t="n">
        <v>31.95</v>
      </c>
      <c r="H85" s="39" t="inlineStr">
        <is>
          <t>catalog price, 2026-10-13</t>
        </is>
      </c>
      <c r="I85" s="74" t="n">
        <v>31.95</v>
      </c>
      <c r="J85" s="75" t="inlineStr">
        <is>
          <t>2026-03-30</t>
        </is>
      </c>
      <c r="K85" s="40" t="n">
        <v>13.54</v>
      </c>
      <c r="L85" s="76" t="n">
        <v>0.4237871674491394</v>
      </c>
      <c r="M85" s="77" t="n">
        <v>2</v>
      </c>
      <c r="N85" s="39" t="inlineStr">
        <is>
          <t>Active</t>
        </is>
      </c>
      <c r="O85" s="39" t="n"/>
      <c r="P85" s="78" t="n">
        <v>4.4</v>
      </c>
      <c r="Q85" s="77" t="n">
        <v>1080</v>
      </c>
      <c r="R85" s="77" t="n">
        <v>28101</v>
      </c>
      <c r="S85" s="77" t="n">
        <v>8</v>
      </c>
      <c r="T85" s="39" t="n"/>
    </row>
    <row r="86" ht="62" customHeight="1">
      <c r="A86" s="12">
        <f>_xlfn.IMAGE("https://m.media-amazon.com/images/I/81VzFs1NSBL.jpg")</f>
        <v/>
      </c>
      <c r="B86" s="39" t="inlineStr">
        <is>
          <t>B0DDQX418B</t>
        </is>
      </c>
      <c r="C86" s="39" t="inlineStr">
        <is>
          <t>SS-SATIN-STRIPED-PINK-TWIN-3PCS</t>
        </is>
      </c>
      <c r="D86" s="39" t="inlineStr">
        <is>
          <t>SLEEP SANCTUARY Satin Sheets Twin Size – 3 Piece Luxury Silky Bed Set, Softer Than Silk, 15" Deep Pocket, Cooling &amp; Wrinkle-Free, Moisture-Wicking &amp; Breathable for Hair &amp; Skin (Striped Pink)</t>
        </is>
      </c>
      <c r="E86" s="39" t="inlineStr">
        <is>
          <t>Twin</t>
        </is>
      </c>
      <c r="F86" s="39" t="inlineStr">
        <is>
          <t>Striped Pink</t>
        </is>
      </c>
      <c r="G86" s="73" t="n">
        <v>29.95</v>
      </c>
      <c r="H86" s="39" t="inlineStr">
        <is>
          <t>catalog price, 2026-10-13</t>
        </is>
      </c>
      <c r="I86" s="74" t="n">
        <v>31.95</v>
      </c>
      <c r="J86" s="75" t="inlineStr">
        <is>
          <t>2026-03-30</t>
        </is>
      </c>
      <c r="K86" s="40" t="n">
        <v>11.96</v>
      </c>
      <c r="L86" s="76" t="n">
        <v>0.3743348982785603</v>
      </c>
      <c r="M86" s="77" t="n">
        <v>2</v>
      </c>
      <c r="N86" s="39" t="inlineStr">
        <is>
          <t>Active</t>
        </is>
      </c>
      <c r="O86" s="39" t="n"/>
      <c r="P86" s="78" t="n">
        <v>4.4</v>
      </c>
      <c r="Q86" s="77" t="n">
        <v>1080</v>
      </c>
      <c r="R86" s="77" t="n">
        <v>28101</v>
      </c>
      <c r="S86" s="77" t="n">
        <v>11</v>
      </c>
      <c r="T86" s="39" t="n"/>
    </row>
    <row r="87" ht="62" customHeight="1">
      <c r="A87" s="12">
        <f>_xlfn.IMAGE("https://m.media-amazon.com/images/I/81vHqIiWdYL.jpg")</f>
        <v/>
      </c>
      <c r="B87" s="39" t="inlineStr">
        <is>
          <t>B0DDRNYF9Q</t>
        </is>
      </c>
      <c r="C87" s="39" t="inlineStr">
        <is>
          <t>SS-SATIN-ROSEWOOD-FULL-4PCS</t>
        </is>
      </c>
      <c r="D87" s="39" t="inlineStr">
        <is>
          <t>SLEEP SANCTUARY Satin Sheets Full Size – 4 Piece Luxury Silky Bed Set, Softer Than Silk, 15" Deep Pocket, Cooling &amp; Wrinkle-Free, Moisture-Wicking &amp; Breathable for Hair &amp; Skin (Rosewood)</t>
        </is>
      </c>
      <c r="E87" s="39" t="inlineStr">
        <is>
          <t>Full</t>
        </is>
      </c>
      <c r="F87" s="39" t="inlineStr">
        <is>
          <t>Rosewood</t>
        </is>
      </c>
      <c r="G87" s="40" t="n"/>
      <c r="H87" s="39" t="n"/>
      <c r="I87" s="74" t="n">
        <v>37.95</v>
      </c>
      <c r="J87" s="75" t="inlineStr">
        <is>
          <t>2026-03-30</t>
        </is>
      </c>
      <c r="K87" s="40" t="n">
        <v>15.37000000000001</v>
      </c>
      <c r="L87" s="76" t="n">
        <v>0.4050065876152834</v>
      </c>
      <c r="M87" s="77" t="n">
        <v>1</v>
      </c>
      <c r="N87" s="39" t="inlineStr">
        <is>
          <t>Inactive</t>
        </is>
      </c>
      <c r="O87" s="39" t="n"/>
      <c r="P87" s="78" t="n"/>
      <c r="Q87" s="77" t="n"/>
      <c r="R87" s="77" t="n"/>
      <c r="S87" s="77" t="n"/>
      <c r="T87" s="39" t="n"/>
    </row>
    <row r="88" ht="62" customHeight="1">
      <c r="A88" s="12">
        <f>_xlfn.IMAGE("https://m.media-amazon.com/images/I/81P2Ae6R78L.jpg")</f>
        <v/>
      </c>
      <c r="B88" s="39" t="inlineStr">
        <is>
          <t>B0DDR9TM21</t>
        </is>
      </c>
      <c r="C88" s="39" t="inlineStr">
        <is>
          <t>SS-SATIN-STRIPED-RED-FULL-4PCS</t>
        </is>
      </c>
      <c r="D88" s="39" t="inlineStr">
        <is>
          <t>SLEEP SANCTUARY Satin Sheets Full Size – 4 Piece Luxury Silky Bed Set, Softer Than Silk, 15" Deep Pocket, Cooling &amp; Wrinkle-Free, Moisture-Wicking &amp; Breathable for Hair &amp; Skin (Striped Red)</t>
        </is>
      </c>
      <c r="E88" s="39" t="inlineStr">
        <is>
          <t>Full</t>
        </is>
      </c>
      <c r="F88" s="39" t="inlineStr">
        <is>
          <t>Striped Red</t>
        </is>
      </c>
      <c r="G88" s="73" t="n">
        <v>31.95</v>
      </c>
      <c r="H88" s="39" t="inlineStr">
        <is>
          <t>catalog price, 2026-10-13</t>
        </is>
      </c>
      <c r="I88" s="74" t="n">
        <v>37.95</v>
      </c>
      <c r="J88" s="75" t="inlineStr">
        <is>
          <t>2026-03-30</t>
        </is>
      </c>
      <c r="K88" s="40" t="n">
        <v>15.22</v>
      </c>
      <c r="L88" s="76" t="n">
        <v>0.4010540184453228</v>
      </c>
      <c r="M88" s="77" t="n">
        <v>1</v>
      </c>
      <c r="N88" s="39" t="inlineStr">
        <is>
          <t>Active</t>
        </is>
      </c>
      <c r="O88" s="39" t="n"/>
      <c r="P88" s="78" t="n">
        <v>4.4</v>
      </c>
      <c r="Q88" s="77" t="n">
        <v>1080</v>
      </c>
      <c r="R88" s="77" t="n">
        <v>28101</v>
      </c>
      <c r="S88" s="77" t="n">
        <v>6</v>
      </c>
      <c r="T88" s="39" t="n"/>
    </row>
    <row r="89" ht="62" customHeight="1">
      <c r="A89" s="12">
        <f>_xlfn.IMAGE("https://m.media-amazon.com/images/I/81qEq06R1GL.jpg")</f>
        <v/>
      </c>
      <c r="B89" s="39" t="inlineStr">
        <is>
          <t>B0DDRKVH9Q</t>
        </is>
      </c>
      <c r="C89" s="39" t="inlineStr">
        <is>
          <t>SS-SATIN-BLACK-KING-4PCS</t>
        </is>
      </c>
      <c r="D89" s="39" t="inlineStr">
        <is>
          <t>SLEEP SANCTUARY Satin Sheets King Size – 4 Piece Luxury Silky Bed Set, Softer Than Silk, 15" Deep Pocket, Cooling &amp; Wrinkle-Free, Moisture-Wicking &amp; Breathable for Hair &amp; Skin (Black)</t>
        </is>
      </c>
      <c r="E89" s="39" t="inlineStr">
        <is>
          <t>King</t>
        </is>
      </c>
      <c r="F89" s="39" t="inlineStr">
        <is>
          <t>Black</t>
        </is>
      </c>
      <c r="G89" s="40" t="n"/>
      <c r="H89" s="39" t="n"/>
      <c r="I89" s="74" t="n">
        <v>35.95</v>
      </c>
      <c r="J89" s="75" t="inlineStr">
        <is>
          <t>2026-03-30</t>
        </is>
      </c>
      <c r="K89" s="40" t="n">
        <v>12.6</v>
      </c>
      <c r="L89" s="76" t="n">
        <v>0.3504867872044507</v>
      </c>
      <c r="M89" s="77" t="n">
        <v>1</v>
      </c>
      <c r="N89" s="39" t="inlineStr">
        <is>
          <t>Inactive</t>
        </is>
      </c>
      <c r="O89" s="39" t="n"/>
      <c r="P89" s="78" t="n"/>
      <c r="Q89" s="77" t="n"/>
      <c r="R89" s="77" t="n"/>
      <c r="S89" s="77" t="n"/>
      <c r="T89" s="39" t="n"/>
    </row>
    <row r="90" ht="62" customHeight="1">
      <c r="A90" s="12">
        <f>_xlfn.IMAGE("https://m.media-amazon.com/images/I/81eHFzmJ3fL.jpg")</f>
        <v/>
      </c>
      <c r="B90" s="39" t="inlineStr">
        <is>
          <t>B0DDRNW3GF</t>
        </is>
      </c>
      <c r="C90" s="39" t="inlineStr">
        <is>
          <t>SS-SATIN-BLUE-QUEEN-4PCS</t>
        </is>
      </c>
      <c r="D90" s="39" t="inlineStr">
        <is>
          <t>SLEEP SANCTUARY Satin Sheets Queen Size – 4 Piece Luxury Silky Bed Set, Softer Than Silk, 15" Deep Pocket, Cooling &amp; Wrinkle-Free, Moisture-Wicking &amp; Breathable for Hair &amp; Skin (Blue)</t>
        </is>
      </c>
      <c r="E90" s="39" t="inlineStr">
        <is>
          <t>Queen</t>
        </is>
      </c>
      <c r="F90" s="39" t="inlineStr">
        <is>
          <t>Blue</t>
        </is>
      </c>
      <c r="G90" s="40" t="n"/>
      <c r="H90" s="39" t="n"/>
      <c r="I90" s="74" t="n">
        <v>33.95</v>
      </c>
      <c r="J90" s="75" t="inlineStr">
        <is>
          <t>2026-03-30</t>
        </is>
      </c>
      <c r="K90" s="40" t="n">
        <v>12.02</v>
      </c>
      <c r="L90" s="76" t="n">
        <v>0.3540500736377026</v>
      </c>
      <c r="M90" s="77" t="n">
        <v>1</v>
      </c>
      <c r="N90" s="39" t="inlineStr">
        <is>
          <t>Inactive</t>
        </is>
      </c>
      <c r="O90" s="39" t="n"/>
      <c r="P90" s="78" t="n"/>
      <c r="Q90" s="77" t="n"/>
      <c r="R90" s="77" t="n"/>
      <c r="S90" s="77" t="n"/>
      <c r="T90" s="39" t="n"/>
    </row>
    <row r="91" ht="62" customHeight="1">
      <c r="A91" s="12">
        <f>_xlfn.IMAGE("https://m.media-amazon.com/images/I/81eHFzmJ3fL.jpg")</f>
        <v/>
      </c>
      <c r="B91" s="39" t="inlineStr">
        <is>
          <t>B0DDR3QB2L</t>
        </is>
      </c>
      <c r="C91" s="39" t="inlineStr">
        <is>
          <t>SS-SATIN-BLUE-TWIN-3PCS</t>
        </is>
      </c>
      <c r="D91" s="39" t="inlineStr">
        <is>
          <t>SLEEP SANCTUARY Satin Sheets Twin Size – 3 Piece Luxury Silky Bed Set, Softer Than Silk, 15" Deep Pocket, Cooling &amp; Wrinkle-Free, Moisture-Wicking &amp; Breathable for Hair &amp; Skin (Blue)</t>
        </is>
      </c>
      <c r="E91" s="39" t="inlineStr">
        <is>
          <t>Twin</t>
        </is>
      </c>
      <c r="F91" s="39" t="inlineStr">
        <is>
          <t>Blue</t>
        </is>
      </c>
      <c r="G91" s="73" t="n">
        <v>29.95</v>
      </c>
      <c r="H91" s="39" t="inlineStr">
        <is>
          <t>catalog price, 2026-10-13</t>
        </is>
      </c>
      <c r="I91" s="74" t="n">
        <v>34.95</v>
      </c>
      <c r="J91" s="75" t="inlineStr">
        <is>
          <t>2026-03-30</t>
        </is>
      </c>
      <c r="K91" s="40" t="n">
        <v>15.02</v>
      </c>
      <c r="L91" s="76" t="n">
        <v>0.4297567954220314</v>
      </c>
      <c r="M91" s="77" t="n">
        <v>1</v>
      </c>
      <c r="N91" s="39" t="inlineStr">
        <is>
          <t>Active</t>
        </is>
      </c>
      <c r="O91" s="39" t="n"/>
      <c r="P91" s="78" t="n">
        <v>4.4</v>
      </c>
      <c r="Q91" s="77" t="n">
        <v>1080</v>
      </c>
      <c r="R91" s="77" t="n">
        <v>28101</v>
      </c>
      <c r="S91" s="77" t="n">
        <v>9</v>
      </c>
      <c r="T91" s="39" t="n"/>
    </row>
    <row r="92" ht="62" customHeight="1">
      <c r="A92" s="12">
        <f>_xlfn.IMAGE("https://m.media-amazon.com/images/I/816iXpTTsDL.jpg")</f>
        <v/>
      </c>
      <c r="B92" s="39" t="inlineStr">
        <is>
          <t>B0DDQVBL24</t>
        </is>
      </c>
      <c r="C92" s="39" t="inlineStr">
        <is>
          <t>SS-SATIN-STONE-GREY-TWIN-3PCS</t>
        </is>
      </c>
      <c r="D92" s="39" t="inlineStr">
        <is>
          <t>SLEEP SANCTUARY Satin Sheets Twin Size – 3 Piece Luxury Silky Bed Set, Softer Than Silk, 15" Deep Pocket, Cooling &amp; Wrinkle-Free, Moisture-Wicking &amp; Breathable for Hair &amp; Skin (Stone Grey)</t>
        </is>
      </c>
      <c r="E92" s="39" t="inlineStr">
        <is>
          <t>Twin</t>
        </is>
      </c>
      <c r="F92" s="39" t="inlineStr">
        <is>
          <t>Stone Grey</t>
        </is>
      </c>
      <c r="G92" s="73" t="n">
        <v>29.95</v>
      </c>
      <c r="H92" s="39" t="inlineStr">
        <is>
          <t>catalog price, 2026-10-13</t>
        </is>
      </c>
      <c r="I92" s="74" t="n">
        <v>29.95</v>
      </c>
      <c r="J92" s="75" t="inlineStr">
        <is>
          <t>2026-03-30</t>
        </is>
      </c>
      <c r="K92" s="40" t="n">
        <v>10.24</v>
      </c>
      <c r="L92" s="76" t="n">
        <v>0.3419031719532554</v>
      </c>
      <c r="M92" s="77" t="n">
        <v>1</v>
      </c>
      <c r="N92" s="39" t="inlineStr">
        <is>
          <t>Active</t>
        </is>
      </c>
      <c r="O92" s="39" t="n"/>
      <c r="P92" s="78" t="n">
        <v>4.4</v>
      </c>
      <c r="Q92" s="77" t="n">
        <v>1080</v>
      </c>
      <c r="R92" s="77" t="n">
        <v>28101</v>
      </c>
      <c r="S92" s="77" t="n">
        <v>13</v>
      </c>
      <c r="T92" s="39" t="n"/>
    </row>
    <row r="93" ht="62" customHeight="1">
      <c r="A93" s="12">
        <f>_xlfn.IMAGE("https://m.media-amazon.com/images/I/81qEq06R1GL.jpg")</f>
        <v/>
      </c>
      <c r="B93" s="39" t="inlineStr">
        <is>
          <t>B0DDQX824T</t>
        </is>
      </c>
      <c r="C93" s="39" t="inlineStr">
        <is>
          <t>SS-SATIN-BLACK-FULL-4PCS</t>
        </is>
      </c>
      <c r="D93" s="39" t="inlineStr">
        <is>
          <t>SLEEP SANCTUARY Satin Sheets Full Size – 4 Piece Luxury Silky Bed Set, Softer Than Silk, 15" Deep Pocket, Cooling &amp; Wrinkle-Free, Moisture-Wicking &amp; Breathable for Hair &amp; Skin (Black)</t>
        </is>
      </c>
      <c r="E93" s="39" t="inlineStr">
        <is>
          <t>Full</t>
        </is>
      </c>
      <c r="F93" s="39" t="inlineStr">
        <is>
          <t>Black</t>
        </is>
      </c>
      <c r="G93" s="40" t="n"/>
      <c r="H93" s="39" t="n"/>
      <c r="I93" s="74" t="n">
        <v>31.95</v>
      </c>
      <c r="J93" s="75" t="inlineStr">
        <is>
          <t>2026-03-22</t>
        </is>
      </c>
      <c r="K93" s="40" t="n">
        <v>11.39</v>
      </c>
      <c r="L93" s="76" t="n">
        <v>0.3564945226917058</v>
      </c>
      <c r="M93" s="77" t="n"/>
      <c r="N93" s="39" t="inlineStr">
        <is>
          <t>Inactive</t>
        </is>
      </c>
      <c r="O93" s="39" t="n"/>
      <c r="P93" s="78" t="n"/>
      <c r="Q93" s="77" t="n"/>
      <c r="R93" s="77" t="n"/>
      <c r="S93" s="77" t="n"/>
      <c r="T93" s="39" t="n"/>
    </row>
    <row r="94" ht="62" customHeight="1">
      <c r="A94" s="12">
        <f>_xlfn.IMAGE("https://m.media-amazon.com/images/I/816iXpTTsDL.jpg")</f>
        <v/>
      </c>
      <c r="B94" s="39" t="inlineStr">
        <is>
          <t>B0DDR97FTJ</t>
        </is>
      </c>
      <c r="C94" s="39" t="inlineStr">
        <is>
          <t>SS-SATIN-STONE-GREY-FULL-4PCS</t>
        </is>
      </c>
      <c r="D94" s="39" t="inlineStr">
        <is>
          <t>SLEEP SANCTUARY Satin Sheets Full Size – 4 Piece Luxury Silky Bed Set, Softer Than Silk, 15" Deep Pocket, Cooling &amp; Wrinkle-Free, Moisture-Wicking &amp; Breathable for Hair &amp; Skin (Stone Grey)</t>
        </is>
      </c>
      <c r="E94" s="39" t="inlineStr">
        <is>
          <t>Full</t>
        </is>
      </c>
      <c r="F94" s="39" t="inlineStr">
        <is>
          <t>Stone Grey</t>
        </is>
      </c>
      <c r="G94" s="40" t="n"/>
      <c r="H94" s="39" t="n"/>
      <c r="I94" s="74" t="n">
        <v>37.95</v>
      </c>
      <c r="J94" s="75" t="inlineStr">
        <is>
          <t>2026-03-30</t>
        </is>
      </c>
      <c r="K94" s="40" t="n">
        <v>15.61000000000001</v>
      </c>
      <c r="L94" s="76" t="n">
        <v>0.4113306982872202</v>
      </c>
      <c r="M94" s="77" t="n"/>
      <c r="N94" s="39" t="inlineStr">
        <is>
          <t>Inactive</t>
        </is>
      </c>
      <c r="O94" s="39" t="n"/>
      <c r="P94" s="78" t="n"/>
      <c r="Q94" s="77" t="n"/>
      <c r="R94" s="77" t="n"/>
      <c r="S94" s="77" t="n"/>
      <c r="T94" s="39" t="n"/>
    </row>
    <row r="95" ht="62" customHeight="1">
      <c r="A95" s="12">
        <f>_xlfn.IMAGE("https://m.media-amazon.com/images/I/81qEq06R1GL.jpg")</f>
        <v/>
      </c>
      <c r="B95" s="39" t="inlineStr">
        <is>
          <t>B0DDQQ9LRP</t>
        </is>
      </c>
      <c r="C95" s="39" t="inlineStr">
        <is>
          <t>SS-SATIN-STRIPED-BLACK-FULL-4PCS</t>
        </is>
      </c>
      <c r="D95" s="39" t="inlineStr">
        <is>
          <t>SLEEP SANCTUARY Satin Sheets Full Size – 4 Piece Luxury Silky Bed Set, Softer Than Silk, 15" Deep Pocket, Cooling &amp; Wrinkle-Free, Moisture-Wicking &amp; Breathable for Hair &amp; Skin (Striped Black)</t>
        </is>
      </c>
      <c r="E95" s="39" t="inlineStr">
        <is>
          <t>Full</t>
        </is>
      </c>
      <c r="F95" s="39" t="inlineStr">
        <is>
          <t>Striped Black</t>
        </is>
      </c>
      <c r="G95" s="40" t="n"/>
      <c r="H95" s="39" t="n"/>
      <c r="I95" s="74" t="n">
        <v>31.95</v>
      </c>
      <c r="J95" s="75" t="inlineStr">
        <is>
          <t>2026-03-14</t>
        </is>
      </c>
      <c r="K95" s="40" t="n">
        <v>9.969999999999999</v>
      </c>
      <c r="L95" s="76" t="n">
        <v>0.3120500782472613</v>
      </c>
      <c r="M95" s="77" t="n"/>
      <c r="N95" s="39" t="inlineStr">
        <is>
          <t>Inactive</t>
        </is>
      </c>
      <c r="O95" s="39" t="n"/>
      <c r="P95" s="78" t="n"/>
      <c r="Q95" s="77" t="n"/>
      <c r="R95" s="77" t="n"/>
      <c r="S95" s="77" t="n"/>
      <c r="T95" s="39" t="n"/>
    </row>
    <row r="96" ht="62" customHeight="1">
      <c r="A96" s="12">
        <f>_xlfn.IMAGE("https://m.media-amazon.com/images/I/81IuYnZdF7L.jpg")</f>
        <v/>
      </c>
      <c r="B96" s="39" t="inlineStr">
        <is>
          <t>B0DDQX8257</t>
        </is>
      </c>
      <c r="C96" s="39" t="inlineStr">
        <is>
          <t>SS-SATIN-STRIPED-BLUE-FULL-4PCS</t>
        </is>
      </c>
      <c r="D96" s="39" t="inlineStr">
        <is>
          <t>SLEEP SANCTUARY Satin Sheets Full Size – 4 Piece Luxury Silky Bed Set, Softer Than Silk, 15" Deep Pocket, Cooling &amp; Wrinkle-Free, Moisture-Wicking &amp; Breathable for Hair &amp; Skin (Striped Blue)</t>
        </is>
      </c>
      <c r="E96" s="39" t="inlineStr">
        <is>
          <t>Full</t>
        </is>
      </c>
      <c r="F96" s="39" t="inlineStr">
        <is>
          <t>Striped Blue</t>
        </is>
      </c>
      <c r="G96" s="40" t="n"/>
      <c r="H96" s="39" t="n"/>
      <c r="I96" s="74" t="n">
        <v>36.95</v>
      </c>
      <c r="J96" s="75" t="inlineStr">
        <is>
          <t>2026-03-30</t>
        </is>
      </c>
      <c r="K96" s="40" t="n">
        <v>12.78</v>
      </c>
      <c r="L96" s="76" t="n">
        <v>0.3458728010825441</v>
      </c>
      <c r="M96" s="77" t="n"/>
      <c r="N96" s="39" t="inlineStr">
        <is>
          <t>Inactive</t>
        </is>
      </c>
      <c r="O96" s="39" t="n"/>
      <c r="P96" s="78" t="n"/>
      <c r="Q96" s="77" t="n"/>
      <c r="R96" s="77" t="n"/>
      <c r="S96" s="77" t="n"/>
      <c r="T96" s="39" t="n"/>
    </row>
    <row r="97" ht="62" customHeight="1">
      <c r="A97" s="12">
        <f>_xlfn.IMAGE("https://m.media-amazon.com/images/I/81c0TeFW0bL.jpg")</f>
        <v/>
      </c>
      <c r="B97" s="39" t="inlineStr">
        <is>
          <t>B0DDR7G7Z8</t>
        </is>
      </c>
      <c r="C97" s="39" t="inlineStr">
        <is>
          <t>SS-SATIN-STRIPED-GOLD-FULL-4PCS</t>
        </is>
      </c>
      <c r="D97" s="39" t="inlineStr">
        <is>
          <t>SLEEP SANCTUARY Satin Sheets Full Size – 4 Piece Luxury Silky Bed Set, Softer Than Silk, 15" Deep Pocket, Cooling &amp; Wrinkle-Free, Moisture-Wicking &amp; Breathable for Hair &amp; Skin (Striped Gold)</t>
        </is>
      </c>
      <c r="E97" s="39" t="inlineStr">
        <is>
          <t>Full</t>
        </is>
      </c>
      <c r="F97" s="39" t="inlineStr">
        <is>
          <t>Striped Gold</t>
        </is>
      </c>
      <c r="G97" s="73" t="n">
        <v>39.95</v>
      </c>
      <c r="H97" s="39" t="inlineStr">
        <is>
          <t>catalog price, 2026-10-13</t>
        </is>
      </c>
      <c r="I97" s="74" t="n">
        <v>37.95</v>
      </c>
      <c r="J97" s="75" t="inlineStr">
        <is>
          <t>2026-03-30</t>
        </is>
      </c>
      <c r="K97" s="40" t="n">
        <v>15.78000000000001</v>
      </c>
      <c r="L97" s="76" t="n">
        <v>0.415810276679842</v>
      </c>
      <c r="M97" s="77" t="n">
        <v>0</v>
      </c>
      <c r="N97" s="39" t="inlineStr">
        <is>
          <t>Active</t>
        </is>
      </c>
      <c r="O97" s="39" t="n"/>
      <c r="P97" s="78" t="n">
        <v>4.4</v>
      </c>
      <c r="Q97" s="77" t="n">
        <v>1080</v>
      </c>
      <c r="R97" s="77" t="n">
        <v>28101</v>
      </c>
      <c r="S97" s="77" t="n">
        <v>1</v>
      </c>
      <c r="T97" s="39" t="n"/>
    </row>
    <row r="98" ht="62" customHeight="1">
      <c r="A98" s="12">
        <f>_xlfn.IMAGE("https://m.media-amazon.com/images/I/81umFKx0vnL.jpg")</f>
        <v/>
      </c>
      <c r="B98" s="39" t="inlineStr">
        <is>
          <t>B0DDR72BDZ</t>
        </is>
      </c>
      <c r="C98" s="39" t="inlineStr">
        <is>
          <t>SS-SATIN-STRIPED-WHITE-FULL-4PCS</t>
        </is>
      </c>
      <c r="D98" s="39" t="inlineStr">
        <is>
          <t>SLEEP SANCTUARY Satin Sheets Full Size – 4 Piece Luxury Silky Bed Set, Softer Than Silk, 15" Deep Pocket, Cooling &amp; Wrinkle-Free, Moisture-Wicking &amp; Breathable for Hair &amp; Skin (Striped White)</t>
        </is>
      </c>
      <c r="E98" s="39" t="inlineStr">
        <is>
          <t>Full</t>
        </is>
      </c>
      <c r="F98" s="39" t="inlineStr">
        <is>
          <t>Striped White</t>
        </is>
      </c>
      <c r="G98" s="40" t="n"/>
      <c r="H98" s="39" t="n"/>
      <c r="I98" s="40" t="n"/>
      <c r="J98" s="39" t="n"/>
      <c r="K98" s="40" t="n"/>
      <c r="L98" s="76" t="n"/>
      <c r="M98" s="77" t="n"/>
      <c r="N98" s="39" t="inlineStr">
        <is>
          <t>Inactive</t>
        </is>
      </c>
      <c r="O98" s="39" t="n"/>
      <c r="P98" s="78" t="n"/>
      <c r="Q98" s="77" t="n"/>
      <c r="R98" s="77" t="n"/>
      <c r="S98" s="77" t="n"/>
      <c r="T98" s="39" t="n"/>
    </row>
    <row r="99" ht="62" customHeight="1">
      <c r="A99" s="12">
        <f>_xlfn.IMAGE("https://m.media-amazon.com/images/I/81bZ3S4CehL.jpg")</f>
        <v/>
      </c>
      <c r="B99" s="39" t="inlineStr">
        <is>
          <t>B0DDR6G4WJ</t>
        </is>
      </c>
      <c r="C99" s="39" t="inlineStr">
        <is>
          <t>SS-SATIN-TAUPE-FULL-4PCS</t>
        </is>
      </c>
      <c r="D99" s="39" t="inlineStr">
        <is>
          <t>SLEEP SANCTUARY Satin Sheets Full Size – 4 Piece Luxury Silky Bed Set, Softer Than Silk, 15" Deep Pocket, Cooling &amp; Wrinkle-Free, Moisture-Wicking &amp; Breathable for Hair &amp; Skin (Taupe)</t>
        </is>
      </c>
      <c r="E99" s="39" t="inlineStr">
        <is>
          <t>Full</t>
        </is>
      </c>
      <c r="F99" s="39" t="inlineStr">
        <is>
          <t>Taupe</t>
        </is>
      </c>
      <c r="G99" s="73" t="n">
        <v>29.95</v>
      </c>
      <c r="H99" s="39" t="inlineStr">
        <is>
          <t>catalog price, 2026-10-13</t>
        </is>
      </c>
      <c r="I99" s="74" t="n">
        <v>36.95</v>
      </c>
      <c r="J99" s="75" t="inlineStr">
        <is>
          <t>2026-03-30</t>
        </is>
      </c>
      <c r="K99" s="40" t="n">
        <v>14.63</v>
      </c>
      <c r="L99" s="76" t="n">
        <v>0.3959404600811909</v>
      </c>
      <c r="M99" s="77" t="n">
        <v>0</v>
      </c>
      <c r="N99" s="39" t="inlineStr">
        <is>
          <t>Active</t>
        </is>
      </c>
      <c r="O99" s="39" t="n"/>
      <c r="P99" s="78" t="n">
        <v>4.4</v>
      </c>
      <c r="Q99" s="77" t="n">
        <v>1080</v>
      </c>
      <c r="R99" s="77" t="n">
        <v>28101</v>
      </c>
      <c r="S99" s="77" t="n">
        <v>7</v>
      </c>
      <c r="T99" s="39" t="n"/>
    </row>
    <row r="100" ht="62" customHeight="1">
      <c r="A100" s="12">
        <f>_xlfn.IMAGE("https://m.media-amazon.com/images/I/818RX-kt6VL.jpg")</f>
        <v/>
      </c>
      <c r="B100" s="39" t="inlineStr">
        <is>
          <t>B0DDRH7S7L</t>
        </is>
      </c>
      <c r="C100" s="39" t="inlineStr">
        <is>
          <t>SS-SATIN-WHITE-FULL-4PCS</t>
        </is>
      </c>
      <c r="D100" s="39" t="inlineStr">
        <is>
          <t>SLEEP SANCTUARY Satin Sheets Full Size – 4 Piece Luxury Silky Bed Set, Softer Than Silk, 15" Deep Pocket, Cooling &amp; Wrinkle-Free, Moisture-Wicking &amp; Breathable for Hair &amp; Skin (White)</t>
        </is>
      </c>
      <c r="E100" s="39" t="inlineStr">
        <is>
          <t>Full</t>
        </is>
      </c>
      <c r="F100" s="39" t="inlineStr">
        <is>
          <t>White</t>
        </is>
      </c>
      <c r="G100" s="40" t="n"/>
      <c r="H100" s="39" t="n"/>
      <c r="I100" s="74" t="n">
        <v>37.95</v>
      </c>
      <c r="J100" s="75" t="inlineStr">
        <is>
          <t>2026-03-30</t>
        </is>
      </c>
      <c r="K100" s="40" t="n">
        <v>16.38</v>
      </c>
      <c r="L100" s="76" t="n">
        <v>0.4316205533596838</v>
      </c>
      <c r="M100" s="77" t="n">
        <v>0</v>
      </c>
      <c r="N100" s="39" t="inlineStr">
        <is>
          <t>Inactive</t>
        </is>
      </c>
      <c r="O100" s="39" t="n"/>
      <c r="P100" s="78" t="n"/>
      <c r="Q100" s="77" t="n"/>
      <c r="R100" s="77" t="n"/>
      <c r="S100" s="77" t="n"/>
      <c r="T100" s="39" t="n"/>
    </row>
    <row r="101" ht="62" customHeight="1">
      <c r="A101" s="12">
        <f>_xlfn.IMAGE("https://m.media-amazon.com/images/I/81i0u4Y+8uL.jpg")</f>
        <v/>
      </c>
      <c r="B101" s="39" t="inlineStr">
        <is>
          <t>B0DDRFDBSP</t>
        </is>
      </c>
      <c r="C101" s="39" t="inlineStr">
        <is>
          <t>SS-SATIN-SAGE-GREEN-KING-4PCS</t>
        </is>
      </c>
      <c r="D101" s="39" t="inlineStr">
        <is>
          <t>SLEEP SANCTUARY Satin Sheets King Size – 4 Piece Luxury Silky Bed Set, Softer Than Silk, 15" Deep Pocket, Cooling &amp; Wrinkle-Free, Moisture-Wicking &amp; Breathable for Hair &amp; Skin (Sage Green)</t>
        </is>
      </c>
      <c r="E101" s="39" t="inlineStr">
        <is>
          <t>King</t>
        </is>
      </c>
      <c r="F101" s="39" t="inlineStr">
        <is>
          <t>Sage Green</t>
        </is>
      </c>
      <c r="G101" s="40" t="n"/>
      <c r="H101" s="39" t="n"/>
      <c r="I101" s="74" t="n">
        <v>35.95</v>
      </c>
      <c r="J101" s="75" t="inlineStr">
        <is>
          <t>2026-03-30</t>
        </is>
      </c>
      <c r="K101" s="40" t="n">
        <v>11.47</v>
      </c>
      <c r="L101" s="76" t="n">
        <v>0.3190542420027817</v>
      </c>
      <c r="M101" s="77" t="n">
        <v>0</v>
      </c>
      <c r="N101" s="39" t="inlineStr">
        <is>
          <t>Inactive</t>
        </is>
      </c>
      <c r="O101" s="39" t="n"/>
      <c r="P101" s="78" t="n"/>
      <c r="Q101" s="77" t="n"/>
      <c r="R101" s="77" t="n"/>
      <c r="S101" s="77" t="n"/>
      <c r="T101" s="39" t="n"/>
    </row>
    <row r="102" ht="62" customHeight="1">
      <c r="A102" s="12">
        <f>_xlfn.IMAGE("https://m.media-amazon.com/images/I/81qEq06R1GL.jpg")</f>
        <v/>
      </c>
      <c r="B102" s="39" t="inlineStr">
        <is>
          <t>B0DDR9FXWM</t>
        </is>
      </c>
      <c r="C102" s="39" t="inlineStr">
        <is>
          <t>SS-SATIN-STRIPED-BLACK-KING-4PCS</t>
        </is>
      </c>
      <c r="D102" s="39" t="inlineStr">
        <is>
          <t>SLEEP SANCTUARY Satin Sheets King Size – 4 Piece Luxury Silky Bed Set, Softer Than Silk, 15" Deep Pocket, Cooling &amp; Wrinkle-Free, Moisture-Wicking &amp; Breathable for Hair &amp; Skin (Striped Black)</t>
        </is>
      </c>
      <c r="E102" s="39" t="inlineStr">
        <is>
          <t>King</t>
        </is>
      </c>
      <c r="F102" s="39" t="inlineStr">
        <is>
          <t>Striped Black</t>
        </is>
      </c>
      <c r="G102" s="40" t="n"/>
      <c r="H102" s="39" t="n"/>
      <c r="I102" s="74" t="n">
        <v>35.95</v>
      </c>
      <c r="J102" s="75" t="inlineStr">
        <is>
          <t>2026-03-30</t>
        </is>
      </c>
      <c r="K102" s="40" t="n">
        <v>10.56</v>
      </c>
      <c r="L102" s="76" t="n">
        <v>0.2937413073713491</v>
      </c>
      <c r="M102" s="77" t="n"/>
      <c r="N102" s="39" t="inlineStr">
        <is>
          <t>Inactive</t>
        </is>
      </c>
      <c r="O102" s="39" t="n"/>
      <c r="P102" s="78" t="n"/>
      <c r="Q102" s="77" t="n"/>
      <c r="R102" s="77" t="n"/>
      <c r="S102" s="77" t="n"/>
      <c r="T102" s="39" t="n"/>
    </row>
    <row r="103" ht="62" customHeight="1">
      <c r="A103" s="12">
        <f>_xlfn.IMAGE("https://m.media-amazon.com/images/I/81IuYnZdF7L.jpg")</f>
        <v/>
      </c>
      <c r="B103" s="39" t="inlineStr">
        <is>
          <t>B0DDRKSQT2</t>
        </is>
      </c>
      <c r="C103" s="39" t="inlineStr">
        <is>
          <t>SS-SATIN-STRIPED-BLUE-KING-4PCS</t>
        </is>
      </c>
      <c r="D103" s="39" t="inlineStr">
        <is>
          <t>SLEEP SANCTUARY Satin Sheets King Size – 4 Piece Luxury Silky Bed Set, Softer Than Silk, 15" Deep Pocket, Cooling &amp; Wrinkle-Free, Moisture-Wicking &amp; Breathable for Hair &amp; Skin (Striped Blue)</t>
        </is>
      </c>
      <c r="E103" s="39" t="inlineStr">
        <is>
          <t>King</t>
        </is>
      </c>
      <c r="F103" s="39" t="inlineStr">
        <is>
          <t>Striped Blue</t>
        </is>
      </c>
      <c r="G103" s="40" t="n"/>
      <c r="H103" s="39" t="n"/>
      <c r="I103" s="74" t="n">
        <v>35.95</v>
      </c>
      <c r="J103" s="75" t="inlineStr">
        <is>
          <t>2026-03-16</t>
        </is>
      </c>
      <c r="K103" s="40" t="n">
        <v>10.61</v>
      </c>
      <c r="L103" s="76" t="n">
        <v>0.2951321279554938</v>
      </c>
      <c r="M103" s="77" t="n"/>
      <c r="N103" s="39" t="inlineStr">
        <is>
          <t>Inactive</t>
        </is>
      </c>
      <c r="O103" s="39" t="n"/>
      <c r="P103" s="78" t="n"/>
      <c r="Q103" s="77" t="n"/>
      <c r="R103" s="77" t="n"/>
      <c r="S103" s="77" t="n"/>
      <c r="T103" s="39" t="n"/>
    </row>
    <row r="104" ht="62" customHeight="1">
      <c r="A104" s="12">
        <f>_xlfn.IMAGE("https://m.media-amazon.com/images/I/81VzFs1NSBL.jpg")</f>
        <v/>
      </c>
      <c r="B104" s="39" t="inlineStr">
        <is>
          <t>B0DDRKQYDW</t>
        </is>
      </c>
      <c r="C104" s="39" t="inlineStr">
        <is>
          <t>SS-SATIN-STRIPED-PINK-KING-4PCS</t>
        </is>
      </c>
      <c r="D104" s="39" t="inlineStr">
        <is>
          <t>SLEEP SANCTUARY Satin Sheets King Size – 4 Piece Luxury Silky Bed Set, Softer Than Silk, 15" Deep Pocket, Cooling &amp; Wrinkle-Free, Moisture-Wicking &amp; Breathable for Hair &amp; Skin (Striped Pink)</t>
        </is>
      </c>
      <c r="E104" s="39" t="inlineStr">
        <is>
          <t>King</t>
        </is>
      </c>
      <c r="F104" s="39" t="inlineStr">
        <is>
          <t>Striped Pink</t>
        </is>
      </c>
      <c r="G104" s="40" t="n"/>
      <c r="H104" s="39" t="n"/>
      <c r="I104" s="74" t="n">
        <v>35.95</v>
      </c>
      <c r="J104" s="75" t="inlineStr">
        <is>
          <t>2026-03-30</t>
        </is>
      </c>
      <c r="K104" s="40" t="n">
        <v>10.14</v>
      </c>
      <c r="L104" s="76" t="n">
        <v>0.2820584144645341</v>
      </c>
      <c r="M104" s="77" t="n"/>
      <c r="N104" s="39" t="inlineStr">
        <is>
          <t>Inactive</t>
        </is>
      </c>
      <c r="O104" s="39" t="n"/>
      <c r="P104" s="78" t="n"/>
      <c r="Q104" s="77" t="n"/>
      <c r="R104" s="77" t="n"/>
      <c r="S104" s="77" t="n"/>
      <c r="T104" s="39" t="n"/>
    </row>
    <row r="105" ht="62" customHeight="1">
      <c r="A105" s="12">
        <f>_xlfn.IMAGE("https://m.media-amazon.com/images/I/81qxRfk+zkL.jpg")</f>
        <v/>
      </c>
      <c r="B105" s="39" t="inlineStr">
        <is>
          <t>B0DDRDBWCG</t>
        </is>
      </c>
      <c r="C105" s="39" t="inlineStr">
        <is>
          <t>SS-SATIN-STRIPED-PURPLE-KING-4PCS</t>
        </is>
      </c>
      <c r="D105" s="39" t="inlineStr">
        <is>
          <t>SLEEP SANCTUARY Satin Sheets King Size – 4 Piece Luxury Silky Bed Set, Softer Than Silk, 15" Deep Pocket, Cooling &amp; Wrinkle-Free, Moisture-Wicking &amp; Breathable for Hair &amp; Skin (Striped Purple)</t>
        </is>
      </c>
      <c r="E105" s="39" t="inlineStr">
        <is>
          <t>King</t>
        </is>
      </c>
      <c r="F105" s="39" t="inlineStr">
        <is>
          <t>Striped Purple</t>
        </is>
      </c>
      <c r="G105" s="40" t="n"/>
      <c r="H105" s="39" t="n"/>
      <c r="I105" s="74" t="n">
        <v>37.95</v>
      </c>
      <c r="J105" s="75" t="inlineStr">
        <is>
          <t>2026-02-28</t>
        </is>
      </c>
      <c r="K105" s="40" t="n">
        <v>12.31</v>
      </c>
      <c r="L105" s="76" t="n">
        <v>0.3243741765480897</v>
      </c>
      <c r="M105" s="77" t="n"/>
      <c r="N105" s="39" t="inlineStr">
        <is>
          <t>Inactive</t>
        </is>
      </c>
      <c r="O105" s="39" t="n"/>
      <c r="P105" s="78" t="n"/>
      <c r="Q105" s="77" t="n"/>
      <c r="R105" s="77" t="n"/>
      <c r="S105" s="77" t="n"/>
      <c r="T105" s="39" t="n"/>
    </row>
    <row r="106" ht="62" customHeight="1">
      <c r="A106" s="12">
        <f>_xlfn.IMAGE("https://m.media-amazon.com/images/I/81umFKx0vnL.jpg")</f>
        <v/>
      </c>
      <c r="B106" s="39" t="inlineStr">
        <is>
          <t>B0DDR4D9HP</t>
        </is>
      </c>
      <c r="C106" s="39" t="inlineStr">
        <is>
          <t>SS-SATIN-STRIPED-WHITE-KING-4PCS</t>
        </is>
      </c>
      <c r="D106" s="39" t="inlineStr">
        <is>
          <t>SLEEP SANCTUARY Satin Sheets King Size – 4 Piece Luxury Silky Bed Set, Softer Than Silk, 15" Deep Pocket, Cooling &amp; Wrinkle-Free, Moisture-Wicking &amp; Breathable for Hair &amp; Skin (Striped White)</t>
        </is>
      </c>
      <c r="E106" s="39" t="inlineStr">
        <is>
          <t>King</t>
        </is>
      </c>
      <c r="F106" s="39" t="inlineStr">
        <is>
          <t>Striped White</t>
        </is>
      </c>
      <c r="G106" s="40" t="n"/>
      <c r="H106" s="39" t="n"/>
      <c r="I106" s="74" t="n">
        <v>35.95</v>
      </c>
      <c r="J106" s="75" t="inlineStr">
        <is>
          <t>2026-03-30</t>
        </is>
      </c>
      <c r="K106" s="40" t="n">
        <v>10.98</v>
      </c>
      <c r="L106" s="76" t="n">
        <v>0.3054242002781641</v>
      </c>
      <c r="M106" s="77" t="n">
        <v>0</v>
      </c>
      <c r="N106" s="39" t="inlineStr">
        <is>
          <t>Inactive</t>
        </is>
      </c>
      <c r="O106" s="39" t="n"/>
      <c r="P106" s="78" t="n"/>
      <c r="Q106" s="77" t="n"/>
      <c r="R106" s="77" t="n"/>
      <c r="S106" s="77" t="n"/>
      <c r="T106" s="39" t="n"/>
    </row>
    <row r="107" ht="62" customHeight="1">
      <c r="A107" s="12">
        <f>_xlfn.IMAGE("https://m.media-amazon.com/images/I/81qEq06R1GL.jpg")</f>
        <v/>
      </c>
      <c r="B107" s="39" t="inlineStr">
        <is>
          <t>B0DDRFM554</t>
        </is>
      </c>
      <c r="C107" s="39" t="inlineStr">
        <is>
          <t>SS-SATIN-BABY-BLUE-QUEEN-4PCS</t>
        </is>
      </c>
      <c r="D107" s="39" t="inlineStr">
        <is>
          <t>SLEEP SANCTUARY Satin Sheets Queen Size – 4 Piece Luxury Silky Bed Set, Softer Than Silk, 15" Deep Pocket, Cooling &amp; Wrinkle-Free, Moisture-Wicking &amp; Breathable for Hair &amp; Skin (Baby Blue)</t>
        </is>
      </c>
      <c r="E107" s="39" t="inlineStr">
        <is>
          <t>Queen</t>
        </is>
      </c>
      <c r="F107" s="39" t="inlineStr">
        <is>
          <t>Baby Blue</t>
        </is>
      </c>
      <c r="G107" s="40" t="n"/>
      <c r="H107" s="39" t="n"/>
      <c r="I107" s="74" t="n">
        <v>33.95</v>
      </c>
      <c r="J107" s="75" t="inlineStr">
        <is>
          <t>2026-03-30</t>
        </is>
      </c>
      <c r="K107" s="40" t="n">
        <v>11.81</v>
      </c>
      <c r="L107" s="76" t="n">
        <v>0.3478645066273933</v>
      </c>
      <c r="M107" s="77" t="n"/>
      <c r="N107" s="39" t="inlineStr">
        <is>
          <t>Inactive</t>
        </is>
      </c>
      <c r="O107" s="39" t="n"/>
      <c r="P107" s="78" t="n"/>
      <c r="Q107" s="77" t="n"/>
      <c r="R107" s="77" t="n"/>
      <c r="S107" s="77" t="n"/>
      <c r="T107" s="39" t="n"/>
    </row>
    <row r="108" ht="62" customHeight="1">
      <c r="A108" s="12">
        <f>_xlfn.IMAGE("https://m.media-amazon.com/images/I/81qEq06R1GL.jpg")</f>
        <v/>
      </c>
      <c r="B108" s="39" t="inlineStr">
        <is>
          <t>B0DDR6C74S</t>
        </is>
      </c>
      <c r="C108" s="39" t="inlineStr">
        <is>
          <t>SS-SATIN-BLACK-QUEEN-4PCS</t>
        </is>
      </c>
      <c r="D108" s="39" t="inlineStr">
        <is>
          <t>SLEEP SANCTUARY Satin Sheets Queen Size – 4 Piece Luxury Silky Bed Set, Softer Than Silk, 15" Deep Pocket, Cooling &amp; Wrinkle-Free, Moisture-Wicking &amp; Breathable for Hair &amp; Skin (Black)</t>
        </is>
      </c>
      <c r="E108" s="39" t="inlineStr">
        <is>
          <t>Queen</t>
        </is>
      </c>
      <c r="F108" s="39" t="inlineStr">
        <is>
          <t>Black</t>
        </is>
      </c>
      <c r="G108" s="40" t="n"/>
      <c r="H108" s="39" t="n"/>
      <c r="I108" s="74" t="n">
        <v>33.95</v>
      </c>
      <c r="J108" s="75" t="inlineStr">
        <is>
          <t>2026-03-30</t>
        </is>
      </c>
      <c r="K108" s="40" t="n">
        <v>12.7</v>
      </c>
      <c r="L108" s="76" t="n">
        <v>0.3740795287187041</v>
      </c>
      <c r="M108" s="77" t="n"/>
      <c r="N108" s="39" t="inlineStr">
        <is>
          <t>Inactive</t>
        </is>
      </c>
      <c r="O108" s="39" t="n"/>
      <c r="P108" s="78" t="n"/>
      <c r="Q108" s="77" t="n"/>
      <c r="R108" s="77" t="n"/>
      <c r="S108" s="77" t="n"/>
      <c r="T108" s="39" t="n"/>
    </row>
    <row r="109" ht="62" customHeight="1">
      <c r="A109" s="12">
        <f>_xlfn.IMAGE("https://m.media-amazon.com/images/I/81q5RxTETDL.jpg")</f>
        <v/>
      </c>
      <c r="B109" s="39" t="inlineStr">
        <is>
          <t>B0DDRB8PG4</t>
        </is>
      </c>
      <c r="C109" s="39" t="inlineStr">
        <is>
          <t>SS-SATIN-BURNT-ORANGE-QUEEN-4PCS</t>
        </is>
      </c>
      <c r="D109" s="39" t="inlineStr">
        <is>
          <t>SLEEP SANCTUARY Satin Sheets Queen Size – 4 Piece Luxury Silky Bed Set, Softer Than Silk, 15" Deep Pocket, Cooling &amp; Wrinkle-Free, Moisture-Wicking &amp; Breathable for Hair &amp; Skin (Burnt Orange)</t>
        </is>
      </c>
      <c r="E109" s="39" t="inlineStr">
        <is>
          <t>Queen</t>
        </is>
      </c>
      <c r="F109" s="39" t="inlineStr">
        <is>
          <t>Burnt Orange</t>
        </is>
      </c>
      <c r="G109" s="40" t="n"/>
      <c r="H109" s="39" t="n"/>
      <c r="I109" s="74" t="n">
        <v>39.95</v>
      </c>
      <c r="J109" s="75" t="inlineStr">
        <is>
          <t>2026-03-30</t>
        </is>
      </c>
      <c r="K109" s="40" t="n">
        <v>15.93</v>
      </c>
      <c r="L109" s="76" t="n">
        <v>0.3987484355444305</v>
      </c>
      <c r="M109" s="77" t="n"/>
      <c r="N109" s="39" t="inlineStr">
        <is>
          <t>Inactive</t>
        </is>
      </c>
      <c r="O109" s="39" t="n"/>
      <c r="P109" s="78" t="n"/>
      <c r="Q109" s="77" t="n"/>
      <c r="R109" s="77" t="n"/>
      <c r="S109" s="77" t="n"/>
      <c r="T109" s="39" t="n"/>
    </row>
    <row r="110" ht="62" customHeight="1">
      <c r="A110" s="12">
        <f>_xlfn.IMAGE("https://m.media-amazon.com/images/I/81J3uOru1eL.jpg")</f>
        <v/>
      </c>
      <c r="B110" s="39" t="inlineStr">
        <is>
          <t>B0DDRGZYZD</t>
        </is>
      </c>
      <c r="C110" s="39" t="inlineStr">
        <is>
          <t>SS-SATIN-DARK-GREEN-QUEEN-4PCS</t>
        </is>
      </c>
      <c r="D110" s="39" t="inlineStr">
        <is>
          <t>SLEEP SANCTUARY Satin Sheets Queen Size – 4 Piece Luxury Silky Bed Set, Softer Than Silk, 15" Deep Pocket, Cooling &amp; Wrinkle-Free, Moisture-Wicking &amp; Breathable for Hair &amp; Skin (Dark Green)</t>
        </is>
      </c>
      <c r="E110" s="39" t="inlineStr">
        <is>
          <t>Queen</t>
        </is>
      </c>
      <c r="F110" s="39" t="inlineStr">
        <is>
          <t>Dark Green</t>
        </is>
      </c>
      <c r="G110" s="40" t="n"/>
      <c r="H110" s="39" t="n"/>
      <c r="I110" s="74" t="n">
        <v>33.95</v>
      </c>
      <c r="J110" s="75" t="inlineStr">
        <is>
          <t>2026-03-30</t>
        </is>
      </c>
      <c r="K110" s="40" t="n">
        <v>11.96</v>
      </c>
      <c r="L110" s="76" t="n">
        <v>0.3522827687776142</v>
      </c>
      <c r="M110" s="77" t="n">
        <v>0</v>
      </c>
      <c r="N110" s="39" t="inlineStr">
        <is>
          <t>Inactive</t>
        </is>
      </c>
      <c r="O110" s="39" t="n"/>
      <c r="P110" s="78" t="n"/>
      <c r="Q110" s="77" t="n"/>
      <c r="R110" s="77" t="n"/>
      <c r="S110" s="77" t="n"/>
      <c r="T110" s="39" t="n"/>
    </row>
    <row r="111" ht="62" customHeight="1">
      <c r="A111" s="12">
        <f>_xlfn.IMAGE("https://m.media-amazon.com/images/I/81P2vrHt+-L.jpg")</f>
        <v/>
      </c>
      <c r="B111" s="39" t="inlineStr">
        <is>
          <t>B0DDRF591L</t>
        </is>
      </c>
      <c r="C111" s="39" t="inlineStr">
        <is>
          <t>SS-SATIN-GREY-QUEEN-4PCS</t>
        </is>
      </c>
      <c r="D111" s="39" t="inlineStr">
        <is>
          <t>SLEEP SANCTUARY Satin Sheets Queen Size – 4 Piece Luxury Silky Bed Set, Softer Than Silk, 15" Deep Pocket, Cooling &amp; Wrinkle-Free, Moisture-Wicking &amp; Breathable for Hair &amp; Skin (Grey-01)</t>
        </is>
      </c>
      <c r="E111" s="39" t="inlineStr">
        <is>
          <t>Queen</t>
        </is>
      </c>
      <c r="F111" s="39" t="inlineStr">
        <is>
          <t>Grey</t>
        </is>
      </c>
      <c r="G111" s="40" t="n"/>
      <c r="H111" s="39" t="n"/>
      <c r="I111" s="74" t="n">
        <v>33.95</v>
      </c>
      <c r="J111" s="75" t="inlineStr">
        <is>
          <t>2026-03-30</t>
        </is>
      </c>
      <c r="K111" s="40" t="n">
        <v>12.99</v>
      </c>
      <c r="L111" s="76" t="n">
        <v>0.3826215022091312</v>
      </c>
      <c r="M111" s="77" t="n"/>
      <c r="N111" s="39" t="inlineStr">
        <is>
          <t>Inactive</t>
        </is>
      </c>
      <c r="O111" s="39" t="n"/>
      <c r="P111" s="78" t="n"/>
      <c r="Q111" s="77" t="n"/>
      <c r="R111" s="77" t="n"/>
      <c r="S111" s="77" t="n"/>
      <c r="T111" s="39" t="n"/>
    </row>
    <row r="112" ht="62" customHeight="1">
      <c r="A112" s="12">
        <f>_xlfn.IMAGE("https://m.media-amazon.com/images/I/81TG-RmUYiL.jpg")</f>
        <v/>
      </c>
      <c r="B112" s="39" t="inlineStr">
        <is>
          <t>B0HKN7814L</t>
        </is>
      </c>
      <c r="C112" s="39" t="n"/>
      <c r="D112" s="39" t="inlineStr">
        <is>
          <t>SLEEP SANCTUARY Satin Sheets Queen Size – 4 Piece Luxury Silky Bed Set, Softer Than Silk, 15" Deep Pocket, Cooling &amp; Wrinkle-Free, Moisture-Wicking &amp; Breathable for Hair &amp; Skin (Grey)</t>
        </is>
      </c>
      <c r="E112" s="39" t="inlineStr">
        <is>
          <t>Queen</t>
        </is>
      </c>
      <c r="F112" s="39" t="inlineStr">
        <is>
          <t>Grey</t>
        </is>
      </c>
      <c r="G112" s="40" t="n"/>
      <c r="H112" s="39" t="n"/>
      <c r="I112" s="40" t="n"/>
      <c r="J112" s="39" t="n"/>
      <c r="K112" s="40" t="n"/>
      <c r="L112" s="76" t="n"/>
      <c r="M112" s="77" t="n"/>
      <c r="N112" s="39" t="inlineStr">
        <is>
          <t>Inactive</t>
        </is>
      </c>
      <c r="O112" s="39" t="n"/>
      <c r="P112" s="78" t="n"/>
      <c r="Q112" s="77" t="n"/>
      <c r="R112" s="77" t="n"/>
      <c r="S112" s="77" t="n"/>
      <c r="T112" s="39" t="n"/>
    </row>
    <row r="113" ht="62" customHeight="1">
      <c r="A113" s="12">
        <f>_xlfn.IMAGE("https://m.media-amazon.com/images/I/81NQCabFrWL.jpg")</f>
        <v/>
      </c>
      <c r="B113" s="39" t="inlineStr">
        <is>
          <t>B0DDRD7JM2</t>
        </is>
      </c>
      <c r="C113" s="39" t="inlineStr">
        <is>
          <t>SS-SATIN-RED-QUEEN-4PCS</t>
        </is>
      </c>
      <c r="D113" s="39" t="inlineStr">
        <is>
          <t>SLEEP SANCTUARY Satin Sheets Queen Size – 4 Piece Luxury Silky Bed Set, Softer Than Silk, 15" Deep Pocket, Cooling &amp; Wrinkle-Free, Moisture-Wicking &amp; Breathable for Hair &amp; Skin (Red)</t>
        </is>
      </c>
      <c r="E113" s="39" t="inlineStr">
        <is>
          <t>Queen</t>
        </is>
      </c>
      <c r="F113" s="39" t="inlineStr">
        <is>
          <t>Red</t>
        </is>
      </c>
      <c r="G113" s="40" t="n"/>
      <c r="H113" s="39" t="n"/>
      <c r="I113" s="74" t="n">
        <v>33.95</v>
      </c>
      <c r="J113" s="75" t="inlineStr">
        <is>
          <t>2026-03-30</t>
        </is>
      </c>
      <c r="K113" s="40" t="n">
        <v>12.34</v>
      </c>
      <c r="L113" s="76" t="n">
        <v>0.3634756995581739</v>
      </c>
      <c r="M113" s="77" t="n"/>
      <c r="N113" s="39" t="inlineStr">
        <is>
          <t>Inactive</t>
        </is>
      </c>
      <c r="O113" s="39" t="n"/>
      <c r="P113" s="78" t="n"/>
      <c r="Q113" s="77" t="n"/>
      <c r="R113" s="77" t="n"/>
      <c r="S113" s="77" t="n"/>
      <c r="T113" s="39" t="n"/>
    </row>
    <row r="114" ht="62" customHeight="1">
      <c r="A114" s="12">
        <f>_xlfn.IMAGE("https://m.media-amazon.com/images/I/81vHqIiWdYL.jpg")</f>
        <v/>
      </c>
      <c r="B114" s="39" t="inlineStr">
        <is>
          <t>B0DDR5VW96</t>
        </is>
      </c>
      <c r="C114" s="39" t="inlineStr">
        <is>
          <t>SS-SATIN-ROSEWOOD-QUEEN-4PCS</t>
        </is>
      </c>
      <c r="D114" s="39" t="inlineStr">
        <is>
          <t>SLEEP SANCTUARY Satin Sheets Queen Size – 4 Piece Luxury Silky Bed Set, Softer Than Silk, 15" Deep Pocket, Cooling &amp; Wrinkle-Free, Moisture-Wicking &amp; Breathable for Hair &amp; Skin (Rosewood)</t>
        </is>
      </c>
      <c r="E114" s="39" t="inlineStr">
        <is>
          <t>Queen</t>
        </is>
      </c>
      <c r="F114" s="39" t="inlineStr">
        <is>
          <t>Rosewood</t>
        </is>
      </c>
      <c r="G114" s="40" t="n"/>
      <c r="H114" s="39" t="n"/>
      <c r="I114" s="74" t="n">
        <v>33.95</v>
      </c>
      <c r="J114" s="75" t="inlineStr">
        <is>
          <t>2026-03-30</t>
        </is>
      </c>
      <c r="K114" s="40" t="n">
        <v>12.58</v>
      </c>
      <c r="L114" s="76" t="n">
        <v>0.3705449189985273</v>
      </c>
      <c r="M114" s="77" t="n"/>
      <c r="N114" s="39" t="inlineStr">
        <is>
          <t>Inactive</t>
        </is>
      </c>
      <c r="O114" s="39" t="n"/>
      <c r="P114" s="78" t="n"/>
      <c r="Q114" s="77" t="n"/>
      <c r="R114" s="77" t="n"/>
      <c r="S114" s="77" t="n"/>
      <c r="T114" s="39" t="n"/>
    </row>
    <row r="115" ht="62" customHeight="1">
      <c r="A115" s="12">
        <f>_xlfn.IMAGE("https://m.media-amazon.com/images/I/81B6BzVilhL.jpg")</f>
        <v/>
      </c>
      <c r="B115" s="39" t="inlineStr">
        <is>
          <t>B0DDRDPMNM</t>
        </is>
      </c>
      <c r="C115" s="39" t="inlineStr">
        <is>
          <t>SS-SATIN-SEA-TEAL-QUEEN-4PCS</t>
        </is>
      </c>
      <c r="D115" s="39" t="inlineStr">
        <is>
          <t>SLEEP SANCTUARY Satin Sheets Queen Size – 4 Piece Luxury Silky Bed Set, Softer Than Silk, 15" Deep Pocket, Cooling &amp; Wrinkle-Free, Moisture-Wicking &amp; Breathable for Hair &amp; Skin (Sea Teal)</t>
        </is>
      </c>
      <c r="E115" s="39" t="inlineStr">
        <is>
          <t>Queen</t>
        </is>
      </c>
      <c r="F115" s="39" t="inlineStr">
        <is>
          <t>Sea Teal</t>
        </is>
      </c>
      <c r="G115" s="40" t="n"/>
      <c r="H115" s="39" t="n"/>
      <c r="I115" s="40" t="n"/>
      <c r="J115" s="39" t="n"/>
      <c r="K115" s="40" t="n"/>
      <c r="L115" s="76" t="n"/>
      <c r="M115" s="77" t="n"/>
      <c r="N115" s="39" t="inlineStr">
        <is>
          <t>Inactive</t>
        </is>
      </c>
      <c r="O115" s="39" t="n"/>
      <c r="P115" s="78" t="n"/>
      <c r="Q115" s="77" t="n"/>
      <c r="R115" s="77" t="n"/>
      <c r="S115" s="77" t="n"/>
      <c r="T115" s="39" t="n"/>
    </row>
    <row r="116" ht="62" customHeight="1">
      <c r="A116" s="12">
        <f>_xlfn.IMAGE("https://m.media-amazon.com/images/I/816iXpTTsDL.jpg")</f>
        <v/>
      </c>
      <c r="B116" s="39" t="inlineStr">
        <is>
          <t>B0DDQX4176</t>
        </is>
      </c>
      <c r="C116" s="39" t="inlineStr">
        <is>
          <t>SS-SATIN-STONE-GREY-QUEEN-4PCS</t>
        </is>
      </c>
      <c r="D116" s="39" t="inlineStr">
        <is>
          <t>SLEEP SANCTUARY Satin Sheets Queen Size – 4 Piece Luxury Silky Bed Set, Softer Than Silk, 15" Deep Pocket, Cooling &amp; Wrinkle-Free, Moisture-Wicking &amp; Breathable for Hair &amp; Skin (Stone Grey)</t>
        </is>
      </c>
      <c r="E116" s="39" t="inlineStr">
        <is>
          <t>Queen</t>
        </is>
      </c>
      <c r="F116" s="39" t="inlineStr">
        <is>
          <t>Stone Grey</t>
        </is>
      </c>
      <c r="G116" s="40" t="n"/>
      <c r="H116" s="39" t="n"/>
      <c r="I116" s="74" t="n">
        <v>37.95</v>
      </c>
      <c r="J116" s="75" t="inlineStr">
        <is>
          <t>2026-03-30</t>
        </is>
      </c>
      <c r="K116" s="40" t="n">
        <v>15.12000000000001</v>
      </c>
      <c r="L116" s="76" t="n">
        <v>0.398418972332016</v>
      </c>
      <c r="M116" s="77" t="n"/>
      <c r="N116" s="39" t="inlineStr">
        <is>
          <t>Inactive</t>
        </is>
      </c>
      <c r="O116" s="39" t="n"/>
      <c r="P116" s="78" t="n"/>
      <c r="Q116" s="77" t="n"/>
      <c r="R116" s="77" t="n"/>
      <c r="S116" s="77" t="n"/>
      <c r="T116" s="39" t="n"/>
    </row>
    <row r="117" ht="62" customHeight="1">
      <c r="A117" s="12">
        <f>_xlfn.IMAGE("https://m.media-amazon.com/images/I/81qEq06R1GL.jpg")</f>
        <v/>
      </c>
      <c r="B117" s="39" t="inlineStr">
        <is>
          <t>B0DDQV5F8M</t>
        </is>
      </c>
      <c r="C117" s="39" t="inlineStr">
        <is>
          <t>SS-SATIN-STRIPED-BLACK-QUEEN-4PCS</t>
        </is>
      </c>
      <c r="D117" s="39" t="inlineStr">
        <is>
          <t>SLEEP SANCTUARY Satin Sheets Queen Size – 4 Piece Luxury Silky Bed Set, Softer Than Silk, 15" Deep Pocket, Cooling &amp; Wrinkle-Free, Moisture-Wicking &amp; Breathable for Hair &amp; Skin (Striped Black)</t>
        </is>
      </c>
      <c r="E117" s="39" t="inlineStr">
        <is>
          <t>Queen</t>
        </is>
      </c>
      <c r="F117" s="39" t="inlineStr">
        <is>
          <t>Striped Black</t>
        </is>
      </c>
      <c r="G117" s="40" t="n"/>
      <c r="H117" s="39" t="n"/>
      <c r="I117" s="40" t="n"/>
      <c r="J117" s="39" t="n"/>
      <c r="K117" s="40" t="n"/>
      <c r="L117" s="76" t="n"/>
      <c r="M117" s="77" t="n"/>
      <c r="N117" s="39" t="inlineStr">
        <is>
          <t>Inactive</t>
        </is>
      </c>
      <c r="O117" s="39" t="n"/>
      <c r="P117" s="78" t="n"/>
      <c r="Q117" s="77" t="n"/>
      <c r="R117" s="77" t="n"/>
      <c r="S117" s="77" t="n"/>
      <c r="T117" s="39" t="n"/>
    </row>
    <row r="118" ht="62" customHeight="1">
      <c r="A118" s="12">
        <f>_xlfn.IMAGE("https://m.media-amazon.com/images/I/81c0TeFW0bL.jpg")</f>
        <v/>
      </c>
      <c r="B118" s="39" t="inlineStr">
        <is>
          <t>B0DDRB21ZG</t>
        </is>
      </c>
      <c r="C118" s="39" t="inlineStr">
        <is>
          <t>SS-SATIN-STRIPED-GOLD-QUEEN-4PCS</t>
        </is>
      </c>
      <c r="D118" s="39" t="inlineStr">
        <is>
          <t>SLEEP SANCTUARY Satin Sheets Queen Size – 4 Piece Luxury Silky Bed Set, Softer Than Silk, 15" Deep Pocket, Cooling &amp; Wrinkle-Free, Moisture-Wicking &amp; Breathable for Hair &amp; Skin (Striped Gold)</t>
        </is>
      </c>
      <c r="E118" s="39" t="inlineStr">
        <is>
          <t>Queen</t>
        </is>
      </c>
      <c r="F118" s="39" t="inlineStr">
        <is>
          <t>Striped Gold</t>
        </is>
      </c>
      <c r="G118" s="73" t="n">
        <v>33.95</v>
      </c>
      <c r="H118" s="39" t="inlineStr">
        <is>
          <t>catalog price, 2026-10-13</t>
        </is>
      </c>
      <c r="I118" s="74" t="n">
        <v>33.95</v>
      </c>
      <c r="J118" s="75" t="inlineStr">
        <is>
          <t>2026-03-30</t>
        </is>
      </c>
      <c r="K118" s="40" t="n">
        <v>10.13</v>
      </c>
      <c r="L118" s="76" t="n">
        <v>0.298379970544919</v>
      </c>
      <c r="M118" s="77" t="n">
        <v>0</v>
      </c>
      <c r="N118" s="39" t="inlineStr">
        <is>
          <t>Active</t>
        </is>
      </c>
      <c r="O118" s="39" t="n"/>
      <c r="P118" s="78" t="n">
        <v>4.4</v>
      </c>
      <c r="Q118" s="77" t="n">
        <v>1080</v>
      </c>
      <c r="R118" s="77" t="n">
        <v>28101</v>
      </c>
      <c r="S118" s="77" t="n">
        <v>0.9351</v>
      </c>
      <c r="T118" s="39" t="n"/>
    </row>
    <row r="119" ht="62" customHeight="1">
      <c r="A119" s="12">
        <f>_xlfn.IMAGE("https://m.media-amazon.com/images/I/81EuG0SlLvL.jpg")</f>
        <v/>
      </c>
      <c r="B119" s="39" t="inlineStr">
        <is>
          <t>B0DDR3NYFT</t>
        </is>
      </c>
      <c r="C119" s="39" t="inlineStr">
        <is>
          <t>SS-SATIN-STRIPED-GREY-QUEEN-4PCS</t>
        </is>
      </c>
      <c r="D119" s="39" t="inlineStr">
        <is>
          <t>SLEEP SANCTUARY Satin Sheets Queen Size – 4 Piece Luxury Silky Bed Set, Softer Than Silk, 15" Deep Pocket, Cooling &amp; Wrinkle-Free, Moisture-Wicking &amp; Breathable for Hair &amp; Skin (Striped Grey)</t>
        </is>
      </c>
      <c r="E119" s="39" t="inlineStr">
        <is>
          <t>Queen</t>
        </is>
      </c>
      <c r="F119" s="39" t="inlineStr">
        <is>
          <t>Striped Grey</t>
        </is>
      </c>
      <c r="G119" s="40" t="n"/>
      <c r="H119" s="39" t="n"/>
      <c r="I119" s="74" t="n">
        <v>33.95</v>
      </c>
      <c r="J119" s="75" t="inlineStr">
        <is>
          <t>2026-03-30</t>
        </is>
      </c>
      <c r="K119" s="40" t="n">
        <v>7.850000000000001</v>
      </c>
      <c r="L119" s="76" t="n">
        <v>0.2312223858615611</v>
      </c>
      <c r="M119" s="77" t="n"/>
      <c r="N119" s="39" t="inlineStr">
        <is>
          <t>Inactive</t>
        </is>
      </c>
      <c r="O119" s="39" t="n"/>
      <c r="P119" s="78" t="n"/>
      <c r="Q119" s="77" t="n"/>
      <c r="R119" s="77" t="n"/>
      <c r="S119" s="77" t="n"/>
      <c r="T119" s="39" t="n"/>
    </row>
    <row r="120" ht="62" customHeight="1">
      <c r="A120" s="12">
        <f>_xlfn.IMAGE("https://m.media-amazon.com/images/I/81qxRfk+zkL.jpg")</f>
        <v/>
      </c>
      <c r="B120" s="39" t="inlineStr">
        <is>
          <t>B0DDRC33TZ</t>
        </is>
      </c>
      <c r="C120" s="39" t="inlineStr">
        <is>
          <t>SS-SATIN-STRIPED-PURPLE-QUEEN-4PCS</t>
        </is>
      </c>
      <c r="D120" s="39" t="inlineStr">
        <is>
          <t>SLEEP SANCTUARY Satin Sheets Queen Size – 4 Piece Luxury Silky Bed Set, Softer Than Silk, 15" Deep Pocket, Cooling &amp; Wrinkle-Free, Moisture-Wicking &amp; Breathable for Hair &amp; Skin (Striped Purple)</t>
        </is>
      </c>
      <c r="E120" s="39" t="inlineStr">
        <is>
          <t>Queen</t>
        </is>
      </c>
      <c r="F120" s="39" t="inlineStr">
        <is>
          <t>Striped Purple</t>
        </is>
      </c>
      <c r="G120" s="40" t="n"/>
      <c r="H120" s="39" t="n"/>
      <c r="I120" s="74" t="n">
        <v>33.95</v>
      </c>
      <c r="J120" s="75" t="inlineStr">
        <is>
          <t>2026-03-30</t>
        </is>
      </c>
      <c r="K120" s="40" t="n">
        <v>10.47</v>
      </c>
      <c r="L120" s="76" t="n">
        <v>0.3083946980854198</v>
      </c>
      <c r="M120" s="77" t="n"/>
      <c r="N120" s="39" t="inlineStr">
        <is>
          <t>Inactive</t>
        </is>
      </c>
      <c r="O120" s="39" t="n"/>
      <c r="P120" s="78" t="n"/>
      <c r="Q120" s="77" t="n"/>
      <c r="R120" s="77" t="n"/>
      <c r="S120" s="77" t="n"/>
      <c r="T120" s="39" t="n"/>
    </row>
    <row r="121" ht="62" customHeight="1">
      <c r="A121" s="12">
        <f>_xlfn.IMAGE("https://m.media-amazon.com/images/I/81umFKx0vnL.jpg")</f>
        <v/>
      </c>
      <c r="B121" s="39" t="inlineStr">
        <is>
          <t>B0DDR1X5B9</t>
        </is>
      </c>
      <c r="C121" s="39" t="inlineStr">
        <is>
          <t>SS-SATIN-STRIPED-WHITE-QUEEN-4PCS</t>
        </is>
      </c>
      <c r="D121" s="39" t="inlineStr">
        <is>
          <t>SLEEP SANCTUARY Satin Sheets Queen Size – 4 Piece Luxury Silky Bed Set, Softer Than Silk, 15" Deep Pocket, Cooling &amp; Wrinkle-Free, Moisture-Wicking &amp; Breathable for Hair &amp; Skin (Striped White)</t>
        </is>
      </c>
      <c r="E121" s="39" t="inlineStr">
        <is>
          <t>Queen</t>
        </is>
      </c>
      <c r="F121" s="39" t="inlineStr">
        <is>
          <t>Striped White</t>
        </is>
      </c>
      <c r="G121" s="40" t="n"/>
      <c r="H121" s="39" t="n"/>
      <c r="I121" s="74" t="n">
        <v>33.95</v>
      </c>
      <c r="J121" s="75" t="inlineStr">
        <is>
          <t>2026-03-30</t>
        </is>
      </c>
      <c r="K121" s="40" t="n">
        <v>9.440000000000001</v>
      </c>
      <c r="L121" s="76" t="n">
        <v>0.2780559646539028</v>
      </c>
      <c r="M121" s="77" t="n"/>
      <c r="N121" s="39" t="inlineStr">
        <is>
          <t>Inactive</t>
        </is>
      </c>
      <c r="O121" s="39" t="n"/>
      <c r="P121" s="78" t="n"/>
      <c r="Q121" s="77" t="n"/>
      <c r="R121" s="77" t="n"/>
      <c r="S121" s="77" t="n"/>
      <c r="T121" s="39" t="n"/>
    </row>
    <row r="122" ht="62" customHeight="1">
      <c r="A122" s="12">
        <f>_xlfn.IMAGE("https://m.media-amazon.com/images/I/818RX-kt6VL.jpg")</f>
        <v/>
      </c>
      <c r="B122" s="39" t="inlineStr">
        <is>
          <t>B0DDR1DYR6</t>
        </is>
      </c>
      <c r="C122" s="39" t="inlineStr">
        <is>
          <t>SS-SATIN-WHITE-QUEEN-4PCS</t>
        </is>
      </c>
      <c r="D122" s="39" t="inlineStr">
        <is>
          <t>SLEEP SANCTUARY Satin Sheets Queen Size – 4 Piece Luxury Silky Bed Set, Softer Than Silk, 15" Deep Pocket, Cooling &amp; Wrinkle-Free, Moisture-Wicking &amp; Breathable for Hair &amp; Skin (White)</t>
        </is>
      </c>
      <c r="E122" s="39" t="inlineStr">
        <is>
          <t>Queen</t>
        </is>
      </c>
      <c r="F122" s="39" t="inlineStr">
        <is>
          <t>White</t>
        </is>
      </c>
      <c r="G122" s="40" t="n"/>
      <c r="H122" s="39" t="n"/>
      <c r="I122" s="74" t="n">
        <v>33.95</v>
      </c>
      <c r="J122" s="75" t="inlineStr">
        <is>
          <t>2026-03-30</t>
        </is>
      </c>
      <c r="K122" s="40" t="n">
        <v>12.57</v>
      </c>
      <c r="L122" s="76" t="n">
        <v>0.3702503681885125</v>
      </c>
      <c r="M122" s="77" t="n"/>
      <c r="N122" s="39" t="inlineStr">
        <is>
          <t>Inactive</t>
        </is>
      </c>
      <c r="O122" s="39" t="n"/>
      <c r="P122" s="78" t="n"/>
      <c r="Q122" s="77" t="n"/>
      <c r="R122" s="77" t="n"/>
      <c r="S122" s="77" t="n"/>
      <c r="T122" s="39" t="n"/>
    </row>
    <row r="123" ht="62" customHeight="1">
      <c r="A123" s="12">
        <f>_xlfn.IMAGE("https://m.media-amazon.com/images/I/81qEq06R1GL.jpg")</f>
        <v/>
      </c>
      <c r="B123" s="39" t="inlineStr">
        <is>
          <t>B0DDR9ZDTW</t>
        </is>
      </c>
      <c r="C123" s="39" t="inlineStr">
        <is>
          <t>SS-SATIN-BABY-BLUE-TWIN-3PCS</t>
        </is>
      </c>
      <c r="D123" s="39" t="inlineStr">
        <is>
          <t>SLEEP SANCTUARY Satin Sheets Twin Size – 3 Piece Luxury Silky Bed Set, Softer Than Silk, 15" Deep Pocket, Cooling &amp; Wrinkle-Free, Moisture-Wicking &amp; Breathable for Hair &amp; Skin (Baby Blue)</t>
        </is>
      </c>
      <c r="E123" s="39" t="inlineStr">
        <is>
          <t>Twin</t>
        </is>
      </c>
      <c r="F123" s="39" t="inlineStr">
        <is>
          <t>Baby Blue</t>
        </is>
      </c>
      <c r="G123" s="40" t="n"/>
      <c r="H123" s="39" t="n"/>
      <c r="I123" s="74" t="n">
        <v>29.95</v>
      </c>
      <c r="J123" s="75" t="inlineStr">
        <is>
          <t>2026-03-30</t>
        </is>
      </c>
      <c r="K123" s="40" t="n">
        <v>10.53</v>
      </c>
      <c r="L123" s="76" t="n">
        <v>0.3515859766277128</v>
      </c>
      <c r="M123" s="77" t="n"/>
      <c r="N123" s="39" t="inlineStr">
        <is>
          <t>Inactive</t>
        </is>
      </c>
      <c r="O123" s="39" t="n"/>
      <c r="P123" s="78" t="n"/>
      <c r="Q123" s="77" t="n"/>
      <c r="R123" s="77" t="n"/>
      <c r="S123" s="77" t="n"/>
      <c r="T123" s="39" t="n"/>
    </row>
    <row r="124" ht="62" customHeight="1">
      <c r="A124" s="12">
        <f>_xlfn.IMAGE("https://m.media-amazon.com/images/I/81qEq06R1GL.jpg")</f>
        <v/>
      </c>
      <c r="B124" s="39" t="inlineStr">
        <is>
          <t>B0DDRCSW2N</t>
        </is>
      </c>
      <c r="C124" s="39" t="inlineStr">
        <is>
          <t>SS-SATIN-BLACK-TWIN-3PCS</t>
        </is>
      </c>
      <c r="D124" s="39" t="inlineStr">
        <is>
          <t>SLEEP SANCTUARY Satin Sheets Twin Size – 3 Piece Luxury Silky Bed Set, Softer Than Silk, 15" Deep Pocket, Cooling &amp; Wrinkle-Free, Moisture-Wicking &amp; Breathable for Hair &amp; Skin (Black)</t>
        </is>
      </c>
      <c r="E124" s="39" t="inlineStr">
        <is>
          <t>Twin</t>
        </is>
      </c>
      <c r="F124" s="39" t="inlineStr">
        <is>
          <t>Black</t>
        </is>
      </c>
      <c r="G124" s="40" t="n"/>
      <c r="H124" s="39" t="n"/>
      <c r="I124" s="74" t="n">
        <v>35.95</v>
      </c>
      <c r="J124" s="75" t="inlineStr">
        <is>
          <t>2026-03-30</t>
        </is>
      </c>
      <c r="K124" s="40" t="n">
        <v>16.85</v>
      </c>
      <c r="L124" s="76" t="n">
        <v>0.4687065368567455</v>
      </c>
      <c r="M124" s="77" t="n"/>
      <c r="N124" s="39" t="inlineStr">
        <is>
          <t>Inactive</t>
        </is>
      </c>
      <c r="O124" s="39" t="n"/>
      <c r="P124" s="78" t="n"/>
      <c r="Q124" s="77" t="n"/>
      <c r="R124" s="77" t="n"/>
      <c r="S124" s="77" t="n"/>
      <c r="T124" s="39" t="n"/>
    </row>
    <row r="125" ht="62" customHeight="1">
      <c r="A125" s="12">
        <f>_xlfn.IMAGE("https://m.media-amazon.com/images/I/81q5RxTETDL.jpg")</f>
        <v/>
      </c>
      <c r="B125" s="39" t="inlineStr">
        <is>
          <t>B0DDRF485L</t>
        </is>
      </c>
      <c r="C125" s="39" t="inlineStr">
        <is>
          <t>SS-SATIN-BURNT-ORANGE-TWIN-3PCS</t>
        </is>
      </c>
      <c r="D125" s="39" t="inlineStr">
        <is>
          <t>SLEEP SANCTUARY Satin Sheets Twin Size – 3 Piece Luxury Silky Bed Set, Softer Than Silk, 15" Deep Pocket, Cooling &amp; Wrinkle-Free, Moisture-Wicking &amp; Breathable for Hair &amp; Skin (Burnt Orange)</t>
        </is>
      </c>
      <c r="E125" s="39" t="inlineStr">
        <is>
          <t>Twin</t>
        </is>
      </c>
      <c r="F125" s="39" t="inlineStr">
        <is>
          <t>Burnt Orange</t>
        </is>
      </c>
      <c r="G125" s="73" t="n">
        <v>29.95</v>
      </c>
      <c r="H125" s="39" t="inlineStr">
        <is>
          <t>catalog price, 2026-10-13</t>
        </is>
      </c>
      <c r="I125" s="74" t="n">
        <v>29.95</v>
      </c>
      <c r="J125" s="75" t="inlineStr">
        <is>
          <t>2026-03-30</t>
        </is>
      </c>
      <c r="K125" s="40" t="n">
        <v>12.26</v>
      </c>
      <c r="L125" s="76" t="n">
        <v>0.4093489148580968</v>
      </c>
      <c r="M125" s="77" t="n">
        <v>0</v>
      </c>
      <c r="N125" s="39" t="inlineStr">
        <is>
          <t>Active</t>
        </is>
      </c>
      <c r="O125" s="39" t="n"/>
      <c r="P125" s="78" t="n">
        <v>4.4</v>
      </c>
      <c r="Q125" s="77" t="n">
        <v>1080</v>
      </c>
      <c r="R125" s="77" t="n">
        <v>28101</v>
      </c>
      <c r="S125" s="77" t="n">
        <v>9</v>
      </c>
      <c r="T125" s="39" t="n"/>
    </row>
    <row r="126" ht="62" customHeight="1">
      <c r="A126" s="12">
        <f>_xlfn.IMAGE("https://m.media-amazon.com/images/I/81dWPG6osuL.jpg")</f>
        <v/>
      </c>
      <c r="B126" s="39" t="inlineStr">
        <is>
          <t>B0DDR96RQ3</t>
        </is>
      </c>
      <c r="C126" s="39" t="inlineStr">
        <is>
          <t>SS-SATIN-CHAMPAGNE-TWIN-3PCS</t>
        </is>
      </c>
      <c r="D126" s="39" t="inlineStr">
        <is>
          <t>SLEEP SANCTUARY Satin Sheets Twin Size – 3 Piece Luxury Silky Bed Set, Softer Than Silk, 15" Deep Pocket, Cooling &amp; Wrinkle-Free, Moisture-Wicking &amp; Breathable for Hair &amp; Skin (Champagne)</t>
        </is>
      </c>
      <c r="E126" s="39" t="inlineStr">
        <is>
          <t>Twin</t>
        </is>
      </c>
      <c r="F126" s="39" t="inlineStr">
        <is>
          <t>Champagne</t>
        </is>
      </c>
      <c r="G126" s="73" t="n">
        <v>36.95</v>
      </c>
      <c r="H126" s="39" t="inlineStr">
        <is>
          <t>catalog price, 2026-10-13</t>
        </is>
      </c>
      <c r="I126" s="74" t="n">
        <v>29.95</v>
      </c>
      <c r="J126" s="75" t="inlineStr">
        <is>
          <t>2026-03-30</t>
        </is>
      </c>
      <c r="K126" s="40" t="n">
        <v>11.12</v>
      </c>
      <c r="L126" s="76" t="n">
        <v>0.3712854757929883</v>
      </c>
      <c r="M126" s="77" t="n">
        <v>0</v>
      </c>
      <c r="N126" s="39" t="inlineStr">
        <is>
          <t>Active</t>
        </is>
      </c>
      <c r="O126" s="39" t="n"/>
      <c r="P126" s="78" t="n">
        <v>4.4</v>
      </c>
      <c r="Q126" s="77" t="n">
        <v>1080</v>
      </c>
      <c r="R126" s="77" t="n">
        <v>28101</v>
      </c>
      <c r="S126" s="77" t="n">
        <v>2</v>
      </c>
      <c r="T126" s="39" t="n"/>
    </row>
    <row r="127" ht="62" customHeight="1">
      <c r="A127" s="12">
        <f>_xlfn.IMAGE("https://m.media-amazon.com/images/I/81NQCabFrWL.jpg")</f>
        <v/>
      </c>
      <c r="B127" s="39" t="inlineStr">
        <is>
          <t>B0DDQTZWY6</t>
        </is>
      </c>
      <c r="C127" s="39" t="inlineStr">
        <is>
          <t>SS-SATIN-RED-TWIN-3PCS</t>
        </is>
      </c>
      <c r="D127" s="39" t="inlineStr">
        <is>
          <t>SLEEP SANCTUARY Satin Sheets Twin Size – 3 Piece Luxury Silky Bed Set, Softer Than Silk, 15" Deep Pocket, Cooling &amp; Wrinkle-Free, Moisture-Wicking &amp; Breathable for Hair &amp; Skin (Red)</t>
        </is>
      </c>
      <c r="E127" s="39" t="inlineStr">
        <is>
          <t>Twin</t>
        </is>
      </c>
      <c r="F127" s="39" t="inlineStr">
        <is>
          <t>Red</t>
        </is>
      </c>
      <c r="G127" s="73" t="n">
        <v>29.95</v>
      </c>
      <c r="H127" s="39" t="inlineStr">
        <is>
          <t>catalog price, 2026-10-13</t>
        </is>
      </c>
      <c r="I127" s="74" t="n">
        <v>35.95</v>
      </c>
      <c r="J127" s="75" t="inlineStr">
        <is>
          <t>2026-03-30</t>
        </is>
      </c>
      <c r="K127" s="40" t="n">
        <v>16.98</v>
      </c>
      <c r="L127" s="76" t="n">
        <v>0.4723226703755216</v>
      </c>
      <c r="M127" s="77" t="n">
        <v>0</v>
      </c>
      <c r="N127" s="39" t="inlineStr">
        <is>
          <t>Active</t>
        </is>
      </c>
      <c r="O127" s="39" t="n"/>
      <c r="P127" s="78" t="n">
        <v>4.4</v>
      </c>
      <c r="Q127" s="77" t="n">
        <v>1080</v>
      </c>
      <c r="R127" s="77" t="n">
        <v>28101</v>
      </c>
      <c r="S127" s="77" t="n">
        <v>7</v>
      </c>
      <c r="T127" s="39" t="n"/>
    </row>
    <row r="128" ht="62" customHeight="1">
      <c r="A128" s="12">
        <f>_xlfn.IMAGE("https://m.media-amazon.com/images/I/81qEq06R1GL.jpg")</f>
        <v/>
      </c>
      <c r="B128" s="39" t="inlineStr">
        <is>
          <t>B0DDR3RYKF</t>
        </is>
      </c>
      <c r="C128" s="39" t="inlineStr">
        <is>
          <t>SS-SATIN-STRIPED-BLACK-TWIN-3PCS</t>
        </is>
      </c>
      <c r="D128" s="39" t="inlineStr">
        <is>
          <t>SLEEP SANCTUARY Satin Sheets Twin Size – 3 Piece Luxury Silky Bed Set, Softer Than Silk, 15" Deep Pocket, Cooling &amp; Wrinkle-Free, Moisture-Wicking &amp; Breathable for Hair &amp; Skin (Striped Black)</t>
        </is>
      </c>
      <c r="E128" s="39" t="inlineStr">
        <is>
          <t>Twin</t>
        </is>
      </c>
      <c r="F128" s="39" t="inlineStr">
        <is>
          <t>Striped Black</t>
        </is>
      </c>
      <c r="G128" s="40" t="n"/>
      <c r="H128" s="39" t="n"/>
      <c r="I128" s="74" t="n">
        <v>31.95</v>
      </c>
      <c r="J128" s="75" t="inlineStr">
        <is>
          <t>2026-03-20</t>
        </is>
      </c>
      <c r="K128" s="40" t="n">
        <v>12.3</v>
      </c>
      <c r="L128" s="76" t="n">
        <v>0.3849765258215963</v>
      </c>
      <c r="M128" s="77" t="n"/>
      <c r="N128" s="39" t="inlineStr">
        <is>
          <t>Inactive</t>
        </is>
      </c>
      <c r="O128" s="39" t="n"/>
      <c r="P128" s="78" t="n"/>
      <c r="Q128" s="77" t="n"/>
      <c r="R128" s="77" t="n"/>
      <c r="S128" s="77" t="n"/>
      <c r="T128" s="39" t="n"/>
    </row>
    <row r="129" ht="62" customHeight="1">
      <c r="A129" s="12">
        <f>_xlfn.IMAGE("https://m.media-amazon.com/images/I/81IuYnZdF7L.jpg")</f>
        <v/>
      </c>
      <c r="B129" s="39" t="inlineStr">
        <is>
          <t>B0DDR9XL62</t>
        </is>
      </c>
      <c r="C129" s="39" t="inlineStr">
        <is>
          <t>SS-SATIN-STRIPED-BLUE-TWIN-3PCS</t>
        </is>
      </c>
      <c r="D129" s="39" t="inlineStr">
        <is>
          <t>SLEEP SANCTUARY Satin Sheets Twin Size – 3 Piece Luxury Silky Bed Set, Softer Than Silk, 15" Deep Pocket, Cooling &amp; Wrinkle-Free, Moisture-Wicking &amp; Breathable for Hair &amp; Skin (Striped Blue)</t>
        </is>
      </c>
      <c r="E129" s="39" t="inlineStr">
        <is>
          <t>Twin</t>
        </is>
      </c>
      <c r="F129" s="39" t="inlineStr">
        <is>
          <t>Striped Blue</t>
        </is>
      </c>
      <c r="G129" s="73" t="n">
        <v>29.95</v>
      </c>
      <c r="H129" s="39" t="inlineStr">
        <is>
          <t>catalog price, 2026-10-13</t>
        </is>
      </c>
      <c r="I129" s="74" t="n">
        <v>33.95</v>
      </c>
      <c r="J129" s="75" t="inlineStr">
        <is>
          <t>2026-03-30</t>
        </is>
      </c>
      <c r="K129" s="40" t="n">
        <v>12.1</v>
      </c>
      <c r="L129" s="76" t="n">
        <v>0.3564064801178205</v>
      </c>
      <c r="M129" s="77" t="n">
        <v>0</v>
      </c>
      <c r="N129" s="39" t="inlineStr">
        <is>
          <t>Active</t>
        </is>
      </c>
      <c r="O129" s="39" t="n"/>
      <c r="P129" s="78" t="n">
        <v>4.4</v>
      </c>
      <c r="Q129" s="77" t="n">
        <v>1080</v>
      </c>
      <c r="R129" s="77" t="n">
        <v>28101</v>
      </c>
      <c r="S129" s="77" t="n">
        <v>9</v>
      </c>
      <c r="T129" s="39" t="n"/>
    </row>
    <row r="130" ht="62" customHeight="1">
      <c r="A130" s="12">
        <f>_xlfn.IMAGE("https://m.media-amazon.com/images/I/81c0TeFW0bL.jpg")</f>
        <v/>
      </c>
      <c r="B130" s="39" t="inlineStr">
        <is>
          <t>B0DDR85DVM</t>
        </is>
      </c>
      <c r="C130" s="39" t="inlineStr">
        <is>
          <t>SS-SATIN-STRIPED-GOLD-TWIN-3PCS</t>
        </is>
      </c>
      <c r="D130" s="39" t="inlineStr">
        <is>
          <t>SLEEP SANCTUARY Satin Sheets Twin Size – 3 Piece Luxury Silky Bed Set, Softer Than Silk, 15" Deep Pocket, Cooling &amp; Wrinkle-Free, Moisture-Wicking &amp; Breathable for Hair &amp; Skin (Striped Gold)</t>
        </is>
      </c>
      <c r="E130" s="39" t="inlineStr">
        <is>
          <t>Twin</t>
        </is>
      </c>
      <c r="F130" s="39" t="inlineStr">
        <is>
          <t>Striped Gold</t>
        </is>
      </c>
      <c r="G130" s="40" t="n"/>
      <c r="H130" s="39" t="n"/>
      <c r="I130" s="74" t="n">
        <v>31.95</v>
      </c>
      <c r="J130" s="75" t="inlineStr">
        <is>
          <t>2026-03-30</t>
        </is>
      </c>
      <c r="K130" s="40" t="n">
        <v>12.3</v>
      </c>
      <c r="L130" s="76" t="n">
        <v>0.3849765258215963</v>
      </c>
      <c r="M130" s="77" t="n">
        <v>0</v>
      </c>
      <c r="N130" s="39" t="inlineStr">
        <is>
          <t>Inactive</t>
        </is>
      </c>
      <c r="O130" s="39" t="n"/>
      <c r="P130" s="78" t="n"/>
      <c r="Q130" s="77" t="n"/>
      <c r="R130" s="77" t="n"/>
      <c r="S130" s="77" t="n"/>
      <c r="T130" s="39" t="n"/>
    </row>
    <row r="131" ht="62" customHeight="1">
      <c r="A131" s="12">
        <f>_xlfn.IMAGE("https://m.media-amazon.com/images/I/81EuG0SlLvL.jpg")</f>
        <v/>
      </c>
      <c r="B131" s="39" t="inlineStr">
        <is>
          <t>B0DDRKHNWQ</t>
        </is>
      </c>
      <c r="C131" s="39" t="inlineStr">
        <is>
          <t>SS-SATIN-STRIPED-GREY-TWIN-3PCS</t>
        </is>
      </c>
      <c r="D131" s="39" t="inlineStr">
        <is>
          <t>SLEEP SANCTUARY Satin Sheets Twin Size – 3 Piece Luxury Silky Bed Set, Softer Than Silk, 15" Deep Pocket, Cooling &amp; Wrinkle-Free, Moisture-Wicking &amp; Breathable for Hair &amp; Skin (Striped Grey)</t>
        </is>
      </c>
      <c r="E131" s="39" t="inlineStr">
        <is>
          <t>Twin</t>
        </is>
      </c>
      <c r="F131" s="39" t="inlineStr">
        <is>
          <t>Striped Grey</t>
        </is>
      </c>
      <c r="G131" s="73" t="n">
        <v>31.95</v>
      </c>
      <c r="H131" s="39" t="inlineStr">
        <is>
          <t>catalog price, 2026-10-13</t>
        </is>
      </c>
      <c r="I131" s="74" t="n">
        <v>31.95</v>
      </c>
      <c r="J131" s="75" t="inlineStr">
        <is>
          <t>2026-03-30</t>
        </is>
      </c>
      <c r="K131" s="40" t="n">
        <v>12.3</v>
      </c>
      <c r="L131" s="76" t="n">
        <v>0.3849765258215963</v>
      </c>
      <c r="M131" s="77" t="n">
        <v>0</v>
      </c>
      <c r="N131" s="39" t="inlineStr">
        <is>
          <t>Active</t>
        </is>
      </c>
      <c r="O131" s="39" t="n"/>
      <c r="P131" s="78" t="n">
        <v>4.4</v>
      </c>
      <c r="Q131" s="77" t="n">
        <v>1080</v>
      </c>
      <c r="R131" s="77" t="n">
        <v>28101</v>
      </c>
      <c r="S131" s="77" t="n">
        <v>3</v>
      </c>
      <c r="T131" s="39" t="n"/>
    </row>
    <row r="132" ht="62" customHeight="1">
      <c r="A132" s="12">
        <f>_xlfn.IMAGE("https://m.media-amazon.com/images/I/81qxRfk+zkL.jpg")</f>
        <v/>
      </c>
      <c r="B132" s="39" t="inlineStr">
        <is>
          <t>B0DDR9L9TF</t>
        </is>
      </c>
      <c r="C132" s="39" t="inlineStr">
        <is>
          <t>SS-SATIN-STRIPED-PURPLE-TWIN-3PCS</t>
        </is>
      </c>
      <c r="D132" s="39" t="inlineStr">
        <is>
          <t>SLEEP SANCTUARY Satin Sheets Twin Size – 3 Piece Luxury Silky Bed Set, Softer Than Silk, 15" Deep Pocket, Cooling &amp; Wrinkle-Free, Moisture-Wicking &amp; Breathable for Hair &amp; Skin (Striped Purple)</t>
        </is>
      </c>
      <c r="E132" s="39" t="inlineStr">
        <is>
          <t>Twin</t>
        </is>
      </c>
      <c r="F132" s="39" t="inlineStr">
        <is>
          <t>Striped Purple</t>
        </is>
      </c>
      <c r="G132" s="73" t="n">
        <v>29.95</v>
      </c>
      <c r="H132" s="39" t="inlineStr">
        <is>
          <t>catalog price, 2026-10-13</t>
        </is>
      </c>
      <c r="I132" s="74" t="n">
        <v>31.95</v>
      </c>
      <c r="J132" s="75" t="inlineStr">
        <is>
          <t>2026-03-30</t>
        </is>
      </c>
      <c r="K132" s="40" t="n">
        <v>12.3</v>
      </c>
      <c r="L132" s="76" t="n">
        <v>0.3849765258215963</v>
      </c>
      <c r="M132" s="77" t="n">
        <v>0</v>
      </c>
      <c r="N132" s="39" t="inlineStr">
        <is>
          <t>Active</t>
        </is>
      </c>
      <c r="O132" s="39" t="n"/>
      <c r="P132" s="78" t="n">
        <v>4.4</v>
      </c>
      <c r="Q132" s="77" t="n">
        <v>1080</v>
      </c>
      <c r="R132" s="77" t="n">
        <v>28101</v>
      </c>
      <c r="S132" s="77" t="n">
        <v>11</v>
      </c>
      <c r="T132" s="39" t="n"/>
    </row>
    <row r="133" ht="62" customHeight="1">
      <c r="A133" s="12">
        <f>_xlfn.IMAGE("https://m.media-amazon.com/images/I/81Jd40V1dxL.jpg")</f>
        <v/>
      </c>
      <c r="B133" s="39" t="inlineStr">
        <is>
          <t>B0DDR9XL5R</t>
        </is>
      </c>
      <c r="C133" s="39" t="inlineStr">
        <is>
          <t>SS-SATIN-STRIPED-RED-TWIN-3PCS</t>
        </is>
      </c>
      <c r="D133" s="39" t="inlineStr">
        <is>
          <t>SLEEP SANCTUARY Satin Sheets Twin Size – 3 Piece Luxury Silky Bed Set, Softer Than Silk, 15" Deep Pocket, Cooling &amp; Wrinkle-Free, Moisture-Wicking &amp; Breathable for Hair &amp; Skin (Striped Red)</t>
        </is>
      </c>
      <c r="E133" s="39" t="inlineStr">
        <is>
          <t>Twin</t>
        </is>
      </c>
      <c r="F133" s="39" t="inlineStr">
        <is>
          <t>Striped Red</t>
        </is>
      </c>
      <c r="G133" s="73" t="n">
        <v>34.95</v>
      </c>
      <c r="H133" s="39" t="inlineStr">
        <is>
          <t>catalog price, 2026-10-13</t>
        </is>
      </c>
      <c r="I133" s="74" t="n">
        <v>34.95</v>
      </c>
      <c r="J133" s="75" t="inlineStr">
        <is>
          <t>2026-03-30</t>
        </is>
      </c>
      <c r="K133" s="40" t="n">
        <v>14.24</v>
      </c>
      <c r="L133" s="76" t="n">
        <v>0.4074391988555078</v>
      </c>
      <c r="M133" s="77" t="n">
        <v>0</v>
      </c>
      <c r="N133" s="39" t="inlineStr">
        <is>
          <t>Active</t>
        </is>
      </c>
      <c r="O133" s="39" t="n"/>
      <c r="P133" s="78" t="n">
        <v>4.4</v>
      </c>
      <c r="Q133" s="77" t="n">
        <v>1080</v>
      </c>
      <c r="R133" s="77" t="n">
        <v>28101</v>
      </c>
      <c r="S133" s="77" t="n">
        <v>2</v>
      </c>
      <c r="T133" s="39" t="n"/>
    </row>
    <row r="134" ht="62" customHeight="1">
      <c r="A134" s="12">
        <f>_xlfn.IMAGE("https://m.media-amazon.com/images/I/81umFKx0vnL.jpg")</f>
        <v/>
      </c>
      <c r="B134" s="39" t="inlineStr">
        <is>
          <t>B0DDR95PQM</t>
        </is>
      </c>
      <c r="C134" s="39" t="inlineStr">
        <is>
          <t>SS-SATIN-STRIPED-WHITE-TWIN-3PCS</t>
        </is>
      </c>
      <c r="D134" s="39" t="inlineStr">
        <is>
          <t>SLEEP SANCTUARY Satin Sheets Twin Size – 3 Piece Luxury Silky Bed Set, Softer Than Silk, 15" Deep Pocket, Cooling &amp; Wrinkle-Free, Moisture-Wicking &amp; Breathable for Hair &amp; Skin (Striped White)</t>
        </is>
      </c>
      <c r="E134" s="39" t="inlineStr">
        <is>
          <t>Twin</t>
        </is>
      </c>
      <c r="F134" s="39" t="inlineStr">
        <is>
          <t>Striped White</t>
        </is>
      </c>
      <c r="G134" s="73" t="n">
        <v>29.95</v>
      </c>
      <c r="H134" s="39" t="inlineStr">
        <is>
          <t>catalog price, 2026-10-13</t>
        </is>
      </c>
      <c r="I134" s="74" t="n">
        <v>34.95</v>
      </c>
      <c r="J134" s="75" t="inlineStr">
        <is>
          <t>2026-03-30</t>
        </is>
      </c>
      <c r="K134" s="40" t="n">
        <v>14.24</v>
      </c>
      <c r="L134" s="76" t="n">
        <v>0.4074391988555078</v>
      </c>
      <c r="M134" s="77" t="n">
        <v>0</v>
      </c>
      <c r="N134" s="39" t="inlineStr">
        <is>
          <t>Active</t>
        </is>
      </c>
      <c r="O134" s="39" t="n"/>
      <c r="P134" s="78" t="n">
        <v>4.4</v>
      </c>
      <c r="Q134" s="77" t="n">
        <v>1080</v>
      </c>
      <c r="R134" s="77" t="n">
        <v>28101</v>
      </c>
      <c r="S134" s="77" t="n">
        <v>15</v>
      </c>
      <c r="T134" s="39" t="n"/>
    </row>
    <row r="135"/>
    <row r="136" ht="22" customHeight="1">
      <c r="A136" s="65" t="inlineStr">
        <is>
          <t>3 ▼</t>
        </is>
      </c>
      <c r="B136" s="66" t="inlineStr">
        <is>
          <t>OUR BFCM 2025 RESULT &amp; EVENT VISIBILITY</t>
        </is>
      </c>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c r="AC136" s="67" t="n"/>
      <c r="AD136" s="67" t="n"/>
      <c r="AE136" s="67" t="n"/>
      <c r="AF136" s="67" t="n"/>
      <c r="AG136" s="67" t="n"/>
      <c r="AH136" s="67" t="n"/>
      <c r="AI136" s="67" t="n"/>
      <c r="AJ136" s="67" t="n"/>
      <c r="AK136" s="67" t="n"/>
      <c r="AL136" s="67" t="n"/>
      <c r="AM136" s="67" t="n"/>
      <c r="AN136" s="67" t="n"/>
      <c r="AO136" s="67" t="n"/>
      <c r="AP136" s="67" t="n"/>
      <c r="AQ136" s="67" t="n"/>
      <c r="AR136" s="67" t="n"/>
      <c r="AS136" s="67" t="n"/>
      <c r="AT136" s="67" t="n"/>
      <c r="AU136" s="67" t="n"/>
      <c r="AV136" s="67" t="n"/>
      <c r="AW136" s="67" t="n"/>
      <c r="AX136" s="67" t="n"/>
      <c r="AY136" s="67" t="n"/>
      <c r="AZ136" s="67" t="n"/>
      <c r="BA136" s="67" t="n"/>
      <c r="BB136" s="67" t="n"/>
      <c r="BC136" s="67" t="n"/>
      <c r="BD136" s="67" t="n"/>
      <c r="BE136" s="67" t="n"/>
      <c r="BF136" s="67" t="n"/>
      <c r="BG136" s="67" t="n"/>
      <c r="BH136" s="67" t="n"/>
      <c r="BI136" s="67" t="n"/>
      <c r="BJ136" s="67" t="n"/>
      <c r="BK136" s="67" t="n"/>
    </row>
    <row r="137">
      <c r="A137" s="80" t="inlineStr">
        <is>
          <t>Window</t>
        </is>
      </c>
      <c r="B137" s="81" t="n"/>
      <c r="C137" s="82" t="n"/>
      <c r="D137" s="80" t="inlineStr">
        <is>
          <t>Ad spend</t>
        </is>
      </c>
      <c r="E137" s="80" t="inlineStr">
        <is>
          <t>Ad sales</t>
        </is>
      </c>
      <c r="F137" s="80" t="inlineStr">
        <is>
          <t>ACoS</t>
        </is>
      </c>
      <c r="G137" s="80" t="inlineStr">
        <is>
          <t>TACoS</t>
        </is>
      </c>
      <c r="H137" s="80" t="inlineStr">
        <is>
          <t>Total sales (derived)</t>
        </is>
      </c>
      <c r="J137" s="80" t="inlineStr">
        <is>
          <t>Ad orders</t>
        </is>
      </c>
      <c r="K137" s="80" t="inlineStr">
        <is>
          <t>CVR</t>
        </is>
      </c>
    </row>
    <row r="138">
      <c r="A138" s="83" t="inlineStr">
        <is>
          <t>Pre-event Oct 21 - Nov 19, 2025 (30d)</t>
        </is>
      </c>
      <c r="B138" s="81" t="n"/>
      <c r="C138" s="82" t="n"/>
      <c r="D138" s="84" t="n">
        <v>6434.679999999999</v>
      </c>
      <c r="E138" s="84" t="n">
        <v>14133.92</v>
      </c>
      <c r="F138" s="85" t="n">
        <v>45.5</v>
      </c>
      <c r="G138" s="85" t="n">
        <v>18.33916168620376</v>
      </c>
      <c r="H138" s="84" t="n">
        <v>35087.1</v>
      </c>
      <c r="J138" s="86" t="n">
        <v>413</v>
      </c>
      <c r="K138" s="87" t="n">
        <v>12.77</v>
      </c>
    </row>
    <row r="139">
      <c r="A139" s="83" t="inlineStr">
        <is>
          <t>BFCM week Nov 20 - Dec 1, 2025 (12d)</t>
        </is>
      </c>
      <c r="B139" s="81" t="n"/>
      <c r="C139" s="82" t="n"/>
      <c r="D139" s="84" t="n">
        <v>5730.2</v>
      </c>
      <c r="E139" s="84" t="n">
        <v>18026.72</v>
      </c>
      <c r="F139" s="85" t="n">
        <v>31.8</v>
      </c>
      <c r="G139" s="85" t="n">
        <v>15.76554888332635</v>
      </c>
      <c r="H139" s="84" t="n">
        <v>36346.34</v>
      </c>
      <c r="J139" s="86" t="n">
        <v>589</v>
      </c>
      <c r="K139" s="87" t="n">
        <v>20.98</v>
      </c>
    </row>
    <row r="140">
      <c r="A140" s="83" t="inlineStr">
        <is>
          <t>December 2 - 31, 2025 (30d)</t>
        </is>
      </c>
      <c r="B140" s="81" t="n"/>
      <c r="C140" s="82" t="n"/>
      <c r="D140" s="84" t="n">
        <v>26758.44</v>
      </c>
      <c r="E140" s="84" t="n">
        <v>74158.53999999999</v>
      </c>
      <c r="F140" s="85" t="n">
        <v>36.1</v>
      </c>
      <c r="G140" s="85" t="n">
        <v>15.22765995950436</v>
      </c>
      <c r="H140" s="84" t="n">
        <v>175722.6</v>
      </c>
      <c r="J140" s="86" t="n">
        <v>2194</v>
      </c>
      <c r="K140" s="87" t="n">
        <v>22.13</v>
      </c>
    </row>
    <row r="141"/>
    <row r="142">
      <c r="A142" s="80" t="inlineStr">
        <is>
          <t>Actual sales (account data)</t>
        </is>
      </c>
      <c r="B142" s="81" t="n"/>
      <c r="C142" s="82" t="n"/>
      <c r="D142" s="80" t="inlineStr">
        <is>
          <t>Sales</t>
        </is>
      </c>
      <c r="E142" s="80" t="inlineStr">
        <is>
          <t>Units</t>
        </is>
      </c>
      <c r="F142" s="80" t="inlineStr">
        <is>
          <t>Organic units</t>
        </is>
      </c>
      <c r="G142" s="80" t="inlineStr">
        <is>
          <t>Ad units</t>
        </is>
      </c>
      <c r="H142" s="80" t="inlineStr">
        <is>
          <t>Ad cost</t>
        </is>
      </c>
      <c r="J142" s="80" t="inlineStr">
        <is>
          <t>TACoS (actual)</t>
        </is>
      </c>
      <c r="K142" s="80" t="inlineStr">
        <is>
          <t>Sessions</t>
        </is>
      </c>
      <c r="L142" s="80" t="inlineStr">
        <is>
          <t>Unit session %</t>
        </is>
      </c>
      <c r="M142" s="80" t="inlineStr">
        <is>
          <t>Avg price</t>
        </is>
      </c>
      <c r="N142" s="80" t="inlineStr">
        <is>
          <t>Refunds</t>
        </is>
      </c>
    </row>
    <row r="143">
      <c r="A143" s="83" t="inlineStr">
        <is>
          <t>Pre-event Oct 21 - Nov 19, 2025 (30d)</t>
        </is>
      </c>
      <c r="B143" s="81" t="n"/>
      <c r="C143" s="82" t="n"/>
      <c r="D143" s="84" t="n">
        <v>35087.1</v>
      </c>
      <c r="E143" s="86" t="n">
        <v>1022</v>
      </c>
      <c r="F143" s="86" t="n">
        <v>893</v>
      </c>
      <c r="G143" s="86" t="n">
        <v>129</v>
      </c>
      <c r="H143" s="84" t="n">
        <v>6436.07</v>
      </c>
      <c r="J143" s="88" t="n">
        <v>0.1834312325612547</v>
      </c>
      <c r="K143" s="86" t="n">
        <v>13752</v>
      </c>
      <c r="L143" s="88" t="n">
        <v>0.07431646305991856</v>
      </c>
      <c r="M143" s="89" t="n">
        <v>34.33180039138943</v>
      </c>
      <c r="N143" s="86" t="n">
        <v>65</v>
      </c>
    </row>
    <row r="144">
      <c r="A144" s="83" t="inlineStr">
        <is>
          <t>BFCM week Nov 20 - Dec 1, 2025 (12d)</t>
        </is>
      </c>
      <c r="B144" s="81" t="n"/>
      <c r="C144" s="82" t="n"/>
      <c r="D144" s="84" t="n">
        <v>36346.34</v>
      </c>
      <c r="E144" s="86" t="n">
        <v>1207</v>
      </c>
      <c r="F144" s="86" t="n">
        <v>1082</v>
      </c>
      <c r="G144" s="86" t="n">
        <v>125</v>
      </c>
      <c r="H144" s="84" t="n">
        <v>5731.36</v>
      </c>
      <c r="J144" s="88" t="n">
        <v>0.1576874040137191</v>
      </c>
      <c r="K144" s="86" t="n">
        <v>14508</v>
      </c>
      <c r="L144" s="88" t="n">
        <v>0.08319547835676869</v>
      </c>
      <c r="M144" s="89" t="n">
        <v>30.11295774647887</v>
      </c>
      <c r="N144" s="86" t="n">
        <v>38</v>
      </c>
    </row>
    <row r="145">
      <c r="A145" s="83" t="inlineStr">
        <is>
          <t>December 2 - 31, 2025 (30d)</t>
        </is>
      </c>
      <c r="B145" s="81" t="n"/>
      <c r="C145" s="82" t="n"/>
      <c r="D145" s="84" t="n">
        <v>175722.6</v>
      </c>
      <c r="E145" s="86" t="n">
        <v>6045</v>
      </c>
      <c r="F145" s="86" t="n">
        <v>5625</v>
      </c>
      <c r="G145" s="86" t="n">
        <v>420</v>
      </c>
      <c r="H145" s="84" t="n">
        <v>26765.42</v>
      </c>
      <c r="J145" s="88" t="n">
        <v>0.1523163212927648</v>
      </c>
      <c r="K145" s="86" t="n">
        <v>225125</v>
      </c>
      <c r="L145" s="88" t="n">
        <v>0.0268517490283176</v>
      </c>
      <c r="M145" s="89" t="n">
        <v>29.06908188585608</v>
      </c>
      <c r="N145" s="86" t="n">
        <v>132</v>
      </c>
    </row>
    <row r="146">
      <c r="A146" s="90" t="inlineStr">
        <is>
          <t>account data, Amazon parent B0HFWXSCFP plus any of this product's child ASINs account data lists on their own, UTC days. Lift above uses these actual sales (2.59x; the ad-spend estimate was 2.59x).</t>
        </is>
      </c>
    </row>
    <row r="147" ht="30" customHeight="1">
      <c r="A147" s="91" t="inlineStr">
        <is>
          <t>Deals we ran or scheduled, Nov 1 - Dec 5, 2025 (deal records promotions; scheduled deal price not in the feed. price history price = lowest Buy Box seen during the deal, an observation for the hero child only, not the scheduled deal price): Lightning Deal 11-09 to 11-10 (cancelled, 112 variations); Lightning Deal 11-14 to 11-15 (cancelled, 112 variations); Best Deal 11-20 to 12-02 (ran, 114 variations, 1,152 units; price history lowest Buy Box during it $31.41 on B0DDRH9RD7).</t>
        </is>
      </c>
    </row>
    <row r="148" ht="18" customHeight="1">
      <c r="A148" s="92" t="inlineStr">
        <is>
          <t>BFCM 2026 plan: Best Deal 11/19-11/30. Deal price and depth not yet given; not yet visible in Amazon's deal feed.</t>
        </is>
      </c>
    </row>
    <row r="149" ht="30" customHeight="1">
      <c r="A149" s="94" t="inlineStr">
        <is>
          <t>BFCM 2026 stock (account data, Oct 15): 6,303 units at Amazon + 336 already sent (no ETA in account data); selling 43.7 a day; need about 2,842 to Nov 30 with a 2.59x BFCM lift (own BFCM 2025 lift (account data)). Variations: 64 covered, 1 need the inbound in time, 16 short even with inbound (507 units), 11 out of stock now. Detail: BFCM Stock tab.</t>
        </is>
      </c>
    </row>
    <row r="150" ht="18" customHeight="1">
      <c r="A150" s="95" t="inlineStr">
        <is>
          <t>ASSUMED 2026 deal prices, until the team's final: B0DDRH9RD7 today $33.95; $28.86 at 15% off (Nov 19-26) and $27.16 at 20% off (Nov 27-30, Black Friday to Cyber Monday). Rule: team rule agreed Oct 15, 2026. Evidence: our BFCM 2025 deal on B0DDRH9RD7 (US, price history): $33.95 before, $31.41 during, 7% off; US competitors' median price cut in BFCM 2025: 6% (4 rivals). Amazon may use a lower reference price than today's (it sets it the day before the deal), which would lower the deal price.</t>
        </is>
      </c>
    </row>
    <row r="151" ht="30" customHeight="1">
      <c r="A151" s="91" t="inlineStr">
        <is>
          <t>Our hero child B0DDRH9RD7 in price history (market data, US): price $33.95 before (median Nov 1-19) → $31.41 in BFCM week (median Nov 20 - Dec 1), 7% lower; lowest $31.41; Best Seller Rank 30,755 → 27,176 (1.13x better). Price is price history's lowest new offer (price history holds no Buy Box series for our own ASINs; we are the only seller).</t>
        </is>
      </c>
    </row>
    <row r="152" ht="40" customHeight="1">
      <c r="A152" s="91" t="inlineStr">
        <is>
          <t>Stock in BFCM week 2025 (FBA inventory snapshots, child-ASIN level, revision 2): 1 of 114 variations hit zero FBA stock on at least one observed day; weighted by today's sales mix that is ~0.0% of variation-days lost. Most important: B0DDRH7S7L 3/3 days. Days with no snapshot (Nov 26-27 and Dec 1, Cyber Monday), inferred from sales that day and the readings either side: 325 of 342 variation-days in stock, 0 out of stock, 17 unknown. Inferred, not a stock reading.</t>
        </is>
      </c>
    </row>
    <row r="153">
      <c r="A153" s="90" t="inlineStr">
        <is>
          <t>market data visibility for our best child B0DDRH9RD7: organic score None before BFCM 2025 → None in BFCM week; Prime Day 2026 12.5 → 11.8; Aug-Sep 2026 22.4.</t>
        </is>
      </c>
    </row>
    <row r="154"/>
    <row r="155" ht="22" customHeight="1">
      <c r="A155" s="65" t="inlineStr">
        <is>
          <t>4 ▼</t>
        </is>
      </c>
      <c r="B155" s="66" t="inlineStr">
        <is>
          <t>COMPETITOR LANDSCAPE (29 mapped)</t>
        </is>
      </c>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c r="AC155" s="67" t="n"/>
      <c r="AD155" s="67" t="n"/>
      <c r="AE155" s="67" t="n"/>
      <c r="AF155" s="67" t="n"/>
      <c r="AG155" s="67" t="n"/>
      <c r="AH155" s="67" t="n"/>
      <c r="AI155" s="67" t="n"/>
      <c r="AJ155" s="67" t="n"/>
      <c r="AK155" s="67" t="n"/>
      <c r="AL155" s="67" t="n"/>
      <c r="AM155" s="67" t="n"/>
      <c r="AN155" s="67" t="n"/>
      <c r="AO155" s="67" t="n"/>
      <c r="AP155" s="67" t="n"/>
      <c r="AQ155" s="67" t="n"/>
      <c r="AR155" s="67" t="n"/>
      <c r="AS155" s="67" t="n"/>
      <c r="AT155" s="67" t="n"/>
      <c r="AU155" s="67" t="n"/>
      <c r="AV155" s="67" t="n"/>
      <c r="AW155" s="67" t="n"/>
      <c r="AX155" s="67" t="n"/>
      <c r="AY155" s="67" t="n"/>
      <c r="AZ155" s="67" t="n"/>
      <c r="BA155" s="67" t="n"/>
      <c r="BB155" s="67" t="n"/>
      <c r="BC155" s="67" t="n"/>
      <c r="BD155" s="67" t="n"/>
      <c r="BE155" s="67" t="n"/>
      <c r="BF155" s="67" t="n"/>
      <c r="BG155" s="67" t="n"/>
      <c r="BH155" s="67" t="n"/>
      <c r="BI155" s="67" t="n"/>
      <c r="BJ155" s="67" t="n"/>
      <c r="BK155" s="67" t="n"/>
    </row>
    <row r="156" ht="20" customHeight="1">
      <c r="A156" s="96" t="inlineStr">
        <is>
          <t>▼▼▼</t>
        </is>
      </c>
      <c r="B156" s="97" t="inlineStr">
        <is>
          <t>COMPETITOR DATA BELOW: one row per competitor (19 direct first, then alternative material). Scroll right for listing, search, strikethrough now and BFCM 2025 history (deal type, price, discount, rank change).</t>
        </is>
      </c>
      <c r="C156" s="98" t="n"/>
      <c r="D156" s="98" t="n"/>
      <c r="E156" s="98" t="n"/>
      <c r="F156" s="98" t="n"/>
      <c r="G156" s="98" t="n"/>
      <c r="H156" s="98" t="n"/>
      <c r="I156" s="98" t="n"/>
      <c r="J156" s="98" t="n"/>
      <c r="K156" s="98" t="n"/>
      <c r="L156" s="98" t="n"/>
      <c r="M156" s="98" t="n"/>
      <c r="N156" s="98" t="n"/>
      <c r="O156" s="98" t="n"/>
      <c r="P156" s="98" t="n"/>
      <c r="Q156" s="98" t="n"/>
      <c r="R156" s="98" t="n"/>
      <c r="S156" s="98" t="n"/>
      <c r="T156" s="98" t="n"/>
      <c r="U156" s="98" t="n"/>
      <c r="V156" s="98" t="n"/>
      <c r="W156" s="98" t="n"/>
      <c r="X156" s="98" t="n"/>
      <c r="Y156" s="98" t="n"/>
      <c r="Z156" s="98" t="n"/>
      <c r="AA156" s="98" t="n"/>
      <c r="AB156" s="98" t="n"/>
      <c r="AC156" s="98" t="n"/>
      <c r="AD156" s="98" t="n"/>
      <c r="AE156" s="98" t="n"/>
      <c r="AF156" s="98" t="n"/>
      <c r="AG156" s="98" t="n"/>
      <c r="AH156" s="98" t="n"/>
      <c r="AI156" s="98" t="n"/>
      <c r="AJ156" s="98" t="n"/>
      <c r="AK156" s="98" t="n"/>
      <c r="AL156" s="98" t="n"/>
      <c r="AM156" s="98" t="n"/>
      <c r="AN156" s="98" t="n"/>
      <c r="AO156" s="98" t="n"/>
      <c r="AP156" s="98" t="n"/>
      <c r="AQ156" s="98" t="n"/>
      <c r="AR156" s="98" t="n"/>
      <c r="AS156" s="98" t="n"/>
      <c r="AT156" s="98" t="n"/>
      <c r="AU156" s="98" t="n"/>
      <c r="AV156" s="98" t="n"/>
      <c r="AW156" s="98" t="n"/>
      <c r="AX156" s="98" t="n"/>
      <c r="AY156" s="98" t="n"/>
      <c r="AZ156" s="98" t="n"/>
      <c r="BA156" s="98" t="n"/>
      <c r="BB156" s="98" t="n"/>
      <c r="BC156" s="98" t="n"/>
      <c r="BD156" s="98" t="n"/>
      <c r="BE156" s="98" t="n"/>
      <c r="BF156" s="98" t="n"/>
      <c r="BG156" s="98" t="n"/>
      <c r="BH156" s="98" t="n"/>
      <c r="BI156" s="98" t="n"/>
      <c r="BJ156" s="98" t="n"/>
      <c r="BK156" s="98" t="n"/>
    </row>
    <row r="157">
      <c r="A157" s="99" t="inlineStr">
        <is>
          <t>COMPETITOR</t>
        </is>
      </c>
      <c r="L157" s="100" t="inlineStr">
        <is>
          <t>LISTING - catalog data</t>
        </is>
      </c>
      <c r="M157" s="101" t="inlineStr">
        <is>
          <t>SEARCH STRATEGY - market data search data</t>
        </is>
      </c>
      <c r="N157" s="102" t="inlineStr">
        <is>
          <t>PRICE &amp; SALES - market data snapshot (date per row)</t>
        </is>
      </c>
      <c r="AA157" s="100" t="inlineStr">
        <is>
          <t>LISTING - catalog data</t>
        </is>
      </c>
      <c r="AD157" s="101" t="inlineStr">
        <is>
          <t>SEARCH STRATEGY - market data search data</t>
        </is>
      </c>
      <c r="AU157" s="103" t="inlineStr">
        <is>
          <t>STR NOW - Amazon page check (Oct 13, P1 + P2)</t>
        </is>
      </c>
      <c r="BB157" s="104" t="inlineStr">
        <is>
          <t>BFCM 2025 - price history (P1 filled; yellow = not pulled yet)</t>
        </is>
      </c>
    </row>
    <row r="158" ht="48" customHeight="1">
      <c r="A158" s="26" t="inlineStr">
        <is>
          <t>Image</t>
        </is>
      </c>
      <c r="B158" s="26" t="inlineStr">
        <is>
          <t>Brand</t>
        </is>
      </c>
      <c r="C158" s="26" t="inlineStr">
        <is>
          <t>Product title</t>
        </is>
      </c>
      <c r="D158" s="26" t="inlineStr">
        <is>
          <t>Tier</t>
        </is>
      </c>
      <c r="E158" s="26" t="inlineStr">
        <is>
          <t>Competitor type</t>
        </is>
      </c>
      <c r="F158" s="26" t="inlineStr">
        <is>
          <t>Material</t>
        </is>
      </c>
      <c r="G158" s="26" t="inlineStr">
        <is>
          <t>Why this type</t>
        </is>
      </c>
      <c r="H158" s="26" t="inlineStr">
        <is>
          <t>Parent ASIN</t>
        </is>
      </c>
      <c r="I158" s="26" t="inlineStr">
        <is>
          <t>Tracked child ASIN</t>
        </is>
      </c>
      <c r="J158" s="26" t="inlineStr">
        <is>
          <t>Size</t>
        </is>
      </c>
      <c r="K158" s="26" t="inlineStr">
        <is>
          <t>Colour</t>
        </is>
      </c>
      <c r="L158" s="26" t="inlineStr">
        <is>
          <t>Variations</t>
        </is>
      </c>
      <c r="M158" s="26" t="inlineStr">
        <is>
          <t>Hero child ASINs (share of their visibility)</t>
        </is>
      </c>
      <c r="N158" s="26" t="inlineStr">
        <is>
          <t>Price ($)</t>
        </is>
      </c>
      <c r="O158" s="26" t="inlineStr">
        <is>
          <t>List Price ($)</t>
        </is>
      </c>
      <c r="P158" s="26" t="inlineStr">
        <is>
          <t>List Price % over</t>
        </is>
      </c>
      <c r="Q158" s="26" t="inlineStr">
        <is>
          <t>STR band</t>
        </is>
      </c>
      <c r="R158" s="26" t="inlineStr">
        <is>
          <t>Our price, same size ($)</t>
        </is>
      </c>
      <c r="S158" s="26" t="inlineStr">
        <is>
          <t>Their price vs ours</t>
        </is>
      </c>
      <c r="T158" s="26" t="inlineStr">
        <is>
          <t>Comparison basis</t>
        </is>
      </c>
      <c r="U158" s="26" t="inlineStr">
        <is>
          <t>BSR</t>
        </is>
      </c>
      <c r="V158" s="26" t="inlineStr">
        <is>
          <t>Est weekly units</t>
        </is>
      </c>
      <c r="W158" s="26" t="inlineStr">
        <is>
          <t>Est monthly revenue ($)</t>
        </is>
      </c>
      <c r="X158" s="26" t="inlineStr">
        <is>
          <t>Rating</t>
        </is>
      </c>
      <c r="Y158" s="26" t="inlineStr">
        <is>
          <t>Reviews</t>
        </is>
      </c>
      <c r="Z158" s="26" t="inlineStr">
        <is>
          <t>Snapshot date</t>
        </is>
      </c>
      <c r="AA158" s="26" t="inlineStr">
        <is>
          <t>Listed</t>
        </is>
      </c>
      <c r="AB158" s="26" t="inlineStr">
        <is>
          <t>Fulfil.</t>
        </is>
      </c>
      <c r="AC158" s="26" t="inlineStr">
        <is>
          <t>Seller country</t>
        </is>
      </c>
      <c r="AD158" s="26" t="inlineStr">
        <is>
          <t>search data 7d traffic</t>
        </is>
      </c>
      <c r="AE158" s="26" t="inlineStr">
        <is>
          <t>Keywords ranked</t>
        </is>
      </c>
      <c r="AF158" s="26" t="inlineStr">
        <is>
          <t>Organic share of traffic</t>
        </is>
      </c>
      <c r="AG158" s="26" t="inlineStr">
        <is>
          <t>Ad share of traffic</t>
        </is>
      </c>
      <c r="AH158" s="26" t="inlineStr">
        <is>
          <t>Top keyword</t>
        </is>
      </c>
      <c r="AI158" s="26" t="inlineStr">
        <is>
          <t>SP reach</t>
        </is>
      </c>
      <c r="AJ158" s="26" t="inlineStr">
        <is>
          <t>SB reach</t>
        </is>
      </c>
      <c r="AK158" s="26" t="inlineStr">
        <is>
          <t>SB video reach</t>
        </is>
      </c>
      <c r="AL158" s="26" t="inlineStr">
        <is>
          <t>Amazon's Choice reach</t>
        </is>
      </c>
      <c r="AM158" s="26" t="inlineStr">
        <is>
          <t>Shared keywords</t>
        </is>
      </c>
      <c r="AN158" s="26" t="inlineStr">
        <is>
          <t>We win</t>
        </is>
      </c>
      <c r="AO158" s="26" t="inlineStr">
        <is>
          <t>We lose</t>
        </is>
      </c>
      <c r="AP158" s="26" t="inlineStr">
        <is>
          <t>Their keywords we miss</t>
        </is>
      </c>
      <c r="AQ158" s="26" t="inlineStr">
        <is>
          <t>KWs they advertise, we don't</t>
        </is>
      </c>
      <c r="AR158" s="26" t="inlineStr">
        <is>
          <t>KWs they out-advertise us</t>
        </is>
      </c>
      <c r="AS158" s="26" t="inlineStr">
        <is>
          <t>Prime Day 2026 organic vis lift</t>
        </is>
      </c>
      <c r="AT158" s="26" t="inlineStr">
        <is>
          <t>Organic trend (Aug-Sep vs Q2)</t>
        </is>
      </c>
      <c r="AU158" s="26" t="inlineStr">
        <is>
          <t>STR showing now? (Y/N)</t>
        </is>
      </c>
      <c r="AV158" s="26" t="inlineStr">
        <is>
          <t>STR label</t>
        </is>
      </c>
      <c r="AW158" s="26" t="inlineStr">
        <is>
          <t>Strikethrough price ($)</t>
        </is>
      </c>
      <c r="AX158" s="26" t="inlineStr">
        <is>
          <t>Page price at check ($)</t>
        </is>
      </c>
      <c r="AY158" s="26" t="inlineStr">
        <is>
          <t>Deal / coupon now</t>
        </is>
      </c>
      <c r="AZ158" s="26" t="inlineStr">
        <is>
          <t>Orderable now (Y/N)</t>
        </is>
      </c>
      <c r="BA158" s="26" t="inlineStr">
        <is>
          <t>Checked (ET)</t>
        </is>
      </c>
      <c r="BB158" s="26" t="inlineStr">
        <is>
          <t>BFCM 2025 deal type</t>
        </is>
      </c>
      <c r="BC158" s="26" t="inlineStr">
        <is>
          <t>BFCM 2025 deal dates</t>
        </is>
      </c>
      <c r="BD158" s="26" t="inlineStr">
        <is>
          <t>Pre-event price ($)</t>
        </is>
      </c>
      <c r="BE158" s="26" t="inlineStr">
        <is>
          <t>BFCM 2025 low ($)</t>
        </is>
      </c>
      <c r="BF158" s="26" t="inlineStr">
        <is>
          <t>BFCM 2025 discount</t>
        </is>
      </c>
      <c r="BG158" s="26" t="inlineStr">
        <is>
          <t>BSR pre-event</t>
        </is>
      </c>
      <c r="BH158" s="26" t="inlineStr">
        <is>
          <t>BSR BFCM wk</t>
        </is>
      </c>
      <c r="BI158" s="26" t="inlineStr">
        <is>
          <t>BSR lift (x)</t>
        </is>
      </c>
      <c r="BJ158" s="26" t="inlineStr">
        <is>
          <t>OOS in BFCM? (Y/N)</t>
        </is>
      </c>
      <c r="BK158" s="26" t="inlineStr">
        <is>
          <t>Notes</t>
        </is>
      </c>
    </row>
    <row r="159" ht="62" customHeight="1">
      <c r="A159" s="12">
        <f>_xlfn.IMAGE("https://images-na.ssl-images-amazon.com/images/I/71ujt2CgaQL.jpg")</f>
        <v/>
      </c>
      <c r="B159" s="105" t="inlineStr">
        <is>
          <t>BEDELITE</t>
        </is>
      </c>
      <c r="C159" s="39" t="inlineStr">
        <is>
          <t>BEDELITE Satin Sheets Queen Size Bed Set, Black, 4 Pieces</t>
        </is>
      </c>
      <c r="D159" s="105" t="inlineStr">
        <is>
          <t>Aspirational</t>
        </is>
      </c>
      <c r="E159" s="106" t="inlineStr">
        <is>
          <t>Direct</t>
        </is>
      </c>
      <c r="F159" s="105" t="inlineStr">
        <is>
          <t>Satin (polyester)</t>
        </is>
      </c>
      <c r="G159" s="39" t="inlineStr">
        <is>
          <t>Same product (sheet set) in the same material family: Satin (polyester) (title: BEDELITE Satin Sheets Queen Size Bed Set, Black, 4 Pieces); ours: our listing: polyester satin.</t>
        </is>
      </c>
      <c r="H159" s="107" t="inlineStr">
        <is>
          <t>B0FNMNMZ9T</t>
        </is>
      </c>
      <c r="I159" s="107" t="inlineStr">
        <is>
          <t>B0CSFTRP2X</t>
        </is>
      </c>
      <c r="J159" s="105" t="inlineStr">
        <is>
          <t>Queen</t>
        </is>
      </c>
      <c r="K159" s="105" t="inlineStr">
        <is>
          <t>Black</t>
        </is>
      </c>
      <c r="L159" s="108" t="n">
        <v>141</v>
      </c>
      <c r="M159" s="39" t="inlineStr">
        <is>
          <t>B0CSFTRP2X (57%), B0CSFW9QKP (14%), B0CSFTZ5B9 (14%)</t>
        </is>
      </c>
      <c r="N159" s="109" t="n">
        <v>17.99</v>
      </c>
      <c r="O159" s="109" t="n"/>
      <c r="P159" s="110">
        <f>IF(AND(ISNUMBER(O159),ISNUMBER(N159),N(N159)&gt;0),O159/N159-1,"")</f>
        <v/>
      </c>
      <c r="Q159" s="111">
        <f>IF(P159="","No List Price",IF(P159&lt;=0,"At/below price",IF(P159&lt;=0.12,"&lt;=12% STR zone",IF(P159&lt;=0.25,"12-25%","&gt;25% over"))))</f>
        <v/>
      </c>
      <c r="R159" s="109" t="n">
        <v>33.95</v>
      </c>
      <c r="S159" s="112">
        <f>IF(AND(ISNUMBER(N159),ISNUMBER(R159),N(R159)&gt;0),N159/R159-1,"")</f>
        <v/>
      </c>
      <c r="T159" s="39" t="inlineStr">
        <is>
          <t>Same size (Queen). Ours live: catalog price, 2026-10-13; 13 children</t>
        </is>
      </c>
      <c r="U159" s="108" t="n">
        <v>497</v>
      </c>
      <c r="V159" s="108" t="n">
        <v>1963</v>
      </c>
      <c r="W159" s="113">
        <f>IF(AND(ISNUMBER(N159),ISNUMBER(V159)),N159*V159*52/12,"")</f>
        <v/>
      </c>
      <c r="X159" s="114" t="n">
        <v>4.3</v>
      </c>
      <c r="Y159" s="108" t="n">
        <v>6297</v>
      </c>
      <c r="Z159" s="115" t="n">
        <v>46307</v>
      </c>
      <c r="AA159" s="115" t="n">
        <v>45307</v>
      </c>
      <c r="AB159" s="105" t="inlineStr">
        <is>
          <t>FBA</t>
        </is>
      </c>
      <c r="AC159" s="105" t="inlineStr">
        <is>
          <t>CN</t>
        </is>
      </c>
      <c r="AD159" s="108" t="n">
        <v>997443</v>
      </c>
      <c r="AE159" s="108" t="n">
        <v>3432</v>
      </c>
      <c r="AF159" s="116" t="n">
        <v>0.8161266415223724</v>
      </c>
      <c r="AG159" s="116" t="n">
        <v>0.1838733681022371</v>
      </c>
      <c r="AH159" s="39" t="inlineStr">
        <is>
          <t>silk sheets</t>
        </is>
      </c>
      <c r="AI159" s="116" t="n">
        <v>0.7623814092634867</v>
      </c>
      <c r="AJ159" s="116" t="n">
        <v>0.2406603685624141</v>
      </c>
      <c r="AK159" s="116" t="n">
        <v>0.1818179083917577</v>
      </c>
      <c r="AL159" s="116" t="n">
        <v>0.3718648584430388</v>
      </c>
      <c r="AM159" s="108" t="n">
        <v>473</v>
      </c>
      <c r="AN159" s="108" t="n">
        <v>61</v>
      </c>
      <c r="AO159" s="108" t="n">
        <v>385</v>
      </c>
      <c r="AP159" s="108" t="n">
        <v>2959</v>
      </c>
      <c r="AQ159" s="108" t="n">
        <v>332</v>
      </c>
      <c r="AR159" s="108" t="n">
        <v>16</v>
      </c>
      <c r="AS159" s="117" t="n">
        <v>1.114785561378903</v>
      </c>
      <c r="AT159" s="112" t="n">
        <v>0.3117365084274004</v>
      </c>
      <c r="AU159" s="118" t="inlineStr">
        <is>
          <t>Y</t>
        </is>
      </c>
      <c r="AV159" s="118" t="inlineStr">
        <is>
          <t>List Price</t>
        </is>
      </c>
      <c r="AW159" s="119" t="n">
        <v>19.99</v>
      </c>
      <c r="AX159" s="119" t="n">
        <v>17.99</v>
      </c>
      <c r="AY159" s="118" t="inlineStr">
        <is>
          <t>none</t>
        </is>
      </c>
      <c r="AZ159" s="118" t="inlineStr">
        <is>
          <t>Y</t>
        </is>
      </c>
      <c r="BA159" s="118" t="inlineStr">
        <is>
          <t>2026-10-13 12:12:27</t>
        </is>
      </c>
      <c r="BB159" s="120" t="inlineStr">
        <is>
          <t>Price cut only</t>
        </is>
      </c>
      <c r="BC159" s="120" t="inlineStr">
        <is>
          <t>11-20 to 12-01</t>
        </is>
      </c>
      <c r="BD159" s="121" t="n">
        <v>17.99</v>
      </c>
      <c r="BE159" s="121" t="n">
        <v>17.09</v>
      </c>
      <c r="BF159" s="110">
        <f>IF(AND(ISNUMBER(BD159),ISNUMBER(BE159),N(BD159)&gt;0),1-BE159/BD159,"")</f>
        <v/>
      </c>
      <c r="BG159" s="122" t="n">
        <v>714</v>
      </c>
      <c r="BH159" s="122" t="n">
        <v>473</v>
      </c>
      <c r="BI159" s="123">
        <f>IF(AND(ISNUMBER(BG159),ISNUMBER(BH159),N(BH159)&gt;0),BG159/BH159,"")</f>
        <v/>
      </c>
      <c r="BJ159" s="120" t="inlineStr">
        <is>
          <t>N</t>
        </is>
      </c>
      <c r="BK159" s="120" t="inlineStr">
        <is>
          <t>Prime Exclusive 11-01 to 12-05; Prime Exclusive already running before BFCM week; List Price $23.99</t>
        </is>
      </c>
    </row>
    <row r="160" ht="62" customHeight="1">
      <c r="A160" s="12">
        <f>_xlfn.IMAGE("https://images-na.ssl-images-amazon.com/images/I/81C-fXI71XL.jpg")</f>
        <v/>
      </c>
      <c r="B160" s="105" t="inlineStr">
        <is>
          <t>Love's cabin</t>
        </is>
      </c>
      <c r="C160" s="39" t="inlineStr">
        <is>
          <t>Love's cabin Satin Queen Sheets Set, 4 Pieces, Pink, 15" Deep Pocket</t>
        </is>
      </c>
      <c r="D160" s="105" t="inlineStr">
        <is>
          <t>Aspirational</t>
        </is>
      </c>
      <c r="E160" s="106" t="inlineStr">
        <is>
          <t>Direct</t>
        </is>
      </c>
      <c r="F160" s="105" t="inlineStr">
        <is>
          <t>Satin (polyester)</t>
        </is>
      </c>
      <c r="G160" s="39" t="inlineStr">
        <is>
          <t>Same product (sheet set) in the same material family: Satin (polyester) (title: Love's cabin Satin Queen Sheets Set, 4 Pieces, Pink, 15" Dee); ours: our listing: polyester satin.</t>
        </is>
      </c>
      <c r="H160" s="107" t="inlineStr">
        <is>
          <t>B08DHTB63X</t>
        </is>
      </c>
      <c r="I160" s="107" t="inlineStr">
        <is>
          <t>B0BNMC5G8R</t>
        </is>
      </c>
      <c r="J160" s="105" t="inlineStr">
        <is>
          <t>Queen</t>
        </is>
      </c>
      <c r="K160" s="105" t="inlineStr">
        <is>
          <t>Pink</t>
        </is>
      </c>
      <c r="L160" s="108" t="n">
        <v>128</v>
      </c>
      <c r="M160" s="39" t="inlineStr">
        <is>
          <t>B0BNMC5G8R (45%), B0BNMCRSC6 (13%), B0CM5NFXX1 (9%), B0BNMVM5VM (5%), B0BNMD8S97 (4%)</t>
        </is>
      </c>
      <c r="N160" s="109" t="n">
        <v>16.13</v>
      </c>
      <c r="O160" s="109" t="n">
        <v>19.99</v>
      </c>
      <c r="P160" s="110">
        <f>IF(AND(ISNUMBER(O160),ISNUMBER(N160),N(N160)&gt;0),O160/N160-1,"")</f>
        <v/>
      </c>
      <c r="Q160" s="111">
        <f>IF(P160="","No List Price",IF(P160&lt;=0,"At/below price",IF(P160&lt;=0.12,"&lt;=12% STR zone",IF(P160&lt;=0.25,"12-25%","&gt;25% over"))))</f>
        <v/>
      </c>
      <c r="R160" s="109" t="n">
        <v>33.95</v>
      </c>
      <c r="S160" s="112">
        <f>IF(AND(ISNUMBER(N160),ISNUMBER(R160),N(R160)&gt;0),N160/R160-1,"")</f>
        <v/>
      </c>
      <c r="T160" s="39" t="inlineStr">
        <is>
          <t>Same size (Queen). Ours live: catalog price, 2026-10-13; 13 children</t>
        </is>
      </c>
      <c r="U160" s="108" t="n">
        <v>949</v>
      </c>
      <c r="V160" s="108" t="n">
        <v>809</v>
      </c>
      <c r="W160" s="113">
        <f>IF(AND(ISNUMBER(N160),ISNUMBER(V160)),N160*V160*52/12,"")</f>
        <v/>
      </c>
      <c r="X160" s="114" t="n">
        <v>4.5</v>
      </c>
      <c r="Y160" s="108" t="n">
        <v>5747</v>
      </c>
      <c r="Z160" s="115" t="n">
        <v>46307</v>
      </c>
      <c r="AA160" s="115" t="n">
        <v>44895</v>
      </c>
      <c r="AB160" s="105" t="inlineStr">
        <is>
          <t>FBA</t>
        </is>
      </c>
      <c r="AC160" s="105" t="inlineStr">
        <is>
          <t>CN</t>
        </is>
      </c>
      <c r="AD160" s="108" t="n">
        <v>385363</v>
      </c>
      <c r="AE160" s="108" t="n">
        <v>3599</v>
      </c>
      <c r="AF160" s="116" t="n">
        <v>0.8181775938530695</v>
      </c>
      <c r="AG160" s="116" t="n">
        <v>0.1818224144507905</v>
      </c>
      <c r="AH160" s="39" t="inlineStr">
        <is>
          <t>silk sheets</t>
        </is>
      </c>
      <c r="AI160" s="116" t="n">
        <v>0.8853963665427143</v>
      </c>
      <c r="AJ160" s="116" t="n">
        <v>0.6095447668821345</v>
      </c>
      <c r="AK160" s="116" t="n">
        <v>0.07642664189348744</v>
      </c>
      <c r="AL160" s="116" t="n">
        <v>0.06371395281851137</v>
      </c>
      <c r="AM160" s="108" t="n">
        <v>458</v>
      </c>
      <c r="AN160" s="108" t="n">
        <v>68</v>
      </c>
      <c r="AO160" s="108" t="n">
        <v>353</v>
      </c>
      <c r="AP160" s="108" t="n">
        <v>3141</v>
      </c>
      <c r="AQ160" s="108" t="n">
        <v>400</v>
      </c>
      <c r="AR160" s="108" t="n">
        <v>20</v>
      </c>
      <c r="AS160" s="117" t="n">
        <v>1.036399938565504</v>
      </c>
      <c r="AT160" s="112" t="n">
        <v>-0.1336111472848027</v>
      </c>
      <c r="AU160" s="118" t="inlineStr">
        <is>
          <t>Y</t>
        </is>
      </c>
      <c r="AV160" s="118" t="inlineStr">
        <is>
          <t>List Price</t>
        </is>
      </c>
      <c r="AW160" s="119" t="n">
        <v>19.99</v>
      </c>
      <c r="AX160" s="119" t="n">
        <v>16.13</v>
      </c>
      <c r="AY160" s="118" t="inlineStr">
        <is>
          <t>Limited time deal</t>
        </is>
      </c>
      <c r="AZ160" s="118" t="inlineStr">
        <is>
          <t>Y</t>
        </is>
      </c>
      <c r="BA160" s="118" t="inlineStr">
        <is>
          <t>2026-10-13 12:13:15</t>
        </is>
      </c>
      <c r="BB160" s="120" t="inlineStr">
        <is>
          <t>Prime Exclusive Discount</t>
        </is>
      </c>
      <c r="BC160" s="120" t="inlineStr">
        <is>
          <t>11-10 to 12-05</t>
        </is>
      </c>
      <c r="BD160" s="121" t="n">
        <v>17.99</v>
      </c>
      <c r="BE160" s="121" t="n">
        <v>17.99</v>
      </c>
      <c r="BF160" s="110">
        <f>IF(AND(ISNUMBER(BD160),ISNUMBER(BE160),N(BD160)&gt;0),1-BE160/BD160,"")</f>
        <v/>
      </c>
      <c r="BG160" s="122" t="n">
        <v>1276</v>
      </c>
      <c r="BH160" s="122" t="n">
        <v>1515</v>
      </c>
      <c r="BI160" s="123">
        <f>IF(AND(ISNUMBER(BG160),ISNUMBER(BH160),N(BH160)&gt;0),BG160/BH160,"")</f>
        <v/>
      </c>
      <c r="BJ160" s="120" t="inlineStr">
        <is>
          <t>N</t>
        </is>
      </c>
      <c r="BK160" s="120" t="inlineStr">
        <is>
          <t>Prime Exclusive already running before BFCM week; List Price $25.99</t>
        </is>
      </c>
    </row>
    <row r="161" ht="62" customHeight="1">
      <c r="A161" s="12">
        <f>_xlfn.IMAGE("https://images-na.ssl-images-amazon.com/images/I/71zGuoeuSrL.jpg")</f>
        <v/>
      </c>
      <c r="B161" s="105" t="inlineStr">
        <is>
          <t>MR&amp;HM</t>
        </is>
      </c>
      <c r="C161" s="39" t="inlineStr">
        <is>
          <t>MR&amp;HM Satin Sheets Queen Size with Elastic Corner Straps, Black</t>
        </is>
      </c>
      <c r="D161" s="105" t="inlineStr">
        <is>
          <t>Aspirational</t>
        </is>
      </c>
      <c r="E161" s="106" t="inlineStr">
        <is>
          <t>Direct</t>
        </is>
      </c>
      <c r="F161" s="105" t="inlineStr">
        <is>
          <t>Satin (polyester)</t>
        </is>
      </c>
      <c r="G161" s="39" t="inlineStr">
        <is>
          <t>Same product (sheet set) in the same material family: Satin (polyester) (title: MR&amp;HM Satin Sheets Queen Size with Elastic Corner Straps, Bl); ours: our listing: polyester satin.</t>
        </is>
      </c>
      <c r="H161" s="107" t="inlineStr">
        <is>
          <t>B08NQ3W7PG</t>
        </is>
      </c>
      <c r="I161" s="107" t="inlineStr">
        <is>
          <t>B08HM6WT6X</t>
        </is>
      </c>
      <c r="J161" s="105" t="inlineStr">
        <is>
          <t>Queen</t>
        </is>
      </c>
      <c r="K161" s="105" t="inlineStr">
        <is>
          <t>Black</t>
        </is>
      </c>
      <c r="L161" s="108" t="n">
        <v>183</v>
      </c>
      <c r="M161" s="39" t="inlineStr">
        <is>
          <t>B08HM6WT6X (40%), B0D2CQ6VNT (13%), B08PS3HDFL (10%), B08HM65Z68 (8%), B08HLT8R9M (6%)</t>
        </is>
      </c>
      <c r="N161" s="109" t="n">
        <v>19.99</v>
      </c>
      <c r="O161" s="109" t="n"/>
      <c r="P161" s="110">
        <f>IF(AND(ISNUMBER(O161),ISNUMBER(N161),N(N161)&gt;0),O161/N161-1,"")</f>
        <v/>
      </c>
      <c r="Q161" s="111">
        <f>IF(P161="","No List Price",IF(P161&lt;=0,"At/below price",IF(P161&lt;=0.12,"&lt;=12% STR zone",IF(P161&lt;=0.25,"12-25%","&gt;25% over"))))</f>
        <v/>
      </c>
      <c r="R161" s="109" t="n">
        <v>33.95</v>
      </c>
      <c r="S161" s="112">
        <f>IF(AND(ISNUMBER(N161),ISNUMBER(R161),N(R161)&gt;0),N161/R161-1,"")</f>
        <v/>
      </c>
      <c r="T161" s="39" t="inlineStr">
        <is>
          <t>Same size (Queen). Ours live: catalog price, 2026-10-13; 13 children</t>
        </is>
      </c>
      <c r="U161" s="108" t="n">
        <v>2025</v>
      </c>
      <c r="V161" s="108" t="n">
        <v>809</v>
      </c>
      <c r="W161" s="113">
        <f>IF(AND(ISNUMBER(N161),ISNUMBER(V161)),N161*V161*52/12,"")</f>
        <v/>
      </c>
      <c r="X161" s="114" t="n">
        <v>4.4</v>
      </c>
      <c r="Y161" s="108" t="n">
        <v>17886</v>
      </c>
      <c r="Z161" s="115" t="n">
        <v>46307</v>
      </c>
      <c r="AA161" s="115" t="n">
        <v>44081</v>
      </c>
      <c r="AB161" s="105" t="inlineStr">
        <is>
          <t>FBA</t>
        </is>
      </c>
      <c r="AC161" s="105" t="inlineStr">
        <is>
          <t>HK</t>
        </is>
      </c>
      <c r="AD161" s="108" t="n">
        <v>356457</v>
      </c>
      <c r="AE161" s="108" t="n">
        <v>3352</v>
      </c>
      <c r="AF161" s="116" t="n">
        <v>0.7964633734223203</v>
      </c>
      <c r="AG161" s="116" t="n">
        <v>0.2035367432817982</v>
      </c>
      <c r="AH161" s="39" t="inlineStr">
        <is>
          <t>silk sheets</t>
        </is>
      </c>
      <c r="AI161" s="116" t="n">
        <v>0.839254103580516</v>
      </c>
      <c r="AJ161" s="116" t="n"/>
      <c r="AK161" s="116" t="n"/>
      <c r="AL161" s="116" t="n">
        <v>0.1362268099658584</v>
      </c>
      <c r="AM161" s="108" t="n">
        <v>457</v>
      </c>
      <c r="AN161" s="108" t="n">
        <v>93</v>
      </c>
      <c r="AO161" s="108" t="n">
        <v>328</v>
      </c>
      <c r="AP161" s="108" t="n">
        <v>2895</v>
      </c>
      <c r="AQ161" s="108" t="n">
        <v>363</v>
      </c>
      <c r="AR161" s="108" t="n">
        <v>42</v>
      </c>
      <c r="AS161" s="117" t="n">
        <v>0.9844138242602214</v>
      </c>
      <c r="AT161" s="112" t="n">
        <v>0.1594370096908169</v>
      </c>
      <c r="AU161" s="118" t="inlineStr">
        <is>
          <t>Y</t>
        </is>
      </c>
      <c r="AV161" s="118" t="inlineStr">
        <is>
          <t>List Price</t>
        </is>
      </c>
      <c r="AW161" s="119" t="n">
        <v>28.99</v>
      </c>
      <c r="AX161" s="119" t="n">
        <v>19.99</v>
      </c>
      <c r="AY161" s="118" t="inlineStr">
        <is>
          <t>none</t>
        </is>
      </c>
      <c r="AZ161" s="118" t="inlineStr">
        <is>
          <t>Y</t>
        </is>
      </c>
      <c r="BA161" s="118" t="inlineStr">
        <is>
          <t>2026-10-13 12:13:22</t>
        </is>
      </c>
      <c r="BB161" s="120" t="inlineStr">
        <is>
          <t>None</t>
        </is>
      </c>
      <c r="BC161" s="125" t="n"/>
      <c r="BD161" s="121" t="n">
        <v>17.99</v>
      </c>
      <c r="BE161" s="121" t="n">
        <v>17.99</v>
      </c>
      <c r="BF161" s="110">
        <f>IF(AND(ISNUMBER(BD161),ISNUMBER(BE161),N(BD161)&gt;0),1-BE161/BD161,"")</f>
        <v/>
      </c>
      <c r="BG161" s="122" t="n">
        <v>1500</v>
      </c>
      <c r="BH161" s="122" t="n">
        <v>1119</v>
      </c>
      <c r="BI161" s="123">
        <f>IF(AND(ISNUMBER(BG161),ISNUMBER(BH161),N(BH161)&gt;0),BG161/BH161,"")</f>
        <v/>
      </c>
      <c r="BJ161" s="120" t="inlineStr">
        <is>
          <t>N</t>
        </is>
      </c>
      <c r="BK161" s="120" t="inlineStr">
        <is>
          <t>Prime Exclusive 11-01 to 12-05; Lightning Deal 11-08 to 11-14; Prime Exclusive already running before BFCM week; List Price $28.99</t>
        </is>
      </c>
    </row>
    <row r="162" ht="62" customHeight="1">
      <c r="A162" s="12">
        <f>_xlfn.IMAGE("https://images-na.ssl-images-amazon.com/images/I/71Jlvkv3rfL.jpg")</f>
        <v/>
      </c>
      <c r="B162" s="105" t="inlineStr">
        <is>
          <t>BEDELITE</t>
        </is>
      </c>
      <c r="C162" s="39" t="inlineStr">
        <is>
          <t>BEDELITE Satin Queen Fitted Sheet &amp; Pillowcases Set, Black, 3 Pieces</t>
        </is>
      </c>
      <c r="D162" s="105" t="inlineStr">
        <is>
          <t>Aspirational</t>
        </is>
      </c>
      <c r="E162" s="106" t="inlineStr">
        <is>
          <t>Direct</t>
        </is>
      </c>
      <c r="F162" s="105" t="inlineStr">
        <is>
          <t>Satin (polyester)</t>
        </is>
      </c>
      <c r="G162" s="39" t="inlineStr">
        <is>
          <t>Same product (sheet set) in the same material family: Satin (polyester) (title: BEDELITE Satin Queen Fitted Sheet &amp; Pillowcases Set, Black); ours: our listing: polyester satin.</t>
        </is>
      </c>
      <c r="H162" s="107" t="inlineStr">
        <is>
          <t>B0FPCM7DL3</t>
        </is>
      </c>
      <c r="I162" s="107" t="inlineStr">
        <is>
          <t>B0CSFV4FXW</t>
        </is>
      </c>
      <c r="J162" s="105" t="inlineStr">
        <is>
          <t>Queen</t>
        </is>
      </c>
      <c r="K162" s="105" t="inlineStr">
        <is>
          <t>Black</t>
        </is>
      </c>
      <c r="L162" s="108" t="n">
        <v>107</v>
      </c>
      <c r="M162" s="39" t="inlineStr">
        <is>
          <t>B0CSFV4FXW (48%), B0CSFV69Q1 (13%), B0CSFW55XL (12%), B0CSFWH14D (5%), B0F291FC32 (4%)</t>
        </is>
      </c>
      <c r="N162" s="109" t="n">
        <v>15.98</v>
      </c>
      <c r="O162" s="109" t="n">
        <v>19.99</v>
      </c>
      <c r="P162" s="110">
        <f>IF(AND(ISNUMBER(O162),ISNUMBER(N162),N(N162)&gt;0),O162/N162-1,"")</f>
        <v/>
      </c>
      <c r="Q162" s="111">
        <f>IF(P162="","No List Price",IF(P162&lt;=0,"At/below price",IF(P162&lt;=0.12,"&lt;=12% STR zone",IF(P162&lt;=0.25,"12-25%","&gt;25% over"))))</f>
        <v/>
      </c>
      <c r="R162" s="109" t="n">
        <v>33.95</v>
      </c>
      <c r="S162" s="112">
        <f>IF(AND(ISNUMBER(N162),ISNUMBER(R162),N(R162)&gt;0),N162/R162-1,"")</f>
        <v/>
      </c>
      <c r="T162" s="39" t="inlineStr">
        <is>
          <t>Same size (Queen). Ours live: catalog price, 2026-10-13; 13 children</t>
        </is>
      </c>
      <c r="U162" s="108" t="n">
        <v>4306</v>
      </c>
      <c r="V162" s="108" t="n">
        <v>208</v>
      </c>
      <c r="W162" s="113">
        <f>IF(AND(ISNUMBER(N162),ISNUMBER(V162)),N162*V162*52/12,"")</f>
        <v/>
      </c>
      <c r="X162" s="114" t="n">
        <v>4.4</v>
      </c>
      <c r="Y162" s="108" t="n">
        <v>1858</v>
      </c>
      <c r="Z162" s="115" t="n">
        <v>46307</v>
      </c>
      <c r="AA162" s="115" t="n">
        <v>45307</v>
      </c>
      <c r="AB162" s="105" t="inlineStr">
        <is>
          <t>FBA</t>
        </is>
      </c>
      <c r="AC162" s="105" t="inlineStr">
        <is>
          <t>CN</t>
        </is>
      </c>
      <c r="AD162" s="108" t="n">
        <v>179643</v>
      </c>
      <c r="AE162" s="108" t="n">
        <v>2252</v>
      </c>
      <c r="AF162" s="116" t="n">
        <v>0.4557323781054652</v>
      </c>
      <c r="AG162" s="116" t="n">
        <v>0.5442676753338563</v>
      </c>
      <c r="AH162" s="39" t="inlineStr">
        <is>
          <t>shee</t>
        </is>
      </c>
      <c r="AI162" s="116" t="n">
        <v>0.9239714322294773</v>
      </c>
      <c r="AJ162" s="116" t="n">
        <v>0.4045968949527675</v>
      </c>
      <c r="AK162" s="116" t="n"/>
      <c r="AL162" s="116" t="n">
        <v>0.02756578324788609</v>
      </c>
      <c r="AM162" s="108" t="n">
        <v>376</v>
      </c>
      <c r="AN162" s="108" t="n">
        <v>104</v>
      </c>
      <c r="AO162" s="108" t="n">
        <v>235</v>
      </c>
      <c r="AP162" s="108" t="n">
        <v>1876</v>
      </c>
      <c r="AQ162" s="108" t="n">
        <v>561</v>
      </c>
      <c r="AR162" s="108" t="n">
        <v>61</v>
      </c>
      <c r="AS162" s="117" t="n">
        <v>1.118721461187214</v>
      </c>
      <c r="AT162" s="112" t="n">
        <v>0.04072948328267478</v>
      </c>
      <c r="AU162" s="118" t="inlineStr">
        <is>
          <t>Y</t>
        </is>
      </c>
      <c r="AV162" s="118" t="inlineStr">
        <is>
          <t>List Price</t>
        </is>
      </c>
      <c r="AW162" s="119" t="n">
        <v>19.99</v>
      </c>
      <c r="AX162" s="119" t="n">
        <v>15.98</v>
      </c>
      <c r="AY162" s="118" t="inlineStr">
        <is>
          <t>Limited time deal</t>
        </is>
      </c>
      <c r="AZ162" s="118" t="inlineStr">
        <is>
          <t>Y</t>
        </is>
      </c>
      <c r="BA162" s="118" t="inlineStr">
        <is>
          <t>2026-10-13 12:12:30</t>
        </is>
      </c>
      <c r="BB162" s="120" t="inlineStr">
        <is>
          <t>Price cut only</t>
        </is>
      </c>
      <c r="BC162" s="120" t="inlineStr">
        <is>
          <t>11-20 to 12-01</t>
        </is>
      </c>
      <c r="BD162" s="121" t="n">
        <v>15.99</v>
      </c>
      <c r="BE162" s="121" t="n">
        <v>15.18</v>
      </c>
      <c r="BF162" s="110">
        <f>IF(AND(ISNUMBER(BD162),ISNUMBER(BE162),N(BD162)&gt;0),1-BE162/BD162,"")</f>
        <v/>
      </c>
      <c r="BG162" s="122" t="n">
        <v>8356</v>
      </c>
      <c r="BH162" s="122" t="n">
        <v>4609</v>
      </c>
      <c r="BI162" s="123">
        <f>IF(AND(ISNUMBER(BG162),ISNUMBER(BH162),N(BH162)&gt;0),BG162/BH162,"")</f>
        <v/>
      </c>
      <c r="BJ162" s="120" t="inlineStr">
        <is>
          <t>N</t>
        </is>
      </c>
      <c r="BK162" s="120" t="inlineStr">
        <is>
          <t>Prime Exclusive 11-01 to 12-05; Lightning Deal 11-09 to 11-09; Prime Exclusive already running before BFCM week; List Price $19.99</t>
        </is>
      </c>
    </row>
    <row r="163" ht="62" customHeight="1">
      <c r="A163" s="12">
        <f>_xlfn.IMAGE("https://images-na.ssl-images-amazon.com/images/I/71ZrkfMtWLL.jpg")</f>
        <v/>
      </c>
      <c r="B163" s="105" t="inlineStr">
        <is>
          <t>SiinvdaBZX</t>
        </is>
      </c>
      <c r="C163" s="39" t="inlineStr">
        <is>
          <t>SiinvdaBZX 4Pcs Satin Sheet Set Queen Size 15-Inch Deep Pocket, Beige</t>
        </is>
      </c>
      <c r="D163" s="105" t="inlineStr">
        <is>
          <t>Beatable</t>
        </is>
      </c>
      <c r="E163" s="106" t="inlineStr">
        <is>
          <t>Direct</t>
        </is>
      </c>
      <c r="F163" s="105" t="inlineStr">
        <is>
          <t>Satin (polyester)</t>
        </is>
      </c>
      <c r="G163" s="39" t="inlineStr">
        <is>
          <t>Same product (sheet set) in the same material family: Satin (polyester) (title: SiinvdaBZX 4Pcs Satin Sheet Set Queen Size 15-Inch Deep Pock); ours: our listing: polyester satin.</t>
        </is>
      </c>
      <c r="H163" s="107" t="inlineStr">
        <is>
          <t>B0DD37S32L</t>
        </is>
      </c>
      <c r="I163" s="107" t="inlineStr">
        <is>
          <t>B08JP9DG5Z</t>
        </is>
      </c>
      <c r="J163" s="105" t="inlineStr">
        <is>
          <t>Queen</t>
        </is>
      </c>
      <c r="K163" s="105" t="inlineStr">
        <is>
          <t>Beige</t>
        </is>
      </c>
      <c r="L163" s="108" t="n">
        <v>96</v>
      </c>
      <c r="M163" s="39" t="inlineStr">
        <is>
          <t>B08JP9DG5Z (57%), B09QPFBSD4 (12%), B09QP9LCFM (7%), B08JPQ3JJK (4%)</t>
        </is>
      </c>
      <c r="N163" s="109" t="n">
        <v>22.99</v>
      </c>
      <c r="O163" s="109" t="n"/>
      <c r="P163" s="110">
        <f>IF(AND(ISNUMBER(O163),ISNUMBER(N163),N(N163)&gt;0),O163/N163-1,"")</f>
        <v/>
      </c>
      <c r="Q163" s="111">
        <f>IF(P163="","No List Price",IF(P163&lt;=0,"At/below price",IF(P163&lt;=0.12,"&lt;=12% STR zone",IF(P163&lt;=0.25,"12-25%","&gt;25% over"))))</f>
        <v/>
      </c>
      <c r="R163" s="109" t="n">
        <v>33.95</v>
      </c>
      <c r="S163" s="112">
        <f>IF(AND(ISNUMBER(N163),ISNUMBER(R163),N(R163)&gt;0),N163/R163-1,"")</f>
        <v/>
      </c>
      <c r="T163" s="39" t="inlineStr">
        <is>
          <t>Same size (Queen). Ours live: catalog price, 2026-10-13; 13 children</t>
        </is>
      </c>
      <c r="U163" s="108" t="n">
        <v>23154</v>
      </c>
      <c r="V163" s="108" t="n">
        <v>92</v>
      </c>
      <c r="W163" s="113">
        <f>IF(AND(ISNUMBER(N163),ISNUMBER(V163)),N163*V163*52/12,"")</f>
        <v/>
      </c>
      <c r="X163" s="114" t="n">
        <v>4.4</v>
      </c>
      <c r="Y163" s="108" t="n">
        <v>6981</v>
      </c>
      <c r="Z163" s="115" t="n">
        <v>46307</v>
      </c>
      <c r="AA163" s="115" t="n">
        <v>44096</v>
      </c>
      <c r="AB163" s="105" t="inlineStr">
        <is>
          <t>FBA</t>
        </is>
      </c>
      <c r="AC163" s="105" t="inlineStr">
        <is>
          <t>CN</t>
        </is>
      </c>
      <c r="AD163" s="108" t="n">
        <v>47722</v>
      </c>
      <c r="AE163" s="108" t="n">
        <v>1085</v>
      </c>
      <c r="AF163" s="116" t="n">
        <v>0.8752176061355349</v>
      </c>
      <c r="AG163" s="116" t="n">
        <v>0.1247823938644651</v>
      </c>
      <c r="AH163" s="39" t="inlineStr">
        <is>
          <t>silk sheets</t>
        </is>
      </c>
      <c r="AI163" s="116" t="n">
        <v>0.6122543061900172</v>
      </c>
      <c r="AJ163" s="116" t="n">
        <v>0.0001885922635262562</v>
      </c>
      <c r="AK163" s="116" t="n">
        <v>0.01083357780478605</v>
      </c>
      <c r="AL163" s="116" t="n">
        <v>0.004777670675998491</v>
      </c>
      <c r="AM163" s="108" t="n">
        <v>332</v>
      </c>
      <c r="AN163" s="108" t="n">
        <v>146</v>
      </c>
      <c r="AO163" s="108" t="n">
        <v>159</v>
      </c>
      <c r="AP163" s="108" t="n">
        <v>753</v>
      </c>
      <c r="AQ163" s="108" t="n">
        <v>98</v>
      </c>
      <c r="AR163" s="108" t="n">
        <v>7</v>
      </c>
      <c r="AS163" s="117" t="n">
        <v>1.035928143712575</v>
      </c>
      <c r="AT163" s="112" t="n">
        <v>-0.05882352941176483</v>
      </c>
      <c r="AU163" s="118" t="inlineStr">
        <is>
          <t>N</t>
        </is>
      </c>
      <c r="AV163" s="118" t="inlineStr">
        <is>
          <t>none</t>
        </is>
      </c>
      <c r="AW163" s="124" t="n"/>
      <c r="AX163" s="119" t="n">
        <v>22.99</v>
      </c>
      <c r="AY163" s="118" t="inlineStr">
        <is>
          <t>none</t>
        </is>
      </c>
      <c r="AZ163" s="118" t="inlineStr">
        <is>
          <t>Y</t>
        </is>
      </c>
      <c r="BA163" s="118" t="inlineStr">
        <is>
          <t>2026-10-13 12:13:45</t>
        </is>
      </c>
      <c r="BB163" s="120" t="inlineStr">
        <is>
          <t>Prime Exclusive Discount</t>
        </is>
      </c>
      <c r="BC163" s="120" t="inlineStr">
        <is>
          <t>11-01 to 12-01</t>
        </is>
      </c>
      <c r="BD163" s="121" t="n">
        <v>24.49</v>
      </c>
      <c r="BE163" s="121" t="n">
        <v>21.59</v>
      </c>
      <c r="BF163" s="110">
        <f>IF(AND(ISNUMBER(BD163),ISNUMBER(BE163),N(BD163)&gt;0),1-BE163/BD163,"")</f>
        <v/>
      </c>
      <c r="BG163" s="122" t="n">
        <v>20848</v>
      </c>
      <c r="BH163" s="122" t="n">
        <v>20750</v>
      </c>
      <c r="BI163" s="123">
        <f>IF(AND(ISNUMBER(BG163),ISNUMBER(BH163),N(BH163)&gt;0),BG163/BH163,"")</f>
        <v/>
      </c>
      <c r="BJ163" s="120" t="inlineStr">
        <is>
          <t>N</t>
        </is>
      </c>
      <c r="BK163" s="120" t="inlineStr">
        <is>
          <t>Prime Exclusive already running before BFCM week; Buy Box RAISED in BFCM week (median $26.99 vs $24.49 before); List Price $52.59</t>
        </is>
      </c>
    </row>
    <row r="164" ht="62" customHeight="1">
      <c r="A164" s="12">
        <f>_xlfn.IMAGE("https://images-na.ssl-images-amazon.com/images/I/71eq-pAu2pL.jpg")</f>
        <v/>
      </c>
      <c r="B164" s="105" t="inlineStr">
        <is>
          <t>LIFCOM</t>
        </is>
      </c>
      <c r="C164" s="39" t="inlineStr">
        <is>
          <t>LIFCOM Satin Sheets Queen,4Pcs Bed Set with 15" Deep Pocket,Brown</t>
        </is>
      </c>
      <c r="D164" s="105" t="inlineStr">
        <is>
          <t>Beatable</t>
        </is>
      </c>
      <c r="E164" s="106" t="inlineStr">
        <is>
          <t>Direct</t>
        </is>
      </c>
      <c r="F164" s="105" t="inlineStr">
        <is>
          <t>Satin (polyester)</t>
        </is>
      </c>
      <c r="G164" s="39" t="inlineStr">
        <is>
          <t>Same product (sheet set) in the same material family: Satin (polyester) (title: LIFCOM Satin Sheets Queen,4Pcs Bed Set with 15" Deep Pocket); ours: our listing: polyester satin.</t>
        </is>
      </c>
      <c r="H164" s="107" t="inlineStr">
        <is>
          <t>B0DBVYL693</t>
        </is>
      </c>
      <c r="I164" s="107" t="inlineStr">
        <is>
          <t>B0DCC78S4N</t>
        </is>
      </c>
      <c r="J164" s="105" t="inlineStr">
        <is>
          <t>Queen</t>
        </is>
      </c>
      <c r="K164" s="105" t="inlineStr">
        <is>
          <t>Brown</t>
        </is>
      </c>
      <c r="L164" s="108" t="n">
        <v>73</v>
      </c>
      <c r="M164" s="39" t="inlineStr">
        <is>
          <t>B0DCC5ZQNW (21%), B0DCC78S4N (17%), B0DC5L2BHY (9%), B0DCC8MLV5 (8%), B0DCC8WZCH (7%)</t>
        </is>
      </c>
      <c r="N164" s="109" t="n">
        <v>23.99</v>
      </c>
      <c r="O164" s="109" t="n"/>
      <c r="P164" s="110">
        <f>IF(AND(ISNUMBER(O164),ISNUMBER(N164),N(N164)&gt;0),O164/N164-1,"")</f>
        <v/>
      </c>
      <c r="Q164" s="111">
        <f>IF(P164="","No List Price",IF(P164&lt;=0,"At/below price",IF(P164&lt;=0.12,"&lt;=12% STR zone",IF(P164&lt;=0.25,"12-25%","&gt;25% over"))))</f>
        <v/>
      </c>
      <c r="R164" s="109" t="n">
        <v>33.95</v>
      </c>
      <c r="S164" s="112">
        <f>IF(AND(ISNUMBER(N164),ISNUMBER(R164),N(R164)&gt;0),N164/R164-1,"")</f>
        <v/>
      </c>
      <c r="T164" s="39" t="inlineStr">
        <is>
          <t>Same size (Queen). Ours live: catalog price, 2026-10-13; 13 children</t>
        </is>
      </c>
      <c r="U164" s="108" t="n">
        <v>96002</v>
      </c>
      <c r="V164" s="108" t="n">
        <v>18</v>
      </c>
      <c r="W164" s="113">
        <f>IF(AND(ISNUMBER(N164),ISNUMBER(V164)),N164*V164*52/12,"")</f>
        <v/>
      </c>
      <c r="X164" s="114" t="n">
        <v>4.2</v>
      </c>
      <c r="Y164" s="108" t="n">
        <v>361</v>
      </c>
      <c r="Z164" s="115" t="n">
        <v>46307</v>
      </c>
      <c r="AA164" s="115" t="n">
        <v>45510</v>
      </c>
      <c r="AB164" s="105" t="inlineStr">
        <is>
          <t>FBA</t>
        </is>
      </c>
      <c r="AC164" s="105" t="inlineStr">
        <is>
          <t>CN</t>
        </is>
      </c>
      <c r="AD164" s="108" t="n">
        <v>23278</v>
      </c>
      <c r="AE164" s="108" t="n">
        <v>634</v>
      </c>
      <c r="AF164" s="116" t="n">
        <v>0.4926462797491192</v>
      </c>
      <c r="AG164" s="116" t="n">
        <v>0.507353720250881</v>
      </c>
      <c r="AH164" s="39" t="inlineStr">
        <is>
          <t>brown sheets</t>
        </is>
      </c>
      <c r="AI164" s="116" t="n">
        <v>0.8651086863132571</v>
      </c>
      <c r="AJ164" s="116" t="n"/>
      <c r="AK164" s="116" t="n"/>
      <c r="AL164" s="116" t="n">
        <v>0.1246241086003952</v>
      </c>
      <c r="AM164" s="108" t="n">
        <v>256</v>
      </c>
      <c r="AN164" s="108" t="n">
        <v>166</v>
      </c>
      <c r="AO164" s="108" t="n">
        <v>64</v>
      </c>
      <c r="AP164" s="108" t="n">
        <v>378</v>
      </c>
      <c r="AQ164" s="108" t="n">
        <v>44</v>
      </c>
      <c r="AR164" s="108" t="n">
        <v>41</v>
      </c>
      <c r="AS164" s="117" t="n">
        <v>0.5539772727272727</v>
      </c>
      <c r="AT164" s="112" t="n">
        <v>-0.4424040066777963</v>
      </c>
      <c r="AU164" s="118" t="inlineStr">
        <is>
          <t>N</t>
        </is>
      </c>
      <c r="AV164" s="118" t="inlineStr">
        <is>
          <t>none</t>
        </is>
      </c>
      <c r="AW164" s="124" t="n"/>
      <c r="AX164" s="119" t="n">
        <v>23.99</v>
      </c>
      <c r="AY164" s="118" t="inlineStr">
        <is>
          <t>none</t>
        </is>
      </c>
      <c r="AZ164" s="118" t="inlineStr">
        <is>
          <t>Y</t>
        </is>
      </c>
      <c r="BA164" s="118" t="inlineStr">
        <is>
          <t>2026-10-13 12:13:09</t>
        </is>
      </c>
      <c r="BB164" s="120" t="inlineStr">
        <is>
          <t>Prime Exclusive Discount</t>
        </is>
      </c>
      <c r="BC164" s="120" t="inlineStr">
        <is>
          <t>11-24 to 12-01</t>
        </is>
      </c>
      <c r="BD164" s="121" t="n">
        <v>22.99</v>
      </c>
      <c r="BE164" s="121" t="n">
        <v>19.27</v>
      </c>
      <c r="BF164" s="110">
        <f>IF(AND(ISNUMBER(BD164),ISNUMBER(BE164),N(BD164)&gt;0),1-BE164/BD164,"")</f>
        <v/>
      </c>
      <c r="BG164" s="122" t="n">
        <v>66815</v>
      </c>
      <c r="BH164" s="122" t="n">
        <v>49602</v>
      </c>
      <c r="BI164" s="123">
        <f>IF(AND(ISNUMBER(BG164),ISNUMBER(BH164),N(BH164)&gt;0),BG164/BH164,"")</f>
        <v/>
      </c>
      <c r="BJ164" s="120" t="inlineStr">
        <is>
          <t>N</t>
        </is>
      </c>
      <c r="BK164" s="120" t="inlineStr">
        <is>
          <t>Buy Box RAISED in BFCM week (median $24.39 vs $22.99 before); List Price $31.99</t>
        </is>
      </c>
    </row>
    <row r="165" ht="62" customHeight="1">
      <c r="A165" s="12">
        <f>_xlfn.IMAGE("https://images-na.ssl-images-amazon.com/images/I/71Upo7a638S.jpg")</f>
        <v/>
      </c>
      <c r="B165" s="105" t="inlineStr">
        <is>
          <t>Homiest</t>
        </is>
      </c>
      <c r="C165" s="39" t="inlineStr">
        <is>
          <t>Satin Sheets</t>
        </is>
      </c>
      <c r="D165" s="105" t="inlineStr">
        <is>
          <t>Beatable</t>
        </is>
      </c>
      <c r="E165" s="106" t="inlineStr">
        <is>
          <t>Direct</t>
        </is>
      </c>
      <c r="F165" s="105" t="inlineStr">
        <is>
          <t>Satin (polyester)</t>
        </is>
      </c>
      <c r="G165" s="39" t="inlineStr">
        <is>
          <t>Same product (sheet set) in the same material family: Satin (polyester) (product page material: Satin); ours: our listing: polyester satin.</t>
        </is>
      </c>
      <c r="H165" s="107" t="inlineStr">
        <is>
          <t>B07XBR22W1</t>
        </is>
      </c>
      <c r="I165" s="107" t="inlineStr">
        <is>
          <t>B0B5Z2B9NN</t>
        </is>
      </c>
      <c r="J165" s="105" t="inlineStr">
        <is>
          <t>EXTRA DEEP pocket - Full size</t>
        </is>
      </c>
      <c r="K165" s="105" t="inlineStr">
        <is>
          <t>Blackish Green</t>
        </is>
      </c>
      <c r="L165" s="108" t="n">
        <v>70</v>
      </c>
      <c r="M165" s="39" t="inlineStr">
        <is>
          <t>B07VTMDK79 (19%), B0C2824DHT (16%), B07XPVHHP9 (9%), B07HN29LH1 (6%), B0B2QZ8NKY (5%)</t>
        </is>
      </c>
      <c r="N165" s="109" t="n">
        <v>23.99</v>
      </c>
      <c r="O165" s="109" t="n">
        <v>25.99</v>
      </c>
      <c r="P165" s="110">
        <f>IF(AND(ISNUMBER(O165),ISNUMBER(N165),N(N165)&gt;0),O165/N165-1,"")</f>
        <v/>
      </c>
      <c r="Q165" s="111">
        <f>IF(P165="","No List Price",IF(P165&lt;=0,"At/below price",IF(P165&lt;=0.12,"&lt;=12% STR zone",IF(P165&lt;=0.25,"12-25%","&gt;25% over"))))</f>
        <v/>
      </c>
      <c r="R165" s="109" t="n">
        <v>37.05571428571429</v>
      </c>
      <c r="S165" s="112">
        <f>IF(AND(ISNUMBER(N165),ISNUMBER(R165),N(R165)&gt;0),N165/R165-1,"")</f>
        <v/>
      </c>
      <c r="T165" s="39" t="inlineStr">
        <is>
          <t>vs our blended price (market data, Mar 2026 - STALE)</t>
        </is>
      </c>
      <c r="U165" s="108" t="n">
        <v>28165</v>
      </c>
      <c r="V165" s="108" t="n">
        <v>5</v>
      </c>
      <c r="W165" s="113">
        <f>IF(AND(ISNUMBER(N165),ISNUMBER(V165)),N165*V165*52/12,"")</f>
        <v/>
      </c>
      <c r="X165" s="114" t="n">
        <v>4.4</v>
      </c>
      <c r="Y165" s="108" t="n">
        <v>12125</v>
      </c>
      <c r="Z165" s="115" t="n">
        <v>46307</v>
      </c>
      <c r="AA165" s="115" t="n"/>
      <c r="AB165" s="105" t="n"/>
      <c r="AC165" s="105" t="n"/>
      <c r="AD165" s="108" t="n">
        <v>20002</v>
      </c>
      <c r="AE165" s="108" t="n">
        <v>618</v>
      </c>
      <c r="AF165" s="116" t="n">
        <v>1</v>
      </c>
      <c r="AG165" s="116" t="n">
        <v>0</v>
      </c>
      <c r="AH165" s="39" t="inlineStr">
        <is>
          <t>satin sheets</t>
        </is>
      </c>
      <c r="AI165" s="116" t="n">
        <v>0.08344165583441655</v>
      </c>
      <c r="AJ165" s="116" t="n"/>
      <c r="AK165" s="116" t="n"/>
      <c r="AL165" s="116" t="n">
        <v>0.02124787521247875</v>
      </c>
      <c r="AM165" s="108" t="n">
        <v>302</v>
      </c>
      <c r="AN165" s="108" t="n">
        <v>197</v>
      </c>
      <c r="AO165" s="108" t="n">
        <v>81</v>
      </c>
      <c r="AP165" s="108" t="n">
        <v>316</v>
      </c>
      <c r="AQ165" s="108" t="n">
        <v>0</v>
      </c>
      <c r="AR165" s="108" t="n">
        <v>0</v>
      </c>
      <c r="AS165" s="117" t="n"/>
      <c r="AT165" s="112" t="n"/>
      <c r="AU165" s="118" t="inlineStr">
        <is>
          <t>Y</t>
        </is>
      </c>
      <c r="AV165" s="118" t="inlineStr">
        <is>
          <t>Typical price</t>
        </is>
      </c>
      <c r="AW165" s="119" t="n">
        <v>25.99</v>
      </c>
      <c r="AX165" s="119" t="n">
        <v>23.99</v>
      </c>
      <c r="AY165" s="118" t="inlineStr">
        <is>
          <t>none</t>
        </is>
      </c>
      <c r="AZ165" s="118" t="inlineStr">
        <is>
          <t>Y</t>
        </is>
      </c>
      <c r="BA165" s="118" t="inlineStr">
        <is>
          <t>2026-10-13 12:12:56</t>
        </is>
      </c>
      <c r="BB165" s="120" t="inlineStr">
        <is>
          <t>Prime Exclusive Discount</t>
        </is>
      </c>
      <c r="BC165" s="120" t="inlineStr">
        <is>
          <t>11-04 to 12-05</t>
        </is>
      </c>
      <c r="BD165" s="121" t="n">
        <v>23.39</v>
      </c>
      <c r="BE165" s="121" t="n">
        <v>21.32</v>
      </c>
      <c r="BF165" s="110">
        <f>IF(AND(ISNUMBER(BD165),ISNUMBER(BE165),N(BD165)&gt;0),1-BE165/BD165,"")</f>
        <v/>
      </c>
      <c r="BG165" s="122" t="n">
        <v>20924</v>
      </c>
      <c r="BH165" s="122" t="n">
        <v>20898</v>
      </c>
      <c r="BI165" s="123">
        <f>IF(AND(ISNUMBER(BG165),ISNUMBER(BH165),N(BH165)&gt;0),BG165/BH165,"")</f>
        <v/>
      </c>
      <c r="BJ165" s="120" t="inlineStr">
        <is>
          <t>N</t>
        </is>
      </c>
      <c r="BK165" s="120" t="inlineStr">
        <is>
          <t>Prime Exclusive already running before BFCM week; List Price $52.78</t>
        </is>
      </c>
    </row>
    <row r="166" ht="62" customHeight="1">
      <c r="A166" s="12">
        <f>_xlfn.IMAGE("https://images-na.ssl-images-amazon.com/images/I/810d6GzTlfL.jpg")</f>
        <v/>
      </c>
      <c r="B166" s="105" t="inlineStr">
        <is>
          <t>FreshCulture</t>
        </is>
      </c>
      <c r="C166" s="39" t="inlineStr">
        <is>
          <t>Satin Sheets</t>
        </is>
      </c>
      <c r="D166" s="105" t="inlineStr">
        <is>
          <t>Poor</t>
        </is>
      </c>
      <c r="E166" s="106" t="inlineStr">
        <is>
          <t>Direct</t>
        </is>
      </c>
      <c r="F166" s="105" t="inlineStr">
        <is>
          <t>Satin (polyester)</t>
        </is>
      </c>
      <c r="G166" s="39" t="inlineStr">
        <is>
          <t>Same product (sheet set) in the same material family: Satin (polyester) (product page material: Polyester Satin); ours: our listing: polyester satin.</t>
        </is>
      </c>
      <c r="H166" s="107" t="inlineStr">
        <is>
          <t>B0D9B18P6N</t>
        </is>
      </c>
      <c r="I166" s="107" t="inlineStr">
        <is>
          <t>B0D9BD63QH</t>
        </is>
      </c>
      <c r="J166" s="105" t="inlineStr">
        <is>
          <t>Full</t>
        </is>
      </c>
      <c r="K166" s="105" t="inlineStr">
        <is>
          <t>Black</t>
        </is>
      </c>
      <c r="L166" s="108" t="n">
        <v>54</v>
      </c>
      <c r="M166" s="39" t="inlineStr">
        <is>
          <t>B0D9BD63QH (41%), B0D9BCKF76 (23%), B0D9BBSLJ5 (8%), B0D9BFR53D (6%), B0D9B9HFLQ (5%)</t>
        </is>
      </c>
      <c r="N166" s="109" t="n">
        <v>23.99</v>
      </c>
      <c r="O166" s="109" t="n"/>
      <c r="P166" s="110">
        <f>IF(AND(ISNUMBER(O166),ISNUMBER(N166),N(N166)&gt;0),O166/N166-1,"")</f>
        <v/>
      </c>
      <c r="Q166" s="111">
        <f>IF(P166="","No List Price",IF(P166&lt;=0,"At/below price",IF(P166&lt;=0.12,"&lt;=12% STR zone",IF(P166&lt;=0.25,"12-25%","&gt;25% over"))))</f>
        <v/>
      </c>
      <c r="R166" s="109" t="n">
        <v>31.95</v>
      </c>
      <c r="S166" s="112">
        <f>IF(AND(ISNUMBER(N166),ISNUMBER(R166),N(R166)&gt;0),N166/R166-1,"")</f>
        <v/>
      </c>
      <c r="T166" s="39" t="inlineStr">
        <is>
          <t>Same size (Full). Ours live: catalog price, 2026-10-13; 21 children</t>
        </is>
      </c>
      <c r="U166" s="108" t="n">
        <v>17918</v>
      </c>
      <c r="V166" s="108" t="n">
        <v>104</v>
      </c>
      <c r="W166" s="113">
        <f>IF(AND(ISNUMBER(N166),ISNUMBER(V166)),N166*V166*52/12,"")</f>
        <v/>
      </c>
      <c r="X166" s="114" t="n">
        <v>4.4</v>
      </c>
      <c r="Y166" s="108" t="n">
        <v>780</v>
      </c>
      <c r="Z166" s="115" t="n">
        <v>46307</v>
      </c>
      <c r="AA166" s="115" t="n"/>
      <c r="AB166" s="105" t="n"/>
      <c r="AC166" s="105" t="n"/>
      <c r="AD166" s="108" t="n">
        <v>99046</v>
      </c>
      <c r="AE166" s="108" t="n">
        <v>1117</v>
      </c>
      <c r="AF166" s="116" t="n">
        <v>0.9634387880378817</v>
      </c>
      <c r="AG166" s="116" t="n">
        <v>0.0365612119621186</v>
      </c>
      <c r="AH166" s="39" t="inlineStr">
        <is>
          <t>silk sheets</t>
        </is>
      </c>
      <c r="AI166" s="116" t="n">
        <v>0.6526159562223613</v>
      </c>
      <c r="AJ166" s="116" t="n"/>
      <c r="AK166" s="116" t="n"/>
      <c r="AL166" s="116" t="n">
        <v>0.05489368576217112</v>
      </c>
      <c r="AM166" s="108" t="n">
        <v>319</v>
      </c>
      <c r="AN166" s="108" t="n">
        <v>85</v>
      </c>
      <c r="AO166" s="108" t="n">
        <v>205</v>
      </c>
      <c r="AP166" s="108" t="n">
        <v>798</v>
      </c>
      <c r="AQ166" s="108" t="n">
        <v>19</v>
      </c>
      <c r="AR166" s="108" t="n">
        <v>4</v>
      </c>
      <c r="AS166" s="117" t="n"/>
      <c r="AT166" s="112" t="n"/>
      <c r="AU166" s="118" t="inlineStr">
        <is>
          <t>N</t>
        </is>
      </c>
      <c r="AV166" s="118" t="inlineStr">
        <is>
          <t>none</t>
        </is>
      </c>
      <c r="AW166" s="124" t="n"/>
      <c r="AX166" s="119" t="n">
        <v>23.99</v>
      </c>
      <c r="AY166" s="118" t="inlineStr">
        <is>
          <t>none</t>
        </is>
      </c>
      <c r="AZ166" s="118" t="inlineStr">
        <is>
          <t>Y</t>
        </is>
      </c>
      <c r="BA166" s="118" t="inlineStr">
        <is>
          <t>2026-10-13 12:12:46</t>
        </is>
      </c>
      <c r="BB166" s="120" t="inlineStr">
        <is>
          <t>Prime Exclusive Discount</t>
        </is>
      </c>
      <c r="BC166" s="120" t="inlineStr">
        <is>
          <t>11-24 to 11-24</t>
        </is>
      </c>
      <c r="BD166" s="121" t="n">
        <v>23.99</v>
      </c>
      <c r="BE166" s="121" t="n">
        <v>18.69</v>
      </c>
      <c r="BF166" s="110">
        <f>IF(AND(ISNUMBER(BD166),ISNUMBER(BE166),N(BD166)&gt;0),1-BE166/BD166,"")</f>
        <v/>
      </c>
      <c r="BG166" s="122" t="n">
        <v>37399</v>
      </c>
      <c r="BH166" s="122" t="n">
        <v>26864</v>
      </c>
      <c r="BI166" s="123">
        <f>IF(AND(ISNUMBER(BG166),ISNUMBER(BH166),N(BH166)&gt;0),BG166/BH166,"")</f>
        <v/>
      </c>
      <c r="BJ166" s="120" t="inlineStr">
        <is>
          <t>Y</t>
        </is>
      </c>
      <c r="BK166" s="120" t="inlineStr">
        <is>
          <t>List Price $34.99</t>
        </is>
      </c>
    </row>
    <row r="167" ht="62" customHeight="1">
      <c r="A167" s="12">
        <f>_xlfn.IMAGE("https://images-na.ssl-images-amazon.com/images/I/71TbH0l5XfL.jpg")</f>
        <v/>
      </c>
      <c r="B167" s="105" t="inlineStr">
        <is>
          <t>P Pothuiny</t>
        </is>
      </c>
      <c r="C167" s="39" t="inlineStr">
        <is>
          <t>P Pothuiny 6-Piece Queen Satin Sheet Set Burgundy Silky Sheets</t>
        </is>
      </c>
      <c r="D167" s="105" t="inlineStr">
        <is>
          <t>Poor</t>
        </is>
      </c>
      <c r="E167" s="106" t="inlineStr">
        <is>
          <t>Direct</t>
        </is>
      </c>
      <c r="F167" s="105" t="inlineStr">
        <is>
          <t>Satin (polyester)</t>
        </is>
      </c>
      <c r="G167" s="39" t="inlineStr">
        <is>
          <t>Same product (sheet set) in the same material family: Satin (polyester) (title: P Pothuiny 6-Piece Queen Satin Sheet Set Burgundy Silky Shee); ours: our listing: polyester satin.</t>
        </is>
      </c>
      <c r="H167" s="107" t="inlineStr">
        <is>
          <t>B096P2MYZQ</t>
        </is>
      </c>
      <c r="I167" s="107" t="inlineStr">
        <is>
          <t>B08QMF6D5W</t>
        </is>
      </c>
      <c r="J167" s="105" t="inlineStr">
        <is>
          <t>Queen</t>
        </is>
      </c>
      <c r="K167" s="105" t="inlineStr">
        <is>
          <t>Burgundy</t>
        </is>
      </c>
      <c r="L167" s="108" t="n">
        <v>47</v>
      </c>
      <c r="M167" s="39" t="inlineStr">
        <is>
          <t>B08QMF6D5W (52%), B08QMSJFYZ (19%), B08QMYV2YR (10%)</t>
        </is>
      </c>
      <c r="N167" s="109" t="n">
        <v>26.99</v>
      </c>
      <c r="O167" s="109" t="n"/>
      <c r="P167" s="110">
        <f>IF(AND(ISNUMBER(O167),ISNUMBER(N167),N(N167)&gt;0),O167/N167-1,"")</f>
        <v/>
      </c>
      <c r="Q167" s="111">
        <f>IF(P167="","No List Price",IF(P167&lt;=0,"At/below price",IF(P167&lt;=0.12,"&lt;=12% STR zone",IF(P167&lt;=0.25,"12-25%","&gt;25% over"))))</f>
        <v/>
      </c>
      <c r="R167" s="109" t="n">
        <v>33.95</v>
      </c>
      <c r="S167" s="112">
        <f>IF(AND(ISNUMBER(N167),ISNUMBER(R167),N(R167)&gt;0),N167/R167-1,"")</f>
        <v/>
      </c>
      <c r="T167" s="39" t="inlineStr">
        <is>
          <t>Same size (Queen). Ours live: catalog price, 2026-10-13; 13 children</t>
        </is>
      </c>
      <c r="U167" s="108" t="n">
        <v>20031</v>
      </c>
      <c r="V167" s="108" t="n">
        <v>104</v>
      </c>
      <c r="W167" s="113">
        <f>IF(AND(ISNUMBER(N167),ISNUMBER(V167)),N167*V167*52/12,"")</f>
        <v/>
      </c>
      <c r="X167" s="114" t="n">
        <v>4.4</v>
      </c>
      <c r="Y167" s="108" t="n">
        <v>4031</v>
      </c>
      <c r="Z167" s="115" t="n">
        <v>46307</v>
      </c>
      <c r="AA167" s="115" t="n">
        <v>44180</v>
      </c>
      <c r="AB167" s="105" t="inlineStr">
        <is>
          <t>FBA</t>
        </is>
      </c>
      <c r="AC167" s="105" t="inlineStr">
        <is>
          <t>CN</t>
        </is>
      </c>
      <c r="AD167" s="108" t="n">
        <v>66544</v>
      </c>
      <c r="AE167" s="108" t="n">
        <v>832</v>
      </c>
      <c r="AF167" s="116" t="n">
        <v>0.9166959214955518</v>
      </c>
      <c r="AG167" s="116" t="n">
        <v>0.08330407850444821</v>
      </c>
      <c r="AH167" s="39" t="inlineStr">
        <is>
          <t>silk sheets</t>
        </is>
      </c>
      <c r="AI167" s="116" t="n">
        <v>0.1859972349122385</v>
      </c>
      <c r="AJ167" s="116" t="n">
        <v>0.5380349843712431</v>
      </c>
      <c r="AK167" s="116" t="n"/>
      <c r="AL167" s="116" t="n">
        <v>0.01920533782159173</v>
      </c>
      <c r="AM167" s="108" t="n">
        <v>319</v>
      </c>
      <c r="AN167" s="108" t="n">
        <v>115</v>
      </c>
      <c r="AO167" s="108" t="n">
        <v>172</v>
      </c>
      <c r="AP167" s="108" t="n">
        <v>513</v>
      </c>
      <c r="AQ167" s="108" t="n">
        <v>39</v>
      </c>
      <c r="AR167" s="108" t="n">
        <v>5</v>
      </c>
      <c r="AS167" s="117" t="n">
        <v>1.171497584541063</v>
      </c>
      <c r="AT167" s="112" t="n">
        <v>0.608009708737864</v>
      </c>
      <c r="AU167" s="118" t="inlineStr">
        <is>
          <t>N</t>
        </is>
      </c>
      <c r="AV167" s="118" t="inlineStr">
        <is>
          <t>none</t>
        </is>
      </c>
      <c r="AW167" s="124" t="n"/>
      <c r="AX167" s="119" t="n">
        <v>26.99</v>
      </c>
      <c r="AY167" s="118" t="inlineStr">
        <is>
          <t>none</t>
        </is>
      </c>
      <c r="AZ167" s="118" t="inlineStr">
        <is>
          <t>Y</t>
        </is>
      </c>
      <c r="BA167" s="118" t="inlineStr">
        <is>
          <t>2026-10-13 12:13:35</t>
        </is>
      </c>
      <c r="BB167" s="120" t="inlineStr">
        <is>
          <t>Prime Exclusive Discount</t>
        </is>
      </c>
      <c r="BC167" s="120" t="inlineStr">
        <is>
          <t>11-01 to 12-01</t>
        </is>
      </c>
      <c r="BD167" s="121" t="n">
        <v>29.99</v>
      </c>
      <c r="BE167" s="121" t="n">
        <v>24.95</v>
      </c>
      <c r="BF167" s="110">
        <f>IF(AND(ISNUMBER(BD167),ISNUMBER(BE167),N(BD167)&gt;0),1-BE167/BD167,"")</f>
        <v/>
      </c>
      <c r="BG167" s="122" t="n">
        <v>19773</v>
      </c>
      <c r="BH167" s="122" t="n">
        <v>19113</v>
      </c>
      <c r="BI167" s="123">
        <f>IF(AND(ISNUMBER(BG167),ISNUMBER(BH167),N(BH167)&gt;0),BG167/BH167,"")</f>
        <v/>
      </c>
      <c r="BJ167" s="120" t="inlineStr">
        <is>
          <t>N</t>
        </is>
      </c>
      <c r="BK167" s="120" t="inlineStr">
        <is>
          <t>Prime Exclusive already running before BFCM week; Buy Box RAISED in BFCM week (median $31.99 vs $29.99 before); List Price $48.99</t>
        </is>
      </c>
    </row>
    <row r="168" ht="62" customHeight="1">
      <c r="A168" s="12">
        <f>_xlfn.IMAGE("https://images-na.ssl-images-amazon.com/images/I/81zLU1W0e8L.jpg")</f>
        <v/>
      </c>
      <c r="B168" s="105" t="inlineStr">
        <is>
          <t>Pure Bedding</t>
        </is>
      </c>
      <c r="C168" s="39" t="inlineStr">
        <is>
          <t>Pure Bedding Satin Sheets Queen [4-Piece, Black] Hotel Luxury Silky Bed Sheets - Extra Soft 1800 Microfiber Sheet Set, Wrinkle, Fade, Deep Pocket Fitted Sheet, Flat Sheet, Pillow Cases</t>
        </is>
      </c>
      <c r="D168" s="105" t="inlineStr">
        <is>
          <t>Poor</t>
        </is>
      </c>
      <c r="E168" s="106" t="inlineStr">
        <is>
          <t>Direct</t>
        </is>
      </c>
      <c r="F168" s="105" t="inlineStr">
        <is>
          <t>Satin (polyester)</t>
        </is>
      </c>
      <c r="G168" s="39" t="inlineStr">
        <is>
          <t>Same product (sheet set) in the same material family: Satin (polyester) (title: Pure Bedding Satin Sheets Queen [4-Piece, Black] Hotel Luxur); ours: our listing: polyester satin.</t>
        </is>
      </c>
      <c r="H168" s="107" t="inlineStr">
        <is>
          <t>B0FMPQYB2J</t>
        </is>
      </c>
      <c r="I168" s="107" t="inlineStr">
        <is>
          <t>B083G81VSH</t>
        </is>
      </c>
      <c r="J168" s="105" t="inlineStr">
        <is>
          <t>Queen</t>
        </is>
      </c>
      <c r="K168" s="105" t="inlineStr">
        <is>
          <t>Black</t>
        </is>
      </c>
      <c r="L168" s="108" t="n">
        <v>146</v>
      </c>
      <c r="M168" s="39" t="inlineStr">
        <is>
          <t>B083G81VSH (53%), B07QVMQHD8 (25%), B0FMZWLSSM (4%)</t>
        </is>
      </c>
      <c r="N168" s="109" t="n">
        <v>20.99</v>
      </c>
      <c r="O168" s="109" t="n"/>
      <c r="P168" s="110">
        <f>IF(AND(ISNUMBER(O168),ISNUMBER(N168),N(N168)&gt;0),O168/N168-1,"")</f>
        <v/>
      </c>
      <c r="Q168" s="111">
        <f>IF(P168="","No List Price",IF(P168&lt;=0,"At/below price",IF(P168&lt;=0.12,"&lt;=12% STR zone",IF(P168&lt;=0.25,"12-25%","&gt;25% over"))))</f>
        <v/>
      </c>
      <c r="R168" s="109" t="n">
        <v>33.95</v>
      </c>
      <c r="S168" s="112">
        <f>IF(AND(ISNUMBER(N168),ISNUMBER(R168),N(R168)&gt;0),N168/R168-1,"")</f>
        <v/>
      </c>
      <c r="T168" s="39" t="inlineStr">
        <is>
          <t>Same size (Queen). Ours live: catalog price, 2026-10-13; 13 children</t>
        </is>
      </c>
      <c r="U168" s="108" t="n">
        <v>30991</v>
      </c>
      <c r="V168" s="108" t="n">
        <v>92</v>
      </c>
      <c r="W168" s="113">
        <f>IF(AND(ISNUMBER(N168),ISNUMBER(V168)),N168*V168*52/12,"")</f>
        <v/>
      </c>
      <c r="X168" s="114" t="n">
        <v>4.4</v>
      </c>
      <c r="Y168" s="108" t="n">
        <v>9828</v>
      </c>
      <c r="Z168" s="115" t="n">
        <v>46307</v>
      </c>
      <c r="AA168" s="115" t="n">
        <v>43833</v>
      </c>
      <c r="AB168" s="105" t="inlineStr">
        <is>
          <t>AMZ</t>
        </is>
      </c>
      <c r="AC168" s="105" t="inlineStr">
        <is>
          <t>(Amazon)</t>
        </is>
      </c>
      <c r="AD168" s="108" t="n">
        <v>119531</v>
      </c>
      <c r="AE168" s="108" t="n">
        <v>1524</v>
      </c>
      <c r="AF168" s="116" t="n">
        <v>0.6204180681162206</v>
      </c>
      <c r="AG168" s="116" t="n">
        <v>0.3795819318837791</v>
      </c>
      <c r="AH168" s="39" t="inlineStr">
        <is>
          <t>satin sheets</t>
        </is>
      </c>
      <c r="AI168" s="116" t="n">
        <v>0.7968142155591437</v>
      </c>
      <c r="AJ168" s="116" t="n"/>
      <c r="AK168" s="116" t="n"/>
      <c r="AL168" s="116" t="n">
        <v>0.001480787410797199</v>
      </c>
      <c r="AM168" s="108" t="n">
        <v>325</v>
      </c>
      <c r="AN168" s="108" t="n">
        <v>123</v>
      </c>
      <c r="AO168" s="108" t="n">
        <v>173</v>
      </c>
      <c r="AP168" s="108" t="n">
        <v>1199</v>
      </c>
      <c r="AQ168" s="108" t="n">
        <v>211</v>
      </c>
      <c r="AR168" s="108" t="n">
        <v>29</v>
      </c>
      <c r="AS168" s="117" t="n">
        <v>0.7574960547080484</v>
      </c>
      <c r="AT168" s="112" t="n">
        <v>-0.08414376321353068</v>
      </c>
      <c r="AU168" s="118" t="inlineStr">
        <is>
          <t>N</t>
        </is>
      </c>
      <c r="AV168" s="118" t="inlineStr">
        <is>
          <t>none</t>
        </is>
      </c>
      <c r="AW168" s="124" t="n"/>
      <c r="AX168" s="119" t="n">
        <v>20.99</v>
      </c>
      <c r="AY168" s="118" t="inlineStr">
        <is>
          <t>none</t>
        </is>
      </c>
      <c r="AZ168" s="118" t="inlineStr">
        <is>
          <t>Y</t>
        </is>
      </c>
      <c r="BA168" s="118" t="inlineStr">
        <is>
          <t>2026-10-13 12:13:39</t>
        </is>
      </c>
      <c r="BB168" s="120" t="inlineStr">
        <is>
          <t>Price cut only</t>
        </is>
      </c>
      <c r="BC168" s="120" t="inlineStr">
        <is>
          <t>11-26 to 12-01</t>
        </is>
      </c>
      <c r="BD168" s="121" t="n">
        <v>18.99</v>
      </c>
      <c r="BE168" s="121" t="n">
        <v>17.54</v>
      </c>
      <c r="BF168" s="110">
        <f>IF(AND(ISNUMBER(BD168),ISNUMBER(BE168),N(BD168)&gt;0),1-BE168/BD168,"")</f>
        <v/>
      </c>
      <c r="BG168" s="122" t="n">
        <v>18619</v>
      </c>
      <c r="BH168" s="122" t="n">
        <v>22404</v>
      </c>
      <c r="BI168" s="123">
        <f>IF(AND(ISNUMBER(BG168),ISNUMBER(BH168),N(BH168)&gt;0),BG168/BH168,"")</f>
        <v/>
      </c>
      <c r="BJ168" s="120" t="inlineStr">
        <is>
          <t>N</t>
        </is>
      </c>
      <c r="BK168" s="120" t="inlineStr">
        <is>
          <t>Buy Box RAISED in BFCM week (median $20.02 vs $18.99 before); List Price $32.99</t>
        </is>
      </c>
    </row>
    <row r="169" ht="62" customHeight="1">
      <c r="A169" s="12">
        <f>_xlfn.IMAGE("https://images-na.ssl-images-amazon.com/images/I/71d2-R2XfJL.jpg")</f>
        <v/>
      </c>
      <c r="B169" s="105" t="inlineStr">
        <is>
          <t>VACVELT</t>
        </is>
      </c>
      <c r="C169" s="39" t="inlineStr">
        <is>
          <t>VACVELT 3pcs Queen Black Extra Deep Pocket Satin Fitted Sheet Set</t>
        </is>
      </c>
      <c r="D169" s="105" t="inlineStr">
        <is>
          <t>Poor</t>
        </is>
      </c>
      <c r="E169" s="106" t="inlineStr">
        <is>
          <t>Direct</t>
        </is>
      </c>
      <c r="F169" s="105" t="inlineStr">
        <is>
          <t>Satin (polyester)</t>
        </is>
      </c>
      <c r="G169" s="39" t="inlineStr">
        <is>
          <t>Same product (sheet set) in the same material family: Satin (polyester) (title: VACVELT 3pcs Queen Black Extra Deep Pocket Satin Fitted Shee); ours: our listing: polyester satin.</t>
        </is>
      </c>
      <c r="H169" s="107" t="inlineStr">
        <is>
          <t>B0BWJ4PYLN</t>
        </is>
      </c>
      <c r="I169" s="107" t="inlineStr">
        <is>
          <t>B0BWJ4MLLZ</t>
        </is>
      </c>
      <c r="J169" s="105" t="inlineStr">
        <is>
          <t>Queen</t>
        </is>
      </c>
      <c r="K169" s="105" t="inlineStr">
        <is>
          <t>Black</t>
        </is>
      </c>
      <c r="L169" s="108" t="n">
        <v>40</v>
      </c>
      <c r="M169" s="39" t="inlineStr">
        <is>
          <t>B0BWJ4MLLZ (83%)</t>
        </is>
      </c>
      <c r="N169" s="109" t="n">
        <v>18.99</v>
      </c>
      <c r="O169" s="109" t="n"/>
      <c r="P169" s="110">
        <f>IF(AND(ISNUMBER(O169),ISNUMBER(N169),N(N169)&gt;0),O169/N169-1,"")</f>
        <v/>
      </c>
      <c r="Q169" s="111">
        <f>IF(P169="","No List Price",IF(P169&lt;=0,"At/below price",IF(P169&lt;=0.12,"&lt;=12% STR zone",IF(P169&lt;=0.25,"12-25%","&gt;25% over"))))</f>
        <v/>
      </c>
      <c r="R169" s="109" t="n">
        <v>33.95</v>
      </c>
      <c r="S169" s="112">
        <f>IF(AND(ISNUMBER(N169),ISNUMBER(R169),N(R169)&gt;0),N169/R169-1,"")</f>
        <v/>
      </c>
      <c r="T169" s="39" t="inlineStr">
        <is>
          <t>Same size (Queen). Ours live: catalog price, 2026-10-13; 13 children</t>
        </is>
      </c>
      <c r="U169" s="108" t="n">
        <v>49291</v>
      </c>
      <c r="V169" s="108" t="n">
        <v>92</v>
      </c>
      <c r="W169" s="113">
        <f>IF(AND(ISNUMBER(N169),ISNUMBER(V169)),N169*V169*52/12,"")</f>
        <v/>
      </c>
      <c r="X169" s="114" t="n">
        <v>4.2</v>
      </c>
      <c r="Y169" s="108" t="n">
        <v>747</v>
      </c>
      <c r="Z169" s="115" t="n">
        <v>46307</v>
      </c>
      <c r="AA169" s="115" t="n">
        <v>44979</v>
      </c>
      <c r="AB169" s="105" t="inlineStr">
        <is>
          <t>FBA</t>
        </is>
      </c>
      <c r="AC169" s="105" t="inlineStr">
        <is>
          <t>CN</t>
        </is>
      </c>
      <c r="AD169" s="108" t="n">
        <v>25451</v>
      </c>
      <c r="AE169" s="108" t="n">
        <v>677</v>
      </c>
      <c r="AF169" s="116" t="n">
        <v>0.9999606773800636</v>
      </c>
      <c r="AG169" s="116" t="n">
        <v>3.932261993634828e-05</v>
      </c>
      <c r="AH169" s="39" t="inlineStr">
        <is>
          <t>satin sheets</t>
        </is>
      </c>
      <c r="AI169" s="116" t="n">
        <v>0.175985226513693</v>
      </c>
      <c r="AJ169" s="116" t="n"/>
      <c r="AK169" s="116" t="n"/>
      <c r="AL169" s="116" t="n">
        <v>0</v>
      </c>
      <c r="AM169" s="108" t="n">
        <v>243</v>
      </c>
      <c r="AN169" s="108" t="n">
        <v>147</v>
      </c>
      <c r="AO169" s="108" t="n">
        <v>79</v>
      </c>
      <c r="AP169" s="108" t="n">
        <v>434</v>
      </c>
      <c r="AQ169" s="108" t="n">
        <v>1</v>
      </c>
      <c r="AR169" s="108" t="n">
        <v>0</v>
      </c>
      <c r="AS169" s="117" t="n">
        <v>1.145341614906832</v>
      </c>
      <c r="AT169" s="112" t="n">
        <v>0.1112500000000001</v>
      </c>
      <c r="AU169" s="118" t="inlineStr">
        <is>
          <t>N</t>
        </is>
      </c>
      <c r="AV169" s="118" t="inlineStr">
        <is>
          <t>none</t>
        </is>
      </c>
      <c r="AW169" s="124" t="n"/>
      <c r="AX169" s="119" t="n">
        <v>18.99</v>
      </c>
      <c r="AY169" s="118" t="inlineStr">
        <is>
          <t>none</t>
        </is>
      </c>
      <c r="AZ169" s="118" t="inlineStr">
        <is>
          <t>Y</t>
        </is>
      </c>
      <c r="BA169" s="118" t="inlineStr">
        <is>
          <t>2026-10-13 12:13:51</t>
        </is>
      </c>
      <c r="BB169" s="120" t="inlineStr">
        <is>
          <t>Prime Exclusive Discount</t>
        </is>
      </c>
      <c r="BC169" s="120" t="inlineStr">
        <is>
          <t>11-01 to 12-01</t>
        </is>
      </c>
      <c r="BD169" s="121" t="n">
        <v>25.99</v>
      </c>
      <c r="BE169" s="121" t="n">
        <v>17.15</v>
      </c>
      <c r="BF169" s="110">
        <f>IF(AND(ISNUMBER(BD169),ISNUMBER(BE169),N(BD169)&gt;0),1-BE169/BD169,"")</f>
        <v/>
      </c>
      <c r="BG169" s="122" t="n">
        <v>56482</v>
      </c>
      <c r="BH169" s="122" t="n">
        <v>55960</v>
      </c>
      <c r="BI169" s="123">
        <f>IF(AND(ISNUMBER(BG169),ISNUMBER(BH169),N(BH169)&gt;0),BG169/BH169,"")</f>
        <v/>
      </c>
      <c r="BJ169" s="120" t="inlineStr">
        <is>
          <t>N</t>
        </is>
      </c>
      <c r="BK169" s="120" t="inlineStr">
        <is>
          <t>Prime Exclusive already running before BFCM week; List Price $47.98</t>
        </is>
      </c>
    </row>
    <row r="170" ht="62" customHeight="1">
      <c r="A170" s="12">
        <f>_xlfn.IMAGE("https://images-na.ssl-images-amazon.com/images/I/813TGJ9FKjL.jpg")</f>
        <v/>
      </c>
      <c r="B170" s="105" t="inlineStr">
        <is>
          <t>Horbaunal</t>
        </is>
      </c>
      <c r="C170" s="39" t="inlineStr">
        <is>
          <t>Horbaunal 6 Piece Satin Sheet Set Queen, Emerald Green Queen Bed Sheets</t>
        </is>
      </c>
      <c r="D170" s="105" t="inlineStr">
        <is>
          <t>Poor</t>
        </is>
      </c>
      <c r="E170" s="106" t="inlineStr">
        <is>
          <t>Direct</t>
        </is>
      </c>
      <c r="F170" s="105" t="inlineStr">
        <is>
          <t>Satin (polyester)</t>
        </is>
      </c>
      <c r="G170" s="39" t="inlineStr">
        <is>
          <t>Same product (sheet set) in the same material family: Satin (polyester) (title: Horbaunal 6 Piece Satin Sheet Set Queen, Emerald Green Queen); ours: our listing: polyester satin.</t>
        </is>
      </c>
      <c r="H170" s="107" t="inlineStr">
        <is>
          <t>B0B4MQCT87</t>
        </is>
      </c>
      <c r="I170" s="107" t="inlineStr">
        <is>
          <t>B0B4MQ1PP1</t>
        </is>
      </c>
      <c r="J170" s="105" t="inlineStr">
        <is>
          <t>Queen</t>
        </is>
      </c>
      <c r="K170" s="105" t="inlineStr">
        <is>
          <t>Green</t>
        </is>
      </c>
      <c r="L170" s="108" t="n">
        <v>23</v>
      </c>
      <c r="M170" s="39" t="inlineStr"/>
      <c r="N170" s="109" t="n">
        <v>28.99</v>
      </c>
      <c r="O170" s="109" t="n"/>
      <c r="P170" s="110">
        <f>IF(AND(ISNUMBER(O170),ISNUMBER(N170),N(N170)&gt;0),O170/N170-1,"")</f>
        <v/>
      </c>
      <c r="Q170" s="111">
        <f>IF(P170="","No List Price",IF(P170&lt;=0,"At/below price",IF(P170&lt;=0.12,"&lt;=12% STR zone",IF(P170&lt;=0.25,"12-25%","&gt;25% over"))))</f>
        <v/>
      </c>
      <c r="R170" s="109" t="n">
        <v>33.95</v>
      </c>
      <c r="S170" s="112">
        <f>IF(AND(ISNUMBER(N170),ISNUMBER(R170),N(R170)&gt;0),N170/R170-1,"")</f>
        <v/>
      </c>
      <c r="T170" s="39" t="inlineStr">
        <is>
          <t>Same size (Queen). Ours live: catalog price, 2026-10-13; 13 children</t>
        </is>
      </c>
      <c r="U170" s="108" t="n">
        <v>110638</v>
      </c>
      <c r="V170" s="108" t="n">
        <v>35</v>
      </c>
      <c r="W170" s="113">
        <f>IF(AND(ISNUMBER(N170),ISNUMBER(V170)),N170*V170*52/12,"")</f>
        <v/>
      </c>
      <c r="X170" s="114" t="n">
        <v>4.4</v>
      </c>
      <c r="Y170" s="108" t="n">
        <v>772</v>
      </c>
      <c r="Z170" s="115" t="n">
        <v>46307</v>
      </c>
      <c r="AA170" s="115" t="n">
        <v>44733</v>
      </c>
      <c r="AB170" s="105" t="inlineStr">
        <is>
          <t>FBA</t>
        </is>
      </c>
      <c r="AC170" s="105" t="inlineStr">
        <is>
          <t>CN</t>
        </is>
      </c>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N</t>
        </is>
      </c>
      <c r="AV170" s="118" t="inlineStr">
        <is>
          <t>none</t>
        </is>
      </c>
      <c r="AW170" s="124" t="n"/>
      <c r="AX170" s="119" t="n">
        <v>28.99</v>
      </c>
      <c r="AY170" s="118" t="inlineStr">
        <is>
          <t>none</t>
        </is>
      </c>
      <c r="AZ170" s="118" t="inlineStr">
        <is>
          <t>Y</t>
        </is>
      </c>
      <c r="BA170" s="118" t="inlineStr">
        <is>
          <t>2026-10-13 12:13:05</t>
        </is>
      </c>
      <c r="BB170" s="120" t="inlineStr">
        <is>
          <t>Prime Exclusive Discount</t>
        </is>
      </c>
      <c r="BC170" s="120" t="inlineStr">
        <is>
          <t>11-01 to 12-01</t>
        </is>
      </c>
      <c r="BD170" s="121" t="n">
        <v>33.43</v>
      </c>
      <c r="BE170" s="121" t="n">
        <v>28.87</v>
      </c>
      <c r="BF170" s="110">
        <f>IF(AND(ISNUMBER(BD170),ISNUMBER(BE170),N(BD170)&gt;0),1-BE170/BD170,"")</f>
        <v/>
      </c>
      <c r="BG170" s="122" t="n">
        <v>93675</v>
      </c>
      <c r="BH170" s="122" t="n">
        <v>83926</v>
      </c>
      <c r="BI170" s="123">
        <f>IF(AND(ISNUMBER(BG170),ISNUMBER(BH170),N(BH170)&gt;0),BG170/BH170,"")</f>
        <v/>
      </c>
      <c r="BJ170" s="120" t="inlineStr">
        <is>
          <t>N</t>
        </is>
      </c>
      <c r="BK170" s="120" t="inlineStr">
        <is>
          <t>Prime Exclusive already running before BFCM week; Buy Box RAISED in BFCM week (median $37.99 vs $33.43 before); List Price $45.49</t>
        </is>
      </c>
    </row>
    <row r="171" ht="62" customHeight="1">
      <c r="A171" s="12">
        <f>_xlfn.IMAGE("https://m.media-amazon.com/images/I/81Ct-nDEEnL._AC_SL1500_.jpg")</f>
        <v/>
      </c>
      <c r="B171" s="105" t="inlineStr">
        <is>
          <t>VACVELT</t>
        </is>
      </c>
      <c r="C171" s="39" t="inlineStr">
        <is>
          <t>Satin Sheets</t>
        </is>
      </c>
      <c r="D171" s="105" t="inlineStr">
        <is>
          <t>Poor</t>
        </is>
      </c>
      <c r="E171" s="106" t="inlineStr">
        <is>
          <t>Direct</t>
        </is>
      </c>
      <c r="F171" s="105" t="inlineStr">
        <is>
          <t>Satin (polyester)</t>
        </is>
      </c>
      <c r="G171" s="39" t="inlineStr">
        <is>
          <t>Same product (sheet set) in the same material family: Satin (polyester) (product page material: Satin); ours: our listing: polyester satin.</t>
        </is>
      </c>
      <c r="H171" s="107" t="inlineStr">
        <is>
          <t>B0C9T1VY8J</t>
        </is>
      </c>
      <c r="I171" s="107" t="inlineStr">
        <is>
          <t>B0C1GJZB6F</t>
        </is>
      </c>
      <c r="J171" s="105" t="inlineStr">
        <is>
          <t>Full</t>
        </is>
      </c>
      <c r="K171" s="105" t="inlineStr">
        <is>
          <t>Hot Pink</t>
        </is>
      </c>
      <c r="L171" s="108" t="n">
        <v>35</v>
      </c>
      <c r="M171" s="39" t="inlineStr">
        <is>
          <t>B0C1GN34VQ (59%), B0C1GJZB6F (15%), B0C1GN34VL (8%)</t>
        </is>
      </c>
      <c r="N171" s="109" t="n">
        <v>21.99</v>
      </c>
      <c r="O171" s="109" t="n"/>
      <c r="P171" s="110">
        <f>IF(AND(ISNUMBER(O171),ISNUMBER(N171),N(N171)&gt;0),O171/N171-1,"")</f>
        <v/>
      </c>
      <c r="Q171" s="111">
        <f>IF(P171="","No List Price",IF(P171&lt;=0,"At/below price",IF(P171&lt;=0.12,"&lt;=12% STR zone",IF(P171&lt;=0.25,"12-25%","&gt;25% over"))))</f>
        <v/>
      </c>
      <c r="R171" s="109" t="n">
        <v>31.95</v>
      </c>
      <c r="S171" s="112">
        <f>IF(AND(ISNUMBER(N171),ISNUMBER(R171),N(R171)&gt;0),N171/R171-1,"")</f>
        <v/>
      </c>
      <c r="T171" s="39" t="inlineStr">
        <is>
          <t>Same size (Full). Ours live: catalog price, 2026-10-13; 21 children</t>
        </is>
      </c>
      <c r="U171" s="108" t="n">
        <v>57010</v>
      </c>
      <c r="V171" s="108" t="n">
        <v>35</v>
      </c>
      <c r="W171" s="113">
        <f>IF(AND(ISNUMBER(N171),ISNUMBER(V171)),N171*V171*52/12,"")</f>
        <v/>
      </c>
      <c r="X171" s="114" t="n">
        <v>4.5</v>
      </c>
      <c r="Y171" s="108" t="n">
        <v>1017</v>
      </c>
      <c r="Z171" s="115" t="n">
        <v>46307</v>
      </c>
      <c r="AA171" s="115" t="n"/>
      <c r="AB171" s="105" t="n"/>
      <c r="AC171" s="105" t="n"/>
      <c r="AD171" s="108" t="n">
        <v>23621</v>
      </c>
      <c r="AE171" s="108" t="n">
        <v>569</v>
      </c>
      <c r="AF171" s="116" t="n">
        <v>0.9628617755387157</v>
      </c>
      <c r="AG171" s="116" t="n">
        <v>0.03713822446128445</v>
      </c>
      <c r="AH171" s="39" t="inlineStr">
        <is>
          <t>satin sheets</t>
        </is>
      </c>
      <c r="AI171" s="116" t="n">
        <v>0.08949663435078956</v>
      </c>
      <c r="AJ171" s="116" t="n"/>
      <c r="AK171" s="116" t="n"/>
      <c r="AL171" s="116" t="n">
        <v>0.02341137123745819</v>
      </c>
      <c r="AM171" s="108" t="n">
        <v>285</v>
      </c>
      <c r="AN171" s="108" t="n">
        <v>181</v>
      </c>
      <c r="AO171" s="108" t="n">
        <v>82</v>
      </c>
      <c r="AP171" s="108" t="n">
        <v>284</v>
      </c>
      <c r="AQ171" s="108" t="n">
        <v>15</v>
      </c>
      <c r="AR171" s="108" t="n">
        <v>3</v>
      </c>
      <c r="AS171" s="117" t="n">
        <v>1</v>
      </c>
      <c r="AT171" s="112" t="n">
        <v>0.2448979591836733</v>
      </c>
      <c r="AU171" s="118" t="inlineStr">
        <is>
          <t>N</t>
        </is>
      </c>
      <c r="AV171" s="118" t="inlineStr">
        <is>
          <t>none</t>
        </is>
      </c>
      <c r="AW171" s="124" t="n"/>
      <c r="AX171" s="119" t="n">
        <v>21.99</v>
      </c>
      <c r="AY171" s="118" t="inlineStr">
        <is>
          <t>none</t>
        </is>
      </c>
      <c r="AZ171" s="118" t="inlineStr">
        <is>
          <t>Y</t>
        </is>
      </c>
      <c r="BA171" s="118" t="inlineStr">
        <is>
          <t>2026-10-13 12:13:48</t>
        </is>
      </c>
      <c r="BB171" s="120" t="inlineStr">
        <is>
          <t>Prime Exclusive Discount</t>
        </is>
      </c>
      <c r="BC171" s="120" t="inlineStr">
        <is>
          <t>11-18 to 12-05</t>
        </is>
      </c>
      <c r="BD171" s="121" t="n">
        <v>20.99</v>
      </c>
      <c r="BE171" s="121" t="n">
        <v>17.67</v>
      </c>
      <c r="BF171" s="110">
        <f>IF(AND(ISNUMBER(BD171),ISNUMBER(BE171),N(BD171)&gt;0),1-BE171/BD171,"")</f>
        <v/>
      </c>
      <c r="BG171" s="122" t="n">
        <v>56350</v>
      </c>
      <c r="BH171" s="122" t="n">
        <v>47030</v>
      </c>
      <c r="BI171" s="123">
        <f>IF(AND(ISNUMBER(BG171),ISNUMBER(BH171),N(BH171)&gt;0),BG171/BH171,"")</f>
        <v/>
      </c>
      <c r="BJ171" s="120" t="inlineStr">
        <is>
          <t>N</t>
        </is>
      </c>
      <c r="BK171" s="120" t="inlineStr">
        <is>
          <t>Prime Exclusive already running before BFCM week; Buy Box RAISED in BFCM week (median $25.99 vs $20.99 before); List Price $46.38</t>
        </is>
      </c>
    </row>
    <row r="172" ht="62" customHeight="1">
      <c r="A172" s="12">
        <f>_xlfn.IMAGE("https://m.media-amazon.com/images/I/71NLoiG0PKL._AC_SL1500_.jpg")</f>
        <v/>
      </c>
      <c r="B172" s="105" t="inlineStr">
        <is>
          <t>Homiest</t>
        </is>
      </c>
      <c r="C172" s="39" t="inlineStr">
        <is>
          <t>Satin Sheets</t>
        </is>
      </c>
      <c r="D172" s="105" t="inlineStr">
        <is>
          <t>Poor</t>
        </is>
      </c>
      <c r="E172" s="106" t="inlineStr">
        <is>
          <t>Direct</t>
        </is>
      </c>
      <c r="F172" s="105" t="inlineStr">
        <is>
          <t>Satin (polyester)</t>
        </is>
      </c>
      <c r="G172" s="39" t="inlineStr">
        <is>
          <t>Same product (sheet set) in the same material family: Satin (polyester) (product page material: Satin); ours: our listing: polyester satin.</t>
        </is>
      </c>
      <c r="H172" s="107" t="inlineStr">
        <is>
          <t>B0DYJKM99H</t>
        </is>
      </c>
      <c r="I172" s="107" t="inlineStr">
        <is>
          <t>B0DYJHHJQL</t>
        </is>
      </c>
      <c r="J172" s="105" t="inlineStr">
        <is>
          <t>Queen</t>
        </is>
      </c>
      <c r="K172" s="105" t="inlineStr">
        <is>
          <t>Blush Pink</t>
        </is>
      </c>
      <c r="L172" s="108" t="n"/>
      <c r="M172" s="39" t="inlineStr"/>
      <c r="N172" s="109" t="n">
        <v>27.99</v>
      </c>
      <c r="O172" s="109" t="n"/>
      <c r="P172" s="110">
        <f>IF(AND(ISNUMBER(O172),ISNUMBER(N172),N(N172)&gt;0),O172/N172-1,"")</f>
        <v/>
      </c>
      <c r="Q172" s="111">
        <f>IF(P172="","No List Price",IF(P172&lt;=0,"At/below price",IF(P172&lt;=0.12,"&lt;=12% STR zone",IF(P172&lt;=0.25,"12-25%","&gt;25% over"))))</f>
        <v/>
      </c>
      <c r="R172" s="109" t="n">
        <v>33.95</v>
      </c>
      <c r="S172" s="112">
        <f>IF(AND(ISNUMBER(N172),ISNUMBER(R172),N(R172)&gt;0),N172/R172-1,"")</f>
        <v/>
      </c>
      <c r="T172" s="39" t="inlineStr">
        <is>
          <t>Same size (Queen). Ours live: catalog price, 2026-10-13; 13 children</t>
        </is>
      </c>
      <c r="U172" s="108" t="n">
        <v>89437</v>
      </c>
      <c r="V172" s="108" t="n">
        <v>18</v>
      </c>
      <c r="W172" s="113">
        <f>IF(AND(ISNUMBER(N172),ISNUMBER(V172)),N172*V172*52/12,"")</f>
        <v/>
      </c>
      <c r="X172" s="114" t="n">
        <v>4.5</v>
      </c>
      <c r="Y172" s="108" t="n">
        <v>205</v>
      </c>
      <c r="Z172" s="115" t="n">
        <v>46307</v>
      </c>
      <c r="AA172" s="115" t="n"/>
      <c r="AB172" s="105" t="n"/>
      <c r="AC172" s="105" t="n"/>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N</t>
        </is>
      </c>
      <c r="AV172" s="118" t="inlineStr">
        <is>
          <t>none</t>
        </is>
      </c>
      <c r="AW172" s="124" t="n"/>
      <c r="AX172" s="119" t="n">
        <v>27.99</v>
      </c>
      <c r="AY172" s="118" t="inlineStr">
        <is>
          <t>none</t>
        </is>
      </c>
      <c r="AZ172" s="118" t="inlineStr">
        <is>
          <t>Y</t>
        </is>
      </c>
      <c r="BA172" s="118" t="inlineStr">
        <is>
          <t>2026-10-13 12:12:53</t>
        </is>
      </c>
      <c r="BB172" s="120" t="inlineStr">
        <is>
          <t>None</t>
        </is>
      </c>
      <c r="BC172" s="125" t="n"/>
      <c r="BD172" s="121" t="n">
        <v>28.99</v>
      </c>
      <c r="BE172" s="121" t="n">
        <v>28.99</v>
      </c>
      <c r="BF172" s="110">
        <f>IF(AND(ISNUMBER(BD172),ISNUMBER(BE172),N(BD172)&gt;0),1-BE172/BD172,"")</f>
        <v/>
      </c>
      <c r="BG172" s="122" t="n">
        <v>63419</v>
      </c>
      <c r="BH172" s="122" t="n">
        <v>61469</v>
      </c>
      <c r="BI172" s="123">
        <f>IF(AND(ISNUMBER(BG172),ISNUMBER(BH172),N(BH172)&gt;0),BG172/BH172,"")</f>
        <v/>
      </c>
      <c r="BJ172" s="120" t="inlineStr">
        <is>
          <t>N</t>
        </is>
      </c>
      <c r="BK172" s="120" t="inlineStr">
        <is>
          <t>List Price $34.99</t>
        </is>
      </c>
    </row>
    <row r="173" ht="62" customHeight="1">
      <c r="A173" s="12">
        <f>_xlfn.IMAGE("https://m.media-amazon.com/images/I/91BOC0gJVXL._AC_SL1500_.jpg")</f>
        <v/>
      </c>
      <c r="B173" s="105" t="inlineStr">
        <is>
          <t>HommxJF</t>
        </is>
      </c>
      <c r="C173" s="39" t="inlineStr">
        <is>
          <t>Satin Sheets</t>
        </is>
      </c>
      <c r="D173" s="105" t="inlineStr">
        <is>
          <t>Poor</t>
        </is>
      </c>
      <c r="E173" s="106" t="inlineStr">
        <is>
          <t>Direct</t>
        </is>
      </c>
      <c r="F173" s="105" t="inlineStr">
        <is>
          <t>Satin (polyester)</t>
        </is>
      </c>
      <c r="G173" s="39" t="inlineStr">
        <is>
          <t>Same product (sheet set) in the same material family: Satin (polyester) (product page material: Satin); ours: our listing: polyester satin.</t>
        </is>
      </c>
      <c r="H173" s="107" t="inlineStr">
        <is>
          <t>B0BJZT93SL</t>
        </is>
      </c>
      <c r="I173" s="107" t="inlineStr">
        <is>
          <t>B09V52BVJB</t>
        </is>
      </c>
      <c r="J173" s="105" t="inlineStr">
        <is>
          <t>Full</t>
        </is>
      </c>
      <c r="K173" s="105" t="inlineStr">
        <is>
          <t>Blush Pink</t>
        </is>
      </c>
      <c r="L173" s="108" t="n">
        <v>32</v>
      </c>
      <c r="M173" s="39" t="inlineStr">
        <is>
          <t>B09V52BVJB (55%), B0BCKD5X64 (25%), B09V52C9M9 (10%)</t>
        </is>
      </c>
      <c r="N173" s="109" t="n">
        <v>24.99</v>
      </c>
      <c r="O173" s="109" t="n"/>
      <c r="P173" s="110">
        <f>IF(AND(ISNUMBER(O173),ISNUMBER(N173),N(N173)&gt;0),O173/N173-1,"")</f>
        <v/>
      </c>
      <c r="Q173" s="111">
        <f>IF(P173="","No List Price",IF(P173&lt;=0,"At/below price",IF(P173&lt;=0.12,"&lt;=12% STR zone",IF(P173&lt;=0.25,"12-25%","&gt;25% over"))))</f>
        <v/>
      </c>
      <c r="R173" s="109" t="n">
        <v>31.95</v>
      </c>
      <c r="S173" s="112">
        <f>IF(AND(ISNUMBER(N173),ISNUMBER(R173),N(R173)&gt;0),N173/R173-1,"")</f>
        <v/>
      </c>
      <c r="T173" s="39" t="inlineStr">
        <is>
          <t>Same size (Full). Ours live: catalog price, 2026-10-13; 21 children</t>
        </is>
      </c>
      <c r="U173" s="108" t="n">
        <v>180867</v>
      </c>
      <c r="V173" s="108" t="n">
        <v>18</v>
      </c>
      <c r="W173" s="113">
        <f>IF(AND(ISNUMBER(N173),ISNUMBER(V173)),N173*V173*52/12,"")</f>
        <v/>
      </c>
      <c r="X173" s="114" t="n">
        <v>4.3</v>
      </c>
      <c r="Y173" s="108" t="n">
        <v>1032</v>
      </c>
      <c r="Z173" s="115" t="n">
        <v>46307</v>
      </c>
      <c r="AA173" s="115" t="n"/>
      <c r="AB173" s="105" t="n"/>
      <c r="AC173" s="105" t="n"/>
      <c r="AD173" s="108" t="n">
        <v>16567</v>
      </c>
      <c r="AE173" s="108" t="n">
        <v>357</v>
      </c>
      <c r="AF173" s="116" t="n">
        <v>0.8554338745699279</v>
      </c>
      <c r="AG173" s="116" t="n">
        <v>0.1445661254300719</v>
      </c>
      <c r="AH173" s="39" t="inlineStr">
        <is>
          <t>satin sheets</t>
        </is>
      </c>
      <c r="AI173" s="116" t="n">
        <v>0.2936560632582845</v>
      </c>
      <c r="AJ173" s="116" t="n">
        <v>0.02323896903482827</v>
      </c>
      <c r="AK173" s="116" t="n"/>
      <c r="AL173" s="116" t="n"/>
      <c r="AM173" s="108" t="n">
        <v>247</v>
      </c>
      <c r="AN173" s="108" t="n">
        <v>164</v>
      </c>
      <c r="AO173" s="108" t="n">
        <v>68</v>
      </c>
      <c r="AP173" s="108" t="n">
        <v>110</v>
      </c>
      <c r="AQ173" s="108" t="n">
        <v>33</v>
      </c>
      <c r="AR173" s="108" t="n">
        <v>28</v>
      </c>
      <c r="AS173" s="117" t="n">
        <v>1.017857142857143</v>
      </c>
      <c r="AT173" s="112" t="n">
        <v>0.4723247232472323</v>
      </c>
      <c r="AU173" s="118" t="inlineStr">
        <is>
          <t>N</t>
        </is>
      </c>
      <c r="AV173" s="118" t="inlineStr">
        <is>
          <t>none</t>
        </is>
      </c>
      <c r="AW173" s="124" t="n"/>
      <c r="AX173" s="119" t="n">
        <v>24.99</v>
      </c>
      <c r="AY173" s="118" t="inlineStr">
        <is>
          <t>none</t>
        </is>
      </c>
      <c r="AZ173" s="118" t="inlineStr">
        <is>
          <t>Y</t>
        </is>
      </c>
      <c r="BA173" s="118" t="inlineStr">
        <is>
          <t>2026-10-13 12:13:02</t>
        </is>
      </c>
      <c r="BB173" s="120" t="inlineStr">
        <is>
          <t>None</t>
        </is>
      </c>
      <c r="BC173" s="125" t="n"/>
      <c r="BD173" s="121" t="n">
        <v>24.99</v>
      </c>
      <c r="BE173" s="121" t="n">
        <v>24.99</v>
      </c>
      <c r="BF173" s="110">
        <f>IF(AND(ISNUMBER(BD173),ISNUMBER(BE173),N(BD173)&gt;0),1-BE173/BD173,"")</f>
        <v/>
      </c>
      <c r="BG173" s="122" t="n">
        <v>107701</v>
      </c>
      <c r="BH173" s="122" t="n">
        <v>90023</v>
      </c>
      <c r="BI173" s="123">
        <f>IF(AND(ISNUMBER(BG173),ISNUMBER(BH173),N(BH173)&gt;0),BG173/BH173,"")</f>
        <v/>
      </c>
      <c r="BJ173" s="120" t="inlineStr">
        <is>
          <t>N</t>
        </is>
      </c>
      <c r="BK173" s="120" t="inlineStr">
        <is>
          <t>List Price $26.99</t>
        </is>
      </c>
    </row>
    <row r="174" ht="62" customHeight="1">
      <c r="A174" s="12">
        <f>_xlfn.IMAGE("https://m.media-amazon.com/images/I/71ImrNlbFKL._AC_SL1500_.jpg")</f>
        <v/>
      </c>
      <c r="B174" s="105" t="inlineStr">
        <is>
          <t>MK Home</t>
        </is>
      </c>
      <c r="C174" s="39" t="inlineStr">
        <is>
          <t>Satin Sheets</t>
        </is>
      </c>
      <c r="D174" s="105" t="inlineStr">
        <is>
          <t>Poor</t>
        </is>
      </c>
      <c r="E174" s="106" t="inlineStr">
        <is>
          <t>Direct</t>
        </is>
      </c>
      <c r="F174" s="105" t="inlineStr">
        <is>
          <t>Satin (polyester)</t>
        </is>
      </c>
      <c r="G174" s="39" t="inlineStr">
        <is>
          <t>Same product (sheet set) in the same material family: Satin (polyester) (product page material: Soft Silky Satin); ours: our listing: polyester satin.</t>
        </is>
      </c>
      <c r="H174" s="107" t="inlineStr">
        <is>
          <t>B07H522QXD</t>
        </is>
      </c>
      <c r="I174" s="107" t="inlineStr">
        <is>
          <t>B07FGFRZ94</t>
        </is>
      </c>
      <c r="J174" s="105" t="inlineStr">
        <is>
          <t>Queen</t>
        </is>
      </c>
      <c r="K174" s="105" t="inlineStr">
        <is>
          <t>Red</t>
        </is>
      </c>
      <c r="L174" s="108" t="n"/>
      <c r="M174" s="39" t="inlineStr"/>
      <c r="N174" s="109" t="n">
        <v>18.99</v>
      </c>
      <c r="O174" s="109" t="n"/>
      <c r="P174" s="110">
        <f>IF(AND(ISNUMBER(O174),ISNUMBER(N174),N(N174)&gt;0),O174/N174-1,"")</f>
        <v/>
      </c>
      <c r="Q174" s="111">
        <f>IF(P174="","No List Price",IF(P174&lt;=0,"At/below price",IF(P174&lt;=0.12,"&lt;=12% STR zone",IF(P174&lt;=0.25,"12-25%","&gt;25% over"))))</f>
        <v/>
      </c>
      <c r="R174" s="109" t="n">
        <v>33.95</v>
      </c>
      <c r="S174" s="112">
        <f>IF(AND(ISNUMBER(N174),ISNUMBER(R174),N(R174)&gt;0),N174/R174-1,"")</f>
        <v/>
      </c>
      <c r="T174" s="39" t="inlineStr">
        <is>
          <t>Same size (Queen). Ours live: catalog price, 2026-10-13; 13 children</t>
        </is>
      </c>
      <c r="U174" s="108" t="n">
        <v>59039</v>
      </c>
      <c r="V174" s="108" t="n">
        <v>18</v>
      </c>
      <c r="W174" s="113">
        <f>IF(AND(ISNUMBER(N174),ISNUMBER(V174)),N174*V174*52/12,"")</f>
        <v/>
      </c>
      <c r="X174" s="114" t="n">
        <v>4.3</v>
      </c>
      <c r="Y174" s="108" t="n">
        <v>10761</v>
      </c>
      <c r="Z174" s="115" t="n">
        <v>46307</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N</t>
        </is>
      </c>
      <c r="AV174" s="118" t="inlineStr">
        <is>
          <t>none</t>
        </is>
      </c>
      <c r="AW174" s="124" t="n"/>
      <c r="AX174" s="119" t="n">
        <v>18.99</v>
      </c>
      <c r="AY174" s="118" t="inlineStr">
        <is>
          <t>none</t>
        </is>
      </c>
      <c r="AZ174" s="118" t="inlineStr">
        <is>
          <t>Y</t>
        </is>
      </c>
      <c r="BA174" s="118" t="inlineStr">
        <is>
          <t>2026-10-13 12:13:19</t>
        </is>
      </c>
      <c r="BB174" s="120" t="inlineStr">
        <is>
          <t>None</t>
        </is>
      </c>
      <c r="BC174" s="125" t="n"/>
      <c r="BD174" s="121" t="n">
        <v>28.99</v>
      </c>
      <c r="BE174" s="121" t="n">
        <v>28.99</v>
      </c>
      <c r="BF174" s="110">
        <f>IF(AND(ISNUMBER(BD174),ISNUMBER(BE174),N(BD174)&gt;0),1-BE174/BD174,"")</f>
        <v/>
      </c>
      <c r="BG174" s="122" t="n">
        <v>72573</v>
      </c>
      <c r="BH174" s="122" t="n">
        <v>103377</v>
      </c>
      <c r="BI174" s="123">
        <f>IF(AND(ISNUMBER(BG174),ISNUMBER(BH174),N(BH174)&gt;0),BG174/BH174,"")</f>
        <v/>
      </c>
      <c r="BJ174" s="120" t="inlineStr">
        <is>
          <t>N</t>
        </is>
      </c>
      <c r="BK174" s="120" t="inlineStr">
        <is>
          <t>List Price $59.99</t>
        </is>
      </c>
    </row>
    <row r="175" ht="62" customHeight="1">
      <c r="A175" s="12">
        <f>_xlfn.IMAGE("https://m.media-amazon.com/images/I/61ShIpqvBXL._AC_SL1500_.jpg")</f>
        <v/>
      </c>
      <c r="B175" s="105" t="inlineStr">
        <is>
          <t>VACVELT</t>
        </is>
      </c>
      <c r="C175" s="39" t="inlineStr">
        <is>
          <t>Satin Sheets</t>
        </is>
      </c>
      <c r="D175" s="105" t="inlineStr">
        <is>
          <t>Poor</t>
        </is>
      </c>
      <c r="E175" s="106" t="inlineStr">
        <is>
          <t>Direct</t>
        </is>
      </c>
      <c r="F175" s="105" t="inlineStr">
        <is>
          <t>Satin (polyester)</t>
        </is>
      </c>
      <c r="G175" s="39" t="inlineStr">
        <is>
          <t>Same product (sheet set) in the same material family: Satin (polyester) (product page material: Satin); ours: our listing: polyester satin.</t>
        </is>
      </c>
      <c r="H175" s="107" t="inlineStr">
        <is>
          <t>B0F7XQDVJY</t>
        </is>
      </c>
      <c r="I175" s="107" t="inlineStr">
        <is>
          <t>B0F7XRNKQY</t>
        </is>
      </c>
      <c r="J175" s="105" t="inlineStr">
        <is>
          <t>Queen</t>
        </is>
      </c>
      <c r="K175" s="105" t="inlineStr">
        <is>
          <t>Beige</t>
        </is>
      </c>
      <c r="L175" s="108" t="n">
        <v>31</v>
      </c>
      <c r="M175" s="39" t="inlineStr">
        <is>
          <t>B0F7XRNKQY (46%), B0F7XR7CJX (14%), B0F7XQPKCG (8%), B0F7XQLX2P (6%), B0F7XR8JYF (4%)</t>
        </is>
      </c>
      <c r="N175" s="109" t="n">
        <v>17.99</v>
      </c>
      <c r="O175" s="109" t="n"/>
      <c r="P175" s="110">
        <f>IF(AND(ISNUMBER(O175),ISNUMBER(N175),N(N175)&gt;0),O175/N175-1,"")</f>
        <v/>
      </c>
      <c r="Q175" s="111">
        <f>IF(P175="","No List Price",IF(P175&lt;=0,"At/below price",IF(P175&lt;=0.12,"&lt;=12% STR zone",IF(P175&lt;=0.25,"12-25%","&gt;25% over"))))</f>
        <v/>
      </c>
      <c r="R175" s="109" t="n">
        <v>33.95</v>
      </c>
      <c r="S175" s="112">
        <f>IF(AND(ISNUMBER(N175),ISNUMBER(R175),N(R175)&gt;0),N175/R175-1,"")</f>
        <v/>
      </c>
      <c r="T175" s="39" t="inlineStr">
        <is>
          <t>Same size (Queen). Ours live: catalog price, 2026-10-13; 13 children</t>
        </is>
      </c>
      <c r="U175" s="108" t="n">
        <v>79028</v>
      </c>
      <c r="V175" s="108" t="n">
        <v>18</v>
      </c>
      <c r="W175" s="113">
        <f>IF(AND(ISNUMBER(N175),ISNUMBER(V175)),N175*V175*52/12,"")</f>
        <v/>
      </c>
      <c r="X175" s="114" t="n">
        <v>4.4</v>
      </c>
      <c r="Y175" s="108" t="n">
        <v>209</v>
      </c>
      <c r="Z175" s="115" t="n">
        <v>46307</v>
      </c>
      <c r="AA175" s="115" t="n"/>
      <c r="AB175" s="105" t="n"/>
      <c r="AC175" s="105" t="n"/>
      <c r="AD175" s="108" t="n">
        <v>21912</v>
      </c>
      <c r="AE175" s="108" t="n">
        <v>632</v>
      </c>
      <c r="AF175" s="116" t="n">
        <v>0.9845742834976268</v>
      </c>
      <c r="AG175" s="116" t="n">
        <v>0.01542586254107338</v>
      </c>
      <c r="AH175" s="39" t="inlineStr">
        <is>
          <t>silk sheets</t>
        </is>
      </c>
      <c r="AI175" s="116" t="n">
        <v>0.004518072289156626</v>
      </c>
      <c r="AJ175" s="116" t="n"/>
      <c r="AK175" s="116" t="n"/>
      <c r="AL175" s="116" t="n"/>
      <c r="AM175" s="108" t="n">
        <v>266</v>
      </c>
      <c r="AN175" s="108" t="n">
        <v>166</v>
      </c>
      <c r="AO175" s="108" t="n">
        <v>84</v>
      </c>
      <c r="AP175" s="108" t="n">
        <v>366</v>
      </c>
      <c r="AQ175" s="108" t="n">
        <v>10</v>
      </c>
      <c r="AR175" s="108" t="n">
        <v>4</v>
      </c>
      <c r="AS175" s="117" t="n">
        <v>1.707818930041152</v>
      </c>
      <c r="AT175" s="112" t="n">
        <v>1.91358024691358</v>
      </c>
      <c r="AU175" s="118" t="inlineStr">
        <is>
          <t>N</t>
        </is>
      </c>
      <c r="AV175" s="118" t="inlineStr">
        <is>
          <t>none</t>
        </is>
      </c>
      <c r="AW175" s="124" t="n"/>
      <c r="AX175" s="119" t="n">
        <v>17.99</v>
      </c>
      <c r="AY175" s="118" t="inlineStr">
        <is>
          <t>none</t>
        </is>
      </c>
      <c r="AZ175" s="118" t="inlineStr">
        <is>
          <t>Y</t>
        </is>
      </c>
      <c r="BA175" s="118" t="inlineStr">
        <is>
          <t>2026-10-13 12:13:54</t>
        </is>
      </c>
      <c r="BB175" s="120" t="inlineStr">
        <is>
          <t>None</t>
        </is>
      </c>
      <c r="BC175" s="125" t="n"/>
      <c r="BD175" s="121" t="n">
        <v>20.99</v>
      </c>
      <c r="BE175" s="121" t="n">
        <v>19.99</v>
      </c>
      <c r="BF175" s="110">
        <f>IF(AND(ISNUMBER(BD175),ISNUMBER(BE175),N(BD175)&gt;0),1-BE175/BD175,"")</f>
        <v/>
      </c>
      <c r="BG175" s="122" t="n">
        <v>110546</v>
      </c>
      <c r="BH175" s="122" t="n">
        <v>96255</v>
      </c>
      <c r="BI175" s="123">
        <f>IF(AND(ISNUMBER(BG175),ISNUMBER(BH175),N(BH175)&gt;0),BG175/BH175,"")</f>
        <v/>
      </c>
      <c r="BJ175" s="120" t="inlineStr">
        <is>
          <t>N</t>
        </is>
      </c>
      <c r="BK175" s="120" t="inlineStr">
        <is>
          <t>List Price $19.99</t>
        </is>
      </c>
    </row>
    <row r="176" ht="62" customHeight="1">
      <c r="A176" s="12">
        <f>_xlfn.IMAGE("https://m.media-amazon.com/images/I/71PuS2XyTRL._AC_SL1500_.jpg")</f>
        <v/>
      </c>
      <c r="B176" s="105" t="inlineStr">
        <is>
          <t>Candoury</t>
        </is>
      </c>
      <c r="C176" s="39" t="inlineStr">
        <is>
          <t>Satin Sheets</t>
        </is>
      </c>
      <c r="D176" s="105" t="inlineStr">
        <is>
          <t>Poor</t>
        </is>
      </c>
      <c r="E176" s="106" t="inlineStr">
        <is>
          <t>Direct</t>
        </is>
      </c>
      <c r="F176" s="105" t="inlineStr">
        <is>
          <t>Satin (polyester)</t>
        </is>
      </c>
      <c r="G176" s="39" t="inlineStr">
        <is>
          <t>Same product (sheet set) in the same material family: Satin (polyester) (product page material: Satin polyester); ours: our listing: polyester satin.</t>
        </is>
      </c>
      <c r="H176" s="107" t="inlineStr">
        <is>
          <t>B08RHZ9TMQ</t>
        </is>
      </c>
      <c r="I176" s="107" t="inlineStr">
        <is>
          <t>B08JKWGXZ9</t>
        </is>
      </c>
      <c r="J176" s="105" t="inlineStr">
        <is>
          <t>Queen</t>
        </is>
      </c>
      <c r="K176" s="105" t="inlineStr">
        <is>
          <t>Black</t>
        </is>
      </c>
      <c r="L176" s="108" t="n"/>
      <c r="M176" s="39" t="inlineStr"/>
      <c r="N176" s="109" t="n">
        <v>15.99</v>
      </c>
      <c r="O176" s="109" t="n"/>
      <c r="P176" s="110">
        <f>IF(AND(ISNUMBER(O176),ISNUMBER(N176),N(N176)&gt;0),O176/N176-1,"")</f>
        <v/>
      </c>
      <c r="Q176" s="111">
        <f>IF(P176="","No List Price",IF(P176&lt;=0,"At/below price",IF(P176&lt;=0.12,"&lt;=12% STR zone",IF(P176&lt;=0.25,"12-25%","&gt;25% over"))))</f>
        <v/>
      </c>
      <c r="R176" s="109" t="n">
        <v>33.95</v>
      </c>
      <c r="S176" s="112">
        <f>IF(AND(ISNUMBER(N176),ISNUMBER(R176),N(R176)&gt;0),N176/R176-1,"")</f>
        <v/>
      </c>
      <c r="T176" s="39" t="inlineStr">
        <is>
          <t>Same size (Queen). Ours live: catalog price, 2026-10-13; 13 children</t>
        </is>
      </c>
      <c r="U176" s="108" t="n">
        <v>420044</v>
      </c>
      <c r="V176" s="108" t="n">
        <v>5</v>
      </c>
      <c r="W176" s="113">
        <f>IF(AND(ISNUMBER(N176),ISNUMBER(V176)),N176*V176*52/12,"")</f>
        <v/>
      </c>
      <c r="X176" s="114" t="n">
        <v>4.3</v>
      </c>
      <c r="Y176" s="108" t="n">
        <v>5277</v>
      </c>
      <c r="Z176" s="115" t="n">
        <v>46279</v>
      </c>
      <c r="AA176" s="115" t="n"/>
      <c r="AB176" s="105" t="n"/>
      <c r="AC176" s="105" t="n"/>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18" t="inlineStr">
        <is>
          <t>N</t>
        </is>
      </c>
      <c r="AV176" s="118" t="inlineStr">
        <is>
          <t>none</t>
        </is>
      </c>
      <c r="AW176" s="124" t="n"/>
      <c r="AX176" s="124" t="n"/>
      <c r="AY176" s="118" t="inlineStr">
        <is>
          <t>none</t>
        </is>
      </c>
      <c r="AZ176" s="118" t="inlineStr">
        <is>
          <t>N</t>
        </is>
      </c>
      <c r="BA176" s="118" t="inlineStr">
        <is>
          <t>2026-10-13 23:44:25</t>
        </is>
      </c>
      <c r="BB176" s="125" t="n"/>
      <c r="BC176" s="125" t="n"/>
      <c r="BD176" s="124" t="n"/>
      <c r="BE176" s="124" t="n"/>
      <c r="BF176" s="110">
        <f>IF(AND(ISNUMBER(BD176),ISNUMBER(BE176),N(BD176)&gt;0),1-BE176/BD176,"")</f>
        <v/>
      </c>
      <c r="BG176" s="122" t="n">
        <v>176647</v>
      </c>
      <c r="BH176" s="122" t="n">
        <v>231862</v>
      </c>
      <c r="BI176" s="123">
        <f>IF(AND(ISNUMBER(BG176),ISNUMBER(BH176),N(BH176)&gt;0),BG176/BH176,"")</f>
        <v/>
      </c>
      <c r="BJ176" s="120" t="inlineStr">
        <is>
          <t>Y</t>
        </is>
      </c>
      <c r="BK176" s="120" t="inlineStr">
        <is>
          <t>No Buy Box history in price history for BFCM 2025; List Price $35.99</t>
        </is>
      </c>
    </row>
    <row r="177" ht="62" customHeight="1">
      <c r="A177" s="12">
        <f>_xlfn.IMAGE("https://m.media-amazon.com/images/I/81fhEyi-eTL._AC_SL1500_.jpg")</f>
        <v/>
      </c>
      <c r="B177" s="105" t="inlineStr">
        <is>
          <t>Manyshofu</t>
        </is>
      </c>
      <c r="C177" s="39" t="inlineStr">
        <is>
          <t>Satin Sheets</t>
        </is>
      </c>
      <c r="D177" s="105" t="inlineStr">
        <is>
          <t>Poor</t>
        </is>
      </c>
      <c r="E177" s="106" t="inlineStr">
        <is>
          <t>Direct</t>
        </is>
      </c>
      <c r="F177" s="105" t="inlineStr">
        <is>
          <t>Satin (polyester)</t>
        </is>
      </c>
      <c r="G177" s="39" t="inlineStr">
        <is>
          <t>Same product (sheet set) in the same material family: Satin (polyester) (product page material: Satin); ours: our listing: polyester satin.</t>
        </is>
      </c>
      <c r="H177" s="107" t="inlineStr">
        <is>
          <t>B09YQW7HBK</t>
        </is>
      </c>
      <c r="I177" s="107" t="inlineStr">
        <is>
          <t>B09S5RNLN9</t>
        </is>
      </c>
      <c r="J177" s="105" t="inlineStr">
        <is>
          <t>California King</t>
        </is>
      </c>
      <c r="K177" s="105" t="inlineStr">
        <is>
          <t>Dark Green</t>
        </is>
      </c>
      <c r="L177" s="108" t="n"/>
      <c r="M177" s="39" t="inlineStr"/>
      <c r="N177" s="109" t="n">
        <v>31.99</v>
      </c>
      <c r="O177" s="109" t="n"/>
      <c r="P177" s="110">
        <f>IF(AND(ISNUMBER(O177),ISNUMBER(N177),N(N177)&gt;0),O177/N177-1,"")</f>
        <v/>
      </c>
      <c r="Q177" s="111">
        <f>IF(P177="","No List Price",IF(P177&lt;=0,"At/below price",IF(P177&lt;=0.12,"&lt;=12% STR zone",IF(P177&lt;=0.25,"12-25%","&gt;25% over"))))</f>
        <v/>
      </c>
      <c r="R177" s="109" t="n">
        <v>37.05571428571429</v>
      </c>
      <c r="S177" s="112">
        <f>IF(AND(ISNUMBER(N177),ISNUMBER(R177),N(R177)&gt;0),N177/R177-1,"")</f>
        <v/>
      </c>
      <c r="T177" s="39" t="inlineStr">
        <is>
          <t>vs our blended price (market data, Mar 2026 - STALE)</t>
        </is>
      </c>
      <c r="U177" s="108" t="n">
        <v>300374</v>
      </c>
      <c r="V177" s="108" t="n">
        <v>5</v>
      </c>
      <c r="W177" s="113">
        <f>IF(AND(ISNUMBER(N177),ISNUMBER(V177)),N177*V177*52/12,"")</f>
        <v/>
      </c>
      <c r="X177" s="114" t="n">
        <v>4.3</v>
      </c>
      <c r="Y177" s="108" t="n">
        <v>907</v>
      </c>
      <c r="Z177" s="115" t="n">
        <v>46307</v>
      </c>
      <c r="AA177" s="115" t="n"/>
      <c r="AB177" s="105" t="n"/>
      <c r="AC177" s="105" t="n"/>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18" t="inlineStr">
        <is>
          <t>N</t>
        </is>
      </c>
      <c r="AV177" s="118" t="inlineStr">
        <is>
          <t>none</t>
        </is>
      </c>
      <c r="AW177" s="124" t="n"/>
      <c r="AX177" s="119" t="n">
        <v>28.99</v>
      </c>
      <c r="AY177" s="118" t="inlineStr">
        <is>
          <t>none</t>
        </is>
      </c>
      <c r="AZ177" s="118" t="inlineStr">
        <is>
          <t>Y</t>
        </is>
      </c>
      <c r="BA177" s="118" t="inlineStr">
        <is>
          <t>2026-10-13 12:13:29</t>
        </is>
      </c>
      <c r="BB177" s="120" t="inlineStr">
        <is>
          <t>None</t>
        </is>
      </c>
      <c r="BC177" s="125" t="n"/>
      <c r="BD177" s="121" t="n">
        <v>35.99</v>
      </c>
      <c r="BE177" s="121" t="n">
        <v>43.99</v>
      </c>
      <c r="BF177" s="110">
        <f>IF(AND(ISNUMBER(BD177),ISNUMBER(BE177),N(BD177)&gt;0),1-BE177/BD177,"")</f>
        <v/>
      </c>
      <c r="BG177" s="122" t="n">
        <v>162880</v>
      </c>
      <c r="BH177" s="122" t="n">
        <v>197382</v>
      </c>
      <c r="BI177" s="123">
        <f>IF(AND(ISNUMBER(BG177),ISNUMBER(BH177),N(BH177)&gt;0),BG177/BH177,"")</f>
        <v/>
      </c>
      <c r="BJ177" s="120" t="inlineStr">
        <is>
          <t>Y</t>
        </is>
      </c>
      <c r="BK177" s="120" t="inlineStr">
        <is>
          <t>Buy Box RAISED in BFCM week (median $43.99 vs $35.99 before); List Price $46.99</t>
        </is>
      </c>
    </row>
    <row r="178" ht="62" customHeight="1">
      <c r="A178" s="12">
        <f>_xlfn.IMAGE("https://images-na.ssl-images-amazon.com/images/I/71QlFwpmpcL.jpg")</f>
        <v/>
      </c>
      <c r="B178" s="105" t="inlineStr">
        <is>
          <t>CozyLux</t>
        </is>
      </c>
      <c r="C178" s="39" t="inlineStr">
        <is>
          <t>CozyLux Satin Sheets Queen, 4-Piece 14-Inch Deep Pocket Sheet Set</t>
        </is>
      </c>
      <c r="D178" s="105" t="inlineStr">
        <is>
          <t>Aspirational</t>
        </is>
      </c>
      <c r="E178" s="128" t="inlineStr">
        <is>
          <t>Alternative material</t>
        </is>
      </c>
      <c r="F178" s="105" t="inlineStr">
        <is>
          <t>Microfiber / polyester</t>
        </is>
      </c>
      <c r="G178" s="39" t="inlineStr">
        <is>
          <t>Sheet set in Microfiber / polyester (product page material: Polyester microfiber); ours is Satin (polyester) (our listing: polyester satin). Shopper may cross-shop, but not like-for-like.</t>
        </is>
      </c>
      <c r="H178" s="107" t="inlineStr">
        <is>
          <t>B08CQKS3KP</t>
        </is>
      </c>
      <c r="I178" s="107" t="inlineStr">
        <is>
          <t>B08P16XLP2</t>
        </is>
      </c>
      <c r="J178" s="105" t="inlineStr">
        <is>
          <t>Queen</t>
        </is>
      </c>
      <c r="K178" s="105" t="inlineStr">
        <is>
          <t>Black</t>
        </is>
      </c>
      <c r="L178" s="108" t="n">
        <v>115</v>
      </c>
      <c r="M178" s="39" t="inlineStr">
        <is>
          <t>B08P16XLP2 (43%), B08P164867 (8%), B08P17PQ8J (6%), B0CQ8CN4PK (5%), B0BYDSWCJY (4%)</t>
        </is>
      </c>
      <c r="N178" s="109" t="n">
        <v>13.99</v>
      </c>
      <c r="O178" s="109" t="n">
        <v>18.99</v>
      </c>
      <c r="P178" s="110">
        <f>IF(AND(ISNUMBER(O178),ISNUMBER(N178),N(N178)&gt;0),O178/N178-1,"")</f>
        <v/>
      </c>
      <c r="Q178" s="111">
        <f>IF(P178="","No List Price",IF(P178&lt;=0,"At/below price",IF(P178&lt;=0.12,"&lt;=12% STR zone",IF(P178&lt;=0.25,"12-25%","&gt;25% over"))))</f>
        <v/>
      </c>
      <c r="R178" s="109" t="n">
        <v>33.95</v>
      </c>
      <c r="S178" s="112">
        <f>IF(AND(ISNUMBER(N178),ISNUMBER(R178),N(R178)&gt;0),N178/R178-1,"")</f>
        <v/>
      </c>
      <c r="T178" s="39" t="inlineStr">
        <is>
          <t>Same size (Queen). Ours live: catalog price, 2026-10-13; 13 children</t>
        </is>
      </c>
      <c r="U178" s="108" t="n">
        <v>3102</v>
      </c>
      <c r="V178" s="108" t="n">
        <v>347</v>
      </c>
      <c r="W178" s="113">
        <f>IF(AND(ISNUMBER(N178),ISNUMBER(V178)),N178*V178*52/12,"")</f>
        <v/>
      </c>
      <c r="X178" s="114" t="n">
        <v>4.3</v>
      </c>
      <c r="Y178" s="108" t="n">
        <v>7075</v>
      </c>
      <c r="Z178" s="115" t="n">
        <v>46307</v>
      </c>
      <c r="AA178" s="115" t="n">
        <v>44158</v>
      </c>
      <c r="AB178" s="105" t="inlineStr">
        <is>
          <t>FBA</t>
        </is>
      </c>
      <c r="AC178" s="105" t="inlineStr">
        <is>
          <t>CN</t>
        </is>
      </c>
      <c r="AD178" s="108" t="n">
        <v>164434</v>
      </c>
      <c r="AE178" s="108" t="n">
        <v>2031</v>
      </c>
      <c r="AF178" s="116" t="n">
        <v>0.724298132381382</v>
      </c>
      <c r="AG178" s="116" t="n">
        <v>0.2757019065400104</v>
      </c>
      <c r="AH178" s="39" t="inlineStr">
        <is>
          <t>silk sheets</t>
        </is>
      </c>
      <c r="AI178" s="116" t="n">
        <v>0.601335490227082</v>
      </c>
      <c r="AJ178" s="116" t="n">
        <v>0.5155016602405829</v>
      </c>
      <c r="AK178" s="116" t="n"/>
      <c r="AL178" s="116" t="n">
        <v>0.04596981159614192</v>
      </c>
      <c r="AM178" s="108" t="n">
        <v>422</v>
      </c>
      <c r="AN178" s="108" t="n">
        <v>113</v>
      </c>
      <c r="AO178" s="108" t="n">
        <v>272</v>
      </c>
      <c r="AP178" s="108" t="n">
        <v>1609</v>
      </c>
      <c r="AQ178" s="108" t="n">
        <v>305</v>
      </c>
      <c r="AR178" s="108" t="n">
        <v>30</v>
      </c>
      <c r="AS178" s="117" t="n">
        <v>0.8168981481481481</v>
      </c>
      <c r="AT178" s="112" t="n">
        <v>-0.1447276536312849</v>
      </c>
      <c r="AU178" s="118" t="inlineStr">
        <is>
          <t>Y</t>
        </is>
      </c>
      <c r="AV178" s="118" t="inlineStr">
        <is>
          <t>List Price</t>
        </is>
      </c>
      <c r="AW178" s="119" t="n">
        <v>18.99</v>
      </c>
      <c r="AX178" s="119" t="n">
        <v>13.99</v>
      </c>
      <c r="AY178" s="118" t="inlineStr">
        <is>
          <t>Limited time deal</t>
        </is>
      </c>
      <c r="AZ178" s="118" t="inlineStr">
        <is>
          <t>Y</t>
        </is>
      </c>
      <c r="BA178" s="118" t="inlineStr">
        <is>
          <t>2026-10-13 12:12:43</t>
        </is>
      </c>
      <c r="BB178" s="120" t="inlineStr">
        <is>
          <t>Prime Exclusive Discount</t>
        </is>
      </c>
      <c r="BC178" s="120" t="inlineStr">
        <is>
          <t>11-01 to 12-05</t>
        </is>
      </c>
      <c r="BD178" s="121" t="n">
        <v>17.99</v>
      </c>
      <c r="BE178" s="121" t="n">
        <v>16.99</v>
      </c>
      <c r="BF178" s="110">
        <f>IF(AND(ISNUMBER(BD178),ISNUMBER(BE178),N(BD178)&gt;0),1-BE178/BD178,"")</f>
        <v/>
      </c>
      <c r="BG178" s="122" t="n">
        <v>1165</v>
      </c>
      <c r="BH178" s="122" t="n">
        <v>1226</v>
      </c>
      <c r="BI178" s="123">
        <f>IF(AND(ISNUMBER(BG178),ISNUMBER(BH178),N(BH178)&gt;0),BG178/BH178,"")</f>
        <v/>
      </c>
      <c r="BJ178" s="120" t="inlineStr">
        <is>
          <t>N</t>
        </is>
      </c>
      <c r="BK178" s="120" t="inlineStr">
        <is>
          <t>Lightning Deal 11-09 to 11-16; Prime Exclusive already running before BFCM week; List Price $22.99</t>
        </is>
      </c>
    </row>
    <row r="179" ht="62" customHeight="1">
      <c r="A179" s="12">
        <f>_xlfn.IMAGE("https://images-na.ssl-images-amazon.com/images/I/71PMIXXTc0L.jpg")</f>
        <v/>
      </c>
      <c r="B179" s="105" t="inlineStr">
        <is>
          <t>Lanest Housing</t>
        </is>
      </c>
      <c r="C179" s="39" t="inlineStr">
        <is>
          <t>Lanest Housing Silk Satin Sheets, Queen Size Satin Bed Sheet Set with Deep Pockets, Cooling Soft and Hypoallergenic Satin Sheets Queen - Light Gray</t>
        </is>
      </c>
      <c r="D179" s="105" t="inlineStr">
        <is>
          <t>Beatable</t>
        </is>
      </c>
      <c r="E179" s="128" t="inlineStr">
        <is>
          <t>Alternative material</t>
        </is>
      </c>
      <c r="F179" s="105" t="inlineStr">
        <is>
          <t>Silk</t>
        </is>
      </c>
      <c r="G179" s="39" t="inlineStr">
        <is>
          <t>Sheet set in Silk (title: Lanest Housing Silk Satin Sheets, Queen Size Satin Bed Sheet); ours is Satin (polyester) (our listing: polyester satin). Shopper may cross-shop, but not like-for-like.</t>
        </is>
      </c>
      <c r="H179" s="107" t="inlineStr">
        <is>
          <t>B0DC3MX1DP</t>
        </is>
      </c>
      <c r="I179" s="107" t="inlineStr">
        <is>
          <t>B082B5CY3D</t>
        </is>
      </c>
      <c r="J179" s="105" t="inlineStr">
        <is>
          <t>Queen</t>
        </is>
      </c>
      <c r="K179" s="105" t="inlineStr">
        <is>
          <t>Gray</t>
        </is>
      </c>
      <c r="L179" s="108" t="n">
        <v>154</v>
      </c>
      <c r="M179" s="39" t="inlineStr">
        <is>
          <t>B082B5CY3D (41%), B07VWFV7MB (21%), B07VTSWJPH (21%)</t>
        </is>
      </c>
      <c r="N179" s="109" t="n">
        <v>22.99</v>
      </c>
      <c r="O179" s="109" t="n"/>
      <c r="P179" s="110">
        <f>IF(AND(ISNUMBER(O179),ISNUMBER(N179),N(N179)&gt;0),O179/N179-1,"")</f>
        <v/>
      </c>
      <c r="Q179" s="111">
        <f>IF(P179="","No List Price",IF(P179&lt;=0,"At/below price",IF(P179&lt;=0.12,"&lt;=12% STR zone",IF(P179&lt;=0.25,"12-25%","&gt;25% over"))))</f>
        <v/>
      </c>
      <c r="R179" s="109" t="n">
        <v>33.95</v>
      </c>
      <c r="S179" s="112">
        <f>IF(AND(ISNUMBER(N179),ISNUMBER(R179),N(R179)&gt;0),N179/R179-1,"")</f>
        <v/>
      </c>
      <c r="T179" s="39" t="inlineStr">
        <is>
          <t>Same size (Queen). Ours live: catalog price, 2026-10-13; 13 children</t>
        </is>
      </c>
      <c r="U179" s="108" t="n">
        <v>4671</v>
      </c>
      <c r="V179" s="108" t="n">
        <v>208</v>
      </c>
      <c r="W179" s="113">
        <f>IF(AND(ISNUMBER(N179),ISNUMBER(V179)),N179*V179*52/12,"")</f>
        <v/>
      </c>
      <c r="X179" s="114" t="n">
        <v>4.3</v>
      </c>
      <c r="Y179" s="108" t="n">
        <v>5837</v>
      </c>
      <c r="Z179" s="115" t="n">
        <v>46307</v>
      </c>
      <c r="AA179" s="115" t="n">
        <v>43803</v>
      </c>
      <c r="AB179" s="105" t="inlineStr">
        <is>
          <t>FBA</t>
        </is>
      </c>
      <c r="AC179" s="105" t="inlineStr">
        <is>
          <t>CN</t>
        </is>
      </c>
      <c r="AD179" s="108" t="n">
        <v>163454</v>
      </c>
      <c r="AE179" s="108" t="n">
        <v>1240</v>
      </c>
      <c r="AF179" s="116" t="n">
        <v>0.511816095659941</v>
      </c>
      <c r="AG179" s="116" t="n">
        <v>0.488184002226926</v>
      </c>
      <c r="AH179" s="39" t="inlineStr">
        <is>
          <t>silk sheets</t>
        </is>
      </c>
      <c r="AI179" s="116" t="n">
        <v>0.9357923330111224</v>
      </c>
      <c r="AJ179" s="116" t="n">
        <v>0.9225470162859275</v>
      </c>
      <c r="AK179" s="116" t="n"/>
      <c r="AL179" s="116" t="n">
        <v>0.002850955008748639</v>
      </c>
      <c r="AM179" s="108" t="n">
        <v>367</v>
      </c>
      <c r="AN179" s="108" t="n">
        <v>96</v>
      </c>
      <c r="AO179" s="108" t="n">
        <v>228</v>
      </c>
      <c r="AP179" s="108" t="n">
        <v>873</v>
      </c>
      <c r="AQ179" s="108" t="n">
        <v>53</v>
      </c>
      <c r="AR179" s="108" t="n">
        <v>45</v>
      </c>
      <c r="AS179" s="117" t="n">
        <v>0.4183908045977011</v>
      </c>
      <c r="AT179" s="112" t="n">
        <v>1.815972222222222</v>
      </c>
      <c r="AU179" s="118" t="inlineStr">
        <is>
          <t>N</t>
        </is>
      </c>
      <c r="AV179" s="118" t="inlineStr">
        <is>
          <t>none</t>
        </is>
      </c>
      <c r="AW179" s="124" t="n"/>
      <c r="AX179" s="119" t="n">
        <v>22.99</v>
      </c>
      <c r="AY179" s="118" t="inlineStr">
        <is>
          <t>none</t>
        </is>
      </c>
      <c r="AZ179" s="118" t="inlineStr">
        <is>
          <t>Y</t>
        </is>
      </c>
      <c r="BA179" s="118" t="inlineStr">
        <is>
          <t>2026-10-13 12:13:12</t>
        </is>
      </c>
      <c r="BB179" s="120" t="inlineStr">
        <is>
          <t>Prime Exclusive Discount</t>
        </is>
      </c>
      <c r="BC179" s="120" t="inlineStr">
        <is>
          <t>11-20 to 11-27</t>
        </is>
      </c>
      <c r="BD179" s="121" t="n">
        <v>19.99</v>
      </c>
      <c r="BE179" s="121" t="n">
        <v>17.99</v>
      </c>
      <c r="BF179" s="110">
        <f>IF(AND(ISNUMBER(BD179),ISNUMBER(BE179),N(BD179)&gt;0),1-BE179/BD179,"")</f>
        <v/>
      </c>
      <c r="BG179" s="122" t="n">
        <v>3675</v>
      </c>
      <c r="BH179" s="122" t="n">
        <v>3550</v>
      </c>
      <c r="BI179" s="123">
        <f>IF(AND(ISNUMBER(BG179),ISNUMBER(BH179),N(BH179)&gt;0),BG179/BH179,"")</f>
        <v/>
      </c>
      <c r="BJ179" s="120" t="inlineStr">
        <is>
          <t>Y</t>
        </is>
      </c>
      <c r="BK179" s="120" t="inlineStr">
        <is>
          <t>Buy Box RAISED in BFCM week (median $27.79 vs $19.99 before); List Price $37.99</t>
        </is>
      </c>
    </row>
    <row r="180" ht="62" customHeight="1">
      <c r="A180" s="12">
        <f>_xlfn.IMAGE("https://images-na.ssl-images-amazon.com/images/I/81zMSoUAMJL.jpg")</f>
        <v/>
      </c>
      <c r="B180" s="105" t="inlineStr">
        <is>
          <t>Bedsure</t>
        </is>
      </c>
      <c r="C180" s="39" t="inlineStr">
        <is>
          <t>Satin Sheets</t>
        </is>
      </c>
      <c r="D180" s="105" t="inlineStr">
        <is>
          <t>Beatable</t>
        </is>
      </c>
      <c r="E180" s="128" t="inlineStr">
        <is>
          <t>Alternative material</t>
        </is>
      </c>
      <c r="F180" s="105" t="inlineStr">
        <is>
          <t>Microfiber / polyester</t>
        </is>
      </c>
      <c r="G180" s="39" t="inlineStr">
        <is>
          <t>Sheet set in Microfiber / polyester (product page material: Polyester); ours is Satin (polyester) (our listing: polyester satin). Shopper may cross-shop, but not like-for-like.</t>
        </is>
      </c>
      <c r="H180" s="107" t="inlineStr">
        <is>
          <t>B0DCZYNBYS</t>
        </is>
      </c>
      <c r="I180" s="107" t="inlineStr">
        <is>
          <t>B0CJ8RYNTS</t>
        </is>
      </c>
      <c r="J180" s="105" t="inlineStr">
        <is>
          <t>Queen</t>
        </is>
      </c>
      <c r="K180" s="105" t="inlineStr">
        <is>
          <t>02 - Black</t>
        </is>
      </c>
      <c r="L180" s="108" t="n">
        <v>32</v>
      </c>
      <c r="M180" s="39" t="inlineStr">
        <is>
          <t>B0CJ8SSQ6B (37%), B0CJ8RDYQ7 (17%), B0CJ8RYNTS (17%), B0CL4FSC1R (9%), B0CJ8SB44M (7%)</t>
        </is>
      </c>
      <c r="N180" s="109" t="n">
        <v>19.99</v>
      </c>
      <c r="O180" s="109" t="n"/>
      <c r="P180" s="110">
        <f>IF(AND(ISNUMBER(O180),ISNUMBER(N180),N(N180)&gt;0),O180/N180-1,"")</f>
        <v/>
      </c>
      <c r="Q180" s="111">
        <f>IF(P180="","No List Price",IF(P180&lt;=0,"At/below price",IF(P180&lt;=0.12,"&lt;=12% STR zone",IF(P180&lt;=0.25,"12-25%","&gt;25% over"))))</f>
        <v/>
      </c>
      <c r="R180" s="109" t="n">
        <v>33.95</v>
      </c>
      <c r="S180" s="112">
        <f>IF(AND(ISNUMBER(N180),ISNUMBER(R180),N(R180)&gt;0),N180/R180-1,"")</f>
        <v/>
      </c>
      <c r="T180" s="39" t="inlineStr">
        <is>
          <t>Same size (Queen). Ours live: catalog price, 2026-10-13; 13 children</t>
        </is>
      </c>
      <c r="U180" s="108" t="n">
        <v>22342</v>
      </c>
      <c r="V180" s="108" t="n">
        <v>92</v>
      </c>
      <c r="W180" s="113">
        <f>IF(AND(ISNUMBER(N180),ISNUMBER(V180)),N180*V180*52/12,"")</f>
        <v/>
      </c>
      <c r="X180" s="114" t="n">
        <v>4.3</v>
      </c>
      <c r="Y180" s="108" t="n">
        <v>2745</v>
      </c>
      <c r="Z180" s="115" t="n">
        <v>46307</v>
      </c>
      <c r="AA180" s="115" t="n"/>
      <c r="AB180" s="105" t="n"/>
      <c r="AC180" s="105" t="n"/>
      <c r="AD180" s="108" t="n">
        <v>89691</v>
      </c>
      <c r="AE180" s="108" t="n">
        <v>1094</v>
      </c>
      <c r="AF180" s="116" t="n">
        <v>0.6850140036347012</v>
      </c>
      <c r="AG180" s="116" t="n">
        <v>0.3149859963652986</v>
      </c>
      <c r="AH180" s="39" t="inlineStr">
        <is>
          <t>satin sheets</t>
        </is>
      </c>
      <c r="AI180" s="116" t="n">
        <v>0.7987311993399561</v>
      </c>
      <c r="AJ180" s="116" t="n">
        <v>0.4455742493672721</v>
      </c>
      <c r="AK180" s="116" t="n"/>
      <c r="AL180" s="116" t="n">
        <v>0.011428125452944</v>
      </c>
      <c r="AM180" s="108" t="n">
        <v>315</v>
      </c>
      <c r="AN180" s="108" t="n">
        <v>101</v>
      </c>
      <c r="AO180" s="108" t="n">
        <v>192</v>
      </c>
      <c r="AP180" s="108" t="n">
        <v>779</v>
      </c>
      <c r="AQ180" s="108" t="n">
        <v>129</v>
      </c>
      <c r="AR180" s="108" t="n">
        <v>31</v>
      </c>
      <c r="AS180" s="117" t="n">
        <v>1.528846153846154</v>
      </c>
      <c r="AT180" s="112" t="n">
        <v>0.1557377049180328</v>
      </c>
      <c r="AU180" s="118" t="inlineStr">
        <is>
          <t>N</t>
        </is>
      </c>
      <c r="AV180" s="118" t="inlineStr">
        <is>
          <t>none</t>
        </is>
      </c>
      <c r="AW180" s="124" t="n"/>
      <c r="AX180" s="119" t="n">
        <v>19.99</v>
      </c>
      <c r="AY180" s="118" t="inlineStr">
        <is>
          <t>none</t>
        </is>
      </c>
      <c r="AZ180" s="118" t="inlineStr">
        <is>
          <t>Y</t>
        </is>
      </c>
      <c r="BA180" s="118" t="inlineStr">
        <is>
          <t>2026-10-13 12:12:37</t>
        </is>
      </c>
      <c r="BB180" s="120" t="inlineStr">
        <is>
          <t>Prime Exclusive Discount</t>
        </is>
      </c>
      <c r="BC180" s="120" t="inlineStr">
        <is>
          <t>11-08 to 12-04</t>
        </is>
      </c>
      <c r="BD180" s="121" t="n">
        <v>22.39</v>
      </c>
      <c r="BE180" s="121" t="n">
        <v>20.99</v>
      </c>
      <c r="BF180" s="110">
        <f>IF(AND(ISNUMBER(BD180),ISNUMBER(BE180),N(BD180)&gt;0),1-BE180/BD180,"")</f>
        <v/>
      </c>
      <c r="BG180" s="122" t="n">
        <v>4549</v>
      </c>
      <c r="BH180" s="122" t="n">
        <v>5323</v>
      </c>
      <c r="BI180" s="123">
        <f>IF(AND(ISNUMBER(BG180),ISNUMBER(BH180),N(BH180)&gt;0),BG180/BH180,"")</f>
        <v/>
      </c>
      <c r="BJ180" s="120" t="inlineStr">
        <is>
          <t>N</t>
        </is>
      </c>
      <c r="BK180" s="120" t="inlineStr">
        <is>
          <t>Prime Exclusive already running before BFCM week; Buy Box RAISED in BFCM week (median $28.99 vs $24.99 before); List Price $44.99</t>
        </is>
      </c>
    </row>
    <row r="181" ht="62" customHeight="1">
      <c r="A181" s="12">
        <f>_xlfn.IMAGE("https://images-na.ssl-images-amazon.com/images/I/71MADUOjsFL.jpg")</f>
        <v/>
      </c>
      <c r="B181" s="105" t="inlineStr">
        <is>
          <t>Sasttie</t>
        </is>
      </c>
      <c r="C181" s="39" t="inlineStr">
        <is>
          <t>Sasttie Satin Sheets Queen Size - 4 Pieces Luxury Soft Black Silky Bed Sheets Set with Pillowcases - Smooth Silk-Like Satin Fabric, Reinforced 14 Inches Pocket, Oeko-Tex Certified</t>
        </is>
      </c>
      <c r="D181" s="105" t="inlineStr">
        <is>
          <t>Beatable</t>
        </is>
      </c>
      <c r="E181" s="128" t="inlineStr">
        <is>
          <t>Alternative material</t>
        </is>
      </c>
      <c r="F181" s="105" t="inlineStr">
        <is>
          <t>Silk</t>
        </is>
      </c>
      <c r="G181" s="39" t="inlineStr">
        <is>
          <t>Sheet set in Silk (title: Sasttie Satin Sheets Queen Size - 4 Pieces Luxury Soft Black); ours is Satin (polyester) (our listing: polyester satin). Shopper may cross-shop, but not like-for-like.</t>
        </is>
      </c>
      <c r="H181" s="107" t="inlineStr">
        <is>
          <t>B0F2H9HX69</t>
        </is>
      </c>
      <c r="I181" s="107" t="inlineStr">
        <is>
          <t>B0F2H8LPB3</t>
        </is>
      </c>
      <c r="J181" s="105" t="inlineStr">
        <is>
          <t>Queen</t>
        </is>
      </c>
      <c r="K181" s="105" t="inlineStr">
        <is>
          <t>Black</t>
        </is>
      </c>
      <c r="L181" s="108" t="n">
        <v>47</v>
      </c>
      <c r="M181" s="39" t="inlineStr">
        <is>
          <t>B0F2H8LPB3 (57%), B0F2H92RZ5 (13%), B0F2H9HRJJ (11%)</t>
        </is>
      </c>
      <c r="N181" s="109" t="n">
        <v>15.99</v>
      </c>
      <c r="O181" s="109" t="n"/>
      <c r="P181" s="110">
        <f>IF(AND(ISNUMBER(O181),ISNUMBER(N181),N(N181)&gt;0),O181/N181-1,"")</f>
        <v/>
      </c>
      <c r="Q181" s="111">
        <f>IF(P181="","No List Price",IF(P181&lt;=0,"At/below price",IF(P181&lt;=0.12,"&lt;=12% STR zone",IF(P181&lt;=0.25,"12-25%","&gt;25% over"))))</f>
        <v/>
      </c>
      <c r="R181" s="109" t="n">
        <v>33.95</v>
      </c>
      <c r="S181" s="112">
        <f>IF(AND(ISNUMBER(N181),ISNUMBER(R181),N(R181)&gt;0),N181/R181-1,"")</f>
        <v/>
      </c>
      <c r="T181" s="39" t="inlineStr">
        <is>
          <t>Same size (Queen). Ours live: catalog price, 2026-10-13; 13 children</t>
        </is>
      </c>
      <c r="U181" s="108" t="n">
        <v>58723</v>
      </c>
      <c r="V181" s="108" t="n">
        <v>35</v>
      </c>
      <c r="W181" s="113">
        <f>IF(AND(ISNUMBER(N181),ISNUMBER(V181)),N181*V181*52/12,"")</f>
        <v/>
      </c>
      <c r="X181" s="114" t="n">
        <v>4.5</v>
      </c>
      <c r="Y181" s="108" t="n">
        <v>968</v>
      </c>
      <c r="Z181" s="115" t="n">
        <v>46307</v>
      </c>
      <c r="AA181" s="115" t="n">
        <v>45742</v>
      </c>
      <c r="AB181" s="105" t="inlineStr">
        <is>
          <t>FBA</t>
        </is>
      </c>
      <c r="AC181" s="105" t="inlineStr">
        <is>
          <t>CN</t>
        </is>
      </c>
      <c r="AD181" s="108" t="n">
        <v>26952</v>
      </c>
      <c r="AE181" s="108" t="n">
        <v>504</v>
      </c>
      <c r="AF181" s="116" t="n">
        <v>0.9879767104482041</v>
      </c>
      <c r="AG181" s="116" t="n">
        <v>0.01202328955179578</v>
      </c>
      <c r="AH181" s="39" t="inlineStr">
        <is>
          <t>satin sheets</t>
        </is>
      </c>
      <c r="AI181" s="116" t="n"/>
      <c r="AJ181" s="116" t="n">
        <v>0.004081329771445533</v>
      </c>
      <c r="AK181" s="116" t="n">
        <v>0.1173567824280202</v>
      </c>
      <c r="AL181" s="116" t="n"/>
      <c r="AM181" s="108" t="n">
        <v>255</v>
      </c>
      <c r="AN181" s="108" t="n">
        <v>132</v>
      </c>
      <c r="AO181" s="108" t="n">
        <v>107</v>
      </c>
      <c r="AP181" s="108" t="n">
        <v>249</v>
      </c>
      <c r="AQ181" s="108" t="n">
        <v>13</v>
      </c>
      <c r="AR181" s="108" t="n">
        <v>0</v>
      </c>
      <c r="AS181" s="117" t="n">
        <v>1.063356164383562</v>
      </c>
      <c r="AT181" s="112" t="n">
        <v>-0.1631084543125534</v>
      </c>
      <c r="AU181" s="118" t="inlineStr">
        <is>
          <t>N</t>
        </is>
      </c>
      <c r="AV181" s="118" t="inlineStr">
        <is>
          <t>none</t>
        </is>
      </c>
      <c r="AW181" s="124" t="n"/>
      <c r="AX181" s="119" t="n">
        <v>15.99</v>
      </c>
      <c r="AY181" s="118" t="inlineStr">
        <is>
          <t>none</t>
        </is>
      </c>
      <c r="AZ181" s="118" t="inlineStr">
        <is>
          <t>Y</t>
        </is>
      </c>
      <c r="BA181" s="118" t="inlineStr">
        <is>
          <t>2026-10-13 12:13:42</t>
        </is>
      </c>
      <c r="BB181" s="120" t="inlineStr">
        <is>
          <t>Prime Exclusive Discount</t>
        </is>
      </c>
      <c r="BC181" s="120" t="inlineStr">
        <is>
          <t>11-08 to 12-05</t>
        </is>
      </c>
      <c r="BD181" s="121" t="n">
        <v>15.99</v>
      </c>
      <c r="BE181" s="121" t="n">
        <v>15.98</v>
      </c>
      <c r="BF181" s="110">
        <f>IF(AND(ISNUMBER(BD181),ISNUMBER(BE181),N(BD181)&gt;0),1-BE181/BD181,"")</f>
        <v/>
      </c>
      <c r="BG181" s="122" t="n">
        <v>71449</v>
      </c>
      <c r="BH181" s="122" t="n">
        <v>98796</v>
      </c>
      <c r="BI181" s="123">
        <f>IF(AND(ISNUMBER(BG181),ISNUMBER(BH181),N(BH181)&gt;0),BG181/BH181,"")</f>
        <v/>
      </c>
      <c r="BJ181" s="120" t="inlineStr">
        <is>
          <t>N</t>
        </is>
      </c>
      <c r="BK181" s="120" t="inlineStr">
        <is>
          <t>Prime Exclusive already running before BFCM week; Buy Box RAISED in BFCM week (median $19.99 vs $16.99 before); List Price $19.98</t>
        </is>
      </c>
    </row>
    <row r="182" ht="62" customHeight="1">
      <c r="A182" s="12">
        <f>_xlfn.IMAGE("https://images-na.ssl-images-amazon.com/images/I/81HS7e6wrTL.jpg")</f>
        <v/>
      </c>
      <c r="B182" s="105" t="inlineStr">
        <is>
          <t>Madison Park</t>
        </is>
      </c>
      <c r="C182" s="39" t="inlineStr">
        <is>
          <t>Satin Sheets</t>
        </is>
      </c>
      <c r="D182" s="105" t="inlineStr">
        <is>
          <t>Beatable</t>
        </is>
      </c>
      <c r="E182" s="128" t="inlineStr">
        <is>
          <t>Alternative material</t>
        </is>
      </c>
      <c r="F182" s="105" t="inlineStr">
        <is>
          <t>Microfiber / polyester</t>
        </is>
      </c>
      <c r="G182" s="39" t="inlineStr">
        <is>
          <t>Sheet set in Microfiber / polyester (product page material: Polyester); ours is Satin (polyester) (our listing: polyester satin). Shopper may cross-shop, but not like-for-like.</t>
        </is>
      </c>
      <c r="H182" s="107" t="inlineStr">
        <is>
          <t>B0DJ2HJ9M4</t>
        </is>
      </c>
      <c r="I182" s="107" t="inlineStr">
        <is>
          <t>B09HVCPNLX</t>
        </is>
      </c>
      <c r="J182" s="105" t="inlineStr">
        <is>
          <t>Queen</t>
        </is>
      </c>
      <c r="K182" s="105" t="inlineStr">
        <is>
          <t>Ivory</t>
        </is>
      </c>
      <c r="L182" s="108" t="n">
        <v>44</v>
      </c>
      <c r="M182" s="39" t="inlineStr">
        <is>
          <t>B0C5CG12M2 (27%), B09HVCPNLX (24%), B0C25NTWCM (18%), B09HVDQ982 (9%), B0DDQ6PNMP (7%)</t>
        </is>
      </c>
      <c r="N182" s="109" t="n">
        <v>26.99</v>
      </c>
      <c r="O182" s="109" t="n"/>
      <c r="P182" s="110">
        <f>IF(AND(ISNUMBER(O182),ISNUMBER(N182),N(N182)&gt;0),O182/N182-1,"")</f>
        <v/>
      </c>
      <c r="Q182" s="111">
        <f>IF(P182="","No List Price",IF(P182&lt;=0,"At/below price",IF(P182&lt;=0.12,"&lt;=12% STR zone",IF(P182&lt;=0.25,"12-25%","&gt;25% over"))))</f>
        <v/>
      </c>
      <c r="R182" s="109" t="n">
        <v>33.95</v>
      </c>
      <c r="S182" s="112">
        <f>IF(AND(ISNUMBER(N182),ISNUMBER(R182),N(R182)&gt;0),N182/R182-1,"")</f>
        <v/>
      </c>
      <c r="T182" s="39" t="inlineStr">
        <is>
          <t>Same size (Queen). Ours live: catalog price, 2026-10-13; 13 children</t>
        </is>
      </c>
      <c r="U182" s="108" t="n">
        <v>76753</v>
      </c>
      <c r="V182" s="108" t="n">
        <v>18</v>
      </c>
      <c r="W182" s="113">
        <f>IF(AND(ISNUMBER(N182),ISNUMBER(V182)),N182*V182*52/12,"")</f>
        <v/>
      </c>
      <c r="X182" s="114" t="n">
        <v>4.5</v>
      </c>
      <c r="Y182" s="108" t="n">
        <v>127</v>
      </c>
      <c r="Z182" s="115" t="n">
        <v>46307</v>
      </c>
      <c r="AA182" s="115" t="n"/>
      <c r="AB182" s="105" t="n"/>
      <c r="AC182" s="105" t="n"/>
      <c r="AD182" s="108" t="n">
        <v>35631</v>
      </c>
      <c r="AE182" s="108" t="n">
        <v>592</v>
      </c>
      <c r="AF182" s="116" t="n">
        <v>0.9497345738261626</v>
      </c>
      <c r="AG182" s="116" t="n">
        <v>0.05026542617383739</v>
      </c>
      <c r="AH182" s="39" t="inlineStr">
        <is>
          <t>satin sheets</t>
        </is>
      </c>
      <c r="AI182" s="116" t="n">
        <v>0.305408211950268</v>
      </c>
      <c r="AJ182" s="116" t="n"/>
      <c r="AK182" s="116" t="n"/>
      <c r="AL182" s="116" t="n">
        <v>0</v>
      </c>
      <c r="AM182" s="108" t="n">
        <v>251</v>
      </c>
      <c r="AN182" s="108" t="n">
        <v>146</v>
      </c>
      <c r="AO182" s="108" t="n">
        <v>87</v>
      </c>
      <c r="AP182" s="108" t="n">
        <v>341</v>
      </c>
      <c r="AQ182" s="108" t="n">
        <v>18</v>
      </c>
      <c r="AR182" s="108" t="n">
        <v>4</v>
      </c>
      <c r="AS182" s="117" t="n">
        <v>0.6901408450704226</v>
      </c>
      <c r="AT182" s="112" t="n">
        <v>0.1848341232227488</v>
      </c>
      <c r="AU182" s="118" t="inlineStr">
        <is>
          <t>N</t>
        </is>
      </c>
      <c r="AV182" s="118" t="inlineStr">
        <is>
          <t>none</t>
        </is>
      </c>
      <c r="AW182" s="124" t="n"/>
      <c r="AX182" s="119" t="n">
        <v>26.99</v>
      </c>
      <c r="AY182" s="118" t="inlineStr">
        <is>
          <t>none</t>
        </is>
      </c>
      <c r="AZ182" s="118" t="inlineStr">
        <is>
          <t>Y</t>
        </is>
      </c>
      <c r="BA182" s="118" t="inlineStr">
        <is>
          <t>2026-10-13 12:13:26</t>
        </is>
      </c>
      <c r="BB182" s="120" t="inlineStr">
        <is>
          <t>None</t>
        </is>
      </c>
      <c r="BC182" s="125" t="n"/>
      <c r="BD182" s="121" t="n">
        <v>30.99</v>
      </c>
      <c r="BE182" s="121" t="n">
        <v>30.99</v>
      </c>
      <c r="BF182" s="110">
        <f>IF(AND(ISNUMBER(BD182),ISNUMBER(BE182),N(BD182)&gt;0),1-BE182/BD182,"")</f>
        <v/>
      </c>
      <c r="BG182" s="122" t="n">
        <v>38276</v>
      </c>
      <c r="BH182" s="122" t="n">
        <v>39554</v>
      </c>
      <c r="BI182" s="123">
        <f>IF(AND(ISNUMBER(BG182),ISNUMBER(BH182),N(BH182)&gt;0),BG182/BH182,"")</f>
        <v/>
      </c>
      <c r="BJ182" s="120" t="inlineStr">
        <is>
          <t>N</t>
        </is>
      </c>
      <c r="BK182" s="120" t="inlineStr">
        <is>
          <t>List Price $35.99</t>
        </is>
      </c>
    </row>
    <row r="183" ht="62" customHeight="1">
      <c r="A183" s="12">
        <f>_xlfn.IMAGE("https://images-na.ssl-images-amazon.com/images/I/81M3kmoCTLL.jpg")</f>
        <v/>
      </c>
      <c r="B183" s="105" t="inlineStr">
        <is>
          <t>Juicy Couture</t>
        </is>
      </c>
      <c r="C183" s="39" t="inlineStr">
        <is>
          <t>Juicy Couture Queen Size Satin Bed Sheet Set, Deep Pocket Silky Satin Queen Shee</t>
        </is>
      </c>
      <c r="D183" s="105" t="inlineStr">
        <is>
          <t>Beatable</t>
        </is>
      </c>
      <c r="E183" s="128" t="inlineStr">
        <is>
          <t>Alternative material</t>
        </is>
      </c>
      <c r="F183" s="105" t="inlineStr">
        <is>
          <t>Microfiber / polyester</t>
        </is>
      </c>
      <c r="G183" s="39" t="inlineStr">
        <is>
          <t>Sheet set in Microfiber / polyester (product page material: Polyester); ours is Satin (polyester) (our listing: polyester satin). Shopper may cross-shop, but not like-for-like.</t>
        </is>
      </c>
      <c r="H183" s="107" t="inlineStr">
        <is>
          <t>B0FB47M9WR</t>
        </is>
      </c>
      <c r="I183" s="107" t="inlineStr">
        <is>
          <t>B0BK1WH383</t>
        </is>
      </c>
      <c r="J183" s="105" t="inlineStr">
        <is>
          <t>Standard Pillowcases - 2 Piece Set</t>
        </is>
      </c>
      <c r="K183" s="105" t="inlineStr">
        <is>
          <t>Pink</t>
        </is>
      </c>
      <c r="L183" s="108" t="n">
        <v>58</v>
      </c>
      <c r="M183" s="39" t="inlineStr">
        <is>
          <t>B09NP86NP2 (22%), B0DKYVPBLR (21%), B0BK1WRYR5 (11%), B09NP9WVDR (11%), B0F3KT7FWM (8%)</t>
        </is>
      </c>
      <c r="N183" s="109" t="n">
        <v>5.93</v>
      </c>
      <c r="O183" s="109" t="n"/>
      <c r="P183" s="110">
        <f>IF(AND(ISNUMBER(O183),ISNUMBER(N183),N(N183)&gt;0),O183/N183-1,"")</f>
        <v/>
      </c>
      <c r="Q183" s="111">
        <f>IF(P183="","No List Price",IF(P183&lt;=0,"At/below price",IF(P183&lt;=0.12,"&lt;=12% STR zone",IF(P183&lt;=0.25,"12-25%","&gt;25% over"))))</f>
        <v/>
      </c>
      <c r="R183" s="109" t="n">
        <v>37.05571428571429</v>
      </c>
      <c r="S183" s="112">
        <f>IF(AND(ISNUMBER(N183),ISNUMBER(R183),N(R183)&gt;0),N183/R183-1,"")</f>
        <v/>
      </c>
      <c r="T183" s="39" t="inlineStr">
        <is>
          <t>vs our blended price (market data, Mar 2026 - STALE)</t>
        </is>
      </c>
      <c r="U183" s="108" t="n">
        <v>80060</v>
      </c>
      <c r="V183" s="108" t="n">
        <v>5</v>
      </c>
      <c r="W183" s="113">
        <f>IF(AND(ISNUMBER(N183),ISNUMBER(V183)),N183*V183*52/12,"")</f>
        <v/>
      </c>
      <c r="X183" s="114" t="n">
        <v>4.6</v>
      </c>
      <c r="Y183" s="108" t="n">
        <v>46</v>
      </c>
      <c r="Z183" s="115" t="n">
        <v>46307</v>
      </c>
      <c r="AA183" s="115" t="n"/>
      <c r="AB183" s="105" t="n"/>
      <c r="AC183" s="105" t="n"/>
      <c r="AD183" s="108" t="n">
        <v>41904</v>
      </c>
      <c r="AE183" s="108" t="n">
        <v>827</v>
      </c>
      <c r="AF183" s="116" t="n">
        <v>0.8273237471363115</v>
      </c>
      <c r="AG183" s="116" t="n">
        <v>0.1726766346888126</v>
      </c>
      <c r="AH183" s="39" t="inlineStr">
        <is>
          <t>juicy couture</t>
        </is>
      </c>
      <c r="AI183" s="116" t="n">
        <v>0.1212533409698358</v>
      </c>
      <c r="AJ183" s="116" t="n">
        <v>0.1026870943108057</v>
      </c>
      <c r="AK183" s="116" t="n">
        <v>0.5394234440626193</v>
      </c>
      <c r="AL183" s="116" t="n">
        <v>0.09507445589919816</v>
      </c>
      <c r="AM183" s="108" t="n">
        <v>243</v>
      </c>
      <c r="AN183" s="108" t="n">
        <v>156</v>
      </c>
      <c r="AO183" s="108" t="n">
        <v>71</v>
      </c>
      <c r="AP183" s="108" t="n">
        <v>584</v>
      </c>
      <c r="AQ183" s="108" t="n">
        <v>112</v>
      </c>
      <c r="AR183" s="108" t="n">
        <v>17</v>
      </c>
      <c r="AS183" s="117" t="n"/>
      <c r="AT183" s="112" t="n"/>
      <c r="AU183" s="118" t="inlineStr">
        <is>
          <t>N</t>
        </is>
      </c>
      <c r="AV183" s="118" t="inlineStr">
        <is>
          <t>none</t>
        </is>
      </c>
      <c r="AW183" s="124" t="n"/>
      <c r="AX183" s="124" t="n"/>
      <c r="AY183" s="118" t="inlineStr">
        <is>
          <t>none</t>
        </is>
      </c>
      <c r="AZ183" s="118" t="inlineStr">
        <is>
          <t>N</t>
        </is>
      </c>
      <c r="BA183" s="118" t="inlineStr">
        <is>
          <t>2026-10-13 12:12:23</t>
        </is>
      </c>
      <c r="BB183" s="125" t="n"/>
      <c r="BC183" s="125" t="n"/>
      <c r="BD183" s="124" t="n"/>
      <c r="BE183" s="124" t="n"/>
      <c r="BF183" s="110">
        <f>IF(AND(ISNUMBER(BD183),ISNUMBER(BE183),N(BD183)&gt;0),1-BE183/BD183,"")</f>
        <v/>
      </c>
      <c r="BG183" s="122" t="n">
        <v>54981</v>
      </c>
      <c r="BH183" s="122" t="n">
        <v>50922</v>
      </c>
      <c r="BI183" s="123">
        <f>IF(AND(ISNUMBER(BG183),ISNUMBER(BH183),N(BH183)&gt;0),BG183/BH183,"")</f>
        <v/>
      </c>
      <c r="BJ183" s="120" t="inlineStr">
        <is>
          <t>Y</t>
        </is>
      </c>
      <c r="BK183" s="120" t="inlineStr">
        <is>
          <t>No Buy Box history in price history for BFCM 2025; List Price $19.99</t>
        </is>
      </c>
    </row>
    <row r="184" ht="62" customHeight="1">
      <c r="A184" s="12">
        <f>_xlfn.IMAGE("https://images-na.ssl-images-amazon.com/images/I/71r48b+Sh9L.jpg")</f>
        <v/>
      </c>
      <c r="B184" s="105" t="inlineStr">
        <is>
          <t>GOLAL</t>
        </is>
      </c>
      <c r="C184" s="39" t="inlineStr">
        <is>
          <t>GOLAL Satin Sheets Full Size - 4 Pieces Luxury Silky Soft Bed Sheets, Wrinkle-Free Black Satin Silk Sheet Set with 1 Deep Pocket Fitted Sheet, 1 Flat Sheet, 2 Pillow Cases</t>
        </is>
      </c>
      <c r="D184" s="105" t="inlineStr">
        <is>
          <t>Poor</t>
        </is>
      </c>
      <c r="E184" s="128" t="inlineStr">
        <is>
          <t>Alternative material</t>
        </is>
      </c>
      <c r="F184" s="105" t="inlineStr">
        <is>
          <t>Silk</t>
        </is>
      </c>
      <c r="G184" s="39" t="inlineStr">
        <is>
          <t>Sheet set in Silk (title: GOLAL Satin Sheets Full Size - 4 Pieces Luxury Silky Soft Be); ours is Satin (polyester) (our listing: polyester satin). Shopper may cross-shop, but not like-for-like.</t>
        </is>
      </c>
      <c r="H184" s="107" t="inlineStr">
        <is>
          <t>B0B1Q2JG5X</t>
        </is>
      </c>
      <c r="I184" s="107" t="inlineStr">
        <is>
          <t>B09G17SQXF</t>
        </is>
      </c>
      <c r="J184" s="105" t="inlineStr">
        <is>
          <t>Full</t>
        </is>
      </c>
      <c r="K184" s="105" t="inlineStr">
        <is>
          <t>Black</t>
        </is>
      </c>
      <c r="L184" s="108" t="n">
        <v>94</v>
      </c>
      <c r="M184" s="39" t="inlineStr">
        <is>
          <t>B09G17XZC5 (35%), B09G17SQXF (27%), B09G18ZJ9S (10%), B09G18GFJL (10%)</t>
        </is>
      </c>
      <c r="N184" s="109" t="n">
        <v>21.99</v>
      </c>
      <c r="O184" s="109" t="n"/>
      <c r="P184" s="110">
        <f>IF(AND(ISNUMBER(O184),ISNUMBER(N184),N(N184)&gt;0),O184/N184-1,"")</f>
        <v/>
      </c>
      <c r="Q184" s="111">
        <f>IF(P184="","No List Price",IF(P184&lt;=0,"At/below price",IF(P184&lt;=0.12,"&lt;=12% STR zone",IF(P184&lt;=0.25,"12-25%","&gt;25% over"))))</f>
        <v/>
      </c>
      <c r="R184" s="109" t="n">
        <v>31.95</v>
      </c>
      <c r="S184" s="112">
        <f>IF(AND(ISNUMBER(N184),ISNUMBER(R184),N(R184)&gt;0),N184/R184-1,"")</f>
        <v/>
      </c>
      <c r="T184" s="39" t="inlineStr">
        <is>
          <t>Same size (Full). Ours live: catalog price, 2026-10-13; 21 children</t>
        </is>
      </c>
      <c r="U184" s="108" t="n">
        <v>132024</v>
      </c>
      <c r="V184" s="108" t="n">
        <v>81</v>
      </c>
      <c r="W184" s="113">
        <f>IF(AND(ISNUMBER(N184),ISNUMBER(V184)),N184*V184*52/12,"")</f>
        <v/>
      </c>
      <c r="X184" s="114" t="n">
        <v>4.4</v>
      </c>
      <c r="Y184" s="108" t="n">
        <v>3943</v>
      </c>
      <c r="Z184" s="115" t="n">
        <v>46307</v>
      </c>
      <c r="AA184" s="115" t="n">
        <v>44451</v>
      </c>
      <c r="AB184" s="105" t="inlineStr">
        <is>
          <t>FBA</t>
        </is>
      </c>
      <c r="AC184" s="105" t="inlineStr">
        <is>
          <t>CN</t>
        </is>
      </c>
      <c r="AD184" s="108" t="n">
        <v>48561</v>
      </c>
      <c r="AE184" s="108" t="n">
        <v>615</v>
      </c>
      <c r="AF184" s="116" t="n">
        <v>0.6641788183933609</v>
      </c>
      <c r="AG184" s="116" t="n">
        <v>0.3358211816066392</v>
      </c>
      <c r="AH184" s="39" t="inlineStr">
        <is>
          <t>satin sheets queen size</t>
        </is>
      </c>
      <c r="AI184" s="116" t="n">
        <v>0.6905747410473425</v>
      </c>
      <c r="AJ184" s="116" t="n">
        <v>0.432960606247812</v>
      </c>
      <c r="AK184" s="116" t="n"/>
      <c r="AL184" s="116" t="n">
        <v>0.005930685117687033</v>
      </c>
      <c r="AM184" s="108" t="n">
        <v>284</v>
      </c>
      <c r="AN184" s="108" t="n">
        <v>118</v>
      </c>
      <c r="AO184" s="108" t="n">
        <v>146</v>
      </c>
      <c r="AP184" s="108" t="n">
        <v>331</v>
      </c>
      <c r="AQ184" s="108" t="n">
        <v>31</v>
      </c>
      <c r="AR184" s="108" t="n">
        <v>31</v>
      </c>
      <c r="AS184" s="117" t="n">
        <v>0.8779220779220779</v>
      </c>
      <c r="AT184" s="112" t="n">
        <v>0.803921568627451</v>
      </c>
      <c r="AU184" s="118" t="inlineStr">
        <is>
          <t>N</t>
        </is>
      </c>
      <c r="AV184" s="118" t="inlineStr">
        <is>
          <t>none</t>
        </is>
      </c>
      <c r="AW184" s="124" t="n"/>
      <c r="AX184" s="119" t="n">
        <v>21.99</v>
      </c>
      <c r="AY184" s="118" t="inlineStr">
        <is>
          <t>none</t>
        </is>
      </c>
      <c r="AZ184" s="118" t="inlineStr">
        <is>
          <t>Y</t>
        </is>
      </c>
      <c r="BA184" s="118" t="inlineStr">
        <is>
          <t>2026-10-13 12:12:50</t>
        </is>
      </c>
      <c r="BB184" s="120" t="inlineStr">
        <is>
          <t>Prime Exclusive Discount</t>
        </is>
      </c>
      <c r="BC184" s="120" t="inlineStr">
        <is>
          <t>11-27 to 11-27</t>
        </is>
      </c>
      <c r="BD184" s="121" t="n">
        <v>16.05</v>
      </c>
      <c r="BE184" s="121" t="n">
        <v>17.59</v>
      </c>
      <c r="BF184" s="110">
        <f>IF(AND(ISNUMBER(BD184),ISNUMBER(BE184),N(BD184)&gt;0),1-BE184/BD184,"")</f>
        <v/>
      </c>
      <c r="BG184" s="122" t="n">
        <v>5577</v>
      </c>
      <c r="BH184" s="122" t="n">
        <v>12758</v>
      </c>
      <c r="BI184" s="123">
        <f>IF(AND(ISNUMBER(BG184),ISNUMBER(BH184),N(BH184)&gt;0),BG184/BH184,"")</f>
        <v/>
      </c>
      <c r="BJ184" s="120" t="inlineStr">
        <is>
          <t>N</t>
        </is>
      </c>
      <c r="BK184" s="120" t="inlineStr">
        <is>
          <t>Coupon 10%, 5% (11-01 to 12-05); Buy Box RAISED in BFCM week (median $21.99 vs $16.05 before); List Price $24.99</t>
        </is>
      </c>
    </row>
    <row r="185" ht="62" customHeight="1">
      <c r="A185" s="12">
        <f>_xlfn.IMAGE("https://images-na.ssl-images-amazon.com/images/I/61QL2B3WPsL.jpg")</f>
        <v/>
      </c>
      <c r="B185" s="105" t="inlineStr">
        <is>
          <t>Cobedzy</t>
        </is>
      </c>
      <c r="C185" s="39" t="inlineStr">
        <is>
          <t>Satin Sheets</t>
        </is>
      </c>
      <c r="D185" s="105" t="inlineStr">
        <is>
          <t>Poor</t>
        </is>
      </c>
      <c r="E185" s="128" t="inlineStr">
        <is>
          <t>Alternative material</t>
        </is>
      </c>
      <c r="F185" s="105" t="inlineStr">
        <is>
          <t>Microfiber / polyester</t>
        </is>
      </c>
      <c r="G185" s="39" t="inlineStr">
        <is>
          <t>Sheet set in Microfiber / polyester (product page material: Polyester); ours is Satin (polyester) (our listing: polyester satin). Shopper may cross-shop, but not like-for-like.</t>
        </is>
      </c>
      <c r="H185" s="107" t="inlineStr">
        <is>
          <t>B099PPQ7T3</t>
        </is>
      </c>
      <c r="I185" s="107" t="inlineStr">
        <is>
          <t>B087CSRQQ4</t>
        </is>
      </c>
      <c r="J185" s="105" t="inlineStr">
        <is>
          <t>Queen</t>
        </is>
      </c>
      <c r="K185" s="105" t="inlineStr">
        <is>
          <t>Blush Pink</t>
        </is>
      </c>
      <c r="L185" s="108" t="n">
        <v>18</v>
      </c>
      <c r="M185" s="39" t="inlineStr">
        <is>
          <t>B087CSJ1FV (44%), B087CSRQQ4 (26%), B087CSNV9S (8%), B088CX6RW8 (4%)</t>
        </is>
      </c>
      <c r="N185" s="109" t="n">
        <v>24.99</v>
      </c>
      <c r="O185" s="109" t="n"/>
      <c r="P185" s="110">
        <f>IF(AND(ISNUMBER(O185),ISNUMBER(N185),N(N185)&gt;0),O185/N185-1,"")</f>
        <v/>
      </c>
      <c r="Q185" s="111">
        <f>IF(P185="","No List Price",IF(P185&lt;=0,"At/below price",IF(P185&lt;=0.12,"&lt;=12% STR zone",IF(P185&lt;=0.25,"12-25%","&gt;25% over"))))</f>
        <v/>
      </c>
      <c r="R185" s="109" t="n">
        <v>33.95</v>
      </c>
      <c r="S185" s="112">
        <f>IF(AND(ISNUMBER(N185),ISNUMBER(R185),N(R185)&gt;0),N185/R185-1,"")</f>
        <v/>
      </c>
      <c r="T185" s="39" t="inlineStr">
        <is>
          <t>Same size (Queen). Ours live: catalog price, 2026-10-13; 13 children</t>
        </is>
      </c>
      <c r="U185" s="108" t="n">
        <v>68667</v>
      </c>
      <c r="V185" s="108" t="n">
        <v>35</v>
      </c>
      <c r="W185" s="113">
        <f>IF(AND(ISNUMBER(N185),ISNUMBER(V185)),N185*V185*52/12,"")</f>
        <v/>
      </c>
      <c r="X185" s="114" t="n">
        <v>4.4</v>
      </c>
      <c r="Y185" s="108" t="n">
        <v>2838</v>
      </c>
      <c r="Z185" s="115" t="n">
        <v>46307</v>
      </c>
      <c r="AA185" s="115" t="n"/>
      <c r="AB185" s="105" t="n"/>
      <c r="AC185" s="105" t="n"/>
      <c r="AD185" s="108" t="n">
        <v>21925</v>
      </c>
      <c r="AE185" s="108" t="n">
        <v>461</v>
      </c>
      <c r="AF185" s="116" t="n">
        <v>0.9295306681870016</v>
      </c>
      <c r="AG185" s="116" t="n">
        <v>0.07046991562143676</v>
      </c>
      <c r="AH185" s="39" t="inlineStr">
        <is>
          <t>satin sheets</t>
        </is>
      </c>
      <c r="AI185" s="116" t="n">
        <v>0.3978563283922463</v>
      </c>
      <c r="AJ185" s="116" t="n"/>
      <c r="AK185" s="116" t="n"/>
      <c r="AL185" s="116" t="n">
        <v>0.01299885974914481</v>
      </c>
      <c r="AM185" s="108" t="n">
        <v>246</v>
      </c>
      <c r="AN185" s="108" t="n">
        <v>154</v>
      </c>
      <c r="AO185" s="108" t="n">
        <v>80</v>
      </c>
      <c r="AP185" s="108" t="n">
        <v>215</v>
      </c>
      <c r="AQ185" s="108" t="n">
        <v>39</v>
      </c>
      <c r="AR185" s="108" t="n">
        <v>10</v>
      </c>
      <c r="AS185" s="117" t="n">
        <v>0.8934169278996865</v>
      </c>
      <c r="AT185" s="112" t="n">
        <v>-0.4259740259740259</v>
      </c>
      <c r="AU185" s="118" t="inlineStr">
        <is>
          <t>Y</t>
        </is>
      </c>
      <c r="AV185" s="118" t="inlineStr">
        <is>
          <t>Typical price</t>
        </is>
      </c>
      <c r="AW185" s="119" t="n">
        <v>26.99</v>
      </c>
      <c r="AX185" s="119" t="n">
        <v>24.99</v>
      </c>
      <c r="AY185" s="118" t="inlineStr">
        <is>
          <t>none</t>
        </is>
      </c>
      <c r="AZ185" s="118" t="inlineStr">
        <is>
          <t>Y</t>
        </is>
      </c>
      <c r="BA185" s="118" t="inlineStr">
        <is>
          <t>2026-10-13 12:12:40</t>
        </is>
      </c>
      <c r="BB185" s="120" t="inlineStr">
        <is>
          <t>Price cut only</t>
        </is>
      </c>
      <c r="BC185" s="120" t="inlineStr">
        <is>
          <t>11-20 to 12-01</t>
        </is>
      </c>
      <c r="BD185" s="121" t="n">
        <v>27.99</v>
      </c>
      <c r="BE185" s="121" t="n">
        <v>22.39</v>
      </c>
      <c r="BF185" s="110">
        <f>IF(AND(ISNUMBER(BD185),ISNUMBER(BE185),N(BD185)&gt;0),1-BE185/BD185,"")</f>
        <v/>
      </c>
      <c r="BG185" s="122" t="n">
        <v>39293</v>
      </c>
      <c r="BH185" s="122" t="n">
        <v>27923</v>
      </c>
      <c r="BI185" s="123">
        <f>IF(AND(ISNUMBER(BG185),ISNUMBER(BH185),N(BH185)&gt;0),BG185/BH185,"")</f>
        <v/>
      </c>
      <c r="BJ185" s="120" t="inlineStr">
        <is>
          <t>N</t>
        </is>
      </c>
      <c r="BK185" s="120" t="inlineStr">
        <is>
          <t>List Price $38.99</t>
        </is>
      </c>
    </row>
    <row r="186" ht="62" customHeight="1">
      <c r="A186" s="12">
        <f>_xlfn.IMAGE("https://m.media-amazon.com/images/I/71HVTciZ9oL._AC_SL1500_.jpg")</f>
        <v/>
      </c>
      <c r="B186" s="105" t="inlineStr">
        <is>
          <t>Vonty</t>
        </is>
      </c>
      <c r="C186" s="39" t="inlineStr">
        <is>
          <t>Satin Sheets</t>
        </is>
      </c>
      <c r="D186" s="105" t="inlineStr">
        <is>
          <t>Poor</t>
        </is>
      </c>
      <c r="E186" s="128" t="inlineStr">
        <is>
          <t>Alternative material</t>
        </is>
      </c>
      <c r="F186" s="105" t="inlineStr">
        <is>
          <t>Microfiber / polyester</t>
        </is>
      </c>
      <c r="G186" s="39" t="inlineStr">
        <is>
          <t>Sheet set in Microfiber / polyester (product page material: Polyester); ours is Satin (polyester) (our listing: polyester satin). Shopper may cross-shop, but not like-for-like.</t>
        </is>
      </c>
      <c r="H186" s="107" t="inlineStr">
        <is>
          <t>B0BDDJM9RW</t>
        </is>
      </c>
      <c r="I186" s="107" t="inlineStr">
        <is>
          <t>B0BDDGJ38X</t>
        </is>
      </c>
      <c r="J186" s="105" t="inlineStr">
        <is>
          <t>King - Extra Deep Pocket</t>
        </is>
      </c>
      <c r="K186" s="105" t="inlineStr">
        <is>
          <t>Black</t>
        </is>
      </c>
      <c r="L186" s="108" t="n">
        <v>22</v>
      </c>
      <c r="M186" s="39" t="inlineStr">
        <is>
          <t>B0BDDGJ38X (81%)</t>
        </is>
      </c>
      <c r="N186" s="109" t="n">
        <v>30.99</v>
      </c>
      <c r="O186" s="109" t="n"/>
      <c r="P186" s="110">
        <f>IF(AND(ISNUMBER(O186),ISNUMBER(N186),N(N186)&gt;0),O186/N186-1,"")</f>
        <v/>
      </c>
      <c r="Q186" s="111">
        <f>IF(P186="","No List Price",IF(P186&lt;=0,"At/below price",IF(P186&lt;=0.12,"&lt;=12% STR zone",IF(P186&lt;=0.25,"12-25%","&gt;25% over"))))</f>
        <v/>
      </c>
      <c r="R186" s="109" t="n">
        <v>35.95</v>
      </c>
      <c r="S186" s="112">
        <f>IF(AND(ISNUMBER(N186),ISNUMBER(R186),N(R186)&gt;0),N186/R186-1,"")</f>
        <v/>
      </c>
      <c r="T186" s="39" t="inlineStr">
        <is>
          <t>Same size (King). Ours live: catalog price, 2026-10-13; 22 children</t>
        </is>
      </c>
      <c r="U186" s="108" t="n">
        <v>83620</v>
      </c>
      <c r="V186" s="108" t="n">
        <v>35</v>
      </c>
      <c r="W186" s="113">
        <f>IF(AND(ISNUMBER(N186),ISNUMBER(V186)),N186*V186*52/12,"")</f>
        <v/>
      </c>
      <c r="X186" s="114" t="n">
        <v>4.2</v>
      </c>
      <c r="Y186" s="108" t="n">
        <v>909</v>
      </c>
      <c r="Z186" s="115" t="n">
        <v>46307</v>
      </c>
      <c r="AA186" s="115" t="n"/>
      <c r="AB186" s="105" t="n"/>
      <c r="AC186" s="105" t="n"/>
      <c r="AD186" s="108" t="n">
        <v>11441</v>
      </c>
      <c r="AE186" s="108" t="n">
        <v>382</v>
      </c>
      <c r="AF186" s="116" t="n">
        <v>0.9484301110042829</v>
      </c>
      <c r="AG186" s="116" t="n">
        <v>0.05156988899571716</v>
      </c>
      <c r="AH186" s="39" t="inlineStr">
        <is>
          <t>silk sheets</t>
        </is>
      </c>
      <c r="AI186" s="116" t="n">
        <v>0.06502928065728521</v>
      </c>
      <c r="AJ186" s="116" t="n"/>
      <c r="AK186" s="116" t="n"/>
      <c r="AL186" s="116" t="n"/>
      <c r="AM186" s="108" t="n">
        <v>202</v>
      </c>
      <c r="AN186" s="108" t="n">
        <v>143</v>
      </c>
      <c r="AO186" s="108" t="n">
        <v>45</v>
      </c>
      <c r="AP186" s="108" t="n">
        <v>180</v>
      </c>
      <c r="AQ186" s="108" t="n">
        <v>15</v>
      </c>
      <c r="AR186" s="108" t="n">
        <v>1</v>
      </c>
      <c r="AS186" s="117" t="n">
        <v>0.9861111111111112</v>
      </c>
      <c r="AT186" s="112" t="n">
        <v>0.4680851063829787</v>
      </c>
      <c r="AU186" s="118" t="inlineStr">
        <is>
          <t>N</t>
        </is>
      </c>
      <c r="AV186" s="118" t="inlineStr">
        <is>
          <t>none</t>
        </is>
      </c>
      <c r="AW186" s="124" t="n"/>
      <c r="AX186" s="119" t="n">
        <v>30.99</v>
      </c>
      <c r="AY186" s="118" t="inlineStr">
        <is>
          <t>none</t>
        </is>
      </c>
      <c r="AZ186" s="118" t="inlineStr">
        <is>
          <t>Y</t>
        </is>
      </c>
      <c r="BA186" s="118" t="inlineStr">
        <is>
          <t>2026-10-13 23:44:43</t>
        </is>
      </c>
      <c r="BB186" s="120" t="inlineStr">
        <is>
          <t>Prime Exclusive Discount</t>
        </is>
      </c>
      <c r="BC186" s="120" t="inlineStr">
        <is>
          <t>11-21 to 12-01</t>
        </is>
      </c>
      <c r="BD186" s="121" t="n">
        <v>30.99</v>
      </c>
      <c r="BE186" s="121" t="n">
        <v>25.79</v>
      </c>
      <c r="BF186" s="110">
        <f>IF(AND(ISNUMBER(BD186),ISNUMBER(BE186),N(BD186)&gt;0),1-BE186/BD186,"")</f>
        <v/>
      </c>
      <c r="BG186" s="122" t="n">
        <v>88328</v>
      </c>
      <c r="BH186" s="122" t="n">
        <v>82798</v>
      </c>
      <c r="BI186" s="123">
        <f>IF(AND(ISNUMBER(BG186),ISNUMBER(BH186),N(BH186)&gt;0),BG186/BH186,"")</f>
        <v/>
      </c>
      <c r="BJ186" s="120" t="inlineStr">
        <is>
          <t>N</t>
        </is>
      </c>
      <c r="BK186" s="120" t="inlineStr">
        <is>
          <t>Buy Box RAISED in BFCM week (median $42.99 vs $30.99 before); List Price $49.99</t>
        </is>
      </c>
    </row>
    <row r="187" ht="62" customHeight="1">
      <c r="A187" s="12">
        <f>_xlfn.IMAGE("https://m.media-amazon.com/images/I/71kVc8L0urL._AC_SL1500_.jpg")</f>
        <v/>
      </c>
      <c r="B187" s="105" t="inlineStr">
        <is>
          <t>Martex</t>
        </is>
      </c>
      <c r="C187" s="39" t="inlineStr">
        <is>
          <t>Satin Sheets</t>
        </is>
      </c>
      <c r="D187" s="105" t="inlineStr">
        <is>
          <t>Poor</t>
        </is>
      </c>
      <c r="E187" s="128" t="inlineStr">
        <is>
          <t>Alternative material</t>
        </is>
      </c>
      <c r="F187" s="105" t="inlineStr">
        <is>
          <t>Microfiber / polyester</t>
        </is>
      </c>
      <c r="G187" s="39" t="inlineStr">
        <is>
          <t>Sheet set in Microfiber / polyester (product page material: Polyester); ours is Satin (polyester) (our listing: polyester satin). Shopper may cross-shop, but not like-for-like.</t>
        </is>
      </c>
      <c r="H187" s="107" t="inlineStr">
        <is>
          <t>B0DLGX8P9D</t>
        </is>
      </c>
      <c r="I187" s="107" t="inlineStr">
        <is>
          <t>B07X49LFDC</t>
        </is>
      </c>
      <c r="J187" s="105" t="inlineStr">
        <is>
          <t>Queen</t>
        </is>
      </c>
      <c r="K187" s="105" t="inlineStr">
        <is>
          <t>Pink</t>
        </is>
      </c>
      <c r="L187" s="108" t="n"/>
      <c r="M187" s="39" t="inlineStr"/>
      <c r="N187" s="109" t="n">
        <v>23.34</v>
      </c>
      <c r="O187" s="109" t="n"/>
      <c r="P187" s="110">
        <f>IF(AND(ISNUMBER(O187),ISNUMBER(N187),N(N187)&gt;0),O187/N187-1,"")</f>
        <v/>
      </c>
      <c r="Q187" s="111">
        <f>IF(P187="","No List Price",IF(P187&lt;=0,"At/below price",IF(P187&lt;=0.12,"&lt;=12% STR zone",IF(P187&lt;=0.25,"12-25%","&gt;25% over"))))</f>
        <v/>
      </c>
      <c r="R187" s="109" t="n">
        <v>33.95</v>
      </c>
      <c r="S187" s="112">
        <f>IF(AND(ISNUMBER(N187),ISNUMBER(R187),N(R187)&gt;0),N187/R187-1,"")</f>
        <v/>
      </c>
      <c r="T187" s="39" t="inlineStr">
        <is>
          <t>Same size (Queen). Ours live: catalog price, 2026-10-13; 13 children</t>
        </is>
      </c>
      <c r="U187" s="108" t="n">
        <v>52458</v>
      </c>
      <c r="V187" s="108" t="n">
        <v>5</v>
      </c>
      <c r="W187" s="113">
        <f>IF(AND(ISNUMBER(N187),ISNUMBER(V187)),N187*V187*52/12,"")</f>
        <v/>
      </c>
      <c r="X187" s="114" t="n">
        <v>4.3</v>
      </c>
      <c r="Y187" s="108" t="n">
        <v>2260</v>
      </c>
      <c r="Z187" s="115" t="n">
        <v>46307</v>
      </c>
      <c r="AA187" s="115" t="n"/>
      <c r="AB187" s="105" t="n"/>
      <c r="AC187" s="105" t="n"/>
      <c r="AD187" s="108" t="n"/>
      <c r="AE187" s="108" t="n"/>
      <c r="AF187" s="116" t="n"/>
      <c r="AG187" s="116" t="n"/>
      <c r="AH187" s="39" t="n"/>
      <c r="AI187" s="116" t="n"/>
      <c r="AJ187" s="116" t="n"/>
      <c r="AK187" s="116" t="n"/>
      <c r="AL187" s="116" t="n"/>
      <c r="AM187" s="108" t="n"/>
      <c r="AN187" s="108" t="n"/>
      <c r="AO187" s="108" t="n"/>
      <c r="AP187" s="108" t="n"/>
      <c r="AQ187" s="108" t="n"/>
      <c r="AR187" s="108" t="n"/>
      <c r="AS187" s="117" t="n"/>
      <c r="AT187" s="112" t="n"/>
      <c r="AU187" s="118" t="inlineStr">
        <is>
          <t>Y</t>
        </is>
      </c>
      <c r="AV187" s="118" t="inlineStr">
        <is>
          <t>Typical price</t>
        </is>
      </c>
      <c r="AW187" s="119" t="n">
        <v>26.99</v>
      </c>
      <c r="AX187" s="119" t="n">
        <v>22.99</v>
      </c>
      <c r="AY187" s="118" t="inlineStr">
        <is>
          <t>none</t>
        </is>
      </c>
      <c r="AZ187" s="118" t="inlineStr">
        <is>
          <t>Y</t>
        </is>
      </c>
      <c r="BA187" s="118" t="inlineStr">
        <is>
          <t>2026-10-13 12:13:32</t>
        </is>
      </c>
      <c r="BB187" s="120" t="inlineStr">
        <is>
          <t>None</t>
        </is>
      </c>
      <c r="BC187" s="125" t="n"/>
      <c r="BD187" s="121" t="n">
        <v>23.21</v>
      </c>
      <c r="BE187" s="121" t="n">
        <v>26.99</v>
      </c>
      <c r="BF187" s="110">
        <f>IF(AND(ISNUMBER(BD187),ISNUMBER(BE187),N(BD187)&gt;0),1-BE187/BD187,"")</f>
        <v/>
      </c>
      <c r="BG187" s="122" t="n">
        <v>29868</v>
      </c>
      <c r="BH187" s="122" t="n">
        <v>28928</v>
      </c>
      <c r="BI187" s="123">
        <f>IF(AND(ISNUMBER(BG187),ISNUMBER(BH187),N(BH187)&gt;0),BG187/BH187,"")</f>
        <v/>
      </c>
      <c r="BJ187" s="120" t="inlineStr">
        <is>
          <t>N</t>
        </is>
      </c>
      <c r="BK187" s="120" t="inlineStr">
        <is>
          <t>Buy Box RAISED in BFCM week (median $26.99 vs $23.21 before); List Price $34.99</t>
        </is>
      </c>
    </row>
    <row r="188"/>
    <row r="189" ht="22" customHeight="1">
      <c r="A189" s="65" t="inlineStr">
        <is>
          <t>5 ▼</t>
        </is>
      </c>
      <c r="B189" s="66" t="inlineStr">
        <is>
          <t>WHAT THIS MEANS FOR BFCM</t>
        </is>
      </c>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c r="AC189" s="67" t="n"/>
      <c r="AD189" s="67" t="n"/>
      <c r="AE189" s="67" t="n"/>
      <c r="AF189" s="67" t="n"/>
      <c r="AG189" s="67" t="n"/>
      <c r="AH189" s="67" t="n"/>
      <c r="AI189" s="67" t="n"/>
      <c r="AJ189" s="67" t="n"/>
      <c r="AK189" s="67" t="n"/>
      <c r="AL189" s="67" t="n"/>
      <c r="AM189" s="67" t="n"/>
      <c r="AN189" s="67" t="n"/>
      <c r="AO189" s="67" t="n"/>
      <c r="AP189" s="67" t="n"/>
      <c r="AQ189" s="67" t="n"/>
      <c r="AR189" s="67" t="n"/>
      <c r="AS189" s="67" t="n"/>
      <c r="AT189" s="67" t="n"/>
      <c r="AU189" s="67" t="n"/>
      <c r="AV189" s="67" t="n"/>
      <c r="AW189" s="67" t="n"/>
      <c r="AX189" s="67" t="n"/>
      <c r="AY189" s="67" t="n"/>
      <c r="AZ189" s="67" t="n"/>
      <c r="BA189" s="67" t="n"/>
      <c r="BB189" s="67" t="n"/>
      <c r="BC189" s="67" t="n"/>
      <c r="BD189" s="67" t="n"/>
      <c r="BE189" s="67" t="n"/>
      <c r="BF189" s="67" t="n"/>
      <c r="BG189" s="67" t="n"/>
      <c r="BH189" s="67" t="n"/>
      <c r="BI189" s="67" t="n"/>
      <c r="BJ189" s="67" t="n"/>
      <c r="BK189" s="67" t="n"/>
    </row>
    <row r="190" ht="30" customHeight="1">
      <c r="A190" s="129" t="inlineStr">
        <is>
          <t>• Who sells most: BEDELITE ~1,963/wk at $17.99; Love's cabin ~809/wk at $16.13 (List $19.99, +24%); MR&amp;HM ~809/wk at $19.99; CozyLux ~347/wk at $13.99 (List $18.99, +36%); BEDELITE ~208/wk at $15.98 (List $19.99, +25%). Tracked rivals ~5,309 units/wk; we sell ~175/wk (3.2% of the tracked set).</t>
        </is>
      </c>
    </row>
    <row r="191" ht="18" customHeight="1">
      <c r="A191" s="129" t="inlineStr">
        <is>
          <t>• Strikethrough: 4 of 29 rivals set a List Price above price; 1 within 12%: Homiest +8%.</t>
        </is>
      </c>
    </row>
    <row r="192" ht="30" customHeight="1">
      <c r="A192" s="129" t="inlineStr">
        <is>
          <t>• Price: 29 of 29 rivals sit below our price today (same size where the title states one). Cheapest strong rivals: Juicy Couture $5.93, CozyLux $13.99, BEDELITE $15.98, Sasttie $15.99.</t>
        </is>
      </c>
    </row>
    <row r="193" ht="30" customHeight="1">
      <c r="A193" s="129" t="inlineStr">
        <is>
          <t>• Strikethrough on the page today (Oct 13 check): 8 of 29 checked rivals show one: BEDELITE List Price $19.99 vs $17.99 (+11%), Love's cabin List Price $19.99 vs $16.13 (+24%) with deal, MR&amp;HM List Price $28.99 vs $19.99 (+45%), BEDELITE List Price $19.99 vs $15.98 (+25%) with deal, Homiest Typical price $25.99 vs $23.99 (+8%), CozyLux List Price $18.99 vs $13.99 (+36%) with deal.</t>
        </is>
      </c>
    </row>
    <row r="194" ht="30" customHeight="1">
      <c r="A194" s="129" t="inlineStr">
        <is>
          <t>• Search: we lose most shared keywords to BEDELITE (we win 61, lose 385), Love's cabin (we win 68, lose 353), MR&amp;HM (we win 93, lose 328). Biggest ad gaps (they advertise where we don't or harder): BEDELITE 332 + 16 KWs, BEDELITE 561 + 61 KWs, Lanest Housing 53 + 45 KWs.</t>
        </is>
      </c>
    </row>
    <row r="195" ht="30" customHeight="1">
      <c r="A195" s="129" t="inlineStr">
        <is>
          <t>• Brand ads: Love's cabin (SB 61%, SBV 8%), P Pothuiny (SB 54%, SBV 0%), CozyLux (SB 52%, SBV 0%), Lanest Housing (SB 92%, SBV 0%), Juicy Couture (SB 10%, SBV 54%) hold Sponsored Brands / video on most of their traffic - the plan has our SB, SBV and display live by Nov 1.</t>
        </is>
      </c>
    </row>
    <row r="196" ht="18" customHeight="1">
      <c r="A196" s="129" t="inlineStr">
        <is>
          <t>• Our BFCM 2025: 2.59x daily sales in BFCM week vs the 30 days before; TACoS 15.8% vs 18.3% before; December 5.01x.</t>
        </is>
      </c>
    </row>
    <row r="197" ht="18" customHeight="1">
      <c r="A197" s="129" t="inlineStr">
        <is>
          <t>• Prime Day 2026: our organic visibility 0.94x vs rivals' median 1.01x (n=20) - rivals gained more event visibility than we did.</t>
        </is>
      </c>
    </row>
    <row r="198" ht="30" customHeight="1">
      <c r="A198" s="129" t="inlineStr">
        <is>
          <t>• BFCM 2025, 27 rivals with price history history: Prime Exclusive Discount 15, None 8, Price cut only 4. Median depth vs their Nov 1-19 price 6%; median BSR lift 1.03x. 13 raised their Buy Box in BFCM week, so their deal looked deeper than it was.</t>
        </is>
      </c>
    </row>
    <row r="199" ht="18" customHeight="1">
      <c r="A199" s="129" t="inlineStr">
        <is>
          <t>• 2 rivals not in the price history pulls yet (yellow BFCM 2025 columns) - remaining P2 batches,.</t>
        </is>
      </c>
    </row>
  </sheetData>
  <autoFilter ref="B158:BK187"/>
  <mergeCells count="68">
    <mergeCell ref="A137:C137"/>
    <mergeCell ref="A148:BK148"/>
    <mergeCell ref="A157:K157"/>
    <mergeCell ref="L5:Q5"/>
    <mergeCell ref="A191:BK191"/>
    <mergeCell ref="A145:C145"/>
    <mergeCell ref="AD157:AT157"/>
    <mergeCell ref="Q11:T11"/>
    <mergeCell ref="A139:C139"/>
    <mergeCell ref="L8:Q8"/>
    <mergeCell ref="A197:BK197"/>
    <mergeCell ref="A146:BK146"/>
    <mergeCell ref="L4:Q4"/>
    <mergeCell ref="D7:I7"/>
    <mergeCell ref="A13:D13"/>
    <mergeCell ref="I13:L13"/>
    <mergeCell ref="A153:BK153"/>
    <mergeCell ref="A196:BK196"/>
    <mergeCell ref="D4:I4"/>
    <mergeCell ref="L10:Q10"/>
    <mergeCell ref="E12:H12"/>
    <mergeCell ref="Q13:T13"/>
    <mergeCell ref="D9:I9"/>
    <mergeCell ref="A193:BK193"/>
    <mergeCell ref="U12:X12"/>
    <mergeCell ref="L9:Q9"/>
    <mergeCell ref="Q12:T12"/>
    <mergeCell ref="A140:C140"/>
    <mergeCell ref="A11:D11"/>
    <mergeCell ref="A144:C144"/>
    <mergeCell ref="AU157:BA157"/>
    <mergeCell ref="I11:L11"/>
    <mergeCell ref="A149:BK149"/>
    <mergeCell ref="D8:I8"/>
    <mergeCell ref="L6:Q6"/>
    <mergeCell ref="A4:B9"/>
    <mergeCell ref="A198:BK198"/>
    <mergeCell ref="T6:Y6"/>
    <mergeCell ref="A192:BK192"/>
    <mergeCell ref="A195:BK195"/>
    <mergeCell ref="D5:I5"/>
    <mergeCell ref="A194:BK194"/>
    <mergeCell ref="A151:BK151"/>
    <mergeCell ref="M11:P11"/>
    <mergeCell ref="A143:C143"/>
    <mergeCell ref="U11:X11"/>
    <mergeCell ref="A150:BK150"/>
    <mergeCell ref="BB157:BK157"/>
    <mergeCell ref="E13:H13"/>
    <mergeCell ref="D10:I10"/>
    <mergeCell ref="L7:Q7"/>
    <mergeCell ref="T5:Y5"/>
    <mergeCell ref="A138:C138"/>
    <mergeCell ref="A142:C142"/>
    <mergeCell ref="A147:BK147"/>
    <mergeCell ref="A12:D12"/>
    <mergeCell ref="M13:P13"/>
    <mergeCell ref="A152:BK152"/>
    <mergeCell ref="A190:BK190"/>
    <mergeCell ref="I12:L12"/>
    <mergeCell ref="U13:X13"/>
    <mergeCell ref="A199:BK199"/>
    <mergeCell ref="N157:Z157"/>
    <mergeCell ref="M12:P12"/>
    <mergeCell ref="T4:Y4"/>
    <mergeCell ref="D6:I6"/>
    <mergeCell ref="E11:H11"/>
    <mergeCell ref="AA157:AC157"/>
  </mergeCells>
  <conditionalFormatting sqref="Q159:Q187">
    <cfRule type="expression" priority="1" dxfId="1">
      <formula>Q159="&lt;=12% STR zone"</formula>
    </cfRule>
  </conditionalFormatting>
  <conditionalFormatting sqref="Z159:Z187">
    <cfRule type="expression" priority="2" dxfId="0">
      <formula>AND(ISNUMBER(Z159),Z159&lt;DATE(2026,10,6))</formula>
    </cfRule>
  </conditionalFormatting>
  <conditionalFormatting sqref="T159:T187">
    <cfRule type="expression" priority="3" dxfId="0">
      <formula>ISNUMBER(SEARCH("STALE",T159))</formula>
    </cfRule>
  </conditionalFormatting>
  <conditionalFormatting sqref="S159:S187">
    <cfRule type="expression" priority="4" dxfId="0">
      <formula>AND(ISNUMBER(S159),S159&lt;0)</formula>
    </cfRule>
  </conditionalFormatting>
  <dataValidations count="3">
    <dataValidation sqref="AU159:AU187 BJ159:BJ187" showDropDown="0" showInputMessage="0" showErrorMessage="0" allowBlank="1" type="list">
      <formula1>"Y,N"</formula1>
    </dataValidation>
    <dataValidation sqref="AV159:AV187" showDropDown="0" showInputMessage="0" showErrorMessage="0" allowBlank="1" type="list">
      <formula1>"List Price,Typical price,Was price,None"</formula1>
    </dataValidation>
    <dataValidation sqref="BB159:BB187"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SS4'!A3" display="1 Our product ↓"/>
    <hyperlink ref="D2" location="'US SSS4'!A15" display="2 Our variations ↓"/>
    <hyperlink ref="E2" location="'US SSS4'!A136" display="3 Our BFCM 2025 ↓"/>
    <hyperlink ref="F2" location="'US SSS4'!A155" display="4 COMPETITORS (29 mapped) ↓"/>
    <hyperlink ref="G2" location="'US SSS4'!A189" display="5 What it means ↓"/>
    <hyperlink xmlns:r="http://schemas.openxmlformats.org/officeDocument/2006/relationships" ref="H159" r:id="rId1"/>
    <hyperlink xmlns:r="http://schemas.openxmlformats.org/officeDocument/2006/relationships" ref="I159" r:id="rId2"/>
    <hyperlink xmlns:r="http://schemas.openxmlformats.org/officeDocument/2006/relationships" ref="H160" r:id="rId3"/>
    <hyperlink xmlns:r="http://schemas.openxmlformats.org/officeDocument/2006/relationships" ref="I160" r:id="rId4"/>
    <hyperlink xmlns:r="http://schemas.openxmlformats.org/officeDocument/2006/relationships" ref="H161" r:id="rId5"/>
    <hyperlink xmlns:r="http://schemas.openxmlformats.org/officeDocument/2006/relationships" ref="I161" r:id="rId6"/>
    <hyperlink xmlns:r="http://schemas.openxmlformats.org/officeDocument/2006/relationships" ref="H162" r:id="rId7"/>
    <hyperlink xmlns:r="http://schemas.openxmlformats.org/officeDocument/2006/relationships" ref="I162" r:id="rId8"/>
    <hyperlink xmlns:r="http://schemas.openxmlformats.org/officeDocument/2006/relationships" ref="H163" r:id="rId9"/>
    <hyperlink xmlns:r="http://schemas.openxmlformats.org/officeDocument/2006/relationships" ref="I163" r:id="rId10"/>
    <hyperlink xmlns:r="http://schemas.openxmlformats.org/officeDocument/2006/relationships" ref="H164" r:id="rId11"/>
    <hyperlink xmlns:r="http://schemas.openxmlformats.org/officeDocument/2006/relationships" ref="I164" r:id="rId12"/>
    <hyperlink xmlns:r="http://schemas.openxmlformats.org/officeDocument/2006/relationships" ref="H165" r:id="rId13"/>
    <hyperlink xmlns:r="http://schemas.openxmlformats.org/officeDocument/2006/relationships" ref="I165" r:id="rId14"/>
    <hyperlink xmlns:r="http://schemas.openxmlformats.org/officeDocument/2006/relationships" ref="H166" r:id="rId15"/>
    <hyperlink xmlns:r="http://schemas.openxmlformats.org/officeDocument/2006/relationships" ref="I166" r:id="rId16"/>
    <hyperlink xmlns:r="http://schemas.openxmlformats.org/officeDocument/2006/relationships" ref="H167" r:id="rId17"/>
    <hyperlink xmlns:r="http://schemas.openxmlformats.org/officeDocument/2006/relationships" ref="I167" r:id="rId18"/>
    <hyperlink xmlns:r="http://schemas.openxmlformats.org/officeDocument/2006/relationships" ref="H168" r:id="rId19"/>
    <hyperlink xmlns:r="http://schemas.openxmlformats.org/officeDocument/2006/relationships" ref="I168" r:id="rId20"/>
    <hyperlink xmlns:r="http://schemas.openxmlformats.org/officeDocument/2006/relationships" ref="H169" r:id="rId21"/>
    <hyperlink xmlns:r="http://schemas.openxmlformats.org/officeDocument/2006/relationships" ref="I169" r:id="rId22"/>
    <hyperlink xmlns:r="http://schemas.openxmlformats.org/officeDocument/2006/relationships" ref="H170" r:id="rId23"/>
    <hyperlink xmlns:r="http://schemas.openxmlformats.org/officeDocument/2006/relationships" ref="I170" r:id="rId24"/>
    <hyperlink xmlns:r="http://schemas.openxmlformats.org/officeDocument/2006/relationships" ref="H171" r:id="rId25"/>
    <hyperlink xmlns:r="http://schemas.openxmlformats.org/officeDocument/2006/relationships" ref="I171" r:id="rId26"/>
    <hyperlink xmlns:r="http://schemas.openxmlformats.org/officeDocument/2006/relationships" ref="H172" r:id="rId27"/>
    <hyperlink xmlns:r="http://schemas.openxmlformats.org/officeDocument/2006/relationships" ref="I172" r:id="rId28"/>
    <hyperlink xmlns:r="http://schemas.openxmlformats.org/officeDocument/2006/relationships" ref="H173" r:id="rId29"/>
    <hyperlink xmlns:r="http://schemas.openxmlformats.org/officeDocument/2006/relationships" ref="I173" r:id="rId30"/>
    <hyperlink xmlns:r="http://schemas.openxmlformats.org/officeDocument/2006/relationships" ref="H174" r:id="rId31"/>
    <hyperlink xmlns:r="http://schemas.openxmlformats.org/officeDocument/2006/relationships" ref="I174" r:id="rId32"/>
    <hyperlink xmlns:r="http://schemas.openxmlformats.org/officeDocument/2006/relationships" ref="H175" r:id="rId33"/>
    <hyperlink xmlns:r="http://schemas.openxmlformats.org/officeDocument/2006/relationships" ref="I175" r:id="rId34"/>
    <hyperlink xmlns:r="http://schemas.openxmlformats.org/officeDocument/2006/relationships" ref="H176" r:id="rId35"/>
    <hyperlink xmlns:r="http://schemas.openxmlformats.org/officeDocument/2006/relationships" ref="I176" r:id="rId36"/>
    <hyperlink xmlns:r="http://schemas.openxmlformats.org/officeDocument/2006/relationships" ref="H177" r:id="rId37"/>
    <hyperlink xmlns:r="http://schemas.openxmlformats.org/officeDocument/2006/relationships" ref="I177" r:id="rId38"/>
    <hyperlink xmlns:r="http://schemas.openxmlformats.org/officeDocument/2006/relationships" ref="H178" r:id="rId39"/>
    <hyperlink xmlns:r="http://schemas.openxmlformats.org/officeDocument/2006/relationships" ref="I178" r:id="rId40"/>
    <hyperlink xmlns:r="http://schemas.openxmlformats.org/officeDocument/2006/relationships" ref="H179" r:id="rId41"/>
    <hyperlink xmlns:r="http://schemas.openxmlformats.org/officeDocument/2006/relationships" ref="I179" r:id="rId42"/>
    <hyperlink xmlns:r="http://schemas.openxmlformats.org/officeDocument/2006/relationships" ref="H180" r:id="rId43"/>
    <hyperlink xmlns:r="http://schemas.openxmlformats.org/officeDocument/2006/relationships" ref="I180" r:id="rId44"/>
    <hyperlink xmlns:r="http://schemas.openxmlformats.org/officeDocument/2006/relationships" ref="H181" r:id="rId45"/>
    <hyperlink xmlns:r="http://schemas.openxmlformats.org/officeDocument/2006/relationships" ref="I181" r:id="rId46"/>
    <hyperlink xmlns:r="http://schemas.openxmlformats.org/officeDocument/2006/relationships" ref="H182" r:id="rId47"/>
    <hyperlink xmlns:r="http://schemas.openxmlformats.org/officeDocument/2006/relationships" ref="I182" r:id="rId48"/>
    <hyperlink xmlns:r="http://schemas.openxmlformats.org/officeDocument/2006/relationships" ref="H183" r:id="rId49"/>
    <hyperlink xmlns:r="http://schemas.openxmlformats.org/officeDocument/2006/relationships" ref="I183" r:id="rId50"/>
    <hyperlink xmlns:r="http://schemas.openxmlformats.org/officeDocument/2006/relationships" ref="H184" r:id="rId51"/>
    <hyperlink xmlns:r="http://schemas.openxmlformats.org/officeDocument/2006/relationships" ref="I184" r:id="rId52"/>
    <hyperlink xmlns:r="http://schemas.openxmlformats.org/officeDocument/2006/relationships" ref="H185" r:id="rId53"/>
    <hyperlink xmlns:r="http://schemas.openxmlformats.org/officeDocument/2006/relationships" ref="I185" r:id="rId54"/>
    <hyperlink xmlns:r="http://schemas.openxmlformats.org/officeDocument/2006/relationships" ref="H186" r:id="rId55"/>
    <hyperlink xmlns:r="http://schemas.openxmlformats.org/officeDocument/2006/relationships" ref="I186" r:id="rId56"/>
    <hyperlink xmlns:r="http://schemas.openxmlformats.org/officeDocument/2006/relationships" ref="H187" r:id="rId57"/>
    <hyperlink xmlns:r="http://schemas.openxmlformats.org/officeDocument/2006/relationships" ref="I187" r:id="rId58"/>
  </hyperlink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9DC3E6"/>
    <outlinePr summaryBelow="1" summaryRight="1"/>
    <pageSetUpPr/>
  </sheetPr>
  <dimension ref="A1:BK182"/>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Satin Sheets 6pcs · Amazon.com (US) · Satin · BFCM role: Clearance with margin · Scope: Not launched</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(27 mapped) ↓</t>
        </is>
      </c>
      <c r="G2" s="23" t="inlineStr">
        <is>
          <t>5 What it means ↓</t>
        </is>
      </c>
      <c r="J2" s="131" t="inlineStr">
        <is>
          <t>NOT LAUNCHED YET (confirmed Oct 14, 2026): no live price, rating or sales expected; excluded from the gap counts on Data Check.</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45" t="inlineStr">
        <is>
          <t>COMING SOON</t>
        </is>
      </c>
      <c r="C4" s="13" t="inlineStr">
        <is>
          <t>Title</t>
        </is>
      </c>
      <c r="D4" s="14" t="inlineStr">
        <is>
          <t>SLEEPHORIA Satin Bed Sheets - 6 Piece Luxury Silky Full Size Bedding Set - Softer Than Silk, Wrinkle-Free with 15” Deep Pocket Fitted Sheet, Perfect for Hair &amp; Skin, Gifts for Women (Baby Blue)</t>
        </is>
      </c>
      <c r="K4" s="13" t="inlineStr">
        <is>
          <t>Sizes</t>
        </is>
      </c>
      <c r="L4" s="68" t="inlineStr">
        <is>
          <t>Full, King, Queen, Twin</t>
        </is>
      </c>
      <c r="S4" s="13" t="inlineStr">
        <is>
          <t>Break-even ACoS</t>
        </is>
      </c>
      <c r="T4" s="68" t="inlineStr">
        <is>
          <t>n/a</t>
        </is>
      </c>
    </row>
    <row r="5" ht="22" customHeight="1">
      <c r="C5" s="13" t="inlineStr">
        <is>
          <t>Brand</t>
        </is>
      </c>
      <c r="D5" s="68" t="inlineStr">
        <is>
          <t>Sleephoria</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c r="S5" s="13" t="inlineStr">
        <is>
          <t>Units last 28 days</t>
        </is>
      </c>
      <c r="T5" s="68" t="inlineStr">
        <is>
          <t>0</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B0H41WN38B (one of our child ASINs, not the Amazon parent)</t>
        </is>
      </c>
    </row>
    <row r="7" ht="22" customHeight="1">
      <c r="C7" s="13" t="inlineStr">
        <is>
          <t>Parent ASIN (Amazon)</t>
        </is>
      </c>
      <c r="D7" s="68" t="inlineStr">
        <is>
          <t>B0H41WN38B</t>
        </is>
      </c>
      <c r="K7" s="13" t="inlineStr">
        <is>
          <t>Rating / reviews now</t>
        </is>
      </c>
      <c r="L7" s="68" t="inlineStr">
        <is>
          <t>Not checked yet</t>
        </is>
      </c>
    </row>
    <row r="8" ht="22" customHeight="1">
      <c r="C8" s="13" t="inlineStr">
        <is>
          <t>Best-selling child ASIN</t>
        </is>
      </c>
      <c r="D8" s="68" t="n"/>
      <c r="K8" s="13" t="inlineStr">
        <is>
          <t>Live prices held</t>
        </is>
      </c>
      <c r="L8" s="68" t="inlineStr">
        <is>
          <t>0 of 116 variations</t>
        </is>
      </c>
    </row>
    <row r="9" ht="22" customHeight="1">
      <c r="C9" s="13" t="inlineStr">
        <is>
          <t>Stage</t>
        </is>
      </c>
      <c r="D9" s="68" t="inlineStr">
        <is>
          <t>Production</t>
        </is>
      </c>
      <c r="K9" s="13" t="inlineStr">
        <is>
          <t>Blended price (market data)</t>
        </is>
      </c>
      <c r="L9" s="68" t="n"/>
    </row>
    <row r="10">
      <c r="C10" s="13" t="inlineStr">
        <is>
          <t>Total variations (SKUs)</t>
        </is>
      </c>
      <c r="D10" s="68" t="n">
        <v>116</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27</t>
        </is>
      </c>
      <c r="Q12" s="70" t="inlineStr">
        <is>
          <t>0</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(116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45" t="inlineStr">
        <is>
          <t>COMING SOON</t>
        </is>
      </c>
      <c r="B18" s="39" t="inlineStr">
        <is>
          <t>B0H41WN38B</t>
        </is>
      </c>
      <c r="C18" s="39" t="inlineStr">
        <is>
          <t>SL-SATIN-SHEET-6PC-FULL-BABY-BLUE</t>
        </is>
      </c>
      <c r="D18" s="39" t="inlineStr">
        <is>
          <t>SLEEPHORIA Satin Bed Sheets - 6 Piece Luxury Silky Full Size Bedding Set - Softer Than Silk, Wrinkle-Free with 15” Deep Pocket Fitted Sheet, Perfect for Hair &amp; Skin, Gifts for Women (Baby Blue)</t>
        </is>
      </c>
      <c r="E18" s="39" t="inlineStr">
        <is>
          <t>Full</t>
        </is>
      </c>
      <c r="F18" s="39" t="inlineStr">
        <is>
          <t>Baby Blue</t>
        </is>
      </c>
      <c r="G18" s="40" t="n"/>
      <c r="H18" s="39" t="n"/>
      <c r="I18" s="40" t="n"/>
      <c r="J18" s="39" t="n"/>
      <c r="K18" s="40" t="n"/>
      <c r="L18" s="76" t="n"/>
      <c r="M18" s="77" t="n"/>
      <c r="N18" s="39" t="inlineStr">
        <is>
          <t>Inactive</t>
        </is>
      </c>
      <c r="O18" s="39" t="n"/>
      <c r="P18" s="78" t="n"/>
      <c r="Q18" s="77" t="n"/>
      <c r="R18" s="77" t="n"/>
      <c r="S18" s="77" t="n"/>
      <c r="T18" s="39" t="n"/>
    </row>
    <row r="19" ht="62" customHeight="1">
      <c r="A19" s="45" t="inlineStr">
        <is>
          <t>COMING SOON</t>
        </is>
      </c>
      <c r="B19" s="39" t="inlineStr">
        <is>
          <t>B0H427K739</t>
        </is>
      </c>
      <c r="C19" s="39" t="inlineStr">
        <is>
          <t>SL-SATIN-SHEET-6PC-FULL-BLACK</t>
        </is>
      </c>
      <c r="D19" s="39" t="inlineStr">
        <is>
          <t>SLEEPHORIA Satin Bed Sheets - 6 Piece Luxury Silky Full Size Bedding Set - Softer Than Silk, Wrinkle-Free with 15” Deep Pocket Fitted Sheet, Perfect for Hair &amp; Skin, Gifts for Women (Black)</t>
        </is>
      </c>
      <c r="E19" s="39" t="inlineStr">
        <is>
          <t>Full</t>
        </is>
      </c>
      <c r="F19" s="39" t="inlineStr">
        <is>
          <t>Black</t>
        </is>
      </c>
      <c r="G19" s="40" t="n"/>
      <c r="H19" s="39" t="n"/>
      <c r="I19" s="40" t="n"/>
      <c r="J19" s="39" t="n"/>
      <c r="K19" s="40" t="n"/>
      <c r="L19" s="76" t="n"/>
      <c r="M19" s="77" t="n"/>
      <c r="N19" s="39" t="inlineStr">
        <is>
          <t>Inactive</t>
        </is>
      </c>
      <c r="O19" s="39" t="n"/>
      <c r="P19" s="78" t="n"/>
      <c r="Q19" s="77" t="n"/>
      <c r="R19" s="77" t="n"/>
      <c r="S19" s="77" t="n"/>
      <c r="T19" s="39" t="n"/>
    </row>
    <row r="20" ht="62" customHeight="1">
      <c r="A20" s="45" t="inlineStr">
        <is>
          <t>COMING SOON</t>
        </is>
      </c>
      <c r="B20" s="39" t="inlineStr">
        <is>
          <t>B0H41TKYQT</t>
        </is>
      </c>
      <c r="C20" s="39" t="inlineStr">
        <is>
          <t>SL-SATIN-SHEET-6PC-FULL-BLUE</t>
        </is>
      </c>
      <c r="D20" s="39" t="inlineStr">
        <is>
          <t>SLEEPHORIA Satin Bed Sheets - 6 Piece Luxury Silky Full Size Bedding Set - Softer Than Silk, Wrinkle-Free with 15” Deep Pocket Fitted Sheet, Perfect for Hair &amp; Skin, Gifts for Women (Blue)</t>
        </is>
      </c>
      <c r="E20" s="39" t="inlineStr">
        <is>
          <t>Full</t>
        </is>
      </c>
      <c r="F20" s="39" t="inlineStr">
        <is>
          <t>Blue</t>
        </is>
      </c>
      <c r="G20" s="40" t="n"/>
      <c r="H20" s="39" t="n"/>
      <c r="I20" s="40" t="n"/>
      <c r="J20" s="39" t="n"/>
      <c r="K20" s="40" t="n"/>
      <c r="L20" s="76" t="n"/>
      <c r="M20" s="77" t="n"/>
      <c r="N20" s="39" t="inlineStr">
        <is>
          <t>Inactive</t>
        </is>
      </c>
      <c r="O20" s="39" t="n"/>
      <c r="P20" s="78" t="n"/>
      <c r="Q20" s="77" t="n"/>
      <c r="R20" s="77" t="n"/>
      <c r="S20" s="77" t="n"/>
      <c r="T20" s="39" t="n"/>
    </row>
    <row r="21" ht="62" customHeight="1">
      <c r="A21" s="45" t="inlineStr">
        <is>
          <t>COMING SOON</t>
        </is>
      </c>
      <c r="B21" s="39" t="inlineStr">
        <is>
          <t>B0H4256F2C</t>
        </is>
      </c>
      <c r="C21" s="39" t="inlineStr">
        <is>
          <t>SL-SATIN-SHEET-6PC-FULL-BLUSH-PINK</t>
        </is>
      </c>
      <c r="D21" s="39" t="inlineStr">
        <is>
          <t>SLEEPHORIA Satin Bed Sheets - 6 Piece Luxury Silky Full Size Bedding Set - Softer Than Silk, Wrinkle-Free with 15” Deep Pocket Fitted Sheet, Perfect for Hair &amp; Skin, Gifts for Women (Blush Pink)</t>
        </is>
      </c>
      <c r="E21" s="39" t="inlineStr">
        <is>
          <t>Full</t>
        </is>
      </c>
      <c r="F21" s="39" t="inlineStr">
        <is>
          <t>Blush Pink</t>
        </is>
      </c>
      <c r="G21" s="40" t="n"/>
      <c r="H21" s="39" t="n"/>
      <c r="I21" s="40" t="n"/>
      <c r="J21" s="39" t="n"/>
      <c r="K21" s="40" t="n"/>
      <c r="L21" s="76" t="n"/>
      <c r="M21" s="77" t="n"/>
      <c r="N21" s="39" t="inlineStr">
        <is>
          <t>Inactive</t>
        </is>
      </c>
      <c r="O21" s="39" t="n"/>
      <c r="P21" s="78" t="n"/>
      <c r="Q21" s="77" t="n"/>
      <c r="R21" s="77" t="n"/>
      <c r="S21" s="77" t="n"/>
      <c r="T21" s="39" t="n"/>
    </row>
    <row r="22" ht="62" customHeight="1">
      <c r="A22" s="45" t="inlineStr">
        <is>
          <t>COMING SOON</t>
        </is>
      </c>
      <c r="B22" s="39" t="inlineStr">
        <is>
          <t>B0H42242XQ</t>
        </is>
      </c>
      <c r="C22" s="39" t="inlineStr">
        <is>
          <t>SL-SATIN-SHEET-6PC-FULL-BURNT-ORANGE</t>
        </is>
      </c>
      <c r="D22" s="39" t="inlineStr">
        <is>
          <t>SLEEPHORIA Satin Bed Sheets - 6 Piece Luxury Silky Full Size Bedding Set - Softer Than Silk, Wrinkle-Free with 15” Deep Pocket Fitted Sheet, Perfect for Hair &amp; Skin, Gifts for Women (Burnt Orange)</t>
        </is>
      </c>
      <c r="E22" s="39" t="inlineStr">
        <is>
          <t>Full</t>
        </is>
      </c>
      <c r="F22" s="39" t="inlineStr">
        <is>
          <t>Burnt Orange</t>
        </is>
      </c>
      <c r="G22" s="40" t="n"/>
      <c r="H22" s="39" t="n"/>
      <c r="I22" s="40" t="n"/>
      <c r="J22" s="39" t="n"/>
      <c r="K22" s="40" t="n"/>
      <c r="L22" s="76" t="n"/>
      <c r="M22" s="77" t="n"/>
      <c r="N22" s="39" t="inlineStr">
        <is>
          <t>Inactive</t>
        </is>
      </c>
      <c r="O22" s="39" t="n"/>
      <c r="P22" s="78" t="n"/>
      <c r="Q22" s="77" t="n"/>
      <c r="R22" s="77" t="n"/>
      <c r="S22" s="77" t="n"/>
      <c r="T22" s="39" t="n"/>
    </row>
    <row r="23" ht="62" customHeight="1">
      <c r="A23" s="45" t="inlineStr">
        <is>
          <t>COMING SOON</t>
        </is>
      </c>
      <c r="B23" s="39" t="inlineStr">
        <is>
          <t>B0H41VZJBY</t>
        </is>
      </c>
      <c r="C23" s="39" t="inlineStr">
        <is>
          <t>SL-SATIN-SHEET-6PC-FULL-CHAMPAGNE</t>
        </is>
      </c>
      <c r="D23" s="39" t="inlineStr">
        <is>
          <t>SLEEPHORIA Satin Bed Sheets - 6 Piece Luxury Silky Full Size Bedding Set - Softer Than Silk, Wrinkle-Free with 15” Deep Pocket Fitted Sheet, Perfect for Hair &amp; Skin, Gifts for Women (Champagne)</t>
        </is>
      </c>
      <c r="E23" s="39" t="inlineStr">
        <is>
          <t>Full</t>
        </is>
      </c>
      <c r="F23" s="39" t="inlineStr">
        <is>
          <t>Champagne</t>
        </is>
      </c>
      <c r="G23" s="40" t="n"/>
      <c r="H23" s="39" t="n"/>
      <c r="I23" s="40" t="n"/>
      <c r="J23" s="39" t="n"/>
      <c r="K23" s="40" t="n"/>
      <c r="L23" s="76" t="n"/>
      <c r="M23" s="77" t="n"/>
      <c r="N23" s="39" t="inlineStr">
        <is>
          <t>Inactive</t>
        </is>
      </c>
      <c r="O23" s="39" t="n"/>
      <c r="P23" s="78" t="n"/>
      <c r="Q23" s="77" t="n"/>
      <c r="R23" s="77" t="n"/>
      <c r="S23" s="77" t="n"/>
      <c r="T23" s="39" t="n"/>
    </row>
    <row r="24" ht="62" customHeight="1">
      <c r="A24" s="45" t="inlineStr">
        <is>
          <t>COMING SOON</t>
        </is>
      </c>
      <c r="B24" s="39" t="inlineStr">
        <is>
          <t>B0H427ZLRQ</t>
        </is>
      </c>
      <c r="C24" s="39" t="inlineStr">
        <is>
          <t>SL-SATIN-SHEET-6PC-FULL-DARK-GREEN</t>
        </is>
      </c>
      <c r="D24" s="39" t="inlineStr">
        <is>
          <t>SLEEPHORIA Satin Bed Sheets - 6 Piece Luxury Silky Full Size Bedding Set - Softer Than Silk, Wrinkle-Free with 15” Deep Pocket Fitted Sheet, Perfect for Hair &amp; Skin, Gifts for Women (Dark Green)</t>
        </is>
      </c>
      <c r="E24" s="39" t="inlineStr">
        <is>
          <t>Full</t>
        </is>
      </c>
      <c r="F24" s="39" t="inlineStr">
        <is>
          <t>Dark Green</t>
        </is>
      </c>
      <c r="G24" s="40" t="n"/>
      <c r="H24" s="39" t="n"/>
      <c r="I24" s="40" t="n"/>
      <c r="J24" s="39" t="n"/>
      <c r="K24" s="40" t="n"/>
      <c r="L24" s="76" t="n"/>
      <c r="M24" s="77" t="n"/>
      <c r="N24" s="39" t="inlineStr">
        <is>
          <t>Inactive</t>
        </is>
      </c>
      <c r="O24" s="39" t="n"/>
      <c r="P24" s="78" t="n"/>
      <c r="Q24" s="77" t="n"/>
      <c r="R24" s="77" t="n"/>
      <c r="S24" s="77" t="n"/>
      <c r="T24" s="39" t="n"/>
    </row>
    <row r="25" ht="62" customHeight="1">
      <c r="A25" s="45" t="inlineStr">
        <is>
          <t>COMING SOON</t>
        </is>
      </c>
      <c r="B25" s="39" t="inlineStr">
        <is>
          <t>B0H42184QR</t>
        </is>
      </c>
      <c r="C25" s="39" t="inlineStr">
        <is>
          <t>SL-SATIN-SHEET-6PC-FULL-GOLD</t>
        </is>
      </c>
      <c r="D25" s="39" t="inlineStr">
        <is>
          <t>SLEEPHORIA Satin Bed Sheets - 6 Piece Luxury Silky Full Size Bedding Set - Softer Than Silk, Wrinkle-Free with 15” Deep Pocket Fitted Sheet, Perfect for Hair &amp; Skin, Gifts for Women (Gold)</t>
        </is>
      </c>
      <c r="E25" s="39" t="inlineStr">
        <is>
          <t>Full</t>
        </is>
      </c>
      <c r="F25" s="39" t="inlineStr">
        <is>
          <t>Gold</t>
        </is>
      </c>
      <c r="G25" s="40" t="n"/>
      <c r="H25" s="39" t="n"/>
      <c r="I25" s="40" t="n"/>
      <c r="J25" s="39" t="n"/>
      <c r="K25" s="40" t="n"/>
      <c r="L25" s="76" t="n"/>
      <c r="M25" s="77" t="n"/>
      <c r="N25" s="39" t="inlineStr">
        <is>
          <t>Inactive</t>
        </is>
      </c>
      <c r="O25" s="39" t="n"/>
      <c r="P25" s="78" t="n"/>
      <c r="Q25" s="77" t="n"/>
      <c r="R25" s="77" t="n"/>
      <c r="S25" s="77" t="n"/>
      <c r="T25" s="39" t="n"/>
    </row>
    <row r="26" ht="62" customHeight="1">
      <c r="A26" s="45" t="inlineStr">
        <is>
          <t>COMING SOON</t>
        </is>
      </c>
      <c r="B26" s="39" t="inlineStr">
        <is>
          <t>B0H41Z9SL6</t>
        </is>
      </c>
      <c r="C26" s="39" t="inlineStr">
        <is>
          <t>SL-SATIN-SHEET-6PC-FULL-GREY</t>
        </is>
      </c>
      <c r="D26" s="39" t="inlineStr">
        <is>
          <t>SLEEPHORIA Satin Bed Sheets - 6 Piece Luxury Silky Full Size Bedding Set - Softer Than Silk, Wrinkle-Free with 15” Deep Pocket Fitted Sheet, Perfect for Hair &amp; Skin, Gifts for Women (Grey)</t>
        </is>
      </c>
      <c r="E26" s="39" t="inlineStr">
        <is>
          <t>Full</t>
        </is>
      </c>
      <c r="F26" s="39" t="inlineStr">
        <is>
          <t>Grey</t>
        </is>
      </c>
      <c r="G26" s="40" t="n"/>
      <c r="H26" s="39" t="n"/>
      <c r="I26" s="40" t="n"/>
      <c r="J26" s="39" t="n"/>
      <c r="K26" s="40" t="n"/>
      <c r="L26" s="76" t="n"/>
      <c r="M26" s="77" t="n"/>
      <c r="N26" s="39" t="inlineStr">
        <is>
          <t>Inactive</t>
        </is>
      </c>
      <c r="O26" s="39" t="n"/>
      <c r="P26" s="78" t="n"/>
      <c r="Q26" s="77" t="n"/>
      <c r="R26" s="77" t="n"/>
      <c r="S26" s="77" t="n"/>
      <c r="T26" s="39" t="n"/>
    </row>
    <row r="27" ht="62" customHeight="1">
      <c r="A27" s="45" t="inlineStr">
        <is>
          <t>COMING SOON</t>
        </is>
      </c>
      <c r="B27" s="39" t="inlineStr">
        <is>
          <t>B0H41RCDMM</t>
        </is>
      </c>
      <c r="C27" s="39" t="inlineStr">
        <is>
          <t>SL-SATIN-SHEET-6PC-FULL-IVORY</t>
        </is>
      </c>
      <c r="D27" s="39" t="inlineStr">
        <is>
          <t>SLEEPHORIA Satin Bed Sheets - 6 Piece Luxury Silky Full Size Bedding Set - Softer Than Silk, Wrinkle-Free with 15” Deep Pocket Fitted Sheet, Perfect for Hair &amp; Skin, Gifts for Women (Ivory)</t>
        </is>
      </c>
      <c r="E27" s="39" t="inlineStr">
        <is>
          <t>Full</t>
        </is>
      </c>
      <c r="F27" s="39" t="inlineStr">
        <is>
          <t>Ivory</t>
        </is>
      </c>
      <c r="G27" s="40" t="n"/>
      <c r="H27" s="39" t="n"/>
      <c r="I27" s="40" t="n"/>
      <c r="J27" s="39" t="n"/>
      <c r="K27" s="40" t="n"/>
      <c r="L27" s="76" t="n"/>
      <c r="M27" s="77" t="n"/>
      <c r="N27" s="39" t="inlineStr">
        <is>
          <t>Inactive</t>
        </is>
      </c>
      <c r="O27" s="39" t="n"/>
      <c r="P27" s="78" t="n"/>
      <c r="Q27" s="77" t="n"/>
      <c r="R27" s="77" t="n"/>
      <c r="S27" s="77" t="n"/>
      <c r="T27" s="39" t="n"/>
    </row>
    <row r="28" ht="62" customHeight="1">
      <c r="A28" s="45" t="inlineStr">
        <is>
          <t>COMING SOON</t>
        </is>
      </c>
      <c r="B28" s="39" t="inlineStr">
        <is>
          <t>B0H41W1W91</t>
        </is>
      </c>
      <c r="C28" s="39" t="inlineStr">
        <is>
          <t>SL-SATIN-SHEET-6PC-FULL-LAVENDER</t>
        </is>
      </c>
      <c r="D28" s="39" t="inlineStr">
        <is>
          <t>SLEEPHORIA Satin Bed Sheets - 6 Piece Luxury Silky Full Size Bedding Set - Softer Than Silk, Wrinkle-Free with 15” Deep Pocket Fitted Sheet, Perfect for Hair &amp; Skin, Gifts for Women (Lavender)</t>
        </is>
      </c>
      <c r="E28" s="39" t="inlineStr">
        <is>
          <t>Full</t>
        </is>
      </c>
      <c r="F28" s="39" t="inlineStr">
        <is>
          <t>Lavender</t>
        </is>
      </c>
      <c r="G28" s="40" t="n"/>
      <c r="H28" s="39" t="n"/>
      <c r="I28" s="40" t="n"/>
      <c r="J28" s="39" t="n"/>
      <c r="K28" s="40" t="n"/>
      <c r="L28" s="76" t="n"/>
      <c r="M28" s="77" t="n"/>
      <c r="N28" s="39" t="inlineStr">
        <is>
          <t>Inactive</t>
        </is>
      </c>
      <c r="O28" s="39" t="n"/>
      <c r="P28" s="78" t="n"/>
      <c r="Q28" s="77" t="n"/>
      <c r="R28" s="77" t="n"/>
      <c r="S28" s="77" t="n"/>
      <c r="T28" s="39" t="n"/>
    </row>
    <row r="29" ht="62" customHeight="1">
      <c r="A29" s="45" t="inlineStr">
        <is>
          <t>COMING SOON</t>
        </is>
      </c>
      <c r="B29" s="39" t="inlineStr">
        <is>
          <t>B0H41RFH4M</t>
        </is>
      </c>
      <c r="C29" s="39" t="inlineStr">
        <is>
          <t>SL-SATIN-SHEET-6PC-FULL-NAVY-BLUE</t>
        </is>
      </c>
      <c r="D29" s="39" t="inlineStr">
        <is>
          <t>SLEEPHORIA Satin Bed Sheets - 6 Piece Luxury Silky Full Size Bedding Set - Softer Than Silk, Wrinkle-Free with 15” Deep Pocket Fitted Sheet, Perfect for Hair &amp; Skin, Gifts for Women (Navy Blue)</t>
        </is>
      </c>
      <c r="E29" s="39" t="inlineStr">
        <is>
          <t>Full</t>
        </is>
      </c>
      <c r="F29" s="39" t="inlineStr">
        <is>
          <t>Navy Blue</t>
        </is>
      </c>
      <c r="G29" s="40" t="n"/>
      <c r="H29" s="39" t="n"/>
      <c r="I29" s="40" t="n"/>
      <c r="J29" s="39" t="n"/>
      <c r="K29" s="40" t="n"/>
      <c r="L29" s="76" t="n"/>
      <c r="M29" s="77" t="n"/>
      <c r="N29" s="39" t="inlineStr">
        <is>
          <t>Inactive</t>
        </is>
      </c>
      <c r="O29" s="39" t="n"/>
      <c r="P29" s="78" t="n"/>
      <c r="Q29" s="77" t="n"/>
      <c r="R29" s="77" t="n"/>
      <c r="S29" s="77" t="n"/>
      <c r="T29" s="39" t="n"/>
    </row>
    <row r="30" ht="62" customHeight="1">
      <c r="A30" s="45" t="inlineStr">
        <is>
          <t>COMING SOON</t>
        </is>
      </c>
      <c r="B30" s="39" t="inlineStr">
        <is>
          <t>B0H41XQNHD</t>
        </is>
      </c>
      <c r="C30" s="39" t="inlineStr">
        <is>
          <t>SL-SATIN-SHEET-6PC-FULL-PINK</t>
        </is>
      </c>
      <c r="D30" s="39" t="inlineStr">
        <is>
          <t>SLEEPHORIA Satin Bed Sheets - 6 Piece Luxury Silky Full Size Bedding Set - Softer Than Silk, Wrinkle-Free with 15” Deep Pocket Fitted Sheet, Perfect for Hair &amp; Skin, Gifts for Women (Pink)</t>
        </is>
      </c>
      <c r="E30" s="39" t="inlineStr">
        <is>
          <t>Full</t>
        </is>
      </c>
      <c r="F30" s="39" t="inlineStr">
        <is>
          <t>Pink</t>
        </is>
      </c>
      <c r="G30" s="40" t="n"/>
      <c r="H30" s="39" t="n"/>
      <c r="I30" s="40" t="n"/>
      <c r="J30" s="39" t="n"/>
      <c r="K30" s="40" t="n"/>
      <c r="L30" s="76" t="n"/>
      <c r="M30" s="77" t="n"/>
      <c r="N30" s="39" t="inlineStr">
        <is>
          <t>Inactive</t>
        </is>
      </c>
      <c r="O30" s="39" t="n"/>
      <c r="P30" s="78" t="n"/>
      <c r="Q30" s="77" t="n"/>
      <c r="R30" s="77" t="n"/>
      <c r="S30" s="77" t="n"/>
      <c r="T30" s="39" t="n"/>
    </row>
    <row r="31" ht="62" customHeight="1">
      <c r="A31" s="45" t="inlineStr">
        <is>
          <t>COMING SOON</t>
        </is>
      </c>
      <c r="B31" s="39" t="inlineStr">
        <is>
          <t>B0H41T82X5</t>
        </is>
      </c>
      <c r="C31" s="39" t="inlineStr">
        <is>
          <t>SL-SATIN-SHEET-6PC-FULL-PURPLE</t>
        </is>
      </c>
      <c r="D31" s="39" t="inlineStr">
        <is>
          <t>SLEEPHORIA Satin Bed Sheets - 6 Piece Luxury Silky Full Size Bedding Set - Softer Than Silk, Wrinkle-Free with 15” Deep Pocket Fitted Sheet, Perfect for Hair &amp; Skin, Gifts for Women (Purple)</t>
        </is>
      </c>
      <c r="E31" s="39" t="inlineStr">
        <is>
          <t>Full</t>
        </is>
      </c>
      <c r="F31" s="39" t="inlineStr">
        <is>
          <t>Purple</t>
        </is>
      </c>
      <c r="G31" s="40" t="n"/>
      <c r="H31" s="39" t="n"/>
      <c r="I31" s="40" t="n"/>
      <c r="J31" s="39" t="n"/>
      <c r="K31" s="40" t="n"/>
      <c r="L31" s="76" t="n"/>
      <c r="M31" s="77" t="n"/>
      <c r="N31" s="39" t="inlineStr">
        <is>
          <t>Inactive</t>
        </is>
      </c>
      <c r="O31" s="39" t="n"/>
      <c r="P31" s="78" t="n"/>
      <c r="Q31" s="77" t="n"/>
      <c r="R31" s="77" t="n"/>
      <c r="S31" s="77" t="n"/>
      <c r="T31" s="39" t="n"/>
    </row>
    <row r="32" ht="62" customHeight="1">
      <c r="A32" s="45" t="inlineStr">
        <is>
          <t>COMING SOON</t>
        </is>
      </c>
      <c r="B32" s="39" t="inlineStr">
        <is>
          <t>B0H41WHX9B</t>
        </is>
      </c>
      <c r="C32" s="39" t="inlineStr">
        <is>
          <t>SL-SATIN-SHEET-6PC-FULL-RED</t>
        </is>
      </c>
      <c r="D32" s="39" t="inlineStr">
        <is>
          <t>SLEEPHORIA Satin Bed Sheets - 6 Piece Luxury Silky Full Size Bedding Set - Softer Than Silk, Wrinkle-Free with 15” Deep Pocket Fitted Sheet, Perfect for Hair &amp; Skin, Gifts for Women (Red)</t>
        </is>
      </c>
      <c r="E32" s="39" t="inlineStr">
        <is>
          <t>Full</t>
        </is>
      </c>
      <c r="F32" s="39" t="inlineStr">
        <is>
          <t>Red</t>
        </is>
      </c>
      <c r="G32" s="40" t="n"/>
      <c r="H32" s="39" t="n"/>
      <c r="I32" s="40" t="n"/>
      <c r="J32" s="39" t="n"/>
      <c r="K32" s="40" t="n"/>
      <c r="L32" s="76" t="n"/>
      <c r="M32" s="77" t="n"/>
      <c r="N32" s="39" t="inlineStr">
        <is>
          <t>Inactive</t>
        </is>
      </c>
      <c r="O32" s="39" t="n"/>
      <c r="P32" s="78" t="n"/>
      <c r="Q32" s="77" t="n"/>
      <c r="R32" s="77" t="n"/>
      <c r="S32" s="77" t="n"/>
      <c r="T32" s="39" t="n"/>
    </row>
    <row r="33" ht="62" customHeight="1">
      <c r="A33" s="45" t="inlineStr">
        <is>
          <t>COMING SOON</t>
        </is>
      </c>
      <c r="B33" s="39" t="inlineStr">
        <is>
          <t>B0H41T6HDY</t>
        </is>
      </c>
      <c r="C33" s="39" t="inlineStr">
        <is>
          <t>SL-SATIN-SHEET-6PC-FULL-ROSEWOOD</t>
        </is>
      </c>
      <c r="D33" s="39" t="inlineStr">
        <is>
          <t>SLEEPHORIA Satin Bed Sheets - 6 Piece Luxury Silky Full Size Bedding Set - Softer Than Silk, Wrinkle-Free with 15” Deep Pocket Fitted Sheet, Perfect for Hair &amp; Skin, Gifts for Women (Rosewood)</t>
        </is>
      </c>
      <c r="E33" s="39" t="inlineStr">
        <is>
          <t>Full</t>
        </is>
      </c>
      <c r="F33" s="39" t="inlineStr">
        <is>
          <t>Rosewood</t>
        </is>
      </c>
      <c r="G33" s="40" t="n"/>
      <c r="H33" s="39" t="n"/>
      <c r="I33" s="40" t="n"/>
      <c r="J33" s="39" t="n"/>
      <c r="K33" s="40" t="n"/>
      <c r="L33" s="76" t="n"/>
      <c r="M33" s="77" t="n"/>
      <c r="N33" s="39" t="inlineStr">
        <is>
          <t>Inactive</t>
        </is>
      </c>
      <c r="O33" s="39" t="n"/>
      <c r="P33" s="78" t="n"/>
      <c r="Q33" s="77" t="n"/>
      <c r="R33" s="77" t="n"/>
      <c r="S33" s="77" t="n"/>
      <c r="T33" s="39" t="n"/>
    </row>
    <row r="34" ht="62" customHeight="1">
      <c r="A34" s="45" t="inlineStr">
        <is>
          <t>COMING SOON</t>
        </is>
      </c>
      <c r="B34" s="39" t="inlineStr">
        <is>
          <t>B0H41XDC3Y</t>
        </is>
      </c>
      <c r="C34" s="39" t="inlineStr">
        <is>
          <t>SL-SATIN-SHEET-6PC-FULL-SAGE-GREEN</t>
        </is>
      </c>
      <c r="D34" s="39" t="inlineStr">
        <is>
          <t>SLEEPHORIA Satin Bed Sheets - 6 Piece Luxury Silky Full Size Bedding Set - Softer Than Silk, Wrinkle-Free with 15” Deep Pocket Fitted Sheet, Perfect for Hair &amp; Skin, Gifts for Women (Sage Green)</t>
        </is>
      </c>
      <c r="E34" s="39" t="inlineStr">
        <is>
          <t>Full</t>
        </is>
      </c>
      <c r="F34" s="39" t="inlineStr">
        <is>
          <t>Sage Green</t>
        </is>
      </c>
      <c r="G34" s="40" t="n"/>
      <c r="H34" s="39" t="n"/>
      <c r="I34" s="40" t="n"/>
      <c r="J34" s="39" t="n"/>
      <c r="K34" s="40" t="n"/>
      <c r="L34" s="76" t="n"/>
      <c r="M34" s="77" t="n"/>
      <c r="N34" s="39" t="inlineStr">
        <is>
          <t>Inactive</t>
        </is>
      </c>
      <c r="O34" s="39" t="n"/>
      <c r="P34" s="78" t="n"/>
      <c r="Q34" s="77" t="n"/>
      <c r="R34" s="77" t="n"/>
      <c r="S34" s="77" t="n"/>
      <c r="T34" s="39" t="n"/>
    </row>
    <row r="35" ht="62" customHeight="1">
      <c r="A35" s="45" t="inlineStr">
        <is>
          <t>COMING SOON</t>
        </is>
      </c>
      <c r="B35" s="39" t="inlineStr">
        <is>
          <t>B0H41V6TLV</t>
        </is>
      </c>
      <c r="C35" s="39" t="inlineStr">
        <is>
          <t>SL-SATIN-SHEET-6PC-FULL-SEA-TEAL</t>
        </is>
      </c>
      <c r="D35" s="39" t="inlineStr">
        <is>
          <t>SLEEPHORIA Satin Bed Sheets - 6 Piece Luxury Silky Full Size Bedding Set - Softer Than Silk, Wrinkle-Free with 15” Deep Pocket Fitted Sheet, Perfect for Hair &amp; Skin, Gifts for Women (Sea Teal)</t>
        </is>
      </c>
      <c r="E35" s="39" t="inlineStr">
        <is>
          <t>Full</t>
        </is>
      </c>
      <c r="F35" s="39" t="inlineStr">
        <is>
          <t>Sea Teal</t>
        </is>
      </c>
      <c r="G35" s="40" t="n"/>
      <c r="H35" s="39" t="n"/>
      <c r="I35" s="40" t="n"/>
      <c r="J35" s="39" t="n"/>
      <c r="K35" s="40" t="n"/>
      <c r="L35" s="76" t="n"/>
      <c r="M35" s="77" t="n"/>
      <c r="N35" s="39" t="inlineStr">
        <is>
          <t>Inactive</t>
        </is>
      </c>
      <c r="O35" s="39" t="n"/>
      <c r="P35" s="78" t="n"/>
      <c r="Q35" s="77" t="n"/>
      <c r="R35" s="77" t="n"/>
      <c r="S35" s="77" t="n"/>
      <c r="T35" s="39" t="n"/>
    </row>
    <row r="36" ht="62" customHeight="1">
      <c r="A36" s="45" t="inlineStr">
        <is>
          <t>COMING SOON</t>
        </is>
      </c>
      <c r="B36" s="39" t="inlineStr">
        <is>
          <t>B0H41WM3J1</t>
        </is>
      </c>
      <c r="C36" s="39" t="inlineStr">
        <is>
          <t>SL-SATIN-SHEET-6PC-FULL-STONE-GREY</t>
        </is>
      </c>
      <c r="D36" s="39" t="inlineStr">
        <is>
          <t>SLEEPHORIA Satin Bed Sheets - 6 Piece Luxury Silky Full Size Bedding Set - Softer Than Silk, Wrinkle-Free with 15” Deep Pocket Fitted Sheet, Perfect for Hair &amp; Skin, Gifts for Women (Stone Grey)</t>
        </is>
      </c>
      <c r="E36" s="39" t="inlineStr">
        <is>
          <t>Full</t>
        </is>
      </c>
      <c r="F36" s="39" t="inlineStr">
        <is>
          <t>Stone Grey</t>
        </is>
      </c>
      <c r="G36" s="40" t="n"/>
      <c r="H36" s="39" t="n"/>
      <c r="I36" s="40" t="n"/>
      <c r="J36" s="39" t="n"/>
      <c r="K36" s="40" t="n"/>
      <c r="L36" s="76" t="n"/>
      <c r="M36" s="77" t="n"/>
      <c r="N36" s="39" t="inlineStr">
        <is>
          <t>Inactive</t>
        </is>
      </c>
      <c r="O36" s="39" t="n"/>
      <c r="P36" s="78" t="n"/>
      <c r="Q36" s="77" t="n"/>
      <c r="R36" s="77" t="n"/>
      <c r="S36" s="77" t="n"/>
      <c r="T36" s="39" t="n"/>
    </row>
    <row r="37" ht="62" customHeight="1">
      <c r="A37" s="45" t="inlineStr">
        <is>
          <t>COMING SOON</t>
        </is>
      </c>
      <c r="B37" s="39" t="inlineStr">
        <is>
          <t>B0H41W3V5Q</t>
        </is>
      </c>
      <c r="C37" s="39" t="inlineStr">
        <is>
          <t>SL-SATIN-SHEET-6PC-FULL-STRIPED-BLACK</t>
        </is>
      </c>
      <c r="D37" s="39" t="inlineStr">
        <is>
          <t>SLEEPHORIA Satin Bed Sheets - 6 Piece Luxury Silky Full Size Bedding Set - Softer Than Silk, Wrinkle-Free with 15” Deep Pocket Fitted Sheet, Perfect for Hair &amp; Skin, Gifts for Women (Striped Black)</t>
        </is>
      </c>
      <c r="E37" s="39" t="inlineStr">
        <is>
          <t>Full</t>
        </is>
      </c>
      <c r="F37" s="39" t="inlineStr">
        <is>
          <t>Striped Black</t>
        </is>
      </c>
      <c r="G37" s="40" t="n"/>
      <c r="H37" s="39" t="n"/>
      <c r="I37" s="40" t="n"/>
      <c r="J37" s="39" t="n"/>
      <c r="K37" s="40" t="n"/>
      <c r="L37" s="76" t="n"/>
      <c r="M37" s="77" t="n"/>
      <c r="N37" s="39" t="inlineStr">
        <is>
          <t>Inactive</t>
        </is>
      </c>
      <c r="O37" s="39" t="n"/>
      <c r="P37" s="78" t="n"/>
      <c r="Q37" s="77" t="n"/>
      <c r="R37" s="77" t="n"/>
      <c r="S37" s="77" t="n"/>
      <c r="T37" s="39" t="n"/>
    </row>
    <row r="38" ht="62" customHeight="1">
      <c r="A38" s="45" t="inlineStr">
        <is>
          <t>COMING SOON</t>
        </is>
      </c>
      <c r="B38" s="39" t="inlineStr">
        <is>
          <t>B0H41T2LQT</t>
        </is>
      </c>
      <c r="C38" s="39" t="inlineStr">
        <is>
          <t>SL-SATIN-SHEET-6PC-FULL-STRIPED-BLUE</t>
        </is>
      </c>
      <c r="D38" s="39" t="inlineStr">
        <is>
          <t>SLEEPHORIA Satin Bed Sheets - 6 Piece Luxury Silky Full Size Bedding Set - Softer Than Silk, Wrinkle-Free with 15” Deep Pocket Fitted Sheet, Perfect for Hair &amp; Skin, Gifts for Women (Striped Blue)</t>
        </is>
      </c>
      <c r="E38" s="39" t="inlineStr">
        <is>
          <t>Full</t>
        </is>
      </c>
      <c r="F38" s="39" t="inlineStr">
        <is>
          <t>Striped Blue</t>
        </is>
      </c>
      <c r="G38" s="40" t="n"/>
      <c r="H38" s="39" t="n"/>
      <c r="I38" s="40" t="n"/>
      <c r="J38" s="39" t="n"/>
      <c r="K38" s="40" t="n"/>
      <c r="L38" s="76" t="n"/>
      <c r="M38" s="77" t="n"/>
      <c r="N38" s="39" t="inlineStr">
        <is>
          <t>Inactive</t>
        </is>
      </c>
      <c r="O38" s="39" t="n"/>
      <c r="P38" s="78" t="n"/>
      <c r="Q38" s="77" t="n"/>
      <c r="R38" s="77" t="n"/>
      <c r="S38" s="77" t="n"/>
      <c r="T38" s="39" t="n"/>
    </row>
    <row r="39" ht="62" customHeight="1">
      <c r="A39" s="45" t="inlineStr">
        <is>
          <t>COMING SOON</t>
        </is>
      </c>
      <c r="B39" s="39" t="inlineStr">
        <is>
          <t>B0H41Z2SP1</t>
        </is>
      </c>
      <c r="C39" s="39" t="inlineStr">
        <is>
          <t>SL-SATIN-SHEET-6PC-FULL-STRIPED-GOLD</t>
        </is>
      </c>
      <c r="D39" s="39" t="inlineStr">
        <is>
          <t>SLEEPHORIA Satin Bed Sheets - 6 Piece Luxury Silky Full Size Bedding Set - Softer Than Silk, Wrinkle-Free with 15” Deep Pocket Fitted Sheet, Perfect for Hair &amp; Skin, Gifts for Women (Striped Gold)</t>
        </is>
      </c>
      <c r="E39" s="39" t="inlineStr">
        <is>
          <t>Full</t>
        </is>
      </c>
      <c r="F39" s="39" t="inlineStr">
        <is>
          <t>Striped Gold</t>
        </is>
      </c>
      <c r="G39" s="40" t="n"/>
      <c r="H39" s="39" t="n"/>
      <c r="I39" s="40" t="n"/>
      <c r="J39" s="39" t="n"/>
      <c r="K39" s="40" t="n"/>
      <c r="L39" s="76" t="n"/>
      <c r="M39" s="77" t="n"/>
      <c r="N39" s="39" t="inlineStr">
        <is>
          <t>Inactive</t>
        </is>
      </c>
      <c r="O39" s="39" t="n"/>
      <c r="P39" s="78" t="n"/>
      <c r="Q39" s="77" t="n"/>
      <c r="R39" s="77" t="n"/>
      <c r="S39" s="77" t="n"/>
      <c r="T39" s="39" t="n"/>
    </row>
    <row r="40" ht="62" customHeight="1">
      <c r="A40" s="45" t="inlineStr">
        <is>
          <t>COMING SOON</t>
        </is>
      </c>
      <c r="B40" s="39" t="inlineStr">
        <is>
          <t>B0H423PCZ7</t>
        </is>
      </c>
      <c r="C40" s="39" t="inlineStr">
        <is>
          <t>SL-SATIN-SHEET-6PC-FULL-STRIPED-GREY</t>
        </is>
      </c>
      <c r="D40" s="39" t="inlineStr">
        <is>
          <t>SLEEPHORIA Satin Bed Sheets - 6 Piece Luxury Silky Full Size Bedding Set - Softer Than Silk, Wrinkle-Free with 15” Deep Pocket Fitted Sheet, Perfect for Hair &amp; Skin, Gifts for Women (Striped Grey)</t>
        </is>
      </c>
      <c r="E40" s="39" t="inlineStr">
        <is>
          <t>Full</t>
        </is>
      </c>
      <c r="F40" s="39" t="inlineStr">
        <is>
          <t>Striped Grey</t>
        </is>
      </c>
      <c r="G40" s="40" t="n"/>
      <c r="H40" s="39" t="n"/>
      <c r="I40" s="40" t="n"/>
      <c r="J40" s="39" t="n"/>
      <c r="K40" s="40" t="n"/>
      <c r="L40" s="76" t="n"/>
      <c r="M40" s="77" t="n"/>
      <c r="N40" s="39" t="inlineStr">
        <is>
          <t>Inactive</t>
        </is>
      </c>
      <c r="O40" s="39" t="n"/>
      <c r="P40" s="78" t="n"/>
      <c r="Q40" s="77" t="n"/>
      <c r="R40" s="77" t="n"/>
      <c r="S40" s="77" t="n"/>
      <c r="T40" s="39" t="n"/>
    </row>
    <row r="41" ht="62" customHeight="1">
      <c r="A41" s="45" t="inlineStr">
        <is>
          <t>COMING SOON</t>
        </is>
      </c>
      <c r="B41" s="39" t="inlineStr">
        <is>
          <t>B0H41V1KW3</t>
        </is>
      </c>
      <c r="C41" s="39" t="inlineStr">
        <is>
          <t>SL-SATIN-SHEET-6PC-FULL-STRIPED-PINK</t>
        </is>
      </c>
      <c r="D41" s="39" t="inlineStr">
        <is>
          <t>SLEEPHORIA Satin Bed Sheets - 6 Piece Luxury Silky Full Size Bedding Set - Softer Than Silk, Wrinkle-Free with 15” Deep Pocket Fitted Sheet, Perfect for Hair &amp; Skin, Gifts for Women (Striped Pink)</t>
        </is>
      </c>
      <c r="E41" s="39" t="inlineStr">
        <is>
          <t>Full</t>
        </is>
      </c>
      <c r="F41" s="39" t="inlineStr">
        <is>
          <t>Striped Pink</t>
        </is>
      </c>
      <c r="G41" s="40" t="n"/>
      <c r="H41" s="39" t="n"/>
      <c r="I41" s="40" t="n"/>
      <c r="J41" s="39" t="n"/>
      <c r="K41" s="40" t="n"/>
      <c r="L41" s="76" t="n"/>
      <c r="M41" s="77" t="n"/>
      <c r="N41" s="39" t="inlineStr">
        <is>
          <t>Inactive</t>
        </is>
      </c>
      <c r="O41" s="39" t="n"/>
      <c r="P41" s="78" t="n"/>
      <c r="Q41" s="77" t="n"/>
      <c r="R41" s="77" t="n"/>
      <c r="S41" s="77" t="n"/>
      <c r="T41" s="39" t="n"/>
    </row>
    <row r="42" ht="62" customHeight="1">
      <c r="A42" s="45" t="inlineStr">
        <is>
          <t>COMING SOON</t>
        </is>
      </c>
      <c r="B42" s="39" t="inlineStr">
        <is>
          <t>B0H422P31J</t>
        </is>
      </c>
      <c r="C42" s="39" t="inlineStr">
        <is>
          <t>SL-SATIN-SHEET-6PC-FULL-STRIPED-PURPLE</t>
        </is>
      </c>
      <c r="D42" s="39" t="inlineStr">
        <is>
          <t>SLEEPHORIA Satin Bed Sheets - 6 Piece Luxury Silky Full Size Bedding Set - Softer Than Silk, Wrinkle-Free with 15” Deep Pocket Fitted Sheet, Perfect for Hair &amp; Skin, Gifts for Women (Striped Purple)</t>
        </is>
      </c>
      <c r="E42" s="39" t="inlineStr">
        <is>
          <t>Full</t>
        </is>
      </c>
      <c r="F42" s="39" t="inlineStr">
        <is>
          <t>Striped Purple</t>
        </is>
      </c>
      <c r="G42" s="40" t="n"/>
      <c r="H42" s="39" t="n"/>
      <c r="I42" s="40" t="n"/>
      <c r="J42" s="39" t="n"/>
      <c r="K42" s="40" t="n"/>
      <c r="L42" s="76" t="n"/>
      <c r="M42" s="77" t="n"/>
      <c r="N42" s="39" t="inlineStr">
        <is>
          <t>Inactive</t>
        </is>
      </c>
      <c r="O42" s="39" t="n"/>
      <c r="P42" s="78" t="n"/>
      <c r="Q42" s="77" t="n"/>
      <c r="R42" s="77" t="n"/>
      <c r="S42" s="77" t="n"/>
      <c r="T42" s="39" t="n"/>
    </row>
    <row r="43" ht="62" customHeight="1">
      <c r="A43" s="45" t="inlineStr">
        <is>
          <t>COMING SOON</t>
        </is>
      </c>
      <c r="B43" s="39" t="inlineStr">
        <is>
          <t>B0H421SRMF</t>
        </is>
      </c>
      <c r="C43" s="39" t="inlineStr">
        <is>
          <t>SL-SATIN-SHEET-6PC-FULL-STRIPED-RED</t>
        </is>
      </c>
      <c r="D43" s="39" t="inlineStr">
        <is>
          <t>SLEEPHORIA Satin Bed Sheets - 6 Piece Luxury Silky Full Size Bedding Set - Softer Than Silk, Wrinkle-Free with 15” Deep Pocket Fitted Sheet, Perfect for Hair &amp; Skin, Gifts for Women (Striped Red)</t>
        </is>
      </c>
      <c r="E43" s="39" t="inlineStr">
        <is>
          <t>Full</t>
        </is>
      </c>
      <c r="F43" s="39" t="inlineStr">
        <is>
          <t>Striped Red</t>
        </is>
      </c>
      <c r="G43" s="40" t="n"/>
      <c r="H43" s="39" t="n"/>
      <c r="I43" s="40" t="n"/>
      <c r="J43" s="39" t="n"/>
      <c r="K43" s="40" t="n"/>
      <c r="L43" s="76" t="n"/>
      <c r="M43" s="77" t="n"/>
      <c r="N43" s="39" t="inlineStr">
        <is>
          <t>Inactive</t>
        </is>
      </c>
      <c r="O43" s="39" t="n"/>
      <c r="P43" s="78" t="n"/>
      <c r="Q43" s="77" t="n"/>
      <c r="R43" s="77" t="n"/>
      <c r="S43" s="77" t="n"/>
      <c r="T43" s="39" t="n"/>
    </row>
    <row r="44" ht="62" customHeight="1">
      <c r="A44" s="45" t="inlineStr">
        <is>
          <t>COMING SOON</t>
        </is>
      </c>
      <c r="B44" s="39" t="inlineStr">
        <is>
          <t>B0H421B7X2</t>
        </is>
      </c>
      <c r="C44" s="39" t="inlineStr">
        <is>
          <t>SL-SATIN-SHEET-6PC-FULL-STRIPED-WHITE</t>
        </is>
      </c>
      <c r="D44" s="39" t="inlineStr">
        <is>
          <t>SLEEPHORIA Satin Bed Sheets - 6 Piece Luxury Silky Full Size Bedding Set - Softer Than Silk, Wrinkle-Free with 15” Deep Pocket Fitted Sheet, Perfect for Hair &amp; Skin, Gifts for Women (Striped White)</t>
        </is>
      </c>
      <c r="E44" s="39" t="inlineStr">
        <is>
          <t>Full</t>
        </is>
      </c>
      <c r="F44" s="39" t="inlineStr">
        <is>
          <t>Striped White</t>
        </is>
      </c>
      <c r="G44" s="40" t="n"/>
      <c r="H44" s="39" t="n"/>
      <c r="I44" s="40" t="n"/>
      <c r="J44" s="39" t="n"/>
      <c r="K44" s="40" t="n"/>
      <c r="L44" s="76" t="n"/>
      <c r="M44" s="77" t="n"/>
      <c r="N44" s="39" t="inlineStr">
        <is>
          <t>Inactive</t>
        </is>
      </c>
      <c r="O44" s="39" t="n"/>
      <c r="P44" s="78" t="n"/>
      <c r="Q44" s="77" t="n"/>
      <c r="R44" s="77" t="n"/>
      <c r="S44" s="77" t="n"/>
      <c r="T44" s="39" t="n"/>
    </row>
    <row r="45" ht="62" customHeight="1">
      <c r="A45" s="45" t="inlineStr">
        <is>
          <t>COMING SOON</t>
        </is>
      </c>
      <c r="B45" s="39" t="inlineStr">
        <is>
          <t>B0H41T8SC4</t>
        </is>
      </c>
      <c r="C45" s="39" t="inlineStr">
        <is>
          <t>SL-SATIN-SHEET-6PC-FULL-TAUPE</t>
        </is>
      </c>
      <c r="D45" s="39" t="inlineStr">
        <is>
          <t>SLEEPHORIA Satin Bed Sheets - 6 Piece Luxury Silky Full Size Bedding Set - Softer Than Silk, Wrinkle-Free with 15” Deep Pocket Fitted Sheet, Perfect for Hair &amp; Skin, Gifts for Women (Taupe)</t>
        </is>
      </c>
      <c r="E45" s="39" t="inlineStr">
        <is>
          <t>Full</t>
        </is>
      </c>
      <c r="F45" s="39" t="inlineStr">
        <is>
          <t>Taupe</t>
        </is>
      </c>
      <c r="G45" s="40" t="n"/>
      <c r="H45" s="39" t="n"/>
      <c r="I45" s="40" t="n"/>
      <c r="J45" s="39" t="n"/>
      <c r="K45" s="40" t="n"/>
      <c r="L45" s="76" t="n"/>
      <c r="M45" s="77" t="n"/>
      <c r="N45" s="39" t="inlineStr">
        <is>
          <t>Inactive</t>
        </is>
      </c>
      <c r="O45" s="39" t="n"/>
      <c r="P45" s="78" t="n"/>
      <c r="Q45" s="77" t="n"/>
      <c r="R45" s="77" t="n"/>
      <c r="S45" s="77" t="n"/>
      <c r="T45" s="39" t="n"/>
    </row>
    <row r="46" ht="62" customHeight="1">
      <c r="A46" s="45" t="inlineStr">
        <is>
          <t>COMING SOON</t>
        </is>
      </c>
      <c r="B46" s="39" t="inlineStr">
        <is>
          <t>B0H41YBRQ2</t>
        </is>
      </c>
      <c r="C46" s="39" t="inlineStr">
        <is>
          <t>SL-SATIN-SHEET-6PC-FULL-WHITE</t>
        </is>
      </c>
      <c r="D46" s="39" t="inlineStr">
        <is>
          <t>SLEEPHORIA Satin Bed Sheets - 6 Piece Luxury Silky Full Size Bedding Set - Softer Than Silk, Wrinkle-Free with 15” Deep Pocket Fitted Sheet, Perfect for Hair &amp; Skin, Gifts for Women (White)</t>
        </is>
      </c>
      <c r="E46" s="39" t="inlineStr">
        <is>
          <t>Full</t>
        </is>
      </c>
      <c r="F46" s="39" t="inlineStr">
        <is>
          <t>White</t>
        </is>
      </c>
      <c r="G46" s="40" t="n"/>
      <c r="H46" s="39" t="n"/>
      <c r="I46" s="40" t="n"/>
      <c r="J46" s="39" t="n"/>
      <c r="K46" s="40" t="n"/>
      <c r="L46" s="76" t="n"/>
      <c r="M46" s="77" t="n"/>
      <c r="N46" s="39" t="inlineStr">
        <is>
          <t>Inactive</t>
        </is>
      </c>
      <c r="O46" s="39" t="n"/>
      <c r="P46" s="78" t="n"/>
      <c r="Q46" s="77" t="n"/>
      <c r="R46" s="77" t="n"/>
      <c r="S46" s="77" t="n"/>
      <c r="T46" s="39" t="n"/>
    </row>
    <row r="47" ht="62" customHeight="1">
      <c r="A47" s="45" t="inlineStr">
        <is>
          <t>COMING SOON</t>
        </is>
      </c>
      <c r="B47" s="39" t="inlineStr">
        <is>
          <t>B0H41SHLY5</t>
        </is>
      </c>
      <c r="C47" s="39" t="inlineStr">
        <is>
          <t>SL-SATIN-SHEET-6PC-KING-BABY-BLUE</t>
        </is>
      </c>
      <c r="D47" s="39" t="inlineStr">
        <is>
          <t>SLEEPHORIA Satin Bed Sheets - 6 Piece Luxury Silky King Size Bedding Set - Softer Than Silk, Wrinkle-Free with 15” Deep Pocket Fitted Sheet, Perfect for Hair &amp; Skin, Gifts for Women (Baby Blue)</t>
        </is>
      </c>
      <c r="E47" s="39" t="inlineStr">
        <is>
          <t>King</t>
        </is>
      </c>
      <c r="F47" s="39" t="inlineStr">
        <is>
          <t>Baby Blue</t>
        </is>
      </c>
      <c r="G47" s="40" t="n"/>
      <c r="H47" s="39" t="n"/>
      <c r="I47" s="40" t="n"/>
      <c r="J47" s="39" t="n"/>
      <c r="K47" s="40" t="n"/>
      <c r="L47" s="76" t="n"/>
      <c r="M47" s="77" t="n"/>
      <c r="N47" s="39" t="inlineStr">
        <is>
          <t>Inactive</t>
        </is>
      </c>
      <c r="O47" s="39" t="n"/>
      <c r="P47" s="78" t="n"/>
      <c r="Q47" s="77" t="n"/>
      <c r="R47" s="77" t="n"/>
      <c r="S47" s="77" t="n"/>
      <c r="T47" s="39" t="n"/>
    </row>
    <row r="48" ht="62" customHeight="1">
      <c r="A48" s="45" t="inlineStr">
        <is>
          <t>COMING SOON</t>
        </is>
      </c>
      <c r="B48" s="39" t="inlineStr">
        <is>
          <t>B0H41XG2N5</t>
        </is>
      </c>
      <c r="C48" s="39" t="inlineStr">
        <is>
          <t>SL-SATIN-SHEET-6PC-KING-BLACK</t>
        </is>
      </c>
      <c r="D48" s="39" t="inlineStr">
        <is>
          <t>SLEEPHORIA Satin Bed Sheets - 6 Piece Luxury Silky King Size Bedding Set - Softer Than Silk, Wrinkle-Free with 15” Deep Pocket Fitted Sheet, Perfect for Hair &amp; Skin, Gifts for Women (Black)</t>
        </is>
      </c>
      <c r="E48" s="39" t="inlineStr">
        <is>
          <t>King</t>
        </is>
      </c>
      <c r="F48" s="39" t="inlineStr">
        <is>
          <t>Black</t>
        </is>
      </c>
      <c r="G48" s="40" t="n"/>
      <c r="H48" s="39" t="n"/>
      <c r="I48" s="40" t="n"/>
      <c r="J48" s="39" t="n"/>
      <c r="K48" s="40" t="n"/>
      <c r="L48" s="76" t="n"/>
      <c r="M48" s="77" t="n"/>
      <c r="N48" s="39" t="inlineStr">
        <is>
          <t>Inactive</t>
        </is>
      </c>
      <c r="O48" s="39" t="n"/>
      <c r="P48" s="78" t="n"/>
      <c r="Q48" s="77" t="n"/>
      <c r="R48" s="77" t="n"/>
      <c r="S48" s="77" t="n"/>
      <c r="T48" s="39" t="n"/>
    </row>
    <row r="49" ht="62" customHeight="1">
      <c r="A49" s="45" t="inlineStr">
        <is>
          <t>COMING SOON</t>
        </is>
      </c>
      <c r="B49" s="39" t="inlineStr">
        <is>
          <t>B0H41R9P5W</t>
        </is>
      </c>
      <c r="C49" s="39" t="inlineStr">
        <is>
          <t>SL-SATIN-SHEET-6PC-KING-BLUE</t>
        </is>
      </c>
      <c r="D49" s="39" t="inlineStr">
        <is>
          <t>SLEEPHORIA Satin Bed Sheets - 6 Piece Luxury Silky King Size Bedding Set - Softer Than Silk, Wrinkle-Free with 15” Deep Pocket Fitted Sheet, Perfect for Hair &amp; Skin, Gifts for Women (Blue)</t>
        </is>
      </c>
      <c r="E49" s="39" t="inlineStr">
        <is>
          <t>King</t>
        </is>
      </c>
      <c r="F49" s="39" t="inlineStr">
        <is>
          <t>Blue</t>
        </is>
      </c>
      <c r="G49" s="40" t="n"/>
      <c r="H49" s="39" t="n"/>
      <c r="I49" s="40" t="n"/>
      <c r="J49" s="39" t="n"/>
      <c r="K49" s="40" t="n"/>
      <c r="L49" s="76" t="n"/>
      <c r="M49" s="77" t="n"/>
      <c r="N49" s="39" t="inlineStr">
        <is>
          <t>Inactive</t>
        </is>
      </c>
      <c r="O49" s="39" t="n"/>
      <c r="P49" s="78" t="n"/>
      <c r="Q49" s="77" t="n"/>
      <c r="R49" s="77" t="n"/>
      <c r="S49" s="77" t="n"/>
      <c r="T49" s="39" t="n"/>
    </row>
    <row r="50" ht="62" customHeight="1">
      <c r="A50" s="45" t="inlineStr">
        <is>
          <t>COMING SOON</t>
        </is>
      </c>
      <c r="B50" s="39" t="inlineStr">
        <is>
          <t>B0H41Z9342</t>
        </is>
      </c>
      <c r="C50" s="39" t="inlineStr">
        <is>
          <t>SL-SATIN-SHEET-6PC-KING-BLUSH-PINK</t>
        </is>
      </c>
      <c r="D50" s="39" t="inlineStr">
        <is>
          <t>SLEEPHORIA Satin Bed Sheets - 6 Piece Luxury Silky King Size Bedding Set - Softer Than Silk, Wrinkle-Free with 15” Deep Pocket Fitted Sheet, Perfect for Hair &amp; Skin, Gifts for Women (Blush Pink)</t>
        </is>
      </c>
      <c r="E50" s="39" t="inlineStr">
        <is>
          <t>King</t>
        </is>
      </c>
      <c r="F50" s="39" t="inlineStr">
        <is>
          <t>Blush Pink</t>
        </is>
      </c>
      <c r="G50" s="40" t="n"/>
      <c r="H50" s="39" t="n"/>
      <c r="I50" s="40" t="n"/>
      <c r="J50" s="39" t="n"/>
      <c r="K50" s="40" t="n"/>
      <c r="L50" s="76" t="n"/>
      <c r="M50" s="77" t="n"/>
      <c r="N50" s="39" t="inlineStr">
        <is>
          <t>Inactive</t>
        </is>
      </c>
      <c r="O50" s="39" t="n"/>
      <c r="P50" s="78" t="n"/>
      <c r="Q50" s="77" t="n"/>
      <c r="R50" s="77" t="n"/>
      <c r="S50" s="77" t="n"/>
      <c r="T50" s="39" t="n"/>
    </row>
    <row r="51" ht="62" customHeight="1">
      <c r="A51" s="45" t="inlineStr">
        <is>
          <t>COMING SOON</t>
        </is>
      </c>
      <c r="B51" s="39" t="inlineStr">
        <is>
          <t>B0H41R9F6N</t>
        </is>
      </c>
      <c r="C51" s="39" t="inlineStr">
        <is>
          <t>SL-SATIN-SHEET-6PC-KING-BURNT-ORANGE</t>
        </is>
      </c>
      <c r="D51" s="39" t="inlineStr">
        <is>
          <t>SLEEPHORIA Satin Bed Sheets - 6 Piece Luxury Silky King Size Bedding Set - Softer Than Silk, Wrinkle-Free with 15” Deep Pocket Fitted Sheet, Perfect for Hair &amp; Skin, Gifts for Women (Burnt Orange)</t>
        </is>
      </c>
      <c r="E51" s="39" t="inlineStr">
        <is>
          <t>King</t>
        </is>
      </c>
      <c r="F51" s="39" t="inlineStr">
        <is>
          <t>Burnt Orange</t>
        </is>
      </c>
      <c r="G51" s="40" t="n"/>
      <c r="H51" s="39" t="n"/>
      <c r="I51" s="40" t="n"/>
      <c r="J51" s="39" t="n"/>
      <c r="K51" s="40" t="n"/>
      <c r="L51" s="76" t="n"/>
      <c r="M51" s="77" t="n"/>
      <c r="N51" s="39" t="inlineStr">
        <is>
          <t>Inactive</t>
        </is>
      </c>
      <c r="O51" s="39" t="n"/>
      <c r="P51" s="78" t="n"/>
      <c r="Q51" s="77" t="n"/>
      <c r="R51" s="77" t="n"/>
      <c r="S51" s="77" t="n"/>
      <c r="T51" s="39" t="n"/>
    </row>
    <row r="52" ht="62" customHeight="1">
      <c r="A52" s="45" t="inlineStr">
        <is>
          <t>COMING SOON</t>
        </is>
      </c>
      <c r="B52" s="39" t="inlineStr">
        <is>
          <t>B0H41T3YS9</t>
        </is>
      </c>
      <c r="C52" s="39" t="inlineStr">
        <is>
          <t>SL-SATIN-SHEET-6PC-KING-CHAMPAGNE</t>
        </is>
      </c>
      <c r="D52" s="39" t="inlineStr">
        <is>
          <t>SLEEPHORIA Satin Bed Sheets - 6 Piece Luxury Silky King Size Bedding Set - Softer Than Silk, Wrinkle-Free with 15” Deep Pocket Fitted Sheet, Perfect for Hair &amp; Skin, Gifts for Women (Champagne)</t>
        </is>
      </c>
      <c r="E52" s="39" t="inlineStr">
        <is>
          <t>King</t>
        </is>
      </c>
      <c r="F52" s="39" t="inlineStr">
        <is>
          <t>Champagne</t>
        </is>
      </c>
      <c r="G52" s="40" t="n"/>
      <c r="H52" s="39" t="n"/>
      <c r="I52" s="40" t="n"/>
      <c r="J52" s="39" t="n"/>
      <c r="K52" s="40" t="n"/>
      <c r="L52" s="76" t="n"/>
      <c r="M52" s="77" t="n"/>
      <c r="N52" s="39" t="inlineStr">
        <is>
          <t>Inactive</t>
        </is>
      </c>
      <c r="O52" s="39" t="n"/>
      <c r="P52" s="78" t="n"/>
      <c r="Q52" s="77" t="n"/>
      <c r="R52" s="77" t="n"/>
      <c r="S52" s="77" t="n"/>
      <c r="T52" s="39" t="n"/>
    </row>
    <row r="53" ht="62" customHeight="1">
      <c r="A53" s="45" t="inlineStr">
        <is>
          <t>COMING SOON</t>
        </is>
      </c>
      <c r="B53" s="39" t="inlineStr">
        <is>
          <t>B0H41TBK5Q</t>
        </is>
      </c>
      <c r="C53" s="39" t="inlineStr">
        <is>
          <t>SL-SATIN-SHEET-6PC-KING-DARK-GREEN</t>
        </is>
      </c>
      <c r="D53" s="39" t="inlineStr">
        <is>
          <t>SLEEPHORIA Satin Bed Sheets - 6 Piece Luxury Silky King Size Bedding Set - Softer Than Silk, Wrinkle-Free with 15” Deep Pocket Fitted Sheet, Perfect for Hair &amp; Skin, Gifts for Women (Dark Green)</t>
        </is>
      </c>
      <c r="E53" s="39" t="inlineStr">
        <is>
          <t>King</t>
        </is>
      </c>
      <c r="F53" s="39" t="inlineStr">
        <is>
          <t>Dark Green</t>
        </is>
      </c>
      <c r="G53" s="40" t="n"/>
      <c r="H53" s="39" t="n"/>
      <c r="I53" s="40" t="n"/>
      <c r="J53" s="39" t="n"/>
      <c r="K53" s="40" t="n"/>
      <c r="L53" s="76" t="n"/>
      <c r="M53" s="77" t="n"/>
      <c r="N53" s="39" t="inlineStr">
        <is>
          <t>Inactive</t>
        </is>
      </c>
      <c r="O53" s="39" t="n"/>
      <c r="P53" s="78" t="n"/>
      <c r="Q53" s="77" t="n"/>
      <c r="R53" s="77" t="n"/>
      <c r="S53" s="77" t="n"/>
      <c r="T53" s="39" t="n"/>
    </row>
    <row r="54" ht="62" customHeight="1">
      <c r="A54" s="45" t="inlineStr">
        <is>
          <t>COMING SOON</t>
        </is>
      </c>
      <c r="B54" s="39" t="inlineStr">
        <is>
          <t>B0H425WR7Y</t>
        </is>
      </c>
      <c r="C54" s="39" t="inlineStr">
        <is>
          <t>SL-SATIN-SHEET-6PC-KING-GOLD</t>
        </is>
      </c>
      <c r="D54" s="39" t="inlineStr">
        <is>
          <t>SLEEPHORIA Satin Bed Sheets - 6 Piece Luxury Silky King Size Bedding Set - Softer Than Silk, Wrinkle-Free with 15” Deep Pocket Fitted Sheet, Perfect for Hair &amp; Skin, Gifts for Women (Gold)</t>
        </is>
      </c>
      <c r="E54" s="39" t="inlineStr">
        <is>
          <t>King</t>
        </is>
      </c>
      <c r="F54" s="39" t="inlineStr">
        <is>
          <t>Gold</t>
        </is>
      </c>
      <c r="G54" s="40" t="n"/>
      <c r="H54" s="39" t="n"/>
      <c r="I54" s="40" t="n"/>
      <c r="J54" s="39" t="n"/>
      <c r="K54" s="40" t="n"/>
      <c r="L54" s="76" t="n"/>
      <c r="M54" s="77" t="n"/>
      <c r="N54" s="39" t="inlineStr">
        <is>
          <t>Inactive</t>
        </is>
      </c>
      <c r="O54" s="39" t="n"/>
      <c r="P54" s="78" t="n"/>
      <c r="Q54" s="77" t="n"/>
      <c r="R54" s="77" t="n"/>
      <c r="S54" s="77" t="n"/>
      <c r="T54" s="39" t="n"/>
    </row>
    <row r="55" ht="62" customHeight="1">
      <c r="A55" s="45" t="inlineStr">
        <is>
          <t>COMING SOON</t>
        </is>
      </c>
      <c r="B55" s="39" t="inlineStr">
        <is>
          <t>B0H41W5KZ6</t>
        </is>
      </c>
      <c r="C55" s="39" t="inlineStr">
        <is>
          <t>SL-SATIN-SHEET-6PC-KING-GREY</t>
        </is>
      </c>
      <c r="D55" s="39" t="inlineStr">
        <is>
          <t>SLEEPHORIA Satin Bed Sheets - 6 Piece Luxury Silky King Size Bedding Set - Softer Than Silk, Wrinkle-Free with 15” Deep Pocket Fitted Sheet, Perfect for Hair &amp; Skin, Gifts for Women (Grey)</t>
        </is>
      </c>
      <c r="E55" s="39" t="inlineStr">
        <is>
          <t>King</t>
        </is>
      </c>
      <c r="F55" s="39" t="inlineStr">
        <is>
          <t>Grey</t>
        </is>
      </c>
      <c r="G55" s="40" t="n"/>
      <c r="H55" s="39" t="n"/>
      <c r="I55" s="40" t="n"/>
      <c r="J55" s="39" t="n"/>
      <c r="K55" s="40" t="n"/>
      <c r="L55" s="76" t="n"/>
      <c r="M55" s="77" t="n"/>
      <c r="N55" s="39" t="inlineStr">
        <is>
          <t>Inactive</t>
        </is>
      </c>
      <c r="O55" s="39" t="n"/>
      <c r="P55" s="78" t="n"/>
      <c r="Q55" s="77" t="n"/>
      <c r="R55" s="77" t="n"/>
      <c r="S55" s="77" t="n"/>
      <c r="T55" s="39" t="n"/>
    </row>
    <row r="56" ht="62" customHeight="1">
      <c r="A56" s="45" t="inlineStr">
        <is>
          <t>COMING SOON</t>
        </is>
      </c>
      <c r="B56" s="39" t="inlineStr">
        <is>
          <t>B0H4256F2F</t>
        </is>
      </c>
      <c r="C56" s="39" t="inlineStr">
        <is>
          <t>SL-SATIN-SHEET-6PC-KING-IVORY</t>
        </is>
      </c>
      <c r="D56" s="39" t="inlineStr">
        <is>
          <t>SLEEPHORIA Satin Bed Sheets - 6 Piece Luxury Silky King Size Bedding Set - Softer Than Silk, Wrinkle-Free with 15” Deep Pocket Fitted Sheet, Perfect for Hair &amp; Skin, Gifts for Women (Ivory)</t>
        </is>
      </c>
      <c r="E56" s="39" t="inlineStr">
        <is>
          <t>King</t>
        </is>
      </c>
      <c r="F56" s="39" t="inlineStr">
        <is>
          <t>Ivory</t>
        </is>
      </c>
      <c r="G56" s="40" t="n"/>
      <c r="H56" s="39" t="n"/>
      <c r="I56" s="40" t="n"/>
      <c r="J56" s="39" t="n"/>
      <c r="K56" s="40" t="n"/>
      <c r="L56" s="76" t="n"/>
      <c r="M56" s="77" t="n"/>
      <c r="N56" s="39" t="inlineStr">
        <is>
          <t>Inactive</t>
        </is>
      </c>
      <c r="O56" s="39" t="n"/>
      <c r="P56" s="78" t="n"/>
      <c r="Q56" s="77" t="n"/>
      <c r="R56" s="77" t="n"/>
      <c r="S56" s="77" t="n"/>
      <c r="T56" s="39" t="n"/>
    </row>
    <row r="57" ht="62" customHeight="1">
      <c r="A57" s="45" t="inlineStr">
        <is>
          <t>COMING SOON</t>
        </is>
      </c>
      <c r="B57" s="39" t="inlineStr">
        <is>
          <t>B0H41XKYHG</t>
        </is>
      </c>
      <c r="C57" s="39" t="inlineStr">
        <is>
          <t>SL-SATIN-SHEET-6PC-KING-LAVENDER</t>
        </is>
      </c>
      <c r="D57" s="39" t="inlineStr">
        <is>
          <t>SLEEPHORIA Satin Bed Sheets - 6 Piece Luxury Silky King Size Bedding Set - Softer Than Silk, Wrinkle-Free with 15” Deep Pocket Fitted Sheet, Perfect for Hair &amp; Skin, Gifts for Women (Lavender)</t>
        </is>
      </c>
      <c r="E57" s="39" t="inlineStr">
        <is>
          <t>King</t>
        </is>
      </c>
      <c r="F57" s="39" t="inlineStr">
        <is>
          <t>Lavender</t>
        </is>
      </c>
      <c r="G57" s="40" t="n"/>
      <c r="H57" s="39" t="n"/>
      <c r="I57" s="40" t="n"/>
      <c r="J57" s="39" t="n"/>
      <c r="K57" s="40" t="n"/>
      <c r="L57" s="76" t="n"/>
      <c r="M57" s="77" t="n"/>
      <c r="N57" s="39" t="inlineStr">
        <is>
          <t>Inactive</t>
        </is>
      </c>
      <c r="O57" s="39" t="n"/>
      <c r="P57" s="78" t="n"/>
      <c r="Q57" s="77" t="n"/>
      <c r="R57" s="77" t="n"/>
      <c r="S57" s="77" t="n"/>
      <c r="T57" s="39" t="n"/>
    </row>
    <row r="58" ht="62" customHeight="1">
      <c r="A58" s="45" t="inlineStr">
        <is>
          <t>COMING SOON</t>
        </is>
      </c>
      <c r="B58" s="39" t="inlineStr">
        <is>
          <t>B0H425FHPZ</t>
        </is>
      </c>
      <c r="C58" s="39" t="inlineStr">
        <is>
          <t>SL-SATIN-SHEET-6PC-KING-NAVY-BLUE</t>
        </is>
      </c>
      <c r="D58" s="39" t="inlineStr">
        <is>
          <t>SLEEPHORIA Satin Bed Sheets - 6 Piece Luxury Silky King Size Bedding Set - Softer Than Silk, Wrinkle-Free with 15” Deep Pocket Fitted Sheet, Perfect for Hair &amp; Skin, Gifts for Women (Navy Blue)</t>
        </is>
      </c>
      <c r="E58" s="39" t="inlineStr">
        <is>
          <t>King</t>
        </is>
      </c>
      <c r="F58" s="39" t="inlineStr">
        <is>
          <t>Navy Blue</t>
        </is>
      </c>
      <c r="G58" s="40" t="n"/>
      <c r="H58" s="39" t="n"/>
      <c r="I58" s="40" t="n"/>
      <c r="J58" s="39" t="n"/>
      <c r="K58" s="40" t="n"/>
      <c r="L58" s="76" t="n"/>
      <c r="M58" s="77" t="n"/>
      <c r="N58" s="39" t="inlineStr">
        <is>
          <t>Inactive</t>
        </is>
      </c>
      <c r="O58" s="39" t="n"/>
      <c r="P58" s="78" t="n"/>
      <c r="Q58" s="77" t="n"/>
      <c r="R58" s="77" t="n"/>
      <c r="S58" s="77" t="n"/>
      <c r="T58" s="39" t="n"/>
    </row>
    <row r="59" ht="62" customHeight="1">
      <c r="A59" s="45" t="inlineStr">
        <is>
          <t>COMING SOON</t>
        </is>
      </c>
      <c r="B59" s="39" t="inlineStr">
        <is>
          <t>B0H42184QW</t>
        </is>
      </c>
      <c r="C59" s="39" t="inlineStr">
        <is>
          <t>SL-SATIN-SHEET-6PC-KING-PINK</t>
        </is>
      </c>
      <c r="D59" s="39" t="inlineStr">
        <is>
          <t>SLEEPHORIA Satin Bed Sheets - 6 Piece Luxury Silky King Size Bedding Set - Softer Than Silk, Wrinkle-Free with 15” Deep Pocket Fitted Sheet, Perfect for Hair &amp; Skin, Gifts for Women (Pink)</t>
        </is>
      </c>
      <c r="E59" s="39" t="inlineStr">
        <is>
          <t>King</t>
        </is>
      </c>
      <c r="F59" s="39" t="inlineStr">
        <is>
          <t>Pink</t>
        </is>
      </c>
      <c r="G59" s="40" t="n"/>
      <c r="H59" s="39" t="n"/>
      <c r="I59" s="40" t="n"/>
      <c r="J59" s="39" t="n"/>
      <c r="K59" s="40" t="n"/>
      <c r="L59" s="76" t="n"/>
      <c r="M59" s="77" t="n"/>
      <c r="N59" s="39" t="inlineStr">
        <is>
          <t>Inactive</t>
        </is>
      </c>
      <c r="O59" s="39" t="n"/>
      <c r="P59" s="78" t="n"/>
      <c r="Q59" s="77" t="n"/>
      <c r="R59" s="77" t="n"/>
      <c r="S59" s="77" t="n"/>
      <c r="T59" s="39" t="n"/>
    </row>
    <row r="60" ht="62" customHeight="1">
      <c r="A60" s="45" t="inlineStr">
        <is>
          <t>COMING SOON</t>
        </is>
      </c>
      <c r="B60" s="39" t="inlineStr">
        <is>
          <t>B0H424984N</t>
        </is>
      </c>
      <c r="C60" s="39" t="inlineStr">
        <is>
          <t>SL-SATIN-SHEET-6PC-KING-PURPLE</t>
        </is>
      </c>
      <c r="D60" s="39" t="inlineStr">
        <is>
          <t>SLEEPHORIA Satin Bed Sheets - 6 Piece Luxury Silky King Size Bedding Set - Softer Than Silk, Wrinkle-Free with 15” Deep Pocket Fitted Sheet, Perfect for Hair &amp; Skin, Gifts for Women (Purple)</t>
        </is>
      </c>
      <c r="E60" s="39" t="inlineStr">
        <is>
          <t>King</t>
        </is>
      </c>
      <c r="F60" s="39" t="inlineStr">
        <is>
          <t>Purple</t>
        </is>
      </c>
      <c r="G60" s="40" t="n"/>
      <c r="H60" s="39" t="n"/>
      <c r="I60" s="40" t="n"/>
      <c r="J60" s="39" t="n"/>
      <c r="K60" s="40" t="n"/>
      <c r="L60" s="76" t="n"/>
      <c r="M60" s="77" t="n"/>
      <c r="N60" s="39" t="inlineStr">
        <is>
          <t>Inactive</t>
        </is>
      </c>
      <c r="O60" s="39" t="n"/>
      <c r="P60" s="78" t="n"/>
      <c r="Q60" s="77" t="n"/>
      <c r="R60" s="77" t="n"/>
      <c r="S60" s="77" t="n"/>
      <c r="T60" s="39" t="n"/>
    </row>
    <row r="61" ht="62" customHeight="1">
      <c r="A61" s="45" t="inlineStr">
        <is>
          <t>COMING SOON</t>
        </is>
      </c>
      <c r="B61" s="39" t="inlineStr">
        <is>
          <t>B0H41XLCJG</t>
        </is>
      </c>
      <c r="C61" s="39" t="inlineStr">
        <is>
          <t>SL-SATIN-SHEET-6PC-KING-RED</t>
        </is>
      </c>
      <c r="D61" s="39" t="inlineStr">
        <is>
          <t>SLEEPHORIA Satin Bed Sheets - 6 Piece Luxury Silky King Size Bedding Set - Softer Than Silk, Wrinkle-Free with 15” Deep Pocket Fitted Sheet, Perfect for Hair &amp; Skin, Gifts for Women (Red)</t>
        </is>
      </c>
      <c r="E61" s="39" t="inlineStr">
        <is>
          <t>King</t>
        </is>
      </c>
      <c r="F61" s="39" t="inlineStr">
        <is>
          <t>Red</t>
        </is>
      </c>
      <c r="G61" s="40" t="n"/>
      <c r="H61" s="39" t="n"/>
      <c r="I61" s="40" t="n"/>
      <c r="J61" s="39" t="n"/>
      <c r="K61" s="40" t="n"/>
      <c r="L61" s="76" t="n"/>
      <c r="M61" s="77" t="n"/>
      <c r="N61" s="39" t="inlineStr">
        <is>
          <t>Inactive</t>
        </is>
      </c>
      <c r="O61" s="39" t="n"/>
      <c r="P61" s="78" t="n"/>
      <c r="Q61" s="77" t="n"/>
      <c r="R61" s="77" t="n"/>
      <c r="S61" s="77" t="n"/>
      <c r="T61" s="39" t="n"/>
    </row>
    <row r="62" ht="62" customHeight="1">
      <c r="A62" s="45" t="inlineStr">
        <is>
          <t>COMING SOON</t>
        </is>
      </c>
      <c r="B62" s="39" t="inlineStr">
        <is>
          <t>B0H41TPRRS</t>
        </is>
      </c>
      <c r="C62" s="39" t="inlineStr">
        <is>
          <t>SL-SATIN-SHEET-6PC-KING-ROSEWOOD</t>
        </is>
      </c>
      <c r="D62" s="39" t="inlineStr">
        <is>
          <t>SLEEPHORIA Satin Bed Sheets - 6 Piece Luxury Silky King Size Bedding Set - Softer Than Silk, Wrinkle-Free with 15” Deep Pocket Fitted Sheet, Perfect for Hair &amp; Skin, Gifts for Women (Rosewood)</t>
        </is>
      </c>
      <c r="E62" s="39" t="inlineStr">
        <is>
          <t>King</t>
        </is>
      </c>
      <c r="F62" s="39" t="inlineStr">
        <is>
          <t>Rosewood</t>
        </is>
      </c>
      <c r="G62" s="40" t="n"/>
      <c r="H62" s="39" t="n"/>
      <c r="I62" s="40" t="n"/>
      <c r="J62" s="39" t="n"/>
      <c r="K62" s="40" t="n"/>
      <c r="L62" s="76" t="n"/>
      <c r="M62" s="77" t="n"/>
      <c r="N62" s="39" t="inlineStr">
        <is>
          <t>Inactive</t>
        </is>
      </c>
      <c r="O62" s="39" t="n"/>
      <c r="P62" s="78" t="n"/>
      <c r="Q62" s="77" t="n"/>
      <c r="R62" s="77" t="n"/>
      <c r="S62" s="77" t="n"/>
      <c r="T62" s="39" t="n"/>
    </row>
    <row r="63" ht="62" customHeight="1">
      <c r="A63" s="45" t="inlineStr">
        <is>
          <t>COMING SOON</t>
        </is>
      </c>
      <c r="B63" s="39" t="inlineStr">
        <is>
          <t>B0H41ZM5XT</t>
        </is>
      </c>
      <c r="C63" s="39" t="inlineStr">
        <is>
          <t>SL-SATIN-SHEET-6PC-KING-SAGE-GREEN</t>
        </is>
      </c>
      <c r="D63" s="39" t="inlineStr">
        <is>
          <t>SLEEPHORIA Satin Bed Sheets - 6 Piece Luxury Silky King Size Bedding Set - Softer Than Silk, Wrinkle-Free with 15” Deep Pocket Fitted Sheet, Perfect for Hair &amp; Skin, Gifts for Women (Sage Green)</t>
        </is>
      </c>
      <c r="E63" s="39" t="inlineStr">
        <is>
          <t>King</t>
        </is>
      </c>
      <c r="F63" s="39" t="inlineStr">
        <is>
          <t>Sage Green</t>
        </is>
      </c>
      <c r="G63" s="40" t="n"/>
      <c r="H63" s="39" t="n"/>
      <c r="I63" s="40" t="n"/>
      <c r="J63" s="39" t="n"/>
      <c r="K63" s="40" t="n"/>
      <c r="L63" s="76" t="n"/>
      <c r="M63" s="77" t="n"/>
      <c r="N63" s="39" t="inlineStr">
        <is>
          <t>Inactive</t>
        </is>
      </c>
      <c r="O63" s="39" t="n"/>
      <c r="P63" s="78" t="n"/>
      <c r="Q63" s="77" t="n"/>
      <c r="R63" s="77" t="n"/>
      <c r="S63" s="77" t="n"/>
      <c r="T63" s="39" t="n"/>
    </row>
    <row r="64" ht="62" customHeight="1">
      <c r="A64" s="45" t="inlineStr">
        <is>
          <t>COMING SOON</t>
        </is>
      </c>
      <c r="B64" s="39" t="inlineStr">
        <is>
          <t>B0H41WXCJN</t>
        </is>
      </c>
      <c r="C64" s="39" t="inlineStr">
        <is>
          <t>SL-SATIN-SHEET-6PC-KING-SEA-TEAL</t>
        </is>
      </c>
      <c r="D64" s="39" t="inlineStr">
        <is>
          <t>SLEEPHORIA Satin Bed Sheets - 6 Piece Luxury Silky King Size Bedding Set - Softer Than Silk, Wrinkle-Free with 15” Deep Pocket Fitted Sheet, Perfect for Hair &amp; Skin, Gifts for Women (Sea Teal)</t>
        </is>
      </c>
      <c r="E64" s="39" t="inlineStr">
        <is>
          <t>King</t>
        </is>
      </c>
      <c r="F64" s="39" t="inlineStr">
        <is>
          <t>Sea Teal</t>
        </is>
      </c>
      <c r="G64" s="40" t="n"/>
      <c r="H64" s="39" t="n"/>
      <c r="I64" s="40" t="n"/>
      <c r="J64" s="39" t="n"/>
      <c r="K64" s="40" t="n"/>
      <c r="L64" s="76" t="n"/>
      <c r="M64" s="77" t="n"/>
      <c r="N64" s="39" t="inlineStr">
        <is>
          <t>Inactive</t>
        </is>
      </c>
      <c r="O64" s="39" t="n"/>
      <c r="P64" s="78" t="n"/>
      <c r="Q64" s="77" t="n"/>
      <c r="R64" s="77" t="n"/>
      <c r="S64" s="77" t="n"/>
      <c r="T64" s="39" t="n"/>
    </row>
    <row r="65" ht="62" customHeight="1">
      <c r="A65" s="45" t="inlineStr">
        <is>
          <t>COMING SOON</t>
        </is>
      </c>
      <c r="B65" s="39" t="inlineStr">
        <is>
          <t>B0H41WBR7K</t>
        </is>
      </c>
      <c r="C65" s="39" t="inlineStr">
        <is>
          <t>SL-SATIN-SHEET-6PC-KING-STONE-GREY</t>
        </is>
      </c>
      <c r="D65" s="39" t="inlineStr">
        <is>
          <t>SLEEPHORIA Satin Bed Sheets - 6 Piece Luxury Silky King Size Bedding Set - Softer Than Silk, Wrinkle-Free with 15” Deep Pocket Fitted Sheet, Perfect for Hair &amp; Skin, Gifts for Women (Stone Grey)</t>
        </is>
      </c>
      <c r="E65" s="39" t="inlineStr">
        <is>
          <t>King</t>
        </is>
      </c>
      <c r="F65" s="39" t="inlineStr">
        <is>
          <t>Stone Grey</t>
        </is>
      </c>
      <c r="G65" s="40" t="n"/>
      <c r="H65" s="39" t="n"/>
      <c r="I65" s="40" t="n"/>
      <c r="J65" s="39" t="n"/>
      <c r="K65" s="40" t="n"/>
      <c r="L65" s="76" t="n"/>
      <c r="M65" s="77" t="n"/>
      <c r="N65" s="39" t="inlineStr">
        <is>
          <t>Inactive</t>
        </is>
      </c>
      <c r="O65" s="39" t="n"/>
      <c r="P65" s="78" t="n"/>
      <c r="Q65" s="77" t="n"/>
      <c r="R65" s="77" t="n"/>
      <c r="S65" s="77" t="n"/>
      <c r="T65" s="39" t="n"/>
    </row>
    <row r="66" ht="62" customHeight="1">
      <c r="A66" s="45" t="inlineStr">
        <is>
          <t>COMING SOON</t>
        </is>
      </c>
      <c r="B66" s="39" t="inlineStr">
        <is>
          <t>B0H41TW1Q7</t>
        </is>
      </c>
      <c r="C66" s="39" t="inlineStr">
        <is>
          <t>SL-SATIN-SHEET-6PC-KING-STRIPED-BLACK</t>
        </is>
      </c>
      <c r="D66" s="39" t="inlineStr">
        <is>
          <t>SLEEPHORIA Satin Bed Sheets - 6 Piece Luxury Silky King Size Bedding Set - Softer Than Silk, Wrinkle-Free with 15” Deep Pocket Fitted Sheet, Perfect for Hair &amp; Skin, Gifts for Women (Striped Black)</t>
        </is>
      </c>
      <c r="E66" s="39" t="inlineStr">
        <is>
          <t>King</t>
        </is>
      </c>
      <c r="F66" s="39" t="inlineStr">
        <is>
          <t>Striped Black</t>
        </is>
      </c>
      <c r="G66" s="40" t="n"/>
      <c r="H66" s="39" t="n"/>
      <c r="I66" s="40" t="n"/>
      <c r="J66" s="39" t="n"/>
      <c r="K66" s="40" t="n"/>
      <c r="L66" s="76" t="n"/>
      <c r="M66" s="77" t="n"/>
      <c r="N66" s="39" t="inlineStr">
        <is>
          <t>Inactive</t>
        </is>
      </c>
      <c r="O66" s="39" t="n"/>
      <c r="P66" s="78" t="n"/>
      <c r="Q66" s="77" t="n"/>
      <c r="R66" s="77" t="n"/>
      <c r="S66" s="77" t="n"/>
      <c r="T66" s="39" t="n"/>
    </row>
    <row r="67" ht="62" customHeight="1">
      <c r="A67" s="45" t="inlineStr">
        <is>
          <t>COMING SOON</t>
        </is>
      </c>
      <c r="B67" s="39" t="inlineStr">
        <is>
          <t>B0H41W9TM5</t>
        </is>
      </c>
      <c r="C67" s="39" t="inlineStr">
        <is>
          <t>SL-SATIN-SHEET-6PC-KING-STRIPED-BLUE</t>
        </is>
      </c>
      <c r="D67" s="39" t="inlineStr">
        <is>
          <t>SLEEPHORIA Satin Bed Sheets - 6 Piece Luxury Silky King Size Bedding Set - Softer Than Silk, Wrinkle-Free with 15” Deep Pocket Fitted Sheet, Perfect for Hair &amp; Skin, Gifts for Women (Striped Blue)</t>
        </is>
      </c>
      <c r="E67" s="39" t="inlineStr">
        <is>
          <t>King</t>
        </is>
      </c>
      <c r="F67" s="39" t="inlineStr">
        <is>
          <t>Striped Blue</t>
        </is>
      </c>
      <c r="G67" s="40" t="n"/>
      <c r="H67" s="39" t="n"/>
      <c r="I67" s="40" t="n"/>
      <c r="J67" s="39" t="n"/>
      <c r="K67" s="40" t="n"/>
      <c r="L67" s="76" t="n"/>
      <c r="M67" s="77" t="n"/>
      <c r="N67" s="39" t="inlineStr">
        <is>
          <t>Inactive</t>
        </is>
      </c>
      <c r="O67" s="39" t="n"/>
      <c r="P67" s="78" t="n"/>
      <c r="Q67" s="77" t="n"/>
      <c r="R67" s="77" t="n"/>
      <c r="S67" s="77" t="n"/>
      <c r="T67" s="39" t="n"/>
    </row>
    <row r="68" ht="62" customHeight="1">
      <c r="A68" s="45" t="inlineStr">
        <is>
          <t>COMING SOON</t>
        </is>
      </c>
      <c r="B68" s="39" t="inlineStr">
        <is>
          <t>B0H427RH7F</t>
        </is>
      </c>
      <c r="C68" s="39" t="inlineStr">
        <is>
          <t>SL-SATIN-SHEET-6PC-KING-STRIPED-GOLD</t>
        </is>
      </c>
      <c r="D68" s="39" t="inlineStr">
        <is>
          <t>SLEEPHORIA Satin Bed Sheets - 6 Piece Luxury Silky King Size Bedding Set - Softer Than Silk, Wrinkle-Free with 15” Deep Pocket Fitted Sheet, Perfect for Hair &amp; Skin, Gifts for Women (Striped Gold)</t>
        </is>
      </c>
      <c r="E68" s="39" t="inlineStr">
        <is>
          <t>King</t>
        </is>
      </c>
      <c r="F68" s="39" t="inlineStr">
        <is>
          <t>Striped Gold</t>
        </is>
      </c>
      <c r="G68" s="40" t="n"/>
      <c r="H68" s="39" t="n"/>
      <c r="I68" s="40" t="n"/>
      <c r="J68" s="39" t="n"/>
      <c r="K68" s="40" t="n"/>
      <c r="L68" s="76" t="n"/>
      <c r="M68" s="77" t="n"/>
      <c r="N68" s="39" t="inlineStr">
        <is>
          <t>Inactive</t>
        </is>
      </c>
      <c r="O68" s="39" t="n"/>
      <c r="P68" s="78" t="n"/>
      <c r="Q68" s="77" t="n"/>
      <c r="R68" s="77" t="n"/>
      <c r="S68" s="77" t="n"/>
      <c r="T68" s="39" t="n"/>
    </row>
    <row r="69" ht="62" customHeight="1">
      <c r="A69" s="45" t="inlineStr">
        <is>
          <t>COMING SOON</t>
        </is>
      </c>
      <c r="B69" s="39" t="inlineStr">
        <is>
          <t>B0H4247F39</t>
        </is>
      </c>
      <c r="C69" s="39" t="inlineStr">
        <is>
          <t>SL-SATIN-SHEET-6PC-KING-STRIPED-GREY</t>
        </is>
      </c>
      <c r="D69" s="39" t="inlineStr">
        <is>
          <t>SLEEPHORIA Satin Bed Sheets - 6 Piece Luxury Silky King Size Bedding Set - Softer Than Silk, Wrinkle-Free with 15” Deep Pocket Fitted Sheet, Perfect for Hair &amp; Skin, Gifts for Women (Striped Grey)</t>
        </is>
      </c>
      <c r="E69" s="39" t="inlineStr">
        <is>
          <t>King</t>
        </is>
      </c>
      <c r="F69" s="39" t="inlineStr">
        <is>
          <t>Striped Grey</t>
        </is>
      </c>
      <c r="G69" s="40" t="n"/>
      <c r="H69" s="39" t="n"/>
      <c r="I69" s="40" t="n"/>
      <c r="J69" s="39" t="n"/>
      <c r="K69" s="40" t="n"/>
      <c r="L69" s="76" t="n"/>
      <c r="M69" s="77" t="n"/>
      <c r="N69" s="39" t="inlineStr">
        <is>
          <t>Inactive</t>
        </is>
      </c>
      <c r="O69" s="39" t="n"/>
      <c r="P69" s="78" t="n"/>
      <c r="Q69" s="77" t="n"/>
      <c r="R69" s="77" t="n"/>
      <c r="S69" s="77" t="n"/>
      <c r="T69" s="39" t="n"/>
    </row>
    <row r="70" ht="62" customHeight="1">
      <c r="A70" s="45" t="inlineStr">
        <is>
          <t>COMING SOON</t>
        </is>
      </c>
      <c r="B70" s="39" t="inlineStr">
        <is>
          <t>B0H421SYJ4</t>
        </is>
      </c>
      <c r="C70" s="39" t="inlineStr">
        <is>
          <t>SL-SATIN-SHEET-6PC-KING-STRIPED-PINK</t>
        </is>
      </c>
      <c r="D70" s="39" t="inlineStr">
        <is>
          <t>SLEEPHORIA Satin Bed Sheets - 6 Piece Luxury Silky King Size Bedding Set - Softer Than Silk, Wrinkle-Free with 15” Deep Pocket Fitted Sheet, Perfect for Hair &amp; Skin, Gifts for Women (Striped Pink)</t>
        </is>
      </c>
      <c r="E70" s="39" t="inlineStr">
        <is>
          <t>King</t>
        </is>
      </c>
      <c r="F70" s="39" t="inlineStr">
        <is>
          <t>Striped Pink</t>
        </is>
      </c>
      <c r="G70" s="40" t="n"/>
      <c r="H70" s="39" t="n"/>
      <c r="I70" s="40" t="n"/>
      <c r="J70" s="39" t="n"/>
      <c r="K70" s="40" t="n"/>
      <c r="L70" s="76" t="n"/>
      <c r="M70" s="77" t="n"/>
      <c r="N70" s="39" t="inlineStr">
        <is>
          <t>Inactive</t>
        </is>
      </c>
      <c r="O70" s="39" t="n"/>
      <c r="P70" s="78" t="n"/>
      <c r="Q70" s="77" t="n"/>
      <c r="R70" s="77" t="n"/>
      <c r="S70" s="77" t="n"/>
      <c r="T70" s="39" t="n"/>
    </row>
    <row r="71" ht="62" customHeight="1">
      <c r="A71" s="45" t="inlineStr">
        <is>
          <t>COMING SOON</t>
        </is>
      </c>
      <c r="B71" s="39" t="inlineStr">
        <is>
          <t>B0H41TJ1XN</t>
        </is>
      </c>
      <c r="C71" s="39" t="inlineStr">
        <is>
          <t>SL-SATIN-SHEET-6PC-KING-STRIPED-PURPLE</t>
        </is>
      </c>
      <c r="D71" s="39" t="inlineStr">
        <is>
          <t>SLEEPHORIA Satin Bed Sheets - 6 Piece Luxury Silky King Size Bedding Set - Softer Than Silk, Wrinkle-Free with 15” Deep Pocket Fitted Sheet, Perfect for Hair &amp; Skin, Gifts for Women (Striped Purple)</t>
        </is>
      </c>
      <c r="E71" s="39" t="inlineStr">
        <is>
          <t>King</t>
        </is>
      </c>
      <c r="F71" s="39" t="inlineStr">
        <is>
          <t>Striped Purple</t>
        </is>
      </c>
      <c r="G71" s="40" t="n"/>
      <c r="H71" s="39" t="n"/>
      <c r="I71" s="40" t="n"/>
      <c r="J71" s="39" t="n"/>
      <c r="K71" s="40" t="n"/>
      <c r="L71" s="76" t="n"/>
      <c r="M71" s="77" t="n"/>
      <c r="N71" s="39" t="inlineStr">
        <is>
          <t>Inactive</t>
        </is>
      </c>
      <c r="O71" s="39" t="n"/>
      <c r="P71" s="78" t="n"/>
      <c r="Q71" s="77" t="n"/>
      <c r="R71" s="77" t="n"/>
      <c r="S71" s="77" t="n"/>
      <c r="T71" s="39" t="n"/>
    </row>
    <row r="72" ht="62" customHeight="1">
      <c r="A72" s="45" t="inlineStr">
        <is>
          <t>COMING SOON</t>
        </is>
      </c>
      <c r="B72" s="39" t="inlineStr">
        <is>
          <t>B0H41V2CZZ</t>
        </is>
      </c>
      <c r="C72" s="39" t="inlineStr">
        <is>
          <t>SL-SATIN-SHEET-6PC-KING-STRIPED-RED</t>
        </is>
      </c>
      <c r="D72" s="39" t="inlineStr">
        <is>
          <t>SLEEPHORIA Satin Bed Sheets - 6 Piece Luxury Silky King Size Bedding Set - Softer Than Silk, Wrinkle-Free with 15” Deep Pocket Fitted Sheet, Perfect for Hair &amp; Skin, Gifts for Women (Striped Red)</t>
        </is>
      </c>
      <c r="E72" s="39" t="inlineStr">
        <is>
          <t>King</t>
        </is>
      </c>
      <c r="F72" s="39" t="inlineStr">
        <is>
          <t>Striped Red</t>
        </is>
      </c>
      <c r="G72" s="40" t="n"/>
      <c r="H72" s="39" t="n"/>
      <c r="I72" s="40" t="n"/>
      <c r="J72" s="39" t="n"/>
      <c r="K72" s="40" t="n"/>
      <c r="L72" s="76" t="n"/>
      <c r="M72" s="77" t="n"/>
      <c r="N72" s="39" t="inlineStr">
        <is>
          <t>Inactive</t>
        </is>
      </c>
      <c r="O72" s="39" t="n"/>
      <c r="P72" s="78" t="n"/>
      <c r="Q72" s="77" t="n"/>
      <c r="R72" s="77" t="n"/>
      <c r="S72" s="77" t="n"/>
      <c r="T72" s="39" t="n"/>
    </row>
    <row r="73" ht="62" customHeight="1">
      <c r="A73" s="45" t="inlineStr">
        <is>
          <t>COMING SOON</t>
        </is>
      </c>
      <c r="B73" s="39" t="inlineStr">
        <is>
          <t>B0H41T95R7</t>
        </is>
      </c>
      <c r="C73" s="39" t="inlineStr">
        <is>
          <t>SL-SATIN-SHEET-6PC-KING-STRIPED-WHITE</t>
        </is>
      </c>
      <c r="D73" s="39" t="inlineStr">
        <is>
          <t>SLEEPHORIA Satin Bed Sheets - 6 Piece Luxury Silky King Size Bedding Set - Softer Than Silk, Wrinkle-Free with 15” Deep Pocket Fitted Sheet, Perfect for Hair &amp; Skin, Gifts for Women (Striped White)</t>
        </is>
      </c>
      <c r="E73" s="39" t="inlineStr">
        <is>
          <t>King</t>
        </is>
      </c>
      <c r="F73" s="39" t="inlineStr">
        <is>
          <t>Striped White</t>
        </is>
      </c>
      <c r="G73" s="40" t="n"/>
      <c r="H73" s="39" t="n"/>
      <c r="I73" s="40" t="n"/>
      <c r="J73" s="39" t="n"/>
      <c r="K73" s="40" t="n"/>
      <c r="L73" s="76" t="n"/>
      <c r="M73" s="77" t="n"/>
      <c r="N73" s="39" t="inlineStr">
        <is>
          <t>Inactive</t>
        </is>
      </c>
      <c r="O73" s="39" t="n"/>
      <c r="P73" s="78" t="n"/>
      <c r="Q73" s="77" t="n"/>
      <c r="R73" s="77" t="n"/>
      <c r="S73" s="77" t="n"/>
      <c r="T73" s="39" t="n"/>
    </row>
    <row r="74" ht="62" customHeight="1">
      <c r="A74" s="45" t="inlineStr">
        <is>
          <t>COMING SOON</t>
        </is>
      </c>
      <c r="B74" s="39" t="inlineStr">
        <is>
          <t>B0H41XGY2V</t>
        </is>
      </c>
      <c r="C74" s="39" t="inlineStr">
        <is>
          <t>SL-SATIN-SHEET-6PC-KING-TAUPE</t>
        </is>
      </c>
      <c r="D74" s="39" t="inlineStr">
        <is>
          <t>SLEEPHORIA Satin Bed Sheets - 6 Piece Luxury Silky King Size Bedding Set - Softer Than Silk, Wrinkle-Free with 15” Deep Pocket Fitted Sheet, Perfect for Hair &amp; Skin, Gifts for Women (Taupe)</t>
        </is>
      </c>
      <c r="E74" s="39" t="inlineStr">
        <is>
          <t>King</t>
        </is>
      </c>
      <c r="F74" s="39" t="inlineStr">
        <is>
          <t>Taupe</t>
        </is>
      </c>
      <c r="G74" s="40" t="n"/>
      <c r="H74" s="39" t="n"/>
      <c r="I74" s="40" t="n"/>
      <c r="J74" s="39" t="n"/>
      <c r="K74" s="40" t="n"/>
      <c r="L74" s="76" t="n"/>
      <c r="M74" s="77" t="n"/>
      <c r="N74" s="39" t="inlineStr">
        <is>
          <t>Inactive</t>
        </is>
      </c>
      <c r="O74" s="39" t="n"/>
      <c r="P74" s="78" t="n"/>
      <c r="Q74" s="77" t="n"/>
      <c r="R74" s="77" t="n"/>
      <c r="S74" s="77" t="n"/>
      <c r="T74" s="39" t="n"/>
    </row>
    <row r="75" ht="62" customHeight="1">
      <c r="A75" s="45" t="inlineStr">
        <is>
          <t>COMING SOON</t>
        </is>
      </c>
      <c r="B75" s="39" t="inlineStr">
        <is>
          <t>B0H41WHGM5</t>
        </is>
      </c>
      <c r="C75" s="39" t="inlineStr">
        <is>
          <t>SL-SATIN-SHEET-6PC-KING-WHITE</t>
        </is>
      </c>
      <c r="D75" s="39" t="inlineStr">
        <is>
          <t>SLEEPHORIA Satin Bed Sheets - 6 Piece Luxury Silky King Size Bedding Set - Softer Than Silk, Wrinkle-Free with 15” Deep Pocket Fitted Sheet, Perfect for Hair &amp; Skin, Gifts for Women (White)</t>
        </is>
      </c>
      <c r="E75" s="39" t="inlineStr">
        <is>
          <t>King</t>
        </is>
      </c>
      <c r="F75" s="39" t="inlineStr">
        <is>
          <t>White</t>
        </is>
      </c>
      <c r="G75" s="40" t="n"/>
      <c r="H75" s="39" t="n"/>
      <c r="I75" s="40" t="n"/>
      <c r="J75" s="39" t="n"/>
      <c r="K75" s="40" t="n"/>
      <c r="L75" s="76" t="n"/>
      <c r="M75" s="77" t="n"/>
      <c r="N75" s="39" t="inlineStr">
        <is>
          <t>Inactive</t>
        </is>
      </c>
      <c r="O75" s="39" t="n"/>
      <c r="P75" s="78" t="n"/>
      <c r="Q75" s="77" t="n"/>
      <c r="R75" s="77" t="n"/>
      <c r="S75" s="77" t="n"/>
      <c r="T75" s="39" t="n"/>
    </row>
    <row r="76" ht="62" customHeight="1">
      <c r="A76" s="45" t="inlineStr">
        <is>
          <t>COMING SOON</t>
        </is>
      </c>
      <c r="B76" s="39" t="inlineStr">
        <is>
          <t>B0H41ZWWMV</t>
        </is>
      </c>
      <c r="C76" s="39" t="inlineStr">
        <is>
          <t>SL-SATIN-SHEET-6PC-QUEEN-BABY-BLUE</t>
        </is>
      </c>
      <c r="D76" s="39" t="inlineStr">
        <is>
          <t>SLEEPHORIA Satin Bed Sheets - 6 Piece Luxury Silky Queen Size Bedding Set - Softer Than Silk, Wrinkle-Free with 15” Deep Pocket Fitted Sheet, Perfect for Hair &amp; Skin, Gifts for Women (Baby Blue)</t>
        </is>
      </c>
      <c r="E76" s="39" t="inlineStr">
        <is>
          <t>Queen</t>
        </is>
      </c>
      <c r="F76" s="39" t="inlineStr">
        <is>
          <t>Baby Blue</t>
        </is>
      </c>
      <c r="G76" s="40" t="n"/>
      <c r="H76" s="39" t="n"/>
      <c r="I76" s="40" t="n"/>
      <c r="J76" s="39" t="n"/>
      <c r="K76" s="40" t="n"/>
      <c r="L76" s="76" t="n"/>
      <c r="M76" s="77" t="n"/>
      <c r="N76" s="39" t="inlineStr">
        <is>
          <t>Inactive</t>
        </is>
      </c>
      <c r="O76" s="39" t="n"/>
      <c r="P76" s="78" t="n"/>
      <c r="Q76" s="77" t="n"/>
      <c r="R76" s="77" t="n"/>
      <c r="S76" s="77" t="n"/>
      <c r="T76" s="39" t="n"/>
    </row>
    <row r="77" ht="62" customHeight="1">
      <c r="A77" s="45" t="inlineStr">
        <is>
          <t>COMING SOON</t>
        </is>
      </c>
      <c r="B77" s="39" t="inlineStr">
        <is>
          <t>B0H427J85Z</t>
        </is>
      </c>
      <c r="C77" s="39" t="inlineStr">
        <is>
          <t>SL-SATIN-SHEET-6PC-QUEEN-BLACK</t>
        </is>
      </c>
      <c r="D77" s="39" t="inlineStr">
        <is>
          <t>SLEEPHORIA Satin Bed Sheets - 6 Piece Luxury Silky Queen Size Bedding Set - Softer Than Silk, Wrinkle-Free with 15” Deep Pocket Fitted Sheet, Perfect for Hair &amp; Skin, Gifts for Women (Black)</t>
        </is>
      </c>
      <c r="E77" s="39" t="inlineStr">
        <is>
          <t>Queen</t>
        </is>
      </c>
      <c r="F77" s="39" t="inlineStr">
        <is>
          <t>Black</t>
        </is>
      </c>
      <c r="G77" s="40" t="n"/>
      <c r="H77" s="39" t="n"/>
      <c r="I77" s="40" t="n"/>
      <c r="J77" s="39" t="n"/>
      <c r="K77" s="40" t="n"/>
      <c r="L77" s="76" t="n"/>
      <c r="M77" s="77" t="n"/>
      <c r="N77" s="39" t="inlineStr">
        <is>
          <t>Inactive</t>
        </is>
      </c>
      <c r="O77" s="39" t="n"/>
      <c r="P77" s="78" t="n"/>
      <c r="Q77" s="77" t="n"/>
      <c r="R77" s="77" t="n"/>
      <c r="S77" s="77" t="n"/>
      <c r="T77" s="39" t="n"/>
    </row>
    <row r="78" ht="62" customHeight="1">
      <c r="A78" s="45" t="inlineStr">
        <is>
          <t>COMING SOON</t>
        </is>
      </c>
      <c r="B78" s="39" t="inlineStr">
        <is>
          <t>B0H427LP25</t>
        </is>
      </c>
      <c r="C78" s="39" t="inlineStr">
        <is>
          <t>SL-SATIN-SHEET-6PC-QUEEN-BLUE</t>
        </is>
      </c>
      <c r="D78" s="39" t="inlineStr">
        <is>
          <t>SLEEPHORIA Satin Bed Sheets - 6 Piece Luxury Silky Queen Size Bedding Set - Softer Than Silk, Wrinkle-Free with 15” Deep Pocket Fitted Sheet, Perfect for Hair &amp; Skin, Gifts for Women (Blue)</t>
        </is>
      </c>
      <c r="E78" s="39" t="inlineStr">
        <is>
          <t>Queen</t>
        </is>
      </c>
      <c r="F78" s="39" t="inlineStr">
        <is>
          <t>Blue</t>
        </is>
      </c>
      <c r="G78" s="40" t="n"/>
      <c r="H78" s="39" t="n"/>
      <c r="I78" s="40" t="n"/>
      <c r="J78" s="39" t="n"/>
      <c r="K78" s="40" t="n"/>
      <c r="L78" s="76" t="n"/>
      <c r="M78" s="77" t="n"/>
      <c r="N78" s="39" t="inlineStr">
        <is>
          <t>Inactive</t>
        </is>
      </c>
      <c r="O78" s="39" t="n"/>
      <c r="P78" s="78" t="n"/>
      <c r="Q78" s="77" t="n"/>
      <c r="R78" s="77" t="n"/>
      <c r="S78" s="77" t="n"/>
      <c r="T78" s="39" t="n"/>
    </row>
    <row r="79" ht="62" customHeight="1">
      <c r="A79" s="45" t="inlineStr">
        <is>
          <t>COMING SOON</t>
        </is>
      </c>
      <c r="B79" s="39" t="inlineStr">
        <is>
          <t>B0H41YHRWD</t>
        </is>
      </c>
      <c r="C79" s="39" t="inlineStr">
        <is>
          <t>SL-SATIN-SHEET-6PC-QUEEN-BLUSH-PINK</t>
        </is>
      </c>
      <c r="D79" s="39" t="inlineStr">
        <is>
          <t>SLEEPHORIA Satin Bed Sheets - 6 Piece Luxury Silky Queen Size Bedding Set - Softer Than Silk, Wrinkle-Free with 15” Deep Pocket Fitted Sheet, Perfect for Hair &amp; Skin, Gifts for Women (Blush Pink)</t>
        </is>
      </c>
      <c r="E79" s="39" t="inlineStr">
        <is>
          <t>Queen</t>
        </is>
      </c>
      <c r="F79" s="39" t="inlineStr">
        <is>
          <t>Blush Pink</t>
        </is>
      </c>
      <c r="G79" s="40" t="n"/>
      <c r="H79" s="39" t="n"/>
      <c r="I79" s="40" t="n"/>
      <c r="J79" s="39" t="n"/>
      <c r="K79" s="40" t="n"/>
      <c r="L79" s="76" t="n"/>
      <c r="M79" s="77" t="n"/>
      <c r="N79" s="39" t="inlineStr">
        <is>
          <t>Inactive</t>
        </is>
      </c>
      <c r="O79" s="39" t="n"/>
      <c r="P79" s="78" t="n"/>
      <c r="Q79" s="77" t="n"/>
      <c r="R79" s="77" t="n"/>
      <c r="S79" s="77" t="n"/>
      <c r="T79" s="39" t="n"/>
    </row>
    <row r="80" ht="62" customHeight="1">
      <c r="A80" s="45" t="inlineStr">
        <is>
          <t>COMING SOON</t>
        </is>
      </c>
      <c r="B80" s="39" t="inlineStr">
        <is>
          <t>B0H41TDGV9</t>
        </is>
      </c>
      <c r="C80" s="39" t="inlineStr">
        <is>
          <t>SL-SATIN-SHEET-6PC-QUEEN-BURNT-ORANGE</t>
        </is>
      </c>
      <c r="D80" s="39" t="inlineStr">
        <is>
          <t>SLEEPHORIA Satin Bed Sheets - 6 Piece Luxury Silky Queen Size Bedding Set - Softer Than Silk, Wrinkle-Free with 15” Deep Pocket Fitted Sheet, Perfect for Hair &amp; Skin, Gifts for Women (Burnt Orange)</t>
        </is>
      </c>
      <c r="E80" s="39" t="inlineStr">
        <is>
          <t>Queen</t>
        </is>
      </c>
      <c r="F80" s="39" t="inlineStr">
        <is>
          <t>Burnt Orange</t>
        </is>
      </c>
      <c r="G80" s="40" t="n"/>
      <c r="H80" s="39" t="n"/>
      <c r="I80" s="40" t="n"/>
      <c r="J80" s="39" t="n"/>
      <c r="K80" s="40" t="n"/>
      <c r="L80" s="76" t="n"/>
      <c r="M80" s="77" t="n"/>
      <c r="N80" s="39" t="inlineStr">
        <is>
          <t>Inactive</t>
        </is>
      </c>
      <c r="O80" s="39" t="n"/>
      <c r="P80" s="78" t="n"/>
      <c r="Q80" s="77" t="n"/>
      <c r="R80" s="77" t="n"/>
      <c r="S80" s="77" t="n"/>
      <c r="T80" s="39" t="n"/>
    </row>
    <row r="81" ht="62" customHeight="1">
      <c r="A81" s="45" t="inlineStr">
        <is>
          <t>COMING SOON</t>
        </is>
      </c>
      <c r="B81" s="39" t="inlineStr">
        <is>
          <t>B0H427TTZ7</t>
        </is>
      </c>
      <c r="C81" s="39" t="inlineStr">
        <is>
          <t>SL-SATIN-SHEET-6PC-QUEEN-CHAMPAGNE</t>
        </is>
      </c>
      <c r="D81" s="39" t="inlineStr">
        <is>
          <t>SLEEPHORIA Satin Bed Sheets - 6 Piece Luxury Silky Queen Size Bedding Set - Softer Than Silk, Wrinkle-Free with 15” Deep Pocket Fitted Sheet, Perfect for Hair &amp; Skin, Gifts for Women (Champagne)</t>
        </is>
      </c>
      <c r="E81" s="39" t="inlineStr">
        <is>
          <t>Queen</t>
        </is>
      </c>
      <c r="F81" s="39" t="inlineStr">
        <is>
          <t>Champagne</t>
        </is>
      </c>
      <c r="G81" s="40" t="n"/>
      <c r="H81" s="39" t="n"/>
      <c r="I81" s="40" t="n"/>
      <c r="J81" s="39" t="n"/>
      <c r="K81" s="40" t="n"/>
      <c r="L81" s="76" t="n"/>
      <c r="M81" s="77" t="n"/>
      <c r="N81" s="39" t="inlineStr">
        <is>
          <t>Inactive</t>
        </is>
      </c>
      <c r="O81" s="39" t="n"/>
      <c r="P81" s="78" t="n"/>
      <c r="Q81" s="77" t="n"/>
      <c r="R81" s="77" t="n"/>
      <c r="S81" s="77" t="n"/>
      <c r="T81" s="39" t="n"/>
    </row>
    <row r="82" ht="62" customHeight="1">
      <c r="A82" s="45" t="inlineStr">
        <is>
          <t>COMING SOON</t>
        </is>
      </c>
      <c r="B82" s="39" t="inlineStr">
        <is>
          <t>B0H41WKBYX</t>
        </is>
      </c>
      <c r="C82" s="39" t="inlineStr">
        <is>
          <t>SL-SATIN-SHEET-6PC-QUEEN-DARK-GREEN</t>
        </is>
      </c>
      <c r="D82" s="39" t="inlineStr">
        <is>
          <t>SLEEPHORIA Satin Bed Sheets - 6 Piece Luxury Silky Queen Size Bedding Set - Softer Than Silk, Wrinkle-Free with 15” Deep Pocket Fitted Sheet, Perfect for Hair &amp; Skin, Gifts for Women (Dark Green)</t>
        </is>
      </c>
      <c r="E82" s="39" t="inlineStr">
        <is>
          <t>Queen</t>
        </is>
      </c>
      <c r="F82" s="39" t="inlineStr">
        <is>
          <t>Dark Green</t>
        </is>
      </c>
      <c r="G82" s="40" t="n"/>
      <c r="H82" s="39" t="n"/>
      <c r="I82" s="40" t="n"/>
      <c r="J82" s="39" t="n"/>
      <c r="K82" s="40" t="n"/>
      <c r="L82" s="76" t="n"/>
      <c r="M82" s="77" t="n"/>
      <c r="N82" s="39" t="inlineStr">
        <is>
          <t>Inactive</t>
        </is>
      </c>
      <c r="O82" s="39" t="n"/>
      <c r="P82" s="78" t="n"/>
      <c r="Q82" s="77" t="n"/>
      <c r="R82" s="77" t="n"/>
      <c r="S82" s="77" t="n"/>
      <c r="T82" s="39" t="n"/>
    </row>
    <row r="83" ht="62" customHeight="1">
      <c r="A83" s="45" t="inlineStr">
        <is>
          <t>COMING SOON</t>
        </is>
      </c>
      <c r="B83" s="39" t="inlineStr">
        <is>
          <t>B0H41X722V</t>
        </is>
      </c>
      <c r="C83" s="39" t="inlineStr">
        <is>
          <t>SL-SATIN-SHEET-6PC-QUEEN-GOLD</t>
        </is>
      </c>
      <c r="D83" s="39" t="inlineStr">
        <is>
          <t>SLEEPHORIA Satin Bed Sheets - 6 Piece Luxury Silky Queen Size Bedding Set - Softer Than Silk, Wrinkle-Free with 15” Deep Pocket Fitted Sheet, Perfect for Hair &amp; Skin, Gifts for Women (Gold)</t>
        </is>
      </c>
      <c r="E83" s="39" t="inlineStr">
        <is>
          <t>Queen</t>
        </is>
      </c>
      <c r="F83" s="39" t="inlineStr">
        <is>
          <t>Gold</t>
        </is>
      </c>
      <c r="G83" s="40" t="n"/>
      <c r="H83" s="39" t="n"/>
      <c r="I83" s="40" t="n"/>
      <c r="J83" s="39" t="n"/>
      <c r="K83" s="40" t="n"/>
      <c r="L83" s="76" t="n"/>
      <c r="M83" s="77" t="n"/>
      <c r="N83" s="39" t="inlineStr">
        <is>
          <t>Inactive</t>
        </is>
      </c>
      <c r="O83" s="39" t="n"/>
      <c r="P83" s="78" t="n"/>
      <c r="Q83" s="77" t="n"/>
      <c r="R83" s="77" t="n"/>
      <c r="S83" s="77" t="n"/>
      <c r="T83" s="39" t="n"/>
    </row>
    <row r="84" ht="62" customHeight="1">
      <c r="A84" s="45" t="inlineStr">
        <is>
          <t>COMING SOON</t>
        </is>
      </c>
      <c r="B84" s="39" t="inlineStr">
        <is>
          <t>B0H427ZLRT</t>
        </is>
      </c>
      <c r="C84" s="39" t="inlineStr">
        <is>
          <t>SL-SATIN-SHEET-6PC-QUEEN-GREY</t>
        </is>
      </c>
      <c r="D84" s="39" t="inlineStr">
        <is>
          <t>SLEEPHORIA Satin Bed Sheets - 6 Piece Luxury Silky Queen Size Bedding Set - Softer Than Silk, Wrinkle-Free with 15” Deep Pocket Fitted Sheet, Perfect for Hair &amp; Skin, Gifts for Women (Grey)</t>
        </is>
      </c>
      <c r="E84" s="39" t="inlineStr">
        <is>
          <t>Queen</t>
        </is>
      </c>
      <c r="F84" s="39" t="inlineStr">
        <is>
          <t>Grey</t>
        </is>
      </c>
      <c r="G84" s="40" t="n"/>
      <c r="H84" s="39" t="n"/>
      <c r="I84" s="40" t="n"/>
      <c r="J84" s="39" t="n"/>
      <c r="K84" s="40" t="n"/>
      <c r="L84" s="76" t="n"/>
      <c r="M84" s="77" t="n"/>
      <c r="N84" s="39" t="inlineStr">
        <is>
          <t>Inactive</t>
        </is>
      </c>
      <c r="O84" s="39" t="n"/>
      <c r="P84" s="78" t="n"/>
      <c r="Q84" s="77" t="n"/>
      <c r="R84" s="77" t="n"/>
      <c r="S84" s="77" t="n"/>
      <c r="T84" s="39" t="n"/>
    </row>
    <row r="85" ht="62" customHeight="1">
      <c r="A85" s="45" t="inlineStr">
        <is>
          <t>COMING SOON</t>
        </is>
      </c>
      <c r="B85" s="39" t="inlineStr">
        <is>
          <t>B0H41YSKLW</t>
        </is>
      </c>
      <c r="C85" s="39" t="inlineStr">
        <is>
          <t>SL-SATIN-SHEET-6PC-QUEEN-IVORY</t>
        </is>
      </c>
      <c r="D85" s="39" t="inlineStr">
        <is>
          <t>SLEEPHORIA Satin Bed Sheets - 6 Piece Luxury Silky Queen Size Bedding Set - Softer Than Silk, Wrinkle-Free with 15” Deep Pocket Fitted Sheet, Perfect for Hair &amp; Skin, Gifts for Women (Ivory)</t>
        </is>
      </c>
      <c r="E85" s="39" t="inlineStr">
        <is>
          <t>Queen</t>
        </is>
      </c>
      <c r="F85" s="39" t="inlineStr">
        <is>
          <t>Ivory</t>
        </is>
      </c>
      <c r="G85" s="40" t="n"/>
      <c r="H85" s="39" t="n"/>
      <c r="I85" s="40" t="n"/>
      <c r="J85" s="39" t="n"/>
      <c r="K85" s="40" t="n"/>
      <c r="L85" s="76" t="n"/>
      <c r="M85" s="77" t="n"/>
      <c r="N85" s="39" t="inlineStr">
        <is>
          <t>Inactive</t>
        </is>
      </c>
      <c r="O85" s="39" t="n"/>
      <c r="P85" s="78" t="n"/>
      <c r="Q85" s="77" t="n"/>
      <c r="R85" s="77" t="n"/>
      <c r="S85" s="77" t="n"/>
      <c r="T85" s="39" t="n"/>
    </row>
    <row r="86" ht="62" customHeight="1">
      <c r="A86" s="45" t="inlineStr">
        <is>
          <t>COMING SOON</t>
        </is>
      </c>
      <c r="B86" s="39" t="inlineStr">
        <is>
          <t>B0H41W1W98</t>
        </is>
      </c>
      <c r="C86" s="39" t="inlineStr">
        <is>
          <t>SL-SATIN-SHEET-6PC-QUEEN-LAVENDER</t>
        </is>
      </c>
      <c r="D86" s="39" t="inlineStr">
        <is>
          <t>SLEEPHORIA Satin Bed Sheets - 6 Piece Luxury Silky Queen Size Bedding Set - Softer Than Silk, Wrinkle-Free with 15” Deep Pocket Fitted Sheet, Perfect for Hair &amp; Skin, Gifts for Women (Lavender)</t>
        </is>
      </c>
      <c r="E86" s="39" t="inlineStr">
        <is>
          <t>Queen</t>
        </is>
      </c>
      <c r="F86" s="39" t="inlineStr">
        <is>
          <t>Lavender</t>
        </is>
      </c>
      <c r="G86" s="40" t="n"/>
      <c r="H86" s="39" t="n"/>
      <c r="I86" s="40" t="n"/>
      <c r="J86" s="39" t="n"/>
      <c r="K86" s="40" t="n"/>
      <c r="L86" s="76" t="n"/>
      <c r="M86" s="77" t="n"/>
      <c r="N86" s="39" t="inlineStr">
        <is>
          <t>Inactive</t>
        </is>
      </c>
      <c r="O86" s="39" t="n"/>
      <c r="P86" s="78" t="n"/>
      <c r="Q86" s="77" t="n"/>
      <c r="R86" s="77" t="n"/>
      <c r="S86" s="77" t="n"/>
      <c r="T86" s="39" t="n"/>
    </row>
    <row r="87" ht="62" customHeight="1">
      <c r="A87" s="45" t="inlineStr">
        <is>
          <t>COMING SOON</t>
        </is>
      </c>
      <c r="B87" s="39" t="inlineStr">
        <is>
          <t>B0H421GWLR</t>
        </is>
      </c>
      <c r="C87" s="39" t="inlineStr">
        <is>
          <t>SL-SATIN-SHEET-6PC-QUEEN-NAVY-BLUE</t>
        </is>
      </c>
      <c r="D87" s="39" t="inlineStr">
        <is>
          <t>SLEEPHORIA Satin Bed Sheets - 6 Piece Luxury Silky Queen Size Bedding Set - Softer Than Silk, Wrinkle-Free with 15” Deep Pocket Fitted Sheet, Perfect for Hair &amp; Skin, Gifts for Women (Navy Blue)</t>
        </is>
      </c>
      <c r="E87" s="39" t="inlineStr">
        <is>
          <t>Queen</t>
        </is>
      </c>
      <c r="F87" s="39" t="inlineStr">
        <is>
          <t>Navy Blue</t>
        </is>
      </c>
      <c r="G87" s="40" t="n"/>
      <c r="H87" s="39" t="n"/>
      <c r="I87" s="40" t="n"/>
      <c r="J87" s="39" t="n"/>
      <c r="K87" s="40" t="n"/>
      <c r="L87" s="76" t="n"/>
      <c r="M87" s="77" t="n"/>
      <c r="N87" s="39" t="inlineStr">
        <is>
          <t>Inactive</t>
        </is>
      </c>
      <c r="O87" s="39" t="n"/>
      <c r="P87" s="78" t="n"/>
      <c r="Q87" s="77" t="n"/>
      <c r="R87" s="77" t="n"/>
      <c r="S87" s="77" t="n"/>
      <c r="T87" s="39" t="n"/>
    </row>
    <row r="88" ht="62" customHeight="1">
      <c r="A88" s="45" t="inlineStr">
        <is>
          <t>COMING SOON</t>
        </is>
      </c>
      <c r="B88" s="39" t="inlineStr">
        <is>
          <t>B0H41WBKP1</t>
        </is>
      </c>
      <c r="C88" s="39" t="inlineStr">
        <is>
          <t>SL-SATIN-SHEET-6PC-QUEEN-PINK</t>
        </is>
      </c>
      <c r="D88" s="39" t="inlineStr">
        <is>
          <t>SLEEPHORIA Satin Bed Sheets - 6 Piece Luxury Silky Queen Size Bedding Set - Softer Than Silk, Wrinkle-Free with 15” Deep Pocket Fitted Sheet, Perfect for Hair &amp; Skin, Gifts for Women (Pink)</t>
        </is>
      </c>
      <c r="E88" s="39" t="inlineStr">
        <is>
          <t>Queen</t>
        </is>
      </c>
      <c r="F88" s="39" t="inlineStr">
        <is>
          <t>Pink</t>
        </is>
      </c>
      <c r="G88" s="40" t="n"/>
      <c r="H88" s="39" t="n"/>
      <c r="I88" s="40" t="n"/>
      <c r="J88" s="39" t="n"/>
      <c r="K88" s="40" t="n"/>
      <c r="L88" s="76" t="n"/>
      <c r="M88" s="77" t="n"/>
      <c r="N88" s="39" t="inlineStr">
        <is>
          <t>Inactive</t>
        </is>
      </c>
      <c r="O88" s="39" t="n"/>
      <c r="P88" s="78" t="n"/>
      <c r="Q88" s="77" t="n"/>
      <c r="R88" s="77" t="n"/>
      <c r="S88" s="77" t="n"/>
      <c r="T88" s="39" t="n"/>
    </row>
    <row r="89" ht="62" customHeight="1">
      <c r="A89" s="45" t="inlineStr">
        <is>
          <t>COMING SOON</t>
        </is>
      </c>
      <c r="B89" s="39" t="inlineStr">
        <is>
          <t>B0H422Q8N6</t>
        </is>
      </c>
      <c r="C89" s="39" t="inlineStr">
        <is>
          <t>SL-SATIN-SHEET-6PC-QUEEN-PURPLE</t>
        </is>
      </c>
      <c r="D89" s="39" t="inlineStr">
        <is>
          <t>SLEEPHORIA Satin Bed Sheets - 6 Piece Luxury Silky Queen Size Bedding Set - Softer Than Silk, Wrinkle-Free with 15” Deep Pocket Fitted Sheet, Perfect for Hair &amp; Skin, Gifts for Women (Purple)</t>
        </is>
      </c>
      <c r="E89" s="39" t="inlineStr">
        <is>
          <t>Queen</t>
        </is>
      </c>
      <c r="F89" s="39" t="inlineStr">
        <is>
          <t>Purple</t>
        </is>
      </c>
      <c r="G89" s="40" t="n"/>
      <c r="H89" s="39" t="n"/>
      <c r="I89" s="40" t="n"/>
      <c r="J89" s="39" t="n"/>
      <c r="K89" s="40" t="n"/>
      <c r="L89" s="76" t="n"/>
      <c r="M89" s="77" t="n"/>
      <c r="N89" s="39" t="inlineStr">
        <is>
          <t>Inactive</t>
        </is>
      </c>
      <c r="O89" s="39" t="n"/>
      <c r="P89" s="78" t="n"/>
      <c r="Q89" s="77" t="n"/>
      <c r="R89" s="77" t="n"/>
      <c r="S89" s="77" t="n"/>
      <c r="T89" s="39" t="n"/>
    </row>
    <row r="90" ht="62" customHeight="1">
      <c r="A90" s="45" t="inlineStr">
        <is>
          <t>COMING SOON</t>
        </is>
      </c>
      <c r="B90" s="39" t="inlineStr">
        <is>
          <t>B0H422QTMW</t>
        </is>
      </c>
      <c r="C90" s="39" t="inlineStr">
        <is>
          <t>SL-SATIN-SHEET-6PC-QUEEN-RED</t>
        </is>
      </c>
      <c r="D90" s="39" t="inlineStr">
        <is>
          <t>SLEEPHORIA Satin Bed Sheets - 6 Piece Luxury Silky Queen Size Bedding Set - Softer Than Silk, Wrinkle-Free with 15” Deep Pocket Fitted Sheet, Perfect for Hair &amp; Skin, Gifts for Women (Red)</t>
        </is>
      </c>
      <c r="E90" s="39" t="inlineStr">
        <is>
          <t>Queen</t>
        </is>
      </c>
      <c r="F90" s="39" t="inlineStr">
        <is>
          <t>Red</t>
        </is>
      </c>
      <c r="G90" s="40" t="n"/>
      <c r="H90" s="39" t="n"/>
      <c r="I90" s="40" t="n"/>
      <c r="J90" s="39" t="n"/>
      <c r="K90" s="40" t="n"/>
      <c r="L90" s="76" t="n"/>
      <c r="M90" s="77" t="n"/>
      <c r="N90" s="39" t="inlineStr">
        <is>
          <t>Inactive</t>
        </is>
      </c>
      <c r="O90" s="39" t="n"/>
      <c r="P90" s="78" t="n"/>
      <c r="Q90" s="77" t="n"/>
      <c r="R90" s="77" t="n"/>
      <c r="S90" s="77" t="n"/>
      <c r="T90" s="39" t="n"/>
    </row>
    <row r="91" ht="62" customHeight="1">
      <c r="A91" s="45" t="inlineStr">
        <is>
          <t>COMING SOON</t>
        </is>
      </c>
      <c r="B91" s="39" t="inlineStr">
        <is>
          <t>B0H428RWVT</t>
        </is>
      </c>
      <c r="C91" s="39" t="inlineStr">
        <is>
          <t>SL-SATIN-SHEET-6PC-QUEEN-ROSEWOOD</t>
        </is>
      </c>
      <c r="D91" s="39" t="inlineStr">
        <is>
          <t>SLEEPHORIA Satin Bed Sheets - 6 Piece Luxury Silky Queen Size Bedding Set - Softer Than Silk, Wrinkle-Free with 15” Deep Pocket Fitted Sheet, Perfect for Hair &amp; Skin, Gifts for Women (Rosewood)</t>
        </is>
      </c>
      <c r="E91" s="39" t="inlineStr">
        <is>
          <t>Queen</t>
        </is>
      </c>
      <c r="F91" s="39" t="inlineStr">
        <is>
          <t>Rosewood</t>
        </is>
      </c>
      <c r="G91" s="40" t="n"/>
      <c r="H91" s="39" t="n"/>
      <c r="I91" s="40" t="n"/>
      <c r="J91" s="39" t="n"/>
      <c r="K91" s="40" t="n"/>
      <c r="L91" s="76" t="n"/>
      <c r="M91" s="77" t="n"/>
      <c r="N91" s="39" t="inlineStr">
        <is>
          <t>Inactive</t>
        </is>
      </c>
      <c r="O91" s="39" t="n"/>
      <c r="P91" s="78" t="n"/>
      <c r="Q91" s="77" t="n"/>
      <c r="R91" s="77" t="n"/>
      <c r="S91" s="77" t="n"/>
      <c r="T91" s="39" t="n"/>
    </row>
    <row r="92" ht="62" customHeight="1">
      <c r="A92" s="45" t="inlineStr">
        <is>
          <t>COMING SOON</t>
        </is>
      </c>
      <c r="B92" s="39" t="inlineStr">
        <is>
          <t>B0H41R5G6D</t>
        </is>
      </c>
      <c r="C92" s="39" t="inlineStr">
        <is>
          <t>SL-SATIN-SHEET-6PC-QUEEN-SAGE-GREEN</t>
        </is>
      </c>
      <c r="D92" s="39" t="inlineStr">
        <is>
          <t>SLEEPHORIA Satin Bed Sheets - 6 Piece Luxury Silky Queen Size Bedding Set - Softer Than Silk, Wrinkle-Free with 15” Deep Pocket Fitted Sheet, Perfect for Hair &amp; Skin, Gifts for Women (Sage Green)</t>
        </is>
      </c>
      <c r="E92" s="39" t="inlineStr">
        <is>
          <t>Queen</t>
        </is>
      </c>
      <c r="F92" s="39" t="inlineStr">
        <is>
          <t>Sage Green</t>
        </is>
      </c>
      <c r="G92" s="40" t="n"/>
      <c r="H92" s="39" t="n"/>
      <c r="I92" s="40" t="n"/>
      <c r="J92" s="39" t="n"/>
      <c r="K92" s="40" t="n"/>
      <c r="L92" s="76" t="n"/>
      <c r="M92" s="77" t="n"/>
      <c r="N92" s="39" t="inlineStr">
        <is>
          <t>Inactive</t>
        </is>
      </c>
      <c r="O92" s="39" t="n"/>
      <c r="P92" s="78" t="n"/>
      <c r="Q92" s="77" t="n"/>
      <c r="R92" s="77" t="n"/>
      <c r="S92" s="77" t="n"/>
      <c r="T92" s="39" t="n"/>
    </row>
    <row r="93" ht="62" customHeight="1">
      <c r="A93" s="45" t="inlineStr">
        <is>
          <t>COMING SOON</t>
        </is>
      </c>
      <c r="B93" s="39" t="inlineStr">
        <is>
          <t>B0H422XBGZ</t>
        </is>
      </c>
      <c r="C93" s="39" t="inlineStr">
        <is>
          <t>SL-SATIN-SHEET-6PC-QUEEN-SEA-TEAL</t>
        </is>
      </c>
      <c r="D93" s="39" t="inlineStr">
        <is>
          <t>SLEEPHORIA Satin Bed Sheets - 6 Piece Luxury Silky Queen Size Bedding Set - Softer Than Silk, Wrinkle-Free with 15” Deep Pocket Fitted Sheet, Perfect for Hair &amp; Skin, Gifts for Women (Sea Teal)</t>
        </is>
      </c>
      <c r="E93" s="39" t="inlineStr">
        <is>
          <t>Queen</t>
        </is>
      </c>
      <c r="F93" s="39" t="inlineStr">
        <is>
          <t>Sea Teal</t>
        </is>
      </c>
      <c r="G93" s="40" t="n"/>
      <c r="H93" s="39" t="n"/>
      <c r="I93" s="40" t="n"/>
      <c r="J93" s="39" t="n"/>
      <c r="K93" s="40" t="n"/>
      <c r="L93" s="76" t="n"/>
      <c r="M93" s="77" t="n"/>
      <c r="N93" s="39" t="inlineStr">
        <is>
          <t>Inactive</t>
        </is>
      </c>
      <c r="O93" s="39" t="n"/>
      <c r="P93" s="78" t="n"/>
      <c r="Q93" s="77" t="n"/>
      <c r="R93" s="77" t="n"/>
      <c r="S93" s="77" t="n"/>
      <c r="T93" s="39" t="n"/>
    </row>
    <row r="94" ht="62" customHeight="1">
      <c r="A94" s="45" t="inlineStr">
        <is>
          <t>COMING SOON</t>
        </is>
      </c>
      <c r="B94" s="39" t="inlineStr">
        <is>
          <t>B0H41T764H</t>
        </is>
      </c>
      <c r="C94" s="39" t="inlineStr">
        <is>
          <t>SL-SATIN-SHEET-6PC-QUEEN-STONE-GREY</t>
        </is>
      </c>
      <c r="D94" s="39" t="inlineStr">
        <is>
          <t>SLEEPHORIA Satin Bed Sheets - 6 Piece Luxury Silky Queen Size Bedding Set - Softer Than Silk, Wrinkle-Free with 15” Deep Pocket Fitted Sheet, Perfect for Hair &amp; Skin, Gifts for Women (Stone Grey)</t>
        </is>
      </c>
      <c r="E94" s="39" t="inlineStr">
        <is>
          <t>Queen</t>
        </is>
      </c>
      <c r="F94" s="39" t="inlineStr">
        <is>
          <t>Stone Grey</t>
        </is>
      </c>
      <c r="G94" s="40" t="n"/>
      <c r="H94" s="39" t="n"/>
      <c r="I94" s="40" t="n"/>
      <c r="J94" s="39" t="n"/>
      <c r="K94" s="40" t="n"/>
      <c r="L94" s="76" t="n"/>
      <c r="M94" s="77" t="n"/>
      <c r="N94" s="39" t="inlineStr">
        <is>
          <t>Inactive</t>
        </is>
      </c>
      <c r="O94" s="39" t="n"/>
      <c r="P94" s="78" t="n"/>
      <c r="Q94" s="77" t="n"/>
      <c r="R94" s="77" t="n"/>
      <c r="S94" s="77" t="n"/>
      <c r="T94" s="39" t="n"/>
    </row>
    <row r="95" ht="62" customHeight="1">
      <c r="A95" s="45" t="inlineStr">
        <is>
          <t>COMING SOON</t>
        </is>
      </c>
      <c r="B95" s="39" t="inlineStr">
        <is>
          <t>B0H41X21PB</t>
        </is>
      </c>
      <c r="C95" s="39" t="inlineStr">
        <is>
          <t>SL-SATIN-SHEET-6PC-QUEEN-STRIPED-BLACK</t>
        </is>
      </c>
      <c r="D95" s="39" t="inlineStr">
        <is>
          <t>SLEEPHORIA Satin Bed Sheets - 6 Piece Luxury Silky Queen Size Bedding Set - Softer Than Silk, Wrinkle-Free with 15” Deep Pocket Fitted Sheet, Perfect for Hair &amp; Skin, Gifts for Women (Striped Black)</t>
        </is>
      </c>
      <c r="E95" s="39" t="inlineStr">
        <is>
          <t>Queen</t>
        </is>
      </c>
      <c r="F95" s="39" t="inlineStr">
        <is>
          <t>Striped Black</t>
        </is>
      </c>
      <c r="G95" s="40" t="n"/>
      <c r="H95" s="39" t="n"/>
      <c r="I95" s="40" t="n"/>
      <c r="J95" s="39" t="n"/>
      <c r="K95" s="40" t="n"/>
      <c r="L95" s="76" t="n"/>
      <c r="M95" s="77" t="n"/>
      <c r="N95" s="39" t="inlineStr">
        <is>
          <t>Inactive</t>
        </is>
      </c>
      <c r="O95" s="39" t="n"/>
      <c r="P95" s="78" t="n"/>
      <c r="Q95" s="77" t="n"/>
      <c r="R95" s="77" t="n"/>
      <c r="S95" s="77" t="n"/>
      <c r="T95" s="39" t="n"/>
    </row>
    <row r="96" ht="62" customHeight="1">
      <c r="A96" s="45" t="inlineStr">
        <is>
          <t>COMING SOON</t>
        </is>
      </c>
      <c r="B96" s="39" t="inlineStr">
        <is>
          <t>B0H4219PYN</t>
        </is>
      </c>
      <c r="C96" s="39" t="inlineStr">
        <is>
          <t>SL-SATIN-SHEET-6PC-QUEEN-STRIPED-BLUE</t>
        </is>
      </c>
      <c r="D96" s="39" t="inlineStr">
        <is>
          <t>SLEEPHORIA Satin Bed Sheets - 6 Piece Luxury Silky Queen Size Bedding Set - Softer Than Silk, Wrinkle-Free with 15” Deep Pocket Fitted Sheet, Perfect for Hair &amp; Skin, Gifts for Women (Striped Blue)</t>
        </is>
      </c>
      <c r="E96" s="39" t="inlineStr">
        <is>
          <t>Queen</t>
        </is>
      </c>
      <c r="F96" s="39" t="inlineStr">
        <is>
          <t>Striped Blue</t>
        </is>
      </c>
      <c r="G96" s="40" t="n"/>
      <c r="H96" s="39" t="n"/>
      <c r="I96" s="40" t="n"/>
      <c r="J96" s="39" t="n"/>
      <c r="K96" s="40" t="n"/>
      <c r="L96" s="76" t="n"/>
      <c r="M96" s="77" t="n"/>
      <c r="N96" s="39" t="inlineStr">
        <is>
          <t>Inactive</t>
        </is>
      </c>
      <c r="O96" s="39" t="n"/>
      <c r="P96" s="78" t="n"/>
      <c r="Q96" s="77" t="n"/>
      <c r="R96" s="77" t="n"/>
      <c r="S96" s="77" t="n"/>
      <c r="T96" s="39" t="n"/>
    </row>
    <row r="97" ht="62" customHeight="1">
      <c r="A97" s="45" t="inlineStr">
        <is>
          <t>COMING SOON</t>
        </is>
      </c>
      <c r="B97" s="39" t="inlineStr">
        <is>
          <t>B0H4251LGR</t>
        </is>
      </c>
      <c r="C97" s="39" t="inlineStr">
        <is>
          <t>SL-SATIN-SHEET-6PC-QUEEN-STRIPED-GOLD</t>
        </is>
      </c>
      <c r="D97" s="39" t="inlineStr">
        <is>
          <t>SLEEPHORIA Satin Bed Sheets - 6 Piece Luxury Silky Queen Size Bedding Set - Softer Than Silk, Wrinkle-Free with 15” Deep Pocket Fitted Sheet, Perfect for Hair &amp; Skin, Gifts for Women (Striped Gold)</t>
        </is>
      </c>
      <c r="E97" s="39" t="inlineStr">
        <is>
          <t>Queen</t>
        </is>
      </c>
      <c r="F97" s="39" t="inlineStr">
        <is>
          <t>Striped Gold</t>
        </is>
      </c>
      <c r="G97" s="40" t="n"/>
      <c r="H97" s="39" t="n"/>
      <c r="I97" s="40" t="n"/>
      <c r="J97" s="39" t="n"/>
      <c r="K97" s="40" t="n"/>
      <c r="L97" s="76" t="n"/>
      <c r="M97" s="77" t="n"/>
      <c r="N97" s="39" t="inlineStr">
        <is>
          <t>Inactive</t>
        </is>
      </c>
      <c r="O97" s="39" t="n"/>
      <c r="P97" s="78" t="n"/>
      <c r="Q97" s="77" t="n"/>
      <c r="R97" s="77" t="n"/>
      <c r="S97" s="77" t="n"/>
      <c r="T97" s="39" t="n"/>
    </row>
    <row r="98" ht="62" customHeight="1">
      <c r="A98" s="45" t="inlineStr">
        <is>
          <t>COMING SOON</t>
        </is>
      </c>
      <c r="B98" s="39" t="inlineStr">
        <is>
          <t>B0H421LWCL</t>
        </is>
      </c>
      <c r="C98" s="39" t="inlineStr">
        <is>
          <t>SL-SATIN-SHEET-6PC-QUEEN-STRIPED-GREY</t>
        </is>
      </c>
      <c r="D98" s="39" t="inlineStr">
        <is>
          <t>SLEEPHORIA Satin Bed Sheets - 6 Piece Luxury Silky Queen Size Bedding Set - Softer Than Silk, Wrinkle-Free with 15” Deep Pocket Fitted Sheet, Perfect for Hair &amp; Skin, Gifts for Women (Striped Grey)</t>
        </is>
      </c>
      <c r="E98" s="39" t="inlineStr">
        <is>
          <t>Queen</t>
        </is>
      </c>
      <c r="F98" s="39" t="inlineStr">
        <is>
          <t>Striped Grey</t>
        </is>
      </c>
      <c r="G98" s="40" t="n"/>
      <c r="H98" s="39" t="n"/>
      <c r="I98" s="40" t="n"/>
      <c r="J98" s="39" t="n"/>
      <c r="K98" s="40" t="n"/>
      <c r="L98" s="76" t="n"/>
      <c r="M98" s="77" t="n"/>
      <c r="N98" s="39" t="inlineStr">
        <is>
          <t>Inactive</t>
        </is>
      </c>
      <c r="O98" s="39" t="n"/>
      <c r="P98" s="78" t="n"/>
      <c r="Q98" s="77" t="n"/>
      <c r="R98" s="77" t="n"/>
      <c r="S98" s="77" t="n"/>
      <c r="T98" s="39" t="n"/>
    </row>
    <row r="99" ht="62" customHeight="1">
      <c r="A99" s="45" t="inlineStr">
        <is>
          <t>COMING SOON</t>
        </is>
      </c>
      <c r="B99" s="39" t="inlineStr">
        <is>
          <t>B0H41R6HYY</t>
        </is>
      </c>
      <c r="C99" s="39" t="inlineStr">
        <is>
          <t>SL-SATIN-SHEET-6PC-QUEEN-STRIPED-PINK</t>
        </is>
      </c>
      <c r="D99" s="39" t="inlineStr">
        <is>
          <t>SLEEPHORIA Satin Bed Sheets - 6 Piece Luxury Silky Queen Size Bedding Set - Softer Than Silk, Wrinkle-Free with 15” Deep Pocket Fitted Sheet, Perfect for Hair &amp; Skin, Gifts for Women (Striped Pink)</t>
        </is>
      </c>
      <c r="E99" s="39" t="inlineStr">
        <is>
          <t>Queen</t>
        </is>
      </c>
      <c r="F99" s="39" t="inlineStr">
        <is>
          <t>Striped Pink</t>
        </is>
      </c>
      <c r="G99" s="40" t="n"/>
      <c r="H99" s="39" t="n"/>
      <c r="I99" s="40" t="n"/>
      <c r="J99" s="39" t="n"/>
      <c r="K99" s="40" t="n"/>
      <c r="L99" s="76" t="n"/>
      <c r="M99" s="77" t="n"/>
      <c r="N99" s="39" t="inlineStr">
        <is>
          <t>Inactive</t>
        </is>
      </c>
      <c r="O99" s="39" t="n"/>
      <c r="P99" s="78" t="n"/>
      <c r="Q99" s="77" t="n"/>
      <c r="R99" s="77" t="n"/>
      <c r="S99" s="77" t="n"/>
      <c r="T99" s="39" t="n"/>
    </row>
    <row r="100" ht="62" customHeight="1">
      <c r="A100" s="45" t="inlineStr">
        <is>
          <t>COMING SOON</t>
        </is>
      </c>
      <c r="B100" s="39" t="inlineStr">
        <is>
          <t>B0H41Z8P78</t>
        </is>
      </c>
      <c r="C100" s="39" t="inlineStr">
        <is>
          <t>SL-SATIN-SHEET-6PC-QUEEN-STRIPED-PURPLE</t>
        </is>
      </c>
      <c r="D100" s="39" t="inlineStr">
        <is>
          <t>SLEEPHORIA Satin Bed Sheets - 6 Piece Luxury Silky Queen Size Bedding Set - Softer Than Silk, Wrinkle-Free with 15” Deep Pocket Fitted Sheet, Perfect for Hair &amp; Skin, Gifts for Women (Striped Purple)</t>
        </is>
      </c>
      <c r="E100" s="39" t="inlineStr">
        <is>
          <t>Queen</t>
        </is>
      </c>
      <c r="F100" s="39" t="inlineStr">
        <is>
          <t>Striped Purple</t>
        </is>
      </c>
      <c r="G100" s="40" t="n"/>
      <c r="H100" s="39" t="n"/>
      <c r="I100" s="40" t="n"/>
      <c r="J100" s="39" t="n"/>
      <c r="K100" s="40" t="n"/>
      <c r="L100" s="76" t="n"/>
      <c r="M100" s="77" t="n"/>
      <c r="N100" s="39" t="inlineStr">
        <is>
          <t>Inactive</t>
        </is>
      </c>
      <c r="O100" s="39" t="n"/>
      <c r="P100" s="78" t="n"/>
      <c r="Q100" s="77" t="n"/>
      <c r="R100" s="77" t="n"/>
      <c r="S100" s="77" t="n"/>
      <c r="T100" s="39" t="n"/>
    </row>
    <row r="101" ht="62" customHeight="1">
      <c r="A101" s="45" t="inlineStr">
        <is>
          <t>COMING SOON</t>
        </is>
      </c>
      <c r="B101" s="39" t="inlineStr">
        <is>
          <t>B0H41WB4Q5</t>
        </is>
      </c>
      <c r="C101" s="39" t="inlineStr">
        <is>
          <t>SL-SATIN-SHEET-6PC-QUEEN-STRIPED-RED</t>
        </is>
      </c>
      <c r="D101" s="39" t="inlineStr">
        <is>
          <t>SLEEPHORIA Satin Bed Sheets - 6 Piece Luxury Silky Queen Size Bedding Set - Softer Than Silk, Wrinkle-Free with 15” Deep Pocket Fitted Sheet, Perfect for Hair &amp; Skin, Gifts for Women (Striped Red)</t>
        </is>
      </c>
      <c r="E101" s="39" t="inlineStr">
        <is>
          <t>Queen</t>
        </is>
      </c>
      <c r="F101" s="39" t="inlineStr">
        <is>
          <t>Striped Red</t>
        </is>
      </c>
      <c r="G101" s="40" t="n"/>
      <c r="H101" s="39" t="n"/>
      <c r="I101" s="40" t="n"/>
      <c r="J101" s="39" t="n"/>
      <c r="K101" s="40" t="n"/>
      <c r="L101" s="76" t="n"/>
      <c r="M101" s="77" t="n"/>
      <c r="N101" s="39" t="inlineStr">
        <is>
          <t>Inactive</t>
        </is>
      </c>
      <c r="O101" s="39" t="n"/>
      <c r="P101" s="78" t="n"/>
      <c r="Q101" s="77" t="n"/>
      <c r="R101" s="77" t="n"/>
      <c r="S101" s="77" t="n"/>
      <c r="T101" s="39" t="n"/>
    </row>
    <row r="102" ht="62" customHeight="1">
      <c r="A102" s="45" t="inlineStr">
        <is>
          <t>COMING SOON</t>
        </is>
      </c>
      <c r="B102" s="39" t="inlineStr">
        <is>
          <t>B0H41Z7JLK</t>
        </is>
      </c>
      <c r="C102" s="39" t="inlineStr">
        <is>
          <t>SL-SATIN-SHEET-6PC-QUEEN-STRIPED-WHITE</t>
        </is>
      </c>
      <c r="D102" s="39" t="inlineStr">
        <is>
          <t>SLEEPHORIA Satin Bed Sheets - 6 Piece Luxury Silky Queen Size Bedding Set - Softer Than Silk, Wrinkle-Free with 15” Deep Pocket Fitted Sheet, Perfect for Hair &amp; Skin, Gifts for Women (Striped White)</t>
        </is>
      </c>
      <c r="E102" s="39" t="inlineStr">
        <is>
          <t>Queen</t>
        </is>
      </c>
      <c r="F102" s="39" t="inlineStr">
        <is>
          <t>Striped White</t>
        </is>
      </c>
      <c r="G102" s="40" t="n"/>
      <c r="H102" s="39" t="n"/>
      <c r="I102" s="40" t="n"/>
      <c r="J102" s="39" t="n"/>
      <c r="K102" s="40" t="n"/>
      <c r="L102" s="76" t="n"/>
      <c r="M102" s="77" t="n"/>
      <c r="N102" s="39" t="inlineStr">
        <is>
          <t>Inactive</t>
        </is>
      </c>
      <c r="O102" s="39" t="n"/>
      <c r="P102" s="78" t="n"/>
      <c r="Q102" s="77" t="n"/>
      <c r="R102" s="77" t="n"/>
      <c r="S102" s="77" t="n"/>
      <c r="T102" s="39" t="n"/>
    </row>
    <row r="103" ht="62" customHeight="1">
      <c r="A103" s="45" t="inlineStr">
        <is>
          <t>COMING SOON</t>
        </is>
      </c>
      <c r="B103" s="39" t="inlineStr">
        <is>
          <t>B0H41YSBWS</t>
        </is>
      </c>
      <c r="C103" s="39" t="inlineStr">
        <is>
          <t>SL-SATIN-SHEET-6PC-QUEEN-TAUPE</t>
        </is>
      </c>
      <c r="D103" s="39" t="inlineStr">
        <is>
          <t>SLEEPHORIA Satin Bed Sheets - 6 Piece Luxury Silky Queen Size Bedding Set - Softer Than Silk, Wrinkle-Free with 15” Deep Pocket Fitted Sheet, Perfect for Hair &amp; Skin, Gifts for Women (Taupe)</t>
        </is>
      </c>
      <c r="E103" s="39" t="inlineStr">
        <is>
          <t>Queen</t>
        </is>
      </c>
      <c r="F103" s="39" t="inlineStr">
        <is>
          <t>Taupe</t>
        </is>
      </c>
      <c r="G103" s="40" t="n"/>
      <c r="H103" s="39" t="n"/>
      <c r="I103" s="40" t="n"/>
      <c r="J103" s="39" t="n"/>
      <c r="K103" s="40" t="n"/>
      <c r="L103" s="76" t="n"/>
      <c r="M103" s="77" t="n"/>
      <c r="N103" s="39" t="inlineStr">
        <is>
          <t>Inactive</t>
        </is>
      </c>
      <c r="O103" s="39" t="n"/>
      <c r="P103" s="78" t="n"/>
      <c r="Q103" s="77" t="n"/>
      <c r="R103" s="77" t="n"/>
      <c r="S103" s="77" t="n"/>
      <c r="T103" s="39" t="n"/>
    </row>
    <row r="104" ht="62" customHeight="1">
      <c r="A104" s="45" t="inlineStr">
        <is>
          <t>COMING SOON</t>
        </is>
      </c>
      <c r="B104" s="39" t="inlineStr">
        <is>
          <t>B0H424984V</t>
        </is>
      </c>
      <c r="C104" s="39" t="inlineStr">
        <is>
          <t>SL-SATIN-SHEET-6PC-QUEEN-WHITE</t>
        </is>
      </c>
      <c r="D104" s="39" t="inlineStr">
        <is>
          <t>SLEEPHORIA Satin Bed Sheets - 6 Piece Luxury Silky Queen Size Bedding Set - Softer Than Silk, Wrinkle-Free with 15” Deep Pocket Fitted Sheet, Perfect for Hair &amp; Skin, Gifts for Women (White)</t>
        </is>
      </c>
      <c r="E104" s="39" t="inlineStr">
        <is>
          <t>Queen</t>
        </is>
      </c>
      <c r="F104" s="39" t="inlineStr">
        <is>
          <t>White</t>
        </is>
      </c>
      <c r="G104" s="40" t="n"/>
      <c r="H104" s="39" t="n"/>
      <c r="I104" s="40" t="n"/>
      <c r="J104" s="39" t="n"/>
      <c r="K104" s="40" t="n"/>
      <c r="L104" s="76" t="n"/>
      <c r="M104" s="77" t="n"/>
      <c r="N104" s="39" t="inlineStr">
        <is>
          <t>Inactive</t>
        </is>
      </c>
      <c r="O104" s="39" t="n"/>
      <c r="P104" s="78" t="n"/>
      <c r="Q104" s="77" t="n"/>
      <c r="R104" s="77" t="n"/>
      <c r="S104" s="77" t="n"/>
      <c r="T104" s="39" t="n"/>
    </row>
    <row r="105" ht="62" customHeight="1">
      <c r="A105" s="45" t="inlineStr">
        <is>
          <t>COMING SOON</t>
        </is>
      </c>
      <c r="B105" s="39" t="inlineStr">
        <is>
          <t>B0H423N22N</t>
        </is>
      </c>
      <c r="C105" s="39" t="inlineStr">
        <is>
          <t>SL-SATIN-SHEET-4PC-TWIN-BABY-BLUE</t>
        </is>
      </c>
      <c r="D105" s="39" t="inlineStr">
        <is>
          <t>SLEEPHORIA Satin Bed Sheets - 4 Piece Luxury Silky Twin Size Bedding Set - Softer Than Silk, Wrinkle-Free with 15” Deep Pocket Fitted Sheet, Perfect for Hair &amp; Skin, Gifts for Women (Baby Blue)</t>
        </is>
      </c>
      <c r="E105" s="39" t="inlineStr">
        <is>
          <t>Twin</t>
        </is>
      </c>
      <c r="F105" s="39" t="inlineStr">
        <is>
          <t>Baby Blue</t>
        </is>
      </c>
      <c r="G105" s="40" t="n"/>
      <c r="H105" s="39" t="n"/>
      <c r="I105" s="40" t="n"/>
      <c r="J105" s="39" t="n"/>
      <c r="K105" s="40" t="n"/>
      <c r="L105" s="76" t="n"/>
      <c r="M105" s="77" t="n"/>
      <c r="N105" s="39" t="inlineStr">
        <is>
          <t>Inactive</t>
        </is>
      </c>
      <c r="O105" s="39" t="n"/>
      <c r="P105" s="78" t="n"/>
      <c r="Q105" s="77" t="n"/>
      <c r="R105" s="77" t="n"/>
      <c r="S105" s="77" t="n"/>
      <c r="T105" s="39" t="n"/>
    </row>
    <row r="106" ht="62" customHeight="1">
      <c r="A106" s="45" t="inlineStr">
        <is>
          <t>COMING SOON</t>
        </is>
      </c>
      <c r="B106" s="39" t="inlineStr">
        <is>
          <t>B0H427RP64</t>
        </is>
      </c>
      <c r="C106" s="39" t="inlineStr">
        <is>
          <t>SL-SATIN-SHEET-4PC-TWIN-BLACK</t>
        </is>
      </c>
      <c r="D106" s="39" t="inlineStr">
        <is>
          <t>SLEEPHORIA Satin Bed Sheets - 4 Piece Luxury Silky Twin Size Bedding Set - Softer Than Silk, Wrinkle-Free with 15” Deep Pocket Fitted Sheet, Perfect for Hair &amp; Skin, Gifts for Women (Black)</t>
        </is>
      </c>
      <c r="E106" s="39" t="inlineStr">
        <is>
          <t>Twin</t>
        </is>
      </c>
      <c r="F106" s="39" t="inlineStr">
        <is>
          <t>Black</t>
        </is>
      </c>
      <c r="G106" s="40" t="n"/>
      <c r="H106" s="39" t="n"/>
      <c r="I106" s="40" t="n"/>
      <c r="J106" s="39" t="n"/>
      <c r="K106" s="40" t="n"/>
      <c r="L106" s="76" t="n"/>
      <c r="M106" s="77" t="n"/>
      <c r="N106" s="39" t="inlineStr">
        <is>
          <t>Inactive</t>
        </is>
      </c>
      <c r="O106" s="39" t="n"/>
      <c r="P106" s="78" t="n"/>
      <c r="Q106" s="77" t="n"/>
      <c r="R106" s="77" t="n"/>
      <c r="S106" s="77" t="n"/>
      <c r="T106" s="39" t="n"/>
    </row>
    <row r="107" ht="62" customHeight="1">
      <c r="A107" s="45" t="inlineStr">
        <is>
          <t>COMING SOON</t>
        </is>
      </c>
      <c r="B107" s="39" t="inlineStr">
        <is>
          <t>B0H427MRMN</t>
        </is>
      </c>
      <c r="C107" s="39" t="inlineStr">
        <is>
          <t>SL-SATIN-SHEET-4PC-TWIN-BLUE</t>
        </is>
      </c>
      <c r="D107" s="39" t="inlineStr">
        <is>
          <t>SLEEPHORIA Satin Bed Sheets - 4 Piece Luxury Silky Twin Size Bedding Set - Softer Than Silk, Wrinkle-Free with 15” Deep Pocket Fitted Sheet, Perfect for Hair &amp; Skin, Gifts for Women (Blue)</t>
        </is>
      </c>
      <c r="E107" s="39" t="inlineStr">
        <is>
          <t>Twin</t>
        </is>
      </c>
      <c r="F107" s="39" t="inlineStr">
        <is>
          <t>Blue</t>
        </is>
      </c>
      <c r="G107" s="40" t="n"/>
      <c r="H107" s="39" t="n"/>
      <c r="I107" s="40" t="n"/>
      <c r="J107" s="39" t="n"/>
      <c r="K107" s="40" t="n"/>
      <c r="L107" s="76" t="n"/>
      <c r="M107" s="77" t="n"/>
      <c r="N107" s="39" t="inlineStr">
        <is>
          <t>Inactive</t>
        </is>
      </c>
      <c r="O107" s="39" t="n"/>
      <c r="P107" s="78" t="n"/>
      <c r="Q107" s="77" t="n"/>
      <c r="R107" s="77" t="n"/>
      <c r="S107" s="77" t="n"/>
      <c r="T107" s="39" t="n"/>
    </row>
    <row r="108" ht="62" customHeight="1">
      <c r="A108" s="45" t="inlineStr">
        <is>
          <t>COMING SOON</t>
        </is>
      </c>
      <c r="B108" s="39" t="inlineStr">
        <is>
          <t>B0H423P2Z4</t>
        </is>
      </c>
      <c r="C108" s="39" t="inlineStr">
        <is>
          <t>SL-SATIN-SHEET-4PC-TWIN-BLUSH-PINK</t>
        </is>
      </c>
      <c r="D108" s="39" t="inlineStr">
        <is>
          <t>SLEEPHORIA Satin Bed Sheets - 4 Piece Luxury Silky Twin Size Bedding Set - Softer Than Silk, Wrinkle-Free with 15” Deep Pocket Fitted Sheet, Perfect for Hair &amp; Skin, Gifts for Women (Blush Pink)</t>
        </is>
      </c>
      <c r="E108" s="39" t="inlineStr">
        <is>
          <t>Twin</t>
        </is>
      </c>
      <c r="F108" s="39" t="inlineStr">
        <is>
          <t>Blush Pink</t>
        </is>
      </c>
      <c r="G108" s="40" t="n"/>
      <c r="H108" s="39" t="n"/>
      <c r="I108" s="40" t="n"/>
      <c r="J108" s="39" t="n"/>
      <c r="K108" s="40" t="n"/>
      <c r="L108" s="76" t="n"/>
      <c r="M108" s="77" t="n"/>
      <c r="N108" s="39" t="inlineStr">
        <is>
          <t>Inactive</t>
        </is>
      </c>
      <c r="O108" s="39" t="n"/>
      <c r="P108" s="78" t="n"/>
      <c r="Q108" s="77" t="n"/>
      <c r="R108" s="77" t="n"/>
      <c r="S108" s="77" t="n"/>
      <c r="T108" s="39" t="n"/>
    </row>
    <row r="109" ht="62" customHeight="1">
      <c r="A109" s="45" t="inlineStr">
        <is>
          <t>COMING SOON</t>
        </is>
      </c>
      <c r="B109" s="39" t="inlineStr">
        <is>
          <t>B0H41S9Q8N</t>
        </is>
      </c>
      <c r="C109" s="39" t="inlineStr">
        <is>
          <t>SL-SATIN-SHEET-4PC-TWIN-BURNT-ORANGE</t>
        </is>
      </c>
      <c r="D109" s="39" t="inlineStr">
        <is>
          <t>SLEEPHORIA Satin Bed Sheets - 4 Piece Luxury Silky Twin Size Bedding Set - Softer Than Silk, Wrinkle-Free with 15” Deep Pocket Fitted Sheet, Perfect for Hair &amp; Skin, Gifts for Women (Burnt Orange)</t>
        </is>
      </c>
      <c r="E109" s="39" t="inlineStr">
        <is>
          <t>Twin</t>
        </is>
      </c>
      <c r="F109" s="39" t="inlineStr">
        <is>
          <t>Burnt Orange</t>
        </is>
      </c>
      <c r="G109" s="40" t="n"/>
      <c r="H109" s="39" t="n"/>
      <c r="I109" s="40" t="n"/>
      <c r="J109" s="39" t="n"/>
      <c r="K109" s="40" t="n"/>
      <c r="L109" s="76" t="n"/>
      <c r="M109" s="77" t="n"/>
      <c r="N109" s="39" t="inlineStr">
        <is>
          <t>Inactive</t>
        </is>
      </c>
      <c r="O109" s="39" t="n"/>
      <c r="P109" s="78" t="n"/>
      <c r="Q109" s="77" t="n"/>
      <c r="R109" s="77" t="n"/>
      <c r="S109" s="77" t="n"/>
      <c r="T109" s="39" t="n"/>
    </row>
    <row r="110" ht="62" customHeight="1">
      <c r="A110" s="45" t="inlineStr">
        <is>
          <t>COMING SOON</t>
        </is>
      </c>
      <c r="B110" s="39" t="inlineStr">
        <is>
          <t>B0H41T85NR</t>
        </is>
      </c>
      <c r="C110" s="39" t="inlineStr">
        <is>
          <t>SL-SATIN-SHEET-4PC-TWIN-CHAMPAGNE</t>
        </is>
      </c>
      <c r="D110" s="39" t="inlineStr">
        <is>
          <t>SLEEPHORIA Satin Bed Sheets - 4 Piece Luxury Silky Twin Size Bedding Set - Softer Than Silk, Wrinkle-Free with 15” Deep Pocket Fitted Sheet, Perfect for Hair &amp; Skin, Gifts for Women (Champagne)</t>
        </is>
      </c>
      <c r="E110" s="39" t="inlineStr">
        <is>
          <t>Twin</t>
        </is>
      </c>
      <c r="F110" s="39" t="inlineStr">
        <is>
          <t>Champagne</t>
        </is>
      </c>
      <c r="G110" s="40" t="n"/>
      <c r="H110" s="39" t="n"/>
      <c r="I110" s="40" t="n"/>
      <c r="J110" s="39" t="n"/>
      <c r="K110" s="40" t="n"/>
      <c r="L110" s="76" t="n"/>
      <c r="M110" s="77" t="n"/>
      <c r="N110" s="39" t="inlineStr">
        <is>
          <t>Inactive</t>
        </is>
      </c>
      <c r="O110" s="39" t="n"/>
      <c r="P110" s="78" t="n"/>
      <c r="Q110" s="77" t="n"/>
      <c r="R110" s="77" t="n"/>
      <c r="S110" s="77" t="n"/>
      <c r="T110" s="39" t="n"/>
    </row>
    <row r="111" ht="62" customHeight="1">
      <c r="A111" s="45" t="inlineStr">
        <is>
          <t>COMING SOON</t>
        </is>
      </c>
      <c r="B111" s="39" t="inlineStr">
        <is>
          <t>B0H42184R7</t>
        </is>
      </c>
      <c r="C111" s="39" t="inlineStr">
        <is>
          <t>SL-SATIN-SHEET-4PC-TWIN-DARK-GREEN</t>
        </is>
      </c>
      <c r="D111" s="39" t="inlineStr">
        <is>
          <t>SLEEPHORIA Satin Bed Sheets - 4 Piece Luxury Silky Twin Size Bedding Set - Softer Than Silk, Wrinkle-Free with 15” Deep Pocket Fitted Sheet, Perfect for Hair &amp; Skin, Gifts for Women (Dark Green)</t>
        </is>
      </c>
      <c r="E111" s="39" t="inlineStr">
        <is>
          <t>Twin</t>
        </is>
      </c>
      <c r="F111" s="39" t="inlineStr">
        <is>
          <t>Dark Green</t>
        </is>
      </c>
      <c r="G111" s="40" t="n"/>
      <c r="H111" s="39" t="n"/>
      <c r="I111" s="40" t="n"/>
      <c r="J111" s="39" t="n"/>
      <c r="K111" s="40" t="n"/>
      <c r="L111" s="76" t="n"/>
      <c r="M111" s="77" t="n"/>
      <c r="N111" s="39" t="inlineStr">
        <is>
          <t>Inactive</t>
        </is>
      </c>
      <c r="O111" s="39" t="n"/>
      <c r="P111" s="78" t="n"/>
      <c r="Q111" s="77" t="n"/>
      <c r="R111" s="77" t="n"/>
      <c r="S111" s="77" t="n"/>
      <c r="T111" s="39" t="n"/>
    </row>
    <row r="112" ht="62" customHeight="1">
      <c r="A112" s="45" t="inlineStr">
        <is>
          <t>COMING SOON</t>
        </is>
      </c>
      <c r="B112" s="39" t="inlineStr">
        <is>
          <t>B0H41W4GWY</t>
        </is>
      </c>
      <c r="C112" s="39" t="inlineStr">
        <is>
          <t>SL-SATIN-SHEET-4PC-TWIN-GOLD</t>
        </is>
      </c>
      <c r="D112" s="39" t="inlineStr">
        <is>
          <t>SLEEPHORIA Satin Bed Sheets - 4 Piece Luxury Silky Twin Size Bedding Set - Softer Than Silk, Wrinkle-Free with 15” Deep Pocket Fitted Sheet, Perfect for Hair &amp; Skin, Gifts for Women (Gold)</t>
        </is>
      </c>
      <c r="E112" s="39" t="inlineStr">
        <is>
          <t>Twin</t>
        </is>
      </c>
      <c r="F112" s="39" t="inlineStr">
        <is>
          <t>Gold</t>
        </is>
      </c>
      <c r="G112" s="40" t="n"/>
      <c r="H112" s="39" t="n"/>
      <c r="I112" s="40" t="n"/>
      <c r="J112" s="39" t="n"/>
      <c r="K112" s="40" t="n"/>
      <c r="L112" s="76" t="n"/>
      <c r="M112" s="77" t="n"/>
      <c r="N112" s="39" t="inlineStr">
        <is>
          <t>Inactive</t>
        </is>
      </c>
      <c r="O112" s="39" t="n"/>
      <c r="P112" s="78" t="n"/>
      <c r="Q112" s="77" t="n"/>
      <c r="R112" s="77" t="n"/>
      <c r="S112" s="77" t="n"/>
      <c r="T112" s="39" t="n"/>
    </row>
    <row r="113" ht="62" customHeight="1">
      <c r="A113" s="45" t="inlineStr">
        <is>
          <t>COMING SOON</t>
        </is>
      </c>
      <c r="B113" s="39" t="inlineStr">
        <is>
          <t>B0H41TF67J</t>
        </is>
      </c>
      <c r="C113" s="39" t="inlineStr">
        <is>
          <t>SL-SATIN-SHEET-4PC-TWIN-GREY</t>
        </is>
      </c>
      <c r="D113" s="39" t="inlineStr">
        <is>
          <t>SLEEPHORIA Satin Bed Sheets - 4 Piece Luxury Silky Twin Size Bedding Set - Softer Than Silk, Wrinkle-Free with 15” Deep Pocket Fitted Sheet, Perfect for Hair &amp; Skin, Gifts for Women (Grey)</t>
        </is>
      </c>
      <c r="E113" s="39" t="inlineStr">
        <is>
          <t>Twin</t>
        </is>
      </c>
      <c r="F113" s="39" t="inlineStr">
        <is>
          <t>Grey</t>
        </is>
      </c>
      <c r="G113" s="40" t="n"/>
      <c r="H113" s="39" t="n"/>
      <c r="I113" s="40" t="n"/>
      <c r="J113" s="39" t="n"/>
      <c r="K113" s="40" t="n"/>
      <c r="L113" s="76" t="n"/>
      <c r="M113" s="77" t="n"/>
      <c r="N113" s="39" t="inlineStr">
        <is>
          <t>Inactive</t>
        </is>
      </c>
      <c r="O113" s="39" t="n"/>
      <c r="P113" s="78" t="n"/>
      <c r="Q113" s="77" t="n"/>
      <c r="R113" s="77" t="n"/>
      <c r="S113" s="77" t="n"/>
      <c r="T113" s="39" t="n"/>
    </row>
    <row r="114" ht="62" customHeight="1">
      <c r="A114" s="45" t="inlineStr">
        <is>
          <t>COMING SOON</t>
        </is>
      </c>
      <c r="B114" s="39" t="inlineStr">
        <is>
          <t>B0H41TXY1Q</t>
        </is>
      </c>
      <c r="C114" s="39" t="inlineStr">
        <is>
          <t>SL-SATIN-SHEET-4PC-TWIN-IVORY</t>
        </is>
      </c>
      <c r="D114" s="39" t="inlineStr">
        <is>
          <t>SLEEPHORIA Satin Bed Sheets - 4 Piece Luxury Silky Twin Size Bedding Set - Softer Than Silk, Wrinkle-Free with 15” Deep Pocket Fitted Sheet, Perfect for Hair &amp; Skin, Gifts for Women (Ivory)</t>
        </is>
      </c>
      <c r="E114" s="39" t="inlineStr">
        <is>
          <t>Twin</t>
        </is>
      </c>
      <c r="F114" s="39" t="inlineStr">
        <is>
          <t>Ivory</t>
        </is>
      </c>
      <c r="G114" s="40" t="n"/>
      <c r="H114" s="39" t="n"/>
      <c r="I114" s="40" t="n"/>
      <c r="J114" s="39" t="n"/>
      <c r="K114" s="40" t="n"/>
      <c r="L114" s="76" t="n"/>
      <c r="M114" s="77" t="n"/>
      <c r="N114" s="39" t="inlineStr">
        <is>
          <t>Inactive</t>
        </is>
      </c>
      <c r="O114" s="39" t="n"/>
      <c r="P114" s="78" t="n"/>
      <c r="Q114" s="77" t="n"/>
      <c r="R114" s="77" t="n"/>
      <c r="S114" s="77" t="n"/>
      <c r="T114" s="39" t="n"/>
    </row>
    <row r="115" ht="62" customHeight="1">
      <c r="A115" s="45" t="inlineStr">
        <is>
          <t>COMING SOON</t>
        </is>
      </c>
      <c r="B115" s="39" t="inlineStr">
        <is>
          <t>B0H423W1HM</t>
        </is>
      </c>
      <c r="C115" s="39" t="inlineStr">
        <is>
          <t>SL-SATIN-SHEET-4PC-TWIN-LAVENDER</t>
        </is>
      </c>
      <c r="D115" s="39" t="inlineStr">
        <is>
          <t>SLEEPHORIA Satin Bed Sheets - 4 Piece Luxury Silky Twin Size Bedding Set - Softer Than Silk, Wrinkle-Free with 15” Deep Pocket Fitted Sheet, Perfect for Hair &amp; Skin, Gifts for Women (Lavender)</t>
        </is>
      </c>
      <c r="E115" s="39" t="inlineStr">
        <is>
          <t>Twin</t>
        </is>
      </c>
      <c r="F115" s="39" t="inlineStr">
        <is>
          <t>Lavender</t>
        </is>
      </c>
      <c r="G115" s="40" t="n"/>
      <c r="H115" s="39" t="n"/>
      <c r="I115" s="40" t="n"/>
      <c r="J115" s="39" t="n"/>
      <c r="K115" s="40" t="n"/>
      <c r="L115" s="76" t="n"/>
      <c r="M115" s="77" t="n"/>
      <c r="N115" s="39" t="inlineStr">
        <is>
          <t>Inactive</t>
        </is>
      </c>
      <c r="O115" s="39" t="n"/>
      <c r="P115" s="78" t="n"/>
      <c r="Q115" s="77" t="n"/>
      <c r="R115" s="77" t="n"/>
      <c r="S115" s="77" t="n"/>
      <c r="T115" s="39" t="n"/>
    </row>
    <row r="116" ht="62" customHeight="1">
      <c r="A116" s="45" t="inlineStr">
        <is>
          <t>COMING SOON</t>
        </is>
      </c>
      <c r="B116" s="39" t="inlineStr">
        <is>
          <t>B0H41ZPK4W</t>
        </is>
      </c>
      <c r="C116" s="39" t="inlineStr">
        <is>
          <t>SL-SATIN-SHEET-4PC-TWIN-NAVY-BLUE</t>
        </is>
      </c>
      <c r="D116" s="39" t="inlineStr">
        <is>
          <t>SLEEPHORIA Satin Bed Sheets - 4 Piece Luxury Silky Twin Size Bedding Set - Softer Than Silk, Wrinkle-Free with 15” Deep Pocket Fitted Sheet, Perfect for Hair &amp; Skin, Gifts for Women (Navy Blue)</t>
        </is>
      </c>
      <c r="E116" s="39" t="inlineStr">
        <is>
          <t>Twin</t>
        </is>
      </c>
      <c r="F116" s="39" t="inlineStr">
        <is>
          <t>Navy Blue</t>
        </is>
      </c>
      <c r="G116" s="40" t="n"/>
      <c r="H116" s="39" t="n"/>
      <c r="I116" s="40" t="n"/>
      <c r="J116" s="39" t="n"/>
      <c r="K116" s="40" t="n"/>
      <c r="L116" s="76" t="n"/>
      <c r="M116" s="77" t="n"/>
      <c r="N116" s="39" t="inlineStr">
        <is>
          <t>Inactive</t>
        </is>
      </c>
      <c r="O116" s="39" t="n"/>
      <c r="P116" s="78" t="n"/>
      <c r="Q116" s="77" t="n"/>
      <c r="R116" s="77" t="n"/>
      <c r="S116" s="77" t="n"/>
      <c r="T116" s="39" t="n"/>
    </row>
    <row r="117" ht="62" customHeight="1">
      <c r="A117" s="45" t="inlineStr">
        <is>
          <t>COMING SOON</t>
        </is>
      </c>
      <c r="B117" s="39" t="inlineStr">
        <is>
          <t>B0H41XCYC8</t>
        </is>
      </c>
      <c r="C117" s="39" t="inlineStr">
        <is>
          <t>SL-SATIN-SHEET-4PC-TWIN-PINK</t>
        </is>
      </c>
      <c r="D117" s="39" t="inlineStr">
        <is>
          <t>SLEEPHORIA Satin Bed Sheets - 4 Piece Luxury Silky Twin Size Bedding Set - Softer Than Silk, Wrinkle-Free with 15” Deep Pocket Fitted Sheet, Perfect for Hair &amp; Skin, Gifts for Women (Pink)</t>
        </is>
      </c>
      <c r="E117" s="39" t="inlineStr">
        <is>
          <t>Twin</t>
        </is>
      </c>
      <c r="F117" s="39" t="inlineStr">
        <is>
          <t>Pink</t>
        </is>
      </c>
      <c r="G117" s="40" t="n"/>
      <c r="H117" s="39" t="n"/>
      <c r="I117" s="40" t="n"/>
      <c r="J117" s="39" t="n"/>
      <c r="K117" s="40" t="n"/>
      <c r="L117" s="76" t="n"/>
      <c r="M117" s="77" t="n"/>
      <c r="N117" s="39" t="inlineStr">
        <is>
          <t>Inactive</t>
        </is>
      </c>
      <c r="O117" s="39" t="n"/>
      <c r="P117" s="78" t="n"/>
      <c r="Q117" s="77" t="n"/>
      <c r="R117" s="77" t="n"/>
      <c r="S117" s="77" t="n"/>
      <c r="T117" s="39" t="n"/>
    </row>
    <row r="118" ht="62" customHeight="1">
      <c r="A118" s="45" t="inlineStr">
        <is>
          <t>COMING SOON</t>
        </is>
      </c>
      <c r="B118" s="39" t="inlineStr">
        <is>
          <t>B0H424XYHT</t>
        </is>
      </c>
      <c r="C118" s="39" t="inlineStr">
        <is>
          <t>SL-SATIN-SHEET-4PC-TWIN-PURPLE</t>
        </is>
      </c>
      <c r="D118" s="39" t="inlineStr">
        <is>
          <t>SLEEPHORIA Satin Bed Sheets - 4 Piece Luxury Silky Twin Size Bedding Set - Softer Than Silk, Wrinkle-Free with 15” Deep Pocket Fitted Sheet, Perfect for Hair &amp; Skin, Gifts for Women (Purple)</t>
        </is>
      </c>
      <c r="E118" s="39" t="inlineStr">
        <is>
          <t>Twin</t>
        </is>
      </c>
      <c r="F118" s="39" t="inlineStr">
        <is>
          <t>Purple</t>
        </is>
      </c>
      <c r="G118" s="40" t="n"/>
      <c r="H118" s="39" t="n"/>
      <c r="I118" s="40" t="n"/>
      <c r="J118" s="39" t="n"/>
      <c r="K118" s="40" t="n"/>
      <c r="L118" s="76" t="n"/>
      <c r="M118" s="77" t="n"/>
      <c r="N118" s="39" t="inlineStr">
        <is>
          <t>Inactive</t>
        </is>
      </c>
      <c r="O118" s="39" t="n"/>
      <c r="P118" s="78" t="n"/>
      <c r="Q118" s="77" t="n"/>
      <c r="R118" s="77" t="n"/>
      <c r="S118" s="77" t="n"/>
      <c r="T118" s="39" t="n"/>
    </row>
    <row r="119" ht="62" customHeight="1">
      <c r="A119" s="45" t="inlineStr">
        <is>
          <t>COMING SOON</t>
        </is>
      </c>
      <c r="B119" s="39" t="inlineStr">
        <is>
          <t>B0H4255P42</t>
        </is>
      </c>
      <c r="C119" s="39" t="inlineStr">
        <is>
          <t>SL-SATIN-SHEET-4PC-TWIN-RED</t>
        </is>
      </c>
      <c r="D119" s="39" t="inlineStr">
        <is>
          <t>SLEEPHORIA Satin Bed Sheets - 4 Piece Luxury Silky Twin Size Bedding Set - Softer Than Silk, Wrinkle-Free with 15” Deep Pocket Fitted Sheet, Perfect for Hair &amp; Skin, Gifts for Women (Red)</t>
        </is>
      </c>
      <c r="E119" s="39" t="inlineStr">
        <is>
          <t>Twin</t>
        </is>
      </c>
      <c r="F119" s="39" t="inlineStr">
        <is>
          <t>Red</t>
        </is>
      </c>
      <c r="G119" s="40" t="n"/>
      <c r="H119" s="39" t="n"/>
      <c r="I119" s="40" t="n"/>
      <c r="J119" s="39" t="n"/>
      <c r="K119" s="40" t="n"/>
      <c r="L119" s="76" t="n"/>
      <c r="M119" s="77" t="n"/>
      <c r="N119" s="39" t="inlineStr">
        <is>
          <t>Inactive</t>
        </is>
      </c>
      <c r="O119" s="39" t="n"/>
      <c r="P119" s="78" t="n"/>
      <c r="Q119" s="77" t="n"/>
      <c r="R119" s="77" t="n"/>
      <c r="S119" s="77" t="n"/>
      <c r="T119" s="39" t="n"/>
    </row>
    <row r="120" ht="62" customHeight="1">
      <c r="A120" s="45" t="inlineStr">
        <is>
          <t>COMING SOON</t>
        </is>
      </c>
      <c r="B120" s="39" t="inlineStr">
        <is>
          <t>B0H41YXWTS</t>
        </is>
      </c>
      <c r="C120" s="39" t="inlineStr">
        <is>
          <t>SL-SATIN-SHEET-4PC-TWIN-ROSEWOOD</t>
        </is>
      </c>
      <c r="D120" s="39" t="inlineStr">
        <is>
          <t>SLEEPHORIA Satin Bed Sheets - 4 Piece Luxury Silky Twin Size Bedding Set - Softer Than Silk, Wrinkle-Free with 15” Deep Pocket Fitted Sheet, Perfect for Hair &amp; Skin, Gifts for Women (Rosewood)</t>
        </is>
      </c>
      <c r="E120" s="39" t="inlineStr">
        <is>
          <t>Twin</t>
        </is>
      </c>
      <c r="F120" s="39" t="inlineStr">
        <is>
          <t>Rosewood</t>
        </is>
      </c>
      <c r="G120" s="40" t="n"/>
      <c r="H120" s="39" t="n"/>
      <c r="I120" s="40" t="n"/>
      <c r="J120" s="39" t="n"/>
      <c r="K120" s="40" t="n"/>
      <c r="L120" s="76" t="n"/>
      <c r="M120" s="77" t="n"/>
      <c r="N120" s="39" t="inlineStr">
        <is>
          <t>Inactive</t>
        </is>
      </c>
      <c r="O120" s="39" t="n"/>
      <c r="P120" s="78" t="n"/>
      <c r="Q120" s="77" t="n"/>
      <c r="R120" s="77" t="n"/>
      <c r="S120" s="77" t="n"/>
      <c r="T120" s="39" t="n"/>
    </row>
    <row r="121" ht="62" customHeight="1">
      <c r="A121" s="45" t="inlineStr">
        <is>
          <t>COMING SOON</t>
        </is>
      </c>
      <c r="B121" s="39" t="inlineStr">
        <is>
          <t>B0H41VNKSF</t>
        </is>
      </c>
      <c r="C121" s="39" t="inlineStr">
        <is>
          <t>SL-SATIN-SHEET-4PC-TWIN-SAGE-GREEN</t>
        </is>
      </c>
      <c r="D121" s="39" t="inlineStr">
        <is>
          <t>SLEEPHORIA Satin Bed Sheets - 4 Piece Luxury Silky Twin Size Bedding Set - Softer Than Silk, Wrinkle-Free with 15” Deep Pocket Fitted Sheet, Perfect for Hair &amp; Skin, Gifts for Women (Sage Green)</t>
        </is>
      </c>
      <c r="E121" s="39" t="inlineStr">
        <is>
          <t>Twin</t>
        </is>
      </c>
      <c r="F121" s="39" t="inlineStr">
        <is>
          <t>Sage Green</t>
        </is>
      </c>
      <c r="G121" s="40" t="n"/>
      <c r="H121" s="39" t="n"/>
      <c r="I121" s="40" t="n"/>
      <c r="J121" s="39" t="n"/>
      <c r="K121" s="40" t="n"/>
      <c r="L121" s="76" t="n"/>
      <c r="M121" s="77" t="n"/>
      <c r="N121" s="39" t="inlineStr">
        <is>
          <t>Inactive</t>
        </is>
      </c>
      <c r="O121" s="39" t="n"/>
      <c r="P121" s="78" t="n"/>
      <c r="Q121" s="77" t="n"/>
      <c r="R121" s="77" t="n"/>
      <c r="S121" s="77" t="n"/>
      <c r="T121" s="39" t="n"/>
    </row>
    <row r="122" ht="62" customHeight="1">
      <c r="A122" s="45" t="inlineStr">
        <is>
          <t>COMING SOON</t>
        </is>
      </c>
      <c r="B122" s="39" t="inlineStr">
        <is>
          <t>B0H41ZKZTF</t>
        </is>
      </c>
      <c r="C122" s="39" t="inlineStr">
        <is>
          <t>SL-SATIN-SHEET-4PC-TWIN-SEA-TEAL</t>
        </is>
      </c>
      <c r="D122" s="39" t="inlineStr">
        <is>
          <t>SLEEPHORIA Satin Bed Sheets - 4 Piece Luxury Silky Twin Size Bedding Set - Softer Than Silk, Wrinkle-Free with 15” Deep Pocket Fitted Sheet, Perfect for Hair &amp; Skin, Gifts for Women (Sea Teal)</t>
        </is>
      </c>
      <c r="E122" s="39" t="inlineStr">
        <is>
          <t>Twin</t>
        </is>
      </c>
      <c r="F122" s="39" t="inlineStr">
        <is>
          <t>Sea Teal</t>
        </is>
      </c>
      <c r="G122" s="40" t="n"/>
      <c r="H122" s="39" t="n"/>
      <c r="I122" s="40" t="n"/>
      <c r="J122" s="39" t="n"/>
      <c r="K122" s="40" t="n"/>
      <c r="L122" s="76" t="n"/>
      <c r="M122" s="77" t="n"/>
      <c r="N122" s="39" t="inlineStr">
        <is>
          <t>Inactive</t>
        </is>
      </c>
      <c r="O122" s="39" t="n"/>
      <c r="P122" s="78" t="n"/>
      <c r="Q122" s="77" t="n"/>
      <c r="R122" s="77" t="n"/>
      <c r="S122" s="77" t="n"/>
      <c r="T122" s="39" t="n"/>
    </row>
    <row r="123" ht="62" customHeight="1">
      <c r="A123" s="45" t="inlineStr">
        <is>
          <t>COMING SOON</t>
        </is>
      </c>
      <c r="B123" s="39" t="inlineStr">
        <is>
          <t>B0H41R2JQV</t>
        </is>
      </c>
      <c r="C123" s="39" t="inlineStr">
        <is>
          <t>SL-SATIN-SHEET-4PC-TWIN-STONE-GREY</t>
        </is>
      </c>
      <c r="D123" s="39" t="inlineStr">
        <is>
          <t>SLEEPHORIA Satin Bed Sheets - 4 Piece Luxury Silky Twin Size Bedding Set - Softer Than Silk, Wrinkle-Free with 15” Deep Pocket Fitted Sheet, Perfect for Hair &amp; Skin, Gifts for Women (Stone Grey)</t>
        </is>
      </c>
      <c r="E123" s="39" t="inlineStr">
        <is>
          <t>Twin</t>
        </is>
      </c>
      <c r="F123" s="39" t="inlineStr">
        <is>
          <t>Stone Grey</t>
        </is>
      </c>
      <c r="G123" s="40" t="n"/>
      <c r="H123" s="39" t="n"/>
      <c r="I123" s="40" t="n"/>
      <c r="J123" s="39" t="n"/>
      <c r="K123" s="40" t="n"/>
      <c r="L123" s="76" t="n"/>
      <c r="M123" s="77" t="n"/>
      <c r="N123" s="39" t="inlineStr">
        <is>
          <t>Inactive</t>
        </is>
      </c>
      <c r="O123" s="39" t="n"/>
      <c r="P123" s="78" t="n"/>
      <c r="Q123" s="77" t="n"/>
      <c r="R123" s="77" t="n"/>
      <c r="S123" s="77" t="n"/>
      <c r="T123" s="39" t="n"/>
    </row>
    <row r="124" ht="62" customHeight="1">
      <c r="A124" s="45" t="inlineStr">
        <is>
          <t>COMING SOON</t>
        </is>
      </c>
      <c r="B124" s="39" t="inlineStr">
        <is>
          <t>B0H423FRMY</t>
        </is>
      </c>
      <c r="C124" s="39" t="inlineStr">
        <is>
          <t>SL-SATIN-SHEET-4PC-TWIN-STRIPED-BLACK</t>
        </is>
      </c>
      <c r="D124" s="39" t="inlineStr">
        <is>
          <t>SLEEPHORIA Satin Bed Sheets - 4 Piece Luxury Silky Twin Size Bedding Set - Softer Than Silk, Wrinkle-Free with 15” Deep Pocket Fitted Sheet, Perfect for Hair &amp; Skin, Gifts for Women (Striped Black)</t>
        </is>
      </c>
      <c r="E124" s="39" t="inlineStr">
        <is>
          <t>Twin</t>
        </is>
      </c>
      <c r="F124" s="39" t="inlineStr">
        <is>
          <t>Striped Black</t>
        </is>
      </c>
      <c r="G124" s="40" t="n"/>
      <c r="H124" s="39" t="n"/>
      <c r="I124" s="40" t="n"/>
      <c r="J124" s="39" t="n"/>
      <c r="K124" s="40" t="n"/>
      <c r="L124" s="76" t="n"/>
      <c r="M124" s="77" t="n"/>
      <c r="N124" s="39" t="inlineStr">
        <is>
          <t>Inactive</t>
        </is>
      </c>
      <c r="O124" s="39" t="n"/>
      <c r="P124" s="78" t="n"/>
      <c r="Q124" s="77" t="n"/>
      <c r="R124" s="77" t="n"/>
      <c r="S124" s="77" t="n"/>
      <c r="T124" s="39" t="n"/>
    </row>
    <row r="125" ht="62" customHeight="1">
      <c r="A125" s="45" t="inlineStr">
        <is>
          <t>COMING SOON</t>
        </is>
      </c>
      <c r="B125" s="39" t="inlineStr">
        <is>
          <t>B0H4226KP2</t>
        </is>
      </c>
      <c r="C125" s="39" t="inlineStr">
        <is>
          <t>SL-SATIN-SHEET-4PC-TWIN-STRIPED-BLUE</t>
        </is>
      </c>
      <c r="D125" s="39" t="inlineStr">
        <is>
          <t>SLEEPHORIA Satin Bed Sheets - 4 Piece Luxury Silky Twin Size Bedding Set - Softer Than Silk, Wrinkle-Free with 15” Deep Pocket Fitted Sheet, Perfect for Hair &amp; Skin, Gifts for Women (Striped Blue)</t>
        </is>
      </c>
      <c r="E125" s="39" t="inlineStr">
        <is>
          <t>Twin</t>
        </is>
      </c>
      <c r="F125" s="39" t="inlineStr">
        <is>
          <t>Striped Blue</t>
        </is>
      </c>
      <c r="G125" s="40" t="n"/>
      <c r="H125" s="39" t="n"/>
      <c r="I125" s="40" t="n"/>
      <c r="J125" s="39" t="n"/>
      <c r="K125" s="40" t="n"/>
      <c r="L125" s="76" t="n"/>
      <c r="M125" s="77" t="n"/>
      <c r="N125" s="39" t="inlineStr">
        <is>
          <t>Inactive</t>
        </is>
      </c>
      <c r="O125" s="39" t="n"/>
      <c r="P125" s="78" t="n"/>
      <c r="Q125" s="77" t="n"/>
      <c r="R125" s="77" t="n"/>
      <c r="S125" s="77" t="n"/>
      <c r="T125" s="39" t="n"/>
    </row>
    <row r="126" ht="62" customHeight="1">
      <c r="A126" s="45" t="inlineStr">
        <is>
          <t>COMING SOON</t>
        </is>
      </c>
      <c r="B126" s="39" t="inlineStr">
        <is>
          <t>B0H41X7W9J</t>
        </is>
      </c>
      <c r="C126" s="39" t="inlineStr">
        <is>
          <t>SL-SATIN-SHEET-4PC-TWIN-STRIPED-GOLD</t>
        </is>
      </c>
      <c r="D126" s="39" t="inlineStr">
        <is>
          <t>SLEEPHORIA Satin Bed Sheets - 4 Piece Luxury Silky Twin Size Bedding Set - Softer Than Silk, Wrinkle-Free with 15” Deep Pocket Fitted Sheet, Perfect for Hair &amp; Skin, Gifts for Women (Striped Gold)</t>
        </is>
      </c>
      <c r="E126" s="39" t="inlineStr">
        <is>
          <t>Twin</t>
        </is>
      </c>
      <c r="F126" s="39" t="inlineStr">
        <is>
          <t>Striped Gold</t>
        </is>
      </c>
      <c r="G126" s="40" t="n"/>
      <c r="H126" s="39" t="n"/>
      <c r="I126" s="40" t="n"/>
      <c r="J126" s="39" t="n"/>
      <c r="K126" s="40" t="n"/>
      <c r="L126" s="76" t="n"/>
      <c r="M126" s="77" t="n"/>
      <c r="N126" s="39" t="inlineStr">
        <is>
          <t>Inactive</t>
        </is>
      </c>
      <c r="O126" s="39" t="n"/>
      <c r="P126" s="78" t="n"/>
      <c r="Q126" s="77" t="n"/>
      <c r="R126" s="77" t="n"/>
      <c r="S126" s="77" t="n"/>
      <c r="T126" s="39" t="n"/>
    </row>
    <row r="127" ht="62" customHeight="1">
      <c r="A127" s="45" t="inlineStr">
        <is>
          <t>COMING SOON</t>
        </is>
      </c>
      <c r="B127" s="39" t="inlineStr">
        <is>
          <t>B0H41V67BY</t>
        </is>
      </c>
      <c r="C127" s="39" t="inlineStr">
        <is>
          <t>SL-SATIN-SHEET-4PC-TWIN-STRIPED-GREY</t>
        </is>
      </c>
      <c r="D127" s="39" t="inlineStr">
        <is>
          <t>SLEEPHORIA Satin Bed Sheets - 4 Piece Luxury Silky Twin Size Bedding Set - Softer Than Silk, Wrinkle-Free with 15” Deep Pocket Fitted Sheet, Perfect for Hair &amp; Skin, Gifts for Women (Striped Grey)</t>
        </is>
      </c>
      <c r="E127" s="39" t="inlineStr">
        <is>
          <t>Twin</t>
        </is>
      </c>
      <c r="F127" s="39" t="inlineStr">
        <is>
          <t>Striped Grey</t>
        </is>
      </c>
      <c r="G127" s="40" t="n"/>
      <c r="H127" s="39" t="n"/>
      <c r="I127" s="40" t="n"/>
      <c r="J127" s="39" t="n"/>
      <c r="K127" s="40" t="n"/>
      <c r="L127" s="76" t="n"/>
      <c r="M127" s="77" t="n"/>
      <c r="N127" s="39" t="inlineStr">
        <is>
          <t>Inactive</t>
        </is>
      </c>
      <c r="O127" s="39" t="n"/>
      <c r="P127" s="78" t="n"/>
      <c r="Q127" s="77" t="n"/>
      <c r="R127" s="77" t="n"/>
      <c r="S127" s="77" t="n"/>
      <c r="T127" s="39" t="n"/>
    </row>
    <row r="128" ht="62" customHeight="1">
      <c r="A128" s="45" t="inlineStr">
        <is>
          <t>COMING SOON</t>
        </is>
      </c>
      <c r="B128" s="39" t="inlineStr">
        <is>
          <t>B0H41Y2C4B</t>
        </is>
      </c>
      <c r="C128" s="39" t="inlineStr">
        <is>
          <t>SL-SATIN-SHEET-4PC-TWIN-STRIPED-PINK</t>
        </is>
      </c>
      <c r="D128" s="39" t="inlineStr">
        <is>
          <t>SLEEPHORIA Satin Bed Sheets - 4 Piece Luxury Silky Twin Size Bedding Set - Softer Than Silk, Wrinkle-Free with 15” Deep Pocket Fitted Sheet, Perfect for Hair &amp; Skin, Gifts for Women (Striped Pink)</t>
        </is>
      </c>
      <c r="E128" s="39" t="inlineStr">
        <is>
          <t>Twin</t>
        </is>
      </c>
      <c r="F128" s="39" t="inlineStr">
        <is>
          <t>Striped Pink</t>
        </is>
      </c>
      <c r="G128" s="40" t="n"/>
      <c r="H128" s="39" t="n"/>
      <c r="I128" s="40" t="n"/>
      <c r="J128" s="39" t="n"/>
      <c r="K128" s="40" t="n"/>
      <c r="L128" s="76" t="n"/>
      <c r="M128" s="77" t="n"/>
      <c r="N128" s="39" t="inlineStr">
        <is>
          <t>Inactive</t>
        </is>
      </c>
      <c r="O128" s="39" t="n"/>
      <c r="P128" s="78" t="n"/>
      <c r="Q128" s="77" t="n"/>
      <c r="R128" s="77" t="n"/>
      <c r="S128" s="77" t="n"/>
      <c r="T128" s="39" t="n"/>
    </row>
    <row r="129" ht="62" customHeight="1">
      <c r="A129" s="45" t="inlineStr">
        <is>
          <t>COMING SOON</t>
        </is>
      </c>
      <c r="B129" s="39" t="inlineStr">
        <is>
          <t>B0H41Z4QK4</t>
        </is>
      </c>
      <c r="C129" s="39" t="inlineStr">
        <is>
          <t>SL-SATIN-SHEET-4PC-TWIN-STRIPED-PURPLE</t>
        </is>
      </c>
      <c r="D129" s="39" t="inlineStr">
        <is>
          <t>SLEEPHORIA Satin Bed Sheets - 4 Piece Luxury Silky Twin Size Bedding Set - Softer Than Silk, Wrinkle-Free with 15” Deep Pocket Fitted Sheet, Perfect for Hair &amp; Skin, Gifts for Women (Striped Purple)</t>
        </is>
      </c>
      <c r="E129" s="39" t="inlineStr">
        <is>
          <t>Twin</t>
        </is>
      </c>
      <c r="F129" s="39" t="inlineStr">
        <is>
          <t>Striped Purple</t>
        </is>
      </c>
      <c r="G129" s="40" t="n"/>
      <c r="H129" s="39" t="n"/>
      <c r="I129" s="40" t="n"/>
      <c r="J129" s="39" t="n"/>
      <c r="K129" s="40" t="n"/>
      <c r="L129" s="76" t="n"/>
      <c r="M129" s="77" t="n"/>
      <c r="N129" s="39" t="inlineStr">
        <is>
          <t>Inactive</t>
        </is>
      </c>
      <c r="O129" s="39" t="n"/>
      <c r="P129" s="78" t="n"/>
      <c r="Q129" s="77" t="n"/>
      <c r="R129" s="77" t="n"/>
      <c r="S129" s="77" t="n"/>
      <c r="T129" s="39" t="n"/>
    </row>
    <row r="130" ht="62" customHeight="1">
      <c r="A130" s="45" t="inlineStr">
        <is>
          <t>COMING SOON</t>
        </is>
      </c>
      <c r="B130" s="39" t="inlineStr">
        <is>
          <t>B0H41YSKM4</t>
        </is>
      </c>
      <c r="C130" s="39" t="inlineStr">
        <is>
          <t>SL-SATIN-SHEET-4PC-TWIN-STRIPED-RED</t>
        </is>
      </c>
      <c r="D130" s="39" t="inlineStr">
        <is>
          <t>SLEEPHORIA Satin Bed Sheets - 4 Piece Luxury Silky Twin Size Bedding Set - Softer Than Silk, Wrinkle-Free with 15” Deep Pocket Fitted Sheet, Perfect for Hair &amp; Skin, Gifts for Women (Striped Red)</t>
        </is>
      </c>
      <c r="E130" s="39" t="inlineStr">
        <is>
          <t>Twin</t>
        </is>
      </c>
      <c r="F130" s="39" t="inlineStr">
        <is>
          <t>Striped Red</t>
        </is>
      </c>
      <c r="G130" s="40" t="n"/>
      <c r="H130" s="39" t="n"/>
      <c r="I130" s="40" t="n"/>
      <c r="J130" s="39" t="n"/>
      <c r="K130" s="40" t="n"/>
      <c r="L130" s="76" t="n"/>
      <c r="M130" s="77" t="n"/>
      <c r="N130" s="39" t="inlineStr">
        <is>
          <t>Inactive</t>
        </is>
      </c>
      <c r="O130" s="39" t="n"/>
      <c r="P130" s="78" t="n"/>
      <c r="Q130" s="77" t="n"/>
      <c r="R130" s="77" t="n"/>
      <c r="S130" s="77" t="n"/>
      <c r="T130" s="39" t="n"/>
    </row>
    <row r="131" ht="62" customHeight="1">
      <c r="A131" s="45" t="inlineStr">
        <is>
          <t>COMING SOON</t>
        </is>
      </c>
      <c r="B131" s="39" t="inlineStr">
        <is>
          <t>B0H422LDBX</t>
        </is>
      </c>
      <c r="C131" s="39" t="inlineStr">
        <is>
          <t>SL-SATIN-SHEET-4PC-TWIN-STRIPED-WHITE</t>
        </is>
      </c>
      <c r="D131" s="39" t="inlineStr">
        <is>
          <t>SLEEPHORIA Satin Bed Sheets - 4 Piece Luxury Silky Twin Size Bedding Set - Softer Than Silk, Wrinkle-Free with 15” Deep Pocket Fitted Sheet, Perfect for Hair &amp; Skin, Gifts for Women (Striped White)</t>
        </is>
      </c>
      <c r="E131" s="39" t="inlineStr">
        <is>
          <t>Twin</t>
        </is>
      </c>
      <c r="F131" s="39" t="inlineStr">
        <is>
          <t>Striped White</t>
        </is>
      </c>
      <c r="G131" s="40" t="n"/>
      <c r="H131" s="39" t="n"/>
      <c r="I131" s="40" t="n"/>
      <c r="J131" s="39" t="n"/>
      <c r="K131" s="40" t="n"/>
      <c r="L131" s="76" t="n"/>
      <c r="M131" s="77" t="n"/>
      <c r="N131" s="39" t="inlineStr">
        <is>
          <t>Inactive</t>
        </is>
      </c>
      <c r="O131" s="39" t="n"/>
      <c r="P131" s="78" t="n"/>
      <c r="Q131" s="77" t="n"/>
      <c r="R131" s="77" t="n"/>
      <c r="S131" s="77" t="n"/>
      <c r="T131" s="39" t="n"/>
    </row>
    <row r="132" ht="62" customHeight="1">
      <c r="A132" s="45" t="inlineStr">
        <is>
          <t>COMING SOON</t>
        </is>
      </c>
      <c r="B132" s="39" t="inlineStr">
        <is>
          <t>B0H424691C</t>
        </is>
      </c>
      <c r="C132" s="39" t="inlineStr">
        <is>
          <t>SL-SATIN-SHEET-4PC-TWIN-TAUPE</t>
        </is>
      </c>
      <c r="D132" s="39" t="inlineStr">
        <is>
          <t>SLEEPHORIA Satin Bed Sheets - 4 Piece Luxury Silky Twin Size Bedding Set - Softer Than Silk, Wrinkle-Free with 15” Deep Pocket Fitted Sheet, Perfect for Hair &amp; Skin, Gifts for Women (Taupe)</t>
        </is>
      </c>
      <c r="E132" s="39" t="inlineStr">
        <is>
          <t>Twin</t>
        </is>
      </c>
      <c r="F132" s="39" t="inlineStr">
        <is>
          <t>Taupe</t>
        </is>
      </c>
      <c r="G132" s="40" t="n"/>
      <c r="H132" s="39" t="n"/>
      <c r="I132" s="40" t="n"/>
      <c r="J132" s="39" t="n"/>
      <c r="K132" s="40" t="n"/>
      <c r="L132" s="76" t="n"/>
      <c r="M132" s="77" t="n"/>
      <c r="N132" s="39" t="inlineStr">
        <is>
          <t>Inactive</t>
        </is>
      </c>
      <c r="O132" s="39" t="n"/>
      <c r="P132" s="78" t="n"/>
      <c r="Q132" s="77" t="n"/>
      <c r="R132" s="77" t="n"/>
      <c r="S132" s="77" t="n"/>
      <c r="T132" s="39" t="n"/>
    </row>
    <row r="133" ht="62" customHeight="1">
      <c r="A133" s="45" t="inlineStr">
        <is>
          <t>COMING SOON</t>
        </is>
      </c>
      <c r="B133" s="39" t="inlineStr">
        <is>
          <t>B0H4217ZM6</t>
        </is>
      </c>
      <c r="C133" s="39" t="inlineStr">
        <is>
          <t>SL-SATIN-SHEET-4PC-TWIN-WHITE</t>
        </is>
      </c>
      <c r="D133" s="39" t="inlineStr">
        <is>
          <t>SLEEPHORIA Satin Bed Sheets - 4 Piece Luxury Silky Twin Size Bedding Set - Softer Than Silk, Wrinkle-Free with 15” Deep Pocket Fitted Sheet, Perfect for Hair &amp; Skin, Gifts for Women (White)</t>
        </is>
      </c>
      <c r="E133" s="39" t="inlineStr">
        <is>
          <t>Twin</t>
        </is>
      </c>
      <c r="F133" s="39" t="inlineStr">
        <is>
          <t>White</t>
        </is>
      </c>
      <c r="G133" s="40" t="n"/>
      <c r="H133" s="39" t="n"/>
      <c r="I133" s="40" t="n"/>
      <c r="J133" s="39" t="n"/>
      <c r="K133" s="40" t="n"/>
      <c r="L133" s="76" t="n"/>
      <c r="M133" s="77" t="n"/>
      <c r="N133" s="39" t="inlineStr">
        <is>
          <t>Inactive</t>
        </is>
      </c>
      <c r="O133" s="39" t="n"/>
      <c r="P133" s="78" t="n"/>
      <c r="Q133" s="77" t="n"/>
      <c r="R133" s="77" t="n"/>
      <c r="S133" s="77" t="n"/>
      <c r="T133" s="39" t="n"/>
    </row>
    <row r="134"/>
    <row r="135" ht="22" customHeight="1">
      <c r="A135" s="65" t="inlineStr">
        <is>
          <t>3 ▼</t>
        </is>
      </c>
      <c r="B135" s="66" t="inlineStr">
        <is>
          <t>OUR BFCM 2025 RESULT &amp; EVENT VISIBILITY</t>
        </is>
      </c>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c r="AC135" s="67" t="n"/>
      <c r="AD135" s="67" t="n"/>
      <c r="AE135" s="67" t="n"/>
      <c r="AF135" s="67" t="n"/>
      <c r="AG135" s="67" t="n"/>
      <c r="AH135" s="67" t="n"/>
      <c r="AI135" s="67" t="n"/>
      <c r="AJ135" s="67" t="n"/>
      <c r="AK135" s="67" t="n"/>
      <c r="AL135" s="67" t="n"/>
      <c r="AM135" s="67" t="n"/>
      <c r="AN135" s="67" t="n"/>
      <c r="AO135" s="67" t="n"/>
      <c r="AP135" s="67" t="n"/>
      <c r="AQ135" s="67" t="n"/>
      <c r="AR135" s="67" t="n"/>
      <c r="AS135" s="67" t="n"/>
      <c r="AT135" s="67" t="n"/>
      <c r="AU135" s="67" t="n"/>
      <c r="AV135" s="67" t="n"/>
      <c r="AW135" s="67" t="n"/>
      <c r="AX135" s="67" t="n"/>
      <c r="AY135" s="67" t="n"/>
      <c r="AZ135" s="67" t="n"/>
      <c r="BA135" s="67" t="n"/>
      <c r="BB135" s="67" t="n"/>
      <c r="BC135" s="67" t="n"/>
      <c r="BD135" s="67" t="n"/>
      <c r="BE135" s="67" t="n"/>
      <c r="BF135" s="67" t="n"/>
      <c r="BG135" s="67" t="n"/>
      <c r="BH135" s="67" t="n"/>
      <c r="BI135" s="67" t="n"/>
      <c r="BJ135" s="67" t="n"/>
      <c r="BK135" s="67" t="n"/>
    </row>
    <row r="136">
      <c r="A136" s="80" t="inlineStr">
        <is>
          <t>Window</t>
        </is>
      </c>
      <c r="B136" s="81" t="n"/>
      <c r="C136" s="82" t="n"/>
      <c r="D136" s="80" t="inlineStr">
        <is>
          <t>Ad spend</t>
        </is>
      </c>
      <c r="E136" s="80" t="inlineStr">
        <is>
          <t>Ad sales</t>
        </is>
      </c>
      <c r="F136" s="80" t="inlineStr">
        <is>
          <t>ACoS</t>
        </is>
      </c>
      <c r="G136" s="80" t="inlineStr">
        <is>
          <t>TACoS</t>
        </is>
      </c>
      <c r="H136" s="80" t="inlineStr">
        <is>
          <t>Total sales (derived)</t>
        </is>
      </c>
      <c r="J136" s="80" t="inlineStr">
        <is>
          <t>Ad orders</t>
        </is>
      </c>
      <c r="K136" s="80" t="inlineStr">
        <is>
          <t>CVR</t>
        </is>
      </c>
    </row>
    <row r="137">
      <c r="A137" s="83" t="inlineStr">
        <is>
          <t>Pre-event Oct 21 - Nov 19, 2025 (30d)</t>
        </is>
      </c>
      <c r="B137" s="81" t="n"/>
      <c r="C137" s="82" t="n"/>
      <c r="D137" s="84" t="n"/>
      <c r="E137" s="84" t="n"/>
      <c r="F137" s="85" t="n"/>
      <c r="G137" s="85" t="n"/>
      <c r="H137" s="84" t="n"/>
      <c r="J137" s="86" t="n"/>
      <c r="K137" s="87" t="n"/>
    </row>
    <row r="138">
      <c r="A138" s="83" t="inlineStr">
        <is>
          <t>BFCM week Nov 20 - Dec 1, 2025 (12d)</t>
        </is>
      </c>
      <c r="B138" s="81" t="n"/>
      <c r="C138" s="82" t="n"/>
      <c r="D138" s="84" t="n"/>
      <c r="E138" s="84" t="n"/>
      <c r="F138" s="85" t="n"/>
      <c r="G138" s="85" t="n"/>
      <c r="H138" s="84" t="n"/>
      <c r="J138" s="86" t="n"/>
      <c r="K138" s="87" t="n"/>
    </row>
    <row r="139">
      <c r="A139" s="83" t="inlineStr">
        <is>
          <t>December 2 - 31, 2025 (30d)</t>
        </is>
      </c>
      <c r="B139" s="81" t="n"/>
      <c r="C139" s="82" t="n"/>
      <c r="D139" s="84" t="n"/>
      <c r="E139" s="84" t="n"/>
      <c r="F139" s="85" t="n"/>
      <c r="G139" s="85" t="n"/>
      <c r="H139" s="84" t="n"/>
      <c r="J139" s="86" t="n"/>
      <c r="K139" s="87" t="n"/>
    </row>
    <row r="140" ht="18" customHeight="1">
      <c r="A140" s="94" t="inlineStr">
        <is>
          <t>BFCM 2026 plan: NOT IN A DEAL. the team confirmed that products without a planned deal are not in any BFCM 2026 deal; they sell at their regular price.</t>
        </is>
      </c>
    </row>
    <row r="141">
      <c r="A141" s="90" t="inlineStr">
        <is>
          <t>No market data visibility history for our best child ASIN.</t>
        </is>
      </c>
    </row>
    <row r="142">
      <c r="A142" s="132" t="inlineStr">
        <is>
          <t>No BFCM 2025 PPC data for this product (not advertised or launched after BFCM 2025).</t>
        </is>
      </c>
    </row>
    <row r="143"/>
    <row r="144" ht="22" customHeight="1">
      <c r="A144" s="65" t="inlineStr">
        <is>
          <t>4 ▼</t>
        </is>
      </c>
      <c r="B144" s="66" t="inlineStr">
        <is>
          <t>COMPETITOR LANDSCAPE (27 mapped)</t>
        </is>
      </c>
      <c r="C144" s="67" t="n"/>
      <c r="D144" s="67" t="n"/>
      <c r="E144" s="67" t="n"/>
      <c r="F144" s="67" t="n"/>
      <c r="G144" s="67" t="n"/>
      <c r="H144" s="67" t="n"/>
      <c r="I144" s="67" t="n"/>
      <c r="J144" s="67" t="n"/>
      <c r="K144" s="67" t="n"/>
      <c r="L144" s="67" t="n"/>
      <c r="M144" s="67" t="n"/>
      <c r="N144" s="67" t="n"/>
      <c r="O144" s="67" t="n"/>
      <c r="P144" s="67" t="n"/>
      <c r="Q144" s="67" t="n"/>
      <c r="R144" s="67" t="n"/>
      <c r="S144" s="67" t="n"/>
      <c r="T144" s="67" t="n"/>
      <c r="U144" s="67" t="n"/>
      <c r="V144" s="67" t="n"/>
      <c r="W144" s="67" t="n"/>
      <c r="X144" s="67" t="n"/>
      <c r="Y144" s="67" t="n"/>
      <c r="Z144" s="67" t="n"/>
      <c r="AA144" s="67" t="n"/>
      <c r="AB144" s="67" t="n"/>
      <c r="AC144" s="67" t="n"/>
      <c r="AD144" s="67" t="n"/>
      <c r="AE144" s="67" t="n"/>
      <c r="AF144" s="67" t="n"/>
      <c r="AG144" s="67" t="n"/>
      <c r="AH144" s="67" t="n"/>
      <c r="AI144" s="67" t="n"/>
      <c r="AJ144" s="67" t="n"/>
      <c r="AK144" s="67" t="n"/>
      <c r="AL144" s="67" t="n"/>
      <c r="AM144" s="67" t="n"/>
      <c r="AN144" s="67" t="n"/>
      <c r="AO144" s="67" t="n"/>
      <c r="AP144" s="67" t="n"/>
      <c r="AQ144" s="67" t="n"/>
      <c r="AR144" s="67" t="n"/>
      <c r="AS144" s="67" t="n"/>
      <c r="AT144" s="67" t="n"/>
      <c r="AU144" s="67" t="n"/>
      <c r="AV144" s="67" t="n"/>
      <c r="AW144" s="67" t="n"/>
      <c r="AX144" s="67" t="n"/>
      <c r="AY144" s="67" t="n"/>
      <c r="AZ144" s="67" t="n"/>
      <c r="BA144" s="67" t="n"/>
      <c r="BB144" s="67" t="n"/>
      <c r="BC144" s="67" t="n"/>
      <c r="BD144" s="67" t="n"/>
      <c r="BE144" s="67" t="n"/>
      <c r="BF144" s="67" t="n"/>
      <c r="BG144" s="67" t="n"/>
      <c r="BH144" s="67" t="n"/>
      <c r="BI144" s="67" t="n"/>
      <c r="BJ144" s="67" t="n"/>
      <c r="BK144" s="67" t="n"/>
    </row>
    <row r="145" ht="20" customHeight="1">
      <c r="A145" s="96" t="inlineStr">
        <is>
          <t>▼▼▼</t>
        </is>
      </c>
      <c r="B145" s="97" t="inlineStr">
        <is>
          <t>COMPETITOR DATA BELOW: one row per competitor (18 direct first, then alternative material). Scroll right for listing, search, strikethrough now and BFCM 2025 history (deal type, price, discount, rank change).</t>
        </is>
      </c>
      <c r="C145" s="98" t="n"/>
      <c r="D145" s="98" t="n"/>
      <c r="E145" s="98" t="n"/>
      <c r="F145" s="98" t="n"/>
      <c r="G145" s="98" t="n"/>
      <c r="H145" s="98" t="n"/>
      <c r="I145" s="98" t="n"/>
      <c r="J145" s="98" t="n"/>
      <c r="K145" s="98" t="n"/>
      <c r="L145" s="98" t="n"/>
      <c r="M145" s="98" t="n"/>
      <c r="N145" s="98" t="n"/>
      <c r="O145" s="98" t="n"/>
      <c r="P145" s="98" t="n"/>
      <c r="Q145" s="98" t="n"/>
      <c r="R145" s="98" t="n"/>
      <c r="S145" s="98" t="n"/>
      <c r="T145" s="98" t="n"/>
      <c r="U145" s="98" t="n"/>
      <c r="V145" s="98" t="n"/>
      <c r="W145" s="98" t="n"/>
      <c r="X145" s="98" t="n"/>
      <c r="Y145" s="98" t="n"/>
      <c r="Z145" s="98" t="n"/>
      <c r="AA145" s="98" t="n"/>
      <c r="AB145" s="98" t="n"/>
      <c r="AC145" s="98" t="n"/>
      <c r="AD145" s="98" t="n"/>
      <c r="AE145" s="98" t="n"/>
      <c r="AF145" s="98" t="n"/>
      <c r="AG145" s="98" t="n"/>
      <c r="AH145" s="98" t="n"/>
      <c r="AI145" s="98" t="n"/>
      <c r="AJ145" s="98" t="n"/>
      <c r="AK145" s="98" t="n"/>
      <c r="AL145" s="98" t="n"/>
      <c r="AM145" s="98" t="n"/>
      <c r="AN145" s="98" t="n"/>
      <c r="AO145" s="98" t="n"/>
      <c r="AP145" s="98" t="n"/>
      <c r="AQ145" s="98" t="n"/>
      <c r="AR145" s="98" t="n"/>
      <c r="AS145" s="98" t="n"/>
      <c r="AT145" s="98" t="n"/>
      <c r="AU145" s="98" t="n"/>
      <c r="AV145" s="98" t="n"/>
      <c r="AW145" s="98" t="n"/>
      <c r="AX145" s="98" t="n"/>
      <c r="AY145" s="98" t="n"/>
      <c r="AZ145" s="98" t="n"/>
      <c r="BA145" s="98" t="n"/>
      <c r="BB145" s="98" t="n"/>
      <c r="BC145" s="98" t="n"/>
      <c r="BD145" s="98" t="n"/>
      <c r="BE145" s="98" t="n"/>
      <c r="BF145" s="98" t="n"/>
      <c r="BG145" s="98" t="n"/>
      <c r="BH145" s="98" t="n"/>
      <c r="BI145" s="98" t="n"/>
      <c r="BJ145" s="98" t="n"/>
      <c r="BK145" s="98" t="n"/>
    </row>
    <row r="146">
      <c r="A146" s="99" t="inlineStr">
        <is>
          <t>COMPETITOR</t>
        </is>
      </c>
      <c r="L146" s="100" t="inlineStr">
        <is>
          <t>LISTING - catalog data</t>
        </is>
      </c>
      <c r="M146" s="101" t="inlineStr">
        <is>
          <t>SEARCH STRATEGY - market data search data</t>
        </is>
      </c>
      <c r="N146" s="102" t="inlineStr">
        <is>
          <t>PRICE &amp; SALES - market data snapshot (date per row)</t>
        </is>
      </c>
      <c r="AA146" s="100" t="inlineStr">
        <is>
          <t>LISTING - catalog data</t>
        </is>
      </c>
      <c r="AD146" s="101" t="inlineStr">
        <is>
          <t>SEARCH STRATEGY - market data search data</t>
        </is>
      </c>
      <c r="AU146" s="103" t="inlineStr">
        <is>
          <t>STR NOW - Amazon page check (Oct 13, P1 + P2)</t>
        </is>
      </c>
      <c r="BB146" s="104" t="inlineStr">
        <is>
          <t>BFCM 2025 - price history (P1 filled; yellow = not pulled yet)</t>
        </is>
      </c>
    </row>
    <row r="147" ht="48" customHeight="1">
      <c r="A147" s="26" t="inlineStr">
        <is>
          <t>Image</t>
        </is>
      </c>
      <c r="B147" s="26" t="inlineStr">
        <is>
          <t>Brand</t>
        </is>
      </c>
      <c r="C147" s="26" t="inlineStr">
        <is>
          <t>Product title</t>
        </is>
      </c>
      <c r="D147" s="26" t="inlineStr">
        <is>
          <t>Tier</t>
        </is>
      </c>
      <c r="E147" s="26" t="inlineStr">
        <is>
          <t>Competitor type</t>
        </is>
      </c>
      <c r="F147" s="26" t="inlineStr">
        <is>
          <t>Material</t>
        </is>
      </c>
      <c r="G147" s="26" t="inlineStr">
        <is>
          <t>Why this type</t>
        </is>
      </c>
      <c r="H147" s="26" t="inlineStr">
        <is>
          <t>Parent ASIN</t>
        </is>
      </c>
      <c r="I147" s="26" t="inlineStr">
        <is>
          <t>Tracked child ASIN</t>
        </is>
      </c>
      <c r="J147" s="26" t="inlineStr">
        <is>
          <t>Size</t>
        </is>
      </c>
      <c r="K147" s="26" t="inlineStr">
        <is>
          <t>Colour</t>
        </is>
      </c>
      <c r="L147" s="26" t="inlineStr">
        <is>
          <t>Variations</t>
        </is>
      </c>
      <c r="M147" s="26" t="inlineStr">
        <is>
          <t>Hero child ASINs (share of their visibility)</t>
        </is>
      </c>
      <c r="N147" s="26" t="inlineStr">
        <is>
          <t>Price ($)</t>
        </is>
      </c>
      <c r="O147" s="26" t="inlineStr">
        <is>
          <t>List Price ($)</t>
        </is>
      </c>
      <c r="P147" s="26" t="inlineStr">
        <is>
          <t>List Price % over</t>
        </is>
      </c>
      <c r="Q147" s="26" t="inlineStr">
        <is>
          <t>STR band</t>
        </is>
      </c>
      <c r="R147" s="26" t="inlineStr">
        <is>
          <t>Our price, same size ($)</t>
        </is>
      </c>
      <c r="S147" s="26" t="inlineStr">
        <is>
          <t>Their price vs ours</t>
        </is>
      </c>
      <c r="T147" s="26" t="inlineStr">
        <is>
          <t>Comparison basis</t>
        </is>
      </c>
      <c r="U147" s="26" t="inlineStr">
        <is>
          <t>BSR</t>
        </is>
      </c>
      <c r="V147" s="26" t="inlineStr">
        <is>
          <t>Est weekly units</t>
        </is>
      </c>
      <c r="W147" s="26" t="inlineStr">
        <is>
          <t>Est monthly revenue ($)</t>
        </is>
      </c>
      <c r="X147" s="26" t="inlineStr">
        <is>
          <t>Rating</t>
        </is>
      </c>
      <c r="Y147" s="26" t="inlineStr">
        <is>
          <t>Reviews</t>
        </is>
      </c>
      <c r="Z147" s="26" t="inlineStr">
        <is>
          <t>Snapshot date</t>
        </is>
      </c>
      <c r="AA147" s="26" t="inlineStr">
        <is>
          <t>Listed</t>
        </is>
      </c>
      <c r="AB147" s="26" t="inlineStr">
        <is>
          <t>Fulfil.</t>
        </is>
      </c>
      <c r="AC147" s="26" t="inlineStr">
        <is>
          <t>Seller country</t>
        </is>
      </c>
      <c r="AD147" s="26" t="inlineStr">
        <is>
          <t>search data 7d traffic</t>
        </is>
      </c>
      <c r="AE147" s="26" t="inlineStr">
        <is>
          <t>Keywords ranked</t>
        </is>
      </c>
      <c r="AF147" s="26" t="inlineStr">
        <is>
          <t>Organic share of traffic</t>
        </is>
      </c>
      <c r="AG147" s="26" t="inlineStr">
        <is>
          <t>Ad share of traffic</t>
        </is>
      </c>
      <c r="AH147" s="26" t="inlineStr">
        <is>
          <t>Top keyword</t>
        </is>
      </c>
      <c r="AI147" s="26" t="inlineStr">
        <is>
          <t>SP reach</t>
        </is>
      </c>
      <c r="AJ147" s="26" t="inlineStr">
        <is>
          <t>SB reach</t>
        </is>
      </c>
      <c r="AK147" s="26" t="inlineStr">
        <is>
          <t>SB video reach</t>
        </is>
      </c>
      <c r="AL147" s="26" t="inlineStr">
        <is>
          <t>Amazon's Choice reach</t>
        </is>
      </c>
      <c r="AM147" s="26" t="inlineStr">
        <is>
          <t>Shared keywords</t>
        </is>
      </c>
      <c r="AN147" s="26" t="inlineStr">
        <is>
          <t>We win</t>
        </is>
      </c>
      <c r="AO147" s="26" t="inlineStr">
        <is>
          <t>We lose</t>
        </is>
      </c>
      <c r="AP147" s="26" t="inlineStr">
        <is>
          <t>Their keywords we miss</t>
        </is>
      </c>
      <c r="AQ147" s="26" t="inlineStr">
        <is>
          <t>KWs they advertise, we don't</t>
        </is>
      </c>
      <c r="AR147" s="26" t="inlineStr">
        <is>
          <t>KWs they out-advertise us</t>
        </is>
      </c>
      <c r="AS147" s="26" t="inlineStr">
        <is>
          <t>Prime Day 2026 organic vis lift</t>
        </is>
      </c>
      <c r="AT147" s="26" t="inlineStr">
        <is>
          <t>Organic trend (Aug-Sep vs Q2)</t>
        </is>
      </c>
      <c r="AU147" s="26" t="inlineStr">
        <is>
          <t>STR showing now? (Y/N)</t>
        </is>
      </c>
      <c r="AV147" s="26" t="inlineStr">
        <is>
          <t>STR label</t>
        </is>
      </c>
      <c r="AW147" s="26" t="inlineStr">
        <is>
          <t>Strikethrough price ($)</t>
        </is>
      </c>
      <c r="AX147" s="26" t="inlineStr">
        <is>
          <t>Page price at check ($)</t>
        </is>
      </c>
      <c r="AY147" s="26" t="inlineStr">
        <is>
          <t>Deal / coupon now</t>
        </is>
      </c>
      <c r="AZ147" s="26" t="inlineStr">
        <is>
          <t>Orderable now (Y/N)</t>
        </is>
      </c>
      <c r="BA147" s="26" t="inlineStr">
        <is>
          <t>Checked (ET)</t>
        </is>
      </c>
      <c r="BB147" s="26" t="inlineStr">
        <is>
          <t>BFCM 2025 deal type</t>
        </is>
      </c>
      <c r="BC147" s="26" t="inlineStr">
        <is>
          <t>BFCM 2025 deal dates</t>
        </is>
      </c>
      <c r="BD147" s="26" t="inlineStr">
        <is>
          <t>Pre-event price ($)</t>
        </is>
      </c>
      <c r="BE147" s="26" t="inlineStr">
        <is>
          <t>BFCM 2025 low ($)</t>
        </is>
      </c>
      <c r="BF147" s="26" t="inlineStr">
        <is>
          <t>BFCM 2025 discount</t>
        </is>
      </c>
      <c r="BG147" s="26" t="inlineStr">
        <is>
          <t>BSR pre-event</t>
        </is>
      </c>
      <c r="BH147" s="26" t="inlineStr">
        <is>
          <t>BSR BFCM wk</t>
        </is>
      </c>
      <c r="BI147" s="26" t="inlineStr">
        <is>
          <t>BSR lift (x)</t>
        </is>
      </c>
      <c r="BJ147" s="26" t="inlineStr">
        <is>
          <t>OOS in BFCM? (Y/N)</t>
        </is>
      </c>
      <c r="BK147" s="26" t="inlineStr">
        <is>
          <t>Notes</t>
        </is>
      </c>
    </row>
    <row r="148" ht="62" customHeight="1">
      <c r="A148" s="12">
        <f>_xlfn.IMAGE("https://images-na.ssl-images-amazon.com/images/I/71ujt2CgaQL.jpg")</f>
        <v/>
      </c>
      <c r="B148" s="105" t="inlineStr">
        <is>
          <t>BEDELITE</t>
        </is>
      </c>
      <c r="C148" s="39" t="inlineStr">
        <is>
          <t>BEDELITE Satin Sheets Queen Size Bed Set, Black, 4 Pieces</t>
        </is>
      </c>
      <c r="D148" s="105" t="inlineStr">
        <is>
          <t>Untiered</t>
        </is>
      </c>
      <c r="E148" s="106" t="inlineStr">
        <is>
          <t>Direct</t>
        </is>
      </c>
      <c r="F148" s="105" t="inlineStr">
        <is>
          <t>Satin (polyester)</t>
        </is>
      </c>
      <c r="G148" s="39" t="inlineStr">
        <is>
          <t>Same product (sheet set) in the same material family: Satin (polyester) (title: BEDELITE Satin Sheets Queen Size Bed Set, Black, 4 Pieces); ours: our listing: polyester satin.</t>
        </is>
      </c>
      <c r="H148" s="107" t="inlineStr">
        <is>
          <t>B0FNMNMZ9T</t>
        </is>
      </c>
      <c r="I148" s="107" t="inlineStr">
        <is>
          <t>B0CSFTRP2X</t>
        </is>
      </c>
      <c r="J148" s="105" t="inlineStr">
        <is>
          <t>Queen</t>
        </is>
      </c>
      <c r="K148" s="105" t="inlineStr">
        <is>
          <t>Black</t>
        </is>
      </c>
      <c r="L148" s="108" t="n">
        <v>141</v>
      </c>
      <c r="M148" s="39" t="inlineStr">
        <is>
          <t>B0CSFTRP2X (57%), B0CSFW9QKP (14%), B0CSFTZ5B9 (14%)</t>
        </is>
      </c>
      <c r="N148" s="109" t="n">
        <v>17.99</v>
      </c>
      <c r="O148" s="109" t="n"/>
      <c r="P148" s="110">
        <f>IF(AND(ISNUMBER(O148),ISNUMBER(N148),N(N148)&gt;0),O148/N148-1,"")</f>
        <v/>
      </c>
      <c r="Q148" s="111">
        <f>IF(P148="","No List Price",IF(P148&lt;=0,"At/below price",IF(P148&lt;=0.12,"&lt;=12% STR zone",IF(P148&lt;=0.25,"12-25%","&gt;25% over"))))</f>
        <v/>
      </c>
      <c r="R148" s="109" t="n"/>
      <c r="S148" s="112">
        <f>IF(AND(ISNUMBER(N148),ISNUMBER(R148),N(R148)&gt;0),N148/R148-1,"")</f>
        <v/>
      </c>
      <c r="T148" s="39" t="inlineStr">
        <is>
          <t>No price for us</t>
        </is>
      </c>
      <c r="U148" s="108" t="n">
        <v>497</v>
      </c>
      <c r="V148" s="108" t="n">
        <v>1963</v>
      </c>
      <c r="W148" s="113">
        <f>IF(AND(ISNUMBER(N148),ISNUMBER(V148)),N148*V148*52/12,"")</f>
        <v/>
      </c>
      <c r="X148" s="114" t="n">
        <v>4.3</v>
      </c>
      <c r="Y148" s="108" t="n">
        <v>6297</v>
      </c>
      <c r="Z148" s="115" t="n">
        <v>46307</v>
      </c>
      <c r="AA148" s="115" t="n">
        <v>45307</v>
      </c>
      <c r="AB148" s="105" t="inlineStr">
        <is>
          <t>FBA</t>
        </is>
      </c>
      <c r="AC148" s="105" t="inlineStr">
        <is>
          <t>CN</t>
        </is>
      </c>
      <c r="AD148" s="108" t="n">
        <v>997443</v>
      </c>
      <c r="AE148" s="108" t="n">
        <v>3432</v>
      </c>
      <c r="AF148" s="116" t="n">
        <v>0.8161266415223724</v>
      </c>
      <c r="AG148" s="116" t="n">
        <v>0.1838733681022371</v>
      </c>
      <c r="AH148" s="39" t="inlineStr">
        <is>
          <t>silk sheets</t>
        </is>
      </c>
      <c r="AI148" s="116" t="n">
        <v>0.7623814092634867</v>
      </c>
      <c r="AJ148" s="116" t="n">
        <v>0.2406603685624141</v>
      </c>
      <c r="AK148" s="116" t="n">
        <v>0.1818179083917577</v>
      </c>
      <c r="AL148" s="116" t="n">
        <v>0.3718648584430388</v>
      </c>
      <c r="AM148" s="108" t="n"/>
      <c r="AN148" s="108" t="n"/>
      <c r="AO148" s="108" t="n"/>
      <c r="AP148" s="108" t="n"/>
      <c r="AQ148" s="108" t="n"/>
      <c r="AR148" s="108" t="n"/>
      <c r="AS148" s="117" t="n">
        <v>1.114785561378903</v>
      </c>
      <c r="AT148" s="112" t="n">
        <v>0.3117365084274004</v>
      </c>
      <c r="AU148" s="118" t="inlineStr">
        <is>
          <t>Y</t>
        </is>
      </c>
      <c r="AV148" s="118" t="inlineStr">
        <is>
          <t>List Price</t>
        </is>
      </c>
      <c r="AW148" s="119" t="n">
        <v>19.99</v>
      </c>
      <c r="AX148" s="119" t="n">
        <v>17.99</v>
      </c>
      <c r="AY148" s="118" t="inlineStr">
        <is>
          <t>none</t>
        </is>
      </c>
      <c r="AZ148" s="118" t="inlineStr">
        <is>
          <t>Y</t>
        </is>
      </c>
      <c r="BA148" s="118" t="inlineStr">
        <is>
          <t>2026-10-13 12:12:27</t>
        </is>
      </c>
      <c r="BB148" s="120" t="inlineStr">
        <is>
          <t>Price cut only</t>
        </is>
      </c>
      <c r="BC148" s="120" t="inlineStr">
        <is>
          <t>11-20 to 12-01</t>
        </is>
      </c>
      <c r="BD148" s="121" t="n">
        <v>17.99</v>
      </c>
      <c r="BE148" s="121" t="n">
        <v>17.09</v>
      </c>
      <c r="BF148" s="110">
        <f>IF(AND(ISNUMBER(BD148),ISNUMBER(BE148),N(BD148)&gt;0),1-BE148/BD148,"")</f>
        <v/>
      </c>
      <c r="BG148" s="122" t="n">
        <v>714</v>
      </c>
      <c r="BH148" s="122" t="n">
        <v>473</v>
      </c>
      <c r="BI148" s="123">
        <f>IF(AND(ISNUMBER(BG148),ISNUMBER(BH148),N(BH148)&gt;0),BG148/BH148,"")</f>
        <v/>
      </c>
      <c r="BJ148" s="120" t="inlineStr">
        <is>
          <t>N</t>
        </is>
      </c>
      <c r="BK148" s="120" t="inlineStr">
        <is>
          <t>Prime Exclusive 11-01 to 12-05; Prime Exclusive already running before BFCM week; List Price $23.99</t>
        </is>
      </c>
    </row>
    <row r="149" ht="62" customHeight="1">
      <c r="A149" s="12">
        <f>_xlfn.IMAGE("https://images-na.ssl-images-amazon.com/images/I/81C-fXI71XL.jpg")</f>
        <v/>
      </c>
      <c r="B149" s="105" t="inlineStr">
        <is>
          <t>Love's cabin</t>
        </is>
      </c>
      <c r="C149" s="39" t="inlineStr">
        <is>
          <t>Love's cabin Satin Queen Sheets Set, 4 Pieces, Pink, 15" Deep Pocket</t>
        </is>
      </c>
      <c r="D149" s="105" t="inlineStr">
        <is>
          <t>Untiered</t>
        </is>
      </c>
      <c r="E149" s="106" t="inlineStr">
        <is>
          <t>Direct</t>
        </is>
      </c>
      <c r="F149" s="105" t="inlineStr">
        <is>
          <t>Satin (polyester)</t>
        </is>
      </c>
      <c r="G149" s="39" t="inlineStr">
        <is>
          <t>Same product (sheet set) in the same material family: Satin (polyester) (title: Love's cabin Satin Queen Sheets Set, 4 Pieces, Pink, 15" Dee); ours: our listing: polyester satin.</t>
        </is>
      </c>
      <c r="H149" s="107" t="inlineStr">
        <is>
          <t>B08DHTB63X</t>
        </is>
      </c>
      <c r="I149" s="107" t="inlineStr">
        <is>
          <t>B0BNMC5G8R</t>
        </is>
      </c>
      <c r="J149" s="105" t="inlineStr">
        <is>
          <t>Queen</t>
        </is>
      </c>
      <c r="K149" s="105" t="inlineStr">
        <is>
          <t>Pink</t>
        </is>
      </c>
      <c r="L149" s="108" t="n">
        <v>128</v>
      </c>
      <c r="M149" s="39" t="inlineStr">
        <is>
          <t>B0BNMC5G8R (45%), B0BNMCRSC6 (13%), B0CM5NFXX1 (9%), B0BNMVM5VM (5%), B0BNMD8S97 (4%)</t>
        </is>
      </c>
      <c r="N149" s="109" t="n">
        <v>16.13</v>
      </c>
      <c r="O149" s="109" t="n">
        <v>19.99</v>
      </c>
      <c r="P149" s="110">
        <f>IF(AND(ISNUMBER(O149),ISNUMBER(N149),N(N149)&gt;0),O149/N149-1,"")</f>
        <v/>
      </c>
      <c r="Q149" s="111">
        <f>IF(P149="","No List Price",IF(P149&lt;=0,"At/below price",IF(P149&lt;=0.12,"&lt;=12% STR zone",IF(P149&lt;=0.25,"12-25%","&gt;25% over"))))</f>
        <v/>
      </c>
      <c r="R149" s="109" t="n"/>
      <c r="S149" s="112">
        <f>IF(AND(ISNUMBER(N149),ISNUMBER(R149),N(R149)&gt;0),N149/R149-1,"")</f>
        <v/>
      </c>
      <c r="T149" s="39" t="inlineStr">
        <is>
          <t>No price for us</t>
        </is>
      </c>
      <c r="U149" s="108" t="n">
        <v>949</v>
      </c>
      <c r="V149" s="108" t="n">
        <v>809</v>
      </c>
      <c r="W149" s="113">
        <f>IF(AND(ISNUMBER(N149),ISNUMBER(V149)),N149*V149*52/12,"")</f>
        <v/>
      </c>
      <c r="X149" s="114" t="n">
        <v>4.5</v>
      </c>
      <c r="Y149" s="108" t="n">
        <v>5747</v>
      </c>
      <c r="Z149" s="115" t="n">
        <v>46307</v>
      </c>
      <c r="AA149" s="115" t="n">
        <v>44895</v>
      </c>
      <c r="AB149" s="105" t="inlineStr">
        <is>
          <t>FBA</t>
        </is>
      </c>
      <c r="AC149" s="105" t="inlineStr">
        <is>
          <t>CN</t>
        </is>
      </c>
      <c r="AD149" s="108" t="n">
        <v>385363</v>
      </c>
      <c r="AE149" s="108" t="n">
        <v>3599</v>
      </c>
      <c r="AF149" s="116" t="n">
        <v>0.8181775938530695</v>
      </c>
      <c r="AG149" s="116" t="n">
        <v>0.1818224144507905</v>
      </c>
      <c r="AH149" s="39" t="inlineStr">
        <is>
          <t>silk sheets</t>
        </is>
      </c>
      <c r="AI149" s="116" t="n">
        <v>0.8853963665427143</v>
      </c>
      <c r="AJ149" s="116" t="n">
        <v>0.6095447668821345</v>
      </c>
      <c r="AK149" s="116" t="n">
        <v>0.07642664189348744</v>
      </c>
      <c r="AL149" s="116" t="n">
        <v>0.06371395281851137</v>
      </c>
      <c r="AM149" s="108" t="n"/>
      <c r="AN149" s="108" t="n"/>
      <c r="AO149" s="108" t="n"/>
      <c r="AP149" s="108" t="n"/>
      <c r="AQ149" s="108" t="n"/>
      <c r="AR149" s="108" t="n"/>
      <c r="AS149" s="117" t="n">
        <v>1.036399938565504</v>
      </c>
      <c r="AT149" s="112" t="n">
        <v>-0.1336111472848027</v>
      </c>
      <c r="AU149" s="118" t="inlineStr">
        <is>
          <t>Y</t>
        </is>
      </c>
      <c r="AV149" s="118" t="inlineStr">
        <is>
          <t>List Price</t>
        </is>
      </c>
      <c r="AW149" s="119" t="n">
        <v>19.99</v>
      </c>
      <c r="AX149" s="119" t="n">
        <v>16.13</v>
      </c>
      <c r="AY149" s="118" t="inlineStr">
        <is>
          <t>Limited time deal</t>
        </is>
      </c>
      <c r="AZ149" s="118" t="inlineStr">
        <is>
          <t>Y</t>
        </is>
      </c>
      <c r="BA149" s="118" t="inlineStr">
        <is>
          <t>2026-10-13 12:13:15</t>
        </is>
      </c>
      <c r="BB149" s="120" t="inlineStr">
        <is>
          <t>Prime Exclusive Discount</t>
        </is>
      </c>
      <c r="BC149" s="120" t="inlineStr">
        <is>
          <t>11-10 to 12-05</t>
        </is>
      </c>
      <c r="BD149" s="121" t="n">
        <v>17.99</v>
      </c>
      <c r="BE149" s="121" t="n">
        <v>17.99</v>
      </c>
      <c r="BF149" s="110">
        <f>IF(AND(ISNUMBER(BD149),ISNUMBER(BE149),N(BD149)&gt;0),1-BE149/BD149,"")</f>
        <v/>
      </c>
      <c r="BG149" s="122" t="n">
        <v>1276</v>
      </c>
      <c r="BH149" s="122" t="n">
        <v>1515</v>
      </c>
      <c r="BI149" s="123">
        <f>IF(AND(ISNUMBER(BG149),ISNUMBER(BH149),N(BH149)&gt;0),BG149/BH149,"")</f>
        <v/>
      </c>
      <c r="BJ149" s="120" t="inlineStr">
        <is>
          <t>N</t>
        </is>
      </c>
      <c r="BK149" s="120" t="inlineStr">
        <is>
          <t>Prime Exclusive already running before BFCM week; List Price $25.99</t>
        </is>
      </c>
    </row>
    <row r="150" ht="62" customHeight="1">
      <c r="A150" s="12">
        <f>_xlfn.IMAGE("https://images-na.ssl-images-amazon.com/images/I/71zGuoeuSrL.jpg")</f>
        <v/>
      </c>
      <c r="B150" s="105" t="inlineStr">
        <is>
          <t>MR&amp;HM</t>
        </is>
      </c>
      <c r="C150" s="39" t="inlineStr">
        <is>
          <t>MR&amp;HM Satin Sheets Queen Size with Elastic Corner Straps, Black</t>
        </is>
      </c>
      <c r="D150" s="105" t="inlineStr">
        <is>
          <t>Untiered</t>
        </is>
      </c>
      <c r="E150" s="106" t="inlineStr">
        <is>
          <t>Direct</t>
        </is>
      </c>
      <c r="F150" s="105" t="inlineStr">
        <is>
          <t>Satin (polyester)</t>
        </is>
      </c>
      <c r="G150" s="39" t="inlineStr">
        <is>
          <t>Same product (sheet set) in the same material family: Satin (polyester) (title: MR&amp;HM Satin Sheets Queen Size with Elastic Corner Straps, Bl); ours: our listing: polyester satin.</t>
        </is>
      </c>
      <c r="H150" s="107" t="inlineStr">
        <is>
          <t>B08NQ3W7PG</t>
        </is>
      </c>
      <c r="I150" s="107" t="inlineStr">
        <is>
          <t>B08HM6WT6X</t>
        </is>
      </c>
      <c r="J150" s="105" t="inlineStr">
        <is>
          <t>Queen</t>
        </is>
      </c>
      <c r="K150" s="105" t="inlineStr">
        <is>
          <t>Black</t>
        </is>
      </c>
      <c r="L150" s="108" t="n">
        <v>183</v>
      </c>
      <c r="M150" s="39" t="inlineStr">
        <is>
          <t>B08HM6WT6X (40%), B0D2CQ6VNT (13%), B08PS3HDFL (10%), B08HM65Z68 (8%), B08HLT8R9M (6%)</t>
        </is>
      </c>
      <c r="N150" s="109" t="n">
        <v>19.99</v>
      </c>
      <c r="O150" s="109" t="n"/>
      <c r="P150" s="110">
        <f>IF(AND(ISNUMBER(O150),ISNUMBER(N150),N(N150)&gt;0),O150/N150-1,"")</f>
        <v/>
      </c>
      <c r="Q150" s="111">
        <f>IF(P150="","No List Price",IF(P150&lt;=0,"At/below price",IF(P150&lt;=0.12,"&lt;=12% STR zone",IF(P150&lt;=0.25,"12-25%","&gt;25% over"))))</f>
        <v/>
      </c>
      <c r="R150" s="109" t="n"/>
      <c r="S150" s="112">
        <f>IF(AND(ISNUMBER(N150),ISNUMBER(R150),N(R150)&gt;0),N150/R150-1,"")</f>
        <v/>
      </c>
      <c r="T150" s="39" t="inlineStr">
        <is>
          <t>No price for us</t>
        </is>
      </c>
      <c r="U150" s="108" t="n">
        <v>2025</v>
      </c>
      <c r="V150" s="108" t="n">
        <v>809</v>
      </c>
      <c r="W150" s="113">
        <f>IF(AND(ISNUMBER(N150),ISNUMBER(V150)),N150*V150*52/12,"")</f>
        <v/>
      </c>
      <c r="X150" s="114" t="n">
        <v>4.4</v>
      </c>
      <c r="Y150" s="108" t="n">
        <v>17886</v>
      </c>
      <c r="Z150" s="115" t="n">
        <v>46307</v>
      </c>
      <c r="AA150" s="115" t="n">
        <v>44081</v>
      </c>
      <c r="AB150" s="105" t="inlineStr">
        <is>
          <t>FBA</t>
        </is>
      </c>
      <c r="AC150" s="105" t="inlineStr">
        <is>
          <t>HK</t>
        </is>
      </c>
      <c r="AD150" s="108" t="n">
        <v>356457</v>
      </c>
      <c r="AE150" s="108" t="n">
        <v>3352</v>
      </c>
      <c r="AF150" s="116" t="n">
        <v>0.7964633734223203</v>
      </c>
      <c r="AG150" s="116" t="n">
        <v>0.2035367432817982</v>
      </c>
      <c r="AH150" s="39" t="inlineStr">
        <is>
          <t>silk sheets</t>
        </is>
      </c>
      <c r="AI150" s="116" t="n">
        <v>0.839254103580516</v>
      </c>
      <c r="AJ150" s="116" t="n"/>
      <c r="AK150" s="116" t="n"/>
      <c r="AL150" s="116" t="n">
        <v>0.1362268099658584</v>
      </c>
      <c r="AM150" s="108" t="n"/>
      <c r="AN150" s="108" t="n"/>
      <c r="AO150" s="108" t="n"/>
      <c r="AP150" s="108" t="n"/>
      <c r="AQ150" s="108" t="n"/>
      <c r="AR150" s="108" t="n"/>
      <c r="AS150" s="117" t="n">
        <v>0.9844138242602214</v>
      </c>
      <c r="AT150" s="112" t="n">
        <v>0.1594370096908169</v>
      </c>
      <c r="AU150" s="118" t="inlineStr">
        <is>
          <t>Y</t>
        </is>
      </c>
      <c r="AV150" s="118" t="inlineStr">
        <is>
          <t>List Price</t>
        </is>
      </c>
      <c r="AW150" s="119" t="n">
        <v>28.99</v>
      </c>
      <c r="AX150" s="119" t="n">
        <v>19.99</v>
      </c>
      <c r="AY150" s="118" t="inlineStr">
        <is>
          <t>none</t>
        </is>
      </c>
      <c r="AZ150" s="118" t="inlineStr">
        <is>
          <t>Y</t>
        </is>
      </c>
      <c r="BA150" s="118" t="inlineStr">
        <is>
          <t>2026-10-13 12:13:22</t>
        </is>
      </c>
      <c r="BB150" s="120" t="inlineStr">
        <is>
          <t>None</t>
        </is>
      </c>
      <c r="BC150" s="125" t="n"/>
      <c r="BD150" s="121" t="n">
        <v>17.99</v>
      </c>
      <c r="BE150" s="121" t="n">
        <v>17.99</v>
      </c>
      <c r="BF150" s="110">
        <f>IF(AND(ISNUMBER(BD150),ISNUMBER(BE150),N(BD150)&gt;0),1-BE150/BD150,"")</f>
        <v/>
      </c>
      <c r="BG150" s="122" t="n">
        <v>1500</v>
      </c>
      <c r="BH150" s="122" t="n">
        <v>1119</v>
      </c>
      <c r="BI150" s="123">
        <f>IF(AND(ISNUMBER(BG150),ISNUMBER(BH150),N(BH150)&gt;0),BG150/BH150,"")</f>
        <v/>
      </c>
      <c r="BJ150" s="120" t="inlineStr">
        <is>
          <t>N</t>
        </is>
      </c>
      <c r="BK150" s="120" t="inlineStr">
        <is>
          <t>Prime Exclusive 11-01 to 12-05; Lightning Deal 11-08 to 11-14; Prime Exclusive already running before BFCM week; List Price $28.99</t>
        </is>
      </c>
    </row>
    <row r="151" ht="62" customHeight="1">
      <c r="A151" s="12">
        <f>_xlfn.IMAGE("https://images-na.ssl-images-amazon.com/images/I/71Jlvkv3rfL.jpg")</f>
        <v/>
      </c>
      <c r="B151" s="105" t="inlineStr">
        <is>
          <t>BEDELITE</t>
        </is>
      </c>
      <c r="C151" s="39" t="inlineStr">
        <is>
          <t>BEDELITE Satin Queen Fitted Sheet &amp; Pillowcases Set, Black, 3 Pieces</t>
        </is>
      </c>
      <c r="D151" s="105" t="inlineStr">
        <is>
          <t>Untiered</t>
        </is>
      </c>
      <c r="E151" s="106" t="inlineStr">
        <is>
          <t>Direct</t>
        </is>
      </c>
      <c r="F151" s="105" t="inlineStr">
        <is>
          <t>Satin (polyester)</t>
        </is>
      </c>
      <c r="G151" s="39" t="inlineStr">
        <is>
          <t>Same product (sheet set) in the same material family: Satin (polyester) (title: BEDELITE Satin Queen Fitted Sheet &amp; Pillowcases Set, Black); ours: our listing: polyester satin.</t>
        </is>
      </c>
      <c r="H151" s="107" t="inlineStr">
        <is>
          <t>B0FPCM7DL3</t>
        </is>
      </c>
      <c r="I151" s="107" t="inlineStr">
        <is>
          <t>B0CSFV4FXW</t>
        </is>
      </c>
      <c r="J151" s="105" t="inlineStr">
        <is>
          <t>Queen</t>
        </is>
      </c>
      <c r="K151" s="105" t="inlineStr">
        <is>
          <t>Black</t>
        </is>
      </c>
      <c r="L151" s="108" t="n">
        <v>107</v>
      </c>
      <c r="M151" s="39" t="inlineStr">
        <is>
          <t>B0CSFV4FXW (48%), B0CSFV69Q1 (13%), B0CSFW55XL (12%), B0CSFWH14D (5%), B0F291FC32 (4%)</t>
        </is>
      </c>
      <c r="N151" s="109" t="n">
        <v>15.98</v>
      </c>
      <c r="O151" s="109" t="n">
        <v>19.99</v>
      </c>
      <c r="P151" s="110">
        <f>IF(AND(ISNUMBER(O151),ISNUMBER(N151),N(N151)&gt;0),O151/N151-1,"")</f>
        <v/>
      </c>
      <c r="Q151" s="111">
        <f>IF(P151="","No List Price",IF(P151&lt;=0,"At/below price",IF(P151&lt;=0.12,"&lt;=12% STR zone",IF(P151&lt;=0.25,"12-25%","&gt;25% over"))))</f>
        <v/>
      </c>
      <c r="R151" s="109" t="n"/>
      <c r="S151" s="112">
        <f>IF(AND(ISNUMBER(N151),ISNUMBER(R151),N(R151)&gt;0),N151/R151-1,"")</f>
        <v/>
      </c>
      <c r="T151" s="39" t="inlineStr">
        <is>
          <t>No price for us</t>
        </is>
      </c>
      <c r="U151" s="108" t="n">
        <v>4306</v>
      </c>
      <c r="V151" s="108" t="n">
        <v>208</v>
      </c>
      <c r="W151" s="113">
        <f>IF(AND(ISNUMBER(N151),ISNUMBER(V151)),N151*V151*52/12,"")</f>
        <v/>
      </c>
      <c r="X151" s="114" t="n">
        <v>4.4</v>
      </c>
      <c r="Y151" s="108" t="n">
        <v>1858</v>
      </c>
      <c r="Z151" s="115" t="n">
        <v>46307</v>
      </c>
      <c r="AA151" s="115" t="n">
        <v>45307</v>
      </c>
      <c r="AB151" s="105" t="inlineStr">
        <is>
          <t>FBA</t>
        </is>
      </c>
      <c r="AC151" s="105" t="inlineStr">
        <is>
          <t>CN</t>
        </is>
      </c>
      <c r="AD151" s="108" t="n">
        <v>179643</v>
      </c>
      <c r="AE151" s="108" t="n">
        <v>2252</v>
      </c>
      <c r="AF151" s="116" t="n">
        <v>0.4557323781054652</v>
      </c>
      <c r="AG151" s="116" t="n">
        <v>0.5442676753338563</v>
      </c>
      <c r="AH151" s="39" t="inlineStr">
        <is>
          <t>shee</t>
        </is>
      </c>
      <c r="AI151" s="116" t="n">
        <v>0.9239714322294773</v>
      </c>
      <c r="AJ151" s="116" t="n">
        <v>0.4045968949527675</v>
      </c>
      <c r="AK151" s="116" t="n"/>
      <c r="AL151" s="116" t="n">
        <v>0.02756578324788609</v>
      </c>
      <c r="AM151" s="108" t="n"/>
      <c r="AN151" s="108" t="n"/>
      <c r="AO151" s="108" t="n"/>
      <c r="AP151" s="108" t="n"/>
      <c r="AQ151" s="108" t="n"/>
      <c r="AR151" s="108" t="n"/>
      <c r="AS151" s="117" t="n">
        <v>1.118721461187214</v>
      </c>
      <c r="AT151" s="112" t="n">
        <v>0.04072948328267478</v>
      </c>
      <c r="AU151" s="118" t="inlineStr">
        <is>
          <t>Y</t>
        </is>
      </c>
      <c r="AV151" s="118" t="inlineStr">
        <is>
          <t>List Price</t>
        </is>
      </c>
      <c r="AW151" s="119" t="n">
        <v>19.99</v>
      </c>
      <c r="AX151" s="119" t="n">
        <v>15.98</v>
      </c>
      <c r="AY151" s="118" t="inlineStr">
        <is>
          <t>Limited time deal</t>
        </is>
      </c>
      <c r="AZ151" s="118" t="inlineStr">
        <is>
          <t>Y</t>
        </is>
      </c>
      <c r="BA151" s="118" t="inlineStr">
        <is>
          <t>2026-10-13 12:12:30</t>
        </is>
      </c>
      <c r="BB151" s="120" t="inlineStr">
        <is>
          <t>Price cut only</t>
        </is>
      </c>
      <c r="BC151" s="120" t="inlineStr">
        <is>
          <t>11-20 to 12-01</t>
        </is>
      </c>
      <c r="BD151" s="121" t="n">
        <v>15.99</v>
      </c>
      <c r="BE151" s="121" t="n">
        <v>15.18</v>
      </c>
      <c r="BF151" s="110">
        <f>IF(AND(ISNUMBER(BD151),ISNUMBER(BE151),N(BD151)&gt;0),1-BE151/BD151,"")</f>
        <v/>
      </c>
      <c r="BG151" s="122" t="n">
        <v>8356</v>
      </c>
      <c r="BH151" s="122" t="n">
        <v>4609</v>
      </c>
      <c r="BI151" s="123">
        <f>IF(AND(ISNUMBER(BG151),ISNUMBER(BH151),N(BH151)&gt;0),BG151/BH151,"")</f>
        <v/>
      </c>
      <c r="BJ151" s="120" t="inlineStr">
        <is>
          <t>N</t>
        </is>
      </c>
      <c r="BK151" s="120" t="inlineStr">
        <is>
          <t>Prime Exclusive 11-01 to 12-05; Lightning Deal 11-09 to 11-09; Prime Exclusive already running before BFCM week; List Price $19.99</t>
        </is>
      </c>
    </row>
    <row r="152" ht="62" customHeight="1">
      <c r="A152" s="12">
        <f>_xlfn.IMAGE("https://images-na.ssl-images-amazon.com/images/I/810d6GzTlfL.jpg")</f>
        <v/>
      </c>
      <c r="B152" s="105" t="inlineStr">
        <is>
          <t>FreshCulture</t>
        </is>
      </c>
      <c r="C152" s="39" t="inlineStr">
        <is>
          <t>Satin Sheets</t>
        </is>
      </c>
      <c r="D152" s="105" t="inlineStr">
        <is>
          <t>Untiered</t>
        </is>
      </c>
      <c r="E152" s="106" t="inlineStr">
        <is>
          <t>Direct</t>
        </is>
      </c>
      <c r="F152" s="105" t="inlineStr">
        <is>
          <t>Satin (polyester)</t>
        </is>
      </c>
      <c r="G152" s="39" t="inlineStr">
        <is>
          <t>Same product (sheet set) in the same material family: Satin (polyester) (product page material: Polyester Satin); ours: our listing: polyester satin.</t>
        </is>
      </c>
      <c r="H152" s="107" t="inlineStr">
        <is>
          <t>B0D9B18P6N</t>
        </is>
      </c>
      <c r="I152" s="107" t="inlineStr">
        <is>
          <t>B0D9BD63QH</t>
        </is>
      </c>
      <c r="J152" s="105" t="inlineStr">
        <is>
          <t>Full</t>
        </is>
      </c>
      <c r="K152" s="105" t="inlineStr">
        <is>
          <t>Black</t>
        </is>
      </c>
      <c r="L152" s="108" t="n">
        <v>54</v>
      </c>
      <c r="M152" s="39" t="inlineStr">
        <is>
          <t>B0D9BD63QH (41%), B0D9BCKF76 (23%), B0D9BBSLJ5 (8%), B0D9BFR53D (6%), B0D9B9HFLQ (5%)</t>
        </is>
      </c>
      <c r="N152" s="109" t="n">
        <v>23.99</v>
      </c>
      <c r="O152" s="109" t="n"/>
      <c r="P152" s="110">
        <f>IF(AND(ISNUMBER(O152),ISNUMBER(N152),N(N152)&gt;0),O152/N152-1,"")</f>
        <v/>
      </c>
      <c r="Q152" s="111">
        <f>IF(P152="","No List Price",IF(P152&lt;=0,"At/below price",IF(P152&lt;=0.12,"&lt;=12% STR zone",IF(P152&lt;=0.25,"12-25%","&gt;25% over"))))</f>
        <v/>
      </c>
      <c r="R152" s="109" t="n"/>
      <c r="S152" s="112">
        <f>IF(AND(ISNUMBER(N152),ISNUMBER(R152),N(R152)&gt;0),N152/R152-1,"")</f>
        <v/>
      </c>
      <c r="T152" s="39" t="inlineStr">
        <is>
          <t>No price for us</t>
        </is>
      </c>
      <c r="U152" s="108" t="n">
        <v>17918</v>
      </c>
      <c r="V152" s="108" t="n">
        <v>104</v>
      </c>
      <c r="W152" s="113">
        <f>IF(AND(ISNUMBER(N152),ISNUMBER(V152)),N152*V152*52/12,"")</f>
        <v/>
      </c>
      <c r="X152" s="114" t="n">
        <v>4.4</v>
      </c>
      <c r="Y152" s="108" t="n">
        <v>780</v>
      </c>
      <c r="Z152" s="115" t="n">
        <v>46307</v>
      </c>
      <c r="AA152" s="115" t="n"/>
      <c r="AB152" s="105" t="n"/>
      <c r="AC152" s="105" t="n"/>
      <c r="AD152" s="108" t="n">
        <v>99046</v>
      </c>
      <c r="AE152" s="108" t="n">
        <v>1117</v>
      </c>
      <c r="AF152" s="116" t="n">
        <v>0.9634387880378817</v>
      </c>
      <c r="AG152" s="116" t="n">
        <v>0.0365612119621186</v>
      </c>
      <c r="AH152" s="39" t="inlineStr">
        <is>
          <t>silk sheets</t>
        </is>
      </c>
      <c r="AI152" s="116" t="n">
        <v>0.6526159562223613</v>
      </c>
      <c r="AJ152" s="116" t="n"/>
      <c r="AK152" s="116" t="n"/>
      <c r="AL152" s="116" t="n">
        <v>0.05489368576217112</v>
      </c>
      <c r="AM152" s="108" t="n"/>
      <c r="AN152" s="108" t="n"/>
      <c r="AO152" s="108" t="n"/>
      <c r="AP152" s="108" t="n"/>
      <c r="AQ152" s="108" t="n"/>
      <c r="AR152" s="108" t="n"/>
      <c r="AS152" s="117" t="n"/>
      <c r="AT152" s="112" t="n"/>
      <c r="AU152" s="118" t="inlineStr">
        <is>
          <t>N</t>
        </is>
      </c>
      <c r="AV152" s="118" t="inlineStr">
        <is>
          <t>none</t>
        </is>
      </c>
      <c r="AW152" s="124" t="n"/>
      <c r="AX152" s="119" t="n">
        <v>23.99</v>
      </c>
      <c r="AY152" s="118" t="inlineStr">
        <is>
          <t>none</t>
        </is>
      </c>
      <c r="AZ152" s="118" t="inlineStr">
        <is>
          <t>Y</t>
        </is>
      </c>
      <c r="BA152" s="118" t="inlineStr">
        <is>
          <t>2026-10-13 12:12:46</t>
        </is>
      </c>
      <c r="BB152" s="120" t="inlineStr">
        <is>
          <t>Prime Exclusive Discount</t>
        </is>
      </c>
      <c r="BC152" s="120" t="inlineStr">
        <is>
          <t>11-24 to 11-24</t>
        </is>
      </c>
      <c r="BD152" s="121" t="n">
        <v>23.99</v>
      </c>
      <c r="BE152" s="121" t="n">
        <v>18.69</v>
      </c>
      <c r="BF152" s="110">
        <f>IF(AND(ISNUMBER(BD152),ISNUMBER(BE152),N(BD152)&gt;0),1-BE152/BD152,"")</f>
        <v/>
      </c>
      <c r="BG152" s="122" t="n">
        <v>37399</v>
      </c>
      <c r="BH152" s="122" t="n">
        <v>26864</v>
      </c>
      <c r="BI152" s="123">
        <f>IF(AND(ISNUMBER(BG152),ISNUMBER(BH152),N(BH152)&gt;0),BG152/BH152,"")</f>
        <v/>
      </c>
      <c r="BJ152" s="120" t="inlineStr">
        <is>
          <t>Y</t>
        </is>
      </c>
      <c r="BK152" s="120" t="inlineStr">
        <is>
          <t>List Price $34.99</t>
        </is>
      </c>
    </row>
    <row r="153" ht="62" customHeight="1">
      <c r="A153" s="12">
        <f>_xlfn.IMAGE("https://images-na.ssl-images-amazon.com/images/I/71TbH0l5XfL.jpg")</f>
        <v/>
      </c>
      <c r="B153" s="105" t="inlineStr">
        <is>
          <t>P Pothuiny</t>
        </is>
      </c>
      <c r="C153" s="39" t="inlineStr">
        <is>
          <t>P Pothuiny 6-Piece Queen Satin Sheet Set Burgundy Silky Sheets</t>
        </is>
      </c>
      <c r="D153" s="105" t="inlineStr">
        <is>
          <t>Untiered</t>
        </is>
      </c>
      <c r="E153" s="106" t="inlineStr">
        <is>
          <t>Direct</t>
        </is>
      </c>
      <c r="F153" s="105" t="inlineStr">
        <is>
          <t>Satin (polyester)</t>
        </is>
      </c>
      <c r="G153" s="39" t="inlineStr">
        <is>
          <t>Same product (sheet set) in the same material family: Satin (polyester) (title: P Pothuiny 6-Piece Queen Satin Sheet Set Burgundy Silky Shee); ours: our listing: polyester satin.</t>
        </is>
      </c>
      <c r="H153" s="107" t="inlineStr">
        <is>
          <t>B096P2MYZQ</t>
        </is>
      </c>
      <c r="I153" s="107" t="inlineStr">
        <is>
          <t>B08QMF6D5W</t>
        </is>
      </c>
      <c r="J153" s="105" t="inlineStr">
        <is>
          <t>Queen</t>
        </is>
      </c>
      <c r="K153" s="105" t="inlineStr">
        <is>
          <t>Burgundy</t>
        </is>
      </c>
      <c r="L153" s="108" t="n">
        <v>47</v>
      </c>
      <c r="M153" s="39" t="inlineStr">
        <is>
          <t>B08QMF6D5W (52%), B08QMSJFYZ (19%), B08QMYV2YR (10%)</t>
        </is>
      </c>
      <c r="N153" s="109" t="n">
        <v>26.99</v>
      </c>
      <c r="O153" s="109" t="n"/>
      <c r="P153" s="110">
        <f>IF(AND(ISNUMBER(O153),ISNUMBER(N153),N(N153)&gt;0),O153/N153-1,"")</f>
        <v/>
      </c>
      <c r="Q153" s="111">
        <f>IF(P153="","No List Price",IF(P153&lt;=0,"At/below price",IF(P153&lt;=0.12,"&lt;=12% STR zone",IF(P153&lt;=0.25,"12-25%","&gt;25% over"))))</f>
        <v/>
      </c>
      <c r="R153" s="109" t="n"/>
      <c r="S153" s="112">
        <f>IF(AND(ISNUMBER(N153),ISNUMBER(R153),N(R153)&gt;0),N153/R153-1,"")</f>
        <v/>
      </c>
      <c r="T153" s="39" t="inlineStr">
        <is>
          <t>No price for us</t>
        </is>
      </c>
      <c r="U153" s="108" t="n">
        <v>20031</v>
      </c>
      <c r="V153" s="108" t="n">
        <v>104</v>
      </c>
      <c r="W153" s="113">
        <f>IF(AND(ISNUMBER(N153),ISNUMBER(V153)),N153*V153*52/12,"")</f>
        <v/>
      </c>
      <c r="X153" s="114" t="n">
        <v>4.4</v>
      </c>
      <c r="Y153" s="108" t="n">
        <v>4031</v>
      </c>
      <c r="Z153" s="115" t="n">
        <v>46307</v>
      </c>
      <c r="AA153" s="115" t="n">
        <v>44180</v>
      </c>
      <c r="AB153" s="105" t="inlineStr">
        <is>
          <t>FBA</t>
        </is>
      </c>
      <c r="AC153" s="105" t="inlineStr">
        <is>
          <t>CN</t>
        </is>
      </c>
      <c r="AD153" s="108" t="n">
        <v>66544</v>
      </c>
      <c r="AE153" s="108" t="n">
        <v>832</v>
      </c>
      <c r="AF153" s="116" t="n">
        <v>0.9166959214955518</v>
      </c>
      <c r="AG153" s="116" t="n">
        <v>0.08330407850444821</v>
      </c>
      <c r="AH153" s="39" t="inlineStr">
        <is>
          <t>silk sheets</t>
        </is>
      </c>
      <c r="AI153" s="116" t="n">
        <v>0.1859972349122385</v>
      </c>
      <c r="AJ153" s="116" t="n">
        <v>0.5380349843712431</v>
      </c>
      <c r="AK153" s="116" t="n"/>
      <c r="AL153" s="116" t="n">
        <v>0.01920533782159173</v>
      </c>
      <c r="AM153" s="108" t="n"/>
      <c r="AN153" s="108" t="n"/>
      <c r="AO153" s="108" t="n"/>
      <c r="AP153" s="108" t="n"/>
      <c r="AQ153" s="108" t="n"/>
      <c r="AR153" s="108" t="n"/>
      <c r="AS153" s="117" t="n">
        <v>1.171497584541063</v>
      </c>
      <c r="AT153" s="112" t="n">
        <v>0.608009708737864</v>
      </c>
      <c r="AU153" s="118" t="inlineStr">
        <is>
          <t>N</t>
        </is>
      </c>
      <c r="AV153" s="118" t="inlineStr">
        <is>
          <t>none</t>
        </is>
      </c>
      <c r="AW153" s="124" t="n"/>
      <c r="AX153" s="119" t="n">
        <v>26.99</v>
      </c>
      <c r="AY153" s="118" t="inlineStr">
        <is>
          <t>none</t>
        </is>
      </c>
      <c r="AZ153" s="118" t="inlineStr">
        <is>
          <t>Y</t>
        </is>
      </c>
      <c r="BA153" s="118" t="inlineStr">
        <is>
          <t>2026-10-13 12:13:35</t>
        </is>
      </c>
      <c r="BB153" s="120" t="inlineStr">
        <is>
          <t>Prime Exclusive Discount</t>
        </is>
      </c>
      <c r="BC153" s="120" t="inlineStr">
        <is>
          <t>11-01 to 12-01</t>
        </is>
      </c>
      <c r="BD153" s="121" t="n">
        <v>29.99</v>
      </c>
      <c r="BE153" s="121" t="n">
        <v>24.95</v>
      </c>
      <c r="BF153" s="110">
        <f>IF(AND(ISNUMBER(BD153),ISNUMBER(BE153),N(BD153)&gt;0),1-BE153/BD153,"")</f>
        <v/>
      </c>
      <c r="BG153" s="122" t="n">
        <v>19773</v>
      </c>
      <c r="BH153" s="122" t="n">
        <v>19113</v>
      </c>
      <c r="BI153" s="123">
        <f>IF(AND(ISNUMBER(BG153),ISNUMBER(BH153),N(BH153)&gt;0),BG153/BH153,"")</f>
        <v/>
      </c>
      <c r="BJ153" s="120" t="inlineStr">
        <is>
          <t>N</t>
        </is>
      </c>
      <c r="BK153" s="120" t="inlineStr">
        <is>
          <t>Prime Exclusive already running before BFCM week; Buy Box RAISED in BFCM week (median $31.99 vs $29.99 before); List Price $48.99</t>
        </is>
      </c>
    </row>
    <row r="154" ht="62" customHeight="1">
      <c r="A154" s="12">
        <f>_xlfn.IMAGE("https://images-na.ssl-images-amazon.com/images/I/81zLU1W0e8L.jpg")</f>
        <v/>
      </c>
      <c r="B154" s="105" t="inlineStr">
        <is>
          <t>Pure Bedding</t>
        </is>
      </c>
      <c r="C154" s="39" t="inlineStr">
        <is>
          <t>Pure Bedding Satin Sheets Queen [4-Piece, Black] Hotel Luxury Silky Bed Sheets - Extra Soft 1800 Microfiber Sheet Set, Wrinkle, Fade, Deep Pocket Fitted Sheet, Flat Sheet, Pillow Cases</t>
        </is>
      </c>
      <c r="D154" s="105" t="inlineStr">
        <is>
          <t>Untiered</t>
        </is>
      </c>
      <c r="E154" s="106" t="inlineStr">
        <is>
          <t>Direct</t>
        </is>
      </c>
      <c r="F154" s="105" t="inlineStr">
        <is>
          <t>Satin (polyester)</t>
        </is>
      </c>
      <c r="G154" s="39" t="inlineStr">
        <is>
          <t>Same product (sheet set) in the same material family: Satin (polyester) (title: Pure Bedding Satin Sheets Queen [4-Piece, Black] Hotel Luxur); ours: our listing: polyester satin.</t>
        </is>
      </c>
      <c r="H154" s="107" t="inlineStr">
        <is>
          <t>B0FMPQYB2J</t>
        </is>
      </c>
      <c r="I154" s="107" t="inlineStr">
        <is>
          <t>B083G81VSH</t>
        </is>
      </c>
      <c r="J154" s="105" t="inlineStr">
        <is>
          <t>Queen</t>
        </is>
      </c>
      <c r="K154" s="105" t="inlineStr">
        <is>
          <t>Black</t>
        </is>
      </c>
      <c r="L154" s="108" t="n">
        <v>146</v>
      </c>
      <c r="M154" s="39" t="inlineStr">
        <is>
          <t>B083G81VSH (53%), B07QVMQHD8 (25%), B0FMZWLSSM (4%)</t>
        </is>
      </c>
      <c r="N154" s="109" t="n">
        <v>20.99</v>
      </c>
      <c r="O154" s="109" t="n"/>
      <c r="P154" s="110">
        <f>IF(AND(ISNUMBER(O154),ISNUMBER(N154),N(N154)&gt;0),O154/N154-1,"")</f>
        <v/>
      </c>
      <c r="Q154" s="111">
        <f>IF(P154="","No List Price",IF(P154&lt;=0,"At/below price",IF(P154&lt;=0.12,"&lt;=12% STR zone",IF(P154&lt;=0.25,"12-25%","&gt;25% over"))))</f>
        <v/>
      </c>
      <c r="R154" s="109" t="n"/>
      <c r="S154" s="112">
        <f>IF(AND(ISNUMBER(N154),ISNUMBER(R154),N(R154)&gt;0),N154/R154-1,"")</f>
        <v/>
      </c>
      <c r="T154" s="39" t="inlineStr">
        <is>
          <t>No price for us</t>
        </is>
      </c>
      <c r="U154" s="108" t="n">
        <v>30991</v>
      </c>
      <c r="V154" s="108" t="n">
        <v>92</v>
      </c>
      <c r="W154" s="113">
        <f>IF(AND(ISNUMBER(N154),ISNUMBER(V154)),N154*V154*52/12,"")</f>
        <v/>
      </c>
      <c r="X154" s="114" t="n">
        <v>4.4</v>
      </c>
      <c r="Y154" s="108" t="n">
        <v>9828</v>
      </c>
      <c r="Z154" s="115" t="n">
        <v>46307</v>
      </c>
      <c r="AA154" s="115" t="n">
        <v>43833</v>
      </c>
      <c r="AB154" s="105" t="inlineStr">
        <is>
          <t>AMZ</t>
        </is>
      </c>
      <c r="AC154" s="105" t="inlineStr">
        <is>
          <t>(Amazon)</t>
        </is>
      </c>
      <c r="AD154" s="108" t="n">
        <v>119531</v>
      </c>
      <c r="AE154" s="108" t="n">
        <v>1524</v>
      </c>
      <c r="AF154" s="116" t="n">
        <v>0.6204180681162206</v>
      </c>
      <c r="AG154" s="116" t="n">
        <v>0.3795819318837791</v>
      </c>
      <c r="AH154" s="39" t="inlineStr">
        <is>
          <t>satin sheets</t>
        </is>
      </c>
      <c r="AI154" s="116" t="n">
        <v>0.7968142155591437</v>
      </c>
      <c r="AJ154" s="116" t="n"/>
      <c r="AK154" s="116" t="n"/>
      <c r="AL154" s="116" t="n">
        <v>0.001480787410797199</v>
      </c>
      <c r="AM154" s="108" t="n"/>
      <c r="AN154" s="108" t="n"/>
      <c r="AO154" s="108" t="n"/>
      <c r="AP154" s="108" t="n"/>
      <c r="AQ154" s="108" t="n"/>
      <c r="AR154" s="108" t="n"/>
      <c r="AS154" s="117" t="n">
        <v>0.7574960547080484</v>
      </c>
      <c r="AT154" s="112" t="n">
        <v>-0.08414376321353068</v>
      </c>
      <c r="AU154" s="118" t="inlineStr">
        <is>
          <t>N</t>
        </is>
      </c>
      <c r="AV154" s="118" t="inlineStr">
        <is>
          <t>none</t>
        </is>
      </c>
      <c r="AW154" s="124" t="n"/>
      <c r="AX154" s="119" t="n">
        <v>20.99</v>
      </c>
      <c r="AY154" s="118" t="inlineStr">
        <is>
          <t>none</t>
        </is>
      </c>
      <c r="AZ154" s="118" t="inlineStr">
        <is>
          <t>Y</t>
        </is>
      </c>
      <c r="BA154" s="118" t="inlineStr">
        <is>
          <t>2026-10-13 12:13:39</t>
        </is>
      </c>
      <c r="BB154" s="120" t="inlineStr">
        <is>
          <t>Price cut only</t>
        </is>
      </c>
      <c r="BC154" s="120" t="inlineStr">
        <is>
          <t>11-26 to 12-01</t>
        </is>
      </c>
      <c r="BD154" s="121" t="n">
        <v>18.99</v>
      </c>
      <c r="BE154" s="121" t="n">
        <v>17.54</v>
      </c>
      <c r="BF154" s="110">
        <f>IF(AND(ISNUMBER(BD154),ISNUMBER(BE154),N(BD154)&gt;0),1-BE154/BD154,"")</f>
        <v/>
      </c>
      <c r="BG154" s="122" t="n">
        <v>18619</v>
      </c>
      <c r="BH154" s="122" t="n">
        <v>22404</v>
      </c>
      <c r="BI154" s="123">
        <f>IF(AND(ISNUMBER(BG154),ISNUMBER(BH154),N(BH154)&gt;0),BG154/BH154,"")</f>
        <v/>
      </c>
      <c r="BJ154" s="120" t="inlineStr">
        <is>
          <t>N</t>
        </is>
      </c>
      <c r="BK154" s="120" t="inlineStr">
        <is>
          <t>Buy Box RAISED in BFCM week (median $20.02 vs $18.99 before); List Price $32.99</t>
        </is>
      </c>
    </row>
    <row r="155" ht="62" customHeight="1">
      <c r="A155" s="12">
        <f>_xlfn.IMAGE("https://images-na.ssl-images-amazon.com/images/I/71ZrkfMtWLL.jpg")</f>
        <v/>
      </c>
      <c r="B155" s="105" t="inlineStr">
        <is>
          <t>SiinvdaBZX</t>
        </is>
      </c>
      <c r="C155" s="39" t="inlineStr">
        <is>
          <t>SiinvdaBZX 4Pcs Satin Sheet Set Queen Size 15-Inch Deep Pocket, Beige</t>
        </is>
      </c>
      <c r="D155" s="105" t="inlineStr">
        <is>
          <t>Untiered</t>
        </is>
      </c>
      <c r="E155" s="106" t="inlineStr">
        <is>
          <t>Direct</t>
        </is>
      </c>
      <c r="F155" s="105" t="inlineStr">
        <is>
          <t>Satin (polyester)</t>
        </is>
      </c>
      <c r="G155" s="39" t="inlineStr">
        <is>
          <t>Same product (sheet set) in the same material family: Satin (polyester) (title: SiinvdaBZX 4Pcs Satin Sheet Set Queen Size 15-Inch Deep Pock); ours: our listing: polyester satin.</t>
        </is>
      </c>
      <c r="H155" s="107" t="inlineStr">
        <is>
          <t>B0DD37S32L</t>
        </is>
      </c>
      <c r="I155" s="107" t="inlineStr">
        <is>
          <t>B08JP9DG5Z</t>
        </is>
      </c>
      <c r="J155" s="105" t="inlineStr">
        <is>
          <t>Queen</t>
        </is>
      </c>
      <c r="K155" s="105" t="inlineStr">
        <is>
          <t>Beige</t>
        </is>
      </c>
      <c r="L155" s="108" t="n">
        <v>96</v>
      </c>
      <c r="M155" s="39" t="inlineStr">
        <is>
          <t>B08JP9DG5Z (57%), B09QPFBSD4 (12%), B09QP9LCFM (7%), B08JPQ3JJK (4%)</t>
        </is>
      </c>
      <c r="N155" s="109" t="n">
        <v>22.99</v>
      </c>
      <c r="O155" s="109" t="n"/>
      <c r="P155" s="110">
        <f>IF(AND(ISNUMBER(O155),ISNUMBER(N155),N(N155)&gt;0),O155/N155-1,"")</f>
        <v/>
      </c>
      <c r="Q155" s="111">
        <f>IF(P155="","No List Price",IF(P155&lt;=0,"At/below price",IF(P155&lt;=0.12,"&lt;=12% STR zone",IF(P155&lt;=0.25,"12-25%","&gt;25% over"))))</f>
        <v/>
      </c>
      <c r="R155" s="109" t="n"/>
      <c r="S155" s="112">
        <f>IF(AND(ISNUMBER(N155),ISNUMBER(R155),N(R155)&gt;0),N155/R155-1,"")</f>
        <v/>
      </c>
      <c r="T155" s="39" t="inlineStr">
        <is>
          <t>No price for us</t>
        </is>
      </c>
      <c r="U155" s="108" t="n">
        <v>23154</v>
      </c>
      <c r="V155" s="108" t="n">
        <v>92</v>
      </c>
      <c r="W155" s="113">
        <f>IF(AND(ISNUMBER(N155),ISNUMBER(V155)),N155*V155*52/12,"")</f>
        <v/>
      </c>
      <c r="X155" s="114" t="n">
        <v>4.4</v>
      </c>
      <c r="Y155" s="108" t="n">
        <v>6981</v>
      </c>
      <c r="Z155" s="115" t="n">
        <v>46307</v>
      </c>
      <c r="AA155" s="115" t="n">
        <v>44096</v>
      </c>
      <c r="AB155" s="105" t="inlineStr">
        <is>
          <t>FBA</t>
        </is>
      </c>
      <c r="AC155" s="105" t="inlineStr">
        <is>
          <t>CN</t>
        </is>
      </c>
      <c r="AD155" s="108" t="n">
        <v>47722</v>
      </c>
      <c r="AE155" s="108" t="n">
        <v>1085</v>
      </c>
      <c r="AF155" s="116" t="n">
        <v>0.8752176061355349</v>
      </c>
      <c r="AG155" s="116" t="n">
        <v>0.1247823938644651</v>
      </c>
      <c r="AH155" s="39" t="inlineStr">
        <is>
          <t>silk sheets</t>
        </is>
      </c>
      <c r="AI155" s="116" t="n">
        <v>0.6122543061900172</v>
      </c>
      <c r="AJ155" s="116" t="n">
        <v>0.0001885922635262562</v>
      </c>
      <c r="AK155" s="116" t="n">
        <v>0.01083357780478605</v>
      </c>
      <c r="AL155" s="116" t="n">
        <v>0.004777670675998491</v>
      </c>
      <c r="AM155" s="108" t="n"/>
      <c r="AN155" s="108" t="n"/>
      <c r="AO155" s="108" t="n"/>
      <c r="AP155" s="108" t="n"/>
      <c r="AQ155" s="108" t="n"/>
      <c r="AR155" s="108" t="n"/>
      <c r="AS155" s="117" t="n">
        <v>1.035928143712575</v>
      </c>
      <c r="AT155" s="112" t="n">
        <v>-0.05882352941176483</v>
      </c>
      <c r="AU155" s="118" t="inlineStr">
        <is>
          <t>N</t>
        </is>
      </c>
      <c r="AV155" s="118" t="inlineStr">
        <is>
          <t>none</t>
        </is>
      </c>
      <c r="AW155" s="124" t="n"/>
      <c r="AX155" s="119" t="n">
        <v>22.99</v>
      </c>
      <c r="AY155" s="118" t="inlineStr">
        <is>
          <t>none</t>
        </is>
      </c>
      <c r="AZ155" s="118" t="inlineStr">
        <is>
          <t>Y</t>
        </is>
      </c>
      <c r="BA155" s="118" t="inlineStr">
        <is>
          <t>2026-10-13 12:13:45</t>
        </is>
      </c>
      <c r="BB155" s="120" t="inlineStr">
        <is>
          <t>Prime Exclusive Discount</t>
        </is>
      </c>
      <c r="BC155" s="120" t="inlineStr">
        <is>
          <t>11-01 to 12-01</t>
        </is>
      </c>
      <c r="BD155" s="121" t="n">
        <v>24.49</v>
      </c>
      <c r="BE155" s="121" t="n">
        <v>21.59</v>
      </c>
      <c r="BF155" s="110">
        <f>IF(AND(ISNUMBER(BD155),ISNUMBER(BE155),N(BD155)&gt;0),1-BE155/BD155,"")</f>
        <v/>
      </c>
      <c r="BG155" s="122" t="n">
        <v>20848</v>
      </c>
      <c r="BH155" s="122" t="n">
        <v>20750</v>
      </c>
      <c r="BI155" s="123">
        <f>IF(AND(ISNUMBER(BG155),ISNUMBER(BH155),N(BH155)&gt;0),BG155/BH155,"")</f>
        <v/>
      </c>
      <c r="BJ155" s="120" t="inlineStr">
        <is>
          <t>N</t>
        </is>
      </c>
      <c r="BK155" s="120" t="inlineStr">
        <is>
          <t>Prime Exclusive already running before BFCM week; Buy Box RAISED in BFCM week (median $26.99 vs $24.49 before); List Price $52.59</t>
        </is>
      </c>
    </row>
    <row r="156" ht="62" customHeight="1">
      <c r="A156" s="12">
        <f>_xlfn.IMAGE("https://images-na.ssl-images-amazon.com/images/I/71d2-R2XfJL.jpg")</f>
        <v/>
      </c>
      <c r="B156" s="105" t="inlineStr">
        <is>
          <t>VACVELT</t>
        </is>
      </c>
      <c r="C156" s="39" t="inlineStr">
        <is>
          <t>VACVELT 3pcs Queen Black Extra Deep Pocket Satin Fitted Sheet Set</t>
        </is>
      </c>
      <c r="D156" s="105" t="inlineStr">
        <is>
          <t>Untiered</t>
        </is>
      </c>
      <c r="E156" s="106" t="inlineStr">
        <is>
          <t>Direct</t>
        </is>
      </c>
      <c r="F156" s="105" t="inlineStr">
        <is>
          <t>Satin (polyester)</t>
        </is>
      </c>
      <c r="G156" s="39" t="inlineStr">
        <is>
          <t>Same product (sheet set) in the same material family: Satin (polyester) (title: VACVELT 3pcs Queen Black Extra Deep Pocket Satin Fitted Shee); ours: our listing: polyester satin.</t>
        </is>
      </c>
      <c r="H156" s="107" t="inlineStr">
        <is>
          <t>B0BWJ4PYLN</t>
        </is>
      </c>
      <c r="I156" s="107" t="inlineStr">
        <is>
          <t>B0BWJ4MLLZ</t>
        </is>
      </c>
      <c r="J156" s="105" t="inlineStr">
        <is>
          <t>Queen</t>
        </is>
      </c>
      <c r="K156" s="105" t="inlineStr">
        <is>
          <t>Black</t>
        </is>
      </c>
      <c r="L156" s="108" t="n">
        <v>40</v>
      </c>
      <c r="M156" s="39" t="inlineStr">
        <is>
          <t>B0BWJ4MLLZ (83%)</t>
        </is>
      </c>
      <c r="N156" s="109" t="n">
        <v>18.99</v>
      </c>
      <c r="O156" s="109" t="n"/>
      <c r="P156" s="110">
        <f>IF(AND(ISNUMBER(O156),ISNUMBER(N156),N(N156)&gt;0),O156/N156-1,"")</f>
        <v/>
      </c>
      <c r="Q156" s="111">
        <f>IF(P156="","No List Price",IF(P156&lt;=0,"At/below price",IF(P156&lt;=0.12,"&lt;=12% STR zone",IF(P156&lt;=0.25,"12-25%","&gt;25% over"))))</f>
        <v/>
      </c>
      <c r="R156" s="109" t="n"/>
      <c r="S156" s="112">
        <f>IF(AND(ISNUMBER(N156),ISNUMBER(R156),N(R156)&gt;0),N156/R156-1,"")</f>
        <v/>
      </c>
      <c r="T156" s="39" t="inlineStr">
        <is>
          <t>No price for us</t>
        </is>
      </c>
      <c r="U156" s="108" t="n">
        <v>49291</v>
      </c>
      <c r="V156" s="108" t="n">
        <v>92</v>
      </c>
      <c r="W156" s="113">
        <f>IF(AND(ISNUMBER(N156),ISNUMBER(V156)),N156*V156*52/12,"")</f>
        <v/>
      </c>
      <c r="X156" s="114" t="n">
        <v>4.2</v>
      </c>
      <c r="Y156" s="108" t="n">
        <v>747</v>
      </c>
      <c r="Z156" s="115" t="n">
        <v>46307</v>
      </c>
      <c r="AA156" s="115" t="n">
        <v>44979</v>
      </c>
      <c r="AB156" s="105" t="inlineStr">
        <is>
          <t>FBA</t>
        </is>
      </c>
      <c r="AC156" s="105" t="inlineStr">
        <is>
          <t>CN</t>
        </is>
      </c>
      <c r="AD156" s="108" t="n">
        <v>25451</v>
      </c>
      <c r="AE156" s="108" t="n">
        <v>677</v>
      </c>
      <c r="AF156" s="116" t="n">
        <v>0.9999606773800636</v>
      </c>
      <c r="AG156" s="116" t="n">
        <v>3.932261993634828e-05</v>
      </c>
      <c r="AH156" s="39" t="inlineStr">
        <is>
          <t>satin sheets</t>
        </is>
      </c>
      <c r="AI156" s="116" t="n">
        <v>0.175985226513693</v>
      </c>
      <c r="AJ156" s="116" t="n"/>
      <c r="AK156" s="116" t="n"/>
      <c r="AL156" s="116" t="n">
        <v>0</v>
      </c>
      <c r="AM156" s="108" t="n"/>
      <c r="AN156" s="108" t="n"/>
      <c r="AO156" s="108" t="n"/>
      <c r="AP156" s="108" t="n"/>
      <c r="AQ156" s="108" t="n"/>
      <c r="AR156" s="108" t="n"/>
      <c r="AS156" s="117" t="n">
        <v>1.145341614906832</v>
      </c>
      <c r="AT156" s="112" t="n">
        <v>0.1112500000000001</v>
      </c>
      <c r="AU156" s="118" t="inlineStr">
        <is>
          <t>N</t>
        </is>
      </c>
      <c r="AV156" s="118" t="inlineStr">
        <is>
          <t>none</t>
        </is>
      </c>
      <c r="AW156" s="124" t="n"/>
      <c r="AX156" s="119" t="n">
        <v>18.99</v>
      </c>
      <c r="AY156" s="118" t="inlineStr">
        <is>
          <t>none</t>
        </is>
      </c>
      <c r="AZ156" s="118" t="inlineStr">
        <is>
          <t>Y</t>
        </is>
      </c>
      <c r="BA156" s="118" t="inlineStr">
        <is>
          <t>2026-10-13 12:13:51</t>
        </is>
      </c>
      <c r="BB156" s="120" t="inlineStr">
        <is>
          <t>Prime Exclusive Discount</t>
        </is>
      </c>
      <c r="BC156" s="120" t="inlineStr">
        <is>
          <t>11-01 to 12-01</t>
        </is>
      </c>
      <c r="BD156" s="121" t="n">
        <v>25.99</v>
      </c>
      <c r="BE156" s="121" t="n">
        <v>17.15</v>
      </c>
      <c r="BF156" s="110">
        <f>IF(AND(ISNUMBER(BD156),ISNUMBER(BE156),N(BD156)&gt;0),1-BE156/BD156,"")</f>
        <v/>
      </c>
      <c r="BG156" s="122" t="n">
        <v>56482</v>
      </c>
      <c r="BH156" s="122" t="n">
        <v>55960</v>
      </c>
      <c r="BI156" s="123">
        <f>IF(AND(ISNUMBER(BG156),ISNUMBER(BH156),N(BH156)&gt;0),BG156/BH156,"")</f>
        <v/>
      </c>
      <c r="BJ156" s="120" t="inlineStr">
        <is>
          <t>N</t>
        </is>
      </c>
      <c r="BK156" s="120" t="inlineStr">
        <is>
          <t>Prime Exclusive already running before BFCM week; List Price $47.98</t>
        </is>
      </c>
    </row>
    <row r="157" ht="62" customHeight="1">
      <c r="A157" s="12">
        <f>_xlfn.IMAGE("https://images-na.ssl-images-amazon.com/images/I/813TGJ9FKjL.jpg")</f>
        <v/>
      </c>
      <c r="B157" s="105" t="inlineStr">
        <is>
          <t>Horbaunal</t>
        </is>
      </c>
      <c r="C157" s="39" t="inlineStr">
        <is>
          <t>Horbaunal 6 Piece Satin Sheet Set Queen, Emerald Green Queen Bed Sheets</t>
        </is>
      </c>
      <c r="D157" s="105" t="inlineStr">
        <is>
          <t>Untiered</t>
        </is>
      </c>
      <c r="E157" s="106" t="inlineStr">
        <is>
          <t>Direct</t>
        </is>
      </c>
      <c r="F157" s="105" t="inlineStr">
        <is>
          <t>Satin (polyester)</t>
        </is>
      </c>
      <c r="G157" s="39" t="inlineStr">
        <is>
          <t>Same product (sheet set) in the same material family: Satin (polyester) (title: Horbaunal 6 Piece Satin Sheet Set Queen, Emerald Green Queen); ours: our listing: polyester satin.</t>
        </is>
      </c>
      <c r="H157" s="107" t="inlineStr">
        <is>
          <t>B0B4MQCT87</t>
        </is>
      </c>
      <c r="I157" s="107" t="inlineStr">
        <is>
          <t>B0B4MQ1PP1</t>
        </is>
      </c>
      <c r="J157" s="105" t="inlineStr">
        <is>
          <t>Queen</t>
        </is>
      </c>
      <c r="K157" s="105" t="inlineStr">
        <is>
          <t>Green</t>
        </is>
      </c>
      <c r="L157" s="108" t="n">
        <v>23</v>
      </c>
      <c r="M157" s="39" t="inlineStr"/>
      <c r="N157" s="109" t="n">
        <v>28.99</v>
      </c>
      <c r="O157" s="109" t="n"/>
      <c r="P157" s="110">
        <f>IF(AND(ISNUMBER(O157),ISNUMBER(N157),N(N157)&gt;0),O157/N157-1,"")</f>
        <v/>
      </c>
      <c r="Q157" s="111">
        <f>IF(P157="","No List Price",IF(P157&lt;=0,"At/below price",IF(P157&lt;=0.12,"&lt;=12% STR zone",IF(P157&lt;=0.25,"12-25%","&gt;25% over"))))</f>
        <v/>
      </c>
      <c r="R157" s="109" t="n"/>
      <c r="S157" s="112">
        <f>IF(AND(ISNUMBER(N157),ISNUMBER(R157),N(R157)&gt;0),N157/R157-1,"")</f>
        <v/>
      </c>
      <c r="T157" s="39" t="inlineStr">
        <is>
          <t>No price for us</t>
        </is>
      </c>
      <c r="U157" s="108" t="n">
        <v>110638</v>
      </c>
      <c r="V157" s="108" t="n">
        <v>35</v>
      </c>
      <c r="W157" s="113">
        <f>IF(AND(ISNUMBER(N157),ISNUMBER(V157)),N157*V157*52/12,"")</f>
        <v/>
      </c>
      <c r="X157" s="114" t="n">
        <v>4.4</v>
      </c>
      <c r="Y157" s="108" t="n">
        <v>772</v>
      </c>
      <c r="Z157" s="115" t="n">
        <v>46307</v>
      </c>
      <c r="AA157" s="115" t="n">
        <v>44733</v>
      </c>
      <c r="AB157" s="105" t="inlineStr">
        <is>
          <t>FBA</t>
        </is>
      </c>
      <c r="AC157" s="105" t="inlineStr">
        <is>
          <t>CN</t>
        </is>
      </c>
      <c r="AD157" s="108" t="n"/>
      <c r="AE157" s="108" t="n"/>
      <c r="AF157" s="116" t="n"/>
      <c r="AG157" s="116" t="n"/>
      <c r="AH157" s="39" t="n"/>
      <c r="AI157" s="116" t="n"/>
      <c r="AJ157" s="116" t="n"/>
      <c r="AK157" s="116" t="n"/>
      <c r="AL157" s="116" t="n"/>
      <c r="AM157" s="108" t="n"/>
      <c r="AN157" s="108" t="n"/>
      <c r="AO157" s="108" t="n"/>
      <c r="AP157" s="108" t="n"/>
      <c r="AQ157" s="108" t="n"/>
      <c r="AR157" s="108" t="n"/>
      <c r="AS157" s="117" t="n"/>
      <c r="AT157" s="112" t="n"/>
      <c r="AU157" s="118" t="inlineStr">
        <is>
          <t>N</t>
        </is>
      </c>
      <c r="AV157" s="118" t="inlineStr">
        <is>
          <t>none</t>
        </is>
      </c>
      <c r="AW157" s="124" t="n"/>
      <c r="AX157" s="119" t="n">
        <v>28.99</v>
      </c>
      <c r="AY157" s="118" t="inlineStr">
        <is>
          <t>none</t>
        </is>
      </c>
      <c r="AZ157" s="118" t="inlineStr">
        <is>
          <t>Y</t>
        </is>
      </c>
      <c r="BA157" s="118" t="inlineStr">
        <is>
          <t>2026-10-13 12:13:05</t>
        </is>
      </c>
      <c r="BB157" s="120" t="inlineStr">
        <is>
          <t>Prime Exclusive Discount</t>
        </is>
      </c>
      <c r="BC157" s="120" t="inlineStr">
        <is>
          <t>11-01 to 12-01</t>
        </is>
      </c>
      <c r="BD157" s="121" t="n">
        <v>33.43</v>
      </c>
      <c r="BE157" s="121" t="n">
        <v>28.87</v>
      </c>
      <c r="BF157" s="110">
        <f>IF(AND(ISNUMBER(BD157),ISNUMBER(BE157),N(BD157)&gt;0),1-BE157/BD157,"")</f>
        <v/>
      </c>
      <c r="BG157" s="122" t="n">
        <v>93675</v>
      </c>
      <c r="BH157" s="122" t="n">
        <v>83926</v>
      </c>
      <c r="BI157" s="123">
        <f>IF(AND(ISNUMBER(BG157),ISNUMBER(BH157),N(BH157)&gt;0),BG157/BH157,"")</f>
        <v/>
      </c>
      <c r="BJ157" s="120" t="inlineStr">
        <is>
          <t>N</t>
        </is>
      </c>
      <c r="BK157" s="120" t="inlineStr">
        <is>
          <t>Prime Exclusive already running before BFCM week; Buy Box RAISED in BFCM week (median $37.99 vs $33.43 before); List Price $45.49</t>
        </is>
      </c>
    </row>
    <row r="158" ht="62" customHeight="1">
      <c r="A158" s="12">
        <f>_xlfn.IMAGE("https://m.media-amazon.com/images/I/81Ct-nDEEnL._AC_SL1500_.jpg")</f>
        <v/>
      </c>
      <c r="B158" s="105" t="inlineStr">
        <is>
          <t>VACVELT</t>
        </is>
      </c>
      <c r="C158" s="39" t="inlineStr">
        <is>
          <t>Satin Sheets</t>
        </is>
      </c>
      <c r="D158" s="105" t="inlineStr">
        <is>
          <t>Untiered</t>
        </is>
      </c>
      <c r="E158" s="106" t="inlineStr">
        <is>
          <t>Direct</t>
        </is>
      </c>
      <c r="F158" s="105" t="inlineStr">
        <is>
          <t>Satin (polyester)</t>
        </is>
      </c>
      <c r="G158" s="39" t="inlineStr">
        <is>
          <t>Same product (sheet set) in the same material family: Satin (polyester) (product page material: Satin); ours: our listing: polyester satin.</t>
        </is>
      </c>
      <c r="H158" s="107" t="inlineStr">
        <is>
          <t>B0C9T1VY8J</t>
        </is>
      </c>
      <c r="I158" s="107" t="inlineStr">
        <is>
          <t>B0C1GJZB6F</t>
        </is>
      </c>
      <c r="J158" s="105" t="inlineStr">
        <is>
          <t>Full</t>
        </is>
      </c>
      <c r="K158" s="105" t="inlineStr">
        <is>
          <t>Hot Pink</t>
        </is>
      </c>
      <c r="L158" s="108" t="n">
        <v>35</v>
      </c>
      <c r="M158" s="39" t="inlineStr">
        <is>
          <t>B0C1GN34VQ (59%), B0C1GJZB6F (15%), B0C1GN34VL (8%)</t>
        </is>
      </c>
      <c r="N158" s="109" t="n">
        <v>21.99</v>
      </c>
      <c r="O158" s="109" t="n"/>
      <c r="P158" s="110">
        <f>IF(AND(ISNUMBER(O158),ISNUMBER(N158),N(N158)&gt;0),O158/N158-1,"")</f>
        <v/>
      </c>
      <c r="Q158" s="111">
        <f>IF(P158="","No List Price",IF(P158&lt;=0,"At/below price",IF(P158&lt;=0.12,"&lt;=12% STR zone",IF(P158&lt;=0.25,"12-25%","&gt;25% over"))))</f>
        <v/>
      </c>
      <c r="R158" s="109" t="n"/>
      <c r="S158" s="112">
        <f>IF(AND(ISNUMBER(N158),ISNUMBER(R158),N(R158)&gt;0),N158/R158-1,"")</f>
        <v/>
      </c>
      <c r="T158" s="39" t="inlineStr">
        <is>
          <t>No price for us</t>
        </is>
      </c>
      <c r="U158" s="108" t="n">
        <v>57010</v>
      </c>
      <c r="V158" s="108" t="n">
        <v>35</v>
      </c>
      <c r="W158" s="113">
        <f>IF(AND(ISNUMBER(N158),ISNUMBER(V158)),N158*V158*52/12,"")</f>
        <v/>
      </c>
      <c r="X158" s="114" t="n">
        <v>4.5</v>
      </c>
      <c r="Y158" s="108" t="n">
        <v>1017</v>
      </c>
      <c r="Z158" s="115" t="n">
        <v>46307</v>
      </c>
      <c r="AA158" s="115" t="n"/>
      <c r="AB158" s="105" t="n"/>
      <c r="AC158" s="105" t="n"/>
      <c r="AD158" s="108" t="n">
        <v>23621</v>
      </c>
      <c r="AE158" s="108" t="n">
        <v>569</v>
      </c>
      <c r="AF158" s="116" t="n">
        <v>0.9628617755387157</v>
      </c>
      <c r="AG158" s="116" t="n">
        <v>0.03713822446128445</v>
      </c>
      <c r="AH158" s="39" t="inlineStr">
        <is>
          <t>satin sheets</t>
        </is>
      </c>
      <c r="AI158" s="116" t="n">
        <v>0.08949663435078956</v>
      </c>
      <c r="AJ158" s="116" t="n"/>
      <c r="AK158" s="116" t="n"/>
      <c r="AL158" s="116" t="n">
        <v>0.02341137123745819</v>
      </c>
      <c r="AM158" s="108" t="n"/>
      <c r="AN158" s="108" t="n"/>
      <c r="AO158" s="108" t="n"/>
      <c r="AP158" s="108" t="n"/>
      <c r="AQ158" s="108" t="n"/>
      <c r="AR158" s="108" t="n"/>
      <c r="AS158" s="117" t="n">
        <v>1</v>
      </c>
      <c r="AT158" s="112" t="n">
        <v>0.2448979591836733</v>
      </c>
      <c r="AU158" s="118" t="inlineStr">
        <is>
          <t>N</t>
        </is>
      </c>
      <c r="AV158" s="118" t="inlineStr">
        <is>
          <t>none</t>
        </is>
      </c>
      <c r="AW158" s="124" t="n"/>
      <c r="AX158" s="119" t="n">
        <v>21.99</v>
      </c>
      <c r="AY158" s="118" t="inlineStr">
        <is>
          <t>none</t>
        </is>
      </c>
      <c r="AZ158" s="118" t="inlineStr">
        <is>
          <t>Y</t>
        </is>
      </c>
      <c r="BA158" s="118" t="inlineStr">
        <is>
          <t>2026-10-13 12:13:48</t>
        </is>
      </c>
      <c r="BB158" s="120" t="inlineStr">
        <is>
          <t>Prime Exclusive Discount</t>
        </is>
      </c>
      <c r="BC158" s="120" t="inlineStr">
        <is>
          <t>11-18 to 12-05</t>
        </is>
      </c>
      <c r="BD158" s="121" t="n">
        <v>20.99</v>
      </c>
      <c r="BE158" s="121" t="n">
        <v>17.67</v>
      </c>
      <c r="BF158" s="110">
        <f>IF(AND(ISNUMBER(BD158),ISNUMBER(BE158),N(BD158)&gt;0),1-BE158/BD158,"")</f>
        <v/>
      </c>
      <c r="BG158" s="122" t="n">
        <v>56350</v>
      </c>
      <c r="BH158" s="122" t="n">
        <v>47030</v>
      </c>
      <c r="BI158" s="123">
        <f>IF(AND(ISNUMBER(BG158),ISNUMBER(BH158),N(BH158)&gt;0),BG158/BH158,"")</f>
        <v/>
      </c>
      <c r="BJ158" s="120" t="inlineStr">
        <is>
          <t>N</t>
        </is>
      </c>
      <c r="BK158" s="120" t="inlineStr">
        <is>
          <t>Prime Exclusive already running before BFCM week; Buy Box RAISED in BFCM week (median $25.99 vs $20.99 before); List Price $46.38</t>
        </is>
      </c>
    </row>
    <row r="159" ht="62" customHeight="1">
      <c r="A159" s="12">
        <f>_xlfn.IMAGE("https://m.media-amazon.com/images/I/71NLoiG0PKL._AC_SL1500_.jpg")</f>
        <v/>
      </c>
      <c r="B159" s="105" t="inlineStr">
        <is>
          <t>Homiest</t>
        </is>
      </c>
      <c r="C159" s="39" t="inlineStr">
        <is>
          <t>Satin Sheets</t>
        </is>
      </c>
      <c r="D159" s="105" t="inlineStr">
        <is>
          <t>Untiered</t>
        </is>
      </c>
      <c r="E159" s="106" t="inlineStr">
        <is>
          <t>Direct</t>
        </is>
      </c>
      <c r="F159" s="105" t="inlineStr">
        <is>
          <t>Satin (polyester)</t>
        </is>
      </c>
      <c r="G159" s="39" t="inlineStr">
        <is>
          <t>Same product (sheet set) in the same material family: Satin (polyester) (product page material: Satin); ours: our listing: polyester satin.</t>
        </is>
      </c>
      <c r="H159" s="107" t="inlineStr">
        <is>
          <t>B0DYJKM99H</t>
        </is>
      </c>
      <c r="I159" s="107" t="inlineStr">
        <is>
          <t>B0DYJHHJQL</t>
        </is>
      </c>
      <c r="J159" s="105" t="inlineStr">
        <is>
          <t>Queen</t>
        </is>
      </c>
      <c r="K159" s="105" t="inlineStr">
        <is>
          <t>Blush Pink</t>
        </is>
      </c>
      <c r="L159" s="108" t="n"/>
      <c r="M159" s="39" t="inlineStr"/>
      <c r="N159" s="109" t="n">
        <v>27.99</v>
      </c>
      <c r="O159" s="109" t="n"/>
      <c r="P159" s="110">
        <f>IF(AND(ISNUMBER(O159),ISNUMBER(N159),N(N159)&gt;0),O159/N159-1,"")</f>
        <v/>
      </c>
      <c r="Q159" s="111">
        <f>IF(P159="","No List Price",IF(P159&lt;=0,"At/below price",IF(P159&lt;=0.12,"&lt;=12% STR zone",IF(P159&lt;=0.25,"12-25%","&gt;25% over"))))</f>
        <v/>
      </c>
      <c r="R159" s="109" t="n"/>
      <c r="S159" s="112">
        <f>IF(AND(ISNUMBER(N159),ISNUMBER(R159),N(R159)&gt;0),N159/R159-1,"")</f>
        <v/>
      </c>
      <c r="T159" s="39" t="inlineStr">
        <is>
          <t>No price for us</t>
        </is>
      </c>
      <c r="U159" s="108" t="n">
        <v>89437</v>
      </c>
      <c r="V159" s="108" t="n">
        <v>18</v>
      </c>
      <c r="W159" s="113">
        <f>IF(AND(ISNUMBER(N159),ISNUMBER(V159)),N159*V159*52/12,"")</f>
        <v/>
      </c>
      <c r="X159" s="114" t="n">
        <v>4.5</v>
      </c>
      <c r="Y159" s="108" t="n">
        <v>205</v>
      </c>
      <c r="Z159" s="115" t="n">
        <v>46307</v>
      </c>
      <c r="AA159" s="115" t="n"/>
      <c r="AB159" s="105" t="n"/>
      <c r="AC159" s="105" t="n"/>
      <c r="AD159" s="108" t="n"/>
      <c r="AE159" s="108" t="n"/>
      <c r="AF159" s="116" t="n"/>
      <c r="AG159" s="116" t="n"/>
      <c r="AH159" s="39" t="n"/>
      <c r="AI159" s="116" t="n"/>
      <c r="AJ159" s="116" t="n"/>
      <c r="AK159" s="116" t="n"/>
      <c r="AL159" s="116" t="n"/>
      <c r="AM159" s="108" t="n"/>
      <c r="AN159" s="108" t="n"/>
      <c r="AO159" s="108" t="n"/>
      <c r="AP159" s="108" t="n"/>
      <c r="AQ159" s="108" t="n"/>
      <c r="AR159" s="108" t="n"/>
      <c r="AS159" s="117" t="n"/>
      <c r="AT159" s="112" t="n"/>
      <c r="AU159" s="118" t="inlineStr">
        <is>
          <t>N</t>
        </is>
      </c>
      <c r="AV159" s="118" t="inlineStr">
        <is>
          <t>none</t>
        </is>
      </c>
      <c r="AW159" s="124" t="n"/>
      <c r="AX159" s="119" t="n">
        <v>27.99</v>
      </c>
      <c r="AY159" s="118" t="inlineStr">
        <is>
          <t>none</t>
        </is>
      </c>
      <c r="AZ159" s="118" t="inlineStr">
        <is>
          <t>Y</t>
        </is>
      </c>
      <c r="BA159" s="118" t="inlineStr">
        <is>
          <t>2026-10-13 12:12:53</t>
        </is>
      </c>
      <c r="BB159" s="120" t="inlineStr">
        <is>
          <t>None</t>
        </is>
      </c>
      <c r="BC159" s="125" t="n"/>
      <c r="BD159" s="121" t="n">
        <v>28.99</v>
      </c>
      <c r="BE159" s="121" t="n">
        <v>28.99</v>
      </c>
      <c r="BF159" s="110">
        <f>IF(AND(ISNUMBER(BD159),ISNUMBER(BE159),N(BD159)&gt;0),1-BE159/BD159,"")</f>
        <v/>
      </c>
      <c r="BG159" s="122" t="n">
        <v>63419</v>
      </c>
      <c r="BH159" s="122" t="n">
        <v>61469</v>
      </c>
      <c r="BI159" s="123">
        <f>IF(AND(ISNUMBER(BG159),ISNUMBER(BH159),N(BH159)&gt;0),BG159/BH159,"")</f>
        <v/>
      </c>
      <c r="BJ159" s="120" t="inlineStr">
        <is>
          <t>N</t>
        </is>
      </c>
      <c r="BK159" s="120" t="inlineStr">
        <is>
          <t>List Price $34.99</t>
        </is>
      </c>
    </row>
    <row r="160" ht="62" customHeight="1">
      <c r="A160" s="12">
        <f>_xlfn.IMAGE("https://m.media-amazon.com/images/I/91BOC0gJVXL._AC_SL1500_.jpg")</f>
        <v/>
      </c>
      <c r="B160" s="105" t="inlineStr">
        <is>
          <t>HommxJF</t>
        </is>
      </c>
      <c r="C160" s="39" t="inlineStr">
        <is>
          <t>Satin Sheets</t>
        </is>
      </c>
      <c r="D160" s="105" t="inlineStr">
        <is>
          <t>Untiered</t>
        </is>
      </c>
      <c r="E160" s="106" t="inlineStr">
        <is>
          <t>Direct</t>
        </is>
      </c>
      <c r="F160" s="105" t="inlineStr">
        <is>
          <t>Satin (polyester)</t>
        </is>
      </c>
      <c r="G160" s="39" t="inlineStr">
        <is>
          <t>Same product (sheet set) in the same material family: Satin (polyester) (product page material: Satin); ours: our listing: polyester satin.</t>
        </is>
      </c>
      <c r="H160" s="107" t="inlineStr">
        <is>
          <t>B0BJZT93SL</t>
        </is>
      </c>
      <c r="I160" s="107" t="inlineStr">
        <is>
          <t>B09V52BVJB</t>
        </is>
      </c>
      <c r="J160" s="105" t="inlineStr">
        <is>
          <t>Full</t>
        </is>
      </c>
      <c r="K160" s="105" t="inlineStr">
        <is>
          <t>Blush Pink</t>
        </is>
      </c>
      <c r="L160" s="108" t="n">
        <v>32</v>
      </c>
      <c r="M160" s="39" t="inlineStr">
        <is>
          <t>B09V52BVJB (55%), B0BCKD5X64 (25%), B09V52C9M9 (10%)</t>
        </is>
      </c>
      <c r="N160" s="109" t="n">
        <v>24.99</v>
      </c>
      <c r="O160" s="109" t="n"/>
      <c r="P160" s="110">
        <f>IF(AND(ISNUMBER(O160),ISNUMBER(N160),N(N160)&gt;0),O160/N160-1,"")</f>
        <v/>
      </c>
      <c r="Q160" s="111">
        <f>IF(P160="","No List Price",IF(P160&lt;=0,"At/below price",IF(P160&lt;=0.12,"&lt;=12% STR zone",IF(P160&lt;=0.25,"12-25%","&gt;25% over"))))</f>
        <v/>
      </c>
      <c r="R160" s="109" t="n"/>
      <c r="S160" s="112">
        <f>IF(AND(ISNUMBER(N160),ISNUMBER(R160),N(R160)&gt;0),N160/R160-1,"")</f>
        <v/>
      </c>
      <c r="T160" s="39" t="inlineStr">
        <is>
          <t>No price for us</t>
        </is>
      </c>
      <c r="U160" s="108" t="n">
        <v>180867</v>
      </c>
      <c r="V160" s="108" t="n">
        <v>18</v>
      </c>
      <c r="W160" s="113">
        <f>IF(AND(ISNUMBER(N160),ISNUMBER(V160)),N160*V160*52/12,"")</f>
        <v/>
      </c>
      <c r="X160" s="114" t="n">
        <v>4.3</v>
      </c>
      <c r="Y160" s="108" t="n">
        <v>1032</v>
      </c>
      <c r="Z160" s="115" t="n">
        <v>46307</v>
      </c>
      <c r="AA160" s="115" t="n"/>
      <c r="AB160" s="105" t="n"/>
      <c r="AC160" s="105" t="n"/>
      <c r="AD160" s="108" t="n">
        <v>16567</v>
      </c>
      <c r="AE160" s="108" t="n">
        <v>357</v>
      </c>
      <c r="AF160" s="116" t="n">
        <v>0.8554338745699279</v>
      </c>
      <c r="AG160" s="116" t="n">
        <v>0.1445661254300719</v>
      </c>
      <c r="AH160" s="39" t="inlineStr">
        <is>
          <t>satin sheets</t>
        </is>
      </c>
      <c r="AI160" s="116" t="n">
        <v>0.2936560632582845</v>
      </c>
      <c r="AJ160" s="116" t="n">
        <v>0.02323896903482827</v>
      </c>
      <c r="AK160" s="116" t="n"/>
      <c r="AL160" s="116" t="n"/>
      <c r="AM160" s="108" t="n"/>
      <c r="AN160" s="108" t="n"/>
      <c r="AO160" s="108" t="n"/>
      <c r="AP160" s="108" t="n"/>
      <c r="AQ160" s="108" t="n"/>
      <c r="AR160" s="108" t="n"/>
      <c r="AS160" s="117" t="n">
        <v>1.017857142857143</v>
      </c>
      <c r="AT160" s="112" t="n">
        <v>0.4723247232472323</v>
      </c>
      <c r="AU160" s="118" t="inlineStr">
        <is>
          <t>N</t>
        </is>
      </c>
      <c r="AV160" s="118" t="inlineStr">
        <is>
          <t>none</t>
        </is>
      </c>
      <c r="AW160" s="124" t="n"/>
      <c r="AX160" s="119" t="n">
        <v>24.99</v>
      </c>
      <c r="AY160" s="118" t="inlineStr">
        <is>
          <t>none</t>
        </is>
      </c>
      <c r="AZ160" s="118" t="inlineStr">
        <is>
          <t>Y</t>
        </is>
      </c>
      <c r="BA160" s="118" t="inlineStr">
        <is>
          <t>2026-10-13 12:13:02</t>
        </is>
      </c>
      <c r="BB160" s="120" t="inlineStr">
        <is>
          <t>None</t>
        </is>
      </c>
      <c r="BC160" s="125" t="n"/>
      <c r="BD160" s="121" t="n">
        <v>24.99</v>
      </c>
      <c r="BE160" s="121" t="n">
        <v>24.99</v>
      </c>
      <c r="BF160" s="110">
        <f>IF(AND(ISNUMBER(BD160),ISNUMBER(BE160),N(BD160)&gt;0),1-BE160/BD160,"")</f>
        <v/>
      </c>
      <c r="BG160" s="122" t="n">
        <v>107701</v>
      </c>
      <c r="BH160" s="122" t="n">
        <v>90023</v>
      </c>
      <c r="BI160" s="123">
        <f>IF(AND(ISNUMBER(BG160),ISNUMBER(BH160),N(BH160)&gt;0),BG160/BH160,"")</f>
        <v/>
      </c>
      <c r="BJ160" s="120" t="inlineStr">
        <is>
          <t>N</t>
        </is>
      </c>
      <c r="BK160" s="120" t="inlineStr">
        <is>
          <t>List Price $26.99</t>
        </is>
      </c>
    </row>
    <row r="161" ht="62" customHeight="1">
      <c r="A161" s="12">
        <f>_xlfn.IMAGE("https://m.media-amazon.com/images/I/71ImrNlbFKL._AC_SL1500_.jpg")</f>
        <v/>
      </c>
      <c r="B161" s="105" t="inlineStr">
        <is>
          <t>MK Home</t>
        </is>
      </c>
      <c r="C161" s="39" t="inlineStr">
        <is>
          <t>Satin Sheets</t>
        </is>
      </c>
      <c r="D161" s="105" t="inlineStr">
        <is>
          <t>Untiered</t>
        </is>
      </c>
      <c r="E161" s="106" t="inlineStr">
        <is>
          <t>Direct</t>
        </is>
      </c>
      <c r="F161" s="105" t="inlineStr">
        <is>
          <t>Satin (polyester)</t>
        </is>
      </c>
      <c r="G161" s="39" t="inlineStr">
        <is>
          <t>Same product (sheet set) in the same material family: Satin (polyester) (product page material: Soft Silky Satin); ours: our listing: polyester satin.</t>
        </is>
      </c>
      <c r="H161" s="107" t="inlineStr">
        <is>
          <t>B07H522QXD</t>
        </is>
      </c>
      <c r="I161" s="107" t="inlineStr">
        <is>
          <t>B07FGFRZ94</t>
        </is>
      </c>
      <c r="J161" s="105" t="inlineStr">
        <is>
          <t>Queen</t>
        </is>
      </c>
      <c r="K161" s="105" t="inlineStr">
        <is>
          <t>Red</t>
        </is>
      </c>
      <c r="L161" s="108" t="n"/>
      <c r="M161" s="39" t="inlineStr"/>
      <c r="N161" s="109" t="n">
        <v>18.99</v>
      </c>
      <c r="O161" s="109" t="n"/>
      <c r="P161" s="110">
        <f>IF(AND(ISNUMBER(O161),ISNUMBER(N161),N(N161)&gt;0),O161/N161-1,"")</f>
        <v/>
      </c>
      <c r="Q161" s="111">
        <f>IF(P161="","No List Price",IF(P161&lt;=0,"At/below price",IF(P161&lt;=0.12,"&lt;=12% STR zone",IF(P161&lt;=0.25,"12-25%","&gt;25% over"))))</f>
        <v/>
      </c>
      <c r="R161" s="109" t="n"/>
      <c r="S161" s="112">
        <f>IF(AND(ISNUMBER(N161),ISNUMBER(R161),N(R161)&gt;0),N161/R161-1,"")</f>
        <v/>
      </c>
      <c r="T161" s="39" t="inlineStr">
        <is>
          <t>No price for us</t>
        </is>
      </c>
      <c r="U161" s="108" t="n">
        <v>59039</v>
      </c>
      <c r="V161" s="108" t="n">
        <v>18</v>
      </c>
      <c r="W161" s="113">
        <f>IF(AND(ISNUMBER(N161),ISNUMBER(V161)),N161*V161*52/12,"")</f>
        <v/>
      </c>
      <c r="X161" s="114" t="n">
        <v>4.3</v>
      </c>
      <c r="Y161" s="108" t="n">
        <v>10761</v>
      </c>
      <c r="Z161" s="115" t="n">
        <v>46307</v>
      </c>
      <c r="AA161" s="115" t="n"/>
      <c r="AB161" s="105" t="n"/>
      <c r="AC161" s="105" t="n"/>
      <c r="AD161" s="108" t="n"/>
      <c r="AE161" s="108" t="n"/>
      <c r="AF161" s="116" t="n"/>
      <c r="AG161" s="116" t="n"/>
      <c r="AH161" s="39" t="n"/>
      <c r="AI161" s="116" t="n"/>
      <c r="AJ161" s="116" t="n"/>
      <c r="AK161" s="116" t="n"/>
      <c r="AL161" s="116" t="n"/>
      <c r="AM161" s="108" t="n"/>
      <c r="AN161" s="108" t="n"/>
      <c r="AO161" s="108" t="n"/>
      <c r="AP161" s="108" t="n"/>
      <c r="AQ161" s="108" t="n"/>
      <c r="AR161" s="108" t="n"/>
      <c r="AS161" s="117" t="n"/>
      <c r="AT161" s="112" t="n"/>
      <c r="AU161" s="118" t="inlineStr">
        <is>
          <t>N</t>
        </is>
      </c>
      <c r="AV161" s="118" t="inlineStr">
        <is>
          <t>none</t>
        </is>
      </c>
      <c r="AW161" s="124" t="n"/>
      <c r="AX161" s="119" t="n">
        <v>18.99</v>
      </c>
      <c r="AY161" s="118" t="inlineStr">
        <is>
          <t>none</t>
        </is>
      </c>
      <c r="AZ161" s="118" t="inlineStr">
        <is>
          <t>Y</t>
        </is>
      </c>
      <c r="BA161" s="118" t="inlineStr">
        <is>
          <t>2026-10-13 12:13:19</t>
        </is>
      </c>
      <c r="BB161" s="120" t="inlineStr">
        <is>
          <t>None</t>
        </is>
      </c>
      <c r="BC161" s="125" t="n"/>
      <c r="BD161" s="121" t="n">
        <v>28.99</v>
      </c>
      <c r="BE161" s="121" t="n">
        <v>28.99</v>
      </c>
      <c r="BF161" s="110">
        <f>IF(AND(ISNUMBER(BD161),ISNUMBER(BE161),N(BD161)&gt;0),1-BE161/BD161,"")</f>
        <v/>
      </c>
      <c r="BG161" s="122" t="n">
        <v>72573</v>
      </c>
      <c r="BH161" s="122" t="n">
        <v>103377</v>
      </c>
      <c r="BI161" s="123">
        <f>IF(AND(ISNUMBER(BG161),ISNUMBER(BH161),N(BH161)&gt;0),BG161/BH161,"")</f>
        <v/>
      </c>
      <c r="BJ161" s="120" t="inlineStr">
        <is>
          <t>N</t>
        </is>
      </c>
      <c r="BK161" s="120" t="inlineStr">
        <is>
          <t>List Price $59.99</t>
        </is>
      </c>
    </row>
    <row r="162" ht="62" customHeight="1">
      <c r="A162" s="12">
        <f>_xlfn.IMAGE("https://m.media-amazon.com/images/I/61ShIpqvBXL._AC_SL1500_.jpg")</f>
        <v/>
      </c>
      <c r="B162" s="105" t="inlineStr">
        <is>
          <t>VACVELT</t>
        </is>
      </c>
      <c r="C162" s="39" t="inlineStr">
        <is>
          <t>Satin Sheets</t>
        </is>
      </c>
      <c r="D162" s="105" t="inlineStr">
        <is>
          <t>Untiered</t>
        </is>
      </c>
      <c r="E162" s="106" t="inlineStr">
        <is>
          <t>Direct</t>
        </is>
      </c>
      <c r="F162" s="105" t="inlineStr">
        <is>
          <t>Satin (polyester)</t>
        </is>
      </c>
      <c r="G162" s="39" t="inlineStr">
        <is>
          <t>Same product (sheet set) in the same material family: Satin (polyester) (product page material: Satin); ours: our listing: polyester satin.</t>
        </is>
      </c>
      <c r="H162" s="107" t="inlineStr">
        <is>
          <t>B0F7XQDVJY</t>
        </is>
      </c>
      <c r="I162" s="107" t="inlineStr">
        <is>
          <t>B0F7XRNKQY</t>
        </is>
      </c>
      <c r="J162" s="105" t="inlineStr">
        <is>
          <t>Queen</t>
        </is>
      </c>
      <c r="K162" s="105" t="inlineStr">
        <is>
          <t>Beige</t>
        </is>
      </c>
      <c r="L162" s="108" t="n">
        <v>31</v>
      </c>
      <c r="M162" s="39" t="inlineStr">
        <is>
          <t>B0F7XRNKQY (46%), B0F7XR7CJX (14%), B0F7XQPKCG (8%), B0F7XQLX2P (6%), B0F7XR8JYF (4%)</t>
        </is>
      </c>
      <c r="N162" s="109" t="n">
        <v>17.99</v>
      </c>
      <c r="O162" s="109" t="n"/>
      <c r="P162" s="110">
        <f>IF(AND(ISNUMBER(O162),ISNUMBER(N162),N(N162)&gt;0),O162/N162-1,"")</f>
        <v/>
      </c>
      <c r="Q162" s="111">
        <f>IF(P162="","No List Price",IF(P162&lt;=0,"At/below price",IF(P162&lt;=0.12,"&lt;=12% STR zone",IF(P162&lt;=0.25,"12-25%","&gt;25% over"))))</f>
        <v/>
      </c>
      <c r="R162" s="109" t="n"/>
      <c r="S162" s="112">
        <f>IF(AND(ISNUMBER(N162),ISNUMBER(R162),N(R162)&gt;0),N162/R162-1,"")</f>
        <v/>
      </c>
      <c r="T162" s="39" t="inlineStr">
        <is>
          <t>No price for us</t>
        </is>
      </c>
      <c r="U162" s="108" t="n">
        <v>79028</v>
      </c>
      <c r="V162" s="108" t="n">
        <v>18</v>
      </c>
      <c r="W162" s="113">
        <f>IF(AND(ISNUMBER(N162),ISNUMBER(V162)),N162*V162*52/12,"")</f>
        <v/>
      </c>
      <c r="X162" s="114" t="n">
        <v>4.4</v>
      </c>
      <c r="Y162" s="108" t="n">
        <v>209</v>
      </c>
      <c r="Z162" s="115" t="n">
        <v>46307</v>
      </c>
      <c r="AA162" s="115" t="n"/>
      <c r="AB162" s="105" t="n"/>
      <c r="AC162" s="105" t="n"/>
      <c r="AD162" s="108" t="n">
        <v>21912</v>
      </c>
      <c r="AE162" s="108" t="n">
        <v>632</v>
      </c>
      <c r="AF162" s="116" t="n">
        <v>0.9845742834976268</v>
      </c>
      <c r="AG162" s="116" t="n">
        <v>0.01542586254107338</v>
      </c>
      <c r="AH162" s="39" t="inlineStr">
        <is>
          <t>silk sheets</t>
        </is>
      </c>
      <c r="AI162" s="116" t="n">
        <v>0.004518072289156626</v>
      </c>
      <c r="AJ162" s="116" t="n"/>
      <c r="AK162" s="116" t="n"/>
      <c r="AL162" s="116" t="n"/>
      <c r="AM162" s="108" t="n"/>
      <c r="AN162" s="108" t="n"/>
      <c r="AO162" s="108" t="n"/>
      <c r="AP162" s="108" t="n"/>
      <c r="AQ162" s="108" t="n"/>
      <c r="AR162" s="108" t="n"/>
      <c r="AS162" s="117" t="n">
        <v>1.707818930041152</v>
      </c>
      <c r="AT162" s="112" t="n">
        <v>1.91358024691358</v>
      </c>
      <c r="AU162" s="118" t="inlineStr">
        <is>
          <t>N</t>
        </is>
      </c>
      <c r="AV162" s="118" t="inlineStr">
        <is>
          <t>none</t>
        </is>
      </c>
      <c r="AW162" s="124" t="n"/>
      <c r="AX162" s="119" t="n">
        <v>17.99</v>
      </c>
      <c r="AY162" s="118" t="inlineStr">
        <is>
          <t>none</t>
        </is>
      </c>
      <c r="AZ162" s="118" t="inlineStr">
        <is>
          <t>Y</t>
        </is>
      </c>
      <c r="BA162" s="118" t="inlineStr">
        <is>
          <t>2026-10-13 12:13:54</t>
        </is>
      </c>
      <c r="BB162" s="120" t="inlineStr">
        <is>
          <t>None</t>
        </is>
      </c>
      <c r="BC162" s="125" t="n"/>
      <c r="BD162" s="121" t="n">
        <v>20.99</v>
      </c>
      <c r="BE162" s="121" t="n">
        <v>19.99</v>
      </c>
      <c r="BF162" s="110">
        <f>IF(AND(ISNUMBER(BD162),ISNUMBER(BE162),N(BD162)&gt;0),1-BE162/BD162,"")</f>
        <v/>
      </c>
      <c r="BG162" s="122" t="n">
        <v>110546</v>
      </c>
      <c r="BH162" s="122" t="n">
        <v>96255</v>
      </c>
      <c r="BI162" s="123">
        <f>IF(AND(ISNUMBER(BG162),ISNUMBER(BH162),N(BH162)&gt;0),BG162/BH162,"")</f>
        <v/>
      </c>
      <c r="BJ162" s="120" t="inlineStr">
        <is>
          <t>N</t>
        </is>
      </c>
      <c r="BK162" s="120" t="inlineStr">
        <is>
          <t>List Price $19.99</t>
        </is>
      </c>
    </row>
    <row r="163" ht="62" customHeight="1">
      <c r="A163" s="12">
        <f>_xlfn.IMAGE("https://m.media-amazon.com/images/I/71PuS2XyTRL._AC_SL1500_.jpg")</f>
        <v/>
      </c>
      <c r="B163" s="105" t="inlineStr">
        <is>
          <t>Candoury</t>
        </is>
      </c>
      <c r="C163" s="39" t="inlineStr">
        <is>
          <t>Satin Sheets</t>
        </is>
      </c>
      <c r="D163" s="105" t="inlineStr">
        <is>
          <t>Untiered</t>
        </is>
      </c>
      <c r="E163" s="106" t="inlineStr">
        <is>
          <t>Direct</t>
        </is>
      </c>
      <c r="F163" s="105" t="inlineStr">
        <is>
          <t>Satin (polyester)</t>
        </is>
      </c>
      <c r="G163" s="39" t="inlineStr">
        <is>
          <t>Same product (sheet set) in the same material family: Satin (polyester) (product page material: Satin polyester); ours: our listing: polyester satin.</t>
        </is>
      </c>
      <c r="H163" s="107" t="inlineStr">
        <is>
          <t>B08RHZ9TMQ</t>
        </is>
      </c>
      <c r="I163" s="107" t="inlineStr">
        <is>
          <t>B08JKWGXZ9</t>
        </is>
      </c>
      <c r="J163" s="105" t="inlineStr">
        <is>
          <t>Queen</t>
        </is>
      </c>
      <c r="K163" s="105" t="inlineStr">
        <is>
          <t>Black</t>
        </is>
      </c>
      <c r="L163" s="108" t="n"/>
      <c r="M163" s="39" t="inlineStr"/>
      <c r="N163" s="109" t="n">
        <v>15.99</v>
      </c>
      <c r="O163" s="109" t="n"/>
      <c r="P163" s="110">
        <f>IF(AND(ISNUMBER(O163),ISNUMBER(N163),N(N163)&gt;0),O163/N163-1,"")</f>
        <v/>
      </c>
      <c r="Q163" s="111">
        <f>IF(P163="","No List Price",IF(P163&lt;=0,"At/below price",IF(P163&lt;=0.12,"&lt;=12% STR zone",IF(P163&lt;=0.25,"12-25%","&gt;25% over"))))</f>
        <v/>
      </c>
      <c r="R163" s="109" t="n"/>
      <c r="S163" s="112">
        <f>IF(AND(ISNUMBER(N163),ISNUMBER(R163),N(R163)&gt;0),N163/R163-1,"")</f>
        <v/>
      </c>
      <c r="T163" s="39" t="inlineStr">
        <is>
          <t>No price for us</t>
        </is>
      </c>
      <c r="U163" s="108" t="n">
        <v>420044</v>
      </c>
      <c r="V163" s="108" t="n">
        <v>5</v>
      </c>
      <c r="W163" s="113">
        <f>IF(AND(ISNUMBER(N163),ISNUMBER(V163)),N163*V163*52/12,"")</f>
        <v/>
      </c>
      <c r="X163" s="114" t="n">
        <v>4.3</v>
      </c>
      <c r="Y163" s="108" t="n">
        <v>5277</v>
      </c>
      <c r="Z163" s="115" t="n">
        <v>46279</v>
      </c>
      <c r="AA163" s="115" t="n"/>
      <c r="AB163" s="105" t="n"/>
      <c r="AC163" s="105" t="n"/>
      <c r="AD163" s="108" t="n"/>
      <c r="AE163" s="108" t="n"/>
      <c r="AF163" s="116" t="n"/>
      <c r="AG163" s="116" t="n"/>
      <c r="AH163" s="39" t="n"/>
      <c r="AI163" s="116" t="n"/>
      <c r="AJ163" s="116" t="n"/>
      <c r="AK163" s="116" t="n"/>
      <c r="AL163" s="116" t="n"/>
      <c r="AM163" s="108" t="n"/>
      <c r="AN163" s="108" t="n"/>
      <c r="AO163" s="108" t="n"/>
      <c r="AP163" s="108" t="n"/>
      <c r="AQ163" s="108" t="n"/>
      <c r="AR163" s="108" t="n"/>
      <c r="AS163" s="117" t="n"/>
      <c r="AT163" s="112" t="n"/>
      <c r="AU163" s="118" t="inlineStr">
        <is>
          <t>N</t>
        </is>
      </c>
      <c r="AV163" s="118" t="inlineStr">
        <is>
          <t>none</t>
        </is>
      </c>
      <c r="AW163" s="124" t="n"/>
      <c r="AX163" s="124" t="n"/>
      <c r="AY163" s="118" t="inlineStr">
        <is>
          <t>none</t>
        </is>
      </c>
      <c r="AZ163" s="118" t="inlineStr">
        <is>
          <t>N</t>
        </is>
      </c>
      <c r="BA163" s="118" t="inlineStr">
        <is>
          <t>2026-10-13 23:44:25</t>
        </is>
      </c>
      <c r="BB163" s="125" t="n"/>
      <c r="BC163" s="125" t="n"/>
      <c r="BD163" s="124" t="n"/>
      <c r="BE163" s="124" t="n"/>
      <c r="BF163" s="110">
        <f>IF(AND(ISNUMBER(BD163),ISNUMBER(BE163),N(BD163)&gt;0),1-BE163/BD163,"")</f>
        <v/>
      </c>
      <c r="BG163" s="122" t="n">
        <v>176647</v>
      </c>
      <c r="BH163" s="122" t="n">
        <v>231862</v>
      </c>
      <c r="BI163" s="123">
        <f>IF(AND(ISNUMBER(BG163),ISNUMBER(BH163),N(BH163)&gt;0),BG163/BH163,"")</f>
        <v/>
      </c>
      <c r="BJ163" s="120" t="inlineStr">
        <is>
          <t>Y</t>
        </is>
      </c>
      <c r="BK163" s="120" t="inlineStr">
        <is>
          <t>No Buy Box history in price history for BFCM 2025; List Price $35.99</t>
        </is>
      </c>
    </row>
    <row r="164" ht="62" customHeight="1">
      <c r="A164" s="12">
        <f>_xlfn.IMAGE("https://images-na.ssl-images-amazon.com/images/I/71Upo7a638S.jpg")</f>
        <v/>
      </c>
      <c r="B164" s="105" t="inlineStr">
        <is>
          <t>Homiest</t>
        </is>
      </c>
      <c r="C164" s="39" t="inlineStr">
        <is>
          <t>Satin Sheets</t>
        </is>
      </c>
      <c r="D164" s="105" t="inlineStr">
        <is>
          <t>Untiered</t>
        </is>
      </c>
      <c r="E164" s="106" t="inlineStr">
        <is>
          <t>Direct</t>
        </is>
      </c>
      <c r="F164" s="105" t="inlineStr">
        <is>
          <t>Satin (polyester)</t>
        </is>
      </c>
      <c r="G164" s="39" t="inlineStr">
        <is>
          <t>Same product (sheet set) in the same material family: Satin (polyester) (product page material: Satin); ours: our listing: polyester satin.</t>
        </is>
      </c>
      <c r="H164" s="107" t="inlineStr">
        <is>
          <t>B07XBR22W1</t>
        </is>
      </c>
      <c r="I164" s="107" t="inlineStr">
        <is>
          <t>B0B5Z2B9NN</t>
        </is>
      </c>
      <c r="J164" s="105" t="inlineStr">
        <is>
          <t>EXTRA DEEP pocket - Full size</t>
        </is>
      </c>
      <c r="K164" s="105" t="inlineStr">
        <is>
          <t>Blackish Green</t>
        </is>
      </c>
      <c r="L164" s="108" t="n">
        <v>70</v>
      </c>
      <c r="M164" s="39" t="inlineStr">
        <is>
          <t>B07VTMDK79 (19%), B0C2824DHT (16%), B07XPVHHP9 (9%), B07HN29LH1 (6%), B0B2QZ8NKY (5%)</t>
        </is>
      </c>
      <c r="N164" s="109" t="n">
        <v>23.99</v>
      </c>
      <c r="O164" s="109" t="n">
        <v>25.99</v>
      </c>
      <c r="P164" s="110">
        <f>IF(AND(ISNUMBER(O164),ISNUMBER(N164),N(N164)&gt;0),O164/N164-1,"")</f>
        <v/>
      </c>
      <c r="Q164" s="111">
        <f>IF(P164="","No List Price",IF(P164&lt;=0,"At/below price",IF(P164&lt;=0.12,"&lt;=12% STR zone",IF(P164&lt;=0.25,"12-25%","&gt;25% over"))))</f>
        <v/>
      </c>
      <c r="R164" s="109" t="n"/>
      <c r="S164" s="112">
        <f>IF(AND(ISNUMBER(N164),ISNUMBER(R164),N(R164)&gt;0),N164/R164-1,"")</f>
        <v/>
      </c>
      <c r="T164" s="39" t="inlineStr">
        <is>
          <t>No price for us</t>
        </is>
      </c>
      <c r="U164" s="108" t="n">
        <v>28165</v>
      </c>
      <c r="V164" s="108" t="n">
        <v>5</v>
      </c>
      <c r="W164" s="113">
        <f>IF(AND(ISNUMBER(N164),ISNUMBER(V164)),N164*V164*52/12,"")</f>
        <v/>
      </c>
      <c r="X164" s="114" t="n">
        <v>4.4</v>
      </c>
      <c r="Y164" s="108" t="n">
        <v>12125</v>
      </c>
      <c r="Z164" s="115" t="n">
        <v>46307</v>
      </c>
      <c r="AA164" s="115" t="n"/>
      <c r="AB164" s="105" t="n"/>
      <c r="AC164" s="105" t="n"/>
      <c r="AD164" s="108" t="n">
        <v>20002</v>
      </c>
      <c r="AE164" s="108" t="n">
        <v>618</v>
      </c>
      <c r="AF164" s="116" t="n">
        <v>1</v>
      </c>
      <c r="AG164" s="116" t="n">
        <v>0</v>
      </c>
      <c r="AH164" s="39" t="inlineStr">
        <is>
          <t>satin sheets</t>
        </is>
      </c>
      <c r="AI164" s="116" t="n">
        <v>0.08344165583441655</v>
      </c>
      <c r="AJ164" s="116" t="n"/>
      <c r="AK164" s="116" t="n"/>
      <c r="AL164" s="116" t="n">
        <v>0.02124787521247875</v>
      </c>
      <c r="AM164" s="108" t="n"/>
      <c r="AN164" s="108" t="n"/>
      <c r="AO164" s="108" t="n"/>
      <c r="AP164" s="108" t="n"/>
      <c r="AQ164" s="108" t="n"/>
      <c r="AR164" s="108" t="n"/>
      <c r="AS164" s="117" t="n"/>
      <c r="AT164" s="112" t="n"/>
      <c r="AU164" s="118" t="inlineStr">
        <is>
          <t>Y</t>
        </is>
      </c>
      <c r="AV164" s="118" t="inlineStr">
        <is>
          <t>Typical price</t>
        </is>
      </c>
      <c r="AW164" s="119" t="n">
        <v>25.99</v>
      </c>
      <c r="AX164" s="119" t="n">
        <v>23.99</v>
      </c>
      <c r="AY164" s="118" t="inlineStr">
        <is>
          <t>none</t>
        </is>
      </c>
      <c r="AZ164" s="118" t="inlineStr">
        <is>
          <t>Y</t>
        </is>
      </c>
      <c r="BA164" s="118" t="inlineStr">
        <is>
          <t>2026-10-13 12:12:56</t>
        </is>
      </c>
      <c r="BB164" s="120" t="inlineStr">
        <is>
          <t>Prime Exclusive Discount</t>
        </is>
      </c>
      <c r="BC164" s="120" t="inlineStr">
        <is>
          <t>11-04 to 12-05</t>
        </is>
      </c>
      <c r="BD164" s="121" t="n">
        <v>23.39</v>
      </c>
      <c r="BE164" s="121" t="n">
        <v>21.32</v>
      </c>
      <c r="BF164" s="110">
        <f>IF(AND(ISNUMBER(BD164),ISNUMBER(BE164),N(BD164)&gt;0),1-BE164/BD164,"")</f>
        <v/>
      </c>
      <c r="BG164" s="122" t="n">
        <v>20924</v>
      </c>
      <c r="BH164" s="122" t="n">
        <v>20898</v>
      </c>
      <c r="BI164" s="123">
        <f>IF(AND(ISNUMBER(BG164),ISNUMBER(BH164),N(BH164)&gt;0),BG164/BH164,"")</f>
        <v/>
      </c>
      <c r="BJ164" s="120" t="inlineStr">
        <is>
          <t>N</t>
        </is>
      </c>
      <c r="BK164" s="120" t="inlineStr">
        <is>
          <t>Prime Exclusive already running before BFCM week; List Price $52.78</t>
        </is>
      </c>
    </row>
    <row r="165" ht="62" customHeight="1">
      <c r="A165" s="12">
        <f>_xlfn.IMAGE("https://m.media-amazon.com/images/I/81fhEyi-eTL._AC_SL1500_.jpg")</f>
        <v/>
      </c>
      <c r="B165" s="105" t="inlineStr">
        <is>
          <t>Manyshofu</t>
        </is>
      </c>
      <c r="C165" s="39" t="inlineStr">
        <is>
          <t>Satin Sheets</t>
        </is>
      </c>
      <c r="D165" s="105" t="inlineStr">
        <is>
          <t>Untiered</t>
        </is>
      </c>
      <c r="E165" s="106" t="inlineStr">
        <is>
          <t>Direct</t>
        </is>
      </c>
      <c r="F165" s="105" t="inlineStr">
        <is>
          <t>Satin (polyester)</t>
        </is>
      </c>
      <c r="G165" s="39" t="inlineStr">
        <is>
          <t>Same product (sheet set) in the same material family: Satin (polyester) (product page material: Satin); ours: our listing: polyester satin.</t>
        </is>
      </c>
      <c r="H165" s="107" t="inlineStr">
        <is>
          <t>B09YQW7HBK</t>
        </is>
      </c>
      <c r="I165" s="107" t="inlineStr">
        <is>
          <t>B09S5RNLN9</t>
        </is>
      </c>
      <c r="J165" s="105" t="inlineStr">
        <is>
          <t>California King</t>
        </is>
      </c>
      <c r="K165" s="105" t="inlineStr">
        <is>
          <t>Dark Green</t>
        </is>
      </c>
      <c r="L165" s="108" t="n"/>
      <c r="M165" s="39" t="inlineStr"/>
      <c r="N165" s="109" t="n">
        <v>31.99</v>
      </c>
      <c r="O165" s="109" t="n"/>
      <c r="P165" s="110">
        <f>IF(AND(ISNUMBER(O165),ISNUMBER(N165),N(N165)&gt;0),O165/N165-1,"")</f>
        <v/>
      </c>
      <c r="Q165" s="111">
        <f>IF(P165="","No List Price",IF(P165&lt;=0,"At/below price",IF(P165&lt;=0.12,"&lt;=12% STR zone",IF(P165&lt;=0.25,"12-25%","&gt;25% over"))))</f>
        <v/>
      </c>
      <c r="R165" s="109" t="n"/>
      <c r="S165" s="112">
        <f>IF(AND(ISNUMBER(N165),ISNUMBER(R165),N(R165)&gt;0),N165/R165-1,"")</f>
        <v/>
      </c>
      <c r="T165" s="39" t="inlineStr">
        <is>
          <t>No price for us</t>
        </is>
      </c>
      <c r="U165" s="108" t="n">
        <v>300374</v>
      </c>
      <c r="V165" s="108" t="n">
        <v>5</v>
      </c>
      <c r="W165" s="113">
        <f>IF(AND(ISNUMBER(N165),ISNUMBER(V165)),N165*V165*52/12,"")</f>
        <v/>
      </c>
      <c r="X165" s="114" t="n">
        <v>4.3</v>
      </c>
      <c r="Y165" s="108" t="n">
        <v>907</v>
      </c>
      <c r="Z165" s="115" t="n">
        <v>46307</v>
      </c>
      <c r="AA165" s="115" t="n"/>
      <c r="AB165" s="105" t="n"/>
      <c r="AC165" s="105" t="n"/>
      <c r="AD165" s="108" t="n"/>
      <c r="AE165" s="108" t="n"/>
      <c r="AF165" s="116" t="n"/>
      <c r="AG165" s="116" t="n"/>
      <c r="AH165" s="39" t="n"/>
      <c r="AI165" s="116" t="n"/>
      <c r="AJ165" s="116" t="n"/>
      <c r="AK165" s="116" t="n"/>
      <c r="AL165" s="116" t="n"/>
      <c r="AM165" s="108" t="n"/>
      <c r="AN165" s="108" t="n"/>
      <c r="AO165" s="108" t="n"/>
      <c r="AP165" s="108" t="n"/>
      <c r="AQ165" s="108" t="n"/>
      <c r="AR165" s="108" t="n"/>
      <c r="AS165" s="117" t="n"/>
      <c r="AT165" s="112" t="n"/>
      <c r="AU165" s="118" t="inlineStr">
        <is>
          <t>N</t>
        </is>
      </c>
      <c r="AV165" s="118" t="inlineStr">
        <is>
          <t>none</t>
        </is>
      </c>
      <c r="AW165" s="124" t="n"/>
      <c r="AX165" s="119" t="n">
        <v>28.99</v>
      </c>
      <c r="AY165" s="118" t="inlineStr">
        <is>
          <t>none</t>
        </is>
      </c>
      <c r="AZ165" s="118" t="inlineStr">
        <is>
          <t>Y</t>
        </is>
      </c>
      <c r="BA165" s="118" t="inlineStr">
        <is>
          <t>2026-10-13 12:13:29</t>
        </is>
      </c>
      <c r="BB165" s="120" t="inlineStr">
        <is>
          <t>None</t>
        </is>
      </c>
      <c r="BC165" s="125" t="n"/>
      <c r="BD165" s="121" t="n">
        <v>35.99</v>
      </c>
      <c r="BE165" s="121" t="n">
        <v>43.99</v>
      </c>
      <c r="BF165" s="110">
        <f>IF(AND(ISNUMBER(BD165),ISNUMBER(BE165),N(BD165)&gt;0),1-BE165/BD165,"")</f>
        <v/>
      </c>
      <c r="BG165" s="122" t="n">
        <v>162880</v>
      </c>
      <c r="BH165" s="122" t="n">
        <v>197382</v>
      </c>
      <c r="BI165" s="123">
        <f>IF(AND(ISNUMBER(BG165),ISNUMBER(BH165),N(BH165)&gt;0),BG165/BH165,"")</f>
        <v/>
      </c>
      <c r="BJ165" s="120" t="inlineStr">
        <is>
          <t>Y</t>
        </is>
      </c>
      <c r="BK165" s="120" t="inlineStr">
        <is>
          <t>Buy Box RAISED in BFCM week (median $43.99 vs $35.99 before); List Price $46.99</t>
        </is>
      </c>
    </row>
    <row r="166" ht="62" customHeight="1">
      <c r="A166" s="12">
        <f>_xlfn.IMAGE("https://images-na.ssl-images-amazon.com/images/I/71QlFwpmpcL.jpg")</f>
        <v/>
      </c>
      <c r="B166" s="105" t="inlineStr">
        <is>
          <t>CozyLux</t>
        </is>
      </c>
      <c r="C166" s="39" t="inlineStr">
        <is>
          <t>CozyLux Satin Sheets Queen, 4-Piece 14-Inch Deep Pocket Sheet Set</t>
        </is>
      </c>
      <c r="D166" s="105" t="inlineStr">
        <is>
          <t>Untiered</t>
        </is>
      </c>
      <c r="E166" s="128" t="inlineStr">
        <is>
          <t>Alternative material</t>
        </is>
      </c>
      <c r="F166" s="105" t="inlineStr">
        <is>
          <t>Microfiber / polyester</t>
        </is>
      </c>
      <c r="G166" s="39" t="inlineStr">
        <is>
          <t>Sheet set in Microfiber / polyester (product page material: Polyester microfiber); ours is Satin (polyester) (our listing: polyester satin). Shopper may cross-shop, but not like-for-like.</t>
        </is>
      </c>
      <c r="H166" s="107" t="inlineStr">
        <is>
          <t>B08CQKS3KP</t>
        </is>
      </c>
      <c r="I166" s="107" t="inlineStr">
        <is>
          <t>B08P16XLP2</t>
        </is>
      </c>
      <c r="J166" s="105" t="inlineStr">
        <is>
          <t>Queen</t>
        </is>
      </c>
      <c r="K166" s="105" t="inlineStr">
        <is>
          <t>Black</t>
        </is>
      </c>
      <c r="L166" s="108" t="n">
        <v>115</v>
      </c>
      <c r="M166" s="39" t="inlineStr">
        <is>
          <t>B08P16XLP2 (43%), B08P164867 (8%), B08P17PQ8J (6%), B0CQ8CN4PK (5%), B0BYDSWCJY (4%)</t>
        </is>
      </c>
      <c r="N166" s="109" t="n">
        <v>13.99</v>
      </c>
      <c r="O166" s="109" t="n">
        <v>18.99</v>
      </c>
      <c r="P166" s="110">
        <f>IF(AND(ISNUMBER(O166),ISNUMBER(N166),N(N166)&gt;0),O166/N166-1,"")</f>
        <v/>
      </c>
      <c r="Q166" s="111">
        <f>IF(P166="","No List Price",IF(P166&lt;=0,"At/below price",IF(P166&lt;=0.12,"&lt;=12% STR zone",IF(P166&lt;=0.25,"12-25%","&gt;25% over"))))</f>
        <v/>
      </c>
      <c r="R166" s="109" t="n"/>
      <c r="S166" s="112">
        <f>IF(AND(ISNUMBER(N166),ISNUMBER(R166),N(R166)&gt;0),N166/R166-1,"")</f>
        <v/>
      </c>
      <c r="T166" s="39" t="inlineStr">
        <is>
          <t>No price for us</t>
        </is>
      </c>
      <c r="U166" s="108" t="n">
        <v>3102</v>
      </c>
      <c r="V166" s="108" t="n">
        <v>347</v>
      </c>
      <c r="W166" s="113">
        <f>IF(AND(ISNUMBER(N166),ISNUMBER(V166)),N166*V166*52/12,"")</f>
        <v/>
      </c>
      <c r="X166" s="114" t="n">
        <v>4.3</v>
      </c>
      <c r="Y166" s="108" t="n">
        <v>7075</v>
      </c>
      <c r="Z166" s="115" t="n">
        <v>46307</v>
      </c>
      <c r="AA166" s="115" t="n">
        <v>44158</v>
      </c>
      <c r="AB166" s="105" t="inlineStr">
        <is>
          <t>FBA</t>
        </is>
      </c>
      <c r="AC166" s="105" t="inlineStr">
        <is>
          <t>CN</t>
        </is>
      </c>
      <c r="AD166" s="108" t="n">
        <v>164434</v>
      </c>
      <c r="AE166" s="108" t="n">
        <v>2031</v>
      </c>
      <c r="AF166" s="116" t="n">
        <v>0.724298132381382</v>
      </c>
      <c r="AG166" s="116" t="n">
        <v>0.2757019065400104</v>
      </c>
      <c r="AH166" s="39" t="inlineStr">
        <is>
          <t>silk sheets</t>
        </is>
      </c>
      <c r="AI166" s="116" t="n">
        <v>0.601335490227082</v>
      </c>
      <c r="AJ166" s="116" t="n">
        <v>0.5155016602405829</v>
      </c>
      <c r="AK166" s="116" t="n"/>
      <c r="AL166" s="116" t="n">
        <v>0.04596981159614192</v>
      </c>
      <c r="AM166" s="108" t="n"/>
      <c r="AN166" s="108" t="n"/>
      <c r="AO166" s="108" t="n"/>
      <c r="AP166" s="108" t="n"/>
      <c r="AQ166" s="108" t="n"/>
      <c r="AR166" s="108" t="n"/>
      <c r="AS166" s="117" t="n">
        <v>0.8168981481481481</v>
      </c>
      <c r="AT166" s="112" t="n">
        <v>-0.1447276536312849</v>
      </c>
      <c r="AU166" s="118" t="inlineStr">
        <is>
          <t>Y</t>
        </is>
      </c>
      <c r="AV166" s="118" t="inlineStr">
        <is>
          <t>List Price</t>
        </is>
      </c>
      <c r="AW166" s="119" t="n">
        <v>18.99</v>
      </c>
      <c r="AX166" s="119" t="n">
        <v>13.99</v>
      </c>
      <c r="AY166" s="118" t="inlineStr">
        <is>
          <t>Limited time deal</t>
        </is>
      </c>
      <c r="AZ166" s="118" t="inlineStr">
        <is>
          <t>Y</t>
        </is>
      </c>
      <c r="BA166" s="118" t="inlineStr">
        <is>
          <t>2026-10-13 12:12:43</t>
        </is>
      </c>
      <c r="BB166" s="120" t="inlineStr">
        <is>
          <t>Prime Exclusive Discount</t>
        </is>
      </c>
      <c r="BC166" s="120" t="inlineStr">
        <is>
          <t>11-01 to 12-05</t>
        </is>
      </c>
      <c r="BD166" s="121" t="n">
        <v>17.99</v>
      </c>
      <c r="BE166" s="121" t="n">
        <v>16.99</v>
      </c>
      <c r="BF166" s="110">
        <f>IF(AND(ISNUMBER(BD166),ISNUMBER(BE166),N(BD166)&gt;0),1-BE166/BD166,"")</f>
        <v/>
      </c>
      <c r="BG166" s="122" t="n">
        <v>1165</v>
      </c>
      <c r="BH166" s="122" t="n">
        <v>1226</v>
      </c>
      <c r="BI166" s="123">
        <f>IF(AND(ISNUMBER(BG166),ISNUMBER(BH166),N(BH166)&gt;0),BG166/BH166,"")</f>
        <v/>
      </c>
      <c r="BJ166" s="120" t="inlineStr">
        <is>
          <t>N</t>
        </is>
      </c>
      <c r="BK166" s="120" t="inlineStr">
        <is>
          <t>Lightning Deal 11-09 to 11-16; Prime Exclusive already running before BFCM week; List Price $22.99</t>
        </is>
      </c>
    </row>
    <row r="167" ht="62" customHeight="1">
      <c r="A167" s="12">
        <f>_xlfn.IMAGE("https://images-na.ssl-images-amazon.com/images/I/71PMIXXTc0L.jpg")</f>
        <v/>
      </c>
      <c r="B167" s="105" t="inlineStr">
        <is>
          <t>Lanest Housing</t>
        </is>
      </c>
      <c r="C167" s="39" t="inlineStr">
        <is>
          <t>Lanest Housing Silk Satin Sheets, Queen Size Satin Bed Sheet Set with Deep Pockets, Cooling Soft and Hypoallergenic Satin Sheets Queen - Light Gray</t>
        </is>
      </c>
      <c r="D167" s="105" t="inlineStr">
        <is>
          <t>Untiered</t>
        </is>
      </c>
      <c r="E167" s="128" t="inlineStr">
        <is>
          <t>Alternative material</t>
        </is>
      </c>
      <c r="F167" s="105" t="inlineStr">
        <is>
          <t>Silk</t>
        </is>
      </c>
      <c r="G167" s="39" t="inlineStr">
        <is>
          <t>Sheet set in Silk (title: Lanest Housing Silk Satin Sheets, Queen Size Satin Bed Sheet); ours is Satin (polyester) (our listing: polyester satin). Shopper may cross-shop, but not like-for-like.</t>
        </is>
      </c>
      <c r="H167" s="107" t="inlineStr">
        <is>
          <t>B0DC3MX1DP</t>
        </is>
      </c>
      <c r="I167" s="107" t="inlineStr">
        <is>
          <t>B082B5CY3D</t>
        </is>
      </c>
      <c r="J167" s="105" t="inlineStr">
        <is>
          <t>Queen</t>
        </is>
      </c>
      <c r="K167" s="105" t="inlineStr">
        <is>
          <t>Gray</t>
        </is>
      </c>
      <c r="L167" s="108" t="n">
        <v>154</v>
      </c>
      <c r="M167" s="39" t="inlineStr">
        <is>
          <t>B082B5CY3D (41%), B07VWFV7MB (21%), B07VTSWJPH (21%)</t>
        </is>
      </c>
      <c r="N167" s="109" t="n">
        <v>22.99</v>
      </c>
      <c r="O167" s="109" t="n"/>
      <c r="P167" s="110">
        <f>IF(AND(ISNUMBER(O167),ISNUMBER(N167),N(N167)&gt;0),O167/N167-1,"")</f>
        <v/>
      </c>
      <c r="Q167" s="111">
        <f>IF(P167="","No List Price",IF(P167&lt;=0,"At/below price",IF(P167&lt;=0.12,"&lt;=12% STR zone",IF(P167&lt;=0.25,"12-25%","&gt;25% over"))))</f>
        <v/>
      </c>
      <c r="R167" s="109" t="n"/>
      <c r="S167" s="112">
        <f>IF(AND(ISNUMBER(N167),ISNUMBER(R167),N(R167)&gt;0),N167/R167-1,"")</f>
        <v/>
      </c>
      <c r="T167" s="39" t="inlineStr">
        <is>
          <t>No price for us</t>
        </is>
      </c>
      <c r="U167" s="108" t="n">
        <v>4671</v>
      </c>
      <c r="V167" s="108" t="n">
        <v>208</v>
      </c>
      <c r="W167" s="113">
        <f>IF(AND(ISNUMBER(N167),ISNUMBER(V167)),N167*V167*52/12,"")</f>
        <v/>
      </c>
      <c r="X167" s="114" t="n">
        <v>4.3</v>
      </c>
      <c r="Y167" s="108" t="n">
        <v>5837</v>
      </c>
      <c r="Z167" s="115" t="n">
        <v>46307</v>
      </c>
      <c r="AA167" s="115" t="n">
        <v>43803</v>
      </c>
      <c r="AB167" s="105" t="inlineStr">
        <is>
          <t>FBA</t>
        </is>
      </c>
      <c r="AC167" s="105" t="inlineStr">
        <is>
          <t>CN</t>
        </is>
      </c>
      <c r="AD167" s="108" t="n">
        <v>163454</v>
      </c>
      <c r="AE167" s="108" t="n">
        <v>1240</v>
      </c>
      <c r="AF167" s="116" t="n">
        <v>0.511816095659941</v>
      </c>
      <c r="AG167" s="116" t="n">
        <v>0.488184002226926</v>
      </c>
      <c r="AH167" s="39" t="inlineStr">
        <is>
          <t>silk sheets</t>
        </is>
      </c>
      <c r="AI167" s="116" t="n">
        <v>0.9357923330111224</v>
      </c>
      <c r="AJ167" s="116" t="n">
        <v>0.9225470162859275</v>
      </c>
      <c r="AK167" s="116" t="n"/>
      <c r="AL167" s="116" t="n">
        <v>0.002850955008748639</v>
      </c>
      <c r="AM167" s="108" t="n"/>
      <c r="AN167" s="108" t="n"/>
      <c r="AO167" s="108" t="n"/>
      <c r="AP167" s="108" t="n"/>
      <c r="AQ167" s="108" t="n"/>
      <c r="AR167" s="108" t="n"/>
      <c r="AS167" s="117" t="n">
        <v>0.4183908045977011</v>
      </c>
      <c r="AT167" s="112" t="n">
        <v>1.815972222222222</v>
      </c>
      <c r="AU167" s="118" t="inlineStr">
        <is>
          <t>N</t>
        </is>
      </c>
      <c r="AV167" s="118" t="inlineStr">
        <is>
          <t>none</t>
        </is>
      </c>
      <c r="AW167" s="124" t="n"/>
      <c r="AX167" s="119" t="n">
        <v>22.99</v>
      </c>
      <c r="AY167" s="118" t="inlineStr">
        <is>
          <t>none</t>
        </is>
      </c>
      <c r="AZ167" s="118" t="inlineStr">
        <is>
          <t>Y</t>
        </is>
      </c>
      <c r="BA167" s="118" t="inlineStr">
        <is>
          <t>2026-10-13 12:13:12</t>
        </is>
      </c>
      <c r="BB167" s="120" t="inlineStr">
        <is>
          <t>Prime Exclusive Discount</t>
        </is>
      </c>
      <c r="BC167" s="120" t="inlineStr">
        <is>
          <t>11-20 to 11-27</t>
        </is>
      </c>
      <c r="BD167" s="121" t="n">
        <v>19.99</v>
      </c>
      <c r="BE167" s="121" t="n">
        <v>17.99</v>
      </c>
      <c r="BF167" s="110">
        <f>IF(AND(ISNUMBER(BD167),ISNUMBER(BE167),N(BD167)&gt;0),1-BE167/BD167,"")</f>
        <v/>
      </c>
      <c r="BG167" s="122" t="n">
        <v>3675</v>
      </c>
      <c r="BH167" s="122" t="n">
        <v>3550</v>
      </c>
      <c r="BI167" s="123">
        <f>IF(AND(ISNUMBER(BG167),ISNUMBER(BH167),N(BH167)&gt;0),BG167/BH167,"")</f>
        <v/>
      </c>
      <c r="BJ167" s="120" t="inlineStr">
        <is>
          <t>Y</t>
        </is>
      </c>
      <c r="BK167" s="120" t="inlineStr">
        <is>
          <t>Buy Box RAISED in BFCM week (median $27.79 vs $19.99 before); List Price $37.99</t>
        </is>
      </c>
    </row>
    <row r="168" ht="62" customHeight="1">
      <c r="A168" s="12">
        <f>_xlfn.IMAGE("https://images-na.ssl-images-amazon.com/images/I/81zMSoUAMJL.jpg")</f>
        <v/>
      </c>
      <c r="B168" s="105" t="inlineStr">
        <is>
          <t>Bedsure</t>
        </is>
      </c>
      <c r="C168" s="39" t="inlineStr">
        <is>
          <t>Satin Sheets</t>
        </is>
      </c>
      <c r="D168" s="105" t="inlineStr">
        <is>
          <t>Untiered</t>
        </is>
      </c>
      <c r="E168" s="128" t="inlineStr">
        <is>
          <t>Alternative material</t>
        </is>
      </c>
      <c r="F168" s="105" t="inlineStr">
        <is>
          <t>Microfiber / polyester</t>
        </is>
      </c>
      <c r="G168" s="39" t="inlineStr">
        <is>
          <t>Sheet set in Microfiber / polyester (product page material: Polyester); ours is Satin (polyester) (our listing: polyester satin). Shopper may cross-shop, but not like-for-like.</t>
        </is>
      </c>
      <c r="H168" s="107" t="inlineStr">
        <is>
          <t>B0DCZYNBYS</t>
        </is>
      </c>
      <c r="I168" s="107" t="inlineStr">
        <is>
          <t>B0CJ8RYNTS</t>
        </is>
      </c>
      <c r="J168" s="105" t="inlineStr">
        <is>
          <t>Queen</t>
        </is>
      </c>
      <c r="K168" s="105" t="inlineStr">
        <is>
          <t>02 - Black</t>
        </is>
      </c>
      <c r="L168" s="108" t="n">
        <v>32</v>
      </c>
      <c r="M168" s="39" t="inlineStr">
        <is>
          <t>B0CJ8SSQ6B (37%), B0CJ8RDYQ7 (17%), B0CJ8RYNTS (17%), B0CL4FSC1R (9%), B0CJ8SB44M (7%)</t>
        </is>
      </c>
      <c r="N168" s="109" t="n">
        <v>19.99</v>
      </c>
      <c r="O168" s="109" t="n"/>
      <c r="P168" s="110">
        <f>IF(AND(ISNUMBER(O168),ISNUMBER(N168),N(N168)&gt;0),O168/N168-1,"")</f>
        <v/>
      </c>
      <c r="Q168" s="111">
        <f>IF(P168="","No List Price",IF(P168&lt;=0,"At/below price",IF(P168&lt;=0.12,"&lt;=12% STR zone",IF(P168&lt;=0.25,"12-25%","&gt;25% over"))))</f>
        <v/>
      </c>
      <c r="R168" s="109" t="n"/>
      <c r="S168" s="112">
        <f>IF(AND(ISNUMBER(N168),ISNUMBER(R168),N(R168)&gt;0),N168/R168-1,"")</f>
        <v/>
      </c>
      <c r="T168" s="39" t="inlineStr">
        <is>
          <t>No price for us</t>
        </is>
      </c>
      <c r="U168" s="108" t="n">
        <v>22342</v>
      </c>
      <c r="V168" s="108" t="n">
        <v>92</v>
      </c>
      <c r="W168" s="113">
        <f>IF(AND(ISNUMBER(N168),ISNUMBER(V168)),N168*V168*52/12,"")</f>
        <v/>
      </c>
      <c r="X168" s="114" t="n">
        <v>4.3</v>
      </c>
      <c r="Y168" s="108" t="n">
        <v>2745</v>
      </c>
      <c r="Z168" s="115" t="n">
        <v>46307</v>
      </c>
      <c r="AA168" s="115" t="n"/>
      <c r="AB168" s="105" t="n"/>
      <c r="AC168" s="105" t="n"/>
      <c r="AD168" s="108" t="n">
        <v>89691</v>
      </c>
      <c r="AE168" s="108" t="n">
        <v>1094</v>
      </c>
      <c r="AF168" s="116" t="n">
        <v>0.6850140036347012</v>
      </c>
      <c r="AG168" s="116" t="n">
        <v>0.3149859963652986</v>
      </c>
      <c r="AH168" s="39" t="inlineStr">
        <is>
          <t>satin sheets</t>
        </is>
      </c>
      <c r="AI168" s="116" t="n">
        <v>0.7987311993399561</v>
      </c>
      <c r="AJ168" s="116" t="n">
        <v>0.4455742493672721</v>
      </c>
      <c r="AK168" s="116" t="n"/>
      <c r="AL168" s="116" t="n">
        <v>0.011428125452944</v>
      </c>
      <c r="AM168" s="108" t="n"/>
      <c r="AN168" s="108" t="n"/>
      <c r="AO168" s="108" t="n"/>
      <c r="AP168" s="108" t="n"/>
      <c r="AQ168" s="108" t="n"/>
      <c r="AR168" s="108" t="n"/>
      <c r="AS168" s="117" t="n">
        <v>1.528846153846154</v>
      </c>
      <c r="AT168" s="112" t="n">
        <v>0.1557377049180328</v>
      </c>
      <c r="AU168" s="118" t="inlineStr">
        <is>
          <t>N</t>
        </is>
      </c>
      <c r="AV168" s="118" t="inlineStr">
        <is>
          <t>none</t>
        </is>
      </c>
      <c r="AW168" s="124" t="n"/>
      <c r="AX168" s="119" t="n">
        <v>19.99</v>
      </c>
      <c r="AY168" s="118" t="inlineStr">
        <is>
          <t>none</t>
        </is>
      </c>
      <c r="AZ168" s="118" t="inlineStr">
        <is>
          <t>Y</t>
        </is>
      </c>
      <c r="BA168" s="118" t="inlineStr">
        <is>
          <t>2026-10-13 12:12:37</t>
        </is>
      </c>
      <c r="BB168" s="120" t="inlineStr">
        <is>
          <t>Prime Exclusive Discount</t>
        </is>
      </c>
      <c r="BC168" s="120" t="inlineStr">
        <is>
          <t>11-08 to 12-04</t>
        </is>
      </c>
      <c r="BD168" s="121" t="n">
        <v>22.39</v>
      </c>
      <c r="BE168" s="121" t="n">
        <v>20.99</v>
      </c>
      <c r="BF168" s="110">
        <f>IF(AND(ISNUMBER(BD168),ISNUMBER(BE168),N(BD168)&gt;0),1-BE168/BD168,"")</f>
        <v/>
      </c>
      <c r="BG168" s="122" t="n">
        <v>4549</v>
      </c>
      <c r="BH168" s="122" t="n">
        <v>5323</v>
      </c>
      <c r="BI168" s="123">
        <f>IF(AND(ISNUMBER(BG168),ISNUMBER(BH168),N(BH168)&gt;0),BG168/BH168,"")</f>
        <v/>
      </c>
      <c r="BJ168" s="120" t="inlineStr">
        <is>
          <t>N</t>
        </is>
      </c>
      <c r="BK168" s="120" t="inlineStr">
        <is>
          <t>Prime Exclusive already running before BFCM week; Buy Box RAISED in BFCM week (median $28.99 vs $24.99 before); List Price $44.99</t>
        </is>
      </c>
    </row>
    <row r="169" ht="62" customHeight="1">
      <c r="A169" s="12">
        <f>_xlfn.IMAGE("https://images-na.ssl-images-amazon.com/images/I/71r48b+Sh9L.jpg")</f>
        <v/>
      </c>
      <c r="B169" s="105" t="inlineStr">
        <is>
          <t>GOLAL</t>
        </is>
      </c>
      <c r="C169" s="39" t="inlineStr">
        <is>
          <t>GOLAL Satin Sheets Full Size - 4 Pieces Luxury Silky Soft Bed Sheets, Wrinkle-Free Black Satin Silk Sheet Set with 1 Deep Pocket Fitted Sheet, 1 Flat Sheet, 2 Pillow Cases</t>
        </is>
      </c>
      <c r="D169" s="105" t="inlineStr">
        <is>
          <t>Untiered</t>
        </is>
      </c>
      <c r="E169" s="128" t="inlineStr">
        <is>
          <t>Alternative material</t>
        </is>
      </c>
      <c r="F169" s="105" t="inlineStr">
        <is>
          <t>Silk</t>
        </is>
      </c>
      <c r="G169" s="39" t="inlineStr">
        <is>
          <t>Sheet set in Silk (title: GOLAL Satin Sheets Full Size - 4 Pieces Luxury Silky Soft Be); ours is Satin (polyester) (our listing: polyester satin). Shopper may cross-shop, but not like-for-like.</t>
        </is>
      </c>
      <c r="H169" s="107" t="inlineStr">
        <is>
          <t>B0B1Q2JG5X</t>
        </is>
      </c>
      <c r="I169" s="107" t="inlineStr">
        <is>
          <t>B09G17SQXF</t>
        </is>
      </c>
      <c r="J169" s="105" t="inlineStr">
        <is>
          <t>Full</t>
        </is>
      </c>
      <c r="K169" s="105" t="inlineStr">
        <is>
          <t>Black</t>
        </is>
      </c>
      <c r="L169" s="108" t="n">
        <v>94</v>
      </c>
      <c r="M169" s="39" t="inlineStr">
        <is>
          <t>B09G17XZC5 (35%), B09G17SQXF (27%), B09G18ZJ9S (10%), B09G18GFJL (10%)</t>
        </is>
      </c>
      <c r="N169" s="109" t="n">
        <v>21.99</v>
      </c>
      <c r="O169" s="109" t="n"/>
      <c r="P169" s="110">
        <f>IF(AND(ISNUMBER(O169),ISNUMBER(N169),N(N169)&gt;0),O169/N169-1,"")</f>
        <v/>
      </c>
      <c r="Q169" s="111">
        <f>IF(P169="","No List Price",IF(P169&lt;=0,"At/below price",IF(P169&lt;=0.12,"&lt;=12% STR zone",IF(P169&lt;=0.25,"12-25%","&gt;25% over"))))</f>
        <v/>
      </c>
      <c r="R169" s="109" t="n"/>
      <c r="S169" s="112">
        <f>IF(AND(ISNUMBER(N169),ISNUMBER(R169),N(R169)&gt;0),N169/R169-1,"")</f>
        <v/>
      </c>
      <c r="T169" s="39" t="inlineStr">
        <is>
          <t>No price for us</t>
        </is>
      </c>
      <c r="U169" s="108" t="n">
        <v>132024</v>
      </c>
      <c r="V169" s="108" t="n">
        <v>81</v>
      </c>
      <c r="W169" s="113">
        <f>IF(AND(ISNUMBER(N169),ISNUMBER(V169)),N169*V169*52/12,"")</f>
        <v/>
      </c>
      <c r="X169" s="114" t="n">
        <v>4.4</v>
      </c>
      <c r="Y169" s="108" t="n">
        <v>3943</v>
      </c>
      <c r="Z169" s="115" t="n">
        <v>46307</v>
      </c>
      <c r="AA169" s="115" t="n">
        <v>44451</v>
      </c>
      <c r="AB169" s="105" t="inlineStr">
        <is>
          <t>FBA</t>
        </is>
      </c>
      <c r="AC169" s="105" t="inlineStr">
        <is>
          <t>CN</t>
        </is>
      </c>
      <c r="AD169" s="108" t="n">
        <v>48561</v>
      </c>
      <c r="AE169" s="108" t="n">
        <v>615</v>
      </c>
      <c r="AF169" s="116" t="n">
        <v>0.6641788183933609</v>
      </c>
      <c r="AG169" s="116" t="n">
        <v>0.3358211816066392</v>
      </c>
      <c r="AH169" s="39" t="inlineStr">
        <is>
          <t>satin sheets queen size</t>
        </is>
      </c>
      <c r="AI169" s="116" t="n">
        <v>0.6905747410473425</v>
      </c>
      <c r="AJ169" s="116" t="n">
        <v>0.432960606247812</v>
      </c>
      <c r="AK169" s="116" t="n"/>
      <c r="AL169" s="116" t="n">
        <v>0.005930685117687033</v>
      </c>
      <c r="AM169" s="108" t="n"/>
      <c r="AN169" s="108" t="n"/>
      <c r="AO169" s="108" t="n"/>
      <c r="AP169" s="108" t="n"/>
      <c r="AQ169" s="108" t="n"/>
      <c r="AR169" s="108" t="n"/>
      <c r="AS169" s="117" t="n">
        <v>0.8779220779220779</v>
      </c>
      <c r="AT169" s="112" t="n">
        <v>0.803921568627451</v>
      </c>
      <c r="AU169" s="118" t="inlineStr">
        <is>
          <t>N</t>
        </is>
      </c>
      <c r="AV169" s="118" t="inlineStr">
        <is>
          <t>none</t>
        </is>
      </c>
      <c r="AW169" s="124" t="n"/>
      <c r="AX169" s="119" t="n">
        <v>21.99</v>
      </c>
      <c r="AY169" s="118" t="inlineStr">
        <is>
          <t>none</t>
        </is>
      </c>
      <c r="AZ169" s="118" t="inlineStr">
        <is>
          <t>Y</t>
        </is>
      </c>
      <c r="BA169" s="118" t="inlineStr">
        <is>
          <t>2026-10-13 12:12:50</t>
        </is>
      </c>
      <c r="BB169" s="120" t="inlineStr">
        <is>
          <t>Prime Exclusive Discount</t>
        </is>
      </c>
      <c r="BC169" s="120" t="inlineStr">
        <is>
          <t>11-27 to 11-27</t>
        </is>
      </c>
      <c r="BD169" s="121" t="n">
        <v>16.05</v>
      </c>
      <c r="BE169" s="121" t="n">
        <v>17.59</v>
      </c>
      <c r="BF169" s="110">
        <f>IF(AND(ISNUMBER(BD169),ISNUMBER(BE169),N(BD169)&gt;0),1-BE169/BD169,"")</f>
        <v/>
      </c>
      <c r="BG169" s="122" t="n">
        <v>5577</v>
      </c>
      <c r="BH169" s="122" t="n">
        <v>12758</v>
      </c>
      <c r="BI169" s="123">
        <f>IF(AND(ISNUMBER(BG169),ISNUMBER(BH169),N(BH169)&gt;0),BG169/BH169,"")</f>
        <v/>
      </c>
      <c r="BJ169" s="120" t="inlineStr">
        <is>
          <t>N</t>
        </is>
      </c>
      <c r="BK169" s="120" t="inlineStr">
        <is>
          <t>Coupon 10%, 5% (11-01 to 12-05); Buy Box RAISED in BFCM week (median $21.99 vs $16.05 before); List Price $24.99</t>
        </is>
      </c>
    </row>
    <row r="170" ht="62" customHeight="1">
      <c r="A170" s="12">
        <f>_xlfn.IMAGE("https://images-na.ssl-images-amazon.com/images/I/61QL2B3WPsL.jpg")</f>
        <v/>
      </c>
      <c r="B170" s="105" t="inlineStr">
        <is>
          <t>Cobedzy</t>
        </is>
      </c>
      <c r="C170" s="39" t="inlineStr">
        <is>
          <t>Satin Sheets</t>
        </is>
      </c>
      <c r="D170" s="105" t="inlineStr">
        <is>
          <t>Untiered</t>
        </is>
      </c>
      <c r="E170" s="128" t="inlineStr">
        <is>
          <t>Alternative material</t>
        </is>
      </c>
      <c r="F170" s="105" t="inlineStr">
        <is>
          <t>Microfiber / polyester</t>
        </is>
      </c>
      <c r="G170" s="39" t="inlineStr">
        <is>
          <t>Sheet set in Microfiber / polyester (product page material: Polyester); ours is Satin (polyester) (our listing: polyester satin). Shopper may cross-shop, but not like-for-like.</t>
        </is>
      </c>
      <c r="H170" s="107" t="inlineStr">
        <is>
          <t>B099PPQ7T3</t>
        </is>
      </c>
      <c r="I170" s="107" t="inlineStr">
        <is>
          <t>B087CSRQQ4</t>
        </is>
      </c>
      <c r="J170" s="105" t="inlineStr">
        <is>
          <t>Queen</t>
        </is>
      </c>
      <c r="K170" s="105" t="inlineStr">
        <is>
          <t>Blush Pink</t>
        </is>
      </c>
      <c r="L170" s="108" t="n">
        <v>18</v>
      </c>
      <c r="M170" s="39" t="inlineStr">
        <is>
          <t>B087CSJ1FV (44%), B087CSRQQ4 (26%), B087CSNV9S (8%), B088CX6RW8 (4%)</t>
        </is>
      </c>
      <c r="N170" s="109" t="n">
        <v>24.99</v>
      </c>
      <c r="O170" s="109" t="n"/>
      <c r="P170" s="110">
        <f>IF(AND(ISNUMBER(O170),ISNUMBER(N170),N(N170)&gt;0),O170/N170-1,"")</f>
        <v/>
      </c>
      <c r="Q170" s="111">
        <f>IF(P170="","No List Price",IF(P170&lt;=0,"At/below price",IF(P170&lt;=0.12,"&lt;=12% STR zone",IF(P170&lt;=0.25,"12-25%","&gt;25% over"))))</f>
        <v/>
      </c>
      <c r="R170" s="109" t="n"/>
      <c r="S170" s="112">
        <f>IF(AND(ISNUMBER(N170),ISNUMBER(R170),N(R170)&gt;0),N170/R170-1,"")</f>
        <v/>
      </c>
      <c r="T170" s="39" t="inlineStr">
        <is>
          <t>No price for us</t>
        </is>
      </c>
      <c r="U170" s="108" t="n">
        <v>68667</v>
      </c>
      <c r="V170" s="108" t="n">
        <v>35</v>
      </c>
      <c r="W170" s="113">
        <f>IF(AND(ISNUMBER(N170),ISNUMBER(V170)),N170*V170*52/12,"")</f>
        <v/>
      </c>
      <c r="X170" s="114" t="n">
        <v>4.4</v>
      </c>
      <c r="Y170" s="108" t="n">
        <v>2838</v>
      </c>
      <c r="Z170" s="115" t="n">
        <v>46307</v>
      </c>
      <c r="AA170" s="115" t="n"/>
      <c r="AB170" s="105" t="n"/>
      <c r="AC170" s="105" t="n"/>
      <c r="AD170" s="108" t="n">
        <v>21925</v>
      </c>
      <c r="AE170" s="108" t="n">
        <v>461</v>
      </c>
      <c r="AF170" s="116" t="n">
        <v>0.9295306681870016</v>
      </c>
      <c r="AG170" s="116" t="n">
        <v>0.07046991562143676</v>
      </c>
      <c r="AH170" s="39" t="inlineStr">
        <is>
          <t>satin sheets</t>
        </is>
      </c>
      <c r="AI170" s="116" t="n">
        <v>0.3978563283922463</v>
      </c>
      <c r="AJ170" s="116" t="n"/>
      <c r="AK170" s="116" t="n"/>
      <c r="AL170" s="116" t="n">
        <v>0.01299885974914481</v>
      </c>
      <c r="AM170" s="108" t="n"/>
      <c r="AN170" s="108" t="n"/>
      <c r="AO170" s="108" t="n"/>
      <c r="AP170" s="108" t="n"/>
      <c r="AQ170" s="108" t="n"/>
      <c r="AR170" s="108" t="n"/>
      <c r="AS170" s="117" t="n">
        <v>0.8934169278996865</v>
      </c>
      <c r="AT170" s="112" t="n">
        <v>-0.4259740259740259</v>
      </c>
      <c r="AU170" s="118" t="inlineStr">
        <is>
          <t>Y</t>
        </is>
      </c>
      <c r="AV170" s="118" t="inlineStr">
        <is>
          <t>Typical price</t>
        </is>
      </c>
      <c r="AW170" s="119" t="n">
        <v>26.99</v>
      </c>
      <c r="AX170" s="119" t="n">
        <v>24.99</v>
      </c>
      <c r="AY170" s="118" t="inlineStr">
        <is>
          <t>none</t>
        </is>
      </c>
      <c r="AZ170" s="118" t="inlineStr">
        <is>
          <t>Y</t>
        </is>
      </c>
      <c r="BA170" s="118" t="inlineStr">
        <is>
          <t>2026-10-13 12:12:40</t>
        </is>
      </c>
      <c r="BB170" s="120" t="inlineStr">
        <is>
          <t>Price cut only</t>
        </is>
      </c>
      <c r="BC170" s="120" t="inlineStr">
        <is>
          <t>11-20 to 12-01</t>
        </is>
      </c>
      <c r="BD170" s="121" t="n">
        <v>27.99</v>
      </c>
      <c r="BE170" s="121" t="n">
        <v>22.39</v>
      </c>
      <c r="BF170" s="110">
        <f>IF(AND(ISNUMBER(BD170),ISNUMBER(BE170),N(BD170)&gt;0),1-BE170/BD170,"")</f>
        <v/>
      </c>
      <c r="BG170" s="122" t="n">
        <v>39293</v>
      </c>
      <c r="BH170" s="122" t="n">
        <v>27923</v>
      </c>
      <c r="BI170" s="123">
        <f>IF(AND(ISNUMBER(BG170),ISNUMBER(BH170),N(BH170)&gt;0),BG170/BH170,"")</f>
        <v/>
      </c>
      <c r="BJ170" s="120" t="inlineStr">
        <is>
          <t>N</t>
        </is>
      </c>
      <c r="BK170" s="120" t="inlineStr">
        <is>
          <t>List Price $38.99</t>
        </is>
      </c>
    </row>
    <row r="171" ht="62" customHeight="1">
      <c r="A171" s="12">
        <f>_xlfn.IMAGE("https://images-na.ssl-images-amazon.com/images/I/71MADUOjsFL.jpg")</f>
        <v/>
      </c>
      <c r="B171" s="105" t="inlineStr">
        <is>
          <t>Sasttie</t>
        </is>
      </c>
      <c r="C171" s="39" t="inlineStr">
        <is>
          <t>Sasttie Satin Sheets Queen Size - 4 Pieces Luxury Soft Black Silky Bed Sheets Set with Pillowcases - Smooth Silk-Like Satin Fabric, Reinforced 14 Inches Pocket, Oeko-Tex Certified</t>
        </is>
      </c>
      <c r="D171" s="105" t="inlineStr">
        <is>
          <t>Untiered</t>
        </is>
      </c>
      <c r="E171" s="128" t="inlineStr">
        <is>
          <t>Alternative material</t>
        </is>
      </c>
      <c r="F171" s="105" t="inlineStr">
        <is>
          <t>Silk</t>
        </is>
      </c>
      <c r="G171" s="39" t="inlineStr">
        <is>
          <t>Sheet set in Silk (title: Sasttie Satin Sheets Queen Size - 4 Pieces Luxury Soft Black); ours is Satin (polyester) (our listing: polyester satin). Shopper may cross-shop, but not like-for-like.</t>
        </is>
      </c>
      <c r="H171" s="107" t="inlineStr">
        <is>
          <t>B0F2H9HX69</t>
        </is>
      </c>
      <c r="I171" s="107" t="inlineStr">
        <is>
          <t>B0F2H8LPB3</t>
        </is>
      </c>
      <c r="J171" s="105" t="inlineStr">
        <is>
          <t>Queen</t>
        </is>
      </c>
      <c r="K171" s="105" t="inlineStr">
        <is>
          <t>Black</t>
        </is>
      </c>
      <c r="L171" s="108" t="n">
        <v>47</v>
      </c>
      <c r="M171" s="39" t="inlineStr">
        <is>
          <t>B0F2H8LPB3 (57%), B0F2H92RZ5 (13%), B0F2H9HRJJ (11%)</t>
        </is>
      </c>
      <c r="N171" s="109" t="n">
        <v>15.99</v>
      </c>
      <c r="O171" s="109" t="n"/>
      <c r="P171" s="110">
        <f>IF(AND(ISNUMBER(O171),ISNUMBER(N171),N(N171)&gt;0),O171/N171-1,"")</f>
        <v/>
      </c>
      <c r="Q171" s="111">
        <f>IF(P171="","No List Price",IF(P171&lt;=0,"At/below price",IF(P171&lt;=0.12,"&lt;=12% STR zone",IF(P171&lt;=0.25,"12-25%","&gt;25% over"))))</f>
        <v/>
      </c>
      <c r="R171" s="109" t="n"/>
      <c r="S171" s="112">
        <f>IF(AND(ISNUMBER(N171),ISNUMBER(R171),N(R171)&gt;0),N171/R171-1,"")</f>
        <v/>
      </c>
      <c r="T171" s="39" t="inlineStr">
        <is>
          <t>No price for us</t>
        </is>
      </c>
      <c r="U171" s="108" t="n">
        <v>58723</v>
      </c>
      <c r="V171" s="108" t="n">
        <v>35</v>
      </c>
      <c r="W171" s="113">
        <f>IF(AND(ISNUMBER(N171),ISNUMBER(V171)),N171*V171*52/12,"")</f>
        <v/>
      </c>
      <c r="X171" s="114" t="n">
        <v>4.5</v>
      </c>
      <c r="Y171" s="108" t="n">
        <v>968</v>
      </c>
      <c r="Z171" s="115" t="n">
        <v>46307</v>
      </c>
      <c r="AA171" s="115" t="n">
        <v>45742</v>
      </c>
      <c r="AB171" s="105" t="inlineStr">
        <is>
          <t>FBA</t>
        </is>
      </c>
      <c r="AC171" s="105" t="inlineStr">
        <is>
          <t>CN</t>
        </is>
      </c>
      <c r="AD171" s="108" t="n">
        <v>26952</v>
      </c>
      <c r="AE171" s="108" t="n">
        <v>504</v>
      </c>
      <c r="AF171" s="116" t="n">
        <v>0.9879767104482041</v>
      </c>
      <c r="AG171" s="116" t="n">
        <v>0.01202328955179578</v>
      </c>
      <c r="AH171" s="39" t="inlineStr">
        <is>
          <t>satin sheets</t>
        </is>
      </c>
      <c r="AI171" s="116" t="n"/>
      <c r="AJ171" s="116" t="n">
        <v>0.004081329771445533</v>
      </c>
      <c r="AK171" s="116" t="n">
        <v>0.1173567824280202</v>
      </c>
      <c r="AL171" s="116" t="n"/>
      <c r="AM171" s="108" t="n"/>
      <c r="AN171" s="108" t="n"/>
      <c r="AO171" s="108" t="n"/>
      <c r="AP171" s="108" t="n"/>
      <c r="AQ171" s="108" t="n"/>
      <c r="AR171" s="108" t="n"/>
      <c r="AS171" s="117" t="n">
        <v>1.063356164383562</v>
      </c>
      <c r="AT171" s="112" t="n">
        <v>-0.1631084543125534</v>
      </c>
      <c r="AU171" s="118" t="inlineStr">
        <is>
          <t>N</t>
        </is>
      </c>
      <c r="AV171" s="118" t="inlineStr">
        <is>
          <t>none</t>
        </is>
      </c>
      <c r="AW171" s="124" t="n"/>
      <c r="AX171" s="119" t="n">
        <v>15.99</v>
      </c>
      <c r="AY171" s="118" t="inlineStr">
        <is>
          <t>none</t>
        </is>
      </c>
      <c r="AZ171" s="118" t="inlineStr">
        <is>
          <t>Y</t>
        </is>
      </c>
      <c r="BA171" s="118" t="inlineStr">
        <is>
          <t>2026-10-13 12:13:42</t>
        </is>
      </c>
      <c r="BB171" s="120" t="inlineStr">
        <is>
          <t>Prime Exclusive Discount</t>
        </is>
      </c>
      <c r="BC171" s="120" t="inlineStr">
        <is>
          <t>11-08 to 12-05</t>
        </is>
      </c>
      <c r="BD171" s="121" t="n">
        <v>15.99</v>
      </c>
      <c r="BE171" s="121" t="n">
        <v>15.98</v>
      </c>
      <c r="BF171" s="110">
        <f>IF(AND(ISNUMBER(BD171),ISNUMBER(BE171),N(BD171)&gt;0),1-BE171/BD171,"")</f>
        <v/>
      </c>
      <c r="BG171" s="122" t="n">
        <v>71449</v>
      </c>
      <c r="BH171" s="122" t="n">
        <v>98796</v>
      </c>
      <c r="BI171" s="123">
        <f>IF(AND(ISNUMBER(BG171),ISNUMBER(BH171),N(BH171)&gt;0),BG171/BH171,"")</f>
        <v/>
      </c>
      <c r="BJ171" s="120" t="inlineStr">
        <is>
          <t>N</t>
        </is>
      </c>
      <c r="BK171" s="120" t="inlineStr">
        <is>
          <t>Prime Exclusive already running before BFCM week; Buy Box RAISED in BFCM week (median $19.99 vs $16.99 before); List Price $19.98</t>
        </is>
      </c>
    </row>
    <row r="172" ht="62" customHeight="1">
      <c r="A172" s="12">
        <f>_xlfn.IMAGE("https://m.media-amazon.com/images/I/71HVTciZ9oL._AC_SL1500_.jpg")</f>
        <v/>
      </c>
      <c r="B172" s="105" t="inlineStr">
        <is>
          <t>Vonty</t>
        </is>
      </c>
      <c r="C172" s="39" t="inlineStr">
        <is>
          <t>Satin Sheets</t>
        </is>
      </c>
      <c r="D172" s="105" t="inlineStr">
        <is>
          <t>Untiered</t>
        </is>
      </c>
      <c r="E172" s="128" t="inlineStr">
        <is>
          <t>Alternative material</t>
        </is>
      </c>
      <c r="F172" s="105" t="inlineStr">
        <is>
          <t>Microfiber / polyester</t>
        </is>
      </c>
      <c r="G172" s="39" t="inlineStr">
        <is>
          <t>Sheet set in Microfiber / polyester (product page material: Polyester); ours is Satin (polyester) (our listing: polyester satin). Shopper may cross-shop, but not like-for-like.</t>
        </is>
      </c>
      <c r="H172" s="107" t="inlineStr">
        <is>
          <t>B0BDDJM9RW</t>
        </is>
      </c>
      <c r="I172" s="107" t="inlineStr">
        <is>
          <t>B0BDDGJ38X</t>
        </is>
      </c>
      <c r="J172" s="105" t="inlineStr">
        <is>
          <t>King - Extra Deep Pocket</t>
        </is>
      </c>
      <c r="K172" s="105" t="inlineStr">
        <is>
          <t>Black</t>
        </is>
      </c>
      <c r="L172" s="108" t="n">
        <v>22</v>
      </c>
      <c r="M172" s="39" t="inlineStr">
        <is>
          <t>B0BDDGJ38X (81%)</t>
        </is>
      </c>
      <c r="N172" s="109" t="n">
        <v>30.99</v>
      </c>
      <c r="O172" s="109" t="n"/>
      <c r="P172" s="110">
        <f>IF(AND(ISNUMBER(O172),ISNUMBER(N172),N(N172)&gt;0),O172/N172-1,"")</f>
        <v/>
      </c>
      <c r="Q172" s="111">
        <f>IF(P172="","No List Price",IF(P172&lt;=0,"At/below price",IF(P172&lt;=0.12,"&lt;=12% STR zone",IF(P172&lt;=0.25,"12-25%","&gt;25% over"))))</f>
        <v/>
      </c>
      <c r="R172" s="109" t="n"/>
      <c r="S172" s="112">
        <f>IF(AND(ISNUMBER(N172),ISNUMBER(R172),N(R172)&gt;0),N172/R172-1,"")</f>
        <v/>
      </c>
      <c r="T172" s="39" t="inlineStr">
        <is>
          <t>No price for us</t>
        </is>
      </c>
      <c r="U172" s="108" t="n">
        <v>83620</v>
      </c>
      <c r="V172" s="108" t="n">
        <v>35</v>
      </c>
      <c r="W172" s="113">
        <f>IF(AND(ISNUMBER(N172),ISNUMBER(V172)),N172*V172*52/12,"")</f>
        <v/>
      </c>
      <c r="X172" s="114" t="n">
        <v>4.2</v>
      </c>
      <c r="Y172" s="108" t="n">
        <v>909</v>
      </c>
      <c r="Z172" s="115" t="n">
        <v>46307</v>
      </c>
      <c r="AA172" s="115" t="n"/>
      <c r="AB172" s="105" t="n"/>
      <c r="AC172" s="105" t="n"/>
      <c r="AD172" s="108" t="n">
        <v>11441</v>
      </c>
      <c r="AE172" s="108" t="n">
        <v>382</v>
      </c>
      <c r="AF172" s="116" t="n">
        <v>0.9484301110042829</v>
      </c>
      <c r="AG172" s="116" t="n">
        <v>0.05156988899571716</v>
      </c>
      <c r="AH172" s="39" t="inlineStr">
        <is>
          <t>silk sheets</t>
        </is>
      </c>
      <c r="AI172" s="116" t="n">
        <v>0.06502928065728521</v>
      </c>
      <c r="AJ172" s="116" t="n"/>
      <c r="AK172" s="116" t="n"/>
      <c r="AL172" s="116" t="n"/>
      <c r="AM172" s="108" t="n"/>
      <c r="AN172" s="108" t="n"/>
      <c r="AO172" s="108" t="n"/>
      <c r="AP172" s="108" t="n"/>
      <c r="AQ172" s="108" t="n"/>
      <c r="AR172" s="108" t="n"/>
      <c r="AS172" s="117" t="n">
        <v>0.9861111111111112</v>
      </c>
      <c r="AT172" s="112" t="n">
        <v>0.4680851063829787</v>
      </c>
      <c r="AU172" s="118" t="inlineStr">
        <is>
          <t>N</t>
        </is>
      </c>
      <c r="AV172" s="118" t="inlineStr">
        <is>
          <t>none</t>
        </is>
      </c>
      <c r="AW172" s="124" t="n"/>
      <c r="AX172" s="119" t="n">
        <v>30.99</v>
      </c>
      <c r="AY172" s="118" t="inlineStr">
        <is>
          <t>none</t>
        </is>
      </c>
      <c r="AZ172" s="118" t="inlineStr">
        <is>
          <t>Y</t>
        </is>
      </c>
      <c r="BA172" s="118" t="inlineStr">
        <is>
          <t>2026-10-13 23:44:43</t>
        </is>
      </c>
      <c r="BB172" s="120" t="inlineStr">
        <is>
          <t>Prime Exclusive Discount</t>
        </is>
      </c>
      <c r="BC172" s="120" t="inlineStr">
        <is>
          <t>11-21 to 12-01</t>
        </is>
      </c>
      <c r="BD172" s="121" t="n">
        <v>30.99</v>
      </c>
      <c r="BE172" s="121" t="n">
        <v>25.79</v>
      </c>
      <c r="BF172" s="110">
        <f>IF(AND(ISNUMBER(BD172),ISNUMBER(BE172),N(BD172)&gt;0),1-BE172/BD172,"")</f>
        <v/>
      </c>
      <c r="BG172" s="122" t="n">
        <v>88328</v>
      </c>
      <c r="BH172" s="122" t="n">
        <v>82798</v>
      </c>
      <c r="BI172" s="123">
        <f>IF(AND(ISNUMBER(BG172),ISNUMBER(BH172),N(BH172)&gt;0),BG172/BH172,"")</f>
        <v/>
      </c>
      <c r="BJ172" s="120" t="inlineStr">
        <is>
          <t>N</t>
        </is>
      </c>
      <c r="BK172" s="120" t="inlineStr">
        <is>
          <t>Buy Box RAISED in BFCM week (median $42.99 vs $30.99 before); List Price $49.99</t>
        </is>
      </c>
    </row>
    <row r="173" ht="62" customHeight="1">
      <c r="A173" s="12">
        <f>_xlfn.IMAGE("https://images-na.ssl-images-amazon.com/images/I/81HS7e6wrTL.jpg")</f>
        <v/>
      </c>
      <c r="B173" s="105" t="inlineStr">
        <is>
          <t>Madison Park</t>
        </is>
      </c>
      <c r="C173" s="39" t="inlineStr">
        <is>
          <t>Satin Sheets</t>
        </is>
      </c>
      <c r="D173" s="105" t="inlineStr">
        <is>
          <t>Untiered</t>
        </is>
      </c>
      <c r="E173" s="128" t="inlineStr">
        <is>
          <t>Alternative material</t>
        </is>
      </c>
      <c r="F173" s="105" t="inlineStr">
        <is>
          <t>Microfiber / polyester</t>
        </is>
      </c>
      <c r="G173" s="39" t="inlineStr">
        <is>
          <t>Sheet set in Microfiber / polyester (product page material: Polyester); ours is Satin (polyester) (our listing: polyester satin). Shopper may cross-shop, but not like-for-like.</t>
        </is>
      </c>
      <c r="H173" s="107" t="inlineStr">
        <is>
          <t>B0DJ2HJ9M4</t>
        </is>
      </c>
      <c r="I173" s="107" t="inlineStr">
        <is>
          <t>B09HVCPNLX</t>
        </is>
      </c>
      <c r="J173" s="105" t="inlineStr">
        <is>
          <t>Queen</t>
        </is>
      </c>
      <c r="K173" s="105" t="inlineStr">
        <is>
          <t>Ivory</t>
        </is>
      </c>
      <c r="L173" s="108" t="n">
        <v>44</v>
      </c>
      <c r="M173" s="39" t="inlineStr">
        <is>
          <t>B0C5CG12M2 (27%), B09HVCPNLX (24%), B0C25NTWCM (18%), B09HVDQ982 (9%), B0DDQ6PNMP (7%)</t>
        </is>
      </c>
      <c r="N173" s="109" t="n">
        <v>26.99</v>
      </c>
      <c r="O173" s="109" t="n"/>
      <c r="P173" s="110">
        <f>IF(AND(ISNUMBER(O173),ISNUMBER(N173),N(N173)&gt;0),O173/N173-1,"")</f>
        <v/>
      </c>
      <c r="Q173" s="111">
        <f>IF(P173="","No List Price",IF(P173&lt;=0,"At/below price",IF(P173&lt;=0.12,"&lt;=12% STR zone",IF(P173&lt;=0.25,"12-25%","&gt;25% over"))))</f>
        <v/>
      </c>
      <c r="R173" s="109" t="n"/>
      <c r="S173" s="112">
        <f>IF(AND(ISNUMBER(N173),ISNUMBER(R173),N(R173)&gt;0),N173/R173-1,"")</f>
        <v/>
      </c>
      <c r="T173" s="39" t="inlineStr">
        <is>
          <t>No price for us</t>
        </is>
      </c>
      <c r="U173" s="108" t="n">
        <v>76753</v>
      </c>
      <c r="V173" s="108" t="n">
        <v>18</v>
      </c>
      <c r="W173" s="113">
        <f>IF(AND(ISNUMBER(N173),ISNUMBER(V173)),N173*V173*52/12,"")</f>
        <v/>
      </c>
      <c r="X173" s="114" t="n">
        <v>4.5</v>
      </c>
      <c r="Y173" s="108" t="n">
        <v>127</v>
      </c>
      <c r="Z173" s="115" t="n">
        <v>46307</v>
      </c>
      <c r="AA173" s="115" t="n"/>
      <c r="AB173" s="105" t="n"/>
      <c r="AC173" s="105" t="n"/>
      <c r="AD173" s="108" t="n">
        <v>35631</v>
      </c>
      <c r="AE173" s="108" t="n">
        <v>592</v>
      </c>
      <c r="AF173" s="116" t="n">
        <v>0.9497345738261626</v>
      </c>
      <c r="AG173" s="116" t="n">
        <v>0.05026542617383739</v>
      </c>
      <c r="AH173" s="39" t="inlineStr">
        <is>
          <t>satin sheets</t>
        </is>
      </c>
      <c r="AI173" s="116" t="n">
        <v>0.305408211950268</v>
      </c>
      <c r="AJ173" s="116" t="n"/>
      <c r="AK173" s="116" t="n"/>
      <c r="AL173" s="116" t="n">
        <v>0</v>
      </c>
      <c r="AM173" s="108" t="n"/>
      <c r="AN173" s="108" t="n"/>
      <c r="AO173" s="108" t="n"/>
      <c r="AP173" s="108" t="n"/>
      <c r="AQ173" s="108" t="n"/>
      <c r="AR173" s="108" t="n"/>
      <c r="AS173" s="117" t="n">
        <v>0.6901408450704226</v>
      </c>
      <c r="AT173" s="112" t="n">
        <v>0.1848341232227488</v>
      </c>
      <c r="AU173" s="118" t="inlineStr">
        <is>
          <t>N</t>
        </is>
      </c>
      <c r="AV173" s="118" t="inlineStr">
        <is>
          <t>none</t>
        </is>
      </c>
      <c r="AW173" s="124" t="n"/>
      <c r="AX173" s="119" t="n">
        <v>26.99</v>
      </c>
      <c r="AY173" s="118" t="inlineStr">
        <is>
          <t>none</t>
        </is>
      </c>
      <c r="AZ173" s="118" t="inlineStr">
        <is>
          <t>Y</t>
        </is>
      </c>
      <c r="BA173" s="118" t="inlineStr">
        <is>
          <t>2026-10-13 12:13:26</t>
        </is>
      </c>
      <c r="BB173" s="120" t="inlineStr">
        <is>
          <t>None</t>
        </is>
      </c>
      <c r="BC173" s="125" t="n"/>
      <c r="BD173" s="121" t="n">
        <v>30.99</v>
      </c>
      <c r="BE173" s="121" t="n">
        <v>30.99</v>
      </c>
      <c r="BF173" s="110">
        <f>IF(AND(ISNUMBER(BD173),ISNUMBER(BE173),N(BD173)&gt;0),1-BE173/BD173,"")</f>
        <v/>
      </c>
      <c r="BG173" s="122" t="n">
        <v>38276</v>
      </c>
      <c r="BH173" s="122" t="n">
        <v>39554</v>
      </c>
      <c r="BI173" s="123">
        <f>IF(AND(ISNUMBER(BG173),ISNUMBER(BH173),N(BH173)&gt;0),BG173/BH173,"")</f>
        <v/>
      </c>
      <c r="BJ173" s="120" t="inlineStr">
        <is>
          <t>N</t>
        </is>
      </c>
      <c r="BK173" s="120" t="inlineStr">
        <is>
          <t>List Price $35.99</t>
        </is>
      </c>
    </row>
    <row r="174" ht="62" customHeight="1">
      <c r="A174" s="12">
        <f>_xlfn.IMAGE("https://m.media-amazon.com/images/I/71kVc8L0urL._AC_SL1500_.jpg")</f>
        <v/>
      </c>
      <c r="B174" s="105" t="inlineStr">
        <is>
          <t>Martex</t>
        </is>
      </c>
      <c r="C174" s="39" t="inlineStr">
        <is>
          <t>Satin Sheets</t>
        </is>
      </c>
      <c r="D174" s="105" t="inlineStr">
        <is>
          <t>Untiered</t>
        </is>
      </c>
      <c r="E174" s="128" t="inlineStr">
        <is>
          <t>Alternative material</t>
        </is>
      </c>
      <c r="F174" s="105" t="inlineStr">
        <is>
          <t>Microfiber / polyester</t>
        </is>
      </c>
      <c r="G174" s="39" t="inlineStr">
        <is>
          <t>Sheet set in Microfiber / polyester (product page material: Polyester); ours is Satin (polyester) (our listing: polyester satin). Shopper may cross-shop, but not like-for-like.</t>
        </is>
      </c>
      <c r="H174" s="107" t="inlineStr">
        <is>
          <t>B0DLGX8P9D</t>
        </is>
      </c>
      <c r="I174" s="107" t="inlineStr">
        <is>
          <t>B07X49LFDC</t>
        </is>
      </c>
      <c r="J174" s="105" t="inlineStr">
        <is>
          <t>Queen</t>
        </is>
      </c>
      <c r="K174" s="105" t="inlineStr">
        <is>
          <t>Pink</t>
        </is>
      </c>
      <c r="L174" s="108" t="n"/>
      <c r="M174" s="39" t="inlineStr"/>
      <c r="N174" s="109" t="n">
        <v>23.34</v>
      </c>
      <c r="O174" s="109" t="n"/>
      <c r="P174" s="110">
        <f>IF(AND(ISNUMBER(O174),ISNUMBER(N174),N(N174)&gt;0),O174/N174-1,"")</f>
        <v/>
      </c>
      <c r="Q174" s="111">
        <f>IF(P174="","No List Price",IF(P174&lt;=0,"At/below price",IF(P174&lt;=0.12,"&lt;=12% STR zone",IF(P174&lt;=0.25,"12-25%","&gt;25% over"))))</f>
        <v/>
      </c>
      <c r="R174" s="109" t="n"/>
      <c r="S174" s="112">
        <f>IF(AND(ISNUMBER(N174),ISNUMBER(R174),N(R174)&gt;0),N174/R174-1,"")</f>
        <v/>
      </c>
      <c r="T174" s="39" t="inlineStr">
        <is>
          <t>No price for us</t>
        </is>
      </c>
      <c r="U174" s="108" t="n">
        <v>52458</v>
      </c>
      <c r="V174" s="108" t="n">
        <v>5</v>
      </c>
      <c r="W174" s="113">
        <f>IF(AND(ISNUMBER(N174),ISNUMBER(V174)),N174*V174*52/12,"")</f>
        <v/>
      </c>
      <c r="X174" s="114" t="n">
        <v>4.3</v>
      </c>
      <c r="Y174" s="108" t="n">
        <v>2260</v>
      </c>
      <c r="Z174" s="115" t="n">
        <v>46307</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Y</t>
        </is>
      </c>
      <c r="AV174" s="118" t="inlineStr">
        <is>
          <t>Typical price</t>
        </is>
      </c>
      <c r="AW174" s="119" t="n">
        <v>26.99</v>
      </c>
      <c r="AX174" s="119" t="n">
        <v>22.99</v>
      </c>
      <c r="AY174" s="118" t="inlineStr">
        <is>
          <t>none</t>
        </is>
      </c>
      <c r="AZ174" s="118" t="inlineStr">
        <is>
          <t>Y</t>
        </is>
      </c>
      <c r="BA174" s="118" t="inlineStr">
        <is>
          <t>2026-10-13 12:13:32</t>
        </is>
      </c>
      <c r="BB174" s="120" t="inlineStr">
        <is>
          <t>None</t>
        </is>
      </c>
      <c r="BC174" s="125" t="n"/>
      <c r="BD174" s="121" t="n">
        <v>23.21</v>
      </c>
      <c r="BE174" s="121" t="n">
        <v>26.99</v>
      </c>
      <c r="BF174" s="110">
        <f>IF(AND(ISNUMBER(BD174),ISNUMBER(BE174),N(BD174)&gt;0),1-BE174/BD174,"")</f>
        <v/>
      </c>
      <c r="BG174" s="122" t="n">
        <v>29868</v>
      </c>
      <c r="BH174" s="122" t="n">
        <v>28928</v>
      </c>
      <c r="BI174" s="123">
        <f>IF(AND(ISNUMBER(BG174),ISNUMBER(BH174),N(BH174)&gt;0),BG174/BH174,"")</f>
        <v/>
      </c>
      <c r="BJ174" s="120" t="inlineStr">
        <is>
          <t>N</t>
        </is>
      </c>
      <c r="BK174" s="120" t="inlineStr">
        <is>
          <t>Buy Box RAISED in BFCM week (median $26.99 vs $23.21 before); List Price $34.99</t>
        </is>
      </c>
    </row>
    <row r="175"/>
    <row r="176" ht="22" customHeight="1">
      <c r="A176" s="65" t="inlineStr">
        <is>
          <t>5 ▼</t>
        </is>
      </c>
      <c r="B176" s="66" t="inlineStr">
        <is>
          <t>WHAT THIS MEANS FOR BFCM</t>
        </is>
      </c>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c r="AC176" s="67" t="n"/>
      <c r="AD176" s="67" t="n"/>
      <c r="AE176" s="67" t="n"/>
      <c r="AF176" s="67" t="n"/>
      <c r="AG176" s="67" t="n"/>
      <c r="AH176" s="67" t="n"/>
      <c r="AI176" s="67" t="n"/>
      <c r="AJ176" s="67" t="n"/>
      <c r="AK176" s="67" t="n"/>
      <c r="AL176" s="67" t="n"/>
      <c r="AM176" s="67"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row>
    <row r="177" ht="30" customHeight="1">
      <c r="A177" s="129" t="inlineStr">
        <is>
          <t>• Who sells most: BEDELITE ~1,963/wk at $17.99; Love's cabin ~809/wk at $16.13 (List $19.99, +24%); MR&amp;HM ~809/wk at $19.99; CozyLux ~347/wk at $13.99 (List $18.99, +36%); BEDELITE ~208/wk at $15.98 (List $19.99, +25%). Tracked rivals ~5,286 units/wk; we sell ~0/wk (0.0% of the tracked set).</t>
        </is>
      </c>
    </row>
    <row r="178" ht="18" customHeight="1">
      <c r="A178" s="129" t="inlineStr">
        <is>
          <t>• Strikethrough: 4 of 27 rivals set a List Price above price; 1 within 12%: Homiest +8%.</t>
        </is>
      </c>
    </row>
    <row r="179" ht="18" customHeight="1">
      <c r="A179" s="129" t="inlineStr">
        <is>
          <t>• Price: 0 of 27 rivals sit below our price today (same size where the title states one). Cheapest strong rivals:.</t>
        </is>
      </c>
    </row>
    <row r="180" ht="30" customHeight="1">
      <c r="A180" s="129" t="inlineStr">
        <is>
          <t>• Strikethrough on the page today (Oct 13 check): 8 of 27 checked rivals show one: BEDELITE List Price $19.99 vs $17.99 (+11%), Love's cabin List Price $19.99 vs $16.13 (+24%) with deal, MR&amp;HM List Price $28.99 vs $19.99 (+45%), BEDELITE List Price $19.99 vs $15.98 (+25%) with deal, Homiest Typical price $25.99 vs $23.99 (+8%), CozyLux List Price $18.99 vs $13.99 (+36%) with deal.</t>
        </is>
      </c>
    </row>
    <row r="181" ht="30" customHeight="1">
      <c r="A181" s="129" t="inlineStr">
        <is>
          <t>• BFCM 2025, 26 rivals with price history history: Prime Exclusive Discount 14, None 8, Price cut only 4. Median depth vs their Nov 1-19 price 5%; median BSR lift 1.03x. 12 raised their Buy Box in BFCM week, so their deal looked deeper than it was.</t>
        </is>
      </c>
    </row>
    <row r="182" ht="18" customHeight="1">
      <c r="A182" s="129" t="inlineStr">
        <is>
          <t>• 1 rival not in the price history pulls yet (yellow BFCM 2025 columns) - remaining P2 batches,.</t>
        </is>
      </c>
    </row>
  </sheetData>
  <autoFilter ref="B147:BK174"/>
  <mergeCells count="55">
    <mergeCell ref="A137:C137"/>
    <mergeCell ref="AD146:AT146"/>
    <mergeCell ref="L5:Q5"/>
    <mergeCell ref="A182:BK182"/>
    <mergeCell ref="N146:Z146"/>
    <mergeCell ref="A178:BK178"/>
    <mergeCell ref="AA146:AC146"/>
    <mergeCell ref="Q11:T11"/>
    <mergeCell ref="A136:C136"/>
    <mergeCell ref="L8:Q8"/>
    <mergeCell ref="A139:C139"/>
    <mergeCell ref="L4:Q4"/>
    <mergeCell ref="D7:I7"/>
    <mergeCell ref="A13:D13"/>
    <mergeCell ref="A146:K146"/>
    <mergeCell ref="I13:L13"/>
    <mergeCell ref="D4:I4"/>
    <mergeCell ref="L10:Q10"/>
    <mergeCell ref="E12:H12"/>
    <mergeCell ref="Q13:T13"/>
    <mergeCell ref="A177:BK177"/>
    <mergeCell ref="D9:I9"/>
    <mergeCell ref="U12:X12"/>
    <mergeCell ref="L9:Q9"/>
    <mergeCell ref="Q12:T12"/>
    <mergeCell ref="A11:D11"/>
    <mergeCell ref="I11:L11"/>
    <mergeCell ref="D8:I8"/>
    <mergeCell ref="L6:Q6"/>
    <mergeCell ref="A4:B9"/>
    <mergeCell ref="T6:Y6"/>
    <mergeCell ref="A179:BK179"/>
    <mergeCell ref="BB146:BK146"/>
    <mergeCell ref="AU146:BA146"/>
    <mergeCell ref="D5:I5"/>
    <mergeCell ref="M11:P11"/>
    <mergeCell ref="A181:BK181"/>
    <mergeCell ref="U11:X11"/>
    <mergeCell ref="A141:BK141"/>
    <mergeCell ref="E13:H13"/>
    <mergeCell ref="A140:BK140"/>
    <mergeCell ref="D10:I10"/>
    <mergeCell ref="L7:Q7"/>
    <mergeCell ref="T5:Y5"/>
    <mergeCell ref="A138:C138"/>
    <mergeCell ref="A180:BK180"/>
    <mergeCell ref="J2:BK2"/>
    <mergeCell ref="A12:D12"/>
    <mergeCell ref="M13:P13"/>
    <mergeCell ref="I12:L12"/>
    <mergeCell ref="U13:X13"/>
    <mergeCell ref="M12:P12"/>
    <mergeCell ref="T4:Y4"/>
    <mergeCell ref="D6:I6"/>
    <mergeCell ref="E11:H11"/>
  </mergeCells>
  <conditionalFormatting sqref="Q148:Q174">
    <cfRule type="expression" priority="1" dxfId="1">
      <formula>Q148="&lt;=12% STR zone"</formula>
    </cfRule>
  </conditionalFormatting>
  <conditionalFormatting sqref="Z148:Z174">
    <cfRule type="expression" priority="2" dxfId="0">
      <formula>AND(ISNUMBER(Z148),Z148&lt;DATE(2026,10,6))</formula>
    </cfRule>
  </conditionalFormatting>
  <conditionalFormatting sqref="T148:T174">
    <cfRule type="expression" priority="3" dxfId="0">
      <formula>ISNUMBER(SEARCH("STALE",T148))</formula>
    </cfRule>
  </conditionalFormatting>
  <conditionalFormatting sqref="S148:S174">
    <cfRule type="expression" priority="4" dxfId="0">
      <formula>AND(ISNUMBER(S148),S148&lt;0)</formula>
    </cfRule>
  </conditionalFormatting>
  <dataValidations count="3">
    <dataValidation sqref="AU148:AU174 BJ148:BJ174" showDropDown="0" showInputMessage="0" showErrorMessage="0" allowBlank="1" type="list">
      <formula1>"Y,N"</formula1>
    </dataValidation>
    <dataValidation sqref="AV148:AV174" showDropDown="0" showInputMessage="0" showErrorMessage="0" allowBlank="1" type="list">
      <formula1>"List Price,Typical price,Was price,None"</formula1>
    </dataValidation>
    <dataValidation sqref="BB148:BB174"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Satin 6pc'!A3" display="1 Our product ↓"/>
    <hyperlink ref="D2" location="'US SL Satin 6pc'!A15" display="2 Our variations ↓"/>
    <hyperlink ref="E2" location="'US SL Satin 6pc'!A135" display="3 Our BFCM 2025 ↓"/>
    <hyperlink ref="F2" location="'US SL Satin 6pc'!A144" display="4 COMPETITORS (27 mapped) ↓"/>
    <hyperlink ref="G2" location="'US SL Satin 6pc'!A176" display="5 What it means ↓"/>
    <hyperlink xmlns:r="http://schemas.openxmlformats.org/officeDocument/2006/relationships" ref="H148" r:id="rId1"/>
    <hyperlink xmlns:r="http://schemas.openxmlformats.org/officeDocument/2006/relationships" ref="I148" r:id="rId2"/>
    <hyperlink xmlns:r="http://schemas.openxmlformats.org/officeDocument/2006/relationships" ref="H149" r:id="rId3"/>
    <hyperlink xmlns:r="http://schemas.openxmlformats.org/officeDocument/2006/relationships" ref="I149" r:id="rId4"/>
    <hyperlink xmlns:r="http://schemas.openxmlformats.org/officeDocument/2006/relationships" ref="H150" r:id="rId5"/>
    <hyperlink xmlns:r="http://schemas.openxmlformats.org/officeDocument/2006/relationships" ref="I150" r:id="rId6"/>
    <hyperlink xmlns:r="http://schemas.openxmlformats.org/officeDocument/2006/relationships" ref="H151" r:id="rId7"/>
    <hyperlink xmlns:r="http://schemas.openxmlformats.org/officeDocument/2006/relationships" ref="I151" r:id="rId8"/>
    <hyperlink xmlns:r="http://schemas.openxmlformats.org/officeDocument/2006/relationships" ref="H152" r:id="rId9"/>
    <hyperlink xmlns:r="http://schemas.openxmlformats.org/officeDocument/2006/relationships" ref="I152" r:id="rId10"/>
    <hyperlink xmlns:r="http://schemas.openxmlformats.org/officeDocument/2006/relationships" ref="H153" r:id="rId11"/>
    <hyperlink xmlns:r="http://schemas.openxmlformats.org/officeDocument/2006/relationships" ref="I153" r:id="rId12"/>
    <hyperlink xmlns:r="http://schemas.openxmlformats.org/officeDocument/2006/relationships" ref="H154" r:id="rId13"/>
    <hyperlink xmlns:r="http://schemas.openxmlformats.org/officeDocument/2006/relationships" ref="I154" r:id="rId14"/>
    <hyperlink xmlns:r="http://schemas.openxmlformats.org/officeDocument/2006/relationships" ref="H155" r:id="rId15"/>
    <hyperlink xmlns:r="http://schemas.openxmlformats.org/officeDocument/2006/relationships" ref="I155" r:id="rId16"/>
    <hyperlink xmlns:r="http://schemas.openxmlformats.org/officeDocument/2006/relationships" ref="H156" r:id="rId17"/>
    <hyperlink xmlns:r="http://schemas.openxmlformats.org/officeDocument/2006/relationships" ref="I156" r:id="rId18"/>
    <hyperlink xmlns:r="http://schemas.openxmlformats.org/officeDocument/2006/relationships" ref="H157" r:id="rId19"/>
    <hyperlink xmlns:r="http://schemas.openxmlformats.org/officeDocument/2006/relationships" ref="I157" r:id="rId20"/>
    <hyperlink xmlns:r="http://schemas.openxmlformats.org/officeDocument/2006/relationships" ref="H158" r:id="rId21"/>
    <hyperlink xmlns:r="http://schemas.openxmlformats.org/officeDocument/2006/relationships" ref="I158" r:id="rId22"/>
    <hyperlink xmlns:r="http://schemas.openxmlformats.org/officeDocument/2006/relationships" ref="H159" r:id="rId23"/>
    <hyperlink xmlns:r="http://schemas.openxmlformats.org/officeDocument/2006/relationships" ref="I159" r:id="rId24"/>
    <hyperlink xmlns:r="http://schemas.openxmlformats.org/officeDocument/2006/relationships" ref="H160" r:id="rId25"/>
    <hyperlink xmlns:r="http://schemas.openxmlformats.org/officeDocument/2006/relationships" ref="I160" r:id="rId26"/>
    <hyperlink xmlns:r="http://schemas.openxmlformats.org/officeDocument/2006/relationships" ref="H161" r:id="rId27"/>
    <hyperlink xmlns:r="http://schemas.openxmlformats.org/officeDocument/2006/relationships" ref="I161" r:id="rId28"/>
    <hyperlink xmlns:r="http://schemas.openxmlformats.org/officeDocument/2006/relationships" ref="H162" r:id="rId29"/>
    <hyperlink xmlns:r="http://schemas.openxmlformats.org/officeDocument/2006/relationships" ref="I162" r:id="rId30"/>
    <hyperlink xmlns:r="http://schemas.openxmlformats.org/officeDocument/2006/relationships" ref="H163" r:id="rId31"/>
    <hyperlink xmlns:r="http://schemas.openxmlformats.org/officeDocument/2006/relationships" ref="I163" r:id="rId32"/>
    <hyperlink xmlns:r="http://schemas.openxmlformats.org/officeDocument/2006/relationships" ref="H164" r:id="rId33"/>
    <hyperlink xmlns:r="http://schemas.openxmlformats.org/officeDocument/2006/relationships" ref="I164" r:id="rId34"/>
    <hyperlink xmlns:r="http://schemas.openxmlformats.org/officeDocument/2006/relationships" ref="H165" r:id="rId35"/>
    <hyperlink xmlns:r="http://schemas.openxmlformats.org/officeDocument/2006/relationships" ref="I165" r:id="rId36"/>
    <hyperlink xmlns:r="http://schemas.openxmlformats.org/officeDocument/2006/relationships" ref="H166" r:id="rId37"/>
    <hyperlink xmlns:r="http://schemas.openxmlformats.org/officeDocument/2006/relationships" ref="I166" r:id="rId38"/>
    <hyperlink xmlns:r="http://schemas.openxmlformats.org/officeDocument/2006/relationships" ref="H167" r:id="rId39"/>
    <hyperlink xmlns:r="http://schemas.openxmlformats.org/officeDocument/2006/relationships" ref="I167" r:id="rId40"/>
    <hyperlink xmlns:r="http://schemas.openxmlformats.org/officeDocument/2006/relationships" ref="H168" r:id="rId41"/>
    <hyperlink xmlns:r="http://schemas.openxmlformats.org/officeDocument/2006/relationships" ref="I168" r:id="rId42"/>
    <hyperlink xmlns:r="http://schemas.openxmlformats.org/officeDocument/2006/relationships" ref="H169" r:id="rId43"/>
    <hyperlink xmlns:r="http://schemas.openxmlformats.org/officeDocument/2006/relationships" ref="I169" r:id="rId44"/>
    <hyperlink xmlns:r="http://schemas.openxmlformats.org/officeDocument/2006/relationships" ref="H170" r:id="rId45"/>
    <hyperlink xmlns:r="http://schemas.openxmlformats.org/officeDocument/2006/relationships" ref="I170" r:id="rId46"/>
    <hyperlink xmlns:r="http://schemas.openxmlformats.org/officeDocument/2006/relationships" ref="H171" r:id="rId47"/>
    <hyperlink xmlns:r="http://schemas.openxmlformats.org/officeDocument/2006/relationships" ref="I171" r:id="rId48"/>
    <hyperlink xmlns:r="http://schemas.openxmlformats.org/officeDocument/2006/relationships" ref="H172" r:id="rId49"/>
    <hyperlink xmlns:r="http://schemas.openxmlformats.org/officeDocument/2006/relationships" ref="I172" r:id="rId50"/>
    <hyperlink xmlns:r="http://schemas.openxmlformats.org/officeDocument/2006/relationships" ref="H173" r:id="rId51"/>
    <hyperlink xmlns:r="http://schemas.openxmlformats.org/officeDocument/2006/relationships" ref="I173" r:id="rId52"/>
    <hyperlink xmlns:r="http://schemas.openxmlformats.org/officeDocument/2006/relationships" ref="H174" r:id="rId53"/>
    <hyperlink xmlns:r="http://schemas.openxmlformats.org/officeDocument/2006/relationships" ref="I174" r:id="rId54"/>
  </hyperlinks>
  <pageMargins left="0.75" right="0.75" top="1" bottom="1" header="0.5" footer="0.5"/>
  <drawing xmlns:r="http://schemas.openxmlformats.org/officeDocument/2006/relationships" r:id="rId55"/>
  <legacyDrawing xmlns:r="http://schemas.openxmlformats.org/officeDocument/2006/relationships" r:id="anysvml"/>
</worksheet>
</file>

<file path=xl/worksheets/sheet16.xml><?xml version="1.0" encoding="utf-8"?>
<worksheet xmlns="http://schemas.openxmlformats.org/spreadsheetml/2006/main">
  <sheetPr>
    <tabColor rgb="009DC3E6"/>
    <outlinePr summaryBelow="1" summaryRight="1"/>
    <pageSetUpPr/>
  </sheetPr>
  <dimension ref="A1:BK137"/>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Satin Fitted Sheet · Amazon.com (US) · Satin · BFCM role: Opportunistic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(14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_xlfn.IMAGE("https://m.media-amazon.com/images/I/71APUp+JE3L._AC_SL1500_.jpg")</f>
        <v/>
      </c>
      <c r="C4" s="13" t="inlineStr">
        <is>
          <t>Title</t>
        </is>
      </c>
      <c r="D4" s="14" t="inlineStr">
        <is>
          <t>DECOLURE Satin Fitted Sheet Queen Size | Softer Than Silk | Luxury 1 Pc Set</t>
        </is>
      </c>
      <c r="K4" s="13" t="inlineStr">
        <is>
          <t>Sizes</t>
        </is>
      </c>
      <c r="L4" s="68" t="inlineStr">
        <is>
          <t>Full, King, Queen, Twin</t>
        </is>
      </c>
      <c r="S4" s="13" t="inlineStr">
        <is>
          <t>Break-even ACoS</t>
        </is>
      </c>
      <c r="T4" s="68" t="inlineStr">
        <is>
          <t>31%</t>
        </is>
      </c>
    </row>
    <row r="5" ht="22" customHeight="1">
      <c r="C5" s="13" t="inlineStr">
        <is>
          <t>Brand</t>
        </is>
      </c>
      <c r="D5" s="68" t="inlineStr">
        <is>
          <t>Decolure</t>
        </is>
      </c>
      <c r="K5" s="13" t="inlineStr">
        <is>
          <t>Colours</t>
        </is>
      </c>
      <c r="L5" s="68" t="inlineStr">
        <is>
          <t>Baby Blue, Black, Blush Pink, Dark Green, Gold, Grey, Ivory, Lavender, Navy Blue, Pink, Purple, Red, Rosewood, Sage Green, Sea Teal, Stone Grey, White</t>
        </is>
      </c>
      <c r="S5" s="13" t="inlineStr">
        <is>
          <t>Units last 28 days</t>
        </is>
      </c>
      <c r="T5" s="68" t="inlineStr">
        <is>
          <t>759</t>
        </is>
      </c>
    </row>
    <row r="6" ht="22" customHeight="1">
      <c r="C6" s="13" t="inlineStr">
        <is>
          <t>Marketplace</t>
        </is>
      </c>
      <c r="D6" s="68" t="inlineStr">
        <is>
          <t>Amazon.com (US)</t>
        </is>
      </c>
      <c r="K6" s="13" t="inlineStr">
        <is>
          <t>Price now, best child</t>
        </is>
      </c>
      <c r="L6" s="68" t="inlineStr">
        <is>
          <t>$21.95 (catalog price, 2026-10-13)</t>
        </is>
      </c>
      <c r="S6" s="13" t="inlineStr">
        <is>
          <t>market data product ASIN</t>
        </is>
      </c>
      <c r="T6" s="68" t="inlineStr">
        <is>
          <t>B0DBVZV66D (one of our child ASINs, not the Amazon parent)</t>
        </is>
      </c>
    </row>
    <row r="7" ht="22" customHeight="1">
      <c r="C7" s="13" t="inlineStr">
        <is>
          <t>Parent ASIN (Amazon)</t>
        </is>
      </c>
      <c r="D7" s="68" t="inlineStr">
        <is>
          <t>B0DZ17NCJ4</t>
        </is>
      </c>
      <c r="K7" s="13" t="inlineStr">
        <is>
          <t>Rating / reviews now</t>
        </is>
      </c>
      <c r="L7" s="68" t="inlineStr">
        <is>
          <t>4.5 / 1,284 (catalog price, 2026-10-13)</t>
        </is>
      </c>
    </row>
    <row r="8" ht="22" customHeight="1">
      <c r="C8" s="13" t="inlineStr">
        <is>
          <t>Best-selling child ASIN</t>
        </is>
      </c>
      <c r="D8" s="68" t="inlineStr">
        <is>
          <t>B0DBW1PNJ8</t>
        </is>
      </c>
      <c r="K8" s="13" t="inlineStr">
        <is>
          <t>Live prices held</t>
        </is>
      </c>
      <c r="L8" s="68" t="inlineStr">
        <is>
          <t>53 of 68 variations</t>
        </is>
      </c>
    </row>
    <row r="9" ht="22" customHeight="1">
      <c r="C9" s="13" t="inlineStr">
        <is>
          <t>Stage</t>
        </is>
      </c>
      <c r="D9" s="68" t="inlineStr">
        <is>
          <t>Maintenance</t>
        </is>
      </c>
      <c r="K9" s="13" t="inlineStr">
        <is>
          <t>Blended price (market data)</t>
        </is>
      </c>
      <c r="L9" s="68" t="inlineStr">
        <is>
          <t>$19.34 - fee feed as of 2026-03-30, STALE</t>
        </is>
      </c>
    </row>
    <row r="10">
      <c r="C10" s="13" t="inlineStr">
        <is>
          <t>Total variations (SKUs)</t>
        </is>
      </c>
      <c r="D10" s="68" t="n">
        <v>68</v>
      </c>
      <c r="K10" s="13" t="inlineStr">
        <is>
          <t>Contribution / unit</t>
        </is>
      </c>
      <c r="L10" s="68" t="inlineStr">
        <is>
          <t>$5.91</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2.47x</t>
        </is>
      </c>
      <c r="E12" s="70" t="inlineStr">
        <is>
          <t>7.8%</t>
        </is>
      </c>
      <c r="I12" s="70" t="inlineStr">
        <is>
          <t>1.51x</t>
        </is>
      </c>
      <c r="M12" s="70" t="inlineStr">
        <is>
          <t>14</t>
        </is>
      </c>
      <c r="Q12" s="70" t="inlineStr">
        <is>
          <t>13</t>
        </is>
      </c>
      <c r="U12" s="70" t="inlineStr">
        <is>
          <t>0</t>
        </is>
      </c>
    </row>
    <row r="13">
      <c r="A13" s="71" t="inlineStr">
        <is>
          <t>daily sales, BFCM wk vs 30 days before (account data actual)</t>
        </is>
      </c>
      <c r="E13" s="71" t="inlineStr">
        <is>
          <t>vs 11.2%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(68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_xlfn.IMAGE("https://m.media-amazon.com/images/I/71APUp+JE3L.jpg")</f>
        <v/>
      </c>
      <c r="B18" s="39" t="inlineStr">
        <is>
          <t>B0DBW1PNJ8</t>
        </is>
      </c>
      <c r="C18" s="39" t="inlineStr">
        <is>
          <t>SATIN-FITTED-QUEEN-BLACK</t>
        </is>
      </c>
      <c r="D18" s="39" t="inlineStr">
        <is>
          <t>DECOLURE Satin Fitted Sheet Queen Size | Softer Than Silk | Luxury 1 Pc Set</t>
        </is>
      </c>
      <c r="E18" s="39" t="inlineStr">
        <is>
          <t>Queen</t>
        </is>
      </c>
      <c r="F18" s="39" t="inlineStr">
        <is>
          <t>Black</t>
        </is>
      </c>
      <c r="G18" s="73" t="n">
        <v>21.95</v>
      </c>
      <c r="H18" s="39" t="inlineStr">
        <is>
          <t>catalog price, 2026-10-13</t>
        </is>
      </c>
      <c r="I18" s="74" t="n">
        <v>17.95</v>
      </c>
      <c r="J18" s="75" t="inlineStr">
        <is>
          <t>2026-03-30</t>
        </is>
      </c>
      <c r="K18" s="40" t="n">
        <v>5.24</v>
      </c>
      <c r="L18" s="76" t="n">
        <v>0.2919220055710307</v>
      </c>
      <c r="M18" s="77" t="n">
        <v>80</v>
      </c>
      <c r="N18" s="39" t="inlineStr">
        <is>
          <t>Active</t>
        </is>
      </c>
      <c r="O18" s="39" t="inlineStr">
        <is>
          <t>Yes (12%)</t>
        </is>
      </c>
      <c r="P18" s="78" t="n">
        <v>4.5</v>
      </c>
      <c r="Q18" s="77" t="n">
        <v>1284</v>
      </c>
      <c r="R18" s="77" t="n">
        <v>29175</v>
      </c>
      <c r="S18" s="77" t="n">
        <v>204</v>
      </c>
      <c r="T18" s="39" t="n"/>
    </row>
    <row r="19" ht="62" customHeight="1">
      <c r="A19" s="12">
        <f>_xlfn.IMAGE("https://m.media-amazon.com/images/I/71TuVlzH09L.jpg")</f>
        <v/>
      </c>
      <c r="B19" s="39" t="inlineStr">
        <is>
          <t>B0DBW19GXY</t>
        </is>
      </c>
      <c r="C19" s="39" t="inlineStr">
        <is>
          <t>SATIN-FITTED-QUEEN-GREY</t>
        </is>
      </c>
      <c r="D19" s="39" t="inlineStr">
        <is>
          <t>DECOLURE Satin Fitted Sheet Queen Size | Softer Than Silk | Luxury 1 Pc Set | Gentle on Hair &amp; Skin | Silky, Smooth Satin Weave | 15 In Deep Pocket w Corner Straps | Fitted Sheet Only | Grey</t>
        </is>
      </c>
      <c r="E19" s="39" t="inlineStr">
        <is>
          <t>Queen</t>
        </is>
      </c>
      <c r="F19" s="39" t="inlineStr">
        <is>
          <t>Grey</t>
        </is>
      </c>
      <c r="G19" s="73" t="n">
        <v>21.95</v>
      </c>
      <c r="H19" s="39" t="inlineStr">
        <is>
          <t>catalog price, 2026-10-13</t>
        </is>
      </c>
      <c r="I19" s="74" t="n">
        <v>17.95</v>
      </c>
      <c r="J19" s="75" t="inlineStr">
        <is>
          <t>2026-03-30</t>
        </is>
      </c>
      <c r="K19" s="40" t="n">
        <v>3.87</v>
      </c>
      <c r="L19" s="76" t="n">
        <v>0.2155988857938719</v>
      </c>
      <c r="M19" s="77" t="n">
        <v>49</v>
      </c>
      <c r="N19" s="39" t="inlineStr">
        <is>
          <t>Active</t>
        </is>
      </c>
      <c r="O19" s="39" t="n"/>
      <c r="P19" s="78" t="n">
        <v>4.5</v>
      </c>
      <c r="Q19" s="77" t="n">
        <v>1284</v>
      </c>
      <c r="R19" s="77" t="n">
        <v>29175</v>
      </c>
      <c r="S19" s="77" t="n">
        <v>70</v>
      </c>
      <c r="T19" s="39" t="n"/>
    </row>
    <row r="20" ht="62" customHeight="1">
      <c r="A20" s="12">
        <f>_xlfn.IMAGE("https://m.media-amazon.com/images/I/71bgU8vMQnL.jpg")</f>
        <v/>
      </c>
      <c r="B20" s="39" t="inlineStr">
        <is>
          <t>B0DBVZPPJ6</t>
        </is>
      </c>
      <c r="C20" s="39" t="inlineStr">
        <is>
          <t>SATIN-FITTED-QUEEN-PURPLE</t>
        </is>
      </c>
      <c r="D20" s="39" t="inlineStr">
        <is>
          <t>DECOLURE Satin Fitted Sheet Queen Size | Softer Than Silk | Luxury 1 Pc Set</t>
        </is>
      </c>
      <c r="E20" s="39" t="inlineStr">
        <is>
          <t>Queen</t>
        </is>
      </c>
      <c r="F20" s="39" t="inlineStr">
        <is>
          <t>Purple</t>
        </is>
      </c>
      <c r="G20" s="73" t="n">
        <v>21.95</v>
      </c>
      <c r="H20" s="39" t="inlineStr">
        <is>
          <t>catalog price, 2026-10-13</t>
        </is>
      </c>
      <c r="I20" s="74" t="n">
        <v>24.95</v>
      </c>
      <c r="J20" s="75" t="inlineStr">
        <is>
          <t>2026-03-30</t>
        </is>
      </c>
      <c r="K20" s="40" t="n">
        <v>10.72</v>
      </c>
      <c r="L20" s="76" t="n">
        <v>0.4296593186372746</v>
      </c>
      <c r="M20" s="77" t="n">
        <v>49</v>
      </c>
      <c r="N20" s="39" t="inlineStr">
        <is>
          <t>Active</t>
        </is>
      </c>
      <c r="O20" s="39" t="inlineStr">
        <is>
          <t>Yes (14%)</t>
        </is>
      </c>
      <c r="P20" s="78" t="n">
        <v>4.5</v>
      </c>
      <c r="Q20" s="77" t="n">
        <v>1284</v>
      </c>
      <c r="R20" s="77" t="n">
        <v>29169</v>
      </c>
      <c r="S20" s="77" t="n">
        <v>78</v>
      </c>
      <c r="T20" s="39" t="n"/>
    </row>
    <row r="21" ht="62" customHeight="1">
      <c r="A21" s="12">
        <f>_xlfn.IMAGE("https://m.media-amazon.com/images/I/71iVJQHaIBL.jpg")</f>
        <v/>
      </c>
      <c r="B21" s="39" t="inlineStr">
        <is>
          <t>B0DBVZ1Z2R</t>
        </is>
      </c>
      <c r="C21" s="39" t="inlineStr">
        <is>
          <t>SATIN-FITTED-KING-WHITE</t>
        </is>
      </c>
      <c r="D21" s="39" t="inlineStr">
        <is>
          <t>DECOLURE Satin Fitted Sheet King Size | Softer Than Silk | Luxury 1 Pc Set</t>
        </is>
      </c>
      <c r="E21" s="39" t="inlineStr">
        <is>
          <t>King</t>
        </is>
      </c>
      <c r="F21" s="39" t="inlineStr">
        <is>
          <t>White</t>
        </is>
      </c>
      <c r="G21" s="73" t="n">
        <v>22.95</v>
      </c>
      <c r="H21" s="39" t="inlineStr">
        <is>
          <t>catalog price, 2026-10-13</t>
        </is>
      </c>
      <c r="I21" s="74" t="n">
        <v>19.95</v>
      </c>
      <c r="J21" s="75" t="inlineStr">
        <is>
          <t>2026-03-30</t>
        </is>
      </c>
      <c r="K21" s="40" t="n">
        <v>5.480000000000001</v>
      </c>
      <c r="L21" s="76" t="n">
        <v>0.27468671679198</v>
      </c>
      <c r="M21" s="77" t="n">
        <v>38</v>
      </c>
      <c r="N21" s="39" t="inlineStr">
        <is>
          <t>Active</t>
        </is>
      </c>
      <c r="O21" s="39" t="n"/>
      <c r="P21" s="78" t="n">
        <v>4.5</v>
      </c>
      <c r="Q21" s="77" t="n">
        <v>1284</v>
      </c>
      <c r="R21" s="77" t="n">
        <v>29169</v>
      </c>
      <c r="S21" s="77" t="n">
        <v>35</v>
      </c>
      <c r="T21" s="39" t="n"/>
    </row>
    <row r="22" ht="62" customHeight="1">
      <c r="A22" s="12">
        <f>_xlfn.IMAGE("https://m.media-amazon.com/images/I/81mTp2BYSlL.jpg")</f>
        <v/>
      </c>
      <c r="B22" s="39" t="inlineStr">
        <is>
          <t>B0DBVYJJZ6</t>
        </is>
      </c>
      <c r="C22" s="39" t="inlineStr">
        <is>
          <t>SATIN-FITTED-QUEEN-RED</t>
        </is>
      </c>
      <c r="D22" s="39" t="inlineStr">
        <is>
          <t>DECOLURE Satin Fitted Sheet Queen Size | Softer Than Silk | Luxury 1 Pc Set</t>
        </is>
      </c>
      <c r="E22" s="39" t="inlineStr">
        <is>
          <t>Queen</t>
        </is>
      </c>
      <c r="F22" s="39" t="inlineStr">
        <is>
          <t>Red</t>
        </is>
      </c>
      <c r="G22" s="73" t="n">
        <v>21.95</v>
      </c>
      <c r="H22" s="39" t="inlineStr">
        <is>
          <t>catalog price, 2026-10-13</t>
        </is>
      </c>
      <c r="I22" s="74" t="n">
        <v>17.95</v>
      </c>
      <c r="J22" s="75" t="inlineStr">
        <is>
          <t>2026-03-30</t>
        </is>
      </c>
      <c r="K22" s="40" t="n">
        <v>4.990000000000001</v>
      </c>
      <c r="L22" s="76" t="n">
        <v>0.2779944289693594</v>
      </c>
      <c r="M22" s="77" t="n">
        <v>31</v>
      </c>
      <c r="N22" s="39" t="inlineStr">
        <is>
          <t>Active</t>
        </is>
      </c>
      <c r="O22" s="39" t="n"/>
      <c r="P22" s="78" t="n">
        <v>4.5</v>
      </c>
      <c r="Q22" s="77" t="n">
        <v>1284</v>
      </c>
      <c r="R22" s="77" t="n">
        <v>29169</v>
      </c>
      <c r="S22" s="77" t="n">
        <v>35</v>
      </c>
      <c r="T22" s="39" t="n"/>
    </row>
    <row r="23" ht="62" customHeight="1">
      <c r="A23" s="12">
        <f>_xlfn.IMAGE("https://m.media-amazon.com/images/I/81Zp5JX8nUL.jpg")</f>
        <v/>
      </c>
      <c r="B23" s="39" t="inlineStr">
        <is>
          <t>B0DBW151XC</t>
        </is>
      </c>
      <c r="C23" s="39" t="inlineStr">
        <is>
          <t>SATIN-FITTED-QUEEN-DARK-GREEN</t>
        </is>
      </c>
      <c r="D23" s="39" t="inlineStr">
        <is>
          <t>DECOLURE Satin Fitted Sheet Queen Size | Softer Than Silk | Luxury 1 Pc Set</t>
        </is>
      </c>
      <c r="E23" s="39" t="inlineStr">
        <is>
          <t>Queen</t>
        </is>
      </c>
      <c r="F23" s="39" t="inlineStr">
        <is>
          <t>Dark Green</t>
        </is>
      </c>
      <c r="G23" s="73" t="n">
        <v>21.95</v>
      </c>
      <c r="H23" s="39" t="inlineStr">
        <is>
          <t>catalog price, 2026-10-13</t>
        </is>
      </c>
      <c r="I23" s="74" t="n">
        <v>17.95</v>
      </c>
      <c r="J23" s="75" t="inlineStr">
        <is>
          <t>2026-03-30</t>
        </is>
      </c>
      <c r="K23" s="40" t="n">
        <v>4.920000000000001</v>
      </c>
      <c r="L23" s="76" t="n">
        <v>0.2740947075208914</v>
      </c>
      <c r="M23" s="77" t="n">
        <v>30</v>
      </c>
      <c r="N23" s="39" t="inlineStr">
        <is>
          <t>Active</t>
        </is>
      </c>
      <c r="O23" s="39" t="n"/>
      <c r="P23" s="78" t="n">
        <v>4.5</v>
      </c>
      <c r="Q23" s="77" t="n">
        <v>1284</v>
      </c>
      <c r="R23" s="77" t="n">
        <v>29169</v>
      </c>
      <c r="S23" s="77" t="n">
        <v>8</v>
      </c>
      <c r="T23" s="39" t="n"/>
    </row>
    <row r="24" ht="62" customHeight="1">
      <c r="A24" s="12">
        <f>_xlfn.IMAGE("https://m.media-amazon.com/images/I/81NguKiiueL.jpg")</f>
        <v/>
      </c>
      <c r="B24" s="39" t="inlineStr">
        <is>
          <t>B0DBW1NX31</t>
        </is>
      </c>
      <c r="C24" s="39" t="inlineStr">
        <is>
          <t>SATIN-FITTED-QUEEN-SAGE-GREEN</t>
        </is>
      </c>
      <c r="D24" s="39" t="inlineStr">
        <is>
          <t>DECOLURE Satin Fitted Sheet Queen Size | Softer Than Silk | Luxury 1 Pc Set</t>
        </is>
      </c>
      <c r="E24" s="39" t="inlineStr">
        <is>
          <t>Queen</t>
        </is>
      </c>
      <c r="F24" s="39" t="inlineStr">
        <is>
          <t>Sage Green</t>
        </is>
      </c>
      <c r="G24" s="73" t="n">
        <v>21.95</v>
      </c>
      <c r="H24" s="39" t="inlineStr">
        <is>
          <t>catalog price, 2026-10-13</t>
        </is>
      </c>
      <c r="I24" s="74" t="n">
        <v>17.95</v>
      </c>
      <c r="J24" s="75" t="inlineStr">
        <is>
          <t>2026-03-30</t>
        </is>
      </c>
      <c r="K24" s="40" t="n">
        <v>5.239999999999999</v>
      </c>
      <c r="L24" s="76" t="n">
        <v>0.2919220055710306</v>
      </c>
      <c r="M24" s="77" t="n">
        <v>24</v>
      </c>
      <c r="N24" s="39" t="inlineStr">
        <is>
          <t>Active</t>
        </is>
      </c>
      <c r="O24" s="39" t="n"/>
      <c r="P24" s="78" t="n">
        <v>4.5</v>
      </c>
      <c r="Q24" s="77" t="n">
        <v>1284</v>
      </c>
      <c r="R24" s="77" t="n">
        <v>29175</v>
      </c>
      <c r="S24" s="77" t="n">
        <v>33</v>
      </c>
      <c r="T24" s="39" t="n"/>
    </row>
    <row r="25" ht="62" customHeight="1">
      <c r="A25" s="12">
        <f>_xlfn.IMAGE("https://m.media-amazon.com/images/I/71q7X0GjqSL.jpg")</f>
        <v/>
      </c>
      <c r="B25" s="39" t="inlineStr">
        <is>
          <t>B0DBVZYXY9</t>
        </is>
      </c>
      <c r="C25" s="39" t="inlineStr">
        <is>
          <t>SATIN-FITTED-QUEEN-NAVY-BLUE</t>
        </is>
      </c>
      <c r="D25" s="39" t="inlineStr">
        <is>
          <t>DECOLURE Satin Fitted Sheet Queen Size | Softer Than Silk | Luxury 1 Pc Set</t>
        </is>
      </c>
      <c r="E25" s="39" t="inlineStr">
        <is>
          <t>Queen</t>
        </is>
      </c>
      <c r="F25" s="39" t="inlineStr">
        <is>
          <t>Navy Blue</t>
        </is>
      </c>
      <c r="G25" s="73" t="n">
        <v>21.95</v>
      </c>
      <c r="H25" s="39" t="inlineStr">
        <is>
          <t>catalog price, 2026-10-13</t>
        </is>
      </c>
      <c r="I25" s="74" t="n">
        <v>17.95</v>
      </c>
      <c r="J25" s="75" t="inlineStr">
        <is>
          <t>2026-03-30</t>
        </is>
      </c>
      <c r="K25" s="40" t="n">
        <v>4.859999999999999</v>
      </c>
      <c r="L25" s="76" t="n">
        <v>0.2707520891364902</v>
      </c>
      <c r="M25" s="77" t="n">
        <v>20</v>
      </c>
      <c r="N25" s="39" t="inlineStr">
        <is>
          <t>Active</t>
        </is>
      </c>
      <c r="O25" s="39" t="n"/>
      <c r="P25" s="78" t="n">
        <v>4.5</v>
      </c>
      <c r="Q25" s="77" t="n">
        <v>1284</v>
      </c>
      <c r="R25" s="77" t="n">
        <v>29175</v>
      </c>
      <c r="S25" s="77" t="n">
        <v>30</v>
      </c>
      <c r="T25" s="39" t="n"/>
    </row>
    <row r="26" ht="62" customHeight="1">
      <c r="A26" s="12">
        <f>_xlfn.IMAGE("https://m.media-amazon.com/images/I/71bgU8vMQnL.jpg")</f>
        <v/>
      </c>
      <c r="B26" s="39" t="inlineStr">
        <is>
          <t>B0DBVZJTGS</t>
        </is>
      </c>
      <c r="C26" s="39" t="inlineStr">
        <is>
          <t>SATIN-FITTED-KING-PURPLE</t>
        </is>
      </c>
      <c r="D26" s="39" t="inlineStr">
        <is>
          <t>DECOLURE Satin Fitted Sheet King Size | Softer Than Silk | Luxury 1 Pc Set</t>
        </is>
      </c>
      <c r="E26" s="39" t="inlineStr">
        <is>
          <t>King</t>
        </is>
      </c>
      <c r="F26" s="39" t="inlineStr">
        <is>
          <t>Purple</t>
        </is>
      </c>
      <c r="G26" s="73" t="n">
        <v>22.95</v>
      </c>
      <c r="H26" s="39" t="inlineStr">
        <is>
          <t>catalog price, 2026-10-13</t>
        </is>
      </c>
      <c r="I26" s="74" t="n">
        <v>19.95</v>
      </c>
      <c r="J26" s="75" t="inlineStr">
        <is>
          <t>2026-03-30</t>
        </is>
      </c>
      <c r="K26" s="40" t="n">
        <v>5.8</v>
      </c>
      <c r="L26" s="76" t="n">
        <v>0.2907268170426065</v>
      </c>
      <c r="M26" s="77" t="n">
        <v>18</v>
      </c>
      <c r="N26" s="39" t="inlineStr">
        <is>
          <t>Active</t>
        </is>
      </c>
      <c r="O26" s="39" t="n"/>
      <c r="P26" s="78" t="n">
        <v>4.5</v>
      </c>
      <c r="Q26" s="77" t="n">
        <v>1284</v>
      </c>
      <c r="R26" s="77" t="n">
        <v>29175</v>
      </c>
      <c r="S26" s="77" t="n">
        <v>4</v>
      </c>
      <c r="T26" s="39" t="n"/>
    </row>
    <row r="27" ht="62" customHeight="1">
      <c r="A27" s="12">
        <f>_xlfn.IMAGE("https://m.media-amazon.com/images/I/714ktb3sY+L.jpg")</f>
        <v/>
      </c>
      <c r="B27" s="39" t="inlineStr">
        <is>
          <t>B0DBW2G5JS</t>
        </is>
      </c>
      <c r="C27" s="39" t="inlineStr">
        <is>
          <t>SATIN-FITTED-KING-IVORY</t>
        </is>
      </c>
      <c r="D27" s="39" t="inlineStr">
        <is>
          <t>DECOLURE Satin Fitted Sheet King Size | Softer Than Silk | Luxury 1 Pc Set</t>
        </is>
      </c>
      <c r="E27" s="39" t="inlineStr">
        <is>
          <t>King</t>
        </is>
      </c>
      <c r="F27" s="39" t="inlineStr">
        <is>
          <t>Ivory</t>
        </is>
      </c>
      <c r="G27" s="73" t="n">
        <v>22.95</v>
      </c>
      <c r="H27" s="39" t="inlineStr">
        <is>
          <t>catalog price, 2026-10-13</t>
        </is>
      </c>
      <c r="I27" s="74" t="n">
        <v>19.95</v>
      </c>
      <c r="J27" s="75" t="inlineStr">
        <is>
          <t>2026-03-30</t>
        </is>
      </c>
      <c r="K27" s="40" t="n">
        <v>5.190000000000001</v>
      </c>
      <c r="L27" s="76" t="n">
        <v>0.2601503759398497</v>
      </c>
      <c r="M27" s="77" t="n">
        <v>17</v>
      </c>
      <c r="N27" s="39" t="inlineStr">
        <is>
          <t>Active</t>
        </is>
      </c>
      <c r="O27" s="39" t="n"/>
      <c r="P27" s="78" t="n">
        <v>4.5</v>
      </c>
      <c r="Q27" s="77" t="n">
        <v>1284</v>
      </c>
      <c r="R27" s="77" t="n">
        <v>29175</v>
      </c>
      <c r="S27" s="77" t="n">
        <v>3</v>
      </c>
      <c r="T27" s="39" t="n"/>
    </row>
    <row r="28" ht="62" customHeight="1">
      <c r="A28" s="12">
        <f>_xlfn.IMAGE("https://m.media-amazon.com/images/I/71q7X0GjqSL.jpg")</f>
        <v/>
      </c>
      <c r="B28" s="39" t="inlineStr">
        <is>
          <t>B0DBW336HD</t>
        </is>
      </c>
      <c r="C28" s="39" t="inlineStr">
        <is>
          <t>SATIN-FITTED-KING-NAVY-BLUE</t>
        </is>
      </c>
      <c r="D28" s="39" t="inlineStr">
        <is>
          <t>DECOLURE Satin Fitted Sheet King Size | Softer Than Silk | Luxury 1 Pc Set</t>
        </is>
      </c>
      <c r="E28" s="39" t="inlineStr">
        <is>
          <t>King</t>
        </is>
      </c>
      <c r="F28" s="39" t="inlineStr">
        <is>
          <t>Navy Blue</t>
        </is>
      </c>
      <c r="G28" s="73" t="n">
        <v>22.95</v>
      </c>
      <c r="H28" s="39" t="inlineStr">
        <is>
          <t>catalog price, 2026-10-13</t>
        </is>
      </c>
      <c r="I28" s="74" t="n">
        <v>19.95</v>
      </c>
      <c r="J28" s="75" t="inlineStr">
        <is>
          <t>2026-03-30</t>
        </is>
      </c>
      <c r="K28" s="40" t="n">
        <v>5.45</v>
      </c>
      <c r="L28" s="76" t="n">
        <v>0.2731829573934837</v>
      </c>
      <c r="M28" s="77" t="n">
        <v>17</v>
      </c>
      <c r="N28" s="39" t="inlineStr">
        <is>
          <t>Active</t>
        </is>
      </c>
      <c r="O28" s="39" t="n"/>
      <c r="P28" s="78" t="n">
        <v>4.5</v>
      </c>
      <c r="Q28" s="77" t="n">
        <v>1284</v>
      </c>
      <c r="R28" s="77" t="n">
        <v>29169</v>
      </c>
      <c r="S28" s="77" t="n">
        <v>4</v>
      </c>
      <c r="T28" s="39" t="n"/>
    </row>
    <row r="29" ht="62" customHeight="1">
      <c r="A29" s="12">
        <f>_xlfn.IMAGE("https://m.media-amazon.com/images/I/81mTp2BYSlL.jpg")</f>
        <v/>
      </c>
      <c r="B29" s="39" t="inlineStr">
        <is>
          <t>B0DBW1M6RN</t>
        </is>
      </c>
      <c r="C29" s="39" t="inlineStr">
        <is>
          <t>SATIN-FITTED-KING-RED</t>
        </is>
      </c>
      <c r="D29" s="39" t="inlineStr">
        <is>
          <t>DECOLURE Satin Fitted Sheet King Size | Softer Than Silk | Luxury 1 Pc Set</t>
        </is>
      </c>
      <c r="E29" s="39" t="inlineStr">
        <is>
          <t>King</t>
        </is>
      </c>
      <c r="F29" s="39" t="inlineStr">
        <is>
          <t>Red</t>
        </is>
      </c>
      <c r="G29" s="73" t="n">
        <v>22.95</v>
      </c>
      <c r="H29" s="39" t="inlineStr">
        <is>
          <t>catalog price, 2026-10-13</t>
        </is>
      </c>
      <c r="I29" s="74" t="n">
        <v>19.95</v>
      </c>
      <c r="J29" s="75" t="inlineStr">
        <is>
          <t>2026-03-30</t>
        </is>
      </c>
      <c r="K29" s="40" t="n">
        <v>5.730000000000001</v>
      </c>
      <c r="L29" s="76" t="n">
        <v>0.287218045112782</v>
      </c>
      <c r="M29" s="77" t="n">
        <v>17</v>
      </c>
      <c r="N29" s="39" t="inlineStr">
        <is>
          <t>Active</t>
        </is>
      </c>
      <c r="O29" s="39" t="inlineStr">
        <is>
          <t>Yes (13%)</t>
        </is>
      </c>
      <c r="P29" s="78" t="n">
        <v>4.5</v>
      </c>
      <c r="Q29" s="77" t="n">
        <v>1284</v>
      </c>
      <c r="R29" s="77" t="n">
        <v>29169</v>
      </c>
      <c r="S29" s="77" t="n">
        <v>3</v>
      </c>
      <c r="T29" s="39" t="n"/>
    </row>
    <row r="30" ht="62" customHeight="1">
      <c r="A30" s="12">
        <f>_xlfn.IMAGE("https://m.media-amazon.com/images/I/81hiVG9bW0L.jpg")</f>
        <v/>
      </c>
      <c r="B30" s="39" t="inlineStr">
        <is>
          <t>B0DBW47GVG</t>
        </is>
      </c>
      <c r="C30" s="39" t="inlineStr">
        <is>
          <t>SATIN-FITTED-QUEEN-PINK</t>
        </is>
      </c>
      <c r="D30" s="39" t="inlineStr">
        <is>
          <t>DECOLURE Satin Fitted Sheet Queen Size | Softer Than Silk | Luxury 1 Pc Set</t>
        </is>
      </c>
      <c r="E30" s="39" t="inlineStr">
        <is>
          <t>Queen</t>
        </is>
      </c>
      <c r="F30" s="39" t="inlineStr">
        <is>
          <t>Pink</t>
        </is>
      </c>
      <c r="G30" s="73" t="n">
        <v>21.95</v>
      </c>
      <c r="H30" s="39" t="inlineStr">
        <is>
          <t>catalog price, 2026-10-13</t>
        </is>
      </c>
      <c r="I30" s="74" t="n">
        <v>24.95</v>
      </c>
      <c r="J30" s="75" t="inlineStr">
        <is>
          <t>2026-03-30</t>
        </is>
      </c>
      <c r="K30" s="40" t="n">
        <v>10.62</v>
      </c>
      <c r="L30" s="76" t="n">
        <v>0.4256513026052104</v>
      </c>
      <c r="M30" s="77" t="n">
        <v>16</v>
      </c>
      <c r="N30" s="39" t="inlineStr">
        <is>
          <t>Active</t>
        </is>
      </c>
      <c r="O30" s="39" t="n"/>
      <c r="P30" s="78" t="n">
        <v>4.5</v>
      </c>
      <c r="Q30" s="77" t="n">
        <v>1284</v>
      </c>
      <c r="R30" s="77" t="n">
        <v>29175</v>
      </c>
      <c r="S30" s="77" t="n">
        <v>30</v>
      </c>
      <c r="T30" s="39" t="n"/>
    </row>
    <row r="31" ht="62" customHeight="1">
      <c r="A31" s="12">
        <f>_xlfn.IMAGE("https://m.media-amazon.com/images/I/81URVcoc9pL.jpg")</f>
        <v/>
      </c>
      <c r="B31" s="39" t="inlineStr">
        <is>
          <t>B0DBVZBLDK</t>
        </is>
      </c>
      <c r="C31" s="39" t="inlineStr">
        <is>
          <t>SATIN-FITTED-QUEEN-BLUSH-PINK</t>
        </is>
      </c>
      <c r="D31" s="39" t="inlineStr">
        <is>
          <t>DECOLURE Satin Fitted Sheet Queen Size | Softer Than Silk | Luxury 1 Pc Set</t>
        </is>
      </c>
      <c r="E31" s="39" t="inlineStr">
        <is>
          <t>Queen</t>
        </is>
      </c>
      <c r="F31" s="39" t="inlineStr">
        <is>
          <t>Blush Pink</t>
        </is>
      </c>
      <c r="G31" s="73" t="n">
        <v>21.95</v>
      </c>
      <c r="H31" s="39" t="inlineStr">
        <is>
          <t>catalog price, 2026-10-13</t>
        </is>
      </c>
      <c r="I31" s="74" t="n">
        <v>17.95</v>
      </c>
      <c r="J31" s="75" t="inlineStr">
        <is>
          <t>2026-03-30</t>
        </is>
      </c>
      <c r="K31" s="40" t="n">
        <v>5.109999999999999</v>
      </c>
      <c r="L31" s="76" t="n">
        <v>0.2846796657381616</v>
      </c>
      <c r="M31" s="77" t="n">
        <v>15</v>
      </c>
      <c r="N31" s="39" t="inlineStr">
        <is>
          <t>Active</t>
        </is>
      </c>
      <c r="O31" s="39" t="n"/>
      <c r="P31" s="78" t="n">
        <v>4.5</v>
      </c>
      <c r="Q31" s="77" t="n">
        <v>1284</v>
      </c>
      <c r="R31" s="77" t="n">
        <v>29169</v>
      </c>
      <c r="S31" s="77" t="n">
        <v>24</v>
      </c>
      <c r="T31" s="39" t="n"/>
    </row>
    <row r="32" ht="62" customHeight="1">
      <c r="A32" s="12">
        <f>_xlfn.IMAGE("https://m.media-amazon.com/images/I/818qIvZ2yIL.jpg")</f>
        <v/>
      </c>
      <c r="B32" s="39" t="inlineStr">
        <is>
          <t>B0DBVZZH8S</t>
        </is>
      </c>
      <c r="C32" s="39" t="inlineStr">
        <is>
          <t>SATIN-FITTED-QUEEN-GOLD</t>
        </is>
      </c>
      <c r="D32" s="39" t="inlineStr">
        <is>
          <t>DECOLURE Satin Fitted Sheet Queen Size | Softer Than Silk | Luxury 1 Pc Set</t>
        </is>
      </c>
      <c r="E32" s="39" t="inlineStr">
        <is>
          <t>Queen</t>
        </is>
      </c>
      <c r="F32" s="39" t="inlineStr">
        <is>
          <t>Gold</t>
        </is>
      </c>
      <c r="G32" s="73" t="n">
        <v>21.95</v>
      </c>
      <c r="H32" s="39" t="inlineStr">
        <is>
          <t>catalog price, 2026-10-13</t>
        </is>
      </c>
      <c r="I32" s="74" t="n">
        <v>17.95</v>
      </c>
      <c r="J32" s="75" t="inlineStr">
        <is>
          <t>2026-03-30</t>
        </is>
      </c>
      <c r="K32" s="40" t="n">
        <v>4.61</v>
      </c>
      <c r="L32" s="76" t="n">
        <v>0.256824512534819</v>
      </c>
      <c r="M32" s="77" t="n">
        <v>15</v>
      </c>
      <c r="N32" s="39" t="inlineStr">
        <is>
          <t>Active</t>
        </is>
      </c>
      <c r="O32" s="39" t="n"/>
      <c r="P32" s="78" t="n">
        <v>4.5</v>
      </c>
      <c r="Q32" s="77" t="n">
        <v>1284</v>
      </c>
      <c r="R32" s="77" t="n">
        <v>29169</v>
      </c>
      <c r="S32" s="77" t="n">
        <v>5</v>
      </c>
      <c r="T32" s="39" t="n"/>
    </row>
    <row r="33" ht="62" customHeight="1">
      <c r="A33" s="12">
        <f>_xlfn.IMAGE("https://m.media-amazon.com/images/I/81r1IG1mOIL.jpg")</f>
        <v/>
      </c>
      <c r="B33" s="39" t="inlineStr">
        <is>
          <t>B0DBW47GVH</t>
        </is>
      </c>
      <c r="C33" s="39" t="inlineStr">
        <is>
          <t>SATIN-FITTED-QUEEN-LAVENDER</t>
        </is>
      </c>
      <c r="D33" s="39" t="inlineStr">
        <is>
          <t>DECOLURE Satin Fitted Sheet Queen Size | Softer Than Silk | Luxury 1 Pc Set</t>
        </is>
      </c>
      <c r="E33" s="39" t="inlineStr">
        <is>
          <t>Queen</t>
        </is>
      </c>
      <c r="F33" s="39" t="inlineStr">
        <is>
          <t>Lavender</t>
        </is>
      </c>
      <c r="G33" s="73" t="n">
        <v>21.95</v>
      </c>
      <c r="H33" s="39" t="inlineStr">
        <is>
          <t>catalog price, 2026-10-13</t>
        </is>
      </c>
      <c r="I33" s="74" t="n">
        <v>17.95</v>
      </c>
      <c r="J33" s="75" t="inlineStr">
        <is>
          <t>2026-03-30</t>
        </is>
      </c>
      <c r="K33" s="40" t="n">
        <v>4.910000000000001</v>
      </c>
      <c r="L33" s="76" t="n">
        <v>0.2735376044568246</v>
      </c>
      <c r="M33" s="77" t="n">
        <v>15</v>
      </c>
      <c r="N33" s="39" t="inlineStr">
        <is>
          <t>Active</t>
        </is>
      </c>
      <c r="O33" s="39" t="n"/>
      <c r="P33" s="78" t="n">
        <v>4.5</v>
      </c>
      <c r="Q33" s="77" t="n">
        <v>1284</v>
      </c>
      <c r="R33" s="77" t="n">
        <v>29175</v>
      </c>
      <c r="S33" s="77" t="n">
        <v>8</v>
      </c>
      <c r="T33" s="39" t="n"/>
    </row>
    <row r="34" ht="62" customHeight="1">
      <c r="A34" s="12">
        <f>_xlfn.IMAGE("https://m.media-amazon.com/images/I/81NguKiiueL.jpg")</f>
        <v/>
      </c>
      <c r="B34" s="39" t="inlineStr">
        <is>
          <t>B0DBW2LXQY</t>
        </is>
      </c>
      <c r="C34" s="39" t="inlineStr">
        <is>
          <t>SATIN-FITTED-FULL-SAGE-GREEN</t>
        </is>
      </c>
      <c r="D34" s="39" t="inlineStr">
        <is>
          <t>DECOLURE Satin Fitted Sheet Full Size | Softer Than Silk | Luxury 1 Pc Set</t>
        </is>
      </c>
      <c r="E34" s="39" t="inlineStr">
        <is>
          <t>Full</t>
        </is>
      </c>
      <c r="F34" s="39" t="inlineStr">
        <is>
          <t>Sage Green</t>
        </is>
      </c>
      <c r="G34" s="73" t="n">
        <v>20.95</v>
      </c>
      <c r="H34" s="39" t="inlineStr">
        <is>
          <t>catalog price, 2026-10-13</t>
        </is>
      </c>
      <c r="I34" s="74" t="n">
        <v>17.95</v>
      </c>
      <c r="J34" s="75" t="inlineStr">
        <is>
          <t>2026-03-30</t>
        </is>
      </c>
      <c r="K34" s="40" t="n">
        <v>5.44</v>
      </c>
      <c r="L34" s="76" t="n">
        <v>0.3030640668523677</v>
      </c>
      <c r="M34" s="77" t="n">
        <v>14</v>
      </c>
      <c r="N34" s="39" t="inlineStr">
        <is>
          <t>Active</t>
        </is>
      </c>
      <c r="O34" s="39" t="n"/>
      <c r="P34" s="78" t="n">
        <v>4.5</v>
      </c>
      <c r="Q34" s="77" t="n">
        <v>1284</v>
      </c>
      <c r="R34" s="77" t="n">
        <v>29169</v>
      </c>
      <c r="S34" s="77" t="n">
        <v>11</v>
      </c>
      <c r="T34" s="39" t="n"/>
    </row>
    <row r="35" ht="62" customHeight="1">
      <c r="A35" s="12">
        <f>_xlfn.IMAGE("https://m.media-amazon.com/images/I/81RiAVYjy-L.jpg")</f>
        <v/>
      </c>
      <c r="B35" s="39" t="inlineStr">
        <is>
          <t>B0DBVYF4DM</t>
        </is>
      </c>
      <c r="C35" s="39" t="inlineStr">
        <is>
          <t>SATIN-FITTED-KING-STONE-GREY</t>
        </is>
      </c>
      <c r="D35" s="39" t="inlineStr">
        <is>
          <t>DECOLURE Satin Fitted Sheet King Size | Softer Than Silk | Luxury 1 Pc Set</t>
        </is>
      </c>
      <c r="E35" s="39" t="inlineStr">
        <is>
          <t>King</t>
        </is>
      </c>
      <c r="F35" s="39" t="inlineStr">
        <is>
          <t>Stone Grey</t>
        </is>
      </c>
      <c r="G35" s="40" t="n"/>
      <c r="H35" s="39" t="n"/>
      <c r="I35" s="74" t="n">
        <v>19.95</v>
      </c>
      <c r="J35" s="75" t="inlineStr">
        <is>
          <t>2026-03-30</t>
        </is>
      </c>
      <c r="K35" s="40" t="n">
        <v>5.610000000000002</v>
      </c>
      <c r="L35" s="76" t="n">
        <v>0.2812030075187971</v>
      </c>
      <c r="M35" s="77" t="n">
        <v>14</v>
      </c>
      <c r="N35" s="39" t="inlineStr">
        <is>
          <t>Inactive</t>
        </is>
      </c>
      <c r="O35" s="39" t="n"/>
      <c r="P35" s="78" t="n"/>
      <c r="Q35" s="77" t="n"/>
      <c r="R35" s="77" t="n"/>
      <c r="S35" s="77" t="n"/>
      <c r="T35" s="39" t="n"/>
    </row>
    <row r="36" ht="62" customHeight="1">
      <c r="A36" s="12">
        <f>_xlfn.IMAGE("https://m.media-amazon.com/images/I/812QjIl2c0L.jpg")</f>
        <v/>
      </c>
      <c r="B36" s="39" t="inlineStr">
        <is>
          <t>B0DBVZV66D</t>
        </is>
      </c>
      <c r="C36" s="39" t="inlineStr">
        <is>
          <t>SATIN-FITTED-FULL-BABY-BLUE</t>
        </is>
      </c>
      <c r="D36" s="39" t="inlineStr">
        <is>
          <t>DECOLURE Satin Fitted Sheet Full Size | Softer Than Silk | Luxury 1 Pc Set</t>
        </is>
      </c>
      <c r="E36" s="39" t="inlineStr">
        <is>
          <t>Full</t>
        </is>
      </c>
      <c r="F36" s="39" t="inlineStr">
        <is>
          <t>Baby Blue</t>
        </is>
      </c>
      <c r="G36" s="73" t="n">
        <v>20.95</v>
      </c>
      <c r="H36" s="39" t="inlineStr">
        <is>
          <t>catalog price, 2026-10-13</t>
        </is>
      </c>
      <c r="I36" s="74" t="n">
        <v>17.95</v>
      </c>
      <c r="J36" s="75" t="inlineStr">
        <is>
          <t>2026-03-30</t>
        </is>
      </c>
      <c r="K36" s="40" t="n">
        <v>5.220000000000001</v>
      </c>
      <c r="L36" s="76" t="n">
        <v>0.290807799442897</v>
      </c>
      <c r="M36" s="77" t="n">
        <v>13</v>
      </c>
      <c r="N36" s="39" t="inlineStr">
        <is>
          <t>Active</t>
        </is>
      </c>
      <c r="O36" s="39" t="n"/>
      <c r="P36" s="78" t="n">
        <v>4.5</v>
      </c>
      <c r="Q36" s="77" t="n">
        <v>1284</v>
      </c>
      <c r="R36" s="77" t="n">
        <v>29169</v>
      </c>
      <c r="S36" s="77" t="n">
        <v>8</v>
      </c>
      <c r="T36" s="39" t="n"/>
    </row>
    <row r="37" ht="62" customHeight="1">
      <c r="A37" s="12">
        <f>_xlfn.IMAGE("https://m.media-amazon.com/images/I/81RiAVYjy-L.jpg")</f>
        <v/>
      </c>
      <c r="B37" s="39" t="inlineStr">
        <is>
          <t>B0DBVZZZ7B</t>
        </is>
      </c>
      <c r="C37" s="39" t="inlineStr">
        <is>
          <t>SATIN-FITTED-FULL-STONE-GREY</t>
        </is>
      </c>
      <c r="D37" s="39" t="inlineStr">
        <is>
          <t>DECOLURE Satin Fitted Sheet Full Size | Softer Than Silk | Luxury 1 Pc Set</t>
        </is>
      </c>
      <c r="E37" s="39" t="inlineStr">
        <is>
          <t>Full</t>
        </is>
      </c>
      <c r="F37" s="39" t="inlineStr">
        <is>
          <t>Stone Grey</t>
        </is>
      </c>
      <c r="G37" s="73" t="n">
        <v>20.95</v>
      </c>
      <c r="H37" s="39" t="inlineStr">
        <is>
          <t>catalog price, 2026-10-13</t>
        </is>
      </c>
      <c r="I37" s="74" t="n">
        <v>17.95</v>
      </c>
      <c r="J37" s="75" t="inlineStr">
        <is>
          <t>2026-03-30</t>
        </is>
      </c>
      <c r="K37" s="40" t="n">
        <v>5.259999999999999</v>
      </c>
      <c r="L37" s="76" t="n">
        <v>0.2930362116991643</v>
      </c>
      <c r="M37" s="77" t="n">
        <v>12</v>
      </c>
      <c r="N37" s="39" t="inlineStr">
        <is>
          <t>Active</t>
        </is>
      </c>
      <c r="O37" s="39" t="n"/>
      <c r="P37" s="78" t="n">
        <v>4.5</v>
      </c>
      <c r="Q37" s="77" t="n">
        <v>1284</v>
      </c>
      <c r="R37" s="77" t="n">
        <v>29175</v>
      </c>
      <c r="S37" s="77" t="n">
        <v>8</v>
      </c>
      <c r="T37" s="39" t="n"/>
    </row>
    <row r="38" ht="62" customHeight="1">
      <c r="A38" s="12">
        <f>_xlfn.IMAGE("https://m.media-amazon.com/images/I/81r1IG1mOIL.jpg")</f>
        <v/>
      </c>
      <c r="B38" s="39" t="inlineStr">
        <is>
          <t>B0DBW1NXMH</t>
        </is>
      </c>
      <c r="C38" s="39" t="inlineStr">
        <is>
          <t>SATIN-FITTED-FULL-LAVENDER</t>
        </is>
      </c>
      <c r="D38" s="39" t="inlineStr">
        <is>
          <t>DECOLURE Satin Fitted Sheet Full Size | Softer Than Silk | Luxury 1 Pc Set</t>
        </is>
      </c>
      <c r="E38" s="39" t="inlineStr">
        <is>
          <t>Full</t>
        </is>
      </c>
      <c r="F38" s="39" t="inlineStr">
        <is>
          <t>Lavender</t>
        </is>
      </c>
      <c r="G38" s="73" t="n">
        <v>20.95</v>
      </c>
      <c r="H38" s="39" t="inlineStr">
        <is>
          <t>catalog price, 2026-10-13</t>
        </is>
      </c>
      <c r="I38" s="74" t="n">
        <v>17.95</v>
      </c>
      <c r="J38" s="75" t="inlineStr">
        <is>
          <t>2026-03-30</t>
        </is>
      </c>
      <c r="K38" s="40" t="n">
        <v>5.529999999999999</v>
      </c>
      <c r="L38" s="76" t="n">
        <v>0.3080779944289693</v>
      </c>
      <c r="M38" s="77" t="n">
        <v>11</v>
      </c>
      <c r="N38" s="39" t="inlineStr">
        <is>
          <t>Active</t>
        </is>
      </c>
      <c r="O38" s="39" t="inlineStr">
        <is>
          <t>Yes (11%)</t>
        </is>
      </c>
      <c r="P38" s="78" t="n">
        <v>4.5</v>
      </c>
      <c r="Q38" s="77" t="n">
        <v>1284</v>
      </c>
      <c r="R38" s="77" t="n">
        <v>29169</v>
      </c>
      <c r="S38" s="77" t="n">
        <v>8</v>
      </c>
      <c r="T38" s="39" t="n"/>
    </row>
    <row r="39" ht="62" customHeight="1">
      <c r="A39" s="12">
        <f>_xlfn.IMAGE("https://m.media-amazon.com/images/I/71bgU8vMQnL.jpg")</f>
        <v/>
      </c>
      <c r="B39" s="39" t="inlineStr">
        <is>
          <t>B0DBVZGV7Y</t>
        </is>
      </c>
      <c r="C39" s="39" t="inlineStr">
        <is>
          <t>SATIN-FITTED-FULL-PURPLE</t>
        </is>
      </c>
      <c r="D39" s="39" t="inlineStr">
        <is>
          <t>DECOLURE Satin Fitted Sheet Full Size | Softer Than Silk | Luxury 1 Pc Set</t>
        </is>
      </c>
      <c r="E39" s="39" t="inlineStr">
        <is>
          <t>Full</t>
        </is>
      </c>
      <c r="F39" s="39" t="inlineStr">
        <is>
          <t>Purple</t>
        </is>
      </c>
      <c r="G39" s="73" t="n">
        <v>20.95</v>
      </c>
      <c r="H39" s="39" t="inlineStr">
        <is>
          <t>catalog price, 2026-10-13</t>
        </is>
      </c>
      <c r="I39" s="74" t="n">
        <v>17.95</v>
      </c>
      <c r="J39" s="75" t="inlineStr">
        <is>
          <t>2026-03-30</t>
        </is>
      </c>
      <c r="K39" s="40" t="n">
        <v>5.609999999999999</v>
      </c>
      <c r="L39" s="76" t="n">
        <v>0.3125348189415041</v>
      </c>
      <c r="M39" s="77" t="n">
        <v>11</v>
      </c>
      <c r="N39" s="39" t="inlineStr">
        <is>
          <t>Active</t>
        </is>
      </c>
      <c r="O39" s="39" t="n"/>
      <c r="P39" s="78" t="n">
        <v>4.5</v>
      </c>
      <c r="Q39" s="77" t="n">
        <v>1284</v>
      </c>
      <c r="R39" s="77" t="n">
        <v>29175</v>
      </c>
      <c r="S39" s="77" t="n">
        <v>8</v>
      </c>
      <c r="T39" s="39" t="n"/>
    </row>
    <row r="40" ht="62" customHeight="1">
      <c r="A40" s="12">
        <f>_xlfn.IMAGE("https://m.media-amazon.com/images/I/81Zp5JX8nUL.jpg")</f>
        <v/>
      </c>
      <c r="B40" s="39" t="inlineStr">
        <is>
          <t>B0DBVYYWX3</t>
        </is>
      </c>
      <c r="C40" s="39" t="inlineStr">
        <is>
          <t>SATIN-FITTED-KING-DARK-GREEN</t>
        </is>
      </c>
      <c r="D40" s="39" t="inlineStr">
        <is>
          <t>DECOLURE Satin Fitted Sheet King Size | Softer Than Silk | Luxury 1 Pc Set</t>
        </is>
      </c>
      <c r="E40" s="39" t="inlineStr">
        <is>
          <t>King</t>
        </is>
      </c>
      <c r="F40" s="39" t="inlineStr">
        <is>
          <t>Dark Green</t>
        </is>
      </c>
      <c r="G40" s="73" t="n">
        <v>22.95</v>
      </c>
      <c r="H40" s="39" t="inlineStr">
        <is>
          <t>catalog price, 2026-10-13</t>
        </is>
      </c>
      <c r="I40" s="74" t="n">
        <v>19.95</v>
      </c>
      <c r="J40" s="75" t="inlineStr">
        <is>
          <t>2026-03-30</t>
        </is>
      </c>
      <c r="K40" s="40" t="n">
        <v>5.590000000000002</v>
      </c>
      <c r="L40" s="76" t="n">
        <v>0.2802005012531329</v>
      </c>
      <c r="M40" s="77" t="n">
        <v>11</v>
      </c>
      <c r="N40" s="39" t="inlineStr">
        <is>
          <t>Active</t>
        </is>
      </c>
      <c r="O40" s="39" t="n"/>
      <c r="P40" s="78" t="n">
        <v>4.5</v>
      </c>
      <c r="Q40" s="77" t="n">
        <v>1284</v>
      </c>
      <c r="R40" s="77" t="n">
        <v>29169</v>
      </c>
      <c r="S40" s="77" t="n">
        <v>5</v>
      </c>
      <c r="T40" s="39" t="n"/>
    </row>
    <row r="41" ht="62" customHeight="1">
      <c r="A41" s="12">
        <f>_xlfn.IMAGE("https://m.media-amazon.com/images/I/71TuVlzH09L.jpg")</f>
        <v/>
      </c>
      <c r="B41" s="39" t="inlineStr">
        <is>
          <t>B0DBVY6P25</t>
        </is>
      </c>
      <c r="C41" s="39" t="inlineStr">
        <is>
          <t>SATIN-FITTED-KING-GREY</t>
        </is>
      </c>
      <c r="D41" s="39" t="n"/>
      <c r="E41" s="39" t="inlineStr">
        <is>
          <t>King</t>
        </is>
      </c>
      <c r="F41" s="39" t="inlineStr">
        <is>
          <t>Grey</t>
        </is>
      </c>
      <c r="G41" s="40" t="n"/>
      <c r="H41" s="39" t="n"/>
      <c r="I41" s="74" t="n">
        <v>18.95</v>
      </c>
      <c r="J41" s="75" t="inlineStr">
        <is>
          <t>2026-03-30</t>
        </is>
      </c>
      <c r="K41" s="40" t="n">
        <v>4.699999999999999</v>
      </c>
      <c r="L41" s="76" t="n">
        <v>0.2480211081794195</v>
      </c>
      <c r="M41" s="77" t="n">
        <v>11</v>
      </c>
      <c r="N41" s="39" t="n"/>
      <c r="O41" s="39" t="n"/>
      <c r="P41" s="78" t="n"/>
      <c r="Q41" s="77" t="n"/>
      <c r="R41" s="77" t="n"/>
      <c r="S41" s="77" t="n"/>
      <c r="T41" s="39" t="n"/>
    </row>
    <row r="42" ht="62" customHeight="1">
      <c r="A42" s="12">
        <f>_xlfn.IMAGE("https://m.media-amazon.com/images/I/81r1IG1mOIL.jpg")</f>
        <v/>
      </c>
      <c r="B42" s="39" t="inlineStr">
        <is>
          <t>B0DBW1FPBT</t>
        </is>
      </c>
      <c r="C42" s="39" t="inlineStr">
        <is>
          <t>SATIN-FITTED-KING-LAVENDER</t>
        </is>
      </c>
      <c r="D42" s="39" t="inlineStr">
        <is>
          <t>DECOLURE Satin Fitted Sheet King Size | Softer Than Silk | Luxury 1 Pc Set</t>
        </is>
      </c>
      <c r="E42" s="39" t="inlineStr">
        <is>
          <t>King</t>
        </is>
      </c>
      <c r="F42" s="39" t="inlineStr">
        <is>
          <t>Lavender</t>
        </is>
      </c>
      <c r="G42" s="73" t="n">
        <v>22.95</v>
      </c>
      <c r="H42" s="39" t="inlineStr">
        <is>
          <t>catalog price, 2026-10-13</t>
        </is>
      </c>
      <c r="I42" s="74" t="n">
        <v>19.95</v>
      </c>
      <c r="J42" s="75" t="inlineStr">
        <is>
          <t>2026-03-30</t>
        </is>
      </c>
      <c r="K42" s="40" t="n">
        <v>5.63</v>
      </c>
      <c r="L42" s="76" t="n">
        <v>0.2822055137844612</v>
      </c>
      <c r="M42" s="77" t="n">
        <v>11</v>
      </c>
      <c r="N42" s="39" t="inlineStr">
        <is>
          <t>Active</t>
        </is>
      </c>
      <c r="O42" s="39" t="n"/>
      <c r="P42" s="78" t="n">
        <v>4.5</v>
      </c>
      <c r="Q42" s="77" t="n">
        <v>1284</v>
      </c>
      <c r="R42" s="77" t="n">
        <v>29169</v>
      </c>
      <c r="S42" s="77" t="n">
        <v>3</v>
      </c>
      <c r="T42" s="39" t="n"/>
    </row>
    <row r="43" ht="62" customHeight="1">
      <c r="A43" s="12">
        <f>_xlfn.IMAGE("https://m.media-amazon.com/images/I/81hiVG9bW0L.jpg")</f>
        <v/>
      </c>
      <c r="B43" s="39" t="inlineStr">
        <is>
          <t>B0DBW17V8N</t>
        </is>
      </c>
      <c r="C43" s="39" t="inlineStr">
        <is>
          <t>SATIN-FITTED-KING-PINK</t>
        </is>
      </c>
      <c r="D43" s="39" t="inlineStr">
        <is>
          <t>DECOLURE Satin Fitted Sheet King Size | Softer Than Silk | Luxury 1 Pc Set</t>
        </is>
      </c>
      <c r="E43" s="39" t="inlineStr">
        <is>
          <t>King</t>
        </is>
      </c>
      <c r="F43" s="39" t="inlineStr">
        <is>
          <t>Pink</t>
        </is>
      </c>
      <c r="G43" s="73" t="n">
        <v>22.95</v>
      </c>
      <c r="H43" s="39" t="inlineStr">
        <is>
          <t>catalog price, 2026-10-13</t>
        </is>
      </c>
      <c r="I43" s="74" t="n">
        <v>19.95</v>
      </c>
      <c r="J43" s="75" t="inlineStr">
        <is>
          <t>2026-03-30</t>
        </is>
      </c>
      <c r="K43" s="40" t="n">
        <v>5.440000000000002</v>
      </c>
      <c r="L43" s="76" t="n">
        <v>0.2726817042606517</v>
      </c>
      <c r="M43" s="77" t="n">
        <v>11</v>
      </c>
      <c r="N43" s="39" t="inlineStr">
        <is>
          <t>Active</t>
        </is>
      </c>
      <c r="O43" s="39" t="n"/>
      <c r="P43" s="78" t="n">
        <v>4.5</v>
      </c>
      <c r="Q43" s="77" t="n">
        <v>1284</v>
      </c>
      <c r="R43" s="77" t="n">
        <v>29169</v>
      </c>
      <c r="S43" s="77" t="n">
        <v>4</v>
      </c>
      <c r="T43" s="39" t="n"/>
    </row>
    <row r="44" ht="62" customHeight="1">
      <c r="A44" s="12">
        <f>_xlfn.IMAGE("https://m.media-amazon.com/images/I/81mTp2BYSlL.jpg")</f>
        <v/>
      </c>
      <c r="B44" s="39" t="inlineStr">
        <is>
          <t>B0DBW3YBV4</t>
        </is>
      </c>
      <c r="C44" s="39" t="inlineStr">
        <is>
          <t>SATIN-FITTED-FULL-RED</t>
        </is>
      </c>
      <c r="D44" s="39" t="inlineStr">
        <is>
          <t>DECOLURE Satin Fitted Sheet Full Size | Softer Than Silk | Luxury 1 Pc Set</t>
        </is>
      </c>
      <c r="E44" s="39" t="inlineStr">
        <is>
          <t>Full</t>
        </is>
      </c>
      <c r="F44" s="39" t="inlineStr">
        <is>
          <t>Red</t>
        </is>
      </c>
      <c r="G44" s="73" t="n">
        <v>20.95</v>
      </c>
      <c r="H44" s="39" t="inlineStr">
        <is>
          <t>catalog price, 2026-10-13</t>
        </is>
      </c>
      <c r="I44" s="74" t="n">
        <v>17.95</v>
      </c>
      <c r="J44" s="75" t="inlineStr">
        <is>
          <t>2026-03-30</t>
        </is>
      </c>
      <c r="K44" s="40" t="n">
        <v>5.36</v>
      </c>
      <c r="L44" s="76" t="n">
        <v>0.2986072423398329</v>
      </c>
      <c r="M44" s="77" t="n">
        <v>10</v>
      </c>
      <c r="N44" s="39" t="inlineStr">
        <is>
          <t>Active</t>
        </is>
      </c>
      <c r="O44" s="39" t="n"/>
      <c r="P44" s="78" t="n">
        <v>4.5</v>
      </c>
      <c r="Q44" s="77" t="n">
        <v>1284</v>
      </c>
      <c r="R44" s="77" t="n">
        <v>29169</v>
      </c>
      <c r="S44" s="77" t="n">
        <v>8</v>
      </c>
      <c r="T44" s="39" t="n"/>
    </row>
    <row r="45" ht="62" customHeight="1">
      <c r="A45" s="12">
        <f>_xlfn.IMAGE("https://m.media-amazon.com/images/I/71APUp+JE3L.jpg")</f>
        <v/>
      </c>
      <c r="B45" s="39" t="inlineStr">
        <is>
          <t>B0DBW13VVR</t>
        </is>
      </c>
      <c r="C45" s="39" t="inlineStr">
        <is>
          <t>SATIN-FITTED-KING-BLACK</t>
        </is>
      </c>
      <c r="D45" s="39" t="inlineStr">
        <is>
          <t>DECOLURE Satin Fitted Sheet King Size | Softer Than Silk | Luxury 1 Pc Set</t>
        </is>
      </c>
      <c r="E45" s="39" t="inlineStr">
        <is>
          <t>King</t>
        </is>
      </c>
      <c r="F45" s="39" t="inlineStr">
        <is>
          <t>Black</t>
        </is>
      </c>
      <c r="G45" s="73" t="n">
        <v>22.95</v>
      </c>
      <c r="H45" s="39" t="inlineStr">
        <is>
          <t>catalog price, 2026-10-13</t>
        </is>
      </c>
      <c r="I45" s="74" t="n">
        <v>19.95</v>
      </c>
      <c r="J45" s="75" t="inlineStr">
        <is>
          <t>2026-03-30</t>
        </is>
      </c>
      <c r="K45" s="40" t="n">
        <v>5.350000000000001</v>
      </c>
      <c r="L45" s="76" t="n">
        <v>0.268170426065163</v>
      </c>
      <c r="M45" s="77" t="n">
        <v>10</v>
      </c>
      <c r="N45" s="39" t="inlineStr">
        <is>
          <t>Inactive</t>
        </is>
      </c>
      <c r="O45" s="39" t="n"/>
      <c r="P45" s="78" t="n">
        <v>4.5</v>
      </c>
      <c r="Q45" s="77" t="n">
        <v>1284</v>
      </c>
      <c r="R45" s="77" t="n">
        <v>29169</v>
      </c>
      <c r="S45" s="77" t="n">
        <v>79</v>
      </c>
      <c r="T45" s="39" t="n"/>
    </row>
    <row r="46" ht="62" customHeight="1">
      <c r="A46" s="12">
        <f>_xlfn.IMAGE("https://m.media-amazon.com/images/I/71JA-96z1+L.jpg")</f>
        <v/>
      </c>
      <c r="B46" s="39" t="inlineStr">
        <is>
          <t>B0DBVZKXNX</t>
        </is>
      </c>
      <c r="C46" s="39" t="inlineStr">
        <is>
          <t>SATIN-FITTED-KING-ROSEWOOD</t>
        </is>
      </c>
      <c r="D46" s="39" t="inlineStr">
        <is>
          <t>DECOLURE Satin Fitted Sheet King Size | Softer Than Silk | Luxury 1 Pc Set</t>
        </is>
      </c>
      <c r="E46" s="39" t="inlineStr">
        <is>
          <t>King</t>
        </is>
      </c>
      <c r="F46" s="39" t="inlineStr">
        <is>
          <t>Rosewood</t>
        </is>
      </c>
      <c r="G46" s="73" t="n">
        <v>22.95</v>
      </c>
      <c r="H46" s="39" t="inlineStr">
        <is>
          <t>catalog price, 2026-10-13</t>
        </is>
      </c>
      <c r="I46" s="74" t="n">
        <v>19.95</v>
      </c>
      <c r="J46" s="75" t="inlineStr">
        <is>
          <t>2026-03-30</t>
        </is>
      </c>
      <c r="K46" s="40" t="n">
        <v>5.300000000000002</v>
      </c>
      <c r="L46" s="76" t="n">
        <v>0.2656641604010026</v>
      </c>
      <c r="M46" s="77" t="n">
        <v>10</v>
      </c>
      <c r="N46" s="39" t="inlineStr">
        <is>
          <t>Active</t>
        </is>
      </c>
      <c r="O46" s="39" t="n"/>
      <c r="P46" s="78" t="n">
        <v>4.5</v>
      </c>
      <c r="Q46" s="77" t="n">
        <v>1284</v>
      </c>
      <c r="R46" s="77" t="n">
        <v>29169</v>
      </c>
      <c r="S46" s="77" t="n">
        <v>3</v>
      </c>
      <c r="T46" s="39" t="n"/>
    </row>
    <row r="47" ht="62" customHeight="1">
      <c r="A47" s="12">
        <f>_xlfn.IMAGE("https://m.media-amazon.com/images/I/71iVJQHaIBL.jpg")</f>
        <v/>
      </c>
      <c r="B47" s="39" t="inlineStr">
        <is>
          <t>B0DBW157CR</t>
        </is>
      </c>
      <c r="C47" s="39" t="inlineStr">
        <is>
          <t>SATIN-FITTED-QUEEN-WHITE</t>
        </is>
      </c>
      <c r="D47" s="39" t="inlineStr">
        <is>
          <t>DECOLURE Satin Fitted Sheet Queen Size | Softer Than Silk | Luxury 1 Pc Set</t>
        </is>
      </c>
      <c r="E47" s="39" t="inlineStr">
        <is>
          <t>Queen</t>
        </is>
      </c>
      <c r="F47" s="39" t="inlineStr">
        <is>
          <t>White</t>
        </is>
      </c>
      <c r="G47" s="40" t="n"/>
      <c r="H47" s="39" t="n"/>
      <c r="I47" s="74" t="n">
        <v>17.95</v>
      </c>
      <c r="J47" s="75" t="inlineStr">
        <is>
          <t>2026-03-30</t>
        </is>
      </c>
      <c r="K47" s="40" t="n">
        <v>4.869999999999999</v>
      </c>
      <c r="L47" s="76" t="n">
        <v>0.271309192200557</v>
      </c>
      <c r="M47" s="77" t="n">
        <v>10</v>
      </c>
      <c r="N47" s="39" t="inlineStr">
        <is>
          <t>Active</t>
        </is>
      </c>
      <c r="O47" s="39" t="n"/>
      <c r="P47" s="78" t="n"/>
      <c r="Q47" s="77" t="n"/>
      <c r="R47" s="77" t="n"/>
      <c r="S47" s="77" t="n"/>
      <c r="T47" s="39" t="n"/>
    </row>
    <row r="48" ht="62" customHeight="1">
      <c r="A48" s="12">
        <f>_xlfn.IMAGE("https://m.media-amazon.com/images/I/71TuVlzH09L.jpg")</f>
        <v/>
      </c>
      <c r="B48" s="39" t="inlineStr">
        <is>
          <t>B0DBW17ZJP</t>
        </is>
      </c>
      <c r="C48" s="39" t="inlineStr">
        <is>
          <t>SATIN-FITTED-FULL-GREY</t>
        </is>
      </c>
      <c r="D48" s="39" t="inlineStr">
        <is>
          <t>DECOLURE Satin Fitted Sheet Full Size | Softer Than Silk | Luxury 1 Pc Set</t>
        </is>
      </c>
      <c r="E48" s="39" t="inlineStr">
        <is>
          <t>Full</t>
        </is>
      </c>
      <c r="F48" s="39" t="inlineStr">
        <is>
          <t>Grey</t>
        </is>
      </c>
      <c r="G48" s="73" t="n">
        <v>20.95</v>
      </c>
      <c r="H48" s="39" t="inlineStr">
        <is>
          <t>catalog price, 2026-10-13</t>
        </is>
      </c>
      <c r="I48" s="74" t="n">
        <v>17.95</v>
      </c>
      <c r="J48" s="75" t="inlineStr">
        <is>
          <t>2026-03-30</t>
        </is>
      </c>
      <c r="K48" s="40" t="n">
        <v>5.09</v>
      </c>
      <c r="L48" s="76" t="n">
        <v>0.2835654596100279</v>
      </c>
      <c r="M48" s="77" t="n">
        <v>9</v>
      </c>
      <c r="N48" s="39" t="inlineStr">
        <is>
          <t>Active</t>
        </is>
      </c>
      <c r="O48" s="39" t="inlineStr">
        <is>
          <t>Yes (13%)</t>
        </is>
      </c>
      <c r="P48" s="78" t="n">
        <v>4.5</v>
      </c>
      <c r="Q48" s="77" t="n">
        <v>1284</v>
      </c>
      <c r="R48" s="77" t="n">
        <v>29169</v>
      </c>
      <c r="S48" s="77" t="n">
        <v>10</v>
      </c>
      <c r="T48" s="39" t="n"/>
    </row>
    <row r="49" ht="62" customHeight="1">
      <c r="A49" s="12">
        <f>_xlfn.IMAGE("https://m.media-amazon.com/images/I/818qIvZ2yIL.jpg")</f>
        <v/>
      </c>
      <c r="B49" s="39" t="inlineStr">
        <is>
          <t>B0DBW6FFG1</t>
        </is>
      </c>
      <c r="C49" s="39" t="inlineStr">
        <is>
          <t>SATIN-FITTED-KING-GOLD</t>
        </is>
      </c>
      <c r="D49" s="39" t="inlineStr">
        <is>
          <t>DECOLURE Satin Fitted Sheet King Size | Softer Than Silk | Luxury 1 Pc Set</t>
        </is>
      </c>
      <c r="E49" s="39" t="inlineStr">
        <is>
          <t>King</t>
        </is>
      </c>
      <c r="F49" s="39" t="inlineStr">
        <is>
          <t>Gold</t>
        </is>
      </c>
      <c r="G49" s="73" t="n">
        <v>22.95</v>
      </c>
      <c r="H49" s="39" t="inlineStr">
        <is>
          <t>catalog price, 2026-10-13</t>
        </is>
      </c>
      <c r="I49" s="74" t="n">
        <v>19.95</v>
      </c>
      <c r="J49" s="75" t="inlineStr">
        <is>
          <t>2026-03-30</t>
        </is>
      </c>
      <c r="K49" s="40" t="n">
        <v>5.94</v>
      </c>
      <c r="L49" s="76" t="n">
        <v>0.2977443609022556</v>
      </c>
      <c r="M49" s="77" t="n">
        <v>9</v>
      </c>
      <c r="N49" s="39" t="inlineStr">
        <is>
          <t>Active</t>
        </is>
      </c>
      <c r="O49" s="39" t="n"/>
      <c r="P49" s="78" t="n">
        <v>4.5</v>
      </c>
      <c r="Q49" s="77" t="n">
        <v>1284</v>
      </c>
      <c r="R49" s="77" t="n">
        <v>29175</v>
      </c>
      <c r="S49" s="77" t="n">
        <v>3</v>
      </c>
      <c r="T49" s="39" t="n"/>
    </row>
    <row r="50" ht="62" customHeight="1">
      <c r="A50" s="12">
        <f>_xlfn.IMAGE("https://m.media-amazon.com/images/I/81NguKiiueL.jpg")</f>
        <v/>
      </c>
      <c r="B50" s="39" t="inlineStr">
        <is>
          <t>B0DBVZGV7Z</t>
        </is>
      </c>
      <c r="C50" s="39" t="inlineStr">
        <is>
          <t>SATIN-FITTED-KING-SAGE-GREEN</t>
        </is>
      </c>
      <c r="D50" s="39" t="inlineStr">
        <is>
          <t>DECOLURE Satin Fitted Sheet King Size | Softer Than Silk | Luxury 1 Pc Set</t>
        </is>
      </c>
      <c r="E50" s="39" t="inlineStr">
        <is>
          <t>King</t>
        </is>
      </c>
      <c r="F50" s="39" t="inlineStr">
        <is>
          <t>Sage Green</t>
        </is>
      </c>
      <c r="G50" s="73" t="n">
        <v>22.95</v>
      </c>
      <c r="H50" s="39" t="inlineStr">
        <is>
          <t>catalog price, 2026-10-13</t>
        </is>
      </c>
      <c r="I50" s="74" t="n">
        <v>19.95</v>
      </c>
      <c r="J50" s="75" t="inlineStr">
        <is>
          <t>2026-03-30</t>
        </is>
      </c>
      <c r="K50" s="40" t="n">
        <v>5.94</v>
      </c>
      <c r="L50" s="76" t="n">
        <v>0.2977443609022556</v>
      </c>
      <c r="M50" s="77" t="n">
        <v>9</v>
      </c>
      <c r="N50" s="39" t="inlineStr">
        <is>
          <t>Active</t>
        </is>
      </c>
      <c r="O50" s="39" t="n"/>
      <c r="P50" s="78" t="n">
        <v>4.5</v>
      </c>
      <c r="Q50" s="77" t="n">
        <v>1284</v>
      </c>
      <c r="R50" s="77" t="n">
        <v>29175</v>
      </c>
      <c r="S50" s="77" t="n">
        <v>4</v>
      </c>
      <c r="T50" s="39" t="n"/>
    </row>
    <row r="51" ht="62" customHeight="1">
      <c r="A51" s="12">
        <f>_xlfn.IMAGE("https://m.media-amazon.com/images/I/81NguKiiueL.jpg")</f>
        <v/>
      </c>
      <c r="B51" s="39" t="inlineStr">
        <is>
          <t>B0DBVZ9QZC</t>
        </is>
      </c>
      <c r="C51" s="39" t="inlineStr">
        <is>
          <t>SATIN-FITTED-TWIN-SAGE-GREEN</t>
        </is>
      </c>
      <c r="D51" s="39" t="inlineStr">
        <is>
          <t>DECOLURE Satin Fitted Sheet Twin Size | Softer Than Silk | Luxury 1 Pc Set</t>
        </is>
      </c>
      <c r="E51" s="39" t="inlineStr">
        <is>
          <t>Twin</t>
        </is>
      </c>
      <c r="F51" s="39" t="inlineStr">
        <is>
          <t>Sage Green</t>
        </is>
      </c>
      <c r="G51" s="73" t="n">
        <v>19.95</v>
      </c>
      <c r="H51" s="39" t="inlineStr">
        <is>
          <t>catalog price, 2026-10-13</t>
        </is>
      </c>
      <c r="I51" s="74" t="n">
        <v>22.95</v>
      </c>
      <c r="J51" s="75" t="inlineStr">
        <is>
          <t>2026-03-30</t>
        </is>
      </c>
      <c r="K51" s="40" t="n">
        <v>10.27</v>
      </c>
      <c r="L51" s="76" t="n">
        <v>0.4474945533769062</v>
      </c>
      <c r="M51" s="77" t="n">
        <v>8</v>
      </c>
      <c r="N51" s="39" t="inlineStr">
        <is>
          <t>Active</t>
        </is>
      </c>
      <c r="O51" s="39" t="n"/>
      <c r="P51" s="78" t="n">
        <v>4.5</v>
      </c>
      <c r="Q51" s="77" t="n">
        <v>1284</v>
      </c>
      <c r="R51" s="77" t="n">
        <v>29169</v>
      </c>
      <c r="S51" s="77" t="n">
        <v>17</v>
      </c>
      <c r="T51" s="39" t="n"/>
    </row>
    <row r="52" ht="62" customHeight="1">
      <c r="A52" s="12">
        <f>_xlfn.IMAGE("https://m.media-amazon.com/images/I/81hiVG9bW0L.jpg")</f>
        <v/>
      </c>
      <c r="B52" s="39" t="inlineStr">
        <is>
          <t>B0DBVZRZ4H</t>
        </is>
      </c>
      <c r="C52" s="39" t="inlineStr">
        <is>
          <t>SATIN-FITTED-FULL-PINK</t>
        </is>
      </c>
      <c r="D52" s="39" t="inlineStr">
        <is>
          <t>DECOLURE Satin Fitted Sheet Full Size | Softer Than Silk | Luxury 1 Pc Set</t>
        </is>
      </c>
      <c r="E52" s="39" t="inlineStr">
        <is>
          <t>Full</t>
        </is>
      </c>
      <c r="F52" s="39" t="inlineStr">
        <is>
          <t>Pink</t>
        </is>
      </c>
      <c r="G52" s="73" t="n">
        <v>20.95</v>
      </c>
      <c r="H52" s="39" t="inlineStr">
        <is>
          <t>catalog price, 2026-10-13</t>
        </is>
      </c>
      <c r="I52" s="74" t="n">
        <v>17.95</v>
      </c>
      <c r="J52" s="75" t="inlineStr">
        <is>
          <t>2026-03-30</t>
        </is>
      </c>
      <c r="K52" s="40" t="n">
        <v>5.290000000000001</v>
      </c>
      <c r="L52" s="76" t="n">
        <v>0.294707520891365</v>
      </c>
      <c r="M52" s="77" t="n">
        <v>7</v>
      </c>
      <c r="N52" s="39" t="inlineStr">
        <is>
          <t>Active</t>
        </is>
      </c>
      <c r="O52" s="39" t="n"/>
      <c r="P52" s="78" t="n">
        <v>4.5</v>
      </c>
      <c r="Q52" s="77" t="n">
        <v>1284</v>
      </c>
      <c r="R52" s="77" t="n">
        <v>29175</v>
      </c>
      <c r="S52" s="77" t="n">
        <v>9</v>
      </c>
      <c r="T52" s="39" t="n"/>
    </row>
    <row r="53" ht="62" customHeight="1">
      <c r="A53" s="12">
        <f>_xlfn.IMAGE("https://m.media-amazon.com/images/I/71iVJQHaIBL.jpg")</f>
        <v/>
      </c>
      <c r="B53" s="39" t="inlineStr">
        <is>
          <t>B0DBW27P8P</t>
        </is>
      </c>
      <c r="C53" s="39" t="inlineStr">
        <is>
          <t>SATIN-FITTED-FULL-WHITE</t>
        </is>
      </c>
      <c r="D53" s="39" t="inlineStr">
        <is>
          <t>DECOLURE Satin Fitted Sheet Full Size | Softer Than Silk | Luxury 1 Pc Set</t>
        </is>
      </c>
      <c r="E53" s="39" t="inlineStr">
        <is>
          <t>Full</t>
        </is>
      </c>
      <c r="F53" s="39" t="inlineStr">
        <is>
          <t>White</t>
        </is>
      </c>
      <c r="G53" s="40" t="n"/>
      <c r="H53" s="39" t="n"/>
      <c r="I53" s="74" t="n">
        <v>17.95</v>
      </c>
      <c r="J53" s="75" t="inlineStr">
        <is>
          <t>2026-03-30</t>
        </is>
      </c>
      <c r="K53" s="40" t="n">
        <v>5.289999999999999</v>
      </c>
      <c r="L53" s="76" t="n">
        <v>0.2947075208913649</v>
      </c>
      <c r="M53" s="77" t="n">
        <v>7</v>
      </c>
      <c r="N53" s="39" t="inlineStr">
        <is>
          <t>Active</t>
        </is>
      </c>
      <c r="O53" s="39" t="n"/>
      <c r="P53" s="78" t="n"/>
      <c r="Q53" s="77" t="n"/>
      <c r="R53" s="77" t="n"/>
      <c r="S53" s="77" t="n"/>
      <c r="T53" s="39" t="n"/>
    </row>
    <row r="54" ht="62" customHeight="1">
      <c r="A54" s="12">
        <f>_xlfn.IMAGE("https://m.media-amazon.com/images/I/81hiVG9bW0L.jpg")</f>
        <v/>
      </c>
      <c r="B54" s="39" t="inlineStr">
        <is>
          <t>B0DBW2HDDZ</t>
        </is>
      </c>
      <c r="C54" s="39" t="inlineStr">
        <is>
          <t>SATIN-FITTED-TWIN-PINK</t>
        </is>
      </c>
      <c r="D54" s="39" t="inlineStr">
        <is>
          <t>DECOLURE Satin Fitted Sheet Twin Size | Softer Than Silk | Luxury 1 Pc Set</t>
        </is>
      </c>
      <c r="E54" s="39" t="inlineStr">
        <is>
          <t>Twin</t>
        </is>
      </c>
      <c r="F54" s="39" t="inlineStr">
        <is>
          <t>Pink</t>
        </is>
      </c>
      <c r="G54" s="73" t="n">
        <v>19.95</v>
      </c>
      <c r="H54" s="39" t="inlineStr">
        <is>
          <t>catalog price, 2026-10-13</t>
        </is>
      </c>
      <c r="I54" s="74" t="n">
        <v>22.95</v>
      </c>
      <c r="J54" s="75" t="inlineStr">
        <is>
          <t>2026-03-30</t>
        </is>
      </c>
      <c r="K54" s="40" t="n">
        <v>10.23</v>
      </c>
      <c r="L54" s="76" t="n">
        <v>0.4457516339869281</v>
      </c>
      <c r="M54" s="77" t="n">
        <v>7</v>
      </c>
      <c r="N54" s="39" t="inlineStr">
        <is>
          <t>Active</t>
        </is>
      </c>
      <c r="O54" s="39" t="inlineStr">
        <is>
          <t>Yes (11%)</t>
        </is>
      </c>
      <c r="P54" s="78" t="n">
        <v>4.5</v>
      </c>
      <c r="Q54" s="77" t="n">
        <v>1284</v>
      </c>
      <c r="R54" s="77" t="n">
        <v>29169</v>
      </c>
      <c r="S54" s="77" t="n">
        <v>20</v>
      </c>
      <c r="T54" s="39" t="n"/>
    </row>
    <row r="55" ht="62" customHeight="1">
      <c r="A55" s="12">
        <f>_xlfn.IMAGE("https://m.media-amazon.com/images/I/71bgU8vMQnL.jpg")</f>
        <v/>
      </c>
      <c r="B55" s="39" t="inlineStr">
        <is>
          <t>B0DBW1M6RR</t>
        </is>
      </c>
      <c r="C55" s="39" t="inlineStr">
        <is>
          <t>SATIN-FITTED-TWIN-PURPLE</t>
        </is>
      </c>
      <c r="D55" s="39" t="inlineStr">
        <is>
          <t>DECOLURE Satin Fitted Sheet Twin Size | Softer Than Silk | Luxury 1 Pc Set</t>
        </is>
      </c>
      <c r="E55" s="39" t="inlineStr">
        <is>
          <t>Twin</t>
        </is>
      </c>
      <c r="F55" s="39" t="inlineStr">
        <is>
          <t>Purple</t>
        </is>
      </c>
      <c r="G55" s="73" t="n">
        <v>19.95</v>
      </c>
      <c r="H55" s="39" t="inlineStr">
        <is>
          <t>catalog price, 2026-10-13</t>
        </is>
      </c>
      <c r="I55" s="74" t="n">
        <v>22.95</v>
      </c>
      <c r="J55" s="75" t="inlineStr">
        <is>
          <t>2026-03-30</t>
        </is>
      </c>
      <c r="K55" s="40" t="n">
        <v>10.38</v>
      </c>
      <c r="L55" s="76" t="n">
        <v>0.4522875816993464</v>
      </c>
      <c r="M55" s="77" t="n">
        <v>7</v>
      </c>
      <c r="N55" s="39" t="inlineStr">
        <is>
          <t>Active</t>
        </is>
      </c>
      <c r="O55" s="39" t="n"/>
      <c r="P55" s="78" t="n">
        <v>4.5</v>
      </c>
      <c r="Q55" s="77" t="n">
        <v>1284</v>
      </c>
      <c r="R55" s="77" t="n">
        <v>29175</v>
      </c>
      <c r="S55" s="77" t="n">
        <v>18</v>
      </c>
      <c r="T55" s="39" t="n"/>
    </row>
    <row r="56" ht="62" customHeight="1">
      <c r="A56" s="12">
        <f>_xlfn.IMAGE("https://m.media-amazon.com/images/I/714ktb3sY+L.jpg")</f>
        <v/>
      </c>
      <c r="B56" s="39" t="inlineStr">
        <is>
          <t>B0DBW2GW4S</t>
        </is>
      </c>
      <c r="C56" s="39" t="inlineStr">
        <is>
          <t>SATIN-FITTED-FULL-IVORY</t>
        </is>
      </c>
      <c r="D56" s="39" t="inlineStr">
        <is>
          <t>DECOLURE Satin Fitted Sheet Full Size | Softer Than Silk | Luxury 1 Pc Set</t>
        </is>
      </c>
      <c r="E56" s="39" t="inlineStr">
        <is>
          <t>Full</t>
        </is>
      </c>
      <c r="F56" s="39" t="inlineStr">
        <is>
          <t>Ivory</t>
        </is>
      </c>
      <c r="G56" s="73" t="n">
        <v>20.95</v>
      </c>
      <c r="H56" s="39" t="inlineStr">
        <is>
          <t>catalog price, 2026-10-13</t>
        </is>
      </c>
      <c r="I56" s="74" t="n">
        <v>17.95</v>
      </c>
      <c r="J56" s="75" t="inlineStr">
        <is>
          <t>2026-03-30</t>
        </is>
      </c>
      <c r="K56" s="40" t="n">
        <v>5.309999999999999</v>
      </c>
      <c r="L56" s="76" t="n">
        <v>0.2958217270194985</v>
      </c>
      <c r="M56" s="77" t="n">
        <v>6</v>
      </c>
      <c r="N56" s="39" t="inlineStr">
        <is>
          <t>Active</t>
        </is>
      </c>
      <c r="O56" s="39" t="n"/>
      <c r="P56" s="78" t="n">
        <v>4.5</v>
      </c>
      <c r="Q56" s="77" t="n">
        <v>1284</v>
      </c>
      <c r="R56" s="77" t="n">
        <v>29169</v>
      </c>
      <c r="S56" s="77" t="n">
        <v>8</v>
      </c>
      <c r="T56" s="39" t="n"/>
    </row>
    <row r="57" ht="62" customHeight="1">
      <c r="A57" s="12">
        <f>_xlfn.IMAGE("https://m.media-amazon.com/images/I/71q7X0GjqSL.jpg")</f>
        <v/>
      </c>
      <c r="B57" s="39" t="inlineStr">
        <is>
          <t>B0DBVYHGK1</t>
        </is>
      </c>
      <c r="C57" s="39" t="inlineStr">
        <is>
          <t>SATIN-FITTED-FULL-NAVY-BLUE</t>
        </is>
      </c>
      <c r="D57" s="39" t="inlineStr">
        <is>
          <t>DECOLURE Satin Fitted Sheet Full Size | Softer Than Silk | Luxury 1 Pc Set</t>
        </is>
      </c>
      <c r="E57" s="39" t="inlineStr">
        <is>
          <t>Full</t>
        </is>
      </c>
      <c r="F57" s="39" t="inlineStr">
        <is>
          <t>Navy Blue</t>
        </is>
      </c>
      <c r="G57" s="73" t="n">
        <v>20.95</v>
      </c>
      <c r="H57" s="39" t="inlineStr">
        <is>
          <t>catalog price, 2026-10-13</t>
        </is>
      </c>
      <c r="I57" s="74" t="n">
        <v>17.95</v>
      </c>
      <c r="J57" s="75" t="inlineStr">
        <is>
          <t>2026-03-30</t>
        </is>
      </c>
      <c r="K57" s="40" t="n">
        <v>5.48</v>
      </c>
      <c r="L57" s="76" t="n">
        <v>0.3052924791086351</v>
      </c>
      <c r="M57" s="77" t="n">
        <v>6</v>
      </c>
      <c r="N57" s="39" t="inlineStr">
        <is>
          <t>Active</t>
        </is>
      </c>
      <c r="O57" s="39" t="n"/>
      <c r="P57" s="78" t="n">
        <v>4.5</v>
      </c>
      <c r="Q57" s="77" t="n">
        <v>1284</v>
      </c>
      <c r="R57" s="77" t="n">
        <v>29169</v>
      </c>
      <c r="S57" s="77" t="n">
        <v>10</v>
      </c>
      <c r="T57" s="39" t="n"/>
    </row>
    <row r="58" ht="62" customHeight="1">
      <c r="A58" s="12">
        <f>_xlfn.IMAGE("https://m.media-amazon.com/images/I/81oKLEMiMUL.jpg")</f>
        <v/>
      </c>
      <c r="B58" s="39" t="inlineStr">
        <is>
          <t>B0DBVZ1Z2S</t>
        </is>
      </c>
      <c r="C58" s="39" t="inlineStr">
        <is>
          <t>SATIN-FITTED-FULL-SEA-TEAL</t>
        </is>
      </c>
      <c r="D58" s="39" t="inlineStr">
        <is>
          <t>DECOLURE Satin Fitted Sheet Full Size | Softer Than Silk | Luxury 1 Pc Set</t>
        </is>
      </c>
      <c r="E58" s="39" t="inlineStr">
        <is>
          <t>Full</t>
        </is>
      </c>
      <c r="F58" s="39" t="inlineStr">
        <is>
          <t>Sea Teal</t>
        </is>
      </c>
      <c r="G58" s="73" t="n">
        <v>20.95</v>
      </c>
      <c r="H58" s="39" t="inlineStr">
        <is>
          <t>catalog price, 2026-10-13</t>
        </is>
      </c>
      <c r="I58" s="74" t="n">
        <v>17.95</v>
      </c>
      <c r="J58" s="75" t="inlineStr">
        <is>
          <t>2026-03-30</t>
        </is>
      </c>
      <c r="K58" s="40" t="n">
        <v>4.9</v>
      </c>
      <c r="L58" s="76" t="n">
        <v>0.2729805013927577</v>
      </c>
      <c r="M58" s="77" t="n">
        <v>6</v>
      </c>
      <c r="N58" s="39" t="inlineStr">
        <is>
          <t>Active</t>
        </is>
      </c>
      <c r="O58" s="39" t="n"/>
      <c r="P58" s="78" t="n">
        <v>4.5</v>
      </c>
      <c r="Q58" s="77" t="n">
        <v>1284</v>
      </c>
      <c r="R58" s="77" t="n">
        <v>29169</v>
      </c>
      <c r="S58" s="77" t="n">
        <v>8</v>
      </c>
      <c r="T58" s="39" t="n"/>
    </row>
    <row r="59" ht="62" customHeight="1">
      <c r="A59" s="12">
        <f>_xlfn.IMAGE("https://m.media-amazon.com/images/I/81URVcoc9pL.jpg")</f>
        <v/>
      </c>
      <c r="B59" s="39" t="inlineStr">
        <is>
          <t>B0DBVZZD7X</t>
        </is>
      </c>
      <c r="C59" s="39" t="inlineStr">
        <is>
          <t>SATIN-FITTED-KING-BLUSH-PINK</t>
        </is>
      </c>
      <c r="D59" s="39" t="inlineStr">
        <is>
          <t>DECOLURE Satin Fitted Sheet King Size | Softer Than Silk | Luxury 1 Pc Set</t>
        </is>
      </c>
      <c r="E59" s="39" t="inlineStr">
        <is>
          <t>King</t>
        </is>
      </c>
      <c r="F59" s="39" t="inlineStr">
        <is>
          <t>Blush Pink</t>
        </is>
      </c>
      <c r="G59" s="73" t="n">
        <v>22.95</v>
      </c>
      <c r="H59" s="39" t="inlineStr">
        <is>
          <t>catalog price, 2026-10-13</t>
        </is>
      </c>
      <c r="I59" s="74" t="n">
        <v>19.95</v>
      </c>
      <c r="J59" s="75" t="inlineStr">
        <is>
          <t>2026-03-30</t>
        </is>
      </c>
      <c r="K59" s="40" t="n">
        <v>4.68</v>
      </c>
      <c r="L59" s="76" t="n">
        <v>0.2345864661654135</v>
      </c>
      <c r="M59" s="77" t="n">
        <v>6</v>
      </c>
      <c r="N59" s="39" t="inlineStr">
        <is>
          <t>Active</t>
        </is>
      </c>
      <c r="O59" s="39" t="n"/>
      <c r="P59" s="78" t="n">
        <v>4.5</v>
      </c>
      <c r="Q59" s="77" t="n">
        <v>1284</v>
      </c>
      <c r="R59" s="77" t="n">
        <v>29175</v>
      </c>
      <c r="S59" s="77" t="n">
        <v>4</v>
      </c>
      <c r="T59" s="39" t="n"/>
    </row>
    <row r="60" ht="62" customHeight="1">
      <c r="A60" s="12">
        <f>_xlfn.IMAGE("https://m.media-amazon.com/images/I/71iVJQHaIBL.jpg")</f>
        <v/>
      </c>
      <c r="B60" s="39" t="inlineStr">
        <is>
          <t>B0DBVZSNZ4</t>
        </is>
      </c>
      <c r="C60" s="39" t="inlineStr">
        <is>
          <t>SATIN-FITTED-TWIN-WHITE</t>
        </is>
      </c>
      <c r="D60" s="39" t="inlineStr">
        <is>
          <t>DECOLURE Satin Fitted Sheet Twin Size | Softer Than Silk | Luxury 1 Pc Set</t>
        </is>
      </c>
      <c r="E60" s="39" t="inlineStr">
        <is>
          <t>Twin</t>
        </is>
      </c>
      <c r="F60" s="39" t="inlineStr">
        <is>
          <t>White</t>
        </is>
      </c>
      <c r="G60" s="73" t="n">
        <v>19.95</v>
      </c>
      <c r="H60" s="39" t="inlineStr">
        <is>
          <t>catalog price, 2026-10-13</t>
        </is>
      </c>
      <c r="I60" s="74" t="n">
        <v>22.95</v>
      </c>
      <c r="J60" s="75" t="inlineStr">
        <is>
          <t>2026-03-30</t>
        </is>
      </c>
      <c r="K60" s="40" t="n">
        <v>10.38</v>
      </c>
      <c r="L60" s="76" t="n">
        <v>0.4522875816993464</v>
      </c>
      <c r="M60" s="77" t="n">
        <v>6</v>
      </c>
      <c r="N60" s="39" t="inlineStr">
        <is>
          <t>Active</t>
        </is>
      </c>
      <c r="O60" s="39" t="n"/>
      <c r="P60" s="78" t="n">
        <v>4.5</v>
      </c>
      <c r="Q60" s="77" t="n">
        <v>1284</v>
      </c>
      <c r="R60" s="77" t="n">
        <v>29175</v>
      </c>
      <c r="S60" s="77" t="n">
        <v>14</v>
      </c>
      <c r="T60" s="39" t="n"/>
    </row>
    <row r="61" ht="62" customHeight="1">
      <c r="A61" s="12">
        <f>_xlfn.IMAGE("https://m.media-amazon.com/images/I/81URVcoc9pL.jpg")</f>
        <v/>
      </c>
      <c r="B61" s="39" t="inlineStr">
        <is>
          <t>B0DBVZNLSM</t>
        </is>
      </c>
      <c r="C61" s="39" t="inlineStr">
        <is>
          <t>SATIN-FITTED-FULL-BLUSH-PINK</t>
        </is>
      </c>
      <c r="D61" s="39" t="inlineStr">
        <is>
          <t>DECOLURE Satin Fitted Sheet Full Size | Softer Than Silk | Luxury 1 Pc Set</t>
        </is>
      </c>
      <c r="E61" s="39" t="inlineStr">
        <is>
          <t>Full</t>
        </is>
      </c>
      <c r="F61" s="39" t="inlineStr">
        <is>
          <t>Blush Pink</t>
        </is>
      </c>
      <c r="G61" s="73" t="n">
        <v>20.95</v>
      </c>
      <c r="H61" s="39" t="inlineStr">
        <is>
          <t>catalog price, 2026-10-13</t>
        </is>
      </c>
      <c r="I61" s="74" t="n">
        <v>17.95</v>
      </c>
      <c r="J61" s="75" t="inlineStr">
        <is>
          <t>2026-03-30</t>
        </is>
      </c>
      <c r="K61" s="40" t="n">
        <v>5.299999999999999</v>
      </c>
      <c r="L61" s="76" t="n">
        <v>0.2952646239554317</v>
      </c>
      <c r="M61" s="77" t="n">
        <v>5</v>
      </c>
      <c r="N61" s="39" t="inlineStr">
        <is>
          <t>Active</t>
        </is>
      </c>
      <c r="O61" s="39" t="n"/>
      <c r="P61" s="78" t="n">
        <v>4.5</v>
      </c>
      <c r="Q61" s="77" t="n">
        <v>1284</v>
      </c>
      <c r="R61" s="77" t="n">
        <v>29169</v>
      </c>
      <c r="S61" s="77" t="n">
        <v>11</v>
      </c>
      <c r="T61" s="39" t="n"/>
    </row>
    <row r="62" ht="62" customHeight="1">
      <c r="A62" s="12">
        <f>_xlfn.IMAGE("https://m.media-amazon.com/images/I/812QjIl2c0L.jpg")</f>
        <v/>
      </c>
      <c r="B62" s="39" t="inlineStr">
        <is>
          <t>B0DBVZQZXV</t>
        </is>
      </c>
      <c r="C62" s="39" t="inlineStr">
        <is>
          <t>SATIN-FITTED-TWIN-BABY-BLUE</t>
        </is>
      </c>
      <c r="D62" s="39" t="inlineStr">
        <is>
          <t>DECOLURE Satin Fitted Sheet Twin Size | Softer Than Silk | Luxury 1 Pc Set</t>
        </is>
      </c>
      <c r="E62" s="39" t="inlineStr">
        <is>
          <t>Twin</t>
        </is>
      </c>
      <c r="F62" s="39" t="inlineStr">
        <is>
          <t>Baby Blue</t>
        </is>
      </c>
      <c r="G62" s="73" t="n">
        <v>19.95</v>
      </c>
      <c r="H62" s="39" t="inlineStr">
        <is>
          <t>catalog price, 2026-10-13</t>
        </is>
      </c>
      <c r="I62" s="74" t="n">
        <v>16.95</v>
      </c>
      <c r="J62" s="75" t="inlineStr">
        <is>
          <t>2026-03-30</t>
        </is>
      </c>
      <c r="K62" s="40" t="n">
        <v>5.290000000000001</v>
      </c>
      <c r="L62" s="76" t="n">
        <v>0.3120943952802361</v>
      </c>
      <c r="M62" s="77" t="n">
        <v>5</v>
      </c>
      <c r="N62" s="39" t="inlineStr">
        <is>
          <t>Active</t>
        </is>
      </c>
      <c r="O62" s="39" t="n"/>
      <c r="P62" s="78" t="n">
        <v>4.5</v>
      </c>
      <c r="Q62" s="77" t="n">
        <v>1284</v>
      </c>
      <c r="R62" s="77" t="n">
        <v>29175</v>
      </c>
      <c r="S62" s="77" t="n">
        <v>15</v>
      </c>
      <c r="T62" s="39" t="n"/>
    </row>
    <row r="63" ht="62" customHeight="1">
      <c r="A63" s="12">
        <f>_xlfn.IMAGE("https://m.media-amazon.com/images/I/81URVcoc9pL.jpg")</f>
        <v/>
      </c>
      <c r="B63" s="39" t="inlineStr">
        <is>
          <t>B0DBVZMMPN</t>
        </is>
      </c>
      <c r="C63" s="39" t="inlineStr">
        <is>
          <t>SATIN-FITTED-TWIN-BLUSH-PINK</t>
        </is>
      </c>
      <c r="D63" s="39" t="inlineStr">
        <is>
          <t>DECOLURE Satin Fitted Sheet Twin Size | Softer Than Silk | Luxury 1 Pc Set</t>
        </is>
      </c>
      <c r="E63" s="39" t="inlineStr">
        <is>
          <t>Twin</t>
        </is>
      </c>
      <c r="F63" s="39" t="inlineStr">
        <is>
          <t>Blush Pink</t>
        </is>
      </c>
      <c r="G63" s="73" t="n">
        <v>19.95</v>
      </c>
      <c r="H63" s="39" t="inlineStr">
        <is>
          <t>catalog price, 2026-10-13</t>
        </is>
      </c>
      <c r="I63" s="74" t="n">
        <v>22.95</v>
      </c>
      <c r="J63" s="75" t="inlineStr">
        <is>
          <t>2026-03-30</t>
        </is>
      </c>
      <c r="K63" s="40" t="n">
        <v>10.75</v>
      </c>
      <c r="L63" s="76" t="n">
        <v>0.4684095860566448</v>
      </c>
      <c r="M63" s="77" t="n">
        <v>5</v>
      </c>
      <c r="N63" s="39" t="inlineStr">
        <is>
          <t>Active</t>
        </is>
      </c>
      <c r="O63" s="39" t="n"/>
      <c r="P63" s="78" t="n">
        <v>4.5</v>
      </c>
      <c r="Q63" s="77" t="n">
        <v>1284</v>
      </c>
      <c r="R63" s="77" t="n">
        <v>29169</v>
      </c>
      <c r="S63" s="77" t="n">
        <v>15</v>
      </c>
      <c r="T63" s="39" t="n"/>
    </row>
    <row r="64" ht="62" customHeight="1">
      <c r="A64" s="12">
        <f>_xlfn.IMAGE("https://m.media-amazon.com/images/I/812QjIl2c0L.jpg")</f>
        <v/>
      </c>
      <c r="B64" s="39" t="inlineStr">
        <is>
          <t>B0DBW19662</t>
        </is>
      </c>
      <c r="C64" s="39" t="inlineStr">
        <is>
          <t>SATIN-FITTED-QUEEN-BABY-BLUE</t>
        </is>
      </c>
      <c r="D64" s="39" t="inlineStr">
        <is>
          <t>DECOLURE Satin Fitted Sheet Queen Size | Softer Than Silk | Luxury 1 Pc Set</t>
        </is>
      </c>
      <c r="E64" s="39" t="inlineStr">
        <is>
          <t>Queen</t>
        </is>
      </c>
      <c r="F64" s="39" t="inlineStr">
        <is>
          <t>Baby Blue</t>
        </is>
      </c>
      <c r="G64" s="40" t="n"/>
      <c r="H64" s="39" t="n"/>
      <c r="I64" s="74" t="n">
        <v>17.95</v>
      </c>
      <c r="J64" s="75" t="inlineStr">
        <is>
          <t>2026-03-30</t>
        </is>
      </c>
      <c r="K64" s="40" t="n">
        <v>4.75</v>
      </c>
      <c r="L64" s="76" t="n">
        <v>0.2646239554317549</v>
      </c>
      <c r="M64" s="77" t="n">
        <v>4</v>
      </c>
      <c r="N64" s="39" t="inlineStr">
        <is>
          <t>Inactive</t>
        </is>
      </c>
      <c r="O64" s="39" t="n"/>
      <c r="P64" s="78" t="n"/>
      <c r="Q64" s="77" t="n"/>
      <c r="R64" s="77" t="n"/>
      <c r="S64" s="77" t="n"/>
      <c r="T64" s="39" t="n"/>
    </row>
    <row r="65" ht="62" customHeight="1">
      <c r="A65" s="12">
        <f>_xlfn.IMAGE("https://m.media-amazon.com/images/I/71q7X0GjqSL.jpg")</f>
        <v/>
      </c>
      <c r="B65" s="39" t="inlineStr">
        <is>
          <t>B0DBW1ZHFR</t>
        </is>
      </c>
      <c r="C65" s="39" t="inlineStr">
        <is>
          <t>SATIN-FITTED-TWIN-NAVY-BLUE</t>
        </is>
      </c>
      <c r="D65" s="39" t="inlineStr">
        <is>
          <t>DECOLURE Satin Fitted Sheet Twin Size | Softer Than Silk | Luxury 1 Pc Set</t>
        </is>
      </c>
      <c r="E65" s="39" t="inlineStr">
        <is>
          <t>Twin</t>
        </is>
      </c>
      <c r="F65" s="39" t="inlineStr">
        <is>
          <t>Navy Blue</t>
        </is>
      </c>
      <c r="G65" s="73" t="n">
        <v>19.95</v>
      </c>
      <c r="H65" s="39" t="inlineStr">
        <is>
          <t>catalog price, 2026-10-13</t>
        </is>
      </c>
      <c r="I65" s="74" t="n">
        <v>16.95</v>
      </c>
      <c r="J65" s="75" t="inlineStr">
        <is>
          <t>2026-03-30</t>
        </is>
      </c>
      <c r="K65" s="40" t="n">
        <v>5.42</v>
      </c>
      <c r="L65" s="76" t="n">
        <v>0.3197640117994101</v>
      </c>
      <c r="M65" s="77" t="n">
        <v>4</v>
      </c>
      <c r="N65" s="39" t="inlineStr">
        <is>
          <t>Active</t>
        </is>
      </c>
      <c r="O65" s="39" t="n"/>
      <c r="P65" s="78" t="n">
        <v>4.5</v>
      </c>
      <c r="Q65" s="77" t="n">
        <v>1284</v>
      </c>
      <c r="R65" s="77" t="n">
        <v>29169</v>
      </c>
      <c r="S65" s="77" t="n">
        <v>14</v>
      </c>
      <c r="T65" s="39" t="n"/>
    </row>
    <row r="66" ht="62" customHeight="1">
      <c r="A66" s="12">
        <f>_xlfn.IMAGE("https://m.media-amazon.com/images/I/81mTp2BYSlL.jpg")</f>
        <v/>
      </c>
      <c r="B66" s="39" t="inlineStr">
        <is>
          <t>B0DBW1FRHC</t>
        </is>
      </c>
      <c r="C66" s="39" t="inlineStr">
        <is>
          <t>SATIN-FITTED-TWIN-RED</t>
        </is>
      </c>
      <c r="D66" s="39" t="inlineStr">
        <is>
          <t>DECOLURE Satin Fitted Sheet Twin Size | Softer Than Silk | Luxury 1 Pc Set</t>
        </is>
      </c>
      <c r="E66" s="39" t="inlineStr">
        <is>
          <t>Twin</t>
        </is>
      </c>
      <c r="F66" s="39" t="inlineStr">
        <is>
          <t>Red</t>
        </is>
      </c>
      <c r="G66" s="73" t="n">
        <v>19.95</v>
      </c>
      <c r="H66" s="39" t="inlineStr">
        <is>
          <t>catalog price, 2026-10-13</t>
        </is>
      </c>
      <c r="I66" s="74" t="n">
        <v>16.95</v>
      </c>
      <c r="J66" s="75" t="inlineStr">
        <is>
          <t>2026-03-30</t>
        </is>
      </c>
      <c r="K66" s="40" t="n">
        <v>4.920000000000002</v>
      </c>
      <c r="L66" s="76" t="n">
        <v>0.2902654867256638</v>
      </c>
      <c r="M66" s="77" t="n">
        <v>4</v>
      </c>
      <c r="N66" s="39" t="inlineStr">
        <is>
          <t>Active</t>
        </is>
      </c>
      <c r="O66" s="39" t="n"/>
      <c r="P66" s="78" t="n">
        <v>4.5</v>
      </c>
      <c r="Q66" s="77" t="n">
        <v>1284</v>
      </c>
      <c r="R66" s="77" t="n">
        <v>29169</v>
      </c>
      <c r="S66" s="77" t="n">
        <v>15</v>
      </c>
      <c r="T66" s="39" t="n"/>
    </row>
    <row r="67" ht="62" customHeight="1">
      <c r="A67" s="12">
        <f>_xlfn.IMAGE("https://m.media-amazon.com/images/I/81oKLEMiMUL.jpg")</f>
        <v/>
      </c>
      <c r="B67" s="39" t="inlineStr">
        <is>
          <t>B0DBW1M1HX</t>
        </is>
      </c>
      <c r="C67" s="39" t="inlineStr">
        <is>
          <t>SATIN-FITTED-TWIN-SEA-TEAL</t>
        </is>
      </c>
      <c r="D67" s="39" t="inlineStr">
        <is>
          <t>DECOLURE Satin Fitted Sheet Twin Size | Softer Than Silk | Luxury 1 Pc Set</t>
        </is>
      </c>
      <c r="E67" s="39" t="inlineStr">
        <is>
          <t>Twin</t>
        </is>
      </c>
      <c r="F67" s="39" t="inlineStr">
        <is>
          <t>Sea Teal</t>
        </is>
      </c>
      <c r="G67" s="73" t="n">
        <v>19.95</v>
      </c>
      <c r="H67" s="39" t="inlineStr">
        <is>
          <t>catalog price, 2026-10-13</t>
        </is>
      </c>
      <c r="I67" s="74" t="n">
        <v>22.95</v>
      </c>
      <c r="J67" s="75" t="inlineStr">
        <is>
          <t>2026-03-30</t>
        </is>
      </c>
      <c r="K67" s="40" t="n">
        <v>9.329999999999998</v>
      </c>
      <c r="L67" s="76" t="n">
        <v>0.4065359477124183</v>
      </c>
      <c r="M67" s="77" t="n">
        <v>4</v>
      </c>
      <c r="N67" s="39" t="inlineStr">
        <is>
          <t>Active</t>
        </is>
      </c>
      <c r="O67" s="39" t="n"/>
      <c r="P67" s="78" t="n">
        <v>4.5</v>
      </c>
      <c r="Q67" s="77" t="n">
        <v>1284</v>
      </c>
      <c r="R67" s="77" t="n">
        <v>29169</v>
      </c>
      <c r="S67" s="77" t="n">
        <v>15</v>
      </c>
      <c r="T67" s="39" t="n"/>
    </row>
    <row r="68" ht="62" customHeight="1">
      <c r="A68" s="12">
        <f>_xlfn.IMAGE("https://m.media-amazon.com/images/I/81RiAVYjy-L.jpg")</f>
        <v/>
      </c>
      <c r="B68" s="39" t="inlineStr">
        <is>
          <t>B0DBW28W1W</t>
        </is>
      </c>
      <c r="C68" s="39" t="inlineStr">
        <is>
          <t>SATIN-FITTED-TWIN-STONE-GREY</t>
        </is>
      </c>
      <c r="D68" s="39" t="inlineStr">
        <is>
          <t>DECOLURE Satin Fitted Sheet Twin Size | Softer Than Silk | Luxury 1 Pc Set</t>
        </is>
      </c>
      <c r="E68" s="39" t="inlineStr">
        <is>
          <t>Twin</t>
        </is>
      </c>
      <c r="F68" s="39" t="inlineStr">
        <is>
          <t>Stone Grey</t>
        </is>
      </c>
      <c r="G68" s="73" t="n">
        <v>19.95</v>
      </c>
      <c r="H68" s="39" t="inlineStr">
        <is>
          <t>catalog price, 2026-10-13</t>
        </is>
      </c>
      <c r="I68" s="74" t="n">
        <v>22.95</v>
      </c>
      <c r="J68" s="75" t="inlineStr">
        <is>
          <t>2026-03-30</t>
        </is>
      </c>
      <c r="K68" s="40" t="n">
        <v>10.38</v>
      </c>
      <c r="L68" s="76" t="n">
        <v>0.4522875816993464</v>
      </c>
      <c r="M68" s="77" t="n">
        <v>4</v>
      </c>
      <c r="N68" s="39" t="inlineStr">
        <is>
          <t>Active</t>
        </is>
      </c>
      <c r="O68" s="39" t="n"/>
      <c r="P68" s="78" t="n">
        <v>4.5</v>
      </c>
      <c r="Q68" s="77" t="n">
        <v>1284</v>
      </c>
      <c r="R68" s="77" t="n">
        <v>29169</v>
      </c>
      <c r="S68" s="77" t="n">
        <v>14</v>
      </c>
      <c r="T68" s="39" t="n"/>
    </row>
    <row r="69" ht="62" customHeight="1">
      <c r="A69" s="12">
        <f>_xlfn.IMAGE("https://m.media-amazon.com/images/I/818qIvZ2yIL.jpg")</f>
        <v/>
      </c>
      <c r="B69" s="39" t="inlineStr">
        <is>
          <t>B0DBVZ73F7</t>
        </is>
      </c>
      <c r="C69" s="39" t="inlineStr">
        <is>
          <t>SATIN-FITTED-FULL-GOLD</t>
        </is>
      </c>
      <c r="D69" s="39" t="inlineStr">
        <is>
          <t>DECOLURE Satin Fitted Sheet Full Size | Softer Than Silk | Luxury 1 Pc Set</t>
        </is>
      </c>
      <c r="E69" s="39" t="inlineStr">
        <is>
          <t>Full</t>
        </is>
      </c>
      <c r="F69" s="39" t="inlineStr">
        <is>
          <t>Gold</t>
        </is>
      </c>
      <c r="G69" s="73" t="n">
        <v>20.95</v>
      </c>
      <c r="H69" s="39" t="inlineStr">
        <is>
          <t>catalog price, 2026-10-13</t>
        </is>
      </c>
      <c r="I69" s="74" t="n">
        <v>17.95</v>
      </c>
      <c r="J69" s="75" t="inlineStr">
        <is>
          <t>2026-03-30</t>
        </is>
      </c>
      <c r="K69" s="40" t="n">
        <v>4.670000000000001</v>
      </c>
      <c r="L69" s="76" t="n">
        <v>0.2601671309192201</v>
      </c>
      <c r="M69" s="77" t="n">
        <v>3</v>
      </c>
      <c r="N69" s="39" t="inlineStr">
        <is>
          <t>Active</t>
        </is>
      </c>
      <c r="O69" s="39" t="n"/>
      <c r="P69" s="78" t="n">
        <v>4.5</v>
      </c>
      <c r="Q69" s="77" t="n">
        <v>1284</v>
      </c>
      <c r="R69" s="77" t="n">
        <v>29169</v>
      </c>
      <c r="S69" s="77" t="n">
        <v>9</v>
      </c>
      <c r="T69" s="39" t="n"/>
    </row>
    <row r="70" ht="62" customHeight="1">
      <c r="A70" s="12">
        <f>_xlfn.IMAGE("https://m.media-amazon.com/images/I/81oKLEMiMUL.jpg")</f>
        <v/>
      </c>
      <c r="B70" s="39" t="inlineStr">
        <is>
          <t>B0DBW1NVHF</t>
        </is>
      </c>
      <c r="C70" s="39" t="inlineStr">
        <is>
          <t>SATIN-FITTED-QUEEN-SEA-TEAL</t>
        </is>
      </c>
      <c r="D70" s="39" t="inlineStr">
        <is>
          <t>DECOLURE Satin Fitted Sheet Queen Size | Softer Than Silk | Luxury 1 Pc Set</t>
        </is>
      </c>
      <c r="E70" s="39" t="inlineStr">
        <is>
          <t>Queen</t>
        </is>
      </c>
      <c r="F70" s="39" t="inlineStr">
        <is>
          <t>Sea Teal</t>
        </is>
      </c>
      <c r="G70" s="40" t="n"/>
      <c r="H70" s="39" t="n"/>
      <c r="I70" s="74" t="n">
        <v>17.95</v>
      </c>
      <c r="J70" s="75" t="inlineStr">
        <is>
          <t>2026-03-30</t>
        </is>
      </c>
      <c r="K70" s="40" t="n">
        <v>4.31</v>
      </c>
      <c r="L70" s="76" t="n">
        <v>0.2401114206128133</v>
      </c>
      <c r="M70" s="77" t="n">
        <v>3</v>
      </c>
      <c r="N70" s="39" t="inlineStr">
        <is>
          <t>Inactive</t>
        </is>
      </c>
      <c r="O70" s="39" t="n"/>
      <c r="P70" s="78" t="n"/>
      <c r="Q70" s="77" t="n"/>
      <c r="R70" s="77" t="n"/>
      <c r="S70" s="77" t="n"/>
      <c r="T70" s="39" t="n"/>
    </row>
    <row r="71" ht="62" customHeight="1">
      <c r="A71" s="12">
        <f>_xlfn.IMAGE("https://m.media-amazon.com/images/I/81Zp5JX8nUL.jpg")</f>
        <v/>
      </c>
      <c r="B71" s="39" t="inlineStr">
        <is>
          <t>B0DBW1NXMC</t>
        </is>
      </c>
      <c r="C71" s="39" t="inlineStr">
        <is>
          <t>SATIN-FITTED-TWIN-DARK-GREEN</t>
        </is>
      </c>
      <c r="D71" s="39" t="inlineStr">
        <is>
          <t>DECOLURE Satin Fitted Sheet Twin Size | Softer Than Silk | Luxury 1 Pc Set</t>
        </is>
      </c>
      <c r="E71" s="39" t="inlineStr">
        <is>
          <t>Twin</t>
        </is>
      </c>
      <c r="F71" s="39" t="inlineStr">
        <is>
          <t>Dark Green</t>
        </is>
      </c>
      <c r="G71" s="73" t="n">
        <v>19.95</v>
      </c>
      <c r="H71" s="39" t="inlineStr">
        <is>
          <t>catalog price, 2026-10-13</t>
        </is>
      </c>
      <c r="I71" s="74" t="n">
        <v>16.95</v>
      </c>
      <c r="J71" s="75" t="inlineStr">
        <is>
          <t>2026-03-30</t>
        </is>
      </c>
      <c r="K71" s="40" t="n">
        <v>3.590000000000002</v>
      </c>
      <c r="L71" s="76" t="n">
        <v>0.2117994100294986</v>
      </c>
      <c r="M71" s="77" t="n">
        <v>3</v>
      </c>
      <c r="N71" s="39" t="inlineStr">
        <is>
          <t>Active</t>
        </is>
      </c>
      <c r="O71" s="39" t="n"/>
      <c r="P71" s="78" t="n">
        <v>4.5</v>
      </c>
      <c r="Q71" s="77" t="n">
        <v>1284</v>
      </c>
      <c r="R71" s="77" t="n">
        <v>29169</v>
      </c>
      <c r="S71" s="77" t="n">
        <v>14</v>
      </c>
      <c r="T71" s="39" t="n"/>
    </row>
    <row r="72" ht="62" customHeight="1">
      <c r="A72" s="12">
        <f>_xlfn.IMAGE("https://m.media-amazon.com/images/I/71TuVlzH09L.jpg")</f>
        <v/>
      </c>
      <c r="B72" s="39" t="inlineStr">
        <is>
          <t>B0DBW2LTK4</t>
        </is>
      </c>
      <c r="C72" s="39" t="inlineStr">
        <is>
          <t>SATIN-FITTED-TWIN-GREY</t>
        </is>
      </c>
      <c r="D72" s="39" t="inlineStr">
        <is>
          <t>DECOLURE Satin Fitted Sheet Twin Size | Softer Than Silk | Luxury 1 Pc Set</t>
        </is>
      </c>
      <c r="E72" s="39" t="inlineStr">
        <is>
          <t>Twin</t>
        </is>
      </c>
      <c r="F72" s="39" t="inlineStr">
        <is>
          <t>Grey</t>
        </is>
      </c>
      <c r="G72" s="73" t="n">
        <v>19.95</v>
      </c>
      <c r="H72" s="39" t="inlineStr">
        <is>
          <t>catalog price, 2026-10-13</t>
        </is>
      </c>
      <c r="I72" s="74" t="n">
        <v>22.95</v>
      </c>
      <c r="J72" s="75" t="inlineStr">
        <is>
          <t>2026-03-30</t>
        </is>
      </c>
      <c r="K72" s="40" t="n">
        <v>10.53</v>
      </c>
      <c r="L72" s="76" t="n">
        <v>0.4588235294117646</v>
      </c>
      <c r="M72" s="77" t="n">
        <v>3</v>
      </c>
      <c r="N72" s="39" t="inlineStr">
        <is>
          <t>Active</t>
        </is>
      </c>
      <c r="O72" s="39" t="n"/>
      <c r="P72" s="78" t="n">
        <v>4.5</v>
      </c>
      <c r="Q72" s="77" t="n">
        <v>1284</v>
      </c>
      <c r="R72" s="77" t="n">
        <v>29169</v>
      </c>
      <c r="S72" s="77" t="n">
        <v>16</v>
      </c>
      <c r="T72" s="39" t="n"/>
    </row>
    <row r="73" ht="62" customHeight="1">
      <c r="A73" s="12">
        <f>_xlfn.IMAGE("https://m.media-amazon.com/images/I/714ktb3sY+L.jpg")</f>
        <v/>
      </c>
      <c r="B73" s="39" t="inlineStr">
        <is>
          <t>B0DBW6FW27</t>
        </is>
      </c>
      <c r="C73" s="39" t="inlineStr">
        <is>
          <t>SATIN-FITTED-TWIN-IVORY</t>
        </is>
      </c>
      <c r="D73" s="39" t="inlineStr">
        <is>
          <t>DECOLURE Satin Fitted Sheet Twin Size | Softer Than Silk | Luxury 1 Pc Set</t>
        </is>
      </c>
      <c r="E73" s="39" t="inlineStr">
        <is>
          <t>Twin</t>
        </is>
      </c>
      <c r="F73" s="39" t="inlineStr">
        <is>
          <t>Ivory</t>
        </is>
      </c>
      <c r="G73" s="73" t="n">
        <v>19.95</v>
      </c>
      <c r="H73" s="39" t="inlineStr">
        <is>
          <t>catalog price, 2026-10-13</t>
        </is>
      </c>
      <c r="I73" s="74" t="n">
        <v>15.36</v>
      </c>
      <c r="J73" s="75" t="inlineStr">
        <is>
          <t>2026-03-30</t>
        </is>
      </c>
      <c r="K73" s="40" t="n">
        <v>3.129999999999999</v>
      </c>
      <c r="L73" s="76" t="n">
        <v>0.2037760416666666</v>
      </c>
      <c r="M73" s="77" t="n">
        <v>3</v>
      </c>
      <c r="N73" s="39" t="inlineStr">
        <is>
          <t>Active</t>
        </is>
      </c>
      <c r="O73" s="39" t="n"/>
      <c r="P73" s="78" t="n">
        <v>4.5</v>
      </c>
      <c r="Q73" s="77" t="n">
        <v>1284</v>
      </c>
      <c r="R73" s="77" t="n">
        <v>29169</v>
      </c>
      <c r="S73" s="77" t="n">
        <v>15</v>
      </c>
      <c r="T73" s="39" t="n"/>
    </row>
    <row r="74" ht="62" customHeight="1">
      <c r="A74" s="12">
        <f>_xlfn.IMAGE("https://m.media-amazon.com/images/I/81Zp5JX8nUL.jpg")</f>
        <v/>
      </c>
      <c r="B74" s="39" t="inlineStr">
        <is>
          <t>B0DBVXG561</t>
        </is>
      </c>
      <c r="C74" s="39" t="inlineStr">
        <is>
          <t>SATIN-FITTED-FULL-DARK-GREEN</t>
        </is>
      </c>
      <c r="D74" s="39" t="inlineStr">
        <is>
          <t>DECOLURE Satin Fitted Sheet Full Size | Softer Than Silk | Luxury 1 Pc Set</t>
        </is>
      </c>
      <c r="E74" s="39" t="inlineStr">
        <is>
          <t>Full</t>
        </is>
      </c>
      <c r="F74" s="39" t="inlineStr">
        <is>
          <t>Dark Green</t>
        </is>
      </c>
      <c r="G74" s="73" t="n">
        <v>20.95</v>
      </c>
      <c r="H74" s="39" t="inlineStr">
        <is>
          <t>catalog price, 2026-10-13</t>
        </is>
      </c>
      <c r="I74" s="74" t="n">
        <v>17.95</v>
      </c>
      <c r="J74" s="75" t="inlineStr">
        <is>
          <t>2026-03-30</t>
        </is>
      </c>
      <c r="K74" s="40" t="n">
        <v>5.499999999999999</v>
      </c>
      <c r="L74" s="76" t="n">
        <v>0.3064066852367688</v>
      </c>
      <c r="M74" s="77" t="n">
        <v>2</v>
      </c>
      <c r="N74" s="39" t="inlineStr">
        <is>
          <t>Active</t>
        </is>
      </c>
      <c r="O74" s="39" t="inlineStr">
        <is>
          <t>Yes (10%)</t>
        </is>
      </c>
      <c r="P74" s="78" t="n">
        <v>4.5</v>
      </c>
      <c r="Q74" s="77" t="n">
        <v>1284</v>
      </c>
      <c r="R74" s="77" t="n">
        <v>29169</v>
      </c>
      <c r="S74" s="77" t="n">
        <v>10</v>
      </c>
      <c r="T74" s="39" t="n"/>
    </row>
    <row r="75" ht="62" customHeight="1">
      <c r="A75" s="12">
        <f>_xlfn.IMAGE("https://m.media-amazon.com/images/I/81r1IG1mOIL.jpg")</f>
        <v/>
      </c>
      <c r="B75" s="39" t="inlineStr">
        <is>
          <t>B0DBVZ9JMT</t>
        </is>
      </c>
      <c r="C75" s="39" t="inlineStr">
        <is>
          <t>SATIN-FITTED-TWIN-LAVENDER</t>
        </is>
      </c>
      <c r="D75" s="39" t="inlineStr">
        <is>
          <t>DECOLURE Satin Fitted Sheet Twin Size | Softer Than Silk | Luxury 1 Pc Set</t>
        </is>
      </c>
      <c r="E75" s="39" t="inlineStr">
        <is>
          <t>Twin</t>
        </is>
      </c>
      <c r="F75" s="39" t="inlineStr">
        <is>
          <t>Lavender</t>
        </is>
      </c>
      <c r="G75" s="73" t="n">
        <v>19.95</v>
      </c>
      <c r="H75" s="39" t="inlineStr">
        <is>
          <t>catalog price, 2026-10-13</t>
        </is>
      </c>
      <c r="I75" s="74" t="n">
        <v>16.95</v>
      </c>
      <c r="J75" s="75" t="inlineStr">
        <is>
          <t>2026-03-30</t>
        </is>
      </c>
      <c r="K75" s="40" t="n">
        <v>5.42</v>
      </c>
      <c r="L75" s="76" t="n">
        <v>0.3197640117994101</v>
      </c>
      <c r="M75" s="77" t="n">
        <v>2</v>
      </c>
      <c r="N75" s="39" t="inlineStr">
        <is>
          <t>Active</t>
        </is>
      </c>
      <c r="O75" s="39" t="n"/>
      <c r="P75" s="78" t="n">
        <v>4.5</v>
      </c>
      <c r="Q75" s="77" t="n">
        <v>1284</v>
      </c>
      <c r="R75" s="77" t="n">
        <v>29169</v>
      </c>
      <c r="S75" s="77" t="n">
        <v>14</v>
      </c>
      <c r="T75" s="39" t="n"/>
    </row>
    <row r="76" ht="62" customHeight="1">
      <c r="A76" s="12">
        <f>_xlfn.IMAGE("https://m.media-amazon.com/images/I/81oKLEMiMUL.jpg")</f>
        <v/>
      </c>
      <c r="B76" s="39" t="inlineStr">
        <is>
          <t>B0DBVZBSHL</t>
        </is>
      </c>
      <c r="C76" s="39" t="inlineStr">
        <is>
          <t>SATIN-FITTED-KING-SEA-TEAL</t>
        </is>
      </c>
      <c r="D76" s="39" t="n"/>
      <c r="E76" s="39" t="inlineStr">
        <is>
          <t>King</t>
        </is>
      </c>
      <c r="F76" s="39" t="inlineStr">
        <is>
          <t>Sea Teal</t>
        </is>
      </c>
      <c r="G76" s="40" t="n"/>
      <c r="H76" s="39" t="n"/>
      <c r="I76" s="74" t="n">
        <v>19.95</v>
      </c>
      <c r="J76" s="75" t="inlineStr">
        <is>
          <t>2026-03-30</t>
        </is>
      </c>
      <c r="K76" s="40" t="n">
        <v>5.56</v>
      </c>
      <c r="L76" s="76" t="n">
        <v>0.2786967418546366</v>
      </c>
      <c r="M76" s="77" t="n">
        <v>1</v>
      </c>
      <c r="N76" s="39" t="n"/>
      <c r="O76" s="39" t="n"/>
      <c r="P76" s="78" t="n"/>
      <c r="Q76" s="77" t="n"/>
      <c r="R76" s="77" t="n"/>
      <c r="S76" s="77" t="n"/>
      <c r="T76" s="39" t="n"/>
    </row>
    <row r="77" ht="62" customHeight="1">
      <c r="A77" s="12">
        <f>_xlfn.IMAGE("https://m.media-amazon.com/images/I/714ktb3sY+L.jpg")</f>
        <v/>
      </c>
      <c r="B77" s="39" t="inlineStr">
        <is>
          <t>B0DBW128WH</t>
        </is>
      </c>
      <c r="C77" s="39" t="inlineStr">
        <is>
          <t>SATIN-FITTED-QUEEN-IVORY</t>
        </is>
      </c>
      <c r="D77" s="39" t="inlineStr">
        <is>
          <t>DECOLURE Satin Fitted Sheet Queen Size | Softer Than Silk | Luxury 1 Pc Set</t>
        </is>
      </c>
      <c r="E77" s="39" t="inlineStr">
        <is>
          <t>Queen</t>
        </is>
      </c>
      <c r="F77" s="39" t="inlineStr">
        <is>
          <t>Ivory</t>
        </is>
      </c>
      <c r="G77" s="40" t="n"/>
      <c r="H77" s="39" t="n"/>
      <c r="I77" s="74" t="n">
        <v>17.95</v>
      </c>
      <c r="J77" s="75" t="inlineStr">
        <is>
          <t>2026-03-30</t>
        </is>
      </c>
      <c r="K77" s="40" t="n">
        <v>4.659999999999999</v>
      </c>
      <c r="L77" s="76" t="n">
        <v>0.2596100278551532</v>
      </c>
      <c r="M77" s="77" t="n">
        <v>1</v>
      </c>
      <c r="N77" s="39" t="inlineStr">
        <is>
          <t>Inactive</t>
        </is>
      </c>
      <c r="O77" s="39" t="n"/>
      <c r="P77" s="78" t="n"/>
      <c r="Q77" s="77" t="n"/>
      <c r="R77" s="77" t="n"/>
      <c r="S77" s="77" t="n"/>
      <c r="T77" s="39" t="n"/>
    </row>
    <row r="78" ht="62" customHeight="1">
      <c r="A78" s="12">
        <f>_xlfn.IMAGE("https://m.media-amazon.com/images/I/71APUp+JE3L.jpg")</f>
        <v/>
      </c>
      <c r="B78" s="39" t="inlineStr">
        <is>
          <t>B0DBVZTM41</t>
        </is>
      </c>
      <c r="C78" s="39" t="inlineStr">
        <is>
          <t>SATIN-FITTED-FULL-BLACK</t>
        </is>
      </c>
      <c r="D78" s="39" t="inlineStr">
        <is>
          <t>DECOLURE Satin Fitted Sheet Full Size | Softer Than Silk | Luxury 1 Pc Set</t>
        </is>
      </c>
      <c r="E78" s="39" t="inlineStr">
        <is>
          <t>Full</t>
        </is>
      </c>
      <c r="F78" s="39" t="inlineStr">
        <is>
          <t>Black</t>
        </is>
      </c>
      <c r="G78" s="40" t="n"/>
      <c r="H78" s="39" t="n"/>
      <c r="I78" s="74" t="n">
        <v>17.95</v>
      </c>
      <c r="J78" s="75" t="inlineStr">
        <is>
          <t>2026-03-30</t>
        </is>
      </c>
      <c r="K78" s="40" t="n">
        <v>5.569999999999999</v>
      </c>
      <c r="L78" s="76" t="n">
        <v>0.3103064066852367</v>
      </c>
      <c r="M78" s="77" t="n"/>
      <c r="N78" s="39" t="inlineStr">
        <is>
          <t>Inactive</t>
        </is>
      </c>
      <c r="O78" s="39" t="n"/>
      <c r="P78" s="78" t="n"/>
      <c r="Q78" s="77" t="n"/>
      <c r="R78" s="77" t="n"/>
      <c r="S78" s="77" t="n"/>
      <c r="T78" s="39" t="n"/>
    </row>
    <row r="79" ht="62" customHeight="1">
      <c r="A79" s="12">
        <f>_xlfn.IMAGE("https://m.media-amazon.com/images/I/71JA-96z1+L.jpg")</f>
        <v/>
      </c>
      <c r="B79" s="39" t="inlineStr">
        <is>
          <t>B0DBW17KGC</t>
        </is>
      </c>
      <c r="C79" s="39" t="inlineStr">
        <is>
          <t>SATIN-FITTED-FULL-ROSEWOOD</t>
        </is>
      </c>
      <c r="D79" s="39" t="inlineStr">
        <is>
          <t>DECOLURE Satin Fitted Sheet Full Size | Softer Than Silk | Luxury 1 Pc Set</t>
        </is>
      </c>
      <c r="E79" s="39" t="inlineStr">
        <is>
          <t>Full</t>
        </is>
      </c>
      <c r="F79" s="39" t="inlineStr">
        <is>
          <t>Rosewood</t>
        </is>
      </c>
      <c r="G79" s="40" t="n"/>
      <c r="H79" s="39" t="n"/>
      <c r="I79" s="74" t="n">
        <v>17.95</v>
      </c>
      <c r="J79" s="75" t="inlineStr">
        <is>
          <t>2026-03-30</t>
        </is>
      </c>
      <c r="K79" s="40" t="n">
        <v>5.599999999999999</v>
      </c>
      <c r="L79" s="76" t="n">
        <v>0.3119777158774373</v>
      </c>
      <c r="M79" s="77" t="n"/>
      <c r="N79" s="39" t="inlineStr">
        <is>
          <t>Inactive</t>
        </is>
      </c>
      <c r="O79" s="39" t="n"/>
      <c r="P79" s="78" t="n"/>
      <c r="Q79" s="77" t="n"/>
      <c r="R79" s="77" t="n"/>
      <c r="S79" s="77" t="n"/>
      <c r="T79" s="39" t="n"/>
    </row>
    <row r="80" ht="62" customHeight="1">
      <c r="A80" s="12">
        <f>_xlfn.IMAGE("https://m.media-amazon.com/images/I/812QjIl2c0L.jpg")</f>
        <v/>
      </c>
      <c r="B80" s="39" t="inlineStr">
        <is>
          <t>B0DBVY2YWN</t>
        </is>
      </c>
      <c r="C80" s="39" t="inlineStr">
        <is>
          <t>SATIN-FITTED-KING-BABY-BLUE</t>
        </is>
      </c>
      <c r="D80" s="39" t="n"/>
      <c r="E80" s="39" t="inlineStr">
        <is>
          <t>King</t>
        </is>
      </c>
      <c r="F80" s="39" t="inlineStr">
        <is>
          <t>Baby Blue</t>
        </is>
      </c>
      <c r="G80" s="40" t="n"/>
      <c r="H80" s="39" t="n"/>
      <c r="I80" s="74" t="n">
        <v>19.95</v>
      </c>
      <c r="J80" s="75" t="inlineStr">
        <is>
          <t>2026-03-30</t>
        </is>
      </c>
      <c r="K80" s="40" t="n">
        <v>5.680000000000002</v>
      </c>
      <c r="L80" s="76" t="n">
        <v>0.2847117794486217</v>
      </c>
      <c r="M80" s="77" t="n"/>
      <c r="N80" s="39" t="n"/>
      <c r="O80" s="39" t="n"/>
      <c r="P80" s="78" t="n"/>
      <c r="Q80" s="77" t="n"/>
      <c r="R80" s="77" t="n"/>
      <c r="S80" s="77" t="n"/>
      <c r="T80" s="39" t="n"/>
    </row>
    <row r="81" ht="62" customHeight="1">
      <c r="A81" s="12">
        <f>_xlfn.IMAGE("https://m.media-amazon.com/images/I/71JA-96z1+L.jpg")</f>
        <v/>
      </c>
      <c r="B81" s="39" t="inlineStr">
        <is>
          <t>B0DBW2HZBF</t>
        </is>
      </c>
      <c r="C81" s="39" t="inlineStr">
        <is>
          <t>SATIN-FITTED-QUEEN-ROSEWOOD</t>
        </is>
      </c>
      <c r="D81" s="39" t="inlineStr">
        <is>
          <t>DECOLURE Satin Fitted Sheet Queen Size | Softer Than Silk | Luxury 1 Pc Set</t>
        </is>
      </c>
      <c r="E81" s="39" t="inlineStr">
        <is>
          <t>Queen</t>
        </is>
      </c>
      <c r="F81" s="39" t="inlineStr">
        <is>
          <t>Rosewood</t>
        </is>
      </c>
      <c r="G81" s="40" t="n"/>
      <c r="H81" s="39" t="n"/>
      <c r="I81" s="74" t="n">
        <v>24.95</v>
      </c>
      <c r="J81" s="75" t="inlineStr">
        <is>
          <t>2026-03-30</t>
        </is>
      </c>
      <c r="K81" s="40" t="n">
        <v>10.35</v>
      </c>
      <c r="L81" s="76" t="n">
        <v>0.4148296593186374</v>
      </c>
      <c r="M81" s="77" t="n">
        <v>0</v>
      </c>
      <c r="N81" s="39" t="inlineStr">
        <is>
          <t>Inactive</t>
        </is>
      </c>
      <c r="O81" s="39" t="n"/>
      <c r="P81" s="78" t="n"/>
      <c r="Q81" s="77" t="n"/>
      <c r="R81" s="77" t="n"/>
      <c r="S81" s="77" t="n"/>
      <c r="T81" s="39" t="n"/>
    </row>
    <row r="82" ht="62" customHeight="1">
      <c r="A82" s="12">
        <f>_xlfn.IMAGE("https://m.media-amazon.com/images/I/81RiAVYjy-L.jpg")</f>
        <v/>
      </c>
      <c r="B82" s="39" t="inlineStr">
        <is>
          <t>B0DBVZQYZ7</t>
        </is>
      </c>
      <c r="C82" s="39" t="inlineStr">
        <is>
          <t>SATIN-FITTED-QUEEN-STONE-GREY</t>
        </is>
      </c>
      <c r="D82" s="39" t="inlineStr">
        <is>
          <t>DECOLURE Satin Fitted Sheet Queen Size | Softer Than Silk | Luxury 1 Pc Set</t>
        </is>
      </c>
      <c r="E82" s="39" t="inlineStr">
        <is>
          <t>Queen</t>
        </is>
      </c>
      <c r="F82" s="39" t="inlineStr">
        <is>
          <t>Stone Grey</t>
        </is>
      </c>
      <c r="G82" s="40" t="n"/>
      <c r="H82" s="39" t="n"/>
      <c r="I82" s="74" t="n">
        <v>17.95</v>
      </c>
      <c r="J82" s="75" t="inlineStr">
        <is>
          <t>2026-03-30</t>
        </is>
      </c>
      <c r="K82" s="40" t="n">
        <v>4.29</v>
      </c>
      <c r="L82" s="76" t="n">
        <v>0.2389972144846797</v>
      </c>
      <c r="M82" s="77" t="n">
        <v>0</v>
      </c>
      <c r="N82" s="39" t="inlineStr">
        <is>
          <t>Inactive</t>
        </is>
      </c>
      <c r="O82" s="39" t="n"/>
      <c r="P82" s="78" t="n"/>
      <c r="Q82" s="77" t="n"/>
      <c r="R82" s="77" t="n"/>
      <c r="S82" s="77" t="n"/>
      <c r="T82" s="39" t="n"/>
    </row>
    <row r="83" ht="62" customHeight="1">
      <c r="A83" s="12">
        <f>_xlfn.IMAGE("https://m.media-amazon.com/images/I/71APUp+JE3L.jpg")</f>
        <v/>
      </c>
      <c r="B83" s="39" t="inlineStr">
        <is>
          <t>B0DBVZRL8V</t>
        </is>
      </c>
      <c r="C83" s="39" t="inlineStr">
        <is>
          <t>SATIN-FITTED-TWIN-BLACK</t>
        </is>
      </c>
      <c r="D83" s="39" t="inlineStr">
        <is>
          <t>DECOLURE Satin Fitted Sheet Twin Size | Softer Than Silk | Luxury 1 Pc Set</t>
        </is>
      </c>
      <c r="E83" s="39" t="inlineStr">
        <is>
          <t>Twin</t>
        </is>
      </c>
      <c r="F83" s="39" t="inlineStr">
        <is>
          <t>Black</t>
        </is>
      </c>
      <c r="G83" s="40" t="n"/>
      <c r="H83" s="39" t="n"/>
      <c r="I83" s="74" t="n">
        <v>16.95</v>
      </c>
      <c r="J83" s="75" t="inlineStr">
        <is>
          <t>2026-03-30</t>
        </is>
      </c>
      <c r="K83" s="40" t="n">
        <v>5.02</v>
      </c>
      <c r="L83" s="76" t="n">
        <v>0.2961651917404129</v>
      </c>
      <c r="M83" s="77" t="n">
        <v>0</v>
      </c>
      <c r="N83" s="39" t="inlineStr">
        <is>
          <t>Inactive</t>
        </is>
      </c>
      <c r="O83" s="39" t="n"/>
      <c r="P83" s="78" t="n"/>
      <c r="Q83" s="77" t="n"/>
      <c r="R83" s="77" t="n"/>
      <c r="S83" s="77" t="n"/>
      <c r="T83" s="39" t="n"/>
    </row>
    <row r="84" ht="62" customHeight="1">
      <c r="A84" s="12">
        <f>_xlfn.IMAGE("https://m.media-amazon.com/images/I/818qIvZ2yIL.jpg")</f>
        <v/>
      </c>
      <c r="B84" s="39" t="inlineStr">
        <is>
          <t>B0DBVZY5T2</t>
        </is>
      </c>
      <c r="C84" s="39" t="inlineStr">
        <is>
          <t>SATIN-FITTED-TWIN-GOLD</t>
        </is>
      </c>
      <c r="D84" s="39" t="inlineStr">
        <is>
          <t>DECOLURE Satin Fitted Sheet Twin Size | Softer Than Silk | Luxury 1 Pc Set</t>
        </is>
      </c>
      <c r="E84" s="39" t="inlineStr">
        <is>
          <t>Twin</t>
        </is>
      </c>
      <c r="F84" s="39" t="inlineStr">
        <is>
          <t>Gold</t>
        </is>
      </c>
      <c r="G84" s="73" t="n">
        <v>19.95</v>
      </c>
      <c r="H84" s="39" t="inlineStr">
        <is>
          <t>catalog price, 2026-10-13</t>
        </is>
      </c>
      <c r="I84" s="74" t="n">
        <v>16.95</v>
      </c>
      <c r="J84" s="75" t="inlineStr">
        <is>
          <t>2026-03-30</t>
        </is>
      </c>
      <c r="K84" s="40" t="n">
        <v>4.23</v>
      </c>
      <c r="L84" s="76" t="n">
        <v>0.2495575221238938</v>
      </c>
      <c r="M84" s="77" t="n">
        <v>0</v>
      </c>
      <c r="N84" s="39" t="inlineStr">
        <is>
          <t>Active</t>
        </is>
      </c>
      <c r="O84" s="39" t="n"/>
      <c r="P84" s="78" t="n">
        <v>4.5</v>
      </c>
      <c r="Q84" s="77" t="n">
        <v>1284</v>
      </c>
      <c r="R84" s="77" t="n">
        <v>29175</v>
      </c>
      <c r="S84" s="77" t="n">
        <v>15</v>
      </c>
      <c r="T84" s="39" t="n"/>
    </row>
    <row r="85" ht="62" customHeight="1">
      <c r="A85" s="12">
        <f>_xlfn.IMAGE("https://m.media-amazon.com/images/I/71JA-96z1+L.jpg")</f>
        <v/>
      </c>
      <c r="B85" s="39" t="inlineStr">
        <is>
          <t>B0DBVY3FF2</t>
        </is>
      </c>
      <c r="C85" s="39" t="inlineStr">
        <is>
          <t>SATIN-FITTED-TWIN-ROSEWOOD</t>
        </is>
      </c>
      <c r="D85" s="39" t="inlineStr">
        <is>
          <t>DECOLURE Satin Fitted Sheet Twin Size | Softer Than Silk | Luxury 1 Pc Set</t>
        </is>
      </c>
      <c r="E85" s="39" t="inlineStr">
        <is>
          <t>Twin</t>
        </is>
      </c>
      <c r="F85" s="39" t="inlineStr">
        <is>
          <t>Rosewood</t>
        </is>
      </c>
      <c r="G85" s="40" t="n"/>
      <c r="H85" s="39" t="n"/>
      <c r="I85" s="74" t="n">
        <v>16.95</v>
      </c>
      <c r="J85" s="75" t="inlineStr">
        <is>
          <t>2026-03-30</t>
        </is>
      </c>
      <c r="K85" s="40" t="n">
        <v>4.97</v>
      </c>
      <c r="L85" s="76" t="n">
        <v>0.2932153392330383</v>
      </c>
      <c r="M85" s="77" t="n"/>
      <c r="N85" s="39" t="inlineStr">
        <is>
          <t>Inactive</t>
        </is>
      </c>
      <c r="O85" s="39" t="n"/>
      <c r="P85" s="78" t="n"/>
      <c r="Q85" s="77" t="n"/>
      <c r="R85" s="77" t="n"/>
      <c r="S85" s="77" t="n"/>
      <c r="T85" s="39" t="n"/>
    </row>
    <row r="86"/>
    <row r="87" ht="22" customHeight="1">
      <c r="A87" s="65" t="inlineStr">
        <is>
          <t>3 ▼</t>
        </is>
      </c>
      <c r="B87" s="66" t="inlineStr">
        <is>
          <t>OUR BFCM 2025 RESULT &amp; EVENT VISIBILITY</t>
        </is>
      </c>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c r="AC87" s="67" t="n"/>
      <c r="AD87" s="67" t="n"/>
      <c r="AE87" s="67" t="n"/>
      <c r="AF87" s="67" t="n"/>
      <c r="AG87" s="67" t="n"/>
      <c r="AH87" s="67" t="n"/>
      <c r="AI87" s="67" t="n"/>
      <c r="AJ87" s="67" t="n"/>
      <c r="AK87" s="67" t="n"/>
      <c r="AL87" s="67" t="n"/>
      <c r="AM87" s="67" t="n"/>
      <c r="AN87" s="67" t="n"/>
      <c r="AO87" s="67" t="n"/>
      <c r="AP87" s="67" t="n"/>
      <c r="AQ87" s="67" t="n"/>
      <c r="AR87" s="67" t="n"/>
      <c r="AS87" s="67" t="n"/>
      <c r="AT87" s="67" t="n"/>
      <c r="AU87" s="67" t="n"/>
      <c r="AV87" s="67" t="n"/>
      <c r="AW87" s="67" t="n"/>
      <c r="AX87" s="67" t="n"/>
      <c r="AY87" s="67" t="n"/>
      <c r="AZ87" s="67" t="n"/>
      <c r="BA87" s="67" t="n"/>
      <c r="BB87" s="67" t="n"/>
      <c r="BC87" s="67" t="n"/>
      <c r="BD87" s="67" t="n"/>
      <c r="BE87" s="67" t="n"/>
      <c r="BF87" s="67" t="n"/>
      <c r="BG87" s="67" t="n"/>
      <c r="BH87" s="67" t="n"/>
      <c r="BI87" s="67" t="n"/>
      <c r="BJ87" s="67" t="n"/>
      <c r="BK87" s="67" t="n"/>
    </row>
    <row r="88">
      <c r="A88" s="80" t="inlineStr">
        <is>
          <t>Window</t>
        </is>
      </c>
      <c r="B88" s="81" t="n"/>
      <c r="C88" s="82" t="n"/>
      <c r="D88" s="80" t="inlineStr">
        <is>
          <t>Ad spend</t>
        </is>
      </c>
      <c r="E88" s="80" t="inlineStr">
        <is>
          <t>Ad sales</t>
        </is>
      </c>
      <c r="F88" s="80" t="inlineStr">
        <is>
          <t>ACoS</t>
        </is>
      </c>
      <c r="G88" s="80" t="inlineStr">
        <is>
          <t>TACoS</t>
        </is>
      </c>
      <c r="H88" s="80" t="inlineStr">
        <is>
          <t>Total sales (derived)</t>
        </is>
      </c>
      <c r="J88" s="80" t="inlineStr">
        <is>
          <t>Ad orders</t>
        </is>
      </c>
      <c r="K88" s="80" t="inlineStr">
        <is>
          <t>CVR</t>
        </is>
      </c>
    </row>
    <row r="89">
      <c r="A89" s="83" t="inlineStr">
        <is>
          <t>Pre-event Oct 21 - Nov 19, 2025 (30d)</t>
        </is>
      </c>
      <c r="B89" s="81" t="n"/>
      <c r="C89" s="82" t="n"/>
      <c r="D89" s="84" t="n">
        <v>3357.949999999999</v>
      </c>
      <c r="E89" s="84" t="n">
        <v>7988.920000000001</v>
      </c>
      <c r="F89" s="85" t="n">
        <v>42</v>
      </c>
      <c r="G89" s="85" t="n">
        <v>11.19059283031569</v>
      </c>
      <c r="H89" s="84" t="n">
        <v>30006.9</v>
      </c>
      <c r="J89" s="86" t="n">
        <v>409</v>
      </c>
      <c r="K89" s="87" t="n">
        <v>15.63</v>
      </c>
    </row>
    <row r="90">
      <c r="A90" s="83" t="inlineStr">
        <is>
          <t>BFCM week Nov 20 - Dec 1, 2025 (12d)</t>
        </is>
      </c>
      <c r="B90" s="81" t="n"/>
      <c r="C90" s="82" t="n"/>
      <c r="D90" s="84" t="n">
        <v>2307.02</v>
      </c>
      <c r="E90" s="84" t="n">
        <v>6578.82</v>
      </c>
      <c r="F90" s="85" t="n">
        <v>35.1</v>
      </c>
      <c r="G90" s="85" t="n">
        <v>7.783778166607172</v>
      </c>
      <c r="H90" s="84" t="n">
        <v>29638.82</v>
      </c>
      <c r="J90" s="86" t="n">
        <v>387</v>
      </c>
      <c r="K90" s="87" t="n">
        <v>21.07</v>
      </c>
    </row>
    <row r="91">
      <c r="A91" s="83" t="inlineStr">
        <is>
          <t>December 2 - 31, 2025 (30d)</t>
        </is>
      </c>
      <c r="B91" s="81" t="n"/>
      <c r="C91" s="82" t="n"/>
      <c r="D91" s="84" t="n">
        <v>5470.020000000001</v>
      </c>
      <c r="E91" s="84" t="n">
        <v>14753.19</v>
      </c>
      <c r="F91" s="85" t="n">
        <v>37.1</v>
      </c>
      <c r="G91" s="85" t="n">
        <v>12.03836770014319</v>
      </c>
      <c r="H91" s="84" t="n">
        <v>45438.22</v>
      </c>
      <c r="J91" s="86" t="n">
        <v>724</v>
      </c>
      <c r="K91" s="87" t="n">
        <v>16.65</v>
      </c>
    </row>
    <row r="92"/>
    <row r="93">
      <c r="A93" s="80" t="inlineStr">
        <is>
          <t>Actual sales (account data)</t>
        </is>
      </c>
      <c r="B93" s="81" t="n"/>
      <c r="C93" s="82" t="n"/>
      <c r="D93" s="80" t="inlineStr">
        <is>
          <t>Sales</t>
        </is>
      </c>
      <c r="E93" s="80" t="inlineStr">
        <is>
          <t>Units</t>
        </is>
      </c>
      <c r="F93" s="80" t="inlineStr">
        <is>
          <t>Organic units</t>
        </is>
      </c>
      <c r="G93" s="80" t="inlineStr">
        <is>
          <t>Ad units</t>
        </is>
      </c>
      <c r="H93" s="80" t="inlineStr">
        <is>
          <t>Ad cost</t>
        </is>
      </c>
      <c r="J93" s="80" t="inlineStr">
        <is>
          <t>TACoS (actual)</t>
        </is>
      </c>
      <c r="K93" s="80" t="inlineStr">
        <is>
          <t>Sessions</t>
        </is>
      </c>
      <c r="L93" s="80" t="inlineStr">
        <is>
          <t>Unit session %</t>
        </is>
      </c>
      <c r="M93" s="80" t="inlineStr">
        <is>
          <t>Avg price</t>
        </is>
      </c>
      <c r="N93" s="80" t="inlineStr">
        <is>
          <t>Refunds</t>
        </is>
      </c>
    </row>
    <row r="94">
      <c r="A94" s="83" t="inlineStr">
        <is>
          <t>Pre-event Oct 21 - Nov 19, 2025 (30d)</t>
        </is>
      </c>
      <c r="B94" s="81" t="n"/>
      <c r="C94" s="82" t="n"/>
      <c r="D94" s="84" t="n">
        <v>30006.9</v>
      </c>
      <c r="E94" s="86" t="n">
        <v>1630</v>
      </c>
      <c r="F94" s="86" t="n">
        <v>1538</v>
      </c>
      <c r="G94" s="86" t="n">
        <v>92</v>
      </c>
      <c r="H94" s="84" t="n">
        <v>3372.27</v>
      </c>
      <c r="J94" s="88" t="n">
        <v>0.1123831518750687</v>
      </c>
      <c r="K94" s="86" t="n">
        <v>17028</v>
      </c>
      <c r="L94" s="88" t="n">
        <v>0.09572468874794456</v>
      </c>
      <c r="M94" s="89" t="n">
        <v>18.40914110429448</v>
      </c>
      <c r="N94" s="86" t="n">
        <v>95</v>
      </c>
    </row>
    <row r="95">
      <c r="A95" s="83" t="inlineStr">
        <is>
          <t>BFCM week Nov 20 - Dec 1, 2025 (12d)</t>
        </is>
      </c>
      <c r="B95" s="81" t="n"/>
      <c r="C95" s="82" t="n"/>
      <c r="D95" s="84" t="n">
        <v>29638.82</v>
      </c>
      <c r="E95" s="86" t="n">
        <v>1910</v>
      </c>
      <c r="F95" s="86" t="n">
        <v>1831</v>
      </c>
      <c r="G95" s="86" t="n">
        <v>79</v>
      </c>
      <c r="H95" s="84" t="n">
        <v>2317.83</v>
      </c>
      <c r="J95" s="88" t="n">
        <v>0.07820250603768976</v>
      </c>
      <c r="K95" s="86" t="n">
        <v>18981</v>
      </c>
      <c r="L95" s="88" t="n">
        <v>0.1006269427322059</v>
      </c>
      <c r="M95" s="89" t="n">
        <v>15.51770680628272</v>
      </c>
      <c r="N95" s="86" t="n">
        <v>35</v>
      </c>
    </row>
    <row r="96">
      <c r="A96" s="83" t="inlineStr">
        <is>
          <t>December 2 - 31, 2025 (30d)</t>
        </is>
      </c>
      <c r="B96" s="81" t="n"/>
      <c r="C96" s="82" t="n"/>
      <c r="D96" s="84" t="n">
        <v>45438.22</v>
      </c>
      <c r="E96" s="86" t="n">
        <v>2466</v>
      </c>
      <c r="F96" s="86" t="n">
        <v>2306</v>
      </c>
      <c r="G96" s="86" t="n">
        <v>160</v>
      </c>
      <c r="H96" s="84" t="n">
        <v>5539.42</v>
      </c>
      <c r="J96" s="88" t="n">
        <v>0.1219110255639415</v>
      </c>
      <c r="K96" s="86" t="n">
        <v>24008</v>
      </c>
      <c r="L96" s="88" t="n">
        <v>0.1027157614128624</v>
      </c>
      <c r="M96" s="89" t="n">
        <v>18.4258799675588</v>
      </c>
      <c r="N96" s="86" t="n">
        <v>180</v>
      </c>
    </row>
    <row r="97">
      <c r="A97" s="90" t="inlineStr">
        <is>
          <t>account data, Amazon parent B0DZ17NCJ4 plus any of this product's child ASINs account data lists on their own, UTC days. Lift above uses these actual sales (2.47x; the ad-spend estimate was 2.47x).</t>
        </is>
      </c>
    </row>
    <row r="98" ht="30" customHeight="1">
      <c r="A98" s="91" t="inlineStr">
        <is>
          <t>Deals we ran or scheduled, Nov 1 - Dec 5, 2025 (deal records promotions; scheduled deal price not in the feed. price history price = lowest Buy Box seen during the deal, an observation for the hero child only, not the scheduled deal price): Lightning Deal 11-01 to 11-01 (cancelled, 60 variations); Lightning Deal 11-04 to 11-05 (cancelled, 60 variations); Lightning Deal 11-13 to 11-14 (cancelled, 60 variations); Best Deal 11-20 to 12-02 (ran, 66 variations, 1,865 units; price history lowest Buy Box during it $15.15 on B0DBW1PNJ8).</t>
        </is>
      </c>
    </row>
    <row r="99" ht="18" customHeight="1">
      <c r="A99" s="92" t="inlineStr">
        <is>
          <t>BFCM 2026 plan: Best Deal 11/19-11/30. Deal price and depth not yet given; not yet visible in Amazon's deal feed.</t>
        </is>
      </c>
    </row>
    <row r="100" ht="30" customHeight="1">
      <c r="A100" s="93" t="inlineStr">
        <is>
          <t>Amazon deal price now: Queen reference moved to the current $21.95; Oct 16 Best Deal max $19.76 (10% below today). 17 SKUs still carry the old lower reference (mostly Twin and Full, plus Queen Navy and Blush), cut 14-23%.</t>
        </is>
      </c>
    </row>
    <row r="101" ht="30" customHeight="1">
      <c r="A101" s="93" t="inlineStr">
        <is>
          <t>Pre-BFCM deal decision and stock: Oct 16 Best Deal: cancel proposed. Stock: 8 ranking variations out of stock with no inbound (King Black, King Grey, King Stone Grey, Queen White, Queen Baby Blue, Full Black, Full White, Twin Black); the 699 inbound units are on colours already in stock. If these are not back by Nov 19 the SF BFCM Best Deal may be cancelled.</t>
        </is>
      </c>
    </row>
    <row r="102" ht="30" customHeight="1">
      <c r="A102" s="94" t="inlineStr">
        <is>
          <t>BFCM 2026 stock (account data, Oct 15): 4,656 units at Amazon + 459 already sent (no ETA in account data); selling 39.1 a day; need about 2,485 to Nov 30 with a 2.47x BFCM lift (own BFCM 2025 lift (account data)). Variations: 40 covered, 0 need the inbound in time, 13 short even with inbound (401 units), 9 out of stock now. Detail: BFCM Stock tab.</t>
        </is>
      </c>
    </row>
    <row r="103" ht="18" customHeight="1">
      <c r="A103" s="95" t="inlineStr">
        <is>
          <t>ASSUMED 2026 deal prices, until the team's final: B0DBW1PNJ8 today $21.95; $18.66 at 15% off (Nov 19-26) and $17.56 at 20% off (Nov 27-30, Black Friday to Cyber Monday). Rule: team rule agreed Oct 15, 2026. Evidence: our BFCM 2025 deal on B0DBW1PNJ8 (US, price history): $16.95 before, $15.15 during, 11% off; US competitors' median price cut in BFCM 2025: 5% (2 rivals). Amazon may use a lower reference price than today's (it sets it the day before the deal), which would lower the deal price.</t>
        </is>
      </c>
    </row>
    <row r="104" ht="30" customHeight="1">
      <c r="A104" s="91" t="inlineStr">
        <is>
          <t>Our hero child B0DBW1PNJ8 in price history (market data, US): price $16.95 before (median Nov 1-19) → $15.15 in BFCM week (median Nov 20 - Dec 1), 11% lower; lowest $15.15; Best Seller Rank 21,529 → 13,184 (1.63x better). Price is price history's lowest new offer (price history holds no Buy Box series for our own ASINs; we are the only seller).</t>
        </is>
      </c>
    </row>
    <row r="105" ht="40" customHeight="1">
      <c r="A105" s="91" t="inlineStr">
        <is>
          <t>Stock in BFCM week 2025 (FBA inventory snapshots, child-ASIN level, revision 2): 0 of 68 variations hit zero FBA stock on at least one observed day; weighted by today's sales mix that is ~0.0% of variation-days lost. Days with no snapshot (Nov 26-27 and Dec 1, Cyber Monday), inferred from sales that day and the readings either side: 202 of 204 variation-days in stock, 0 out of stock, 2 unknown. Inferred, not a stock reading.</t>
        </is>
      </c>
    </row>
    <row r="106">
      <c r="A106" s="90" t="inlineStr">
        <is>
          <t>market data visibility for our best child B0DBW1PNJ8: organic score 98.1 before BFCM 2025 → 70.8 in BFCM week; Prime Day 2026 78.0 → 84.0; Aug-Sep 2026 51.7.</t>
        </is>
      </c>
    </row>
    <row r="107"/>
    <row r="108" ht="22" customHeight="1">
      <c r="A108" s="65" t="inlineStr">
        <is>
          <t>4 ▼</t>
        </is>
      </c>
      <c r="B108" s="66" t="inlineStr">
        <is>
          <t>COMPETITOR LANDSCAPE (14 mapped)</t>
        </is>
      </c>
      <c r="C108" s="67" t="n"/>
      <c r="D108" s="67" t="n"/>
      <c r="E108" s="67" t="n"/>
      <c r="F108" s="67" t="n"/>
      <c r="G108" s="67" t="n"/>
      <c r="H108" s="67" t="n"/>
      <c r="I108" s="67" t="n"/>
      <c r="J108" s="67" t="n"/>
      <c r="K108" s="67" t="n"/>
      <c r="L108" s="67" t="n"/>
      <c r="M108" s="67" t="n"/>
      <c r="N108" s="67" t="n"/>
      <c r="O108" s="67" t="n"/>
      <c r="P108" s="67" t="n"/>
      <c r="Q108" s="67" t="n"/>
      <c r="R108" s="67" t="n"/>
      <c r="S108" s="67" t="n"/>
      <c r="T108" s="67" t="n"/>
      <c r="U108" s="67" t="n"/>
      <c r="V108" s="67" t="n"/>
      <c r="W108" s="67" t="n"/>
      <c r="X108" s="67" t="n"/>
      <c r="Y108" s="67" t="n"/>
      <c r="Z108" s="67" t="n"/>
      <c r="AA108" s="67" t="n"/>
      <c r="AB108" s="67" t="n"/>
      <c r="AC108" s="67" t="n"/>
      <c r="AD108" s="67" t="n"/>
      <c r="AE108" s="67" t="n"/>
      <c r="AF108" s="67" t="n"/>
      <c r="AG108" s="67" t="n"/>
      <c r="AH108" s="67" t="n"/>
      <c r="AI108" s="67" t="n"/>
      <c r="AJ108" s="67" t="n"/>
      <c r="AK108" s="67" t="n"/>
      <c r="AL108" s="67" t="n"/>
      <c r="AM108" s="67" t="n"/>
      <c r="AN108" s="67" t="n"/>
      <c r="AO108" s="67" t="n"/>
      <c r="AP108" s="67" t="n"/>
      <c r="AQ108" s="67" t="n"/>
      <c r="AR108" s="67" t="n"/>
      <c r="AS108" s="67" t="n"/>
      <c r="AT108" s="67" t="n"/>
      <c r="AU108" s="67" t="n"/>
      <c r="AV108" s="67" t="n"/>
      <c r="AW108" s="67" t="n"/>
      <c r="AX108" s="67" t="n"/>
      <c r="AY108" s="67" t="n"/>
      <c r="AZ108" s="67" t="n"/>
      <c r="BA108" s="67" t="n"/>
      <c r="BB108" s="67" t="n"/>
      <c r="BC108" s="67" t="n"/>
      <c r="BD108" s="67" t="n"/>
      <c r="BE108" s="67" t="n"/>
      <c r="BF108" s="67" t="n"/>
      <c r="BG108" s="67" t="n"/>
      <c r="BH108" s="67" t="n"/>
      <c r="BI108" s="67" t="n"/>
      <c r="BJ108" s="67" t="n"/>
      <c r="BK108" s="67" t="n"/>
    </row>
    <row r="109" ht="20" customHeight="1">
      <c r="A109" s="96" t="inlineStr">
        <is>
          <t>▼▼▼</t>
        </is>
      </c>
      <c r="B109" s="97" t="inlineStr">
        <is>
          <t>COMPETITOR DATA BELOW: one row per competitor (5 direct first, then alternative material). Scroll right for listing, search, strikethrough now and BFCM 2025 history (deal type, price, discount, rank change).</t>
        </is>
      </c>
      <c r="C109" s="98" t="n"/>
      <c r="D109" s="98" t="n"/>
      <c r="E109" s="98" t="n"/>
      <c r="F109" s="98" t="n"/>
      <c r="G109" s="98" t="n"/>
      <c r="H109" s="98" t="n"/>
      <c r="I109" s="98" t="n"/>
      <c r="J109" s="98" t="n"/>
      <c r="K109" s="98" t="n"/>
      <c r="L109" s="98" t="n"/>
      <c r="M109" s="98" t="n"/>
      <c r="N109" s="98" t="n"/>
      <c r="O109" s="98" t="n"/>
      <c r="P109" s="98" t="n"/>
      <c r="Q109" s="98" t="n"/>
      <c r="R109" s="98" t="n"/>
      <c r="S109" s="98" t="n"/>
      <c r="T109" s="98" t="n"/>
      <c r="U109" s="98" t="n"/>
      <c r="V109" s="98" t="n"/>
      <c r="W109" s="98" t="n"/>
      <c r="X109" s="98" t="n"/>
      <c r="Y109" s="98" t="n"/>
      <c r="Z109" s="98" t="n"/>
      <c r="AA109" s="98" t="n"/>
      <c r="AB109" s="98" t="n"/>
      <c r="AC109" s="98" t="n"/>
      <c r="AD109" s="98" t="n"/>
      <c r="AE109" s="98" t="n"/>
      <c r="AF109" s="98" t="n"/>
      <c r="AG109" s="98" t="n"/>
      <c r="AH109" s="98" t="n"/>
      <c r="AI109" s="98" t="n"/>
      <c r="AJ109" s="98" t="n"/>
      <c r="AK109" s="98" t="n"/>
      <c r="AL109" s="98" t="n"/>
      <c r="AM109" s="98" t="n"/>
      <c r="AN109" s="98" t="n"/>
      <c r="AO109" s="98" t="n"/>
      <c r="AP109" s="98" t="n"/>
      <c r="AQ109" s="98" t="n"/>
      <c r="AR109" s="98" t="n"/>
      <c r="AS109" s="98" t="n"/>
      <c r="AT109" s="98" t="n"/>
      <c r="AU109" s="98" t="n"/>
      <c r="AV109" s="98" t="n"/>
      <c r="AW109" s="98" t="n"/>
      <c r="AX109" s="98" t="n"/>
      <c r="AY109" s="98" t="n"/>
      <c r="AZ109" s="98" t="n"/>
      <c r="BA109" s="98" t="n"/>
      <c r="BB109" s="98" t="n"/>
      <c r="BC109" s="98" t="n"/>
      <c r="BD109" s="98" t="n"/>
      <c r="BE109" s="98" t="n"/>
      <c r="BF109" s="98" t="n"/>
      <c r="BG109" s="98" t="n"/>
      <c r="BH109" s="98" t="n"/>
      <c r="BI109" s="98" t="n"/>
      <c r="BJ109" s="98" t="n"/>
      <c r="BK109" s="98" t="n"/>
    </row>
    <row r="110">
      <c r="A110" s="99" t="inlineStr">
        <is>
          <t>COMPETITOR</t>
        </is>
      </c>
      <c r="L110" s="100" t="inlineStr">
        <is>
          <t>LISTING - catalog data</t>
        </is>
      </c>
      <c r="M110" s="101" t="inlineStr">
        <is>
          <t>SEARCH STRATEGY - market data search data</t>
        </is>
      </c>
      <c r="N110" s="102" t="inlineStr">
        <is>
          <t>PRICE &amp; SALES - market data snapshot (date per row)</t>
        </is>
      </c>
      <c r="AA110" s="100" t="inlineStr">
        <is>
          <t>LISTING - catalog data</t>
        </is>
      </c>
      <c r="AD110" s="101" t="inlineStr">
        <is>
          <t>SEARCH STRATEGY - market data search data</t>
        </is>
      </c>
      <c r="AU110" s="103" t="inlineStr">
        <is>
          <t>STR NOW - Amazon page check (Oct 13, P1 + P2)</t>
        </is>
      </c>
      <c r="BB110" s="104" t="inlineStr">
        <is>
          <t>BFCM 2025 - price history (P1 filled; yellow = not pulled yet)</t>
        </is>
      </c>
    </row>
    <row r="111" ht="48" customHeight="1">
      <c r="A111" s="26" t="inlineStr">
        <is>
          <t>Image</t>
        </is>
      </c>
      <c r="B111" s="26" t="inlineStr">
        <is>
          <t>Brand</t>
        </is>
      </c>
      <c r="C111" s="26" t="inlineStr">
        <is>
          <t>Product title</t>
        </is>
      </c>
      <c r="D111" s="26" t="inlineStr">
        <is>
          <t>Tier</t>
        </is>
      </c>
      <c r="E111" s="26" t="inlineStr">
        <is>
          <t>Competitor type</t>
        </is>
      </c>
      <c r="F111" s="26" t="inlineStr">
        <is>
          <t>Material</t>
        </is>
      </c>
      <c r="G111" s="26" t="inlineStr">
        <is>
          <t>Why this type</t>
        </is>
      </c>
      <c r="H111" s="26" t="inlineStr">
        <is>
          <t>Parent ASIN</t>
        </is>
      </c>
      <c r="I111" s="26" t="inlineStr">
        <is>
          <t>Tracked child ASIN</t>
        </is>
      </c>
      <c r="J111" s="26" t="inlineStr">
        <is>
          <t>Size</t>
        </is>
      </c>
      <c r="K111" s="26" t="inlineStr">
        <is>
          <t>Colour</t>
        </is>
      </c>
      <c r="L111" s="26" t="inlineStr">
        <is>
          <t>Variations</t>
        </is>
      </c>
      <c r="M111" s="26" t="inlineStr">
        <is>
          <t>Hero child ASINs (share of their visibility)</t>
        </is>
      </c>
      <c r="N111" s="26" t="inlineStr">
        <is>
          <t>Price ($)</t>
        </is>
      </c>
      <c r="O111" s="26" t="inlineStr">
        <is>
          <t>List Price ($)</t>
        </is>
      </c>
      <c r="P111" s="26" t="inlineStr">
        <is>
          <t>List Price % over</t>
        </is>
      </c>
      <c r="Q111" s="26" t="inlineStr">
        <is>
          <t>STR band</t>
        </is>
      </c>
      <c r="R111" s="26" t="inlineStr">
        <is>
          <t>Our price, same size ($)</t>
        </is>
      </c>
      <c r="S111" s="26" t="inlineStr">
        <is>
          <t>Their price vs ours</t>
        </is>
      </c>
      <c r="T111" s="26" t="inlineStr">
        <is>
          <t>Comparison basis</t>
        </is>
      </c>
      <c r="U111" s="26" t="inlineStr">
        <is>
          <t>BSR</t>
        </is>
      </c>
      <c r="V111" s="26" t="inlineStr">
        <is>
          <t>Est weekly units</t>
        </is>
      </c>
      <c r="W111" s="26" t="inlineStr">
        <is>
          <t>Est monthly revenue ($)</t>
        </is>
      </c>
      <c r="X111" s="26" t="inlineStr">
        <is>
          <t>Rating</t>
        </is>
      </c>
      <c r="Y111" s="26" t="inlineStr">
        <is>
          <t>Reviews</t>
        </is>
      </c>
      <c r="Z111" s="26" t="inlineStr">
        <is>
          <t>Snapshot date</t>
        </is>
      </c>
      <c r="AA111" s="26" t="inlineStr">
        <is>
          <t>Listed</t>
        </is>
      </c>
      <c r="AB111" s="26" t="inlineStr">
        <is>
          <t>Fulfil.</t>
        </is>
      </c>
      <c r="AC111" s="26" t="inlineStr">
        <is>
          <t>Seller country</t>
        </is>
      </c>
      <c r="AD111" s="26" t="inlineStr">
        <is>
          <t>search data 7d traffic</t>
        </is>
      </c>
      <c r="AE111" s="26" t="inlineStr">
        <is>
          <t>Keywords ranked</t>
        </is>
      </c>
      <c r="AF111" s="26" t="inlineStr">
        <is>
          <t>Organic share of traffic</t>
        </is>
      </c>
      <c r="AG111" s="26" t="inlineStr">
        <is>
          <t>Ad share of traffic</t>
        </is>
      </c>
      <c r="AH111" s="26" t="inlineStr">
        <is>
          <t>Top keyword</t>
        </is>
      </c>
      <c r="AI111" s="26" t="inlineStr">
        <is>
          <t>SP reach</t>
        </is>
      </c>
      <c r="AJ111" s="26" t="inlineStr">
        <is>
          <t>SB reach</t>
        </is>
      </c>
      <c r="AK111" s="26" t="inlineStr">
        <is>
          <t>SB video reach</t>
        </is>
      </c>
      <c r="AL111" s="26" t="inlineStr">
        <is>
          <t>Amazon's Choice reach</t>
        </is>
      </c>
      <c r="AM111" s="26" t="inlineStr">
        <is>
          <t>Shared keywords</t>
        </is>
      </c>
      <c r="AN111" s="26" t="inlineStr">
        <is>
          <t>We win</t>
        </is>
      </c>
      <c r="AO111" s="26" t="inlineStr">
        <is>
          <t>We lose</t>
        </is>
      </c>
      <c r="AP111" s="26" t="inlineStr">
        <is>
          <t>Their keywords we miss</t>
        </is>
      </c>
      <c r="AQ111" s="26" t="inlineStr">
        <is>
          <t>KWs they advertise, we don't</t>
        </is>
      </c>
      <c r="AR111" s="26" t="inlineStr">
        <is>
          <t>KWs they out-advertise us</t>
        </is>
      </c>
      <c r="AS111" s="26" t="inlineStr">
        <is>
          <t>Prime Day 2026 organic vis lift</t>
        </is>
      </c>
      <c r="AT111" s="26" t="inlineStr">
        <is>
          <t>Organic trend (Aug-Sep vs Q2)</t>
        </is>
      </c>
      <c r="AU111" s="26" t="inlineStr">
        <is>
          <t>STR showing now? (Y/N)</t>
        </is>
      </c>
      <c r="AV111" s="26" t="inlineStr">
        <is>
          <t>STR label</t>
        </is>
      </c>
      <c r="AW111" s="26" t="inlineStr">
        <is>
          <t>Strikethrough price ($)</t>
        </is>
      </c>
      <c r="AX111" s="26" t="inlineStr">
        <is>
          <t>Page price at check ($)</t>
        </is>
      </c>
      <c r="AY111" s="26" t="inlineStr">
        <is>
          <t>Deal / coupon now</t>
        </is>
      </c>
      <c r="AZ111" s="26" t="inlineStr">
        <is>
          <t>Orderable now (Y/N)</t>
        </is>
      </c>
      <c r="BA111" s="26" t="inlineStr">
        <is>
          <t>Checked (ET)</t>
        </is>
      </c>
      <c r="BB111" s="26" t="inlineStr">
        <is>
          <t>BFCM 2025 deal type</t>
        </is>
      </c>
      <c r="BC111" s="26" t="inlineStr">
        <is>
          <t>BFCM 2025 deal dates</t>
        </is>
      </c>
      <c r="BD111" s="26" t="inlineStr">
        <is>
          <t>Pre-event price ($)</t>
        </is>
      </c>
      <c r="BE111" s="26" t="inlineStr">
        <is>
          <t>BFCM 2025 low ($)</t>
        </is>
      </c>
      <c r="BF111" s="26" t="inlineStr">
        <is>
          <t>BFCM 2025 discount</t>
        </is>
      </c>
      <c r="BG111" s="26" t="inlineStr">
        <is>
          <t>BSR pre-event</t>
        </is>
      </c>
      <c r="BH111" s="26" t="inlineStr">
        <is>
          <t>BSR BFCM wk</t>
        </is>
      </c>
      <c r="BI111" s="26" t="inlineStr">
        <is>
          <t>BSR lift (x)</t>
        </is>
      </c>
      <c r="BJ111" s="26" t="inlineStr">
        <is>
          <t>OOS in BFCM? (Y/N)</t>
        </is>
      </c>
      <c r="BK111" s="26" t="inlineStr">
        <is>
          <t>Notes</t>
        </is>
      </c>
    </row>
    <row r="112" ht="62" customHeight="1">
      <c r="A112" s="12">
        <f>_xlfn.IMAGE("https://m.media-amazon.com/images/I/61ctdtmfhML._AC_SL1500_.jpg")</f>
        <v/>
      </c>
      <c r="B112" s="105" t="inlineStr">
        <is>
          <t>BEDELITE</t>
        </is>
      </c>
      <c r="C112" s="39" t="inlineStr">
        <is>
          <t>Satin Fitted Sheet</t>
        </is>
      </c>
      <c r="D112" s="105" t="inlineStr">
        <is>
          <t>Beatable</t>
        </is>
      </c>
      <c r="E112" s="106" t="inlineStr">
        <is>
          <t>Direct</t>
        </is>
      </c>
      <c r="F112" s="105" t="inlineStr">
        <is>
          <t>Satin (polyester)</t>
        </is>
      </c>
      <c r="G112" s="39" t="inlineStr">
        <is>
          <t>Same product (fitted sheet) in the same material family: Satin (polyester) (product page material: Satin); ours: our listing: polyester satin.</t>
        </is>
      </c>
      <c r="H112" s="107" t="inlineStr">
        <is>
          <t>B0FNMFHHW7</t>
        </is>
      </c>
      <c r="I112" s="107" t="inlineStr">
        <is>
          <t>B0FL2BK9CR</t>
        </is>
      </c>
      <c r="J112" s="105" t="inlineStr">
        <is>
          <t>Queen</t>
        </is>
      </c>
      <c r="K112" s="105" t="inlineStr">
        <is>
          <t>Black</t>
        </is>
      </c>
      <c r="L112" s="108" t="n">
        <v>30</v>
      </c>
      <c r="M112" s="39" t="inlineStr">
        <is>
          <t>B0FL2BK9CR (67%), B0FL2BLLVL (9%), B0FL2CPFYZ (8%)</t>
        </is>
      </c>
      <c r="N112" s="109" t="n">
        <v>13.99</v>
      </c>
      <c r="O112" s="109" t="n"/>
      <c r="P112" s="110">
        <f>IF(AND(ISNUMBER(O112),ISNUMBER(N112),N(N112)&gt;0),O112/N112-1,"")</f>
        <v/>
      </c>
      <c r="Q112" s="111">
        <f>IF(P112="","No List Price",IF(P112&lt;=0,"At/below price",IF(P112&lt;=0.12,"&lt;=12% STR zone",IF(P112&lt;=0.25,"12-25%","&gt;25% over"))))</f>
        <v/>
      </c>
      <c r="R112" s="109" t="n">
        <v>21.95</v>
      </c>
      <c r="S112" s="112">
        <f>IF(AND(ISNUMBER(N112),ISNUMBER(R112),N(R112)&gt;0),N112/R112-1,"")</f>
        <v/>
      </c>
      <c r="T112" s="39" t="inlineStr">
        <is>
          <t>Same size (Queen). Ours live: catalog price, 2026-10-13; 11 children</t>
        </is>
      </c>
      <c r="U112" s="108" t="n">
        <v>11489</v>
      </c>
      <c r="V112" s="108" t="n">
        <v>208</v>
      </c>
      <c r="W112" s="113">
        <f>IF(AND(ISNUMBER(N112),ISNUMBER(V112)),N112*V112*52/12,"")</f>
        <v/>
      </c>
      <c r="X112" s="114" t="n">
        <v>4.4</v>
      </c>
      <c r="Y112" s="108" t="n">
        <v>528</v>
      </c>
      <c r="Z112" s="115" t="n">
        <v>46307</v>
      </c>
      <c r="AA112" s="115" t="n"/>
      <c r="AB112" s="105" t="n"/>
      <c r="AC112" s="105" t="n"/>
      <c r="AD112" s="108" t="n">
        <v>91747</v>
      </c>
      <c r="AE112" s="108" t="n">
        <v>1002</v>
      </c>
      <c r="AF112" s="116" t="n">
        <v>0.6396661122434514</v>
      </c>
      <c r="AG112" s="116" t="n">
        <v>0.3603339923921218</v>
      </c>
      <c r="AH112" s="39" t="inlineStr">
        <is>
          <t>silk sheets</t>
        </is>
      </c>
      <c r="AI112" s="116" t="n">
        <v>0.8237435556475962</v>
      </c>
      <c r="AJ112" s="116" t="n"/>
      <c r="AK112" s="116" t="n"/>
      <c r="AL112" s="116" t="n">
        <v>0.0912291410073354</v>
      </c>
      <c r="AM112" s="108" t="n">
        <v>416</v>
      </c>
      <c r="AN112" s="108" t="n">
        <v>171</v>
      </c>
      <c r="AO112" s="108" t="n">
        <v>219</v>
      </c>
      <c r="AP112" s="108" t="n">
        <v>586</v>
      </c>
      <c r="AQ112" s="108" t="n">
        <v>93</v>
      </c>
      <c r="AR112" s="108" t="n">
        <v>16</v>
      </c>
      <c r="AS112" s="117" t="n">
        <v>1.227166276346604</v>
      </c>
      <c r="AT112" s="112" t="n">
        <v>0.2799310938845823</v>
      </c>
      <c r="AU112" s="118" t="inlineStr">
        <is>
          <t>Y</t>
        </is>
      </c>
      <c r="AV112" s="118" t="inlineStr">
        <is>
          <t>List Price</t>
        </is>
      </c>
      <c r="AW112" s="119" t="n">
        <v>16.99</v>
      </c>
      <c r="AX112" s="119" t="n">
        <v>13.99</v>
      </c>
      <c r="AY112" s="118" t="inlineStr">
        <is>
          <t>none</t>
        </is>
      </c>
      <c r="AZ112" s="118" t="inlineStr">
        <is>
          <t>Y</t>
        </is>
      </c>
      <c r="BA112" s="118" t="inlineStr">
        <is>
          <t>2026-10-13 12:12:33</t>
        </is>
      </c>
      <c r="BB112" s="120" t="inlineStr">
        <is>
          <t>Prime Exclusive Discount</t>
        </is>
      </c>
      <c r="BC112" s="120" t="inlineStr">
        <is>
          <t>11-02 to 12-05</t>
        </is>
      </c>
      <c r="BD112" s="121" t="n">
        <v>13.59</v>
      </c>
      <c r="BE112" s="121" t="n">
        <v>12.74</v>
      </c>
      <c r="BF112" s="110">
        <f>IF(AND(ISNUMBER(BD112),ISNUMBER(BE112),N(BD112)&gt;0),1-BE112/BD112,"")</f>
        <v/>
      </c>
      <c r="BG112" s="122" t="n">
        <v>43633</v>
      </c>
      <c r="BH112" s="122" t="n">
        <v>39640</v>
      </c>
      <c r="BI112" s="123">
        <f>IF(AND(ISNUMBER(BG112),ISNUMBER(BH112),N(BH112)&gt;0),BG112/BH112,"")</f>
        <v/>
      </c>
      <c r="BJ112" s="120" t="inlineStr">
        <is>
          <t>N</t>
        </is>
      </c>
      <c r="BK112" s="120" t="inlineStr">
        <is>
          <t>Prime Exclusive already running before BFCM week; Buy Box RAISED in BFCM week (median $16.99 vs $13.59 before); List Price $16.99</t>
        </is>
      </c>
    </row>
    <row r="113" ht="62" customHeight="1">
      <c r="A113" s="45" t="inlineStr">
        <is>
          <t>COMING SOON</t>
        </is>
      </c>
      <c r="B113" s="105" t="inlineStr">
        <is>
          <t>Bedsure</t>
        </is>
      </c>
      <c r="C113" s="39" t="inlineStr">
        <is>
          <t>Satin Fitted Sheet</t>
        </is>
      </c>
      <c r="D113" s="105" t="inlineStr">
        <is>
          <t>Poor</t>
        </is>
      </c>
      <c r="E113" s="106" t="inlineStr">
        <is>
          <t>Direct</t>
        </is>
      </c>
      <c r="F113" s="105" t="inlineStr">
        <is>
          <t>Satin (polyester)</t>
        </is>
      </c>
      <c r="G113" s="39" t="inlineStr">
        <is>
          <t>Same product (fitted sheet) in the same material family: Satin (polyester) (title: Satin Fitted Sheet); ours: our listing: polyester satin.</t>
        </is>
      </c>
      <c r="H113" s="107" t="inlineStr">
        <is>
          <t>B0DG238XCM</t>
        </is>
      </c>
      <c r="I113" s="107" t="inlineStr">
        <is>
          <t>B0DG2HRZKK</t>
        </is>
      </c>
      <c r="J113" s="105" t="n"/>
      <c r="K113" s="105" t="n"/>
      <c r="L113" s="108" t="n"/>
      <c r="M113" s="39" t="inlineStr"/>
      <c r="N113" s="109" t="n">
        <v>21.95</v>
      </c>
      <c r="O113" s="109" t="n"/>
      <c r="P113" s="110">
        <f>IF(AND(ISNUMBER(O113),ISNUMBER(N113),N(N113)&gt;0),O113/N113-1,"")</f>
        <v/>
      </c>
      <c r="Q113" s="111">
        <f>IF(P113="","No List Price",IF(P113&lt;=0,"At/below price",IF(P113&lt;=0.12,"&lt;=12% STR zone",IF(P113&lt;=0.25,"12-25%","&gt;25% over"))))</f>
        <v/>
      </c>
      <c r="R113" s="109" t="n">
        <v>21.95</v>
      </c>
      <c r="S113" s="112">
        <f>IF(AND(ISNUMBER(N113),ISNUMBER(R113),N(R113)&gt;0),N113/R113-1,"")</f>
        <v/>
      </c>
      <c r="T113" s="39" t="inlineStr">
        <is>
          <t>Size not stated - vs our Queen. Ours live: catalog price, 2026-10-13; 11 children</t>
        </is>
      </c>
      <c r="U113" s="108" t="n">
        <v>732930</v>
      </c>
      <c r="V113" s="108" t="n">
        <v>5</v>
      </c>
      <c r="W113" s="113">
        <f>IF(AND(ISNUMBER(N113),ISNUMBER(V113)),N113*V113*52/12,"")</f>
        <v/>
      </c>
      <c r="X113" s="114" t="n">
        <v>4.5</v>
      </c>
      <c r="Y113" s="108" t="n">
        <v>223</v>
      </c>
      <c r="Z113" s="115" t="n">
        <v>46279</v>
      </c>
      <c r="AA113" s="115" t="n"/>
      <c r="AB113" s="105" t="n"/>
      <c r="AC113" s="105" t="n"/>
      <c r="AD113" s="108" t="n"/>
      <c r="AE113" s="108" t="n"/>
      <c r="AF113" s="116" t="n"/>
      <c r="AG113" s="116" t="n"/>
      <c r="AH113" s="39" t="n"/>
      <c r="AI113" s="116" t="n"/>
      <c r="AJ113" s="116" t="n"/>
      <c r="AK113" s="116" t="n"/>
      <c r="AL113" s="116" t="n"/>
      <c r="AM113" s="108" t="n"/>
      <c r="AN113" s="108" t="n"/>
      <c r="AO113" s="108" t="n"/>
      <c r="AP113" s="108" t="n"/>
      <c r="AQ113" s="108" t="n"/>
      <c r="AR113" s="108" t="n"/>
      <c r="AS113" s="117" t="n"/>
      <c r="AT113" s="112" t="n"/>
      <c r="AU113" s="118" t="inlineStr">
        <is>
          <t>unknown</t>
        </is>
      </c>
      <c r="AV113" s="125" t="n"/>
      <c r="AW113" s="124" t="n"/>
      <c r="AX113" s="124" t="n"/>
      <c r="AY113" s="125" t="n"/>
      <c r="AZ113" s="125" t="n"/>
      <c r="BA113" s="118" t="inlineStr">
        <is>
          <t>2026-10-13 23:44:22</t>
        </is>
      </c>
      <c r="BB113" s="120" t="inlineStr">
        <is>
          <t>Prime Exclusive Discount</t>
        </is>
      </c>
      <c r="BC113" s="120" t="inlineStr">
        <is>
          <t>11-01 to 12-05</t>
        </is>
      </c>
      <c r="BD113" s="121" t="n">
        <v>15.99</v>
      </c>
      <c r="BE113" s="121" t="n">
        <v>9.99</v>
      </c>
      <c r="BF113" s="110">
        <f>IF(AND(ISNUMBER(BD113),ISNUMBER(BE113),N(BD113)&gt;0),1-BE113/BD113,"")</f>
        <v/>
      </c>
      <c r="BG113" s="122" t="n">
        <v>150319</v>
      </c>
      <c r="BH113" s="122" t="n">
        <v>149700</v>
      </c>
      <c r="BI113" s="123">
        <f>IF(AND(ISNUMBER(BG113),ISNUMBER(BH113),N(BH113)&gt;0),BG113/BH113,"")</f>
        <v/>
      </c>
      <c r="BJ113" s="120" t="inlineStr">
        <is>
          <t>N</t>
        </is>
      </c>
      <c r="BK113" s="120" t="inlineStr">
        <is>
          <t>Prime Exclusive already running before BFCM week; List Price $24.99</t>
        </is>
      </c>
    </row>
    <row r="114" ht="62" customHeight="1">
      <c r="A114" s="12">
        <f>_xlfn.IMAGE("https://m.media-amazon.com/images/I/61La30TgAgL._AC_SL1500_.jpg")</f>
        <v/>
      </c>
      <c r="B114" s="105" t="inlineStr">
        <is>
          <t>Lirex</t>
        </is>
      </c>
      <c r="C114" s="39" t="inlineStr">
        <is>
          <t>Satin Fitted Sheet</t>
        </is>
      </c>
      <c r="D114" s="105" t="inlineStr">
        <is>
          <t>Poor</t>
        </is>
      </c>
      <c r="E114" s="106" t="inlineStr">
        <is>
          <t>Direct</t>
        </is>
      </c>
      <c r="F114" s="105" t="inlineStr">
        <is>
          <t>Satin (polyester)</t>
        </is>
      </c>
      <c r="G114" s="39" t="inlineStr">
        <is>
          <t>Same product (fitted sheet) in the same material family: Satin (polyester) (title: Satin Fitted Sheet); ours: our listing: polyester satin.</t>
        </is>
      </c>
      <c r="H114" s="107" t="inlineStr">
        <is>
          <t>B0D62YKYKZ</t>
        </is>
      </c>
      <c r="I114" s="107" t="inlineStr">
        <is>
          <t>B0D62TQYPX</t>
        </is>
      </c>
      <c r="J114" s="105" t="inlineStr">
        <is>
          <t>Twin</t>
        </is>
      </c>
      <c r="K114" s="105" t="inlineStr">
        <is>
          <t>Light Grey</t>
        </is>
      </c>
      <c r="L114" s="108" t="n"/>
      <c r="M114" s="39" t="inlineStr"/>
      <c r="N114" s="109" t="n">
        <v>12.99</v>
      </c>
      <c r="O114" s="109" t="n"/>
      <c r="P114" s="110">
        <f>IF(AND(ISNUMBER(O114),ISNUMBER(N114),N(N114)&gt;0),O114/N114-1,"")</f>
        <v/>
      </c>
      <c r="Q114" s="111">
        <f>IF(P114="","No List Price",IF(P114&lt;=0,"At/below price",IF(P114&lt;=0.12,"&lt;=12% STR zone",IF(P114&lt;=0.25,"12-25%","&gt;25% over"))))</f>
        <v/>
      </c>
      <c r="R114" s="109" t="n">
        <v>19.95</v>
      </c>
      <c r="S114" s="112">
        <f>IF(AND(ISNUMBER(N114),ISNUMBER(R114),N(R114)&gt;0),N114/R114-1,"")</f>
        <v/>
      </c>
      <c r="T114" s="39" t="inlineStr">
        <is>
          <t>Same size (Twin). Ours live: catalog price, 2026-10-13; 15 children</t>
        </is>
      </c>
      <c r="U114" s="108" t="n">
        <v>308243</v>
      </c>
      <c r="V114" s="108" t="n">
        <v>5</v>
      </c>
      <c r="W114" s="113">
        <f>IF(AND(ISNUMBER(N114),ISNUMBER(V114)),N114*V114*52/12,"")</f>
        <v/>
      </c>
      <c r="X114" s="114" t="n">
        <v>4.5</v>
      </c>
      <c r="Y114" s="108" t="n">
        <v>733</v>
      </c>
      <c r="Z114" s="115" t="n">
        <v>46307</v>
      </c>
      <c r="AA114" s="115" t="n"/>
      <c r="AB114" s="105" t="n"/>
      <c r="AC114" s="105" t="n"/>
      <c r="AD114" s="108" t="n"/>
      <c r="AE114" s="108" t="n"/>
      <c r="AF114" s="116" t="n"/>
      <c r="AG114" s="116" t="n"/>
      <c r="AH114" s="39" t="n"/>
      <c r="AI114" s="116" t="n"/>
      <c r="AJ114" s="116" t="n"/>
      <c r="AK114" s="116" t="n"/>
      <c r="AL114" s="116" t="n"/>
      <c r="AM114" s="108" t="n"/>
      <c r="AN114" s="108" t="n"/>
      <c r="AO114" s="108" t="n"/>
      <c r="AP114" s="108" t="n"/>
      <c r="AQ114" s="108" t="n"/>
      <c r="AR114" s="108" t="n"/>
      <c r="AS114" s="117" t="n"/>
      <c r="AT114" s="112" t="n"/>
      <c r="AU114" s="118" t="inlineStr">
        <is>
          <t>N</t>
        </is>
      </c>
      <c r="AV114" s="118" t="inlineStr">
        <is>
          <t>none</t>
        </is>
      </c>
      <c r="AW114" s="124" t="n"/>
      <c r="AX114" s="119" t="n">
        <v>12.99</v>
      </c>
      <c r="AY114" s="118" t="inlineStr">
        <is>
          <t>none</t>
        </is>
      </c>
      <c r="AZ114" s="118" t="inlineStr">
        <is>
          <t>Y</t>
        </is>
      </c>
      <c r="BA114" s="118" t="inlineStr">
        <is>
          <t>2026-10-13 23:44:31</t>
        </is>
      </c>
      <c r="BB114" s="120" t="inlineStr">
        <is>
          <t>Prime Exclusive Discount</t>
        </is>
      </c>
      <c r="BC114" s="120" t="inlineStr">
        <is>
          <t>11-26 to 12-01</t>
        </is>
      </c>
      <c r="BD114" s="121" t="n">
        <v>11.69</v>
      </c>
      <c r="BE114" s="121" t="n">
        <v>9.98</v>
      </c>
      <c r="BF114" s="110">
        <f>IF(AND(ISNUMBER(BD114),ISNUMBER(BE114),N(BD114)&gt;0),1-BE114/BD114,"")</f>
        <v/>
      </c>
      <c r="BG114" s="122" t="n">
        <v>244532</v>
      </c>
      <c r="BH114" s="122" t="n">
        <v>240261</v>
      </c>
      <c r="BI114" s="123">
        <f>IF(AND(ISNUMBER(BG114),ISNUMBER(BH114),N(BH114)&gt;0),BG114/BH114,"")</f>
        <v/>
      </c>
      <c r="BJ114" s="120" t="inlineStr">
        <is>
          <t>N</t>
        </is>
      </c>
      <c r="BK114" s="120" t="inlineStr">
        <is>
          <t>Buy Box RAISED in BFCM week (median $12.99 vs $11.69 before); List Price $12.99</t>
        </is>
      </c>
    </row>
    <row r="115" ht="62" customHeight="1">
      <c r="A115" s="12">
        <f>_xlfn.IMAGE("https://m.media-amazon.com/images/I/71KXVgjEKtL._AC_SL1500_.jpg")</f>
        <v/>
      </c>
      <c r="B115" s="105" t="inlineStr">
        <is>
          <t>Love's cabin</t>
        </is>
      </c>
      <c r="C115" s="39" t="inlineStr">
        <is>
          <t>Satin Fitted Sheet</t>
        </is>
      </c>
      <c r="D115" s="105" t="inlineStr">
        <is>
          <t>Poor</t>
        </is>
      </c>
      <c r="E115" s="106" t="inlineStr">
        <is>
          <t>Direct</t>
        </is>
      </c>
      <c r="F115" s="105" t="inlineStr">
        <is>
          <t>Satin (polyester)</t>
        </is>
      </c>
      <c r="G115" s="39" t="inlineStr">
        <is>
          <t>Same product (fitted sheet) in the same material family: Satin (polyester) (product page material: Satin); ours: our listing: polyester satin.</t>
        </is>
      </c>
      <c r="H115" s="107" t="inlineStr">
        <is>
          <t>B0DWSHT8CF</t>
        </is>
      </c>
      <c r="I115" s="107" t="inlineStr">
        <is>
          <t>B0DWSK45RC</t>
        </is>
      </c>
      <c r="J115" s="105" t="inlineStr">
        <is>
          <t>Queen</t>
        </is>
      </c>
      <c r="K115" s="105" t="inlineStr">
        <is>
          <t>White</t>
        </is>
      </c>
      <c r="L115" s="108" t="n"/>
      <c r="M115" s="39" t="inlineStr"/>
      <c r="N115" s="109" t="n">
        <v>18.38</v>
      </c>
      <c r="O115" s="109" t="n"/>
      <c r="P115" s="110">
        <f>IF(AND(ISNUMBER(O115),ISNUMBER(N115),N(N115)&gt;0),O115/N115-1,"")</f>
        <v/>
      </c>
      <c r="Q115" s="111">
        <f>IF(P115="","No List Price",IF(P115&lt;=0,"At/below price",IF(P115&lt;=0.12,"&lt;=12% STR zone",IF(P115&lt;=0.25,"12-25%","&gt;25% over"))))</f>
        <v/>
      </c>
      <c r="R115" s="109" t="n">
        <v>21.95</v>
      </c>
      <c r="S115" s="112">
        <f>IF(AND(ISNUMBER(N115),ISNUMBER(R115),N(R115)&gt;0),N115/R115-1,"")</f>
        <v/>
      </c>
      <c r="T115" s="39" t="inlineStr">
        <is>
          <t>Same size (Queen). Ours live: catalog price, 2026-10-13; 11 children</t>
        </is>
      </c>
      <c r="U115" s="108" t="n">
        <v>1112453</v>
      </c>
      <c r="V115" s="108" t="n">
        <v>5</v>
      </c>
      <c r="W115" s="113">
        <f>IF(AND(ISNUMBER(N115),ISNUMBER(V115)),N115*V115*52/12,"")</f>
        <v/>
      </c>
      <c r="X115" s="114" t="n">
        <v>4.3</v>
      </c>
      <c r="Y115" s="108" t="n">
        <v>81</v>
      </c>
      <c r="Z115" s="115" t="n">
        <v>46307</v>
      </c>
      <c r="AA115" s="115" t="n"/>
      <c r="AB115" s="105" t="n"/>
      <c r="AC115" s="105" t="n"/>
      <c r="AD115" s="108" t="n"/>
      <c r="AE115" s="108" t="n"/>
      <c r="AF115" s="116" t="n"/>
      <c r="AG115" s="116" t="n"/>
      <c r="AH115" s="39" t="n"/>
      <c r="AI115" s="116" t="n"/>
      <c r="AJ115" s="116" t="n"/>
      <c r="AK115" s="116" t="n"/>
      <c r="AL115" s="116" t="n"/>
      <c r="AM115" s="108" t="n"/>
      <c r="AN115" s="108" t="n"/>
      <c r="AO115" s="108" t="n"/>
      <c r="AP115" s="108" t="n"/>
      <c r="AQ115" s="108" t="n"/>
      <c r="AR115" s="108" t="n"/>
      <c r="AS115" s="117" t="n"/>
      <c r="AT115" s="112" t="n"/>
      <c r="AU115" s="118" t="inlineStr">
        <is>
          <t>N</t>
        </is>
      </c>
      <c r="AV115" s="118" t="inlineStr">
        <is>
          <t>none</t>
        </is>
      </c>
      <c r="AW115" s="124" t="n"/>
      <c r="AX115" s="124" t="n"/>
      <c r="AY115" s="118" t="inlineStr">
        <is>
          <t>none</t>
        </is>
      </c>
      <c r="AZ115" s="118" t="inlineStr">
        <is>
          <t>N</t>
        </is>
      </c>
      <c r="BA115" s="118" t="inlineStr">
        <is>
          <t>2026-10-13 23:44:34</t>
        </is>
      </c>
      <c r="BB115" s="120" t="inlineStr">
        <is>
          <t>Prime Exclusive Discount</t>
        </is>
      </c>
      <c r="BC115" s="120" t="inlineStr">
        <is>
          <t>11-02 to 12-05</t>
        </is>
      </c>
      <c r="BD115" s="121" t="n">
        <v>16.99</v>
      </c>
      <c r="BE115" s="121" t="n">
        <v>13.29</v>
      </c>
      <c r="BF115" s="110">
        <f>IF(AND(ISNUMBER(BD115),ISNUMBER(BE115),N(BD115)&gt;0),1-BE115/BD115,"")</f>
        <v/>
      </c>
      <c r="BG115" s="122" t="n">
        <v>146793</v>
      </c>
      <c r="BH115" s="122" t="n">
        <v>155068</v>
      </c>
      <c r="BI115" s="123">
        <f>IF(AND(ISNUMBER(BG115),ISNUMBER(BH115),N(BH115)&gt;0),BG115/BH115,"")</f>
        <v/>
      </c>
      <c r="BJ115" s="120" t="inlineStr">
        <is>
          <t>N</t>
        </is>
      </c>
      <c r="BK115" s="120" t="inlineStr">
        <is>
          <t>Prime Exclusive already running before BFCM week; List Price $16.99</t>
        </is>
      </c>
    </row>
    <row r="116" ht="62" customHeight="1">
      <c r="A116" s="12">
        <f>_xlfn.IMAGE("https://m.media-amazon.com/images/I/71dQwvMkQ+L._AC_SL1500_.jpg")</f>
        <v/>
      </c>
      <c r="B116" s="105" t="inlineStr">
        <is>
          <t>P Pothuiny</t>
        </is>
      </c>
      <c r="C116" s="39" t="inlineStr">
        <is>
          <t>Satin Fitted Sheet</t>
        </is>
      </c>
      <c r="D116" s="105" t="inlineStr">
        <is>
          <t>Poor</t>
        </is>
      </c>
      <c r="E116" s="106" t="inlineStr">
        <is>
          <t>Direct</t>
        </is>
      </c>
      <c r="F116" s="105" t="inlineStr">
        <is>
          <t>Satin (polyester)</t>
        </is>
      </c>
      <c r="G116" s="39" t="inlineStr">
        <is>
          <t>Same product (fitted sheet) in the same material family: Satin (polyester) (product page material: Silky,satin,100 % Polyester); ours: our listing: polyester satin.</t>
        </is>
      </c>
      <c r="H116" s="107" t="inlineStr">
        <is>
          <t>B09W5W7VCC</t>
        </is>
      </c>
      <c r="I116" s="107" t="inlineStr">
        <is>
          <t>B09W5W7VCC</t>
        </is>
      </c>
      <c r="J116" s="105" t="n"/>
      <c r="K116" s="105" t="inlineStr">
        <is>
          <t>Ivory White</t>
        </is>
      </c>
      <c r="L116" s="108" t="n"/>
      <c r="M116" s="39" t="inlineStr"/>
      <c r="N116" s="109" t="n">
        <v>12.99</v>
      </c>
      <c r="O116" s="109" t="n"/>
      <c r="P116" s="110">
        <f>IF(AND(ISNUMBER(O116),ISNUMBER(N116),N(N116)&gt;0),O116/N116-1,"")</f>
        <v/>
      </c>
      <c r="Q116" s="111">
        <f>IF(P116="","No List Price",IF(P116&lt;=0,"At/below price",IF(P116&lt;=0.12,"&lt;=12% STR zone",IF(P116&lt;=0.25,"12-25%","&gt;25% over"))))</f>
        <v/>
      </c>
      <c r="R116" s="109" t="n">
        <v>21.95</v>
      </c>
      <c r="S116" s="112">
        <f>IF(AND(ISNUMBER(N116),ISNUMBER(R116),N(R116)&gt;0),N116/R116-1,"")</f>
        <v/>
      </c>
      <c r="T116" s="39" t="inlineStr">
        <is>
          <t>Size not stated - vs our Queen. Ours live: catalog price, 2026-10-13; 11 children</t>
        </is>
      </c>
      <c r="U116" s="108" t="n"/>
      <c r="V116" s="108" t="n">
        <v>5</v>
      </c>
      <c r="W116" s="113">
        <f>IF(AND(ISNUMBER(N116),ISNUMBER(V116)),N116*V116*52/12,"")</f>
        <v/>
      </c>
      <c r="X116" s="114" t="n">
        <v>4.4</v>
      </c>
      <c r="Y116" s="108" t="n">
        <v>8</v>
      </c>
      <c r="Z116" s="115" t="n">
        <v>46307</v>
      </c>
      <c r="AA116" s="115" t="n"/>
      <c r="AB116" s="105" t="n"/>
      <c r="AC116" s="105" t="n"/>
      <c r="AD116" s="108" t="n"/>
      <c r="AE116" s="108" t="n"/>
      <c r="AF116" s="116" t="n"/>
      <c r="AG116" s="116" t="n"/>
      <c r="AH116" s="39" t="n"/>
      <c r="AI116" s="116" t="n"/>
      <c r="AJ116" s="116" t="n"/>
      <c r="AK116" s="116" t="n"/>
      <c r="AL116" s="116" t="n"/>
      <c r="AM116" s="108" t="n"/>
      <c r="AN116" s="108" t="n"/>
      <c r="AO116" s="108" t="n"/>
      <c r="AP116" s="108" t="n"/>
      <c r="AQ116" s="108" t="n"/>
      <c r="AR116" s="108" t="n"/>
      <c r="AS116" s="117" t="n"/>
      <c r="AT116" s="112" t="n"/>
      <c r="AU116" s="118" t="inlineStr">
        <is>
          <t>N</t>
        </is>
      </c>
      <c r="AV116" s="118" t="inlineStr">
        <is>
          <t>none</t>
        </is>
      </c>
      <c r="AW116" s="124" t="n"/>
      <c r="AX116" s="124" t="n"/>
      <c r="AY116" s="118" t="inlineStr">
        <is>
          <t>none</t>
        </is>
      </c>
      <c r="AZ116" s="118" t="inlineStr">
        <is>
          <t>N</t>
        </is>
      </c>
      <c r="BA116" s="118" t="inlineStr">
        <is>
          <t>2026-10-13 23:44:40</t>
        </is>
      </c>
      <c r="BB116" s="125" t="n"/>
      <c r="BC116" s="125" t="n"/>
      <c r="BD116" s="124" t="n"/>
      <c r="BE116" s="124" t="n"/>
      <c r="BF116" s="110">
        <f>IF(AND(ISNUMBER(BD116),ISNUMBER(BE116),N(BD116)&gt;0),1-BE116/BD116,"")</f>
        <v/>
      </c>
      <c r="BG116" s="122" t="n">
        <v>256063</v>
      </c>
      <c r="BH116" s="122" t="n">
        <v>184931</v>
      </c>
      <c r="BI116" s="123">
        <f>IF(AND(ISNUMBER(BG116),ISNUMBER(BH116),N(BH116)&gt;0),BG116/BH116,"")</f>
        <v/>
      </c>
      <c r="BJ116" s="120" t="inlineStr">
        <is>
          <t>Y</t>
        </is>
      </c>
      <c r="BK116" s="120" t="inlineStr">
        <is>
          <t>No Buy Box history in price history for BFCM 2025; List Price $19.99</t>
        </is>
      </c>
    </row>
    <row r="117" ht="62" customHeight="1">
      <c r="A117" s="12">
        <f>_xlfn.IMAGE("https://images-na.ssl-images-amazon.com/images/I/81MYmoOAtUL.jpg")</f>
        <v/>
      </c>
      <c r="B117" s="105" t="inlineStr">
        <is>
          <t>Homiest</t>
        </is>
      </c>
      <c r="C117" s="39" t="inlineStr">
        <is>
          <t>Satin Fitted Sheet</t>
        </is>
      </c>
      <c r="D117" s="105" t="inlineStr">
        <is>
          <t>Beatable</t>
        </is>
      </c>
      <c r="E117" s="128" t="inlineStr">
        <is>
          <t>Alternative material</t>
        </is>
      </c>
      <c r="F117" s="105" t="inlineStr">
        <is>
          <t>Microfiber / polyester</t>
        </is>
      </c>
      <c r="G117" s="39" t="inlineStr">
        <is>
          <t>Fitted sheet in Microfiber / polyester (product page material: Polyester); ours is Satin (polyester) (our listing: polyester satin). Shopper may cross-shop, but not like-for-like.</t>
        </is>
      </c>
      <c r="H117" s="107" t="inlineStr">
        <is>
          <t>B09WGRB6MD</t>
        </is>
      </c>
      <c r="I117" s="107" t="inlineStr">
        <is>
          <t>B09WHDR231</t>
        </is>
      </c>
      <c r="J117" s="105" t="inlineStr">
        <is>
          <t>Twin - Fitted</t>
        </is>
      </c>
      <c r="K117" s="105" t="inlineStr">
        <is>
          <t>Black</t>
        </is>
      </c>
      <c r="L117" s="108" t="n">
        <v>55</v>
      </c>
      <c r="M117" s="39" t="inlineStr">
        <is>
          <t>B09WH7J5F3 (30%), B09WGTH1M5 (24%), B09WH4B2BD (17%), B09WHDR231 (10%)</t>
        </is>
      </c>
      <c r="N117" s="109" t="n">
        <v>12.99</v>
      </c>
      <c r="O117" s="109" t="n"/>
      <c r="P117" s="110">
        <f>IF(AND(ISNUMBER(O117),ISNUMBER(N117),N(N117)&gt;0),O117/N117-1,"")</f>
        <v/>
      </c>
      <c r="Q117" s="111">
        <f>IF(P117="","No List Price",IF(P117&lt;=0,"At/below price",IF(P117&lt;=0.12,"&lt;=12% STR zone",IF(P117&lt;=0.25,"12-25%","&gt;25% over"))))</f>
        <v/>
      </c>
      <c r="R117" s="109" t="n">
        <v>19.95</v>
      </c>
      <c r="S117" s="112">
        <f>IF(AND(ISNUMBER(N117),ISNUMBER(R117),N(R117)&gt;0),N117/R117-1,"")</f>
        <v/>
      </c>
      <c r="T117" s="39" t="inlineStr">
        <is>
          <t>Same size (Twin). Ours live: catalog price, 2026-10-13; 15 children</t>
        </is>
      </c>
      <c r="U117" s="108" t="n">
        <v>18176</v>
      </c>
      <c r="V117" s="108" t="n">
        <v>35</v>
      </c>
      <c r="W117" s="113">
        <f>IF(AND(ISNUMBER(N117),ISNUMBER(V117)),N117*V117*52/12,"")</f>
        <v/>
      </c>
      <c r="X117" s="114" t="n">
        <v>4.7</v>
      </c>
      <c r="Y117" s="108" t="n">
        <v>357</v>
      </c>
      <c r="Z117" s="115" t="n">
        <v>46307</v>
      </c>
      <c r="AA117" s="115" t="n"/>
      <c r="AB117" s="105" t="n"/>
      <c r="AC117" s="105" t="n"/>
      <c r="AD117" s="108" t="n">
        <v>41522</v>
      </c>
      <c r="AE117" s="108" t="n">
        <v>853</v>
      </c>
      <c r="AF117" s="116" t="n">
        <v>0.9561438081017288</v>
      </c>
      <c r="AG117" s="116" t="n">
        <v>0.04385634603342806</v>
      </c>
      <c r="AH117" s="39" t="inlineStr">
        <is>
          <t>satin sheets</t>
        </is>
      </c>
      <c r="AI117" s="116" t="n">
        <v>0.2673522470015895</v>
      </c>
      <c r="AJ117" s="116" t="n"/>
      <c r="AK117" s="116" t="n"/>
      <c r="AL117" s="116" t="n">
        <v>0.009874283512354896</v>
      </c>
      <c r="AM117" s="108" t="n">
        <v>416</v>
      </c>
      <c r="AN117" s="108" t="n">
        <v>221</v>
      </c>
      <c r="AO117" s="108" t="n">
        <v>157</v>
      </c>
      <c r="AP117" s="108" t="n">
        <v>437</v>
      </c>
      <c r="AQ117" s="108" t="n">
        <v>23</v>
      </c>
      <c r="AR117" s="108" t="n">
        <v>2</v>
      </c>
      <c r="AS117" s="117" t="n">
        <v>0.960591133004926</v>
      </c>
      <c r="AT117" s="112" t="n">
        <v>-0.1584158415841583</v>
      </c>
      <c r="AU117" s="118" t="inlineStr">
        <is>
          <t>N</t>
        </is>
      </c>
      <c r="AV117" s="118" t="inlineStr">
        <is>
          <t>none</t>
        </is>
      </c>
      <c r="AW117" s="124" t="n"/>
      <c r="AX117" s="119" t="n">
        <v>12.99</v>
      </c>
      <c r="AY117" s="118" t="inlineStr">
        <is>
          <t>none</t>
        </is>
      </c>
      <c r="AZ117" s="118" t="inlineStr">
        <is>
          <t>Y</t>
        </is>
      </c>
      <c r="BA117" s="118" t="inlineStr">
        <is>
          <t>2026-10-13 12:12:59</t>
        </is>
      </c>
      <c r="BB117" s="120" t="inlineStr">
        <is>
          <t>Prime Exclusive Discount</t>
        </is>
      </c>
      <c r="BC117" s="120" t="inlineStr">
        <is>
          <t>11-18 to 12-05</t>
        </is>
      </c>
      <c r="BD117" s="121" t="n">
        <v>12.99</v>
      </c>
      <c r="BE117" s="121" t="n">
        <v>10.94</v>
      </c>
      <c r="BF117" s="110">
        <f>IF(AND(ISNUMBER(BD117),ISNUMBER(BE117),N(BD117)&gt;0),1-BE117/BD117,"")</f>
        <v/>
      </c>
      <c r="BG117" s="122" t="n">
        <v>13619</v>
      </c>
      <c r="BH117" s="122" t="n">
        <v>16677</v>
      </c>
      <c r="BI117" s="123">
        <f>IF(AND(ISNUMBER(BG117),ISNUMBER(BH117),N(BH117)&gt;0),BG117/BH117,"")</f>
        <v/>
      </c>
      <c r="BJ117" s="120" t="inlineStr">
        <is>
          <t>N</t>
        </is>
      </c>
      <c r="BK117" s="120" t="inlineStr">
        <is>
          <t>Prime Exclusive already running before BFCM week; Buy Box RAISED in BFCM week (median $14.99 vs $12.99 before); List Price $23.02</t>
        </is>
      </c>
    </row>
    <row r="118" ht="62" customHeight="1">
      <c r="A118" s="12">
        <f>_xlfn.IMAGE("https://m.media-amazon.com/images/I/71bg4AJEQpL._AC_SL1500_.jpg")</f>
        <v/>
      </c>
      <c r="B118" s="105" t="inlineStr">
        <is>
          <t>NSGZ</t>
        </is>
      </c>
      <c r="C118" s="39" t="inlineStr">
        <is>
          <t>Satin Fitted Sheet</t>
        </is>
      </c>
      <c r="D118" s="105" t="inlineStr">
        <is>
          <t>Poor</t>
        </is>
      </c>
      <c r="E118" s="128" t="inlineStr">
        <is>
          <t>Alternative material</t>
        </is>
      </c>
      <c r="F118" s="105" t="inlineStr">
        <is>
          <t>Microfiber / polyester</t>
        </is>
      </c>
      <c r="G118" s="39" t="inlineStr">
        <is>
          <t>Fitted sheet in Microfiber / polyester (product page material: Polyester); ours is Satin (polyester) (our listing: polyester satin). Shopper may cross-shop, but not like-for-like.</t>
        </is>
      </c>
      <c r="H118" s="107" t="inlineStr">
        <is>
          <t>B0BV1JFXC4</t>
        </is>
      </c>
      <c r="I118" s="107" t="inlineStr">
        <is>
          <t>B0BV1HW54C</t>
        </is>
      </c>
      <c r="J118" s="105" t="inlineStr">
        <is>
          <t>Full</t>
        </is>
      </c>
      <c r="K118" s="105" t="inlineStr">
        <is>
          <t>Pink</t>
        </is>
      </c>
      <c r="L118" s="108" t="n"/>
      <c r="M118" s="39" t="inlineStr"/>
      <c r="N118" s="109" t="n">
        <v>13.49</v>
      </c>
      <c r="O118" s="109" t="n"/>
      <c r="P118" s="110">
        <f>IF(AND(ISNUMBER(O118),ISNUMBER(N118),N(N118)&gt;0),O118/N118-1,"")</f>
        <v/>
      </c>
      <c r="Q118" s="111">
        <f>IF(P118="","No List Price",IF(P118&lt;=0,"At/below price",IF(P118&lt;=0.12,"&lt;=12% STR zone",IF(P118&lt;=0.25,"12-25%","&gt;25% over"))))</f>
        <v/>
      </c>
      <c r="R118" s="109" t="n">
        <v>20.95</v>
      </c>
      <c r="S118" s="112">
        <f>IF(AND(ISNUMBER(N118),ISNUMBER(R118),N(R118)&gt;0),N118/R118-1,"")</f>
        <v/>
      </c>
      <c r="T118" s="39" t="inlineStr">
        <is>
          <t>Same size (Full). Ours live: catalog price, 2026-10-13; 14 children</t>
        </is>
      </c>
      <c r="U118" s="108" t="n">
        <v>49470</v>
      </c>
      <c r="V118" s="108" t="n">
        <v>81</v>
      </c>
      <c r="W118" s="113">
        <f>IF(AND(ISNUMBER(N118),ISNUMBER(V118)),N118*V118*52/12,"")</f>
        <v/>
      </c>
      <c r="X118" s="114" t="n">
        <v>4.4</v>
      </c>
      <c r="Y118" s="108" t="n">
        <v>601</v>
      </c>
      <c r="Z118" s="115" t="n">
        <v>46307</v>
      </c>
      <c r="AA118" s="115" t="n"/>
      <c r="AB118" s="105" t="n"/>
      <c r="AC118" s="105" t="n"/>
      <c r="AD118" s="108" t="n"/>
      <c r="AE118" s="108" t="n"/>
      <c r="AF118" s="116" t="n"/>
      <c r="AG118" s="116" t="n"/>
      <c r="AH118" s="39" t="n"/>
      <c r="AI118" s="116" t="n"/>
      <c r="AJ118" s="116" t="n"/>
      <c r="AK118" s="116" t="n"/>
      <c r="AL118" s="116" t="n"/>
      <c r="AM118" s="108" t="n"/>
      <c r="AN118" s="108" t="n"/>
      <c r="AO118" s="108" t="n"/>
      <c r="AP118" s="108" t="n"/>
      <c r="AQ118" s="108" t="n"/>
      <c r="AR118" s="108" t="n"/>
      <c r="AS118" s="117" t="n"/>
      <c r="AT118" s="112" t="n"/>
      <c r="AU118" s="118" t="inlineStr">
        <is>
          <t>N</t>
        </is>
      </c>
      <c r="AV118" s="118" t="inlineStr">
        <is>
          <t>none</t>
        </is>
      </c>
      <c r="AW118" s="124" t="n"/>
      <c r="AX118" s="119" t="n">
        <v>13.49</v>
      </c>
      <c r="AY118" s="118" t="inlineStr">
        <is>
          <t>none</t>
        </is>
      </c>
      <c r="AZ118" s="118" t="inlineStr">
        <is>
          <t>Y</t>
        </is>
      </c>
      <c r="BA118" s="118" t="inlineStr">
        <is>
          <t>2026-10-13 23:44:37</t>
        </is>
      </c>
      <c r="BB118" s="120" t="inlineStr">
        <is>
          <t>None</t>
        </is>
      </c>
      <c r="BC118" s="125" t="n"/>
      <c r="BD118" s="121" t="n">
        <v>12.99</v>
      </c>
      <c r="BE118" s="121" t="n">
        <v>12.49</v>
      </c>
      <c r="BF118" s="110">
        <f>IF(AND(ISNUMBER(BD118),ISNUMBER(BE118),N(BD118)&gt;0),1-BE118/BD118,"")</f>
        <v/>
      </c>
      <c r="BG118" s="122" t="n">
        <v>48776</v>
      </c>
      <c r="BH118" s="122" t="n">
        <v>53752</v>
      </c>
      <c r="BI118" s="123">
        <f>IF(AND(ISNUMBER(BG118),ISNUMBER(BH118),N(BH118)&gt;0),BG118/BH118,"")</f>
        <v/>
      </c>
      <c r="BJ118" s="120" t="inlineStr">
        <is>
          <t>N</t>
        </is>
      </c>
      <c r="BK118" s="120" t="inlineStr">
        <is>
          <t>List Price $15.99</t>
        </is>
      </c>
    </row>
    <row r="119" ht="62" customHeight="1">
      <c r="A119" s="12">
        <f>_xlfn.IMAGE("https://m.media-amazon.com/images/I/61YnyaGH00L._AC_SL1200_.jpg")</f>
        <v/>
      </c>
      <c r="B119" s="105" t="inlineStr">
        <is>
          <t>JUWENIN</t>
        </is>
      </c>
      <c r="C119" s="39" t="inlineStr">
        <is>
          <t>Satin Fitted Sheet</t>
        </is>
      </c>
      <c r="D119" s="105" t="inlineStr">
        <is>
          <t>Untiered</t>
        </is>
      </c>
      <c r="E119" s="128" t="inlineStr">
        <is>
          <t>Alternative material</t>
        </is>
      </c>
      <c r="F119" s="105" t="inlineStr">
        <is>
          <t>Microfiber / polyester</t>
        </is>
      </c>
      <c r="G119" s="39" t="inlineStr">
        <is>
          <t>Fitted sheet in Microfiber / polyester (product page material: Polyester); ours is Satin (polyester) (our listing: polyester satin). Shopper may cross-shop, but not like-for-like.</t>
        </is>
      </c>
      <c r="H119" s="107" t="inlineStr">
        <is>
          <t>B0B1DX9FRV</t>
        </is>
      </c>
      <c r="I119" s="107" t="inlineStr">
        <is>
          <t>B0B1DVKHSJ</t>
        </is>
      </c>
      <c r="J119" s="105" t="inlineStr">
        <is>
          <t>Twin/TwinXL</t>
        </is>
      </c>
      <c r="K119" s="105" t="inlineStr">
        <is>
          <t>Pink</t>
        </is>
      </c>
      <c r="L119" s="108" t="n">
        <v>19</v>
      </c>
      <c r="M119" s="39" t="inlineStr">
        <is>
          <t>B0B1DTFZSQ (20%), B0B1DW72LK (16%), B0B1DZ5834 (15%), B0H2V7JR7V (12%), B0B1DWVL2V (11%)</t>
        </is>
      </c>
      <c r="N119" s="109" t="n">
        <v>9.99</v>
      </c>
      <c r="O119" s="109" t="n"/>
      <c r="P119" s="110">
        <f>IF(AND(ISNUMBER(O119),ISNUMBER(N119),N(N119)&gt;0),O119/N119-1,"")</f>
        <v/>
      </c>
      <c r="Q119" s="111">
        <f>IF(P119="","No List Price",IF(P119&lt;=0,"At/below price",IF(P119&lt;=0.12,"&lt;=12% STR zone",IF(P119&lt;=0.25,"12-25%","&gt;25% over"))))</f>
        <v/>
      </c>
      <c r="R119" s="109" t="n">
        <v>19.95</v>
      </c>
      <c r="S119" s="112">
        <f>IF(AND(ISNUMBER(N119),ISNUMBER(R119),N(R119)&gt;0),N119/R119-1,"")</f>
        <v/>
      </c>
      <c r="T119" s="39" t="inlineStr">
        <is>
          <t>Same size (Twin). Ours live: catalog price, 2026-10-13; 15 children</t>
        </is>
      </c>
      <c r="U119" s="108" t="n">
        <v>251642</v>
      </c>
      <c r="V119" s="108" t="n">
        <v>5</v>
      </c>
      <c r="W119" s="113">
        <f>IF(AND(ISNUMBER(N119),ISNUMBER(V119)),N119*V119*52/12,"")</f>
        <v/>
      </c>
      <c r="X119" s="114" t="n">
        <v>4.4</v>
      </c>
      <c r="Y119" s="108" t="n">
        <v>256</v>
      </c>
      <c r="Z119" s="115" t="n">
        <v>46307</v>
      </c>
      <c r="AA119" s="115" t="n"/>
      <c r="AB119" s="105" t="n"/>
      <c r="AC119" s="105" t="n"/>
      <c r="AD119" s="108" t="n">
        <v>2799</v>
      </c>
      <c r="AE119" s="108" t="n">
        <v>183</v>
      </c>
      <c r="AF119" s="116" t="n">
        <v>0.9278307967131119</v>
      </c>
      <c r="AG119" s="116" t="n">
        <v>0.07216920328688817</v>
      </c>
      <c r="AH119" s="39" t="inlineStr">
        <is>
          <t>black satin sheets</t>
        </is>
      </c>
      <c r="AI119" s="116" t="n">
        <v>0.05216148624508753</v>
      </c>
      <c r="AJ119" s="116" t="n"/>
      <c r="AK119" s="116" t="n"/>
      <c r="AL119" s="116" t="n"/>
      <c r="AM119" s="108" t="n">
        <v>148</v>
      </c>
      <c r="AN119" s="108" t="n">
        <v>119</v>
      </c>
      <c r="AO119" s="108" t="n">
        <v>19</v>
      </c>
      <c r="AP119" s="108" t="n">
        <v>35</v>
      </c>
      <c r="AQ119" s="108" t="n">
        <v>2</v>
      </c>
      <c r="AR119" s="108" t="n">
        <v>0</v>
      </c>
      <c r="AS119" s="117" t="n"/>
      <c r="AT119" s="112" t="n"/>
      <c r="AU119" s="118" t="inlineStr">
        <is>
          <t>N</t>
        </is>
      </c>
      <c r="AV119" s="118" t="inlineStr">
        <is>
          <t>none</t>
        </is>
      </c>
      <c r="AW119" s="124" t="n"/>
      <c r="AX119" s="119" t="n">
        <v>9.99</v>
      </c>
      <c r="AY119" s="118" t="inlineStr">
        <is>
          <t>none</t>
        </is>
      </c>
      <c r="AZ119" s="118" t="inlineStr">
        <is>
          <t>Y</t>
        </is>
      </c>
      <c r="BA119" s="118" t="inlineStr">
        <is>
          <t>2026-10-13 23:44:28</t>
        </is>
      </c>
      <c r="BB119" s="125" t="n"/>
      <c r="BC119" s="125" t="n"/>
      <c r="BD119" s="124" t="n"/>
      <c r="BE119" s="124" t="n"/>
      <c r="BF119" s="110">
        <f>IF(AND(ISNUMBER(BD119),ISNUMBER(BE119),N(BD119)&gt;0),1-BE119/BD119,"")</f>
        <v/>
      </c>
      <c r="BG119" s="122" t="n">
        <v>214156</v>
      </c>
      <c r="BH119" s="122" t="n">
        <v>253912</v>
      </c>
      <c r="BI119" s="123">
        <f>IF(AND(ISNUMBER(BG119),ISNUMBER(BH119),N(BH119)&gt;0),BG119/BH119,"")</f>
        <v/>
      </c>
      <c r="BJ119" s="120" t="inlineStr">
        <is>
          <t>Y</t>
        </is>
      </c>
      <c r="BK119" s="120" t="inlineStr">
        <is>
          <t>No Buy Box history in price history for BFCM 2025</t>
        </is>
      </c>
    </row>
    <row r="120" ht="62" customHeight="1">
      <c r="A120" s="12">
        <f>_xlfn.IMAGE("https://images-na.ssl-images-amazon.com/images/I/71Jlvkv3rfL.jpg")</f>
        <v/>
      </c>
      <c r="B120" s="105" t="inlineStr">
        <is>
          <t>BEDELITE</t>
        </is>
      </c>
      <c r="C120" s="39" t="inlineStr">
        <is>
          <t>BEDELITE Satin Queen Fitted Sheet &amp; Pillowcases Set, Black, 3 Pieces</t>
        </is>
      </c>
      <c r="D120" s="105" t="inlineStr">
        <is>
          <t>Beatable</t>
        </is>
      </c>
      <c r="E120" s="133" t="inlineStr">
        <is>
          <t>Different product type</t>
        </is>
      </c>
      <c r="F120" s="105" t="inlineStr">
        <is>
          <t>Satin (polyester)</t>
        </is>
      </c>
      <c r="G120" s="39" t="inlineStr">
        <is>
          <t>Sells a sheet set; ours is a fitted sheet.</t>
        </is>
      </c>
      <c r="H120" s="107" t="inlineStr">
        <is>
          <t>B0FPCM7DL3</t>
        </is>
      </c>
      <c r="I120" s="107" t="inlineStr">
        <is>
          <t>B0CSFV4FXW</t>
        </is>
      </c>
      <c r="J120" s="105" t="inlineStr">
        <is>
          <t>Queen</t>
        </is>
      </c>
      <c r="K120" s="105" t="inlineStr">
        <is>
          <t>Black</t>
        </is>
      </c>
      <c r="L120" s="108" t="n">
        <v>107</v>
      </c>
      <c r="M120" s="39" t="inlineStr">
        <is>
          <t>B0CSFV4FXW (48%), B0CSFV69Q1 (13%), B0CSFW55XL (12%), B0CSFWH14D (5%), B0F291FC32 (4%)</t>
        </is>
      </c>
      <c r="N120" s="109" t="n">
        <v>15.98</v>
      </c>
      <c r="O120" s="109" t="n">
        <v>19.99</v>
      </c>
      <c r="P120" s="110">
        <f>IF(AND(ISNUMBER(O120),ISNUMBER(N120),N(N120)&gt;0),O120/N120-1,"")</f>
        <v/>
      </c>
      <c r="Q120" s="111">
        <f>IF(P120="","No List Price",IF(P120&lt;=0,"At/below price",IF(P120&lt;=0.12,"&lt;=12% STR zone",IF(P120&lt;=0.25,"12-25%","&gt;25% over"))))</f>
        <v/>
      </c>
      <c r="R120" s="109" t="n">
        <v>21.95</v>
      </c>
      <c r="S120" s="112">
        <f>IF(AND(ISNUMBER(N120),ISNUMBER(R120),N(R120)&gt;0),N120/R120-1,"")</f>
        <v/>
      </c>
      <c r="T120" s="39" t="inlineStr">
        <is>
          <t>Same size (Queen). Ours live: catalog price, 2026-10-13; 11 children</t>
        </is>
      </c>
      <c r="U120" s="108" t="n">
        <v>4306</v>
      </c>
      <c r="V120" s="108" t="n">
        <v>208</v>
      </c>
      <c r="W120" s="113">
        <f>IF(AND(ISNUMBER(N120),ISNUMBER(V120)),N120*V120*52/12,"")</f>
        <v/>
      </c>
      <c r="X120" s="114" t="n">
        <v>4.4</v>
      </c>
      <c r="Y120" s="108" t="n">
        <v>1858</v>
      </c>
      <c r="Z120" s="115" t="n">
        <v>46307</v>
      </c>
      <c r="AA120" s="115" t="n">
        <v>45307</v>
      </c>
      <c r="AB120" s="105" t="inlineStr">
        <is>
          <t>FBA</t>
        </is>
      </c>
      <c r="AC120" s="105" t="inlineStr">
        <is>
          <t>CN</t>
        </is>
      </c>
      <c r="AD120" s="108" t="n">
        <v>179643</v>
      </c>
      <c r="AE120" s="108" t="n">
        <v>2252</v>
      </c>
      <c r="AF120" s="116" t="n">
        <v>0.4557323781054652</v>
      </c>
      <c r="AG120" s="116" t="n">
        <v>0.5442676753338563</v>
      </c>
      <c r="AH120" s="39" t="inlineStr">
        <is>
          <t>shee</t>
        </is>
      </c>
      <c r="AI120" s="116" t="n">
        <v>0.9239714322294773</v>
      </c>
      <c r="AJ120" s="116" t="n">
        <v>0.4045968949527675</v>
      </c>
      <c r="AK120" s="116" t="n"/>
      <c r="AL120" s="116" t="n">
        <v>0.02756578324788609</v>
      </c>
      <c r="AM120" s="108" t="n">
        <v>502</v>
      </c>
      <c r="AN120" s="108" t="n">
        <v>197</v>
      </c>
      <c r="AO120" s="108" t="n">
        <v>259</v>
      </c>
      <c r="AP120" s="108" t="n">
        <v>1750</v>
      </c>
      <c r="AQ120" s="108" t="n">
        <v>499</v>
      </c>
      <c r="AR120" s="108" t="n">
        <v>21</v>
      </c>
      <c r="AS120" s="117" t="n">
        <v>1.118721461187214</v>
      </c>
      <c r="AT120" s="112" t="n">
        <v>0.04072948328267478</v>
      </c>
      <c r="AU120" s="118" t="inlineStr">
        <is>
          <t>Y</t>
        </is>
      </c>
      <c r="AV120" s="118" t="inlineStr">
        <is>
          <t>List Price</t>
        </is>
      </c>
      <c r="AW120" s="119" t="n">
        <v>19.99</v>
      </c>
      <c r="AX120" s="119" t="n">
        <v>15.98</v>
      </c>
      <c r="AY120" s="118" t="inlineStr">
        <is>
          <t>Limited time deal</t>
        </is>
      </c>
      <c r="AZ120" s="118" t="inlineStr">
        <is>
          <t>Y</t>
        </is>
      </c>
      <c r="BA120" s="118" t="inlineStr">
        <is>
          <t>2026-10-13 12:12:30</t>
        </is>
      </c>
      <c r="BB120" s="120" t="inlineStr">
        <is>
          <t>Price cut only</t>
        </is>
      </c>
      <c r="BC120" s="120" t="inlineStr">
        <is>
          <t>11-20 to 12-01</t>
        </is>
      </c>
      <c r="BD120" s="121" t="n">
        <v>15.99</v>
      </c>
      <c r="BE120" s="121" t="n">
        <v>15.18</v>
      </c>
      <c r="BF120" s="110">
        <f>IF(AND(ISNUMBER(BD120),ISNUMBER(BE120),N(BD120)&gt;0),1-BE120/BD120,"")</f>
        <v/>
      </c>
      <c r="BG120" s="122" t="n">
        <v>8356</v>
      </c>
      <c r="BH120" s="122" t="n">
        <v>4609</v>
      </c>
      <c r="BI120" s="123">
        <f>IF(AND(ISNUMBER(BG120),ISNUMBER(BH120),N(BH120)&gt;0),BG120/BH120,"")</f>
        <v/>
      </c>
      <c r="BJ120" s="120" t="inlineStr">
        <is>
          <t>N</t>
        </is>
      </c>
      <c r="BK120" s="120" t="inlineStr">
        <is>
          <t>Prime Exclusive 11-01 to 12-05; Lightning Deal 11-09 to 11-09; Prime Exclusive already running before BFCM week; List Price $19.99</t>
        </is>
      </c>
    </row>
    <row r="121" ht="62" customHeight="1">
      <c r="A121" s="12">
        <f>_xlfn.IMAGE("https://images-na.ssl-images-amazon.com/images/I/71d2-R2XfJL.jpg")</f>
        <v/>
      </c>
      <c r="B121" s="105" t="inlineStr">
        <is>
          <t>VACVELT</t>
        </is>
      </c>
      <c r="C121" s="39" t="inlineStr">
        <is>
          <t>VACVELT 3pcs Queen Black Extra Deep Pocket Satin Fitted Sheet Set</t>
        </is>
      </c>
      <c r="D121" s="105" t="inlineStr">
        <is>
          <t>Beatable</t>
        </is>
      </c>
      <c r="E121" s="133" t="inlineStr">
        <is>
          <t>Different product type</t>
        </is>
      </c>
      <c r="F121" s="105" t="inlineStr">
        <is>
          <t>Satin (polyester)</t>
        </is>
      </c>
      <c r="G121" s="39" t="inlineStr">
        <is>
          <t>Sells a sheet set; ours is a fitted sheet.</t>
        </is>
      </c>
      <c r="H121" s="107" t="inlineStr">
        <is>
          <t>B0BWJ4PYLN</t>
        </is>
      </c>
      <c r="I121" s="107" t="inlineStr">
        <is>
          <t>B0BWJ4MLLZ</t>
        </is>
      </c>
      <c r="J121" s="105" t="inlineStr">
        <is>
          <t>Queen</t>
        </is>
      </c>
      <c r="K121" s="105" t="inlineStr">
        <is>
          <t>Black</t>
        </is>
      </c>
      <c r="L121" s="108" t="n">
        <v>40</v>
      </c>
      <c r="M121" s="39" t="inlineStr">
        <is>
          <t>B0BWJ4MLLZ (83%)</t>
        </is>
      </c>
      <c r="N121" s="109" t="n">
        <v>18.99</v>
      </c>
      <c r="O121" s="109" t="n"/>
      <c r="P121" s="110">
        <f>IF(AND(ISNUMBER(O121),ISNUMBER(N121),N(N121)&gt;0),O121/N121-1,"")</f>
        <v/>
      </c>
      <c r="Q121" s="111">
        <f>IF(P121="","No List Price",IF(P121&lt;=0,"At/below price",IF(P121&lt;=0.12,"&lt;=12% STR zone",IF(P121&lt;=0.25,"12-25%","&gt;25% over"))))</f>
        <v/>
      </c>
      <c r="R121" s="109" t="n">
        <v>21.95</v>
      </c>
      <c r="S121" s="112">
        <f>IF(AND(ISNUMBER(N121),ISNUMBER(R121),N(R121)&gt;0),N121/R121-1,"")</f>
        <v/>
      </c>
      <c r="T121" s="39" t="inlineStr">
        <is>
          <t>Same size (Queen). Ours live: catalog price, 2026-10-13; 11 children</t>
        </is>
      </c>
      <c r="U121" s="108" t="n">
        <v>49291</v>
      </c>
      <c r="V121" s="108" t="n">
        <v>92</v>
      </c>
      <c r="W121" s="113">
        <f>IF(AND(ISNUMBER(N121),ISNUMBER(V121)),N121*V121*52/12,"")</f>
        <v/>
      </c>
      <c r="X121" s="114" t="n">
        <v>4.2</v>
      </c>
      <c r="Y121" s="108" t="n">
        <v>747</v>
      </c>
      <c r="Z121" s="115" t="n">
        <v>46307</v>
      </c>
      <c r="AA121" s="115" t="n">
        <v>44979</v>
      </c>
      <c r="AB121" s="105" t="inlineStr">
        <is>
          <t>FBA</t>
        </is>
      </c>
      <c r="AC121" s="105" t="inlineStr">
        <is>
          <t>CN</t>
        </is>
      </c>
      <c r="AD121" s="108" t="n">
        <v>25451</v>
      </c>
      <c r="AE121" s="108" t="n">
        <v>677</v>
      </c>
      <c r="AF121" s="116" t="n">
        <v>0.9999606773800636</v>
      </c>
      <c r="AG121" s="116" t="n">
        <v>3.932261993634828e-05</v>
      </c>
      <c r="AH121" s="39" t="inlineStr">
        <is>
          <t>satin sheets</t>
        </is>
      </c>
      <c r="AI121" s="116" t="n">
        <v>0.175985226513693</v>
      </c>
      <c r="AJ121" s="116" t="n"/>
      <c r="AK121" s="116" t="n"/>
      <c r="AL121" s="116" t="n">
        <v>0</v>
      </c>
      <c r="AM121" s="108" t="n">
        <v>268</v>
      </c>
      <c r="AN121" s="108" t="n">
        <v>180</v>
      </c>
      <c r="AO121" s="108" t="n">
        <v>69</v>
      </c>
      <c r="AP121" s="108" t="n">
        <v>409</v>
      </c>
      <c r="AQ121" s="108" t="n">
        <v>1</v>
      </c>
      <c r="AR121" s="108" t="n">
        <v>0</v>
      </c>
      <c r="AS121" s="117" t="n">
        <v>1.145341614906832</v>
      </c>
      <c r="AT121" s="112" t="n">
        <v>0.1112500000000001</v>
      </c>
      <c r="AU121" s="118" t="inlineStr">
        <is>
          <t>N</t>
        </is>
      </c>
      <c r="AV121" s="118" t="inlineStr">
        <is>
          <t>none</t>
        </is>
      </c>
      <c r="AW121" s="124" t="n"/>
      <c r="AX121" s="119" t="n">
        <v>18.99</v>
      </c>
      <c r="AY121" s="118" t="inlineStr">
        <is>
          <t>none</t>
        </is>
      </c>
      <c r="AZ121" s="118" t="inlineStr">
        <is>
          <t>Y</t>
        </is>
      </c>
      <c r="BA121" s="118" t="inlineStr">
        <is>
          <t>2026-10-13 12:13:51</t>
        </is>
      </c>
      <c r="BB121" s="120" t="inlineStr">
        <is>
          <t>Prime Exclusive Discount</t>
        </is>
      </c>
      <c r="BC121" s="120" t="inlineStr">
        <is>
          <t>11-01 to 12-01</t>
        </is>
      </c>
      <c r="BD121" s="121" t="n">
        <v>25.99</v>
      </c>
      <c r="BE121" s="121" t="n">
        <v>17.15</v>
      </c>
      <c r="BF121" s="110">
        <f>IF(AND(ISNUMBER(BD121),ISNUMBER(BE121),N(BD121)&gt;0),1-BE121/BD121,"")</f>
        <v/>
      </c>
      <c r="BG121" s="122" t="n">
        <v>56482</v>
      </c>
      <c r="BH121" s="122" t="n">
        <v>55960</v>
      </c>
      <c r="BI121" s="123">
        <f>IF(AND(ISNUMBER(BG121),ISNUMBER(BH121),N(BH121)&gt;0),BG121/BH121,"")</f>
        <v/>
      </c>
      <c r="BJ121" s="120" t="inlineStr">
        <is>
          <t>N</t>
        </is>
      </c>
      <c r="BK121" s="120" t="inlineStr">
        <is>
          <t>Prime Exclusive already running before BFCM week; List Price $47.98</t>
        </is>
      </c>
    </row>
    <row r="122" ht="62" customHeight="1">
      <c r="A122" s="12">
        <f>_xlfn.IMAGE("https://m.media-amazon.com/images/I/61ShIpqvBXL._AC_SL1500_.jpg")</f>
        <v/>
      </c>
      <c r="B122" s="105" t="inlineStr">
        <is>
          <t>VACVELT</t>
        </is>
      </c>
      <c r="C122" s="39" t="inlineStr">
        <is>
          <t>Satin Sheets</t>
        </is>
      </c>
      <c r="D122" s="105" t="inlineStr">
        <is>
          <t>Beatable</t>
        </is>
      </c>
      <c r="E122" s="133" t="inlineStr">
        <is>
          <t>Different product type</t>
        </is>
      </c>
      <c r="F122" s="105" t="inlineStr">
        <is>
          <t>Satin (polyester)</t>
        </is>
      </c>
      <c r="G122" s="39" t="inlineStr">
        <is>
          <t>Sells a sheet set; ours is a fitted sheet.</t>
        </is>
      </c>
      <c r="H122" s="107" t="inlineStr">
        <is>
          <t>B0F7XQDVJY</t>
        </is>
      </c>
      <c r="I122" s="107" t="inlineStr">
        <is>
          <t>B0F7XRNKQY</t>
        </is>
      </c>
      <c r="J122" s="105" t="inlineStr">
        <is>
          <t>Queen</t>
        </is>
      </c>
      <c r="K122" s="105" t="inlineStr">
        <is>
          <t>Beige</t>
        </is>
      </c>
      <c r="L122" s="108" t="n">
        <v>31</v>
      </c>
      <c r="M122" s="39" t="inlineStr">
        <is>
          <t>B0F7XRNKQY (46%), B0F7XR7CJX (14%), B0F7XQPKCG (8%), B0F7XQLX2P (6%), B0F7XR8JYF (4%)</t>
        </is>
      </c>
      <c r="N122" s="109" t="n">
        <v>17.99</v>
      </c>
      <c r="O122" s="109" t="n"/>
      <c r="P122" s="110">
        <f>IF(AND(ISNUMBER(O122),ISNUMBER(N122),N(N122)&gt;0),O122/N122-1,"")</f>
        <v/>
      </c>
      <c r="Q122" s="111">
        <f>IF(P122="","No List Price",IF(P122&lt;=0,"At/below price",IF(P122&lt;=0.12,"&lt;=12% STR zone",IF(P122&lt;=0.25,"12-25%","&gt;25% over"))))</f>
        <v/>
      </c>
      <c r="R122" s="109" t="n">
        <v>21.95</v>
      </c>
      <c r="S122" s="112">
        <f>IF(AND(ISNUMBER(N122),ISNUMBER(R122),N(R122)&gt;0),N122/R122-1,"")</f>
        <v/>
      </c>
      <c r="T122" s="39" t="inlineStr">
        <is>
          <t>Same size (Queen). Ours live: catalog price, 2026-10-13; 11 children</t>
        </is>
      </c>
      <c r="U122" s="108" t="n">
        <v>79028</v>
      </c>
      <c r="V122" s="108" t="n">
        <v>18</v>
      </c>
      <c r="W122" s="113">
        <f>IF(AND(ISNUMBER(N122),ISNUMBER(V122)),N122*V122*52/12,"")</f>
        <v/>
      </c>
      <c r="X122" s="114" t="n">
        <v>4.4</v>
      </c>
      <c r="Y122" s="108" t="n">
        <v>209</v>
      </c>
      <c r="Z122" s="115" t="n">
        <v>46307</v>
      </c>
      <c r="AA122" s="115" t="n"/>
      <c r="AB122" s="105" t="n"/>
      <c r="AC122" s="105" t="n"/>
      <c r="AD122" s="108" t="n">
        <v>21912</v>
      </c>
      <c r="AE122" s="108" t="n">
        <v>632</v>
      </c>
      <c r="AF122" s="116" t="n">
        <v>0.9845742834976268</v>
      </c>
      <c r="AG122" s="116" t="n">
        <v>0.01542586254107338</v>
      </c>
      <c r="AH122" s="39" t="inlineStr">
        <is>
          <t>silk sheets</t>
        </is>
      </c>
      <c r="AI122" s="116" t="n">
        <v>0.004518072289156626</v>
      </c>
      <c r="AJ122" s="116" t="n"/>
      <c r="AK122" s="116" t="n"/>
      <c r="AL122" s="116" t="n"/>
      <c r="AM122" s="108" t="n">
        <v>341</v>
      </c>
      <c r="AN122" s="108" t="n">
        <v>231</v>
      </c>
      <c r="AO122" s="108" t="n">
        <v>85</v>
      </c>
      <c r="AP122" s="108" t="n">
        <v>291</v>
      </c>
      <c r="AQ122" s="108" t="n">
        <v>9</v>
      </c>
      <c r="AR122" s="108" t="n">
        <v>2</v>
      </c>
      <c r="AS122" s="117" t="n">
        <v>1.707818930041152</v>
      </c>
      <c r="AT122" s="112" t="n">
        <v>1.91358024691358</v>
      </c>
      <c r="AU122" s="118" t="inlineStr">
        <is>
          <t>N</t>
        </is>
      </c>
      <c r="AV122" s="118" t="inlineStr">
        <is>
          <t>none</t>
        </is>
      </c>
      <c r="AW122" s="124" t="n"/>
      <c r="AX122" s="119" t="n">
        <v>17.99</v>
      </c>
      <c r="AY122" s="118" t="inlineStr">
        <is>
          <t>none</t>
        </is>
      </c>
      <c r="AZ122" s="118" t="inlineStr">
        <is>
          <t>Y</t>
        </is>
      </c>
      <c r="BA122" s="118" t="inlineStr">
        <is>
          <t>2026-10-13 12:13:54</t>
        </is>
      </c>
      <c r="BB122" s="120" t="inlineStr">
        <is>
          <t>None</t>
        </is>
      </c>
      <c r="BC122" s="125" t="n"/>
      <c r="BD122" s="121" t="n">
        <v>20.99</v>
      </c>
      <c r="BE122" s="121" t="n">
        <v>19.99</v>
      </c>
      <c r="BF122" s="110">
        <f>IF(AND(ISNUMBER(BD122),ISNUMBER(BE122),N(BD122)&gt;0),1-BE122/BD122,"")</f>
        <v/>
      </c>
      <c r="BG122" s="122" t="n">
        <v>110546</v>
      </c>
      <c r="BH122" s="122" t="n">
        <v>96255</v>
      </c>
      <c r="BI122" s="123">
        <f>IF(AND(ISNUMBER(BG122),ISNUMBER(BH122),N(BH122)&gt;0),BG122/BH122,"")</f>
        <v/>
      </c>
      <c r="BJ122" s="120" t="inlineStr">
        <is>
          <t>N</t>
        </is>
      </c>
      <c r="BK122" s="120" t="inlineStr">
        <is>
          <t>List Price $19.99</t>
        </is>
      </c>
    </row>
    <row r="123" ht="62" customHeight="1">
      <c r="A123" s="12">
        <f>_xlfn.IMAGE("https://images-na.ssl-images-amazon.com/images/I/71ujt2CgaQL.jpg")</f>
        <v/>
      </c>
      <c r="B123" s="105" t="inlineStr">
        <is>
          <t>BEDELITE</t>
        </is>
      </c>
      <c r="C123" s="39" t="inlineStr">
        <is>
          <t>BEDELITE Satin Sheets Queen Size Bed Set, Black, 4 Pieces</t>
        </is>
      </c>
      <c r="D123" s="105" t="inlineStr">
        <is>
          <t>Untiered</t>
        </is>
      </c>
      <c r="E123" s="133" t="inlineStr">
        <is>
          <t>Different product type</t>
        </is>
      </c>
      <c r="F123" s="105" t="inlineStr">
        <is>
          <t>Satin (polyester)</t>
        </is>
      </c>
      <c r="G123" s="39" t="inlineStr">
        <is>
          <t>Sells a sheet set; ours is a fitted sheet.</t>
        </is>
      </c>
      <c r="H123" s="107" t="inlineStr">
        <is>
          <t>B0FNMNMZ9T</t>
        </is>
      </c>
      <c r="I123" s="107" t="inlineStr">
        <is>
          <t>B0CSFTRP2X</t>
        </is>
      </c>
      <c r="J123" s="105" t="inlineStr">
        <is>
          <t>Queen</t>
        </is>
      </c>
      <c r="K123" s="105" t="inlineStr">
        <is>
          <t>Black</t>
        </is>
      </c>
      <c r="L123" s="108" t="n">
        <v>141</v>
      </c>
      <c r="M123" s="39" t="inlineStr">
        <is>
          <t>B0CSFTRP2X (57%), B0CSFW9QKP (14%), B0CSFTZ5B9 (14%)</t>
        </is>
      </c>
      <c r="N123" s="109" t="n">
        <v>17.99</v>
      </c>
      <c r="O123" s="109" t="n"/>
      <c r="P123" s="110">
        <f>IF(AND(ISNUMBER(O123),ISNUMBER(N123),N(N123)&gt;0),O123/N123-1,"")</f>
        <v/>
      </c>
      <c r="Q123" s="111">
        <f>IF(P123="","No List Price",IF(P123&lt;=0,"At/below price",IF(P123&lt;=0.12,"&lt;=12% STR zone",IF(P123&lt;=0.25,"12-25%","&gt;25% over"))))</f>
        <v/>
      </c>
      <c r="R123" s="109" t="n">
        <v>21.95</v>
      </c>
      <c r="S123" s="112">
        <f>IF(AND(ISNUMBER(N123),ISNUMBER(R123),N(R123)&gt;0),N123/R123-1,"")</f>
        <v/>
      </c>
      <c r="T123" s="39" t="inlineStr">
        <is>
          <t>Same size (Queen). Ours live: catalog price, 2026-10-13; 11 children</t>
        </is>
      </c>
      <c r="U123" s="108" t="n">
        <v>497</v>
      </c>
      <c r="V123" s="108" t="n">
        <v>1963</v>
      </c>
      <c r="W123" s="113">
        <f>IF(AND(ISNUMBER(N123),ISNUMBER(V123)),N123*V123*52/12,"")</f>
        <v/>
      </c>
      <c r="X123" s="114" t="n">
        <v>4.3</v>
      </c>
      <c r="Y123" s="108" t="n">
        <v>6297</v>
      </c>
      <c r="Z123" s="115" t="n">
        <v>46307</v>
      </c>
      <c r="AA123" s="115" t="n">
        <v>45307</v>
      </c>
      <c r="AB123" s="105" t="inlineStr">
        <is>
          <t>FBA</t>
        </is>
      </c>
      <c r="AC123" s="105" t="inlineStr">
        <is>
          <t>CN</t>
        </is>
      </c>
      <c r="AD123" s="108" t="n">
        <v>997443</v>
      </c>
      <c r="AE123" s="108" t="n">
        <v>3432</v>
      </c>
      <c r="AF123" s="116" t="n">
        <v>0.8161266415223724</v>
      </c>
      <c r="AG123" s="116" t="n">
        <v>0.1838733681022371</v>
      </c>
      <c r="AH123" s="39" t="inlineStr">
        <is>
          <t>silk sheets</t>
        </is>
      </c>
      <c r="AI123" s="116" t="n">
        <v>0.7623814092634867</v>
      </c>
      <c r="AJ123" s="116" t="n">
        <v>0.2406603685624141</v>
      </c>
      <c r="AK123" s="116" t="n">
        <v>0.1818179083917577</v>
      </c>
      <c r="AL123" s="116" t="n">
        <v>0.3718648584430388</v>
      </c>
      <c r="AM123" s="108" t="n">
        <v>514</v>
      </c>
      <c r="AN123" s="108" t="n">
        <v>120</v>
      </c>
      <c r="AO123" s="108" t="n">
        <v>367</v>
      </c>
      <c r="AP123" s="108" t="n">
        <v>2918</v>
      </c>
      <c r="AQ123" s="108" t="n">
        <v>308</v>
      </c>
      <c r="AR123" s="108" t="n">
        <v>1</v>
      </c>
      <c r="AS123" s="117" t="n">
        <v>1.114785561378903</v>
      </c>
      <c r="AT123" s="112" t="n">
        <v>0.3117365084274004</v>
      </c>
      <c r="AU123" s="118" t="inlineStr">
        <is>
          <t>Y</t>
        </is>
      </c>
      <c r="AV123" s="118" t="inlineStr">
        <is>
          <t>List Price</t>
        </is>
      </c>
      <c r="AW123" s="119" t="n">
        <v>19.99</v>
      </c>
      <c r="AX123" s="119" t="n">
        <v>17.99</v>
      </c>
      <c r="AY123" s="118" t="inlineStr">
        <is>
          <t>none</t>
        </is>
      </c>
      <c r="AZ123" s="118" t="inlineStr">
        <is>
          <t>Y</t>
        </is>
      </c>
      <c r="BA123" s="118" t="inlineStr">
        <is>
          <t>2026-10-13 12:12:27</t>
        </is>
      </c>
      <c r="BB123" s="120" t="inlineStr">
        <is>
          <t>Price cut only</t>
        </is>
      </c>
      <c r="BC123" s="120" t="inlineStr">
        <is>
          <t>11-20 to 12-01</t>
        </is>
      </c>
      <c r="BD123" s="121" t="n">
        <v>17.99</v>
      </c>
      <c r="BE123" s="121" t="n">
        <v>17.09</v>
      </c>
      <c r="BF123" s="110">
        <f>IF(AND(ISNUMBER(BD123),ISNUMBER(BE123),N(BD123)&gt;0),1-BE123/BD123,"")</f>
        <v/>
      </c>
      <c r="BG123" s="122" t="n">
        <v>714</v>
      </c>
      <c r="BH123" s="122" t="n">
        <v>473</v>
      </c>
      <c r="BI123" s="123">
        <f>IF(AND(ISNUMBER(BG123),ISNUMBER(BH123),N(BH123)&gt;0),BG123/BH123,"")</f>
        <v/>
      </c>
      <c r="BJ123" s="120" t="inlineStr">
        <is>
          <t>N</t>
        </is>
      </c>
      <c r="BK123" s="120" t="inlineStr">
        <is>
          <t>Prime Exclusive 11-01 to 12-05; Prime Exclusive already running before BFCM week; List Price $23.99</t>
        </is>
      </c>
    </row>
    <row r="124" ht="62" customHeight="1">
      <c r="A124" s="12">
        <f>_xlfn.IMAGE("https://images-na.ssl-images-amazon.com/images/I/81C-fXI71XL.jpg")</f>
        <v/>
      </c>
      <c r="B124" s="105" t="inlineStr">
        <is>
          <t>Love's cabin</t>
        </is>
      </c>
      <c r="C124" s="39" t="inlineStr">
        <is>
          <t>Love's cabin Satin Queen Sheets Set, 4 Pieces, Pink, 15" Deep Pocket</t>
        </is>
      </c>
      <c r="D124" s="105" t="inlineStr">
        <is>
          <t>Untiered</t>
        </is>
      </c>
      <c r="E124" s="133" t="inlineStr">
        <is>
          <t>Different product type</t>
        </is>
      </c>
      <c r="F124" s="105" t="inlineStr">
        <is>
          <t>Satin (polyester)</t>
        </is>
      </c>
      <c r="G124" s="39" t="inlineStr">
        <is>
          <t>Sells a sheet set; ours is a fitted sheet.</t>
        </is>
      </c>
      <c r="H124" s="107" t="inlineStr">
        <is>
          <t>B08DHTB63X</t>
        </is>
      </c>
      <c r="I124" s="107" t="inlineStr">
        <is>
          <t>B0BNMC5G8R</t>
        </is>
      </c>
      <c r="J124" s="105" t="inlineStr">
        <is>
          <t>Queen</t>
        </is>
      </c>
      <c r="K124" s="105" t="inlineStr">
        <is>
          <t>Pink</t>
        </is>
      </c>
      <c r="L124" s="108" t="n">
        <v>128</v>
      </c>
      <c r="M124" s="39" t="inlineStr">
        <is>
          <t>B0BNMC5G8R (45%), B0BNMCRSC6 (13%), B0CM5NFXX1 (9%), B0BNMVM5VM (5%), B0BNMD8S97 (4%)</t>
        </is>
      </c>
      <c r="N124" s="109" t="n">
        <v>16.13</v>
      </c>
      <c r="O124" s="109" t="n">
        <v>19.99</v>
      </c>
      <c r="P124" s="110">
        <f>IF(AND(ISNUMBER(O124),ISNUMBER(N124),N(N124)&gt;0),O124/N124-1,"")</f>
        <v/>
      </c>
      <c r="Q124" s="111">
        <f>IF(P124="","No List Price",IF(P124&lt;=0,"At/below price",IF(P124&lt;=0.12,"&lt;=12% STR zone",IF(P124&lt;=0.25,"12-25%","&gt;25% over"))))</f>
        <v/>
      </c>
      <c r="R124" s="109" t="n">
        <v>21.95</v>
      </c>
      <c r="S124" s="112">
        <f>IF(AND(ISNUMBER(N124),ISNUMBER(R124),N(R124)&gt;0),N124/R124-1,"")</f>
        <v/>
      </c>
      <c r="T124" s="39" t="inlineStr">
        <is>
          <t>Same size (Queen). Ours live: catalog price, 2026-10-13; 11 children</t>
        </is>
      </c>
      <c r="U124" s="108" t="n">
        <v>949</v>
      </c>
      <c r="V124" s="108" t="n">
        <v>809</v>
      </c>
      <c r="W124" s="113">
        <f>IF(AND(ISNUMBER(N124),ISNUMBER(V124)),N124*V124*52/12,"")</f>
        <v/>
      </c>
      <c r="X124" s="114" t="n">
        <v>4.5</v>
      </c>
      <c r="Y124" s="108" t="n">
        <v>5747</v>
      </c>
      <c r="Z124" s="115" t="n">
        <v>46307</v>
      </c>
      <c r="AA124" s="115" t="n">
        <v>44895</v>
      </c>
      <c r="AB124" s="105" t="inlineStr">
        <is>
          <t>FBA</t>
        </is>
      </c>
      <c r="AC124" s="105" t="inlineStr">
        <is>
          <t>CN</t>
        </is>
      </c>
      <c r="AD124" s="108" t="n">
        <v>385363</v>
      </c>
      <c r="AE124" s="108" t="n">
        <v>3599</v>
      </c>
      <c r="AF124" s="116" t="n">
        <v>0.8181775938530695</v>
      </c>
      <c r="AG124" s="116" t="n">
        <v>0.1818224144507905</v>
      </c>
      <c r="AH124" s="39" t="inlineStr">
        <is>
          <t>silk sheets</t>
        </is>
      </c>
      <c r="AI124" s="116" t="n">
        <v>0.8853963665427143</v>
      </c>
      <c r="AJ124" s="116" t="n">
        <v>0.6095447668821345</v>
      </c>
      <c r="AK124" s="116" t="n">
        <v>0.07642664189348744</v>
      </c>
      <c r="AL124" s="116" t="n">
        <v>0.06371395281851137</v>
      </c>
      <c r="AM124" s="108" t="n">
        <v>506</v>
      </c>
      <c r="AN124" s="108" t="n">
        <v>126</v>
      </c>
      <c r="AO124" s="108" t="n">
        <v>335</v>
      </c>
      <c r="AP124" s="108" t="n">
        <v>3093</v>
      </c>
      <c r="AQ124" s="108" t="n">
        <v>375</v>
      </c>
      <c r="AR124" s="108" t="n">
        <v>5</v>
      </c>
      <c r="AS124" s="117" t="n">
        <v>1.036399938565504</v>
      </c>
      <c r="AT124" s="112" t="n">
        <v>-0.1336111472848027</v>
      </c>
      <c r="AU124" s="118" t="inlineStr">
        <is>
          <t>Y</t>
        </is>
      </c>
      <c r="AV124" s="118" t="inlineStr">
        <is>
          <t>List Price</t>
        </is>
      </c>
      <c r="AW124" s="119" t="n">
        <v>19.99</v>
      </c>
      <c r="AX124" s="119" t="n">
        <v>16.13</v>
      </c>
      <c r="AY124" s="118" t="inlineStr">
        <is>
          <t>Limited time deal</t>
        </is>
      </c>
      <c r="AZ124" s="118" t="inlineStr">
        <is>
          <t>Y</t>
        </is>
      </c>
      <c r="BA124" s="118" t="inlineStr">
        <is>
          <t>2026-10-13 12:13:15</t>
        </is>
      </c>
      <c r="BB124" s="120" t="inlineStr">
        <is>
          <t>Prime Exclusive Discount</t>
        </is>
      </c>
      <c r="BC124" s="120" t="inlineStr">
        <is>
          <t>11-10 to 12-05</t>
        </is>
      </c>
      <c r="BD124" s="121" t="n">
        <v>17.99</v>
      </c>
      <c r="BE124" s="121" t="n">
        <v>17.99</v>
      </c>
      <c r="BF124" s="110">
        <f>IF(AND(ISNUMBER(BD124),ISNUMBER(BE124),N(BD124)&gt;0),1-BE124/BD124,"")</f>
        <v/>
      </c>
      <c r="BG124" s="122" t="n">
        <v>1276</v>
      </c>
      <c r="BH124" s="122" t="n">
        <v>1515</v>
      </c>
      <c r="BI124" s="123">
        <f>IF(AND(ISNUMBER(BG124),ISNUMBER(BH124),N(BH124)&gt;0),BG124/BH124,"")</f>
        <v/>
      </c>
      <c r="BJ124" s="120" t="inlineStr">
        <is>
          <t>N</t>
        </is>
      </c>
      <c r="BK124" s="120" t="inlineStr">
        <is>
          <t>Prime Exclusive already running before BFCM week; List Price $25.99</t>
        </is>
      </c>
    </row>
    <row r="125" ht="62" customHeight="1">
      <c r="A125" s="12">
        <f>_xlfn.IMAGE("https://images-na.ssl-images-amazon.com/images/I/71zGuoeuSrL.jpg")</f>
        <v/>
      </c>
      <c r="B125" s="105" t="inlineStr">
        <is>
          <t>MR&amp;HM</t>
        </is>
      </c>
      <c r="C125" s="39" t="inlineStr">
        <is>
          <t>MR&amp;HM Satin Sheets Queen Size with Elastic Corner Straps, Black</t>
        </is>
      </c>
      <c r="D125" s="105" t="inlineStr">
        <is>
          <t>Untiered</t>
        </is>
      </c>
      <c r="E125" s="133" t="inlineStr">
        <is>
          <t>Different product type</t>
        </is>
      </c>
      <c r="F125" s="105" t="inlineStr">
        <is>
          <t>Satin (polyester)</t>
        </is>
      </c>
      <c r="G125" s="39" t="inlineStr">
        <is>
          <t>Sells a sheet set; ours is a fitted sheet.</t>
        </is>
      </c>
      <c r="H125" s="107" t="inlineStr">
        <is>
          <t>B08NQ3W7PG</t>
        </is>
      </c>
      <c r="I125" s="107" t="inlineStr">
        <is>
          <t>B08HM6WT6X</t>
        </is>
      </c>
      <c r="J125" s="105" t="inlineStr">
        <is>
          <t>Queen</t>
        </is>
      </c>
      <c r="K125" s="105" t="inlineStr">
        <is>
          <t>Black</t>
        </is>
      </c>
      <c r="L125" s="108" t="n">
        <v>183</v>
      </c>
      <c r="M125" s="39" t="inlineStr">
        <is>
          <t>B08HM6WT6X (40%), B0D2CQ6VNT (13%), B08PS3HDFL (10%), B08HM65Z68 (8%), B08HLT8R9M (6%)</t>
        </is>
      </c>
      <c r="N125" s="109" t="n">
        <v>19.99</v>
      </c>
      <c r="O125" s="109" t="n"/>
      <c r="P125" s="110">
        <f>IF(AND(ISNUMBER(O125),ISNUMBER(N125),N(N125)&gt;0),O125/N125-1,"")</f>
        <v/>
      </c>
      <c r="Q125" s="111">
        <f>IF(P125="","No List Price",IF(P125&lt;=0,"At/below price",IF(P125&lt;=0.12,"&lt;=12% STR zone",IF(P125&lt;=0.25,"12-25%","&gt;25% over"))))</f>
        <v/>
      </c>
      <c r="R125" s="109" t="n">
        <v>21.95</v>
      </c>
      <c r="S125" s="112">
        <f>IF(AND(ISNUMBER(N125),ISNUMBER(R125),N(R125)&gt;0),N125/R125-1,"")</f>
        <v/>
      </c>
      <c r="T125" s="39" t="inlineStr">
        <is>
          <t>Same size (Queen). Ours live: catalog price, 2026-10-13; 11 children</t>
        </is>
      </c>
      <c r="U125" s="108" t="n">
        <v>2025</v>
      </c>
      <c r="V125" s="108" t="n">
        <v>809</v>
      </c>
      <c r="W125" s="113">
        <f>IF(AND(ISNUMBER(N125),ISNUMBER(V125)),N125*V125*52/12,"")</f>
        <v/>
      </c>
      <c r="X125" s="114" t="n">
        <v>4.4</v>
      </c>
      <c r="Y125" s="108" t="n">
        <v>17886</v>
      </c>
      <c r="Z125" s="115" t="n">
        <v>46307</v>
      </c>
      <c r="AA125" s="115" t="n">
        <v>44081</v>
      </c>
      <c r="AB125" s="105" t="inlineStr">
        <is>
          <t>FBA</t>
        </is>
      </c>
      <c r="AC125" s="105" t="inlineStr">
        <is>
          <t>HK</t>
        </is>
      </c>
      <c r="AD125" s="108" t="n">
        <v>356457</v>
      </c>
      <c r="AE125" s="108" t="n">
        <v>3352</v>
      </c>
      <c r="AF125" s="116" t="n">
        <v>0.7964633734223203</v>
      </c>
      <c r="AG125" s="116" t="n">
        <v>0.2035367432817982</v>
      </c>
      <c r="AH125" s="39" t="inlineStr">
        <is>
          <t>silk sheets</t>
        </is>
      </c>
      <c r="AI125" s="116" t="n">
        <v>0.839254103580516</v>
      </c>
      <c r="AJ125" s="116" t="n"/>
      <c r="AK125" s="116" t="n"/>
      <c r="AL125" s="116" t="n">
        <v>0.1362268099658584</v>
      </c>
      <c r="AM125" s="108" t="n">
        <v>527</v>
      </c>
      <c r="AN125" s="108" t="n">
        <v>147</v>
      </c>
      <c r="AO125" s="108" t="n">
        <v>333</v>
      </c>
      <c r="AP125" s="108" t="n">
        <v>2825</v>
      </c>
      <c r="AQ125" s="108" t="n">
        <v>329</v>
      </c>
      <c r="AR125" s="108" t="n">
        <v>8</v>
      </c>
      <c r="AS125" s="117" t="n">
        <v>0.9844138242602214</v>
      </c>
      <c r="AT125" s="112" t="n">
        <v>0.1594370096908169</v>
      </c>
      <c r="AU125" s="118" t="inlineStr">
        <is>
          <t>Y</t>
        </is>
      </c>
      <c r="AV125" s="118" t="inlineStr">
        <is>
          <t>List Price</t>
        </is>
      </c>
      <c r="AW125" s="119" t="n">
        <v>28.99</v>
      </c>
      <c r="AX125" s="119" t="n">
        <v>19.99</v>
      </c>
      <c r="AY125" s="118" t="inlineStr">
        <is>
          <t>none</t>
        </is>
      </c>
      <c r="AZ125" s="118" t="inlineStr">
        <is>
          <t>Y</t>
        </is>
      </c>
      <c r="BA125" s="118" t="inlineStr">
        <is>
          <t>2026-10-13 12:13:22</t>
        </is>
      </c>
      <c r="BB125" s="120" t="inlineStr">
        <is>
          <t>None</t>
        </is>
      </c>
      <c r="BC125" s="125" t="n"/>
      <c r="BD125" s="121" t="n">
        <v>17.99</v>
      </c>
      <c r="BE125" s="121" t="n">
        <v>17.99</v>
      </c>
      <c r="BF125" s="110">
        <f>IF(AND(ISNUMBER(BD125),ISNUMBER(BE125),N(BD125)&gt;0),1-BE125/BD125,"")</f>
        <v/>
      </c>
      <c r="BG125" s="122" t="n">
        <v>1500</v>
      </c>
      <c r="BH125" s="122" t="n">
        <v>1119</v>
      </c>
      <c r="BI125" s="123">
        <f>IF(AND(ISNUMBER(BG125),ISNUMBER(BH125),N(BH125)&gt;0),BG125/BH125,"")</f>
        <v/>
      </c>
      <c r="BJ125" s="120" t="inlineStr">
        <is>
          <t>N</t>
        </is>
      </c>
      <c r="BK125" s="120" t="inlineStr">
        <is>
          <t>Prime Exclusive 11-01 to 12-05; Lightning Deal 11-08 to 11-14; Prime Exclusive already running before BFCM week; List Price $28.99</t>
        </is>
      </c>
    </row>
    <row r="126"/>
    <row r="127" ht="22" customHeight="1">
      <c r="A127" s="65" t="inlineStr">
        <is>
          <t>5 ▼</t>
        </is>
      </c>
      <c r="B127" s="66" t="inlineStr">
        <is>
          <t>WHAT THIS MEANS FOR BFCM</t>
        </is>
      </c>
      <c r="C127" s="67" t="n"/>
      <c r="D127" s="67" t="n"/>
      <c r="E127" s="67" t="n"/>
      <c r="F127" s="67" t="n"/>
      <c r="G127" s="67" t="n"/>
      <c r="H127" s="67" t="n"/>
      <c r="I127" s="67" t="n"/>
      <c r="J127" s="67" t="n"/>
      <c r="K127" s="67" t="n"/>
      <c r="L127" s="67" t="n"/>
      <c r="M127" s="67" t="n"/>
      <c r="N127" s="67" t="n"/>
      <c r="O127" s="67" t="n"/>
      <c r="P127" s="67" t="n"/>
      <c r="Q127" s="67" t="n"/>
      <c r="R127" s="67" t="n"/>
      <c r="S127" s="67" t="n"/>
      <c r="T127" s="67" t="n"/>
      <c r="U127" s="67" t="n"/>
      <c r="V127" s="67" t="n"/>
      <c r="W127" s="67" t="n"/>
      <c r="X127" s="67" t="n"/>
      <c r="Y127" s="67" t="n"/>
      <c r="Z127" s="67" t="n"/>
      <c r="AA127" s="67" t="n"/>
      <c r="AB127" s="67" t="n"/>
      <c r="AC127" s="67" t="n"/>
      <c r="AD127" s="67" t="n"/>
      <c r="AE127" s="67" t="n"/>
      <c r="AF127" s="67" t="n"/>
      <c r="AG127" s="67" t="n"/>
      <c r="AH127" s="67" t="n"/>
      <c r="AI127" s="67" t="n"/>
      <c r="AJ127" s="67" t="n"/>
      <c r="AK127" s="67" t="n"/>
      <c r="AL127" s="67" t="n"/>
      <c r="AM127" s="67" t="n"/>
      <c r="AN127" s="67" t="n"/>
      <c r="AO127" s="67" t="n"/>
      <c r="AP127" s="67" t="n"/>
      <c r="AQ127" s="67" t="n"/>
      <c r="AR127" s="67" t="n"/>
      <c r="AS127" s="67" t="n"/>
      <c r="AT127" s="67" t="n"/>
      <c r="AU127" s="67" t="n"/>
      <c r="AV127" s="67" t="n"/>
      <c r="AW127" s="67" t="n"/>
      <c r="AX127" s="67" t="n"/>
      <c r="AY127" s="67" t="n"/>
      <c r="AZ127" s="67" t="n"/>
      <c r="BA127" s="67" t="n"/>
      <c r="BB127" s="67" t="n"/>
      <c r="BC127" s="67" t="n"/>
      <c r="BD127" s="67" t="n"/>
      <c r="BE127" s="67" t="n"/>
      <c r="BF127" s="67" t="n"/>
      <c r="BG127" s="67" t="n"/>
      <c r="BH127" s="67" t="n"/>
      <c r="BI127" s="67" t="n"/>
      <c r="BJ127" s="67" t="n"/>
      <c r="BK127" s="67" t="n"/>
    </row>
    <row r="128" ht="30" customHeight="1">
      <c r="A128" s="129" t="inlineStr">
        <is>
          <t>• Who sells most: BEDELITE ~1,963/wk at $17.99; Love's cabin ~809/wk at $16.13 (List $19.99, +24%); MR&amp;HM ~809/wk at $19.99; BEDELITE ~208/wk at $13.99; BEDELITE ~208/wk at $15.98 (List $19.99, +25%). Tracked rivals ~4,248 units/wk; we sell ~190/wk (4.3% of the tracked set).</t>
        </is>
      </c>
    </row>
    <row r="129" ht="18" customHeight="1">
      <c r="A129" s="129" t="inlineStr">
        <is>
          <t>• Strikethrough: 2 of 14 rivals set a List Price above price; 0 within 12%.</t>
        </is>
      </c>
    </row>
    <row r="130" ht="18" customHeight="1">
      <c r="A130" s="129" t="inlineStr">
        <is>
          <t>• Price: 13 of 14 rivals sit below our price today (same size where the title states one). Cheapest strong rivals: Homiest $12.99, BEDELITE $13.99, BEDELITE $15.98, VACVELT $17.99.</t>
        </is>
      </c>
    </row>
    <row r="131" ht="30" customHeight="1">
      <c r="A131" s="129" t="inlineStr">
        <is>
          <t>• Strikethrough on the page today (Oct 13 check): 5 of 13 checked rivals show one: BEDELITE List Price $16.99 vs $13.99 (+21%), BEDELITE List Price $19.99 vs $15.98 (+25%) with deal, BEDELITE List Price $19.99 vs $17.99 (+11%), Love's cabin List Price $19.99 vs $16.13 (+24%) with deal, MR&amp;HM List Price $28.99 vs $19.99 (+45%).</t>
        </is>
      </c>
    </row>
    <row r="132" ht="30" customHeight="1">
      <c r="A132" s="129" t="inlineStr">
        <is>
          <t>• Search: we lose most shared keywords to BEDELITE (we win 120, lose 367), Love's cabin (we win 126, lose 335), MR&amp;HM (we win 147, lose 333). Biggest ad gaps (they advertise where we don't or harder): BEDELITE 308 + 1 KWs, BEDELITE 499 + 21 KWs, Love's cabin 375 + 5 KWs.</t>
        </is>
      </c>
    </row>
    <row r="133" ht="18" customHeight="1">
      <c r="A133" s="129" t="inlineStr">
        <is>
          <t>• Brand ads: Love's cabin (SB 61%, SBV 8%) hold Sponsored Brands / video on most of their traffic - the plan has our SB, SBV and display live by Nov 1.</t>
        </is>
      </c>
    </row>
    <row r="134" ht="18" customHeight="1">
      <c r="A134" s="129" t="inlineStr">
        <is>
          <t>• Our BFCM 2025: 2.47x daily sales in BFCM week vs the 30 days before; TACoS 7.8% vs 11.2% before; December 1.51x.</t>
        </is>
      </c>
    </row>
    <row r="135" ht="18" customHeight="1">
      <c r="A135" s="129" t="inlineStr">
        <is>
          <t>• Prime Day 2026: our organic visibility 1.08x vs rivals' median 1.12x (n=8) - rivals gained more event visibility than we did.</t>
        </is>
      </c>
    </row>
    <row r="136" ht="30" customHeight="1">
      <c r="A136" s="129" t="inlineStr">
        <is>
          <t>• BFCM 2025, 12 rivals with price history history: Prime Exclusive Discount 7, None 3, Price cut only 2. Median depth vs their Nov 1-19 price 6%; median BSR lift 1.01x. 3 raised their Buy Box in BFCM week, so their deal looked deeper than it was.</t>
        </is>
      </c>
    </row>
    <row r="137" ht="18" customHeight="1">
      <c r="A137" s="129" t="inlineStr">
        <is>
          <t>• 2 rivals not in the price history pulls yet (yellow BFCM 2025 columns) - remaining P2 batches,.</t>
        </is>
      </c>
    </row>
  </sheetData>
  <autoFilter ref="B111:BK125"/>
  <mergeCells count="70">
    <mergeCell ref="A130:BK130"/>
    <mergeCell ref="BB110:BK110"/>
    <mergeCell ref="A90:C90"/>
    <mergeCell ref="L5:Q5"/>
    <mergeCell ref="A89:C89"/>
    <mergeCell ref="A98:BK98"/>
    <mergeCell ref="Q11:T11"/>
    <mergeCell ref="A103:BK103"/>
    <mergeCell ref="L8:Q8"/>
    <mergeCell ref="A132:BK132"/>
    <mergeCell ref="A95:C95"/>
    <mergeCell ref="L4:Q4"/>
    <mergeCell ref="D7:I7"/>
    <mergeCell ref="A13:D13"/>
    <mergeCell ref="A110:K110"/>
    <mergeCell ref="I13:L13"/>
    <mergeCell ref="AD110:AT110"/>
    <mergeCell ref="D4:I4"/>
    <mergeCell ref="L10:Q10"/>
    <mergeCell ref="E12:H12"/>
    <mergeCell ref="Q13:T13"/>
    <mergeCell ref="A99:BK99"/>
    <mergeCell ref="A137:BK137"/>
    <mergeCell ref="D9:I9"/>
    <mergeCell ref="A128:BK128"/>
    <mergeCell ref="U12:X12"/>
    <mergeCell ref="L9:Q9"/>
    <mergeCell ref="Q12:T12"/>
    <mergeCell ref="A91:C91"/>
    <mergeCell ref="A11:D11"/>
    <mergeCell ref="A133:BK133"/>
    <mergeCell ref="A136:BK136"/>
    <mergeCell ref="I11:L11"/>
    <mergeCell ref="A96:C96"/>
    <mergeCell ref="D8:I8"/>
    <mergeCell ref="L6:Q6"/>
    <mergeCell ref="A4:B9"/>
    <mergeCell ref="A105:BK105"/>
    <mergeCell ref="A101:BK101"/>
    <mergeCell ref="T6:Y6"/>
    <mergeCell ref="N110:Z110"/>
    <mergeCell ref="AA110:AC110"/>
    <mergeCell ref="A104:BK104"/>
    <mergeCell ref="AU110:BA110"/>
    <mergeCell ref="A93:C93"/>
    <mergeCell ref="D5:I5"/>
    <mergeCell ref="A129:BK129"/>
    <mergeCell ref="M11:P11"/>
    <mergeCell ref="U11:X11"/>
    <mergeCell ref="A106:BK106"/>
    <mergeCell ref="A97:BK97"/>
    <mergeCell ref="A135:BK135"/>
    <mergeCell ref="A131:BK131"/>
    <mergeCell ref="E13:H13"/>
    <mergeCell ref="A100:BK100"/>
    <mergeCell ref="D10:I10"/>
    <mergeCell ref="L7:Q7"/>
    <mergeCell ref="T5:Y5"/>
    <mergeCell ref="A134:BK134"/>
    <mergeCell ref="A94:C94"/>
    <mergeCell ref="A12:D12"/>
    <mergeCell ref="M13:P13"/>
    <mergeCell ref="I12:L12"/>
    <mergeCell ref="U13:X13"/>
    <mergeCell ref="A88:C88"/>
    <mergeCell ref="M12:P12"/>
    <mergeCell ref="A102:BK102"/>
    <mergeCell ref="T4:Y4"/>
    <mergeCell ref="D6:I6"/>
    <mergeCell ref="E11:H11"/>
  </mergeCells>
  <conditionalFormatting sqref="Q112:Q125">
    <cfRule type="expression" priority="1" dxfId="1">
      <formula>Q112="&lt;=12% STR zone"</formula>
    </cfRule>
  </conditionalFormatting>
  <conditionalFormatting sqref="Z112:Z125">
    <cfRule type="expression" priority="2" dxfId="0">
      <formula>AND(ISNUMBER(Z112),Z112&lt;DATE(2026,10,6))</formula>
    </cfRule>
  </conditionalFormatting>
  <conditionalFormatting sqref="T112:T125">
    <cfRule type="expression" priority="3" dxfId="0">
      <formula>ISNUMBER(SEARCH("STALE",T112))</formula>
    </cfRule>
  </conditionalFormatting>
  <conditionalFormatting sqref="S112:S125">
    <cfRule type="expression" priority="4" dxfId="0">
      <formula>AND(ISNUMBER(S112),S112&lt;0)</formula>
    </cfRule>
  </conditionalFormatting>
  <dataValidations count="3">
    <dataValidation sqref="AU112:AU125 BJ112:BJ125" showDropDown="0" showInputMessage="0" showErrorMessage="0" allowBlank="1" type="list">
      <formula1>"Y,N"</formula1>
    </dataValidation>
    <dataValidation sqref="AV112:AV125" showDropDown="0" showInputMessage="0" showErrorMessage="0" allowBlank="1" type="list">
      <formula1>"List Price,Typical price,Was price,None"</formula1>
    </dataValidation>
    <dataValidation sqref="BB112:BB125"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Satin Fitted'!A3" display="1 Our product ↓"/>
    <hyperlink ref="D2" location="'US DC Satin Fitted'!A15" display="2 Our variations ↓"/>
    <hyperlink ref="E2" location="'US DC Satin Fitted'!A87" display="3 Our BFCM 2025 ↓"/>
    <hyperlink ref="F2" location="'US DC Satin Fitted'!A108" display="4 COMPETITORS (14 mapped) ↓"/>
    <hyperlink ref="G2" location="'US DC Satin Fitted'!A127" display="5 What it means ↓"/>
    <hyperlink xmlns:r="http://schemas.openxmlformats.org/officeDocument/2006/relationships" ref="H112" r:id="rId1"/>
    <hyperlink xmlns:r="http://schemas.openxmlformats.org/officeDocument/2006/relationships" ref="I112" r:id="rId2"/>
    <hyperlink xmlns:r="http://schemas.openxmlformats.org/officeDocument/2006/relationships" ref="H113" r:id="rId3"/>
    <hyperlink xmlns:r="http://schemas.openxmlformats.org/officeDocument/2006/relationships" ref="I113" r:id="rId4"/>
    <hyperlink xmlns:r="http://schemas.openxmlformats.org/officeDocument/2006/relationships" ref="H114" r:id="rId5"/>
    <hyperlink xmlns:r="http://schemas.openxmlformats.org/officeDocument/2006/relationships" ref="I114" r:id="rId6"/>
    <hyperlink xmlns:r="http://schemas.openxmlformats.org/officeDocument/2006/relationships" ref="H115" r:id="rId7"/>
    <hyperlink xmlns:r="http://schemas.openxmlformats.org/officeDocument/2006/relationships" ref="I115" r:id="rId8"/>
    <hyperlink xmlns:r="http://schemas.openxmlformats.org/officeDocument/2006/relationships" ref="H116" r:id="rId9"/>
    <hyperlink xmlns:r="http://schemas.openxmlformats.org/officeDocument/2006/relationships" ref="I116" r:id="rId10"/>
    <hyperlink xmlns:r="http://schemas.openxmlformats.org/officeDocument/2006/relationships" ref="H117" r:id="rId11"/>
    <hyperlink xmlns:r="http://schemas.openxmlformats.org/officeDocument/2006/relationships" ref="I117" r:id="rId12"/>
    <hyperlink xmlns:r="http://schemas.openxmlformats.org/officeDocument/2006/relationships" ref="H118" r:id="rId13"/>
    <hyperlink xmlns:r="http://schemas.openxmlformats.org/officeDocument/2006/relationships" ref="I118" r:id="rId14"/>
    <hyperlink xmlns:r="http://schemas.openxmlformats.org/officeDocument/2006/relationships" ref="H119" r:id="rId15"/>
    <hyperlink xmlns:r="http://schemas.openxmlformats.org/officeDocument/2006/relationships" ref="I119" r:id="rId16"/>
    <hyperlink xmlns:r="http://schemas.openxmlformats.org/officeDocument/2006/relationships" ref="H120" r:id="rId17"/>
    <hyperlink xmlns:r="http://schemas.openxmlformats.org/officeDocument/2006/relationships" ref="I120" r:id="rId18"/>
    <hyperlink xmlns:r="http://schemas.openxmlformats.org/officeDocument/2006/relationships" ref="H121" r:id="rId19"/>
    <hyperlink xmlns:r="http://schemas.openxmlformats.org/officeDocument/2006/relationships" ref="I121" r:id="rId20"/>
    <hyperlink xmlns:r="http://schemas.openxmlformats.org/officeDocument/2006/relationships" ref="H122" r:id="rId21"/>
    <hyperlink xmlns:r="http://schemas.openxmlformats.org/officeDocument/2006/relationships" ref="I122" r:id="rId22"/>
    <hyperlink xmlns:r="http://schemas.openxmlformats.org/officeDocument/2006/relationships" ref="H123" r:id="rId23"/>
    <hyperlink xmlns:r="http://schemas.openxmlformats.org/officeDocument/2006/relationships" ref="I123" r:id="rId24"/>
    <hyperlink xmlns:r="http://schemas.openxmlformats.org/officeDocument/2006/relationships" ref="H124" r:id="rId25"/>
    <hyperlink xmlns:r="http://schemas.openxmlformats.org/officeDocument/2006/relationships" ref="I124" r:id="rId26"/>
    <hyperlink xmlns:r="http://schemas.openxmlformats.org/officeDocument/2006/relationships" ref="H125" r:id="rId27"/>
    <hyperlink xmlns:r="http://schemas.openxmlformats.org/officeDocument/2006/relationships" ref="I125" r:id="rId28"/>
  </hyperlinks>
  <pageMargins left="0.75" right="0.75" top="1" bottom="1" header="0.5" footer="0.5"/>
  <drawing xmlns:r="http://schemas.openxmlformats.org/officeDocument/2006/relationships" r:id="rId29"/>
  <legacyDrawing xmlns:r="http://schemas.openxmlformats.org/officeDocument/2006/relationships" r:id="anysvml"/>
</worksheet>
</file>

<file path=xl/worksheets/sheet17.xml><?xml version="1.0" encoding="utf-8"?>
<worksheet xmlns="http://schemas.openxmlformats.org/spreadsheetml/2006/main">
  <sheetPr>
    <tabColor rgb="009DC3E6"/>
    <outlinePr summaryBelow="1" summaryRight="1"/>
    <pageSetUpPr/>
  </sheetPr>
  <dimension ref="A1:BK100"/>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Silk Pillowcase · Amazon.com (US) · Silk · BFCM role: Gifting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(29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_xlfn.IMAGE("https://images-na.ssl-images-amazon.com/images/I/81Rbj21EicL.jpg")</f>
        <v/>
      </c>
      <c r="C4" s="13" t="inlineStr">
        <is>
          <t>Title</t>
        </is>
      </c>
      <c r="D4" s="14" t="inlineStr">
        <is>
          <t>DECOLURE 100% Pure Mulberry Silk Pillow Case Standard Size – Highest Grade 30 Momme 6A+, Luxuriously Soft &amp; Cooling Silk Pillowcase for Hair &amp; Skin, Hypoallergenic, Breathable, Hidden Zipper (White)</t>
        </is>
      </c>
      <c r="K4" s="13" t="inlineStr">
        <is>
          <t>Sizes</t>
        </is>
      </c>
      <c r="L4" s="68" t="inlineStr">
        <is>
          <t>King, Queen, Standard</t>
        </is>
      </c>
      <c r="S4" s="13" t="inlineStr">
        <is>
          <t>Break-even ACoS</t>
        </is>
      </c>
      <c r="T4" s="68" t="inlineStr">
        <is>
          <t>37%</t>
        </is>
      </c>
    </row>
    <row r="5" ht="22" customHeight="1">
      <c r="C5" s="13" t="inlineStr">
        <is>
          <t>Brand</t>
        </is>
      </c>
      <c r="D5" s="68" t="inlineStr">
        <is>
          <t>Decolure</t>
        </is>
      </c>
      <c r="K5" s="13" t="inlineStr">
        <is>
          <t>Colours</t>
        </is>
      </c>
      <c r="L5" s="68" t="inlineStr">
        <is>
          <t>Champagne, Coral, Grey, Ivory, Silver Grey, White</t>
        </is>
      </c>
      <c r="S5" s="13" t="inlineStr">
        <is>
          <t>Units last 28 days</t>
        </is>
      </c>
      <c r="T5" s="68" t="inlineStr">
        <is>
          <t>125</t>
        </is>
      </c>
    </row>
    <row r="6" ht="22" customHeight="1">
      <c r="C6" s="13" t="inlineStr">
        <is>
          <t>Marketplace</t>
        </is>
      </c>
      <c r="D6" s="68" t="inlineStr">
        <is>
          <t>Amazon.com (US)</t>
        </is>
      </c>
      <c r="K6" s="13" t="inlineStr">
        <is>
          <t>Price now, best child</t>
        </is>
      </c>
      <c r="L6" s="68" t="inlineStr">
        <is>
          <t>$44.95 (catalog price, 2026-10-13)</t>
        </is>
      </c>
      <c r="S6" s="13" t="inlineStr">
        <is>
          <t>market data product ASIN</t>
        </is>
      </c>
      <c r="T6" s="68" t="inlineStr">
        <is>
          <t>B0DBR7PBVP (one of our child ASINs, not the Amazon parent)</t>
        </is>
      </c>
    </row>
    <row r="7" ht="22" customHeight="1">
      <c r="C7" s="13" t="inlineStr">
        <is>
          <t>Parent ASIN (Amazon)</t>
        </is>
      </c>
      <c r="D7" s="68" t="inlineStr">
        <is>
          <t>B0DQQQWYPT</t>
        </is>
      </c>
      <c r="K7" s="13" t="inlineStr">
        <is>
          <t>Rating / reviews now</t>
        </is>
      </c>
      <c r="L7" s="68" t="inlineStr">
        <is>
          <t>4.5 / 335 (catalog price, 2026-10-13)</t>
        </is>
      </c>
    </row>
    <row r="8" ht="22" customHeight="1">
      <c r="C8" s="13" t="inlineStr">
        <is>
          <t>Best-selling child ASIN</t>
        </is>
      </c>
      <c r="D8" s="68" t="inlineStr">
        <is>
          <t>B0DBR5SY67</t>
        </is>
      </c>
      <c r="K8" s="13" t="inlineStr">
        <is>
          <t>Live prices held</t>
        </is>
      </c>
      <c r="L8" s="68" t="inlineStr">
        <is>
          <t>17 of 18 variations</t>
        </is>
      </c>
    </row>
    <row r="9" ht="22" customHeight="1">
      <c r="C9" s="13" t="inlineStr">
        <is>
          <t>Stage</t>
        </is>
      </c>
      <c r="D9" s="68" t="inlineStr">
        <is>
          <t>Re-Launch</t>
        </is>
      </c>
      <c r="K9" s="13" t="inlineStr">
        <is>
          <t>Blended price (market data)</t>
        </is>
      </c>
      <c r="L9" s="68" t="inlineStr">
        <is>
          <t>$50.20 - fee feed as of 2026-03-30, STALE</t>
        </is>
      </c>
    </row>
    <row r="10">
      <c r="C10" s="13" t="inlineStr">
        <is>
          <t>Total variations (SKUs)</t>
        </is>
      </c>
      <c r="D10" s="68" t="n">
        <v>18</v>
      </c>
      <c r="K10" s="13" t="inlineStr">
        <is>
          <t>Contribution / unit</t>
        </is>
      </c>
      <c r="L10" s="68" t="inlineStr">
        <is>
          <t>$18.46</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1.35x</t>
        </is>
      </c>
      <c r="E12" s="70" t="inlineStr">
        <is>
          <t>33.6%</t>
        </is>
      </c>
      <c r="I12" s="70" t="inlineStr">
        <is>
          <t>2.99x</t>
        </is>
      </c>
      <c r="M12" s="70" t="inlineStr">
        <is>
          <t>29</t>
        </is>
      </c>
      <c r="Q12" s="70" t="inlineStr">
        <is>
          <t>25</t>
        </is>
      </c>
      <c r="U12" s="70" t="inlineStr">
        <is>
          <t>2</t>
        </is>
      </c>
    </row>
    <row r="13">
      <c r="A13" s="71" t="inlineStr">
        <is>
          <t>daily sales, BFCM wk vs 30 days before (account data actual)</t>
        </is>
      </c>
      <c r="E13" s="71" t="inlineStr">
        <is>
          <t>vs 31.6%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(18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_xlfn.IMAGE("https://m.media-amazon.com/images/I/81Rbj21EicL.jpg")</f>
        <v/>
      </c>
      <c r="B18" s="39" t="inlineStr">
        <is>
          <t>B0DBR5SY67</t>
        </is>
      </c>
      <c r="C18" s="39" t="inlineStr">
        <is>
          <t>SILK-PILLOWCASE-STANDARD-WHITE-1PCS</t>
        </is>
      </c>
      <c r="D18" s="39" t="inlineStr">
        <is>
          <t>DECOLURE 100% Pure Mulberry Silk Pillow Case Standard Size – Highest Grade 30 Momme 6A+, Luxuriously Soft &amp; Cooling Silk Pillowcase for Hair &amp; Skin, Hypoallergenic, Breathable, Hidden Zipper (White)</t>
        </is>
      </c>
      <c r="E18" s="39" t="inlineStr">
        <is>
          <t>Standard</t>
        </is>
      </c>
      <c r="F18" s="39" t="inlineStr">
        <is>
          <t>White</t>
        </is>
      </c>
      <c r="G18" s="73" t="n">
        <v>44.95</v>
      </c>
      <c r="H18" s="39" t="inlineStr">
        <is>
          <t>catalog price, 2026-10-13</t>
        </is>
      </c>
      <c r="I18" s="74" t="n">
        <v>44.95</v>
      </c>
      <c r="J18" s="75" t="inlineStr">
        <is>
          <t>2026-03-30</t>
        </is>
      </c>
      <c r="K18" s="40" t="n">
        <v>17</v>
      </c>
      <c r="L18" s="76" t="n">
        <v>0.3781979977753058</v>
      </c>
      <c r="M18" s="77" t="n">
        <v>26</v>
      </c>
      <c r="N18" s="39" t="inlineStr">
        <is>
          <t>Active</t>
        </is>
      </c>
      <c r="O18" s="39" t="inlineStr">
        <is>
          <t>Yes (53%)</t>
        </is>
      </c>
      <c r="P18" s="78" t="n">
        <v>4.5</v>
      </c>
      <c r="Q18" s="77" t="n">
        <v>335</v>
      </c>
      <c r="R18" s="77" t="n">
        <v>143786</v>
      </c>
      <c r="S18" s="77" t="n">
        <v>15</v>
      </c>
      <c r="T18" s="39" t="n"/>
    </row>
    <row r="19" ht="62" customHeight="1">
      <c r="A19" s="12">
        <f>_xlfn.IMAGE("https://m.media-amazon.com/images/I/811Ne2sYFzL.jpg")</f>
        <v/>
      </c>
      <c r="B19" s="39" t="inlineStr">
        <is>
          <t>B0DBR8G7GH</t>
        </is>
      </c>
      <c r="C19" s="39" t="inlineStr">
        <is>
          <t>SILK-PILLOWCASE-STANDARD-CHAMPAGNE-1PCS</t>
        </is>
      </c>
      <c r="D19" s="39" t="inlineStr">
        <is>
          <t>DECOLURE 100% Pure Mulberry Silk Pillow Case Standard Size – High Grade 30 Momme 6A+, Luxuriously Soft &amp; Cooling Silk Pillowcase for Hair &amp; Skin, Hypoallergenic, Breathable, Hidden Zipper (Champagne)</t>
        </is>
      </c>
      <c r="E19" s="39" t="inlineStr">
        <is>
          <t>Standard</t>
        </is>
      </c>
      <c r="F19" s="39" t="inlineStr">
        <is>
          <t>Champagne</t>
        </is>
      </c>
      <c r="G19" s="73" t="n">
        <v>44.95</v>
      </c>
      <c r="H19" s="39" t="inlineStr">
        <is>
          <t>catalog price, 2026-10-13</t>
        </is>
      </c>
      <c r="I19" s="74" t="n">
        <v>44.95</v>
      </c>
      <c r="J19" s="75" t="inlineStr">
        <is>
          <t>2026-03-30</t>
        </is>
      </c>
      <c r="K19" s="40" t="n">
        <v>15.23</v>
      </c>
      <c r="L19" s="76" t="n">
        <v>0.3388209121245829</v>
      </c>
      <c r="M19" s="77" t="n">
        <v>15</v>
      </c>
      <c r="N19" s="39" t="inlineStr">
        <is>
          <t>Active</t>
        </is>
      </c>
      <c r="O19" s="39" t="n"/>
      <c r="P19" s="78" t="n">
        <v>4.5</v>
      </c>
      <c r="Q19" s="77" t="n">
        <v>335</v>
      </c>
      <c r="R19" s="77" t="n">
        <v>143786</v>
      </c>
      <c r="S19" s="77" t="n">
        <v>21</v>
      </c>
      <c r="T19" s="39" t="n"/>
    </row>
    <row r="20" ht="62" customHeight="1">
      <c r="A20" s="12">
        <f>_xlfn.IMAGE("https://m.media-amazon.com/images/I/81FnucJ3DfL.jpg")</f>
        <v/>
      </c>
      <c r="B20" s="39" t="inlineStr">
        <is>
          <t>B0DBR9GXG4</t>
        </is>
      </c>
      <c r="C20" s="39" t="inlineStr">
        <is>
          <t>SILK-PILLOWCASE-QUEEN-IVORY-1PCS</t>
        </is>
      </c>
      <c r="D20" s="39" t="inlineStr">
        <is>
          <t>DECOLURE 100% Pure Mulberry Silk Pillow Case Queen Size – Highest Grade 30 Momme 6A+, Luxuriously Soft &amp; Cooling Silk Pillowcase for Hair &amp; Skin, Hypoallergenic, Breathable, Hidden Zipper (Ivory)</t>
        </is>
      </c>
      <c r="E20" s="39" t="inlineStr">
        <is>
          <t>Queen</t>
        </is>
      </c>
      <c r="F20" s="39" t="inlineStr">
        <is>
          <t>Ivory</t>
        </is>
      </c>
      <c r="G20" s="73" t="n">
        <v>49.95</v>
      </c>
      <c r="H20" s="39" t="inlineStr">
        <is>
          <t>catalog price, 2026-10-13</t>
        </is>
      </c>
      <c r="I20" s="74" t="n">
        <v>49.95</v>
      </c>
      <c r="J20" s="75" t="inlineStr">
        <is>
          <t>2026-03-30</t>
        </is>
      </c>
      <c r="K20" s="40" t="n">
        <v>18.11</v>
      </c>
      <c r="L20" s="76" t="n">
        <v>0.3625625625625625</v>
      </c>
      <c r="M20" s="77" t="n">
        <v>11</v>
      </c>
      <c r="N20" s="39" t="inlineStr">
        <is>
          <t>Active</t>
        </is>
      </c>
      <c r="O20" s="39" t="n"/>
      <c r="P20" s="78" t="n">
        <v>4.5</v>
      </c>
      <c r="Q20" s="77" t="n">
        <v>335</v>
      </c>
      <c r="R20" s="77" t="n">
        <v>143792</v>
      </c>
      <c r="S20" s="77" t="n">
        <v>8</v>
      </c>
      <c r="T20" s="39" t="n"/>
    </row>
    <row r="21" ht="62" customHeight="1">
      <c r="A21" s="12">
        <f>_xlfn.IMAGE("https://m.media-amazon.com/images/I/81FnucJ3DfL.jpg")</f>
        <v/>
      </c>
      <c r="B21" s="39" t="inlineStr">
        <is>
          <t>B0DBR99M41</t>
        </is>
      </c>
      <c r="C21" s="39" t="inlineStr">
        <is>
          <t>SILK-PILLOWCASE-STANDARD-IVORY-1PCS</t>
        </is>
      </c>
      <c r="D21" s="39" t="inlineStr">
        <is>
          <t>DECOLURE 100% Pure Mulberry Silk Pillow Case Standard Size – Highest Grade 30 Momme 6A+, Luxuriously Soft &amp; Cooling Silk Pillowcase for Hair &amp; Skin, Hypoallergenic, Breathable, Hidden Zipper (Ivory)</t>
        </is>
      </c>
      <c r="E21" s="39" t="inlineStr">
        <is>
          <t>Standard</t>
        </is>
      </c>
      <c r="F21" s="39" t="inlineStr">
        <is>
          <t>Ivory</t>
        </is>
      </c>
      <c r="G21" s="73" t="n">
        <v>44.95</v>
      </c>
      <c r="H21" s="39" t="inlineStr">
        <is>
          <t>catalog price, 2026-10-13</t>
        </is>
      </c>
      <c r="I21" s="74" t="n">
        <v>44.95</v>
      </c>
      <c r="J21" s="75" t="inlineStr">
        <is>
          <t>2026-03-30</t>
        </is>
      </c>
      <c r="K21" s="40" t="n">
        <v>17.48</v>
      </c>
      <c r="L21" s="76" t="n">
        <v>0.3888765294771968</v>
      </c>
      <c r="M21" s="77" t="n">
        <v>10</v>
      </c>
      <c r="N21" s="39" t="inlineStr">
        <is>
          <t>Active</t>
        </is>
      </c>
      <c r="O21" s="39" t="n"/>
      <c r="P21" s="78" t="n">
        <v>4.5</v>
      </c>
      <c r="Q21" s="77" t="n">
        <v>335</v>
      </c>
      <c r="R21" s="77" t="n">
        <v>143786</v>
      </c>
      <c r="S21" s="77" t="n">
        <v>19</v>
      </c>
      <c r="T21" s="39" t="n"/>
    </row>
    <row r="22" ht="62" customHeight="1">
      <c r="A22" s="12">
        <f>_xlfn.IMAGE("https://m.media-amazon.com/images/I/81QzYYkfGtL.jpg")</f>
        <v/>
      </c>
      <c r="B22" s="39" t="inlineStr">
        <is>
          <t>B0DBRL13MZ</t>
        </is>
      </c>
      <c r="C22" s="39" t="inlineStr">
        <is>
          <t>SILK-PILLOWCASE-KING-SILVER GREY-1PCS</t>
        </is>
      </c>
      <c r="D22" s="39" t="inlineStr">
        <is>
          <t>DECOLURE 100% Pure Mulberry Silk Pillow Case King Size – Highest Grade 30 Momme 6A+, Luxuriously Soft &amp; Cooling Silk Pillowcase for Hair &amp; Skin, Hypoallergenic, Breathable, Hidden Zipper (Silver Grey)</t>
        </is>
      </c>
      <c r="E22" s="39" t="inlineStr">
        <is>
          <t>King</t>
        </is>
      </c>
      <c r="F22" s="39" t="inlineStr">
        <is>
          <t>Silver Grey</t>
        </is>
      </c>
      <c r="G22" s="73" t="n">
        <v>54.95</v>
      </c>
      <c r="H22" s="39" t="inlineStr">
        <is>
          <t>catalog price, 2026-10-13</t>
        </is>
      </c>
      <c r="I22" s="74" t="n">
        <v>54.99</v>
      </c>
      <c r="J22" s="75" t="inlineStr">
        <is>
          <t>2026-03-30</t>
        </is>
      </c>
      <c r="K22" s="40" t="n">
        <v>18.76</v>
      </c>
      <c r="L22" s="76" t="n">
        <v>0.3411529368976178</v>
      </c>
      <c r="M22" s="77" t="n">
        <v>9</v>
      </c>
      <c r="N22" s="39" t="inlineStr">
        <is>
          <t>Active</t>
        </is>
      </c>
      <c r="O22" s="39" t="n"/>
      <c r="P22" s="78" t="n">
        <v>4.5</v>
      </c>
      <c r="Q22" s="77" t="n">
        <v>335</v>
      </c>
      <c r="R22" s="77" t="n">
        <v>143792</v>
      </c>
      <c r="S22" s="77" t="n">
        <v>4</v>
      </c>
      <c r="T22" s="39" t="n"/>
    </row>
    <row r="23" ht="62" customHeight="1">
      <c r="A23" s="12">
        <f>_xlfn.IMAGE("https://m.media-amazon.com/images/I/81Rbj21EicL.jpg")</f>
        <v/>
      </c>
      <c r="B23" s="39" t="inlineStr">
        <is>
          <t>B0DBR8Y5Y2</t>
        </is>
      </c>
      <c r="C23" s="39" t="inlineStr">
        <is>
          <t>SILK-PILLOWCASE-KING-WHITE-1PCS</t>
        </is>
      </c>
      <c r="D23" s="39" t="inlineStr">
        <is>
          <t>DECOLURE 100% Pure Mulberry Silk Pillow Case King Size – Highest Grade 30 Momme 6A+, Luxuriously Soft &amp; Cooling Silk Pillowcase for Hair &amp; Skin, Hypoallergenic, Breathable, Hidden Zipper (White)</t>
        </is>
      </c>
      <c r="E23" s="39" t="inlineStr">
        <is>
          <t>King</t>
        </is>
      </c>
      <c r="F23" s="39" t="inlineStr">
        <is>
          <t>White</t>
        </is>
      </c>
      <c r="G23" s="73" t="n">
        <v>54.95</v>
      </c>
      <c r="H23" s="39" t="inlineStr">
        <is>
          <t>catalog price, 2026-10-13</t>
        </is>
      </c>
      <c r="I23" s="74" t="n">
        <v>70.98999999999999</v>
      </c>
      <c r="J23" s="75" t="inlineStr">
        <is>
          <t>2026-03-30</t>
        </is>
      </c>
      <c r="K23" s="40" t="n">
        <v>32.64</v>
      </c>
      <c r="L23" s="76" t="n">
        <v>0.4597830680377518</v>
      </c>
      <c r="M23" s="77" t="n">
        <v>8</v>
      </c>
      <c r="N23" s="39" t="inlineStr">
        <is>
          <t>Active</t>
        </is>
      </c>
      <c r="O23" s="39" t="inlineStr">
        <is>
          <t>Yes (34%)</t>
        </is>
      </c>
      <c r="P23" s="78" t="n">
        <v>4.5</v>
      </c>
      <c r="Q23" s="77" t="n">
        <v>335</v>
      </c>
      <c r="R23" s="77" t="n">
        <v>143792</v>
      </c>
      <c r="S23" s="77" t="n">
        <v>6</v>
      </c>
      <c r="T23" s="39" t="n"/>
    </row>
    <row r="24" ht="62" customHeight="1">
      <c r="A24" s="12">
        <f>_xlfn.IMAGE("https://m.media-amazon.com/images/I/71b3XYQujYL.jpg")</f>
        <v/>
      </c>
      <c r="B24" s="39" t="inlineStr">
        <is>
          <t>B0DBR9B5ZX</t>
        </is>
      </c>
      <c r="C24" s="39" t="inlineStr">
        <is>
          <t>SILK-PILLOWCASE-STANDARD-SILVERGREY-1PC</t>
        </is>
      </c>
      <c r="D24" s="39" t="inlineStr">
        <is>
          <t>DECOLURE 100% Pure Mulberry Silk Pillow Case Standard Size – Highest Grade 30 Momme 6A+, Luxuriously Soft &amp; Cooling Silk Pillowcase for Hair &amp; Skin, Hypoallergenic, Breathable, Hidden Zipper (Silver)</t>
        </is>
      </c>
      <c r="E24" s="39" t="inlineStr">
        <is>
          <t>Standard</t>
        </is>
      </c>
      <c r="F24" s="39" t="inlineStr">
        <is>
          <t>Silver Grey</t>
        </is>
      </c>
      <c r="G24" s="73" t="n">
        <v>44.95</v>
      </c>
      <c r="H24" s="39" t="inlineStr">
        <is>
          <t>catalog price, 2026-10-13</t>
        </is>
      </c>
      <c r="I24" s="74" t="n">
        <v>44.95</v>
      </c>
      <c r="J24" s="75" t="inlineStr">
        <is>
          <t>2026-03-30</t>
        </is>
      </c>
      <c r="K24" s="40" t="n">
        <v>16.11</v>
      </c>
      <c r="L24" s="76" t="n">
        <v>0.3583982202447163</v>
      </c>
      <c r="M24" s="77" t="n">
        <v>7</v>
      </c>
      <c r="N24" s="39" t="inlineStr">
        <is>
          <t>Active</t>
        </is>
      </c>
      <c r="O24" s="39" t="n"/>
      <c r="P24" s="78" t="n">
        <v>4.5</v>
      </c>
      <c r="Q24" s="77" t="n">
        <v>335</v>
      </c>
      <c r="R24" s="77" t="n">
        <v>143792</v>
      </c>
      <c r="S24" s="77" t="n">
        <v>19</v>
      </c>
      <c r="T24" s="39" t="n"/>
    </row>
    <row r="25" ht="62" customHeight="1">
      <c r="A25" s="12">
        <f>_xlfn.IMAGE("https://m.media-amazon.com/images/I/811Ne2sYFzL.jpg")</f>
        <v/>
      </c>
      <c r="B25" s="39" t="inlineStr">
        <is>
          <t>B0DBR61W7F</t>
        </is>
      </c>
      <c r="C25" s="39" t="inlineStr">
        <is>
          <t>SILK-PILLOWCASE-QUEEN-CHAMPAGNE-1PCS</t>
        </is>
      </c>
      <c r="D25" s="39" t="inlineStr">
        <is>
          <t>DECOLURE 100% Pure Mulberry Silk Pillow Case Queen Size – Highest Grade 30 Momme 6A+, Luxuriously Soft &amp; Cooling Silk Pillowcase for Hair &amp; Skin, Hypoallergenic, Breathable, Hidden Zipper (Champagne)</t>
        </is>
      </c>
      <c r="E25" s="39" t="inlineStr">
        <is>
          <t>Queen</t>
        </is>
      </c>
      <c r="F25" s="39" t="inlineStr">
        <is>
          <t>Champagne</t>
        </is>
      </c>
      <c r="G25" s="73" t="n">
        <v>49.95</v>
      </c>
      <c r="H25" s="39" t="inlineStr">
        <is>
          <t>catalog price, 2026-10-13</t>
        </is>
      </c>
      <c r="I25" s="74" t="n">
        <v>49.95</v>
      </c>
      <c r="J25" s="75" t="inlineStr">
        <is>
          <t>2026-03-30</t>
        </is>
      </c>
      <c r="K25" s="40" t="n"/>
      <c r="L25" s="76" t="n"/>
      <c r="M25" s="77" t="n">
        <v>6</v>
      </c>
      <c r="N25" s="39" t="inlineStr">
        <is>
          <t>Active</t>
        </is>
      </c>
      <c r="O25" s="39" t="n"/>
      <c r="P25" s="78" t="n">
        <v>4.5</v>
      </c>
      <c r="Q25" s="77" t="n">
        <v>335</v>
      </c>
      <c r="R25" s="77" t="n">
        <v>143786</v>
      </c>
      <c r="S25" s="77" t="n">
        <v>8</v>
      </c>
      <c r="T25" s="39" t="n"/>
    </row>
    <row r="26" ht="62" customHeight="1">
      <c r="A26" s="12">
        <f>_xlfn.IMAGE("https://m.media-amazon.com/images/I/81l7C-3WHOL.jpg")</f>
        <v/>
      </c>
      <c r="B26" s="39" t="inlineStr">
        <is>
          <t>B0DBRS4FDL</t>
        </is>
      </c>
      <c r="C26" s="39" t="inlineStr">
        <is>
          <t>SILK-PILLOWCASE-STANDARD-CORAL-1PCS</t>
        </is>
      </c>
      <c r="D26" s="39" t="inlineStr">
        <is>
          <t>DECOLURE 100% Pure Mulberry Silk Pillow Case Standard Size – Highest Grade 30 Momme 6A+, Luxuriously Soft &amp; Cooling Silk Pillowcase for Hair &amp; Skin, Hypoallergenic, Breathable, Hidden Zipper (Coral)</t>
        </is>
      </c>
      <c r="E26" s="39" t="inlineStr">
        <is>
          <t>Standard</t>
        </is>
      </c>
      <c r="F26" s="39" t="inlineStr">
        <is>
          <t>Coral</t>
        </is>
      </c>
      <c r="G26" s="73" t="n">
        <v>44.95</v>
      </c>
      <c r="H26" s="39" t="inlineStr">
        <is>
          <t>catalog price, 2026-10-13</t>
        </is>
      </c>
      <c r="I26" s="74" t="n">
        <v>55.99</v>
      </c>
      <c r="J26" s="75" t="inlineStr">
        <is>
          <t>2026-03-30</t>
        </is>
      </c>
      <c r="K26" s="40" t="n">
        <v>17.94</v>
      </c>
      <c r="L26" s="76" t="n">
        <v>0.3204143597070906</v>
      </c>
      <c r="M26" s="77" t="n">
        <v>6</v>
      </c>
      <c r="N26" s="39" t="inlineStr">
        <is>
          <t>Active</t>
        </is>
      </c>
      <c r="O26" s="39" t="n"/>
      <c r="P26" s="78" t="n">
        <v>4.5</v>
      </c>
      <c r="Q26" s="77" t="n">
        <v>335</v>
      </c>
      <c r="R26" s="77" t="n">
        <v>143792</v>
      </c>
      <c r="S26" s="77" t="n">
        <v>20</v>
      </c>
      <c r="T26" s="39" t="n"/>
    </row>
    <row r="27" ht="62" customHeight="1">
      <c r="A27" s="12">
        <f>_xlfn.IMAGE("https://m.media-amazon.com/images/I/81AOC7pOanL.jpg")</f>
        <v/>
      </c>
      <c r="B27" s="39" t="inlineStr">
        <is>
          <t>B0DBR948NX</t>
        </is>
      </c>
      <c r="C27" s="39" t="inlineStr">
        <is>
          <t>SILK-PILLOWCASE-STANDARD-GREY-1PCS</t>
        </is>
      </c>
      <c r="D27" s="39" t="inlineStr">
        <is>
          <t>DECOLURE 100% Pure Mulberry Silk Pillow Case Standard Size – Highest Grade 30 Momme 6A+, Luxuriously Soft &amp; Cooling Silk Pillowcase for Hair &amp; Skin, Hypoallergenic, Breathable, Hidden Zipper (Grey)</t>
        </is>
      </c>
      <c r="E27" s="39" t="inlineStr">
        <is>
          <t>Standard</t>
        </is>
      </c>
      <c r="F27" s="39" t="inlineStr">
        <is>
          <t>Grey</t>
        </is>
      </c>
      <c r="G27" s="73" t="n">
        <v>44.95</v>
      </c>
      <c r="H27" s="39" t="inlineStr">
        <is>
          <t>catalog price, 2026-10-13</t>
        </is>
      </c>
      <c r="I27" s="74" t="n">
        <v>44.95</v>
      </c>
      <c r="J27" s="75" t="inlineStr">
        <is>
          <t>2026-03-30</t>
        </is>
      </c>
      <c r="K27" s="40" t="n">
        <v>13.03</v>
      </c>
      <c r="L27" s="76" t="n">
        <v>0.2898776418242491</v>
      </c>
      <c r="M27" s="77" t="n">
        <v>6</v>
      </c>
      <c r="N27" s="39" t="inlineStr">
        <is>
          <t>Active</t>
        </is>
      </c>
      <c r="O27" s="39" t="n"/>
      <c r="P27" s="78" t="n">
        <v>4.5</v>
      </c>
      <c r="Q27" s="77" t="n">
        <v>335</v>
      </c>
      <c r="R27" s="77" t="n">
        <v>143792</v>
      </c>
      <c r="S27" s="77" t="n">
        <v>18</v>
      </c>
      <c r="T27" s="39" t="n"/>
    </row>
    <row r="28" ht="62" customHeight="1">
      <c r="A28" s="12">
        <f>_xlfn.IMAGE("https://m.media-amazon.com/images/I/81AOC7pOanL.jpg")</f>
        <v/>
      </c>
      <c r="B28" s="39" t="inlineStr">
        <is>
          <t>B0DBR73C9R</t>
        </is>
      </c>
      <c r="C28" s="39" t="inlineStr">
        <is>
          <t>SILK-PILLOWCASE-KING-GREY-1PCS</t>
        </is>
      </c>
      <c r="D28" s="39" t="inlineStr">
        <is>
          <t>DECOLURE 100% Pure Mulberry Silk Pillow Case King Size – Highest Grade 30 Momme 6A+, Luxuriously Soft &amp; Cooling Silk Pillowcase for Hair &amp; Skin, Hypoallergenic, Breathable, Hidden Zipper (Grey)</t>
        </is>
      </c>
      <c r="E28" s="39" t="inlineStr">
        <is>
          <t>King</t>
        </is>
      </c>
      <c r="F28" s="39" t="inlineStr">
        <is>
          <t>Grey</t>
        </is>
      </c>
      <c r="G28" s="73" t="n">
        <v>54.95</v>
      </c>
      <c r="H28" s="39" t="inlineStr">
        <is>
          <t>catalog price, 2026-10-13</t>
        </is>
      </c>
      <c r="I28" s="74" t="n">
        <v>70.98999999999999</v>
      </c>
      <c r="J28" s="75" t="inlineStr">
        <is>
          <t>2026-03-30</t>
        </is>
      </c>
      <c r="K28" s="40" t="n">
        <v>32.59</v>
      </c>
      <c r="L28" s="76" t="n">
        <v>0.4590787434849979</v>
      </c>
      <c r="M28" s="77" t="n">
        <v>4</v>
      </c>
      <c r="N28" s="39" t="inlineStr">
        <is>
          <t>Active</t>
        </is>
      </c>
      <c r="O28" s="39" t="n"/>
      <c r="P28" s="78" t="n">
        <v>4.5</v>
      </c>
      <c r="Q28" s="77" t="n">
        <v>335</v>
      </c>
      <c r="R28" s="77" t="n">
        <v>143786</v>
      </c>
      <c r="S28" s="77" t="n">
        <v>4</v>
      </c>
      <c r="T28" s="39" t="n"/>
    </row>
    <row r="29" ht="62" customHeight="1">
      <c r="A29" s="12">
        <f>_xlfn.IMAGE("https://m.media-amazon.com/images/I/81Rbj21EicL.jpg")</f>
        <v/>
      </c>
      <c r="B29" s="39" t="inlineStr">
        <is>
          <t>B0DBRBSH2R</t>
        </is>
      </c>
      <c r="C29" s="39" t="inlineStr">
        <is>
          <t>SILK-PILLOWCASE-QUEEN-WHITE-1PCS</t>
        </is>
      </c>
      <c r="D29" s="39" t="inlineStr">
        <is>
          <t>DECOLURE 100% Pure Mulberry Silk Pillow Case Queen Size – Highest Grade 30 Momme 6A+, Luxuriously Soft &amp; Cooling Silk Pillowcase for Hair &amp; Skin, Hypoallergenic, Breathable, Hidden Zipper (White)</t>
        </is>
      </c>
      <c r="E29" s="39" t="inlineStr">
        <is>
          <t>Queen</t>
        </is>
      </c>
      <c r="F29" s="39" t="inlineStr">
        <is>
          <t>White</t>
        </is>
      </c>
      <c r="G29" s="73" t="n">
        <v>49.95</v>
      </c>
      <c r="H29" s="39" t="inlineStr">
        <is>
          <t>catalog price, 2026-10-13</t>
        </is>
      </c>
      <c r="I29" s="74" t="n">
        <v>49.99</v>
      </c>
      <c r="J29" s="75" t="inlineStr">
        <is>
          <t>2026-03-30</t>
        </is>
      </c>
      <c r="K29" s="40" t="n">
        <v>18.5</v>
      </c>
      <c r="L29" s="76" t="n">
        <v>0.3700740148029606</v>
      </c>
      <c r="M29" s="77" t="n">
        <v>4</v>
      </c>
      <c r="N29" s="39" t="inlineStr">
        <is>
          <t>Active</t>
        </is>
      </c>
      <c r="O29" s="39" t="n"/>
      <c r="P29" s="78" t="n">
        <v>4.5</v>
      </c>
      <c r="Q29" s="77" t="n">
        <v>335</v>
      </c>
      <c r="R29" s="77" t="n">
        <v>143786</v>
      </c>
      <c r="S29" s="77" t="n">
        <v>7</v>
      </c>
      <c r="T29" s="39" t="n"/>
    </row>
    <row r="30" ht="62" customHeight="1">
      <c r="A30" s="12">
        <f>_xlfn.IMAGE("https://m.media-amazon.com/images/I/811Ne2sYFzL.jpg")</f>
        <v/>
      </c>
      <c r="B30" s="39" t="inlineStr">
        <is>
          <t>B0DBR7PBVP</t>
        </is>
      </c>
      <c r="C30" s="39" t="inlineStr">
        <is>
          <t>SILK-PILLOWCASE-KING-CHAMPAGNE-1PCS</t>
        </is>
      </c>
      <c r="D30" s="39" t="inlineStr">
        <is>
          <t>DECOLURE 100% Pure Mulberry Silk Pillow Case King Size – Highest Grade 30 Momme 6A+, Luxuriously Soft &amp; Cooling Silk Pillowcase for Hair &amp; Skin, Hypoallergenic, Breathable, Hidden Zipper (Champagne)</t>
        </is>
      </c>
      <c r="E30" s="39" t="inlineStr">
        <is>
          <t>King</t>
        </is>
      </c>
      <c r="F30" s="39" t="inlineStr">
        <is>
          <t>Champagne</t>
        </is>
      </c>
      <c r="G30" s="73" t="n">
        <v>54.95</v>
      </c>
      <c r="H30" s="39" t="inlineStr">
        <is>
          <t>catalog price, 2026-10-13</t>
        </is>
      </c>
      <c r="I30" s="40" t="n"/>
      <c r="J30" s="39" t="n"/>
      <c r="K30" s="40" t="n"/>
      <c r="L30" s="76" t="n"/>
      <c r="M30" s="77" t="n">
        <v>3</v>
      </c>
      <c r="N30" s="39" t="inlineStr">
        <is>
          <t>Active</t>
        </is>
      </c>
      <c r="O30" s="39" t="n"/>
      <c r="P30" s="78" t="n">
        <v>4.5</v>
      </c>
      <c r="Q30" s="77" t="n">
        <v>335</v>
      </c>
      <c r="R30" s="77" t="n">
        <v>143792</v>
      </c>
      <c r="S30" s="77" t="n">
        <v>4</v>
      </c>
      <c r="T30" s="39" t="n"/>
    </row>
    <row r="31" ht="62" customHeight="1">
      <c r="A31" s="12">
        <f>_xlfn.IMAGE("https://m.media-amazon.com/images/I/81l7C-3WHOL.jpg")</f>
        <v/>
      </c>
      <c r="B31" s="39" t="inlineStr">
        <is>
          <t>B0DBR855WF</t>
        </is>
      </c>
      <c r="C31" s="39" t="inlineStr">
        <is>
          <t>SILK-PILLOWCASE-KING-CORAL-1PCS</t>
        </is>
      </c>
      <c r="D31" s="39" t="inlineStr">
        <is>
          <t>DECOLURE 100% Pure Mulberry Silk Pillow Case King Size – Highest Grade 30 Momme 6A+, Luxuriously Soft &amp; Cooling Silk Pillowcase for Hair &amp; Skin, Hypoallergenic, Breathable, Hidden Zipper (Coral)</t>
        </is>
      </c>
      <c r="E31" s="39" t="inlineStr">
        <is>
          <t>King</t>
        </is>
      </c>
      <c r="F31" s="39" t="inlineStr">
        <is>
          <t>Coral</t>
        </is>
      </c>
      <c r="G31" s="73" t="n">
        <v>54.95</v>
      </c>
      <c r="H31" s="39" t="inlineStr">
        <is>
          <t>catalog price, 2026-10-13</t>
        </is>
      </c>
      <c r="I31" s="74" t="n">
        <v>54.95</v>
      </c>
      <c r="J31" s="75" t="inlineStr">
        <is>
          <t>2026-03-30</t>
        </is>
      </c>
      <c r="K31" s="40" t="n">
        <v>18.96</v>
      </c>
      <c r="L31" s="76" t="n">
        <v>0.3450409463148317</v>
      </c>
      <c r="M31" s="77" t="n">
        <v>3</v>
      </c>
      <c r="N31" s="39" t="inlineStr">
        <is>
          <t>Active</t>
        </is>
      </c>
      <c r="O31" s="39" t="n"/>
      <c r="P31" s="78" t="n">
        <v>4.5</v>
      </c>
      <c r="Q31" s="77" t="n">
        <v>335</v>
      </c>
      <c r="R31" s="77" t="n">
        <v>143792</v>
      </c>
      <c r="S31" s="77" t="n">
        <v>4</v>
      </c>
      <c r="T31" s="39" t="n"/>
    </row>
    <row r="32" ht="62" customHeight="1">
      <c r="A32" s="12">
        <f>_xlfn.IMAGE("https://m.media-amazon.com/images/I/81AOC7pOanL.jpg")</f>
        <v/>
      </c>
      <c r="B32" s="39" t="inlineStr">
        <is>
          <t>B0DBR9LLGV</t>
        </is>
      </c>
      <c r="C32" s="39" t="inlineStr">
        <is>
          <t>SILK-PILLOWCASE-QUEEN-GREY-1PCS</t>
        </is>
      </c>
      <c r="D32" s="39" t="inlineStr">
        <is>
          <t>DECOLURE 100% Pure Mulberry Silk Pillow Case Queen Size – Highest Grade 30 Momme 6A+, Luxuriously Soft &amp; Cooling Silk Pillowcase for Hair &amp; Skin, Hypoallergenic, Breathable, Hidden Zipper (Grey)</t>
        </is>
      </c>
      <c r="E32" s="39" t="inlineStr">
        <is>
          <t>Queen</t>
        </is>
      </c>
      <c r="F32" s="39" t="inlineStr">
        <is>
          <t>Grey</t>
        </is>
      </c>
      <c r="G32" s="73" t="n">
        <v>49.95</v>
      </c>
      <c r="H32" s="39" t="inlineStr">
        <is>
          <t>catalog price, 2026-10-13</t>
        </is>
      </c>
      <c r="I32" s="74" t="n">
        <v>49.99</v>
      </c>
      <c r="J32" s="75" t="inlineStr">
        <is>
          <t>2026-03-30</t>
        </is>
      </c>
      <c r="K32" s="40" t="n">
        <v>15.46</v>
      </c>
      <c r="L32" s="76" t="n">
        <v>0.3092618523704741</v>
      </c>
      <c r="M32" s="77" t="n">
        <v>3</v>
      </c>
      <c r="N32" s="39" t="inlineStr">
        <is>
          <t>Active</t>
        </is>
      </c>
      <c r="O32" s="39" t="n"/>
      <c r="P32" s="78" t="n">
        <v>4.5</v>
      </c>
      <c r="Q32" s="77" t="n">
        <v>335</v>
      </c>
      <c r="R32" s="77" t="n">
        <v>143792</v>
      </c>
      <c r="S32" s="77" t="n">
        <v>7</v>
      </c>
      <c r="T32" s="39" t="n"/>
    </row>
    <row r="33" ht="62" customHeight="1">
      <c r="A33" s="12">
        <f>_xlfn.IMAGE("https://m.media-amazon.com/images/I/81QzYYkfGtL.jpg")</f>
        <v/>
      </c>
      <c r="B33" s="39" t="inlineStr">
        <is>
          <t>B0DBRB2B8J</t>
        </is>
      </c>
      <c r="C33" s="39" t="inlineStr">
        <is>
          <t>SILK-PILLOWCASE-QUEEN-SILVER GREY-1PCS</t>
        </is>
      </c>
      <c r="D33" s="39" t="inlineStr">
        <is>
          <t>DECOLURE 100% Pure Mulberry Silk Pillow Case Queen Size – Highest Grade 30 Momme 6A+, Luxuriously Soft &amp; Cooling Silk Pillowcase for Hair &amp; Skin, Hypoallergenic, Breathable, Hidden Zipper (Silver)</t>
        </is>
      </c>
      <c r="E33" s="39" t="inlineStr">
        <is>
          <t>Queen</t>
        </is>
      </c>
      <c r="F33" s="39" t="inlineStr">
        <is>
          <t>Silver Grey</t>
        </is>
      </c>
      <c r="G33" s="73" t="n">
        <v>49.95</v>
      </c>
      <c r="H33" s="39" t="inlineStr">
        <is>
          <t>catalog price, 2026-10-13</t>
        </is>
      </c>
      <c r="I33" s="74" t="n">
        <v>49.95</v>
      </c>
      <c r="J33" s="75" t="inlineStr">
        <is>
          <t>2026-03-30</t>
        </is>
      </c>
      <c r="K33" s="40" t="n">
        <v>15.18</v>
      </c>
      <c r="L33" s="76" t="n">
        <v>0.3039039039039039</v>
      </c>
      <c r="M33" s="77" t="n">
        <v>3</v>
      </c>
      <c r="N33" s="39" t="inlineStr">
        <is>
          <t>Active</t>
        </is>
      </c>
      <c r="O33" s="39" t="n"/>
      <c r="P33" s="78" t="n">
        <v>4.5</v>
      </c>
      <c r="Q33" s="77" t="n">
        <v>335</v>
      </c>
      <c r="R33" s="77" t="n">
        <v>143792</v>
      </c>
      <c r="S33" s="77" t="n">
        <v>7</v>
      </c>
      <c r="T33" s="39" t="n"/>
    </row>
    <row r="34" ht="62" customHeight="1">
      <c r="A34" s="12">
        <f>_xlfn.IMAGE("https://m.media-amazon.com/images/I/81l7C-3WHOL.jpg")</f>
        <v/>
      </c>
      <c r="B34" s="39" t="inlineStr">
        <is>
          <t>B0DBR771WD</t>
        </is>
      </c>
      <c r="C34" s="39" t="inlineStr">
        <is>
          <t>SILK-PILLOWCASE-QUEEN-CORAL-1PCS</t>
        </is>
      </c>
      <c r="D34" s="39" t="inlineStr">
        <is>
          <t>DECOLURE 100% Pure Mulberry Silk Pillow Case Queen Size – Highest Grade 30 Momme 6A+, Luxuriously Soft &amp; Cooling Silk Pillowcase for Hair &amp; Skin, Hypoallergenic, Breathable, Hidden Zipper (Coral)</t>
        </is>
      </c>
      <c r="E34" s="39" t="inlineStr">
        <is>
          <t>Queen</t>
        </is>
      </c>
      <c r="F34" s="39" t="inlineStr">
        <is>
          <t>Coral</t>
        </is>
      </c>
      <c r="G34" s="73" t="n">
        <v>49.95</v>
      </c>
      <c r="H34" s="39" t="inlineStr">
        <is>
          <t>catalog price, 2026-10-13</t>
        </is>
      </c>
      <c r="I34" s="74" t="n">
        <v>49.99</v>
      </c>
      <c r="J34" s="75" t="inlineStr">
        <is>
          <t>2026-03-30</t>
        </is>
      </c>
      <c r="K34" s="40" t="n">
        <v>15.21</v>
      </c>
      <c r="L34" s="76" t="n">
        <v>0.3042608521704341</v>
      </c>
      <c r="M34" s="77" t="n">
        <v>1</v>
      </c>
      <c r="N34" s="39" t="inlineStr">
        <is>
          <t>Active</t>
        </is>
      </c>
      <c r="O34" s="39" t="n"/>
      <c r="P34" s="78" t="n">
        <v>4.5</v>
      </c>
      <c r="Q34" s="77" t="n">
        <v>335</v>
      </c>
      <c r="R34" s="77" t="n">
        <v>143792</v>
      </c>
      <c r="S34" s="77" t="n">
        <v>7</v>
      </c>
      <c r="T34" s="39" t="n"/>
    </row>
    <row r="35" ht="62" customHeight="1">
      <c r="A35" s="12">
        <f>_xlfn.IMAGE("https://m.media-amazon.com/images/I/81FnucJ3DfL.jpg")</f>
        <v/>
      </c>
      <c r="B35" s="39" t="inlineStr">
        <is>
          <t>B0DBR716DJ</t>
        </is>
      </c>
      <c r="C35" s="39" t="inlineStr">
        <is>
          <t>SILK-PILLOWCASE-KING-IVORY-1PCS</t>
        </is>
      </c>
      <c r="D35" s="39" t="inlineStr">
        <is>
          <t>DECOLURE 100% Pure Mulberry Silk Pillow Case King Size – Highest Grade 30 Momme 6A+, Luxuriously Soft &amp; Cooling Silk Pillowcase for Hair &amp; Skin, Hypoallergenic, Breathable, Hidden Zipper (Ivory)</t>
        </is>
      </c>
      <c r="E35" s="39" t="inlineStr">
        <is>
          <t>King</t>
        </is>
      </c>
      <c r="F35" s="39" t="inlineStr">
        <is>
          <t>Ivory</t>
        </is>
      </c>
      <c r="G35" s="40" t="n"/>
      <c r="H35" s="39" t="n"/>
      <c r="I35" s="74" t="n">
        <v>54.95</v>
      </c>
      <c r="J35" s="75" t="inlineStr">
        <is>
          <t>2026-03-30</t>
        </is>
      </c>
      <c r="K35" s="40" t="n">
        <v>18.73</v>
      </c>
      <c r="L35" s="76" t="n">
        <v>0.3408553230209281</v>
      </c>
      <c r="M35" s="77" t="n"/>
      <c r="N35" s="39" t="inlineStr">
        <is>
          <t>Inactive</t>
        </is>
      </c>
      <c r="O35" s="39" t="n"/>
      <c r="P35" s="78" t="n"/>
      <c r="Q35" s="77" t="n"/>
      <c r="R35" s="77" t="n"/>
      <c r="S35" s="77" t="n"/>
      <c r="T35" s="39" t="n"/>
    </row>
    <row r="36"/>
    <row r="37" ht="22" customHeight="1">
      <c r="A37" s="65" t="inlineStr">
        <is>
          <t>3 ▼</t>
        </is>
      </c>
      <c r="B37" s="66" t="inlineStr">
        <is>
          <t>OUR BFCM 2025 RESULT &amp; EVENT VISIBILITY</t>
        </is>
      </c>
      <c r="C37" s="67" t="n"/>
      <c r="D37" s="67" t="n"/>
      <c r="E37" s="67" t="n"/>
      <c r="F37" s="67" t="n"/>
      <c r="G37" s="67" t="n"/>
      <c r="H37" s="67" t="n"/>
      <c r="I37" s="67" t="n"/>
      <c r="J37" s="67" t="n"/>
      <c r="K37" s="67" t="n"/>
      <c r="L37" s="67" t="n"/>
      <c r="M37" s="67" t="n"/>
      <c r="N37" s="67" t="n"/>
      <c r="O37" s="67" t="n"/>
      <c r="P37" s="67" t="n"/>
      <c r="Q37" s="67" t="n"/>
      <c r="R37" s="67" t="n"/>
      <c r="S37" s="67" t="n"/>
      <c r="T37" s="67" t="n"/>
      <c r="U37" s="67" t="n"/>
      <c r="V37" s="67" t="n"/>
      <c r="W37" s="67" t="n"/>
      <c r="X37" s="67" t="n"/>
      <c r="Y37" s="67" t="n"/>
      <c r="Z37" s="67" t="n"/>
      <c r="AA37" s="67" t="n"/>
      <c r="AB37" s="67" t="n"/>
      <c r="AC37" s="67" t="n"/>
      <c r="AD37" s="67" t="n"/>
      <c r="AE37" s="67" t="n"/>
      <c r="AF37" s="67" t="n"/>
      <c r="AG37" s="67" t="n"/>
      <c r="AH37" s="67" t="n"/>
      <c r="AI37" s="67" t="n"/>
      <c r="AJ37" s="67" t="n"/>
      <c r="AK37" s="67" t="n"/>
      <c r="AL37" s="67" t="n"/>
      <c r="AM37" s="67" t="n"/>
      <c r="AN37" s="67" t="n"/>
      <c r="AO37" s="67" t="n"/>
      <c r="AP37" s="67" t="n"/>
      <c r="AQ37" s="67" t="n"/>
      <c r="AR37" s="67" t="n"/>
      <c r="AS37" s="67" t="n"/>
      <c r="AT37" s="67" t="n"/>
      <c r="AU37" s="67" t="n"/>
      <c r="AV37" s="67" t="n"/>
      <c r="AW37" s="67" t="n"/>
      <c r="AX37" s="67" t="n"/>
      <c r="AY37" s="67" t="n"/>
      <c r="AZ37" s="67" t="n"/>
      <c r="BA37" s="67" t="n"/>
      <c r="BB37" s="67" t="n"/>
      <c r="BC37" s="67" t="n"/>
      <c r="BD37" s="67" t="n"/>
      <c r="BE37" s="67" t="n"/>
      <c r="BF37" s="67" t="n"/>
      <c r="BG37" s="67" t="n"/>
      <c r="BH37" s="67" t="n"/>
      <c r="BI37" s="67" t="n"/>
      <c r="BJ37" s="67" t="n"/>
      <c r="BK37" s="67" t="n"/>
    </row>
    <row r="38">
      <c r="A38" s="80" t="inlineStr">
        <is>
          <t>Window</t>
        </is>
      </c>
      <c r="B38" s="81" t="n"/>
      <c r="C38" s="82" t="n"/>
      <c r="D38" s="80" t="inlineStr">
        <is>
          <t>Ad spend</t>
        </is>
      </c>
      <c r="E38" s="80" t="inlineStr">
        <is>
          <t>Ad sales</t>
        </is>
      </c>
      <c r="F38" s="80" t="inlineStr">
        <is>
          <t>ACoS</t>
        </is>
      </c>
      <c r="G38" s="80" t="inlineStr">
        <is>
          <t>TACoS</t>
        </is>
      </c>
      <c r="H38" s="80" t="inlineStr">
        <is>
          <t>Total sales (derived)</t>
        </is>
      </c>
      <c r="J38" s="80" t="inlineStr">
        <is>
          <t>Ad orders</t>
        </is>
      </c>
      <c r="K38" s="80" t="inlineStr">
        <is>
          <t>CVR</t>
        </is>
      </c>
    </row>
    <row r="39">
      <c r="A39" s="83" t="inlineStr">
        <is>
          <t>Pre-event Oct 21 - Nov 19, 2025 (30d)</t>
        </is>
      </c>
      <c r="B39" s="81" t="n"/>
      <c r="C39" s="82" t="n"/>
      <c r="D39" s="84" t="n">
        <v>3005.58</v>
      </c>
      <c r="E39" s="84" t="n">
        <v>6317.499999999999</v>
      </c>
      <c r="F39" s="85" t="n">
        <v>47.6</v>
      </c>
      <c r="G39" s="85" t="n">
        <v>31.62772979872651</v>
      </c>
      <c r="H39" s="84" t="n">
        <v>9502.99</v>
      </c>
      <c r="J39" s="86" t="n">
        <v>99</v>
      </c>
      <c r="K39" s="87" t="n">
        <v>9.24</v>
      </c>
    </row>
    <row r="40">
      <c r="A40" s="83" t="inlineStr">
        <is>
          <t>BFCM week Nov 20 - Dec 1, 2025 (12d)</t>
        </is>
      </c>
      <c r="B40" s="81" t="n"/>
      <c r="C40" s="82" t="n"/>
      <c r="D40" s="84" t="n">
        <v>1726.4</v>
      </c>
      <c r="E40" s="84" t="n">
        <v>3131.57</v>
      </c>
      <c r="F40" s="85" t="n">
        <v>55.1</v>
      </c>
      <c r="G40" s="85" t="n">
        <v>33.57161191963349</v>
      </c>
      <c r="H40" s="84" t="n">
        <v>5142.44</v>
      </c>
      <c r="J40" s="86" t="n">
        <v>56</v>
      </c>
      <c r="K40" s="87" t="n">
        <v>8.26</v>
      </c>
    </row>
    <row r="41">
      <c r="A41" s="83" t="inlineStr">
        <is>
          <t>December 2 - 31, 2025 (30d)</t>
        </is>
      </c>
      <c r="B41" s="81" t="n"/>
      <c r="C41" s="82" t="n"/>
      <c r="D41" s="84" t="n">
        <v>4100.75</v>
      </c>
      <c r="E41" s="84" t="n">
        <v>15012.38</v>
      </c>
      <c r="F41" s="85" t="n">
        <v>27.3</v>
      </c>
      <c r="G41" s="85" t="n">
        <v>14.43817261657044</v>
      </c>
      <c r="H41" s="84" t="n">
        <v>28402.14</v>
      </c>
      <c r="J41" s="86" t="n">
        <v>250</v>
      </c>
      <c r="K41" s="87" t="n">
        <v>13.51</v>
      </c>
    </row>
    <row r="42"/>
    <row r="43">
      <c r="A43" s="80" t="inlineStr">
        <is>
          <t>Actual sales (account data)</t>
        </is>
      </c>
      <c r="B43" s="81" t="n"/>
      <c r="C43" s="82" t="n"/>
      <c r="D43" s="80" t="inlineStr">
        <is>
          <t>Sales</t>
        </is>
      </c>
      <c r="E43" s="80" t="inlineStr">
        <is>
          <t>Units</t>
        </is>
      </c>
      <c r="F43" s="80" t="inlineStr">
        <is>
          <t>Organic units</t>
        </is>
      </c>
      <c r="G43" s="80" t="inlineStr">
        <is>
          <t>Ad units</t>
        </is>
      </c>
      <c r="H43" s="80" t="inlineStr">
        <is>
          <t>Ad cost</t>
        </is>
      </c>
      <c r="J43" s="80" t="inlineStr">
        <is>
          <t>TACoS (actual)</t>
        </is>
      </c>
      <c r="K43" s="80" t="inlineStr">
        <is>
          <t>Sessions</t>
        </is>
      </c>
      <c r="L43" s="80" t="inlineStr">
        <is>
          <t>Unit session %</t>
        </is>
      </c>
      <c r="M43" s="80" t="inlineStr">
        <is>
          <t>Avg price</t>
        </is>
      </c>
      <c r="N43" s="80" t="inlineStr">
        <is>
          <t>Refunds</t>
        </is>
      </c>
    </row>
    <row r="44">
      <c r="A44" s="83" t="inlineStr">
        <is>
          <t>Pre-event Oct 21 - Nov 19, 2025 (30d)</t>
        </is>
      </c>
      <c r="B44" s="81" t="n"/>
      <c r="C44" s="82" t="n"/>
      <c r="D44" s="84" t="n">
        <v>9502.99</v>
      </c>
      <c r="E44" s="86" t="n">
        <v>189</v>
      </c>
      <c r="F44" s="86" t="n">
        <v>175</v>
      </c>
      <c r="G44" s="86" t="n">
        <v>14</v>
      </c>
      <c r="H44" s="84" t="n">
        <v>3013.44</v>
      </c>
      <c r="J44" s="88" t="n">
        <v>0.3171044060869264</v>
      </c>
      <c r="K44" s="86" t="n">
        <v>3572</v>
      </c>
      <c r="L44" s="88" t="n">
        <v>0.05291153415453528</v>
      </c>
      <c r="M44" s="89" t="n">
        <v>50.28037037037037</v>
      </c>
      <c r="N44" s="86" t="n">
        <v>15</v>
      </c>
    </row>
    <row r="45">
      <c r="A45" s="83" t="inlineStr">
        <is>
          <t>BFCM week Nov 20 - Dec 1, 2025 (12d)</t>
        </is>
      </c>
      <c r="B45" s="81" t="n"/>
      <c r="C45" s="82" t="n"/>
      <c r="D45" s="84" t="n">
        <v>5142.44</v>
      </c>
      <c r="E45" s="86" t="n">
        <v>104</v>
      </c>
      <c r="F45" s="86" t="n">
        <v>86</v>
      </c>
      <c r="G45" s="86" t="n">
        <v>18</v>
      </c>
      <c r="H45" s="84" t="n">
        <v>1726.4</v>
      </c>
      <c r="J45" s="88" t="n">
        <v>0.3357161191963349</v>
      </c>
      <c r="K45" s="86" t="n">
        <v>2158</v>
      </c>
      <c r="L45" s="88" t="n">
        <v>0.04819277108433735</v>
      </c>
      <c r="M45" s="89" t="n">
        <v>49.44653846153846</v>
      </c>
      <c r="N45" s="86" t="n">
        <v>10</v>
      </c>
    </row>
    <row r="46">
      <c r="A46" s="83" t="inlineStr">
        <is>
          <t>December 2 - 31, 2025 (30d)</t>
        </is>
      </c>
      <c r="B46" s="81" t="n"/>
      <c r="C46" s="82" t="n"/>
      <c r="D46" s="84" t="n">
        <v>28402.14</v>
      </c>
      <c r="E46" s="86" t="n">
        <v>583</v>
      </c>
      <c r="F46" s="86" t="n">
        <v>519</v>
      </c>
      <c r="G46" s="86" t="n">
        <v>64</v>
      </c>
      <c r="H46" s="84" t="n">
        <v>4117.56</v>
      </c>
      <c r="J46" s="88" t="n">
        <v>0.144973582976494</v>
      </c>
      <c r="K46" s="86" t="n">
        <v>6855</v>
      </c>
      <c r="L46" s="88" t="n">
        <v>0.0850474106491612</v>
      </c>
      <c r="M46" s="89" t="n">
        <v>48.71722126929674</v>
      </c>
      <c r="N46" s="86" t="n">
        <v>28</v>
      </c>
    </row>
    <row r="47">
      <c r="A47" s="90" t="inlineStr">
        <is>
          <t>account data, Amazon parent B0DQQQWYPT plus any of this product's child ASINs account data lists on their own, UTC days. Lift above uses these actual sales (1.35x; the ad-spend estimate was 1.35x).</t>
        </is>
      </c>
    </row>
    <row r="48" ht="30" customHeight="1">
      <c r="A48" s="91" t="inlineStr">
        <is>
          <t>Deals we ran or scheduled, Nov 1 - Dec 5, 2025 (deal records promotions; scheduled deal price not in the feed. price history price = lowest Buy Box seen during the deal, an observation for the hero child only, not the scheduled deal price): Lightning Deal 11-09 to 11-10 (cancelled, 14 variations); Best Deal 11-20 to 12-02 (cancelled, 18 variations).</t>
        </is>
      </c>
    </row>
    <row r="49" ht="18" customHeight="1">
      <c r="A49" s="92" t="inlineStr">
        <is>
          <t>BFCM 2026 plan: Lightning Deal 11/23 (Best Deal requested: Lightning Deal Nov 23 cancelled in Seller Central while a Best Deal is pursued; if not granted it is rescheduled as a Lightning Deal). Deal price and depth not yet given; not yet visible in Amazon's deal feed.</t>
        </is>
      </c>
    </row>
    <row r="50" ht="30" customHeight="1">
      <c r="A50" s="93" t="inlineStr">
        <is>
          <t>BFCM deal status: Nov 23 Lightning Deal cancelled in Seller Central while a Best Deal is pursued; if not granted it is rescheduled as a Lightning Deal.</t>
        </is>
      </c>
    </row>
    <row r="51" ht="30" customHeight="1">
      <c r="A51" s="94" t="inlineStr">
        <is>
          <t>BFCM 2026 stock (account data, Oct 15): 2,945 units at Amazon + 0 already sent (no ETA in account data); selling 7.5 a day; need about 377 to Nov 30 with a 1.35x BFCM lift (own BFCM 2025 lift (account data)). Variations: 16 covered, 0 need the inbound in time, 1 short even with inbound (11 units), 0 out of stock now. Detail: BFCM Stock tab.</t>
        </is>
      </c>
    </row>
    <row r="52" ht="18" customHeight="1">
      <c r="A52" s="95" t="inlineStr">
        <is>
          <t>ASSUMED 2026 deal prices, until the team's final: B0DBR5SY67 today $44.95; $38.21 at 15% off (Nov 19-26) and $35.96 at 20% off (Nov 27-30, Black Friday to Cyber Monday). Rule: team rule agreed Oct 15, 2026. Evidence: our BFCM 2025 deal on B0DBR5SY67 (US, price history): $44.95 before, $44.95 during, 0% off; US competitors' median price cut in BFCM 2025: 15% (6 rivals). Amazon may use a lower reference price than today's (it sets it the day before the deal), which would lower the deal price.</t>
        </is>
      </c>
    </row>
    <row r="53" ht="30" customHeight="1">
      <c r="A53" s="91" t="inlineStr">
        <is>
          <t>Our hero child B0DBR5SY67 in price history (market data, US): price $44.95 before (median Nov 1-19) → $44.95 in BFCM week (median Nov 20 - Dec 1), no cut; lowest $44.95; Best Seller Rank 206,269 → 220,150 (1.07x worse). Price is price history's lowest new offer (price history holds no Buy Box series for our own ASINs; we are the only seller).</t>
        </is>
      </c>
    </row>
    <row r="54" ht="40" customHeight="1">
      <c r="A54" s="91" t="inlineStr">
        <is>
          <t>Stock in BFCM week 2025 (FBA inventory snapshots, child-ASIN level, revision 2): 4 of 15 variations hit zero FBA stock on at least one observed day; weighted by today's sales mix that is ~7.2% of variation-days lost. Most important: B0DBR948NX 1/4 days; B0DBRBSH2R 9/9 days; B0DBR7PBVP 5/9 days; B0DBR771WD 9/9 days. Days with no snapshot (Nov 26-27 and Dec 1, Cyber Monday), inferred from sales that day and the readings either side: 26 of 51 variation-days in stock, 10 out of stock, 15 unknown. Inferred, not a stock reading.</t>
        </is>
      </c>
    </row>
    <row r="55">
      <c r="A55" s="90" t="inlineStr">
        <is>
          <t>market data visibility for our best child B0DBR5SY67: organic score 68.9 before BFCM 2025 → 95.4 in BFCM week; Prime Day 2026 89.0 → 115.5; Aug-Sep 2026 137.5.</t>
        </is>
      </c>
    </row>
    <row r="56"/>
    <row r="57" ht="22" customHeight="1">
      <c r="A57" s="65" t="inlineStr">
        <is>
          <t>4 ▼</t>
        </is>
      </c>
      <c r="B57" s="66" t="inlineStr">
        <is>
          <t>COMPETITOR LANDSCAPE (29 mapped)</t>
        </is>
      </c>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c r="AC57" s="67" t="n"/>
      <c r="AD57" s="67" t="n"/>
      <c r="AE57" s="67" t="n"/>
      <c r="AF57" s="67" t="n"/>
      <c r="AG57" s="67" t="n"/>
      <c r="AH57" s="67" t="n"/>
      <c r="AI57" s="67" t="n"/>
      <c r="AJ57" s="67" t="n"/>
      <c r="AK57" s="67" t="n"/>
      <c r="AL57" s="67" t="n"/>
      <c r="AM57" s="67" t="n"/>
      <c r="AN57" s="67" t="n"/>
      <c r="AO57" s="67" t="n"/>
      <c r="AP57" s="67" t="n"/>
      <c r="AQ57" s="67" t="n"/>
      <c r="AR57" s="67" t="n"/>
      <c r="AS57" s="67" t="n"/>
      <c r="AT57" s="67" t="n"/>
      <c r="AU57" s="67" t="n"/>
      <c r="AV57" s="67" t="n"/>
      <c r="AW57" s="67" t="n"/>
      <c r="AX57" s="67" t="n"/>
      <c r="AY57" s="67" t="n"/>
      <c r="AZ57" s="67" t="n"/>
      <c r="BA57" s="67" t="n"/>
      <c r="BB57" s="67" t="n"/>
      <c r="BC57" s="67" t="n"/>
      <c r="BD57" s="67" t="n"/>
      <c r="BE57" s="67" t="n"/>
      <c r="BF57" s="67" t="n"/>
      <c r="BG57" s="67" t="n"/>
      <c r="BH57" s="67" t="n"/>
      <c r="BI57" s="67" t="n"/>
      <c r="BJ57" s="67" t="n"/>
      <c r="BK57" s="67" t="n"/>
    </row>
    <row r="58" ht="20" customHeight="1">
      <c r="A58" s="96" t="inlineStr">
        <is>
          <t>▼▼▼</t>
        </is>
      </c>
      <c r="B58" s="97" t="inlineStr">
        <is>
          <t>COMPETITOR DATA BELOW: one row per competitor (28 direct first, then alternative material). Scroll right for listing, search, strikethrough now and BFCM 2025 history (deal type, price, discount, rank change).</t>
        </is>
      </c>
      <c r="C58" s="98" t="n"/>
      <c r="D58" s="98" t="n"/>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98" t="n"/>
      <c r="AM58" s="98" t="n"/>
      <c r="AN58" s="98" t="n"/>
      <c r="AO58" s="98" t="n"/>
      <c r="AP58" s="98" t="n"/>
      <c r="AQ58" s="98" t="n"/>
      <c r="AR58" s="98" t="n"/>
      <c r="AS58" s="98" t="n"/>
      <c r="AT58" s="98" t="n"/>
      <c r="AU58" s="98" t="n"/>
      <c r="AV58" s="98" t="n"/>
      <c r="AW58" s="98" t="n"/>
      <c r="AX58" s="98" t="n"/>
      <c r="AY58" s="98" t="n"/>
      <c r="AZ58" s="98" t="n"/>
      <c r="BA58" s="98" t="n"/>
      <c r="BB58" s="98" t="n"/>
      <c r="BC58" s="98" t="n"/>
      <c r="BD58" s="98" t="n"/>
      <c r="BE58" s="98" t="n"/>
      <c r="BF58" s="98" t="n"/>
      <c r="BG58" s="98" t="n"/>
      <c r="BH58" s="98" t="n"/>
      <c r="BI58" s="98" t="n"/>
      <c r="BJ58" s="98" t="n"/>
      <c r="BK58" s="98" t="n"/>
    </row>
    <row r="59">
      <c r="A59" s="99" t="inlineStr">
        <is>
          <t>COMPETITOR</t>
        </is>
      </c>
      <c r="L59" s="100" t="inlineStr">
        <is>
          <t>LISTING - catalog data</t>
        </is>
      </c>
      <c r="M59" s="101" t="inlineStr">
        <is>
          <t>SEARCH STRATEGY - market data search data</t>
        </is>
      </c>
      <c r="N59" s="102" t="inlineStr">
        <is>
          <t>PRICE &amp; SALES - market data snapshot (date per row)</t>
        </is>
      </c>
      <c r="AA59" s="100" t="inlineStr">
        <is>
          <t>LISTING - catalog data</t>
        </is>
      </c>
      <c r="AD59" s="101" t="inlineStr">
        <is>
          <t>SEARCH STRATEGY - market data search data</t>
        </is>
      </c>
      <c r="AU59" s="103" t="inlineStr">
        <is>
          <t>STR NOW - Amazon page check (Oct 13, P1 + P2)</t>
        </is>
      </c>
      <c r="BB59" s="104" t="inlineStr">
        <is>
          <t>BFCM 2025 - price history (P1 filled; yellow = not pulled yet)</t>
        </is>
      </c>
    </row>
    <row r="60" ht="48" customHeight="1">
      <c r="A60" s="26" t="inlineStr">
        <is>
          <t>Image</t>
        </is>
      </c>
      <c r="B60" s="26" t="inlineStr">
        <is>
          <t>Brand</t>
        </is>
      </c>
      <c r="C60" s="26" t="inlineStr">
        <is>
          <t>Product title</t>
        </is>
      </c>
      <c r="D60" s="26" t="inlineStr">
        <is>
          <t>Tier</t>
        </is>
      </c>
      <c r="E60" s="26" t="inlineStr">
        <is>
          <t>Competitor type</t>
        </is>
      </c>
      <c r="F60" s="26" t="inlineStr">
        <is>
          <t>Material</t>
        </is>
      </c>
      <c r="G60" s="26" t="inlineStr">
        <is>
          <t>Why this type</t>
        </is>
      </c>
      <c r="H60" s="26" t="inlineStr">
        <is>
          <t>Parent ASIN</t>
        </is>
      </c>
      <c r="I60" s="26" t="inlineStr">
        <is>
          <t>Tracked child ASIN</t>
        </is>
      </c>
      <c r="J60" s="26" t="inlineStr">
        <is>
          <t>Size</t>
        </is>
      </c>
      <c r="K60" s="26" t="inlineStr">
        <is>
          <t>Colour</t>
        </is>
      </c>
      <c r="L60" s="26" t="inlineStr">
        <is>
          <t>Variations</t>
        </is>
      </c>
      <c r="M60" s="26" t="inlineStr">
        <is>
          <t>Hero child ASINs (share of their visibility)</t>
        </is>
      </c>
      <c r="N60" s="26" t="inlineStr">
        <is>
          <t>Price ($)</t>
        </is>
      </c>
      <c r="O60" s="26" t="inlineStr">
        <is>
          <t>List Price ($)</t>
        </is>
      </c>
      <c r="P60" s="26" t="inlineStr">
        <is>
          <t>List Price % over</t>
        </is>
      </c>
      <c r="Q60" s="26" t="inlineStr">
        <is>
          <t>STR band</t>
        </is>
      </c>
      <c r="R60" s="26" t="inlineStr">
        <is>
          <t>Our price, same size ($)</t>
        </is>
      </c>
      <c r="S60" s="26" t="inlineStr">
        <is>
          <t>Their price vs ours</t>
        </is>
      </c>
      <c r="T60" s="26" t="inlineStr">
        <is>
          <t>Comparison basis</t>
        </is>
      </c>
      <c r="U60" s="26" t="inlineStr">
        <is>
          <t>BSR</t>
        </is>
      </c>
      <c r="V60" s="26" t="inlineStr">
        <is>
          <t>Est weekly units</t>
        </is>
      </c>
      <c r="W60" s="26" t="inlineStr">
        <is>
          <t>Est monthly revenue ($)</t>
        </is>
      </c>
      <c r="X60" s="26" t="inlineStr">
        <is>
          <t>Rating</t>
        </is>
      </c>
      <c r="Y60" s="26" t="inlineStr">
        <is>
          <t>Reviews</t>
        </is>
      </c>
      <c r="Z60" s="26" t="inlineStr">
        <is>
          <t>Snapshot date</t>
        </is>
      </c>
      <c r="AA60" s="26" t="inlineStr">
        <is>
          <t>Listed</t>
        </is>
      </c>
      <c r="AB60" s="26" t="inlineStr">
        <is>
          <t>Fulfil.</t>
        </is>
      </c>
      <c r="AC60" s="26" t="inlineStr">
        <is>
          <t>Seller country</t>
        </is>
      </c>
      <c r="AD60" s="26" t="inlineStr">
        <is>
          <t>search data 7d traffic</t>
        </is>
      </c>
      <c r="AE60" s="26" t="inlineStr">
        <is>
          <t>Keywords ranked</t>
        </is>
      </c>
      <c r="AF60" s="26" t="inlineStr">
        <is>
          <t>Organic share of traffic</t>
        </is>
      </c>
      <c r="AG60" s="26" t="inlineStr">
        <is>
          <t>Ad share of traffic</t>
        </is>
      </c>
      <c r="AH60" s="26" t="inlineStr">
        <is>
          <t>Top keyword</t>
        </is>
      </c>
      <c r="AI60" s="26" t="inlineStr">
        <is>
          <t>SP reach</t>
        </is>
      </c>
      <c r="AJ60" s="26" t="inlineStr">
        <is>
          <t>SB reach</t>
        </is>
      </c>
      <c r="AK60" s="26" t="inlineStr">
        <is>
          <t>SB video reach</t>
        </is>
      </c>
      <c r="AL60" s="26" t="inlineStr">
        <is>
          <t>Amazon's Choice reach</t>
        </is>
      </c>
      <c r="AM60" s="26" t="inlineStr">
        <is>
          <t>Shared keywords</t>
        </is>
      </c>
      <c r="AN60" s="26" t="inlineStr">
        <is>
          <t>We win</t>
        </is>
      </c>
      <c r="AO60" s="26" t="inlineStr">
        <is>
          <t>We lose</t>
        </is>
      </c>
      <c r="AP60" s="26" t="inlineStr">
        <is>
          <t>Their keywords we miss</t>
        </is>
      </c>
      <c r="AQ60" s="26" t="inlineStr">
        <is>
          <t>KWs they advertise, we don't</t>
        </is>
      </c>
      <c r="AR60" s="26" t="inlineStr">
        <is>
          <t>KWs they out-advertise us</t>
        </is>
      </c>
      <c r="AS60" s="26" t="inlineStr">
        <is>
          <t>Prime Day 2026 organic vis lift</t>
        </is>
      </c>
      <c r="AT60" s="26" t="inlineStr">
        <is>
          <t>Organic trend (Aug-Sep vs Q2)</t>
        </is>
      </c>
      <c r="AU60" s="26" t="inlineStr">
        <is>
          <t>STR showing now? (Y/N)</t>
        </is>
      </c>
      <c r="AV60" s="26" t="inlineStr">
        <is>
          <t>STR label</t>
        </is>
      </c>
      <c r="AW60" s="26" t="inlineStr">
        <is>
          <t>Strikethrough price ($)</t>
        </is>
      </c>
      <c r="AX60" s="26" t="inlineStr">
        <is>
          <t>Page price at check ($)</t>
        </is>
      </c>
      <c r="AY60" s="26" t="inlineStr">
        <is>
          <t>Deal / coupon now</t>
        </is>
      </c>
      <c r="AZ60" s="26" t="inlineStr">
        <is>
          <t>Orderable now (Y/N)</t>
        </is>
      </c>
      <c r="BA60" s="26" t="inlineStr">
        <is>
          <t>Checked (ET)</t>
        </is>
      </c>
      <c r="BB60" s="26" t="inlineStr">
        <is>
          <t>BFCM 2025 deal type</t>
        </is>
      </c>
      <c r="BC60" s="26" t="inlineStr">
        <is>
          <t>BFCM 2025 deal dates</t>
        </is>
      </c>
      <c r="BD60" s="26" t="inlineStr">
        <is>
          <t>Pre-event price ($)</t>
        </is>
      </c>
      <c r="BE60" s="26" t="inlineStr">
        <is>
          <t>BFCM 2025 low ($)</t>
        </is>
      </c>
      <c r="BF60" s="26" t="inlineStr">
        <is>
          <t>BFCM 2025 discount</t>
        </is>
      </c>
      <c r="BG60" s="26" t="inlineStr">
        <is>
          <t>BSR pre-event</t>
        </is>
      </c>
      <c r="BH60" s="26" t="inlineStr">
        <is>
          <t>BSR BFCM wk</t>
        </is>
      </c>
      <c r="BI60" s="26" t="inlineStr">
        <is>
          <t>BSR lift (x)</t>
        </is>
      </c>
      <c r="BJ60" s="26" t="inlineStr">
        <is>
          <t>OOS in BFCM? (Y/N)</t>
        </is>
      </c>
      <c r="BK60" s="26" t="inlineStr">
        <is>
          <t>Notes</t>
        </is>
      </c>
    </row>
    <row r="61" ht="62" customHeight="1">
      <c r="A61" s="12">
        <f>_xlfn.IMAGE("https://images-na.ssl-images-amazon.com/images/I/51Tn3ZSyhlL.jpg")</f>
        <v/>
      </c>
      <c r="B61" s="105" t="inlineStr">
        <is>
          <t>INFIIXSO</t>
        </is>
      </c>
      <c r="C61" s="39" t="inlineStr">
        <is>
          <t>Blissy Silk Pillowcase - 100% Pure Mulberry Silk - 22 Momme 6A High-Grade Fibers - Silk Pillow Cover for Hair &amp; Skin - Regular, Queen &amp; King (Blissy White, Standard)</t>
        </is>
      </c>
      <c r="D61" s="105" t="inlineStr">
        <is>
          <t>Aspirational</t>
        </is>
      </c>
      <c r="E61" s="106" t="inlineStr">
        <is>
          <t>Direct</t>
        </is>
      </c>
      <c r="F61" s="105" t="inlineStr">
        <is>
          <t>Silk</t>
        </is>
      </c>
      <c r="G61" s="39" t="inlineStr">
        <is>
          <t>Same product (pillowcase) in the same material family: Silk (title: Blissy Silk Pillowcase - 100% Pure Mulberry Silk - 22 Momme ); ours: our listing: mulberry silk.</t>
        </is>
      </c>
      <c r="H61" s="107" t="inlineStr">
        <is>
          <t>B0D9FCH7Q5</t>
        </is>
      </c>
      <c r="I61" s="107" t="inlineStr">
        <is>
          <t>B0BBSSRNHM</t>
        </is>
      </c>
      <c r="J61" s="105" t="inlineStr">
        <is>
          <t>Queen</t>
        </is>
      </c>
      <c r="K61" s="105" t="inlineStr">
        <is>
          <t>Blissy White</t>
        </is>
      </c>
      <c r="L61" s="108" t="n">
        <v>67</v>
      </c>
      <c r="M61" s="39" t="inlineStr">
        <is>
          <t>B0BBSSRNHM (51%), B0BFDH1DL4 (12%), B0BBSTPJDP (10%), B0BFDGWX25 (8%)</t>
        </is>
      </c>
      <c r="N61" s="109" t="n">
        <v>57.98</v>
      </c>
      <c r="O61" s="109" t="n"/>
      <c r="P61" s="110">
        <f>IF(AND(ISNUMBER(O61),ISNUMBER(N61),N(N61)&gt;0),O61/N61-1,"")</f>
        <v/>
      </c>
      <c r="Q61" s="111">
        <f>IF(P61="","No List Price",IF(P61&lt;=0,"At/below price",IF(P61&lt;=0.12,"&lt;=12% STR zone",IF(P61&lt;=0.25,"12-25%","&gt;25% over"))))</f>
        <v/>
      </c>
      <c r="R61" s="109" t="n">
        <v>49.95</v>
      </c>
      <c r="S61" s="112">
        <f>IF(AND(ISNUMBER(N61),ISNUMBER(R61),N(R61)&gt;0),N61/R61-1,"")</f>
        <v/>
      </c>
      <c r="T61" s="39" t="inlineStr">
        <is>
          <t>Same size (Queen). Ours live: catalog price, 2026-10-13; 6 children</t>
        </is>
      </c>
      <c r="U61" s="108" t="n">
        <v>346</v>
      </c>
      <c r="V61" s="108" t="n">
        <v>1732</v>
      </c>
      <c r="W61" s="113">
        <f>IF(AND(ISNUMBER(N61),ISNUMBER(V61)),N61*V61*52/12,"")</f>
        <v/>
      </c>
      <c r="X61" s="114" t="n">
        <v>4.5</v>
      </c>
      <c r="Y61" s="108" t="n">
        <v>10441</v>
      </c>
      <c r="Z61" s="115" t="n">
        <v>46307</v>
      </c>
      <c r="AA61" s="115" t="n">
        <v>44824</v>
      </c>
      <c r="AB61" s="105" t="inlineStr">
        <is>
          <t>FBA</t>
        </is>
      </c>
      <c r="AC61" s="105" t="inlineStr">
        <is>
          <t>US</t>
        </is>
      </c>
      <c r="AD61" s="108" t="n">
        <v>772937</v>
      </c>
      <c r="AE61" s="108" t="n">
        <v>1631</v>
      </c>
      <c r="AF61" s="116" t="n">
        <v>0.5177595494846295</v>
      </c>
      <c r="AG61" s="116" t="n">
        <v>0.4822405250363212</v>
      </c>
      <c r="AH61" s="39" t="inlineStr">
        <is>
          <t>silk pillow cases</t>
        </is>
      </c>
      <c r="AI61" s="116" t="n">
        <v>0.9705047112507229</v>
      </c>
      <c r="AJ61" s="116" t="n">
        <v>0.8800005692572616</v>
      </c>
      <c r="AK61" s="116" t="n">
        <v>0.4979254454114631</v>
      </c>
      <c r="AL61" s="116" t="n">
        <v>0.2410455185868965</v>
      </c>
      <c r="AM61" s="108" t="n">
        <v>267</v>
      </c>
      <c r="AN61" s="108" t="n">
        <v>11</v>
      </c>
      <c r="AO61" s="108" t="n">
        <v>243</v>
      </c>
      <c r="AP61" s="108" t="n">
        <v>1364</v>
      </c>
      <c r="AQ61" s="108" t="n">
        <v>682</v>
      </c>
      <c r="AR61" s="108" t="n">
        <v>20</v>
      </c>
      <c r="AS61" s="117" t="n">
        <v>1.447018931901667</v>
      </c>
      <c r="AT61" s="112" t="n">
        <v>0.04067576348278101</v>
      </c>
      <c r="AU61" s="118" t="inlineStr">
        <is>
          <t>N</t>
        </is>
      </c>
      <c r="AV61" s="118" t="inlineStr">
        <is>
          <t>none</t>
        </is>
      </c>
      <c r="AW61" s="124" t="n"/>
      <c r="AX61" s="119" t="n">
        <v>57.98</v>
      </c>
      <c r="AY61" s="118" t="inlineStr">
        <is>
          <t>none</t>
        </is>
      </c>
      <c r="AZ61" s="118" t="inlineStr">
        <is>
          <t>Y</t>
        </is>
      </c>
      <c r="BA61" s="118" t="inlineStr">
        <is>
          <t>2026-10-13 23:45:39</t>
        </is>
      </c>
      <c r="BB61" s="120" t="inlineStr">
        <is>
          <t>Prime Exclusive Discount</t>
        </is>
      </c>
      <c r="BC61" s="120" t="inlineStr">
        <is>
          <t>11-20 to 12-01</t>
        </is>
      </c>
      <c r="BD61" s="121" t="n">
        <v>54.89</v>
      </c>
      <c r="BE61" s="121" t="n">
        <v>39.47</v>
      </c>
      <c r="BF61" s="110">
        <f>IF(AND(ISNUMBER(BD61),ISNUMBER(BE61),N(BD61)&gt;0),1-BE61/BD61,"")</f>
        <v/>
      </c>
      <c r="BG61" s="122" t="n">
        <v>652</v>
      </c>
      <c r="BH61" s="122" t="n">
        <v>142</v>
      </c>
      <c r="BI61" s="123">
        <f>IF(AND(ISNUMBER(BG61),ISNUMBER(BH61),N(BH61)&gt;0),BG61/BH61,"")</f>
        <v/>
      </c>
      <c r="BJ61" s="120" t="inlineStr">
        <is>
          <t>N</t>
        </is>
      </c>
      <c r="BK61" s="120" t="inlineStr">
        <is>
          <t>List Price $109.85</t>
        </is>
      </c>
    </row>
    <row r="62" ht="62" customHeight="1">
      <c r="A62" s="12">
        <f>_xlfn.IMAGE("https://images-na.ssl-images-amazon.com/images/I/61h02IUI3OL.jpg")</f>
        <v/>
      </c>
      <c r="B62" s="105" t="inlineStr">
        <is>
          <t>ZIMASILK</t>
        </is>
      </c>
      <c r="C62" s="39" t="inlineStr">
        <is>
          <t>ZIMASILK 100% Pure Mulberry Silk Pillow Cases for Hair and Skin, Soft, Hypoallergenic &amp; Smooth, Both Sides Grade 6A Silk, with Hidden Zipper, Gift for Women Men, 1pc (Queen 20''x30'', Taupe)</t>
        </is>
      </c>
      <c r="D62" s="105" t="inlineStr">
        <is>
          <t>Aspirational</t>
        </is>
      </c>
      <c r="E62" s="106" t="inlineStr">
        <is>
          <t>Direct</t>
        </is>
      </c>
      <c r="F62" s="105" t="inlineStr">
        <is>
          <t>Silk</t>
        </is>
      </c>
      <c r="G62" s="39" t="inlineStr">
        <is>
          <t>Same product (pillowcase) in the same material family: Silk (title: ZIMASILK 100% Pure Mulberry Silk Pillow Cases for Hair and S); ours: our listing: mulberry silk.</t>
        </is>
      </c>
      <c r="H62" s="107" t="inlineStr">
        <is>
          <t>B01LVZC25I</t>
        </is>
      </c>
      <c r="I62" s="107" t="inlineStr">
        <is>
          <t>B01LVU7THF</t>
        </is>
      </c>
      <c r="J62" s="105" t="inlineStr">
        <is>
          <t>Queen</t>
        </is>
      </c>
      <c r="K62" s="105" t="inlineStr">
        <is>
          <t>Taupe</t>
        </is>
      </c>
      <c r="L62" s="108" t="n">
        <v>115</v>
      </c>
      <c r="M62" s="39" t="inlineStr">
        <is>
          <t>B01LVU7THF (59%), B01LWAH6B4 (9%), B083FH4KF7 (7%), B06XF1XMC2 (6%)</t>
        </is>
      </c>
      <c r="N62" s="109" t="n">
        <v>23.91</v>
      </c>
      <c r="O62" s="109" t="n">
        <v>25.99</v>
      </c>
      <c r="P62" s="110">
        <f>IF(AND(ISNUMBER(O62),ISNUMBER(N62),N(N62)&gt;0),O62/N62-1,"")</f>
        <v/>
      </c>
      <c r="Q62" s="111">
        <f>IF(P62="","No List Price",IF(P62&lt;=0,"At/below price",IF(P62&lt;=0.12,"&lt;=12% STR zone",IF(P62&lt;=0.25,"12-25%","&gt;25% over"))))</f>
        <v/>
      </c>
      <c r="R62" s="109" t="n">
        <v>49.95</v>
      </c>
      <c r="S62" s="112">
        <f>IF(AND(ISNUMBER(N62),ISNUMBER(R62),N(R62)&gt;0),N62/R62-1,"")</f>
        <v/>
      </c>
      <c r="T62" s="39" t="inlineStr">
        <is>
          <t>Same size (Queen). Ours live: catalog price, 2026-10-13; 6 children</t>
        </is>
      </c>
      <c r="U62" s="108" t="n">
        <v>532</v>
      </c>
      <c r="V62" s="108" t="n">
        <v>809</v>
      </c>
      <c r="W62" s="113">
        <f>IF(AND(ISNUMBER(N62),ISNUMBER(V62)),N62*V62*52/12,"")</f>
        <v/>
      </c>
      <c r="X62" s="114" t="n">
        <v>4.6</v>
      </c>
      <c r="Y62" s="108" t="n">
        <v>52198</v>
      </c>
      <c r="Z62" s="115" t="n">
        <v>46307</v>
      </c>
      <c r="AA62" s="115" t="n">
        <v>42623</v>
      </c>
      <c r="AB62" s="105" t="inlineStr">
        <is>
          <t>FBA</t>
        </is>
      </c>
      <c r="AC62" s="105" t="inlineStr">
        <is>
          <t>CN</t>
        </is>
      </c>
      <c r="AD62" s="108" t="n">
        <v>576174</v>
      </c>
      <c r="AE62" s="108" t="n">
        <v>1490</v>
      </c>
      <c r="AF62" s="116" t="n">
        <v>0.6856568015911867</v>
      </c>
      <c r="AG62" s="116" t="n">
        <v>0.3143432261782024</v>
      </c>
      <c r="AH62" s="39" t="inlineStr">
        <is>
          <t>silk pillow cases</t>
        </is>
      </c>
      <c r="AI62" s="116" t="n">
        <v>0.9619611436822905</v>
      </c>
      <c r="AJ62" s="116" t="n">
        <v>0.8398383127319178</v>
      </c>
      <c r="AK62" s="116" t="n">
        <v>0.8113573330278701</v>
      </c>
      <c r="AL62" s="116" t="n">
        <v>0.1688552416457529</v>
      </c>
      <c r="AM62" s="108" t="n">
        <v>266</v>
      </c>
      <c r="AN62" s="108" t="n">
        <v>12</v>
      </c>
      <c r="AO62" s="108" t="n">
        <v>245</v>
      </c>
      <c r="AP62" s="108" t="n">
        <v>1224</v>
      </c>
      <c r="AQ62" s="108" t="n">
        <v>504</v>
      </c>
      <c r="AR62" s="108" t="n">
        <v>21</v>
      </c>
      <c r="AS62" s="117" t="n">
        <v>0.9883495145631068</v>
      </c>
      <c r="AT62" s="112" t="n">
        <v>-0.02034217971170671</v>
      </c>
      <c r="AU62" s="118" t="inlineStr">
        <is>
          <t>Y</t>
        </is>
      </c>
      <c r="AV62" s="118" t="inlineStr">
        <is>
          <t>List Price</t>
        </is>
      </c>
      <c r="AW62" s="119" t="n">
        <v>25.99</v>
      </c>
      <c r="AX62" s="119" t="n">
        <v>23.91</v>
      </c>
      <c r="AY62" s="118" t="inlineStr">
        <is>
          <t>none</t>
        </is>
      </c>
      <c r="AZ62" s="118" t="inlineStr">
        <is>
          <t>Y</t>
        </is>
      </c>
      <c r="BA62" s="118" t="inlineStr">
        <is>
          <t>2026-10-13 23:47:16</t>
        </is>
      </c>
      <c r="BB62" s="120" t="inlineStr">
        <is>
          <t>Lightning Deal</t>
        </is>
      </c>
      <c r="BC62" s="120" t="inlineStr">
        <is>
          <t>11-05 to 11-29</t>
        </is>
      </c>
      <c r="BD62" s="121" t="n">
        <v>24.99</v>
      </c>
      <c r="BE62" s="121" t="n">
        <v>19.49</v>
      </c>
      <c r="BF62" s="110">
        <f>IF(AND(ISNUMBER(BD62),ISNUMBER(BE62),N(BD62)&gt;0),1-BE62/BD62,"")</f>
        <v/>
      </c>
      <c r="BG62" s="122" t="n">
        <v>706</v>
      </c>
      <c r="BH62" s="122" t="n">
        <v>899</v>
      </c>
      <c r="BI62" s="123">
        <f>IF(AND(ISNUMBER(BG62),ISNUMBER(BH62),N(BH62)&gt;0),BG62/BH62,"")</f>
        <v/>
      </c>
      <c r="BJ62" s="120" t="inlineStr">
        <is>
          <t>N</t>
        </is>
      </c>
      <c r="BK62" s="120" t="inlineStr">
        <is>
          <t>Prime Exclusive 11-26 to 12-01; Coupon 10%, 15% (11-01 to 12-05); List Price $24.99</t>
        </is>
      </c>
    </row>
    <row r="63" ht="62" customHeight="1">
      <c r="A63" s="12">
        <f>_xlfn.IMAGE("https://m.media-amazon.com/images/I/71NWYgxPC1L._AC_SL1500_.jpg")</f>
        <v/>
      </c>
      <c r="B63" s="105" t="inlineStr">
        <is>
          <t>PROMEED</t>
        </is>
      </c>
      <c r="C63" s="39" t="inlineStr">
        <is>
          <t>Silk Pillowcase</t>
        </is>
      </c>
      <c r="D63" s="105" t="inlineStr">
        <is>
          <t>Aspirational</t>
        </is>
      </c>
      <c r="E63" s="106" t="inlineStr">
        <is>
          <t>Direct</t>
        </is>
      </c>
      <c r="F63" s="105" t="inlineStr">
        <is>
          <t>Silk</t>
        </is>
      </c>
      <c r="G63" s="39" t="inlineStr">
        <is>
          <t>Same product (pillowcase) in the same material family: Silk (product page material: Silk); ours: our listing: mulberry silk.</t>
        </is>
      </c>
      <c r="H63" s="107" t="inlineStr">
        <is>
          <t>B0HCMWNG9W</t>
        </is>
      </c>
      <c r="I63" s="107" t="inlineStr">
        <is>
          <t>B0B4RH938T</t>
        </is>
      </c>
      <c r="J63" s="105" t="inlineStr">
        <is>
          <t>Standard 20"x26"</t>
        </is>
      </c>
      <c r="K63" s="105" t="inlineStr">
        <is>
          <t>Champagne</t>
        </is>
      </c>
      <c r="L63" s="108" t="n">
        <v>27</v>
      </c>
      <c r="M63" s="39" t="inlineStr">
        <is>
          <t>B0B4RH938T (77%), B0B4RL1Z8T (11%)</t>
        </is>
      </c>
      <c r="N63" s="109" t="n">
        <v>24</v>
      </c>
      <c r="O63" s="109" t="n"/>
      <c r="P63" s="110">
        <f>IF(AND(ISNUMBER(O63),ISNUMBER(N63),N(N63)&gt;0),O63/N63-1,"")</f>
        <v/>
      </c>
      <c r="Q63" s="111">
        <f>IF(P63="","No List Price",IF(P63&lt;=0,"At/below price",IF(P63&lt;=0.12,"&lt;=12% STR zone",IF(P63&lt;=0.25,"12-25%","&gt;25% over"))))</f>
        <v/>
      </c>
      <c r="R63" s="109" t="n">
        <v>50.20344827586207</v>
      </c>
      <c r="S63" s="112">
        <f>IF(AND(ISNUMBER(N63),ISNUMBER(R63),N(R63)&gt;0),N63/R63-1,"")</f>
        <v/>
      </c>
      <c r="T63" s="39" t="inlineStr">
        <is>
          <t>vs our blended price (market data, Mar 2026 - STALE)</t>
        </is>
      </c>
      <c r="U63" s="108" t="n">
        <v>9074</v>
      </c>
      <c r="V63" s="108" t="n">
        <v>173</v>
      </c>
      <c r="W63" s="113">
        <f>IF(AND(ISNUMBER(N63),ISNUMBER(V63)),N63*V63*52/12,"")</f>
        <v/>
      </c>
      <c r="X63" s="114" t="n">
        <v>4.5</v>
      </c>
      <c r="Y63" s="108" t="n">
        <v>1973</v>
      </c>
      <c r="Z63" s="115" t="n">
        <v>46307</v>
      </c>
      <c r="AA63" s="115" t="n"/>
      <c r="AB63" s="105" t="n"/>
      <c r="AC63" s="105" t="n"/>
      <c r="AD63" s="108" t="n">
        <v>122186</v>
      </c>
      <c r="AE63" s="108" t="n">
        <v>570</v>
      </c>
      <c r="AF63" s="116" t="n">
        <v>0.8164780989638751</v>
      </c>
      <c r="AG63" s="116" t="n">
        <v>0.1835219272257051</v>
      </c>
      <c r="AH63" s="39" t="inlineStr">
        <is>
          <t>silk pillow cases</t>
        </is>
      </c>
      <c r="AI63" s="116" t="n">
        <v>0.3059761347453882</v>
      </c>
      <c r="AJ63" s="116" t="n">
        <v>0.2749496669012816</v>
      </c>
      <c r="AK63" s="116" t="n">
        <v>0.9498305861555334</v>
      </c>
      <c r="AL63" s="116" t="n">
        <v>0.01645851406871491</v>
      </c>
      <c r="AM63" s="108" t="n">
        <v>235</v>
      </c>
      <c r="AN63" s="108" t="n">
        <v>30</v>
      </c>
      <c r="AO63" s="108" t="n">
        <v>191</v>
      </c>
      <c r="AP63" s="108" t="n">
        <v>335</v>
      </c>
      <c r="AQ63" s="108" t="n">
        <v>163</v>
      </c>
      <c r="AR63" s="108" t="n">
        <v>12</v>
      </c>
      <c r="AS63" s="117" t="n">
        <v>1.176358798935766</v>
      </c>
      <c r="AT63" s="112" t="n">
        <v>-0.1592427616926503</v>
      </c>
      <c r="AU63" s="118" t="inlineStr">
        <is>
          <t>N</t>
        </is>
      </c>
      <c r="AV63" s="118" t="inlineStr">
        <is>
          <t>none</t>
        </is>
      </c>
      <c r="AW63" s="124" t="n"/>
      <c r="AX63" s="119" t="n">
        <v>24</v>
      </c>
      <c r="AY63" s="118" t="inlineStr">
        <is>
          <t>coupon 10%</t>
        </is>
      </c>
      <c r="AZ63" s="118" t="inlineStr">
        <is>
          <t>Y</t>
        </is>
      </c>
      <c r="BA63" s="118" t="inlineStr">
        <is>
          <t>2026-10-13 23:46:29</t>
        </is>
      </c>
      <c r="BB63" s="120" t="inlineStr">
        <is>
          <t>Prime Exclusive Discount</t>
        </is>
      </c>
      <c r="BC63" s="120" t="inlineStr">
        <is>
          <t>11-20 to 12-01</t>
        </is>
      </c>
      <c r="BD63" s="121" t="n">
        <v>23</v>
      </c>
      <c r="BE63" s="121" t="n">
        <v>18.4</v>
      </c>
      <c r="BF63" s="110">
        <f>IF(AND(ISNUMBER(BD63),ISNUMBER(BE63),N(BD63)&gt;0),1-BE63/BD63,"")</f>
        <v/>
      </c>
      <c r="BG63" s="122" t="n">
        <v>14714</v>
      </c>
      <c r="BH63" s="122" t="n">
        <v>12377</v>
      </c>
      <c r="BI63" s="123">
        <f>IF(AND(ISNUMBER(BG63),ISNUMBER(BH63),N(BH63)&gt;0),BG63/BH63,"")</f>
        <v/>
      </c>
      <c r="BJ63" s="120" t="inlineStr">
        <is>
          <t>N</t>
        </is>
      </c>
      <c r="BK63" s="120" t="inlineStr">
        <is>
          <t>Coupon 10% (11-01 to 12-05); List Price $29.99</t>
        </is>
      </c>
    </row>
    <row r="64" ht="62" customHeight="1">
      <c r="A64" s="12">
        <f>_xlfn.IMAGE("https://m.media-amazon.com/images/I/51E9UkNnbML._AC_SL1500_.jpg")</f>
        <v/>
      </c>
      <c r="B64" s="105" t="inlineStr">
        <is>
          <t>ALASKA BEAR</t>
        </is>
      </c>
      <c r="C64" s="39" t="inlineStr">
        <is>
          <t>Silk Pillowcase</t>
        </is>
      </c>
      <c r="D64" s="105" t="inlineStr">
        <is>
          <t>Aspirational</t>
        </is>
      </c>
      <c r="E64" s="106" t="inlineStr">
        <is>
          <t>Direct</t>
        </is>
      </c>
      <c r="F64" s="105" t="inlineStr">
        <is>
          <t>Silk</t>
        </is>
      </c>
      <c r="G64" s="39" t="inlineStr">
        <is>
          <t>Same product (pillowcase) in the same material family: Silk (product page material: Silk); ours: our listing: mulberry silk.</t>
        </is>
      </c>
      <c r="H64" s="107" t="inlineStr">
        <is>
          <t>B01KFPFUAE</t>
        </is>
      </c>
      <c r="I64" s="107" t="inlineStr">
        <is>
          <t>B00KDL108M</t>
        </is>
      </c>
      <c r="J64" s="105" t="inlineStr">
        <is>
          <t>Queen 20''x30''</t>
        </is>
      </c>
      <c r="K64" s="105" t="inlineStr">
        <is>
          <t>White Ivory</t>
        </is>
      </c>
      <c r="L64" s="108" t="n">
        <v>34</v>
      </c>
      <c r="M64" s="39" t="inlineStr">
        <is>
          <t>B00KDL108M (59%), B07BDD8433 (20%), B01CXQZNC8 (5%)</t>
        </is>
      </c>
      <c r="N64" s="109" t="n">
        <v>25.99</v>
      </c>
      <c r="O64" s="109" t="n"/>
      <c r="P64" s="110">
        <f>IF(AND(ISNUMBER(O64),ISNUMBER(N64),N(N64)&gt;0),O64/N64-1,"")</f>
        <v/>
      </c>
      <c r="Q64" s="111">
        <f>IF(P64="","No List Price",IF(P64&lt;=0,"At/below price",IF(P64&lt;=0.12,"&lt;=12% STR zone",IF(P64&lt;=0.25,"12-25%","&gt;25% over"))))</f>
        <v/>
      </c>
      <c r="R64" s="109" t="n">
        <v>49.95</v>
      </c>
      <c r="S64" s="112">
        <f>IF(AND(ISNUMBER(N64),ISNUMBER(R64),N(R64)&gt;0),N64/R64-1,"")</f>
        <v/>
      </c>
      <c r="T64" s="39" t="inlineStr">
        <is>
          <t>Same size (Queen). Ours live: catalog price, 2026-10-13; 6 children</t>
        </is>
      </c>
      <c r="U64" s="108" t="n">
        <v>22910</v>
      </c>
      <c r="V64" s="108" t="n">
        <v>92</v>
      </c>
      <c r="W64" s="113">
        <f>IF(AND(ISNUMBER(N64),ISNUMBER(V64)),N64*V64*52/12,"")</f>
        <v/>
      </c>
      <c r="X64" s="114" t="n">
        <v>4.5</v>
      </c>
      <c r="Y64" s="108" t="n">
        <v>25340</v>
      </c>
      <c r="Z64" s="115" t="n">
        <v>46307</v>
      </c>
      <c r="AA64" s="115" t="n"/>
      <c r="AB64" s="105" t="n"/>
      <c r="AC64" s="105" t="n"/>
      <c r="AD64" s="108" t="n">
        <v>209497</v>
      </c>
      <c r="AE64" s="108" t="n">
        <v>1071</v>
      </c>
      <c r="AF64" s="116" t="n">
        <v>0.5683664338868817</v>
      </c>
      <c r="AG64" s="116" t="n">
        <v>0.4316335661131182</v>
      </c>
      <c r="AH64" s="39" t="inlineStr">
        <is>
          <t>silk pillow cases</t>
        </is>
      </c>
      <c r="AI64" s="116" t="n">
        <v>0.7398435299789495</v>
      </c>
      <c r="AJ64" s="116" t="n">
        <v>0.3173840198188996</v>
      </c>
      <c r="AK64" s="116" t="n"/>
      <c r="AL64" s="116" t="n">
        <v>0.0102674501305508</v>
      </c>
      <c r="AM64" s="108" t="n">
        <v>255</v>
      </c>
      <c r="AN64" s="108" t="n">
        <v>27</v>
      </c>
      <c r="AO64" s="108" t="n">
        <v>207</v>
      </c>
      <c r="AP64" s="108" t="n">
        <v>816</v>
      </c>
      <c r="AQ64" s="108" t="n">
        <v>388</v>
      </c>
      <c r="AR64" s="108" t="n">
        <v>18</v>
      </c>
      <c r="AS64" s="117" t="n">
        <v>0.3642691415313225</v>
      </c>
      <c r="AT64" s="112" t="n">
        <v>0.4285714285714284</v>
      </c>
      <c r="AU64" s="118" t="inlineStr">
        <is>
          <t>N</t>
        </is>
      </c>
      <c r="AV64" s="118" t="inlineStr">
        <is>
          <t>none</t>
        </is>
      </c>
      <c r="AW64" s="124" t="n"/>
      <c r="AX64" s="119" t="n">
        <v>25.99</v>
      </c>
      <c r="AY64" s="118" t="inlineStr">
        <is>
          <t>none</t>
        </is>
      </c>
      <c r="AZ64" s="118" t="inlineStr">
        <is>
          <t>Y</t>
        </is>
      </c>
      <c r="BA64" s="118" t="inlineStr">
        <is>
          <t>2026-10-13 23:44:46</t>
        </is>
      </c>
      <c r="BB64" s="120" t="inlineStr">
        <is>
          <t>None</t>
        </is>
      </c>
      <c r="BC64" s="125" t="n"/>
      <c r="BD64" s="121" t="n">
        <v>25.99</v>
      </c>
      <c r="BE64" s="121" t="n">
        <v>25.99</v>
      </c>
      <c r="BF64" s="110">
        <f>IF(AND(ISNUMBER(BD64),ISNUMBER(BE64),N(BD64)&gt;0),1-BE64/BD64,"")</f>
        <v/>
      </c>
      <c r="BG64" s="122" t="n">
        <v>17281</v>
      </c>
      <c r="BH64" s="122" t="n">
        <v>24432</v>
      </c>
      <c r="BI64" s="123">
        <f>IF(AND(ISNUMBER(BG64),ISNUMBER(BH64),N(BH64)&gt;0),BG64/BH64,"")</f>
        <v/>
      </c>
      <c r="BJ64" s="120" t="inlineStr">
        <is>
          <t>N</t>
        </is>
      </c>
      <c r="BK64" s="120" t="inlineStr">
        <is>
          <t>List Price $35.99</t>
        </is>
      </c>
    </row>
    <row r="65" ht="62" customHeight="1">
      <c r="A65" s="12">
        <f>_xlfn.IMAGE("https://m.media-amazon.com/images/I/51h6YPERApL._AC_SL1500_.jpg")</f>
        <v/>
      </c>
      <c r="B65" s="105" t="inlineStr">
        <is>
          <t>Fishers Finery</t>
        </is>
      </c>
      <c r="C65" s="39" t="inlineStr">
        <is>
          <t>Silk Pillowcase</t>
        </is>
      </c>
      <c r="D65" s="105" t="inlineStr">
        <is>
          <t>Aspirational</t>
        </is>
      </c>
      <c r="E65" s="106" t="inlineStr">
        <is>
          <t>Direct</t>
        </is>
      </c>
      <c r="F65" s="105" t="inlineStr">
        <is>
          <t>Silk</t>
        </is>
      </c>
      <c r="G65" s="39" t="inlineStr">
        <is>
          <t>Same product (pillowcase) in the same material family: Silk (product page material: Silk); ours: our listing: mulberry silk.</t>
        </is>
      </c>
      <c r="H65" s="107" t="inlineStr">
        <is>
          <t>B0FKC1MD24</t>
        </is>
      </c>
      <c r="I65" s="107" t="inlineStr">
        <is>
          <t>B00FWZW55Q</t>
        </is>
      </c>
      <c r="J65" s="105" t="inlineStr">
        <is>
          <t>Queen (U.S. Standard)</t>
        </is>
      </c>
      <c r="K65" s="105" t="inlineStr">
        <is>
          <t>Natural White (Undyed)</t>
        </is>
      </c>
      <c r="L65" s="108" t="n">
        <v>38</v>
      </c>
      <c r="M65" s="39" t="inlineStr">
        <is>
          <t>B07KWH57X6 (40%), B00FWZW55Q (22%), B00FWZVIWW (11%), B0815WT72G (10%)</t>
        </is>
      </c>
      <c r="N65" s="109" t="n">
        <v>59.99</v>
      </c>
      <c r="O65" s="109" t="n"/>
      <c r="P65" s="110">
        <f>IF(AND(ISNUMBER(O65),ISNUMBER(N65),N(N65)&gt;0),O65/N65-1,"")</f>
        <v/>
      </c>
      <c r="Q65" s="111">
        <f>IF(P65="","No List Price",IF(P65&lt;=0,"At/below price",IF(P65&lt;=0.12,"&lt;=12% STR zone",IF(P65&lt;=0.25,"12-25%","&gt;25% over"))))</f>
        <v/>
      </c>
      <c r="R65" s="109" t="n">
        <v>49.95</v>
      </c>
      <c r="S65" s="112">
        <f>IF(AND(ISNUMBER(N65),ISNUMBER(R65),N(R65)&gt;0),N65/R65-1,"")</f>
        <v/>
      </c>
      <c r="T65" s="39" t="inlineStr">
        <is>
          <t>Same size (Queen). Ours live: catalog price, 2026-10-13; 6 children</t>
        </is>
      </c>
      <c r="U65" s="108" t="n">
        <v>11579</v>
      </c>
      <c r="V65" s="108" t="n">
        <v>92</v>
      </c>
      <c r="W65" s="113">
        <f>IF(AND(ISNUMBER(N65),ISNUMBER(V65)),N65*V65*52/12,"")</f>
        <v/>
      </c>
      <c r="X65" s="114" t="n">
        <v>4.6</v>
      </c>
      <c r="Y65" s="108" t="n">
        <v>9036</v>
      </c>
      <c r="Z65" s="115" t="n">
        <v>46307</v>
      </c>
      <c r="AA65" s="115" t="n"/>
      <c r="AB65" s="105" t="n"/>
      <c r="AC65" s="105" t="n"/>
      <c r="AD65" s="108" t="n">
        <v>220584</v>
      </c>
      <c r="AE65" s="108" t="n">
        <v>1295</v>
      </c>
      <c r="AF65" s="116" t="n">
        <v>0.4810484871976213</v>
      </c>
      <c r="AG65" s="116" t="n">
        <v>0.5189515128023787</v>
      </c>
      <c r="AH65" s="39" t="inlineStr">
        <is>
          <t>silk pillow cases</t>
        </is>
      </c>
      <c r="AI65" s="116" t="n">
        <v>0.9624270119319625</v>
      </c>
      <c r="AJ65" s="116" t="n">
        <v>0.9632702281217133</v>
      </c>
      <c r="AK65" s="116" t="n">
        <v>0.7826496935407826</v>
      </c>
      <c r="AL65" s="116" t="n">
        <v>0.07744895368657745</v>
      </c>
      <c r="AM65" s="108" t="n">
        <v>269</v>
      </c>
      <c r="AN65" s="108" t="n">
        <v>29</v>
      </c>
      <c r="AO65" s="108" t="n">
        <v>220</v>
      </c>
      <c r="AP65" s="108" t="n">
        <v>1026</v>
      </c>
      <c r="AQ65" s="108" t="n">
        <v>505</v>
      </c>
      <c r="AR65" s="108" t="n">
        <v>28</v>
      </c>
      <c r="AS65" s="117" t="n">
        <v>1.226145038167939</v>
      </c>
      <c r="AT65" s="112" t="n">
        <v>0.4174757281553398</v>
      </c>
      <c r="AU65" s="118" t="inlineStr">
        <is>
          <t>N</t>
        </is>
      </c>
      <c r="AV65" s="118" t="inlineStr">
        <is>
          <t>none</t>
        </is>
      </c>
      <c r="AW65" s="124" t="n"/>
      <c r="AX65" s="119" t="n">
        <v>59.99</v>
      </c>
      <c r="AY65" s="118" t="inlineStr">
        <is>
          <t>none</t>
        </is>
      </c>
      <c r="AZ65" s="118" t="inlineStr">
        <is>
          <t>Y</t>
        </is>
      </c>
      <c r="BA65" s="118" t="inlineStr">
        <is>
          <t>2026-10-13 23:45:29</t>
        </is>
      </c>
      <c r="BB65" s="120" t="inlineStr">
        <is>
          <t>None</t>
        </is>
      </c>
      <c r="BC65" s="125" t="n"/>
      <c r="BD65" s="121" t="n">
        <v>57.99</v>
      </c>
      <c r="BE65" s="121" t="n">
        <v>57.99</v>
      </c>
      <c r="BF65" s="110">
        <f>IF(AND(ISNUMBER(BD65),ISNUMBER(BE65),N(BD65)&gt;0),1-BE65/BD65,"")</f>
        <v/>
      </c>
      <c r="BG65" s="122" t="n">
        <v>11986</v>
      </c>
      <c r="BH65" s="122" t="n">
        <v>12543</v>
      </c>
      <c r="BI65" s="123">
        <f>IF(AND(ISNUMBER(BG65),ISNUMBER(BH65),N(BH65)&gt;0),BG65/BH65,"")</f>
        <v/>
      </c>
      <c r="BJ65" s="120" t="inlineStr">
        <is>
          <t>N</t>
        </is>
      </c>
      <c r="BK65" s="120" t="inlineStr">
        <is>
          <t>Coupon 15% (11-13 to 11-17); List Price $75.00</t>
        </is>
      </c>
    </row>
    <row r="66" ht="62" customHeight="1">
      <c r="A66" s="12">
        <f>_xlfn.IMAGE("https://m.media-amazon.com/images/I/51+SWA0DvhL._AC_SL1500_.jpg")</f>
        <v/>
      </c>
      <c r="B66" s="105" t="inlineStr">
        <is>
          <t>ZIMASILK</t>
        </is>
      </c>
      <c r="C66" s="39" t="inlineStr">
        <is>
          <t>Silk Pillowcase</t>
        </is>
      </c>
      <c r="D66" s="105" t="inlineStr">
        <is>
          <t>Beatable</t>
        </is>
      </c>
      <c r="E66" s="106" t="inlineStr">
        <is>
          <t>Direct</t>
        </is>
      </c>
      <c r="F66" s="105" t="inlineStr">
        <is>
          <t>Silk</t>
        </is>
      </c>
      <c r="G66" s="39" t="inlineStr">
        <is>
          <t>Same product (pillowcase) in the same material family: Silk (product page material: Both Sides 100% 22 Momme 6a Mulberry Silk); ours: our listing: mulberry silk.</t>
        </is>
      </c>
      <c r="H66" s="107" t="inlineStr">
        <is>
          <t>B0GXDFM5TS</t>
        </is>
      </c>
      <c r="I66" s="107" t="inlineStr">
        <is>
          <t>B094XT94FC</t>
        </is>
      </c>
      <c r="J66" s="105" t="inlineStr">
        <is>
          <t>Standard 20"x26"</t>
        </is>
      </c>
      <c r="K66" s="105" t="inlineStr">
        <is>
          <t>Ivory</t>
        </is>
      </c>
      <c r="L66" s="108" t="n">
        <v>15</v>
      </c>
      <c r="M66" s="39" t="inlineStr">
        <is>
          <t>B094XT94FC (75%), B094XQM9R3 (23%)</t>
        </is>
      </c>
      <c r="N66" s="109" t="n">
        <v>37.99</v>
      </c>
      <c r="O66" s="109" t="n"/>
      <c r="P66" s="110">
        <f>IF(AND(ISNUMBER(O66),ISNUMBER(N66),N(N66)&gt;0),O66/N66-1,"")</f>
        <v/>
      </c>
      <c r="Q66" s="111">
        <f>IF(P66="","No List Price",IF(P66&lt;=0,"At/below price",IF(P66&lt;=0.12,"&lt;=12% STR zone",IF(P66&lt;=0.25,"12-25%","&gt;25% over"))))</f>
        <v/>
      </c>
      <c r="R66" s="109" t="n">
        <v>50.20344827586207</v>
      </c>
      <c r="S66" s="112">
        <f>IF(AND(ISNUMBER(N66),ISNUMBER(R66),N(R66)&gt;0),N66/R66-1,"")</f>
        <v/>
      </c>
      <c r="T66" s="39" t="inlineStr">
        <is>
          <t>vs our blended price (market data, Mar 2026 - STALE)</t>
        </is>
      </c>
      <c r="U66" s="108" t="n">
        <v>44854</v>
      </c>
      <c r="V66" s="108" t="n">
        <v>81</v>
      </c>
      <c r="W66" s="113">
        <f>IF(AND(ISNUMBER(N66),ISNUMBER(V66)),N66*V66*52/12,"")</f>
        <v/>
      </c>
      <c r="X66" s="114" t="n">
        <v>4.5</v>
      </c>
      <c r="Y66" s="108" t="n">
        <v>672</v>
      </c>
      <c r="Z66" s="115" t="n">
        <v>46307</v>
      </c>
      <c r="AA66" s="115" t="n"/>
      <c r="AB66" s="105" t="n"/>
      <c r="AC66" s="105" t="n"/>
      <c r="AD66" s="108" t="n">
        <v>108891</v>
      </c>
      <c r="AE66" s="108" t="n">
        <v>574</v>
      </c>
      <c r="AF66" s="116" t="n">
        <v>0.2928209181658722</v>
      </c>
      <c r="AG66" s="116" t="n">
        <v>0.707179228770055</v>
      </c>
      <c r="AH66" s="39" t="inlineStr">
        <is>
          <t>silk pillow cases</t>
        </is>
      </c>
      <c r="AI66" s="116" t="n">
        <v>0.8487753808854727</v>
      </c>
      <c r="AJ66" s="116" t="n">
        <v>0.9211413248110496</v>
      </c>
      <c r="AK66" s="116" t="n">
        <v>0.7371959115078381</v>
      </c>
      <c r="AL66" s="116" t="n">
        <v>0.008549834237907632</v>
      </c>
      <c r="AM66" s="108" t="n">
        <v>246</v>
      </c>
      <c r="AN66" s="108" t="n">
        <v>28</v>
      </c>
      <c r="AO66" s="108" t="n">
        <v>200</v>
      </c>
      <c r="AP66" s="108" t="n">
        <v>328</v>
      </c>
      <c r="AQ66" s="108" t="n">
        <v>222</v>
      </c>
      <c r="AR66" s="108" t="n">
        <v>25</v>
      </c>
      <c r="AS66" s="117" t="n">
        <v>1.234425176621708</v>
      </c>
      <c r="AT66" s="112" t="n">
        <v>0.2668161434977578</v>
      </c>
      <c r="AU66" s="118" t="inlineStr">
        <is>
          <t>N</t>
        </is>
      </c>
      <c r="AV66" s="118" t="inlineStr">
        <is>
          <t>none</t>
        </is>
      </c>
      <c r="AW66" s="124" t="n"/>
      <c r="AX66" s="119" t="n">
        <v>37.99</v>
      </c>
      <c r="AY66" s="118" t="inlineStr">
        <is>
          <t>none</t>
        </is>
      </c>
      <c r="AZ66" s="118" t="inlineStr">
        <is>
          <t>Y</t>
        </is>
      </c>
      <c r="BA66" s="118" t="inlineStr">
        <is>
          <t>2026-10-13 23:47:19</t>
        </is>
      </c>
      <c r="BB66" s="120" t="inlineStr">
        <is>
          <t>Prime Exclusive Discount</t>
        </is>
      </c>
      <c r="BC66" s="120" t="inlineStr">
        <is>
          <t>11-20 to 12-01</t>
        </is>
      </c>
      <c r="BD66" s="121" t="n">
        <v>36.99</v>
      </c>
      <c r="BE66" s="121" t="n">
        <v>29.22</v>
      </c>
      <c r="BF66" s="110">
        <f>IF(AND(ISNUMBER(BD66),ISNUMBER(BE66),N(BD66)&gt;0),1-BE66/BD66,"")</f>
        <v/>
      </c>
      <c r="BG66" s="122" t="n">
        <v>72445</v>
      </c>
      <c r="BH66" s="122" t="n">
        <v>50860</v>
      </c>
      <c r="BI66" s="123">
        <f>IF(AND(ISNUMBER(BG66),ISNUMBER(BH66),N(BH66)&gt;0),BG66/BH66,"")</f>
        <v/>
      </c>
      <c r="BJ66" s="120" t="inlineStr">
        <is>
          <t>N</t>
        </is>
      </c>
      <c r="BK66" s="120" t="inlineStr">
        <is>
          <t>Coupon 10% (12-05 to 12-05); List Price $69.99</t>
        </is>
      </c>
    </row>
    <row r="67" ht="62" customHeight="1">
      <c r="A67" s="12">
        <f>_xlfn.IMAGE("https://m.media-amazon.com/images/I/6183+Piu-cL._AC_SL1500_.jpg")</f>
        <v/>
      </c>
      <c r="B67" s="105" t="inlineStr">
        <is>
          <t>ZIMASILK</t>
        </is>
      </c>
      <c r="C67" s="39" t="inlineStr">
        <is>
          <t>Silk Pillowcase</t>
        </is>
      </c>
      <c r="D67" s="105" t="inlineStr">
        <is>
          <t>Beatable</t>
        </is>
      </c>
      <c r="E67" s="106" t="inlineStr">
        <is>
          <t>Direct</t>
        </is>
      </c>
      <c r="F67" s="105" t="inlineStr">
        <is>
          <t>Silk</t>
        </is>
      </c>
      <c r="G67" s="39" t="inlineStr">
        <is>
          <t>Same product (pillowcase) in the same material family: Silk (product page material: Silk); ours: our listing: mulberry silk.</t>
        </is>
      </c>
      <c r="H67" s="107" t="inlineStr">
        <is>
          <t>B09ZRJBNY5</t>
        </is>
      </c>
      <c r="I67" s="107" t="inlineStr">
        <is>
          <t>B09NVRZBDJ</t>
        </is>
      </c>
      <c r="J67" s="105" t="inlineStr">
        <is>
          <t>Standard 20"x26"</t>
        </is>
      </c>
      <c r="K67" s="105" t="inlineStr">
        <is>
          <t>Grey</t>
        </is>
      </c>
      <c r="L67" s="108" t="n">
        <v>18</v>
      </c>
      <c r="M67" s="39" t="inlineStr">
        <is>
          <t>B09NVRZBDJ (96%)</t>
        </is>
      </c>
      <c r="N67" s="109" t="n">
        <v>23.39</v>
      </c>
      <c r="O67" s="109" t="n">
        <v>24.69</v>
      </c>
      <c r="P67" s="110">
        <f>IF(AND(ISNUMBER(O67),ISNUMBER(N67),N(N67)&gt;0),O67/N67-1,"")</f>
        <v/>
      </c>
      <c r="Q67" s="111">
        <f>IF(P67="","No List Price",IF(P67&lt;=0,"At/below price",IF(P67&lt;=0.12,"&lt;=12% STR zone",IF(P67&lt;=0.25,"12-25%","&gt;25% over"))))</f>
        <v/>
      </c>
      <c r="R67" s="109" t="n">
        <v>50.20344827586207</v>
      </c>
      <c r="S67" s="112">
        <f>IF(AND(ISNUMBER(N67),ISNUMBER(R67),N(R67)&gt;0),N67/R67-1,"")</f>
        <v/>
      </c>
      <c r="T67" s="39" t="inlineStr">
        <is>
          <t>vs our blended price (market data, Mar 2026 - STALE)</t>
        </is>
      </c>
      <c r="U67" s="108" t="n">
        <v>62692</v>
      </c>
      <c r="V67" s="108" t="n">
        <v>81</v>
      </c>
      <c r="W67" s="113">
        <f>IF(AND(ISNUMBER(N67),ISNUMBER(V67)),N67*V67*52/12,"")</f>
        <v/>
      </c>
      <c r="X67" s="114" t="n">
        <v>4.5</v>
      </c>
      <c r="Y67" s="108" t="n">
        <v>1208</v>
      </c>
      <c r="Z67" s="115" t="n">
        <v>46307</v>
      </c>
      <c r="AA67" s="115" t="n"/>
      <c r="AB67" s="105" t="n"/>
      <c r="AC67" s="105" t="n"/>
      <c r="AD67" s="108" t="n">
        <v>66424</v>
      </c>
      <c r="AE67" s="108" t="n">
        <v>577</v>
      </c>
      <c r="AF67" s="116" t="n">
        <v>0.920330772010117</v>
      </c>
      <c r="AG67" s="116" t="n">
        <v>0.07966922798988318</v>
      </c>
      <c r="AH67" s="39" t="inlineStr">
        <is>
          <t>silk pillow cases</t>
        </is>
      </c>
      <c r="AI67" s="116" t="n">
        <v>0.8019691677706853</v>
      </c>
      <c r="AJ67" s="116" t="n">
        <v>0.03021498253643261</v>
      </c>
      <c r="AK67" s="116" t="n"/>
      <c r="AL67" s="116" t="n"/>
      <c r="AM67" s="108" t="n">
        <v>239</v>
      </c>
      <c r="AN67" s="108" t="n">
        <v>75</v>
      </c>
      <c r="AO67" s="108" t="n">
        <v>144</v>
      </c>
      <c r="AP67" s="108" t="n">
        <v>338</v>
      </c>
      <c r="AQ67" s="108" t="n">
        <v>106</v>
      </c>
      <c r="AR67" s="108" t="n">
        <v>5</v>
      </c>
      <c r="AS67" s="117" t="n">
        <v>0.9147217235188509</v>
      </c>
      <c r="AT67" s="112" t="n">
        <v>-0.2776250687190764</v>
      </c>
      <c r="AU67" s="118" t="inlineStr">
        <is>
          <t>Y</t>
        </is>
      </c>
      <c r="AV67" s="118" t="inlineStr">
        <is>
          <t>Typical price</t>
        </is>
      </c>
      <c r="AW67" s="119" t="n">
        <v>24.69</v>
      </c>
      <c r="AX67" s="119" t="n">
        <v>23.39</v>
      </c>
      <c r="AY67" s="118" t="inlineStr">
        <is>
          <t>none</t>
        </is>
      </c>
      <c r="AZ67" s="118" t="inlineStr">
        <is>
          <t>Y</t>
        </is>
      </c>
      <c r="BA67" s="118" t="inlineStr">
        <is>
          <t>2026-10-13 23:47:22</t>
        </is>
      </c>
      <c r="BB67" s="120" t="inlineStr">
        <is>
          <t>Prime Exclusive Discount</t>
        </is>
      </c>
      <c r="BC67" s="120" t="inlineStr">
        <is>
          <t>11-20 to 12-01</t>
        </is>
      </c>
      <c r="BD67" s="121" t="n">
        <v>25.29</v>
      </c>
      <c r="BE67" s="121" t="n">
        <v>19.22</v>
      </c>
      <c r="BF67" s="110">
        <f>IF(AND(ISNUMBER(BD67),ISNUMBER(BE67),N(BD67)&gt;0),1-BE67/BD67,"")</f>
        <v/>
      </c>
      <c r="BG67" s="122" t="n">
        <v>58309</v>
      </c>
      <c r="BH67" s="122" t="n">
        <v>50010</v>
      </c>
      <c r="BI67" s="123">
        <f>IF(AND(ISNUMBER(BG67),ISNUMBER(BH67),N(BH67)&gt;0),BG67/BH67,"")</f>
        <v/>
      </c>
      <c r="BJ67" s="120" t="inlineStr">
        <is>
          <t>N</t>
        </is>
      </c>
      <c r="BK67" s="120" t="inlineStr">
        <is>
          <t>Coupon 10% (12-03 to 12-05); List Price $25.29</t>
        </is>
      </c>
    </row>
    <row r="68" ht="62" customHeight="1">
      <c r="A68" s="12">
        <f>_xlfn.IMAGE("https://m.media-amazon.com/images/I/71e-Li03I4L._AC_SL1500_.jpg")</f>
        <v/>
      </c>
      <c r="B68" s="105" t="inlineStr">
        <is>
          <t>Colorado Home Co</t>
        </is>
      </c>
      <c r="C68" s="39" t="inlineStr">
        <is>
          <t>Silk Pillowcase</t>
        </is>
      </c>
      <c r="D68" s="105" t="inlineStr">
        <is>
          <t>Beatable</t>
        </is>
      </c>
      <c r="E68" s="106" t="inlineStr">
        <is>
          <t>Direct</t>
        </is>
      </c>
      <c r="F68" s="105" t="inlineStr">
        <is>
          <t>Silk</t>
        </is>
      </c>
      <c r="G68" s="39" t="inlineStr">
        <is>
          <t>Same product (pillowcase) in the same material family: Silk (product page material: Silk); ours: our listing: mulberry silk.</t>
        </is>
      </c>
      <c r="H68" s="107" t="inlineStr">
        <is>
          <t>B0CTCZGGHP</t>
        </is>
      </c>
      <c r="I68" s="107" t="inlineStr">
        <is>
          <t>B081CTM1T8</t>
        </is>
      </c>
      <c r="J68" s="105" t="inlineStr">
        <is>
          <t>1 Pack Queen Pillowcase (20" x 30")</t>
        </is>
      </c>
      <c r="K68" s="105" t="inlineStr">
        <is>
          <t>Off White</t>
        </is>
      </c>
      <c r="L68" s="108" t="n">
        <v>32</v>
      </c>
      <c r="M68" s="39" t="inlineStr">
        <is>
          <t>B081CTM1T8 (84%)</t>
        </is>
      </c>
      <c r="N68" s="109" t="n">
        <v>45.99</v>
      </c>
      <c r="O68" s="109" t="n"/>
      <c r="P68" s="110">
        <f>IF(AND(ISNUMBER(O68),ISNUMBER(N68),N(N68)&gt;0),O68/N68-1,"")</f>
        <v/>
      </c>
      <c r="Q68" s="111">
        <f>IF(P68="","No List Price",IF(P68&lt;=0,"At/below price",IF(P68&lt;=0.12,"&lt;=12% STR zone",IF(P68&lt;=0.25,"12-25%","&gt;25% over"))))</f>
        <v/>
      </c>
      <c r="R68" s="109" t="n">
        <v>50.20344827586207</v>
      </c>
      <c r="S68" s="112">
        <f>IF(AND(ISNUMBER(N68),ISNUMBER(R68),N(R68)&gt;0),N68/R68-1,"")</f>
        <v/>
      </c>
      <c r="T68" s="39" t="inlineStr">
        <is>
          <t>vs our blended price (market data, Mar 2026 - STALE)</t>
        </is>
      </c>
      <c r="U68" s="108" t="n">
        <v>55124</v>
      </c>
      <c r="V68" s="108" t="n">
        <v>18</v>
      </c>
      <c r="W68" s="113">
        <f>IF(AND(ISNUMBER(N68),ISNUMBER(V68)),N68*V68*52/12,"")</f>
        <v/>
      </c>
      <c r="X68" s="114" t="n">
        <v>4.6</v>
      </c>
      <c r="Y68" s="108" t="n">
        <v>1971</v>
      </c>
      <c r="Z68" s="115" t="n">
        <v>46307</v>
      </c>
      <c r="AA68" s="115" t="n"/>
      <c r="AB68" s="105" t="n"/>
      <c r="AC68" s="105" t="n"/>
      <c r="AD68" s="108" t="n">
        <v>119892</v>
      </c>
      <c r="AE68" s="108" t="n">
        <v>435</v>
      </c>
      <c r="AF68" s="116" t="n">
        <v>0.4231184574450338</v>
      </c>
      <c r="AG68" s="116" t="n">
        <v>0.576881542554966</v>
      </c>
      <c r="AH68" s="39" t="inlineStr">
        <is>
          <t>silk pillow cases</t>
        </is>
      </c>
      <c r="AI68" s="116" t="n">
        <v>0.9609732092216328</v>
      </c>
      <c r="AJ68" s="116" t="n"/>
      <c r="AK68" s="116" t="n"/>
      <c r="AL68" s="116" t="n">
        <v>0.001776598939045141</v>
      </c>
      <c r="AM68" s="108" t="n">
        <v>230</v>
      </c>
      <c r="AN68" s="108" t="n">
        <v>45</v>
      </c>
      <c r="AO68" s="108" t="n">
        <v>160</v>
      </c>
      <c r="AP68" s="108" t="n">
        <v>205</v>
      </c>
      <c r="AQ68" s="108" t="n">
        <v>88</v>
      </c>
      <c r="AR68" s="108" t="n">
        <v>16</v>
      </c>
      <c r="AS68" s="117" t="n"/>
      <c r="AT68" s="112" t="n"/>
      <c r="AU68" s="118" t="inlineStr">
        <is>
          <t>N</t>
        </is>
      </c>
      <c r="AV68" s="118" t="inlineStr">
        <is>
          <t>none</t>
        </is>
      </c>
      <c r="AW68" s="124" t="n"/>
      <c r="AX68" s="119" t="n">
        <v>45.99</v>
      </c>
      <c r="AY68" s="118" t="inlineStr">
        <is>
          <t>none</t>
        </is>
      </c>
      <c r="AZ68" s="118" t="inlineStr">
        <is>
          <t>Y</t>
        </is>
      </c>
      <c r="BA68" s="118" t="inlineStr">
        <is>
          <t>2026-10-13 23:45:17</t>
        </is>
      </c>
      <c r="BB68" s="120" t="inlineStr">
        <is>
          <t>Prime Exclusive Discount</t>
        </is>
      </c>
      <c r="BC68" s="120" t="inlineStr">
        <is>
          <t>11-26 to 12-01</t>
        </is>
      </c>
      <c r="BD68" s="121" t="n">
        <v>45.59</v>
      </c>
      <c r="BE68" s="121" t="n">
        <v>39.32</v>
      </c>
      <c r="BF68" s="110">
        <f>IF(AND(ISNUMBER(BD68),ISNUMBER(BE68),N(BD68)&gt;0),1-BE68/BD68,"")</f>
        <v/>
      </c>
      <c r="BG68" s="122" t="n">
        <v>42376</v>
      </c>
      <c r="BH68" s="122" t="n">
        <v>36224</v>
      </c>
      <c r="BI68" s="123">
        <f>IF(AND(ISNUMBER(BG68),ISNUMBER(BH68),N(BH68)&gt;0),BG68/BH68,"")</f>
        <v/>
      </c>
      <c r="BJ68" s="120" t="inlineStr">
        <is>
          <t>N</t>
        </is>
      </c>
      <c r="BK68" s="120" t="inlineStr">
        <is>
          <t>Buy Box RAISED in BFCM week (median $56.99 vs $45.59 before); List Price $101.99</t>
        </is>
      </c>
    </row>
    <row r="69" ht="62" customHeight="1">
      <c r="A69" s="12">
        <f>_xlfn.IMAGE("https://m.media-amazon.com/images/I/615FbOB3UDL._AC_SL1500_.jpg")</f>
        <v/>
      </c>
      <c r="B69" s="105" t="inlineStr">
        <is>
          <t>Fishers Finery</t>
        </is>
      </c>
      <c r="C69" s="39" t="inlineStr">
        <is>
          <t>Silk Pillowcase</t>
        </is>
      </c>
      <c r="D69" s="105" t="inlineStr">
        <is>
          <t>Beatable</t>
        </is>
      </c>
      <c r="E69" s="106" t="inlineStr">
        <is>
          <t>Direct</t>
        </is>
      </c>
      <c r="F69" s="105" t="inlineStr">
        <is>
          <t>Silk</t>
        </is>
      </c>
      <c r="G69" s="39" t="inlineStr">
        <is>
          <t>Same product (pillowcase) in the same material family: Silk (product page material: Silk); ours: our listing: mulberry silk.</t>
        </is>
      </c>
      <c r="H69" s="107" t="inlineStr">
        <is>
          <t>B01MQIYMW3</t>
        </is>
      </c>
      <c r="I69" s="107" t="inlineStr">
        <is>
          <t>B01M1CKVJU</t>
        </is>
      </c>
      <c r="J69" s="105" t="inlineStr">
        <is>
          <t>King - Set of 1</t>
        </is>
      </c>
      <c r="K69" s="105" t="inlineStr">
        <is>
          <t>Natural White (Undyed)</t>
        </is>
      </c>
      <c r="L69" s="108" t="n">
        <v>20</v>
      </c>
      <c r="M69" s="39" t="inlineStr">
        <is>
          <t>B07VCVFVJM (32%), B0815RTY4S (30%), B01LYQUJWD (26%)</t>
        </is>
      </c>
      <c r="N69" s="109" t="n">
        <v>81.98999999999999</v>
      </c>
      <c r="O69" s="109" t="n"/>
      <c r="P69" s="110">
        <f>IF(AND(ISNUMBER(O69),ISNUMBER(N69),N(N69)&gt;0),O69/N69-1,"")</f>
        <v/>
      </c>
      <c r="Q69" s="111">
        <f>IF(P69="","No List Price",IF(P69&lt;=0,"At/below price",IF(P69&lt;=0.12,"&lt;=12% STR zone",IF(P69&lt;=0.25,"12-25%","&gt;25% over"))))</f>
        <v/>
      </c>
      <c r="R69" s="109" t="n">
        <v>54.95</v>
      </c>
      <c r="S69" s="112">
        <f>IF(AND(ISNUMBER(N69),ISNUMBER(R69),N(R69)&gt;0),N69/R69-1,"")</f>
        <v/>
      </c>
      <c r="T69" s="39" t="inlineStr">
        <is>
          <t>Same size (King). Ours live: catalog price, 2026-10-13; 5 children</t>
        </is>
      </c>
      <c r="U69" s="108" t="n">
        <v>55705</v>
      </c>
      <c r="V69" s="108" t="n">
        <v>18</v>
      </c>
      <c r="W69" s="113">
        <f>IF(AND(ISNUMBER(N69),ISNUMBER(V69)),N69*V69*52/12,"")</f>
        <v/>
      </c>
      <c r="X69" s="114" t="n">
        <v>4.6</v>
      </c>
      <c r="Y69" s="108" t="n">
        <v>2700</v>
      </c>
      <c r="Z69" s="115" t="n">
        <v>46307</v>
      </c>
      <c r="AA69" s="115" t="n"/>
      <c r="AB69" s="105" t="n"/>
      <c r="AC69" s="105" t="n"/>
      <c r="AD69" s="108" t="n">
        <v>102684</v>
      </c>
      <c r="AE69" s="108" t="n">
        <v>787</v>
      </c>
      <c r="AF69" s="116" t="n">
        <v>0.6705437400179186</v>
      </c>
      <c r="AG69" s="116" t="n">
        <v>0.3294562599820809</v>
      </c>
      <c r="AH69" s="39" t="inlineStr">
        <is>
          <t>silk pillow cases</t>
        </is>
      </c>
      <c r="AI69" s="116" t="n">
        <v>0.9397861400023373</v>
      </c>
      <c r="AJ69" s="116" t="n">
        <v>0.9988995364418994</v>
      </c>
      <c r="AK69" s="116" t="n"/>
      <c r="AL69" s="116" t="n"/>
      <c r="AM69" s="108" t="n">
        <v>257</v>
      </c>
      <c r="AN69" s="108" t="n">
        <v>55</v>
      </c>
      <c r="AO69" s="108" t="n">
        <v>178</v>
      </c>
      <c r="AP69" s="108" t="n">
        <v>530</v>
      </c>
      <c r="AQ69" s="108" t="n">
        <v>325</v>
      </c>
      <c r="AR69" s="108" t="n">
        <v>26</v>
      </c>
      <c r="AS69" s="117" t="n"/>
      <c r="AT69" s="112" t="n"/>
      <c r="AU69" s="118" t="inlineStr">
        <is>
          <t>N</t>
        </is>
      </c>
      <c r="AV69" s="118" t="inlineStr">
        <is>
          <t>none</t>
        </is>
      </c>
      <c r="AW69" s="124" t="n"/>
      <c r="AX69" s="119" t="n">
        <v>81.98999999999999</v>
      </c>
      <c r="AY69" s="118" t="inlineStr">
        <is>
          <t>none</t>
        </is>
      </c>
      <c r="AZ69" s="118" t="inlineStr">
        <is>
          <t>Y</t>
        </is>
      </c>
      <c r="BA69" s="118" t="inlineStr">
        <is>
          <t>2026-10-13 23:45:33</t>
        </is>
      </c>
      <c r="BB69" s="120" t="inlineStr">
        <is>
          <t>None</t>
        </is>
      </c>
      <c r="BC69" s="125" t="n"/>
      <c r="BD69" s="121" t="n">
        <v>77.98999999999999</v>
      </c>
      <c r="BE69" s="121" t="n">
        <v>77.98999999999999</v>
      </c>
      <c r="BF69" s="110">
        <f>IF(AND(ISNUMBER(BD69),ISNUMBER(BE69),N(BD69)&gt;0),1-BE69/BD69,"")</f>
        <v/>
      </c>
      <c r="BG69" s="122" t="n">
        <v>70079</v>
      </c>
      <c r="BH69" s="122" t="n">
        <v>68310</v>
      </c>
      <c r="BI69" s="123">
        <f>IF(AND(ISNUMBER(BG69),ISNUMBER(BH69),N(BH69)&gt;0),BG69/BH69,"")</f>
        <v/>
      </c>
      <c r="BJ69" s="120" t="inlineStr">
        <is>
          <t>N</t>
        </is>
      </c>
      <c r="BK69" s="120" t="inlineStr">
        <is>
          <t>Coupon 15% (11-13 to 11-17); List Price $101.00</t>
        </is>
      </c>
    </row>
    <row r="70" ht="62" customHeight="1">
      <c r="A70" s="12">
        <f>_xlfn.IMAGE("https://m.media-amazon.com/images/I/61Z9zrJhmmL._AC_SL1295_.jpg")</f>
        <v/>
      </c>
      <c r="B70" s="105" t="inlineStr">
        <is>
          <t>ROSEWARD</t>
        </is>
      </c>
      <c r="C70" s="39" t="inlineStr">
        <is>
          <t>Silk Pillowcase</t>
        </is>
      </c>
      <c r="D70" s="105" t="inlineStr">
        <is>
          <t>Beatable</t>
        </is>
      </c>
      <c r="E70" s="106" t="inlineStr">
        <is>
          <t>Direct</t>
        </is>
      </c>
      <c r="F70" s="105" t="inlineStr">
        <is>
          <t>Silk</t>
        </is>
      </c>
      <c r="G70" s="39" t="inlineStr">
        <is>
          <t>Same product (pillowcase) in the same material family: Silk (product page material: Silk); ours: our listing: mulberry silk.</t>
        </is>
      </c>
      <c r="H70" s="107" t="inlineStr">
        <is>
          <t>B0BXBPNMVW</t>
        </is>
      </c>
      <c r="I70" s="107" t="inlineStr">
        <is>
          <t>B0BXBN7JMP</t>
        </is>
      </c>
      <c r="J70" s="105" t="inlineStr">
        <is>
          <t>Queen</t>
        </is>
      </c>
      <c r="K70" s="105" t="inlineStr">
        <is>
          <t>Blue Grey</t>
        </is>
      </c>
      <c r="L70" s="108" t="n">
        <v>26</v>
      </c>
      <c r="M70" s="39" t="inlineStr">
        <is>
          <t>B0BXBN7JMP (47%), B0BXBN73ZZ (32%), B0BXBNSFKG (5%)</t>
        </is>
      </c>
      <c r="N70" s="109" t="n">
        <v>39.99</v>
      </c>
      <c r="O70" s="109" t="n"/>
      <c r="P70" s="110">
        <f>IF(AND(ISNUMBER(O70),ISNUMBER(N70),N(N70)&gt;0),O70/N70-1,"")</f>
        <v/>
      </c>
      <c r="Q70" s="111">
        <f>IF(P70="","No List Price",IF(P70&lt;=0,"At/below price",IF(P70&lt;=0.12,"&lt;=12% STR zone",IF(P70&lt;=0.25,"12-25%","&gt;25% over"))))</f>
        <v/>
      </c>
      <c r="R70" s="109" t="n">
        <v>49.95</v>
      </c>
      <c r="S70" s="112">
        <f>IF(AND(ISNUMBER(N70),ISNUMBER(R70),N(R70)&gt;0),N70/R70-1,"")</f>
        <v/>
      </c>
      <c r="T70" s="39" t="inlineStr">
        <is>
          <t>Same size (Queen). Ours live: catalog price, 2026-10-13; 6 children</t>
        </is>
      </c>
      <c r="U70" s="108" t="n">
        <v>28579</v>
      </c>
      <c r="V70" s="108" t="n">
        <v>18</v>
      </c>
      <c r="W70" s="113">
        <f>IF(AND(ISNUMBER(N70),ISNUMBER(V70)),N70*V70*52/12,"")</f>
        <v/>
      </c>
      <c r="X70" s="114" t="n">
        <v>4.4</v>
      </c>
      <c r="Y70" s="108" t="n">
        <v>1035</v>
      </c>
      <c r="Z70" s="115" t="n">
        <v>46307</v>
      </c>
      <c r="AA70" s="115" t="n"/>
      <c r="AB70" s="105" t="n"/>
      <c r="AC70" s="105" t="n"/>
      <c r="AD70" s="108" t="n">
        <v>58241</v>
      </c>
      <c r="AE70" s="108" t="n">
        <v>388</v>
      </c>
      <c r="AF70" s="116" t="n">
        <v>0.3698189849075394</v>
      </c>
      <c r="AG70" s="116" t="n">
        <v>0.6301810150924604</v>
      </c>
      <c r="AH70" s="39" t="inlineStr">
        <is>
          <t>blissy silk pillow cases</t>
        </is>
      </c>
      <c r="AI70" s="116" t="n">
        <v>0.9105441184045604</v>
      </c>
      <c r="AJ70" s="116" t="n">
        <v>0.5094692742226267</v>
      </c>
      <c r="AK70" s="116" t="n"/>
      <c r="AL70" s="116" t="n"/>
      <c r="AM70" s="108" t="n">
        <v>230</v>
      </c>
      <c r="AN70" s="108" t="n">
        <v>71</v>
      </c>
      <c r="AO70" s="108" t="n">
        <v>128</v>
      </c>
      <c r="AP70" s="108" t="n">
        <v>158</v>
      </c>
      <c r="AQ70" s="108" t="n">
        <v>100</v>
      </c>
      <c r="AR70" s="108" t="n">
        <v>23</v>
      </c>
      <c r="AS70" s="117" t="n">
        <v>1.153762268266085</v>
      </c>
      <c r="AT70" s="112" t="n">
        <v>0.1086956521739131</v>
      </c>
      <c r="AU70" s="118" t="inlineStr">
        <is>
          <t>N</t>
        </is>
      </c>
      <c r="AV70" s="118" t="inlineStr">
        <is>
          <t>none</t>
        </is>
      </c>
      <c r="AW70" s="124" t="n"/>
      <c r="AX70" s="119" t="n">
        <v>39.99</v>
      </c>
      <c r="AY70" s="118" t="inlineStr">
        <is>
          <t>none</t>
        </is>
      </c>
      <c r="AZ70" s="118" t="inlineStr">
        <is>
          <t>Y</t>
        </is>
      </c>
      <c r="BA70" s="118" t="inlineStr">
        <is>
          <t>2026-10-13 23:46:35</t>
        </is>
      </c>
      <c r="BB70" s="120" t="inlineStr">
        <is>
          <t>Prime Exclusive Discount</t>
        </is>
      </c>
      <c r="BC70" s="120" t="inlineStr">
        <is>
          <t>11-22 to 12-01</t>
        </is>
      </c>
      <c r="BD70" s="121" t="n">
        <v>39.99</v>
      </c>
      <c r="BE70" s="121" t="n">
        <v>31.99</v>
      </c>
      <c r="BF70" s="110">
        <f>IF(AND(ISNUMBER(BD70),ISNUMBER(BE70),N(BD70)&gt;0),1-BE70/BD70,"")</f>
        <v/>
      </c>
      <c r="BG70" s="122" t="n">
        <v>20766</v>
      </c>
      <c r="BH70" s="122" t="n">
        <v>17096</v>
      </c>
      <c r="BI70" s="123">
        <f>IF(AND(ISNUMBER(BG70),ISNUMBER(BH70),N(BH70)&gt;0),BG70/BH70,"")</f>
        <v/>
      </c>
      <c r="BJ70" s="120" t="inlineStr">
        <is>
          <t>N</t>
        </is>
      </c>
      <c r="BK70" s="120" t="inlineStr">
        <is>
          <t>List Price $45.99</t>
        </is>
      </c>
    </row>
    <row r="71" ht="62" customHeight="1">
      <c r="A71" s="45" t="inlineStr">
        <is>
          <t>COMING SOON</t>
        </is>
      </c>
      <c r="B71" s="105" t="inlineStr">
        <is>
          <t>RENESSY</t>
        </is>
      </c>
      <c r="C71" s="39" t="inlineStr">
        <is>
          <t>Silk Pillowcase</t>
        </is>
      </c>
      <c r="D71" s="105" t="inlineStr">
        <is>
          <t>Beatable</t>
        </is>
      </c>
      <c r="E71" s="106" t="inlineStr">
        <is>
          <t>Direct</t>
        </is>
      </c>
      <c r="F71" s="105" t="inlineStr">
        <is>
          <t>Silk</t>
        </is>
      </c>
      <c r="G71" s="39" t="inlineStr">
        <is>
          <t>Same product (pillowcase) in the same material family: Silk (title: Silk Pillowcase); ours: our listing: mulberry silk.</t>
        </is>
      </c>
      <c r="H71" s="107" t="inlineStr">
        <is>
          <t>B09G8P3X6L</t>
        </is>
      </c>
      <c r="I71" s="107" t="inlineStr">
        <is>
          <t>B09G8P3X6L</t>
        </is>
      </c>
      <c r="J71" s="105" t="n"/>
      <c r="K71" s="105" t="n"/>
      <c r="L71" s="108" t="n">
        <v>0</v>
      </c>
      <c r="M71" s="39" t="inlineStr"/>
      <c r="N71" s="109" t="n">
        <v>49.9</v>
      </c>
      <c r="O71" s="109" t="n"/>
      <c r="P71" s="110">
        <f>IF(AND(ISNUMBER(O71),ISNUMBER(N71),N(N71)&gt;0),O71/N71-1,"")</f>
        <v/>
      </c>
      <c r="Q71" s="111">
        <f>IF(P71="","No List Price",IF(P71&lt;=0,"At/below price",IF(P71&lt;=0.12,"&lt;=12% STR zone",IF(P71&lt;=0.25,"12-25%","&gt;25% over"))))</f>
        <v/>
      </c>
      <c r="R71" s="109" t="n">
        <v>49.95</v>
      </c>
      <c r="S71" s="112">
        <f>IF(AND(ISNUMBER(N71),ISNUMBER(R71),N(R71)&gt;0),N71/R71-1,"")</f>
        <v/>
      </c>
      <c r="T71" s="39" t="inlineStr">
        <is>
          <t>Size not stated - vs our Queen. Ours live: catalog price, 2026-10-13; 6 children</t>
        </is>
      </c>
      <c r="U71" s="108" t="n">
        <v>61645</v>
      </c>
      <c r="V71" s="108" t="n"/>
      <c r="W71" s="113">
        <f>IF(AND(ISNUMBER(N71),ISNUMBER(V71)),N71*V71*52/12,"")</f>
        <v/>
      </c>
      <c r="X71" s="114" t="n">
        <v>4.6</v>
      </c>
      <c r="Y71" s="108" t="n">
        <v>2510</v>
      </c>
      <c r="Z71" s="115" t="n">
        <v>46307</v>
      </c>
      <c r="AA71" s="115" t="n"/>
      <c r="AB71" s="105" t="n"/>
      <c r="AC71" s="105" t="n"/>
      <c r="AD71" s="108" t="n">
        <v>0</v>
      </c>
      <c r="AE71" s="108" t="n">
        <v>83</v>
      </c>
      <c r="AF71" s="116" t="n"/>
      <c r="AG71" s="116" t="n"/>
      <c r="AH71" s="39" t="inlineStr">
        <is>
          <t>blissy</t>
        </is>
      </c>
      <c r="AI71" s="116" t="n"/>
      <c r="AJ71" s="116" t="n"/>
      <c r="AK71" s="116" t="n"/>
      <c r="AL71" s="116" t="n"/>
      <c r="AM71" s="108" t="n">
        <v>71</v>
      </c>
      <c r="AN71" s="108" t="n">
        <v>59</v>
      </c>
      <c r="AO71" s="108" t="n">
        <v>0</v>
      </c>
      <c r="AP71" s="108" t="n">
        <v>12</v>
      </c>
      <c r="AQ71" s="108" t="n">
        <v>0</v>
      </c>
      <c r="AR71" s="108" t="n">
        <v>0</v>
      </c>
      <c r="AS71" s="117" t="n"/>
      <c r="AT71" s="112" t="n"/>
      <c r="AU71" s="118" t="inlineStr">
        <is>
          <t>unknown</t>
        </is>
      </c>
      <c r="AV71" s="125" t="n"/>
      <c r="AW71" s="124" t="n"/>
      <c r="AX71" s="124" t="n"/>
      <c r="AY71" s="125" t="n"/>
      <c r="AZ71" s="125" t="n"/>
      <c r="BA71" s="118" t="inlineStr">
        <is>
          <t>2026-10-13 23:46:32</t>
        </is>
      </c>
      <c r="BB71" s="120" t="inlineStr">
        <is>
          <t>Price cut only</t>
        </is>
      </c>
      <c r="BC71" s="120" t="inlineStr">
        <is>
          <t>11-20 to 12-01</t>
        </is>
      </c>
      <c r="BD71" s="121" t="n">
        <v>49.99</v>
      </c>
      <c r="BE71" s="121" t="n">
        <v>42.49</v>
      </c>
      <c r="BF71" s="110">
        <f>IF(AND(ISNUMBER(BD71),ISNUMBER(BE71),N(BD71)&gt;0),1-BE71/BD71,"")</f>
        <v/>
      </c>
      <c r="BG71" s="122" t="n">
        <v>67209</v>
      </c>
      <c r="BH71" s="122" t="n">
        <v>28082</v>
      </c>
      <c r="BI71" s="123">
        <f>IF(AND(ISNUMBER(BG71),ISNUMBER(BH71),N(BH71)&gt;0),BG71/BH71,"")</f>
        <v/>
      </c>
      <c r="BJ71" s="120" t="inlineStr">
        <is>
          <t>N</t>
        </is>
      </c>
      <c r="BK71" s="120" t="inlineStr">
        <is>
          <t>Lightning Deal 11-03 to 11-03; List Price $49.99</t>
        </is>
      </c>
    </row>
    <row r="72" ht="62" customHeight="1">
      <c r="A72" s="12">
        <f>_xlfn.IMAGE("https://m.media-amazon.com/images/I/71reso2eR9L._AC_SL1500_.jpg")</f>
        <v/>
      </c>
      <c r="B72" s="105" t="inlineStr">
        <is>
          <t>Brooklinen</t>
        </is>
      </c>
      <c r="C72" s="39" t="inlineStr">
        <is>
          <t>Silk Pillowcase</t>
        </is>
      </c>
      <c r="D72" s="105" t="inlineStr">
        <is>
          <t>Poor</t>
        </is>
      </c>
      <c r="E72" s="106" t="inlineStr">
        <is>
          <t>Direct</t>
        </is>
      </c>
      <c r="F72" s="105" t="inlineStr">
        <is>
          <t>Silk</t>
        </is>
      </c>
      <c r="G72" s="39" t="inlineStr">
        <is>
          <t>Same product (pillowcase) in the same material family: Silk (title: Silk Pillowcase); ours: our listing: mulberry silk.</t>
        </is>
      </c>
      <c r="H72" s="107" t="inlineStr">
        <is>
          <t>B0DVCCDL65</t>
        </is>
      </c>
      <c r="I72" s="107" t="inlineStr">
        <is>
          <t>B09NP72NNZ</t>
        </is>
      </c>
      <c r="J72" s="105" t="n"/>
      <c r="K72" s="105" t="n"/>
      <c r="L72" s="108" t="n"/>
      <c r="M72" s="39" t="inlineStr"/>
      <c r="N72" s="109" t="n">
        <v>74</v>
      </c>
      <c r="O72" s="109" t="n"/>
      <c r="P72" s="110">
        <f>IF(AND(ISNUMBER(O72),ISNUMBER(N72),N(N72)&gt;0),O72/N72-1,"")</f>
        <v/>
      </c>
      <c r="Q72" s="111">
        <f>IF(P72="","No List Price",IF(P72&lt;=0,"At/below price",IF(P72&lt;=0.12,"&lt;=12% STR zone",IF(P72&lt;=0.25,"12-25%","&gt;25% over"))))</f>
        <v/>
      </c>
      <c r="R72" s="109" t="n">
        <v>49.95</v>
      </c>
      <c r="S72" s="112">
        <f>IF(AND(ISNUMBER(N72),ISNUMBER(R72),N(R72)&gt;0),N72/R72-1,"")</f>
        <v/>
      </c>
      <c r="T72" s="39" t="inlineStr">
        <is>
          <t>Size not stated - vs our Queen. Ours live: catalog price, 2026-10-13; 6 children</t>
        </is>
      </c>
      <c r="U72" s="108" t="n">
        <v>350123</v>
      </c>
      <c r="V72" s="108" t="n">
        <v>5</v>
      </c>
      <c r="W72" s="113">
        <f>IF(AND(ISNUMBER(N72),ISNUMBER(V72)),N72*V72*52/12,"")</f>
        <v/>
      </c>
      <c r="X72" s="114" t="n">
        <v>4.4</v>
      </c>
      <c r="Y72" s="108" t="n">
        <v>147</v>
      </c>
      <c r="Z72" s="115" t="n">
        <v>46307</v>
      </c>
      <c r="AA72" s="115" t="n"/>
      <c r="AB72" s="105" t="n"/>
      <c r="AC72" s="105" t="n"/>
      <c r="AD72" s="108" t="n"/>
      <c r="AE72" s="108" t="n"/>
      <c r="AF72" s="116" t="n"/>
      <c r="AG72" s="116" t="n"/>
      <c r="AH72" s="39" t="n"/>
      <c r="AI72" s="116" t="n"/>
      <c r="AJ72" s="116" t="n"/>
      <c r="AK72" s="116" t="n"/>
      <c r="AL72" s="116" t="n"/>
      <c r="AM72" s="108" t="n"/>
      <c r="AN72" s="108" t="n"/>
      <c r="AO72" s="108" t="n"/>
      <c r="AP72" s="108" t="n"/>
      <c r="AQ72" s="108" t="n"/>
      <c r="AR72" s="108" t="n"/>
      <c r="AS72" s="117" t="n"/>
      <c r="AT72" s="112" t="n"/>
      <c r="AU72" s="118" t="inlineStr">
        <is>
          <t>N</t>
        </is>
      </c>
      <c r="AV72" s="118" t="inlineStr">
        <is>
          <t>none</t>
        </is>
      </c>
      <c r="AW72" s="124" t="n"/>
      <c r="AX72" s="119" t="n">
        <v>74</v>
      </c>
      <c r="AY72" s="118" t="inlineStr">
        <is>
          <t>none</t>
        </is>
      </c>
      <c r="AZ72" s="118" t="inlineStr">
        <is>
          <t>Y</t>
        </is>
      </c>
      <c r="BA72" s="118" t="inlineStr">
        <is>
          <t>2026-10-13 23:45:11</t>
        </is>
      </c>
      <c r="BB72" s="120" t="inlineStr">
        <is>
          <t>None</t>
        </is>
      </c>
      <c r="BC72" s="125" t="n"/>
      <c r="BD72" s="121" t="n">
        <v>69</v>
      </c>
      <c r="BE72" s="121" t="n">
        <v>69</v>
      </c>
      <c r="BF72" s="110">
        <f>IF(AND(ISNUMBER(BD72),ISNUMBER(BE72),N(BD72)&gt;0),1-BE72/BD72,"")</f>
        <v/>
      </c>
      <c r="BG72" s="122" t="n">
        <v>151763</v>
      </c>
      <c r="BH72" s="122" t="n">
        <v>105499</v>
      </c>
      <c r="BI72" s="123">
        <f>IF(AND(ISNUMBER(BG72),ISNUMBER(BH72),N(BH72)&gt;0),BG72/BH72,"")</f>
        <v/>
      </c>
      <c r="BJ72" s="120" t="inlineStr">
        <is>
          <t>N</t>
        </is>
      </c>
      <c r="BK72" s="120" t="inlineStr">
        <is>
          <t>List Price $69.00</t>
        </is>
      </c>
    </row>
    <row r="73" ht="62" customHeight="1">
      <c r="A73" s="12">
        <f>_xlfn.IMAGE("https://m.media-amazon.com/images/I/614vZw1DOtL._AC_SL1500_.jpg")</f>
        <v/>
      </c>
      <c r="B73" s="105" t="inlineStr">
        <is>
          <t>Gabire</t>
        </is>
      </c>
      <c r="C73" s="39" t="inlineStr">
        <is>
          <t>Silk Pillow Cases</t>
        </is>
      </c>
      <c r="D73" s="105" t="inlineStr">
        <is>
          <t>Untiered</t>
        </is>
      </c>
      <c r="E73" s="106" t="inlineStr">
        <is>
          <t>Direct</t>
        </is>
      </c>
      <c r="F73" s="105" t="inlineStr">
        <is>
          <t>Silk</t>
        </is>
      </c>
      <c r="G73" s="39" t="inlineStr">
        <is>
          <t>Same product (pillowcase) in the same material family: Silk (product page material: Silk); ours: our listing: mulberry silk.</t>
        </is>
      </c>
      <c r="H73" s="107" t="inlineStr">
        <is>
          <t>B0CKPNR7DW</t>
        </is>
      </c>
      <c r="I73" s="107" t="inlineStr">
        <is>
          <t>B0CKPKG71N</t>
        </is>
      </c>
      <c r="J73" s="105" t="inlineStr">
        <is>
          <t>Standard (20"×26")</t>
        </is>
      </c>
      <c r="K73" s="105" t="inlineStr">
        <is>
          <t>4. Black (2 Pack)</t>
        </is>
      </c>
      <c r="L73" s="108" t="n"/>
      <c r="M73" s="39" t="inlineStr"/>
      <c r="N73" s="109" t="n">
        <v>19.99</v>
      </c>
      <c r="O73" s="109" t="n"/>
      <c r="P73" s="110">
        <f>IF(AND(ISNUMBER(O73),ISNUMBER(N73),N(N73)&gt;0),O73/N73-1,"")</f>
        <v/>
      </c>
      <c r="Q73" s="111">
        <f>IF(P73="","No List Price",IF(P73&lt;=0,"At/below price",IF(P73&lt;=0.12,"&lt;=12% STR zone",IF(P73&lt;=0.25,"12-25%","&gt;25% over"))))</f>
        <v/>
      </c>
      <c r="R73" s="109" t="n">
        <v>50.20344827586207</v>
      </c>
      <c r="S73" s="112">
        <f>IF(AND(ISNUMBER(N73),ISNUMBER(R73),N(R73)&gt;0),N73/R73-1,"")</f>
        <v/>
      </c>
      <c r="T73" s="39" t="inlineStr">
        <is>
          <t>vs our blended price (market data, Mar 2026 - STALE)</t>
        </is>
      </c>
      <c r="U73" s="108" t="n">
        <v>357</v>
      </c>
      <c r="V73" s="108" t="n">
        <v>1732</v>
      </c>
      <c r="W73" s="113">
        <f>IF(AND(ISNUMBER(N73),ISNUMBER(V73)),N73*V73*52/12,"")</f>
        <v/>
      </c>
      <c r="X73" s="114" t="n">
        <v>4.6</v>
      </c>
      <c r="Y73" s="108" t="n">
        <v>3189</v>
      </c>
      <c r="Z73" s="115" t="n">
        <v>46307</v>
      </c>
      <c r="AA73" s="115" t="n"/>
      <c r="AB73" s="105" t="n"/>
      <c r="AC73" s="105" t="n"/>
      <c r="AD73" s="108" t="n"/>
      <c r="AE73" s="108" t="n"/>
      <c r="AF73" s="116" t="n"/>
      <c r="AG73" s="116" t="n"/>
      <c r="AH73" s="39" t="n"/>
      <c r="AI73" s="116" t="n"/>
      <c r="AJ73" s="116" t="n"/>
      <c r="AK73" s="116" t="n"/>
      <c r="AL73" s="116" t="n"/>
      <c r="AM73" s="108" t="n"/>
      <c r="AN73" s="108" t="n"/>
      <c r="AO73" s="108" t="n"/>
      <c r="AP73" s="108" t="n"/>
      <c r="AQ73" s="108" t="n"/>
      <c r="AR73" s="108" t="n"/>
      <c r="AS73" s="117" t="n"/>
      <c r="AT73" s="112" t="n"/>
      <c r="AU73" s="118" t="inlineStr">
        <is>
          <t>N</t>
        </is>
      </c>
      <c r="AV73" s="118" t="inlineStr">
        <is>
          <t>none</t>
        </is>
      </c>
      <c r="AW73" s="124" t="n"/>
      <c r="AX73" s="119" t="n">
        <v>19.99</v>
      </c>
      <c r="AY73" s="118" t="inlineStr">
        <is>
          <t>none</t>
        </is>
      </c>
      <c r="AZ73" s="118" t="inlineStr">
        <is>
          <t>Y</t>
        </is>
      </c>
      <c r="BA73" s="118" t="inlineStr">
        <is>
          <t>2026-10-13 23:45:36</t>
        </is>
      </c>
      <c r="BB73" s="120" t="inlineStr">
        <is>
          <t>Prime Exclusive Discount</t>
        </is>
      </c>
      <c r="BC73" s="120" t="inlineStr">
        <is>
          <t>11-20 to 12-01</t>
        </is>
      </c>
      <c r="BD73" s="121" t="n">
        <v>18.99</v>
      </c>
      <c r="BE73" s="121" t="n">
        <v>15.99</v>
      </c>
      <c r="BF73" s="110">
        <f>IF(AND(ISNUMBER(BD73),ISNUMBER(BE73),N(BD73)&gt;0),1-BE73/BD73,"")</f>
        <v/>
      </c>
      <c r="BG73" s="122" t="n">
        <v>2861</v>
      </c>
      <c r="BH73" s="122" t="n">
        <v>1987</v>
      </c>
      <c r="BI73" s="123">
        <f>IF(AND(ISNUMBER(BG73),ISNUMBER(BH73),N(BH73)&gt;0),BG73/BH73,"")</f>
        <v/>
      </c>
      <c r="BJ73" s="120" t="inlineStr">
        <is>
          <t>N</t>
        </is>
      </c>
      <c r="BK73" s="120" t="inlineStr">
        <is>
          <t>Buy Box RAISED in BFCM week (median $19.99 vs $18.99 before); List Price $29.99</t>
        </is>
      </c>
    </row>
    <row r="74" ht="62" customHeight="1">
      <c r="A74" s="12">
        <f>_xlfn.IMAGE("https://images-na.ssl-images-amazon.com/images/I/61OwDvEP02L.jpg")</f>
        <v/>
      </c>
      <c r="B74" s="105" t="inlineStr">
        <is>
          <t>INFIIXSO</t>
        </is>
      </c>
      <c r="C74" s="39" t="inlineStr">
        <is>
          <t>INFIIXSO Mulberry Silk Pillowcase for Hair and Skin, Silk Pillow Cases Standard Size with Hidden Zipper 20x26 Inches, Ultra Smooth and Soft Cooling Pillow Cases for Hot Sleepers(Light Grey, 1 Pack)</t>
        </is>
      </c>
      <c r="D74" s="105" t="inlineStr">
        <is>
          <t>Untiered</t>
        </is>
      </c>
      <c r="E74" s="106" t="inlineStr">
        <is>
          <t>Direct</t>
        </is>
      </c>
      <c r="F74" s="105" t="inlineStr">
        <is>
          <t>Silk</t>
        </is>
      </c>
      <c r="G74" s="39" t="inlineStr">
        <is>
          <t>Same product (pillowcase) in the same material family: Silk (title: INFIIXSO Mulberry Silk Pillowcase for Hair and Skin, Silk Pi); ours: our listing: mulberry silk.</t>
        </is>
      </c>
      <c r="H74" s="107" t="inlineStr">
        <is>
          <t>B0DK5G1ZJP</t>
        </is>
      </c>
      <c r="I74" s="107" t="inlineStr">
        <is>
          <t>B0CGLG8CDW</t>
        </is>
      </c>
      <c r="J74" s="105" t="inlineStr">
        <is>
          <t>Standard</t>
        </is>
      </c>
      <c r="K74" s="105" t="inlineStr">
        <is>
          <t>Light Grey</t>
        </is>
      </c>
      <c r="L74" s="108" t="n">
        <v>187</v>
      </c>
      <c r="M74" s="39" t="inlineStr"/>
      <c r="N74" s="109" t="n">
        <v>7.99</v>
      </c>
      <c r="O74" s="109" t="n"/>
      <c r="P74" s="110">
        <f>IF(AND(ISNUMBER(O74),ISNUMBER(N74),N(N74)&gt;0),O74/N74-1,"")</f>
        <v/>
      </c>
      <c r="Q74" s="111">
        <f>IF(P74="","No List Price",IF(P74&lt;=0,"At/below price",IF(P74&lt;=0.12,"&lt;=12% STR zone",IF(P74&lt;=0.25,"12-25%","&gt;25% over"))))</f>
        <v/>
      </c>
      <c r="R74" s="109" t="n">
        <v>44.95</v>
      </c>
      <c r="S74" s="112">
        <f>IF(AND(ISNUMBER(N74),ISNUMBER(R74),N(R74)&gt;0),N74/R74-1,"")</f>
        <v/>
      </c>
      <c r="T74" s="39" t="inlineStr">
        <is>
          <t>Same size (Standard). Ours live: catalog price, 2026-10-13; 6 children</t>
        </is>
      </c>
      <c r="U74" s="108" t="n">
        <v>429</v>
      </c>
      <c r="V74" s="108" t="n">
        <v>1732</v>
      </c>
      <c r="W74" s="113">
        <f>IF(AND(ISNUMBER(N74),ISNUMBER(V74)),N74*V74*52/12,"")</f>
        <v/>
      </c>
      <c r="X74" s="114" t="n">
        <v>4.5</v>
      </c>
      <c r="Y74" s="108" t="n">
        <v>6271</v>
      </c>
      <c r="Z74" s="115" t="n">
        <v>46307</v>
      </c>
      <c r="AA74" s="115" t="n">
        <v>45163</v>
      </c>
      <c r="AB74" s="105" t="inlineStr">
        <is>
          <t>FBA</t>
        </is>
      </c>
      <c r="AC74" s="105" t="inlineStr">
        <is>
          <t>CN</t>
        </is>
      </c>
      <c r="AD74" s="108" t="n"/>
      <c r="AE74" s="108" t="n"/>
      <c r="AF74" s="116" t="n"/>
      <c r="AG74" s="116" t="n"/>
      <c r="AH74" s="39" t="n"/>
      <c r="AI74" s="116" t="n"/>
      <c r="AJ74" s="116" t="n"/>
      <c r="AK74" s="116" t="n"/>
      <c r="AL74" s="116" t="n"/>
      <c r="AM74" s="108" t="n"/>
      <c r="AN74" s="108" t="n"/>
      <c r="AO74" s="108" t="n"/>
      <c r="AP74" s="108" t="n"/>
      <c r="AQ74" s="108" t="n"/>
      <c r="AR74" s="108" t="n"/>
      <c r="AS74" s="117" t="n"/>
      <c r="AT74" s="112" t="n"/>
      <c r="AU74" s="118" t="inlineStr">
        <is>
          <t>Y</t>
        </is>
      </c>
      <c r="AV74" s="118" t="inlineStr">
        <is>
          <t>List Price</t>
        </is>
      </c>
      <c r="AW74" s="119" t="n">
        <v>9.789999999999999</v>
      </c>
      <c r="AX74" s="119" t="n">
        <v>7.99</v>
      </c>
      <c r="AY74" s="118" t="inlineStr">
        <is>
          <t>none</t>
        </is>
      </c>
      <c r="AZ74" s="118" t="inlineStr">
        <is>
          <t>Y</t>
        </is>
      </c>
      <c r="BA74" s="118" t="inlineStr">
        <is>
          <t>2026-10-13 23:45:42</t>
        </is>
      </c>
      <c r="BB74" s="120" t="inlineStr">
        <is>
          <t>Price cut only</t>
        </is>
      </c>
      <c r="BC74" s="120" t="inlineStr">
        <is>
          <t>11-20 to 12-01</t>
        </is>
      </c>
      <c r="BD74" s="121" t="n">
        <v>7.99</v>
      </c>
      <c r="BE74" s="121" t="n">
        <v>5.59</v>
      </c>
      <c r="BF74" s="110">
        <f>IF(AND(ISNUMBER(BD74),ISNUMBER(BE74),N(BD74)&gt;0),1-BE74/BD74,"")</f>
        <v/>
      </c>
      <c r="BG74" s="122" t="n">
        <v>1538</v>
      </c>
      <c r="BH74" s="122" t="n">
        <v>516</v>
      </c>
      <c r="BI74" s="123">
        <f>IF(AND(ISNUMBER(BG74),ISNUMBER(BH74),N(BH74)&gt;0),BG74/BH74,"")</f>
        <v/>
      </c>
      <c r="BJ74" s="120" t="inlineStr">
        <is>
          <t>N</t>
        </is>
      </c>
      <c r="BK74" s="120" t="inlineStr">
        <is>
          <t>Prime Exclusive 11-01 to 12-05; Lightning Deal 11-03 to 11-10; Prime Exclusive already running before BFCM week; List Price $9.79</t>
        </is>
      </c>
    </row>
    <row r="75" ht="62" customHeight="1">
      <c r="A75" s="12">
        <f>_xlfn.IMAGE("https://m.media-amazon.com/images/I/71ycMPIP54L._AC_SL1500_.jpg")</f>
        <v/>
      </c>
      <c r="B75" s="105" t="inlineStr">
        <is>
          <t>DKBslik</t>
        </is>
      </c>
      <c r="C75" s="39" t="inlineStr">
        <is>
          <t>Silk Pillowcase</t>
        </is>
      </c>
      <c r="D75" s="105" t="inlineStr">
        <is>
          <t>Untiered</t>
        </is>
      </c>
      <c r="E75" s="106" t="inlineStr">
        <is>
          <t>Direct</t>
        </is>
      </c>
      <c r="F75" s="105" t="inlineStr">
        <is>
          <t>Silk</t>
        </is>
      </c>
      <c r="G75" s="39" t="inlineStr">
        <is>
          <t>Same product (pillowcase) in the same material family: Silk (product page material: Silk); ours: our listing: mulberry silk.</t>
        </is>
      </c>
      <c r="H75" s="107" t="inlineStr">
        <is>
          <t>B0B5WGXZTH</t>
        </is>
      </c>
      <c r="I75" s="107" t="inlineStr">
        <is>
          <t>B0B8DXN3K2</t>
        </is>
      </c>
      <c r="J75" s="105" t="inlineStr">
        <is>
          <t>Standard - 20×26 Inch</t>
        </is>
      </c>
      <c r="K75" s="105" t="inlineStr">
        <is>
          <t>Ash Blue-1pc</t>
        </is>
      </c>
      <c r="L75" s="108" t="n"/>
      <c r="M75" s="39" t="inlineStr"/>
      <c r="N75" s="109" t="n">
        <v>7.34</v>
      </c>
      <c r="O75" s="109" t="n"/>
      <c r="P75" s="110">
        <f>IF(AND(ISNUMBER(O75),ISNUMBER(N75),N(N75)&gt;0),O75/N75-1,"")</f>
        <v/>
      </c>
      <c r="Q75" s="111">
        <f>IF(P75="","No List Price",IF(P75&lt;=0,"At/below price",IF(P75&lt;=0.12,"&lt;=12% STR zone",IF(P75&lt;=0.25,"12-25%","&gt;25% over"))))</f>
        <v/>
      </c>
      <c r="R75" s="109" t="n">
        <v>50.20344827586207</v>
      </c>
      <c r="S75" s="112">
        <f>IF(AND(ISNUMBER(N75),ISNUMBER(R75),N(R75)&gt;0),N75/R75-1,"")</f>
        <v/>
      </c>
      <c r="T75" s="39" t="inlineStr">
        <is>
          <t>vs our blended price (market data, Mar 2026 - STALE)</t>
        </is>
      </c>
      <c r="U75" s="108" t="n">
        <v>198</v>
      </c>
      <c r="V75" s="108" t="n">
        <v>1040</v>
      </c>
      <c r="W75" s="113">
        <f>IF(AND(ISNUMBER(N75),ISNUMBER(V75)),N75*V75*52/12,"")</f>
        <v/>
      </c>
      <c r="X75" s="114" t="n">
        <v>4.5</v>
      </c>
      <c r="Y75" s="108" t="n">
        <v>21803</v>
      </c>
      <c r="Z75" s="115" t="n">
        <v>46307</v>
      </c>
      <c r="AA75" s="115" t="n"/>
      <c r="AB75" s="105" t="n"/>
      <c r="AC75" s="105" t="n"/>
      <c r="AD75" s="108" t="n"/>
      <c r="AE75" s="108" t="n"/>
      <c r="AF75" s="116" t="n"/>
      <c r="AG75" s="116" t="n"/>
      <c r="AH75" s="39" t="n"/>
      <c r="AI75" s="116" t="n"/>
      <c r="AJ75" s="116" t="n"/>
      <c r="AK75" s="116" t="n"/>
      <c r="AL75" s="116" t="n"/>
      <c r="AM75" s="108" t="n"/>
      <c r="AN75" s="108" t="n"/>
      <c r="AO75" s="108" t="n"/>
      <c r="AP75" s="108" t="n"/>
      <c r="AQ75" s="108" t="n"/>
      <c r="AR75" s="108" t="n"/>
      <c r="AS75" s="117" t="n"/>
      <c r="AT75" s="112" t="n"/>
      <c r="AU75" s="118" t="inlineStr">
        <is>
          <t>N</t>
        </is>
      </c>
      <c r="AV75" s="118" t="inlineStr">
        <is>
          <t>none</t>
        </is>
      </c>
      <c r="AW75" s="124" t="n"/>
      <c r="AX75" s="119" t="n">
        <v>11.95</v>
      </c>
      <c r="AY75" s="118" t="inlineStr">
        <is>
          <t>none</t>
        </is>
      </c>
      <c r="AZ75" s="118" t="inlineStr">
        <is>
          <t>Y</t>
        </is>
      </c>
      <c r="BA75" s="118" t="inlineStr">
        <is>
          <t>2026-10-13 23:45:20</t>
        </is>
      </c>
      <c r="BB75" s="120" t="inlineStr">
        <is>
          <t>Prime Exclusive Discount</t>
        </is>
      </c>
      <c r="BC75" s="120" t="inlineStr">
        <is>
          <t>11-21 to 12-01</t>
        </is>
      </c>
      <c r="BD75" s="121" t="n">
        <v>8.359999999999999</v>
      </c>
      <c r="BE75" s="121" t="n">
        <v>7.89</v>
      </c>
      <c r="BF75" s="110">
        <f>IF(AND(ISNUMBER(BD75),ISNUMBER(BE75),N(BD75)&gt;0),1-BE75/BD75,"")</f>
        <v/>
      </c>
      <c r="BG75" s="122" t="n">
        <v>102</v>
      </c>
      <c r="BH75" s="122" t="n">
        <v>78</v>
      </c>
      <c r="BI75" s="123">
        <f>IF(AND(ISNUMBER(BG75),ISNUMBER(BH75),N(BH75)&gt;0),BG75/BH75,"")</f>
        <v/>
      </c>
      <c r="BJ75" s="120" t="inlineStr">
        <is>
          <t>N</t>
        </is>
      </c>
      <c r="BK75" s="120" t="inlineStr">
        <is>
          <t>Buy Box RAISED in BFCM week (median $11.95 vs $8.36 before); List Price $18.99</t>
        </is>
      </c>
    </row>
    <row r="76" ht="62" customHeight="1">
      <c r="A76" s="12">
        <f>_xlfn.IMAGE("https://images-na.ssl-images-amazon.com/images/I/61aMeMjNdnL.jpg")</f>
        <v/>
      </c>
      <c r="B76" s="105" t="inlineStr">
        <is>
          <t>Suatien</t>
        </is>
      </c>
      <c r="C76" s="39" t="inlineStr">
        <is>
          <t>Mulberry Silk Pillowcase for Hair and Skin Standard Size 20"X 26" Pillow Case with Hidden Zipper Soft Breathable Smooth Cooling Silk Pillow Covers for Sleeping (Haze Blue,Standard,1Pcs)</t>
        </is>
      </c>
      <c r="D76" s="105" t="inlineStr">
        <is>
          <t>Untiered</t>
        </is>
      </c>
      <c r="E76" s="106" t="inlineStr">
        <is>
          <t>Direct</t>
        </is>
      </c>
      <c r="F76" s="105" t="inlineStr">
        <is>
          <t>Silk</t>
        </is>
      </c>
      <c r="G76" s="39" t="inlineStr">
        <is>
          <t>Same product (pillowcase) in the same material family: Silk (title: Mulberry Silk Pillowcase for Hair and Skin Standard Size 20"); ours: our listing: mulberry silk.</t>
        </is>
      </c>
      <c r="H76" s="107" t="inlineStr">
        <is>
          <t>B09HZYQK2C</t>
        </is>
      </c>
      <c r="I76" s="107" t="inlineStr">
        <is>
          <t>B09BFQG17F</t>
        </is>
      </c>
      <c r="J76" s="105" t="inlineStr">
        <is>
          <t>Standard</t>
        </is>
      </c>
      <c r="K76" s="105" t="inlineStr">
        <is>
          <t>Haze Blue</t>
        </is>
      </c>
      <c r="L76" s="108" t="n">
        <v>143</v>
      </c>
      <c r="M76" s="39" t="inlineStr"/>
      <c r="N76" s="109" t="n">
        <v>11.99</v>
      </c>
      <c r="O76" s="109" t="n"/>
      <c r="P76" s="110">
        <f>IF(AND(ISNUMBER(O76),ISNUMBER(N76),N(N76)&gt;0),O76/N76-1,"")</f>
        <v/>
      </c>
      <c r="Q76" s="111">
        <f>IF(P76="","No List Price",IF(P76&lt;=0,"At/below price",IF(P76&lt;=0.12,"&lt;=12% STR zone",IF(P76&lt;=0.25,"12-25%","&gt;25% over"))))</f>
        <v/>
      </c>
      <c r="R76" s="109" t="n">
        <v>44.95</v>
      </c>
      <c r="S76" s="112">
        <f>IF(AND(ISNUMBER(N76),ISNUMBER(R76),N(R76)&gt;0),N76/R76-1,"")</f>
        <v/>
      </c>
      <c r="T76" s="39" t="inlineStr">
        <is>
          <t>Same size (Standard). Ours live: catalog price, 2026-10-13; 6 children</t>
        </is>
      </c>
      <c r="U76" s="108" t="n">
        <v>499</v>
      </c>
      <c r="V76" s="108" t="n">
        <v>924</v>
      </c>
      <c r="W76" s="113">
        <f>IF(AND(ISNUMBER(N76),ISNUMBER(V76)),N76*V76*52/12,"")</f>
        <v/>
      </c>
      <c r="X76" s="114" t="n">
        <v>4.5</v>
      </c>
      <c r="Y76" s="108" t="n">
        <v>41661</v>
      </c>
      <c r="Z76" s="115" t="n">
        <v>46307</v>
      </c>
      <c r="AA76" s="115" t="n">
        <v>44409</v>
      </c>
      <c r="AB76" s="105" t="inlineStr">
        <is>
          <t>FBA</t>
        </is>
      </c>
      <c r="AC76" s="105" t="inlineStr">
        <is>
          <t>CN</t>
        </is>
      </c>
      <c r="AD76" s="108" t="n"/>
      <c r="AE76" s="108" t="n"/>
      <c r="AF76" s="116" t="n"/>
      <c r="AG76" s="116" t="n"/>
      <c r="AH76" s="39" t="n"/>
      <c r="AI76" s="116" t="n"/>
      <c r="AJ76" s="116" t="n"/>
      <c r="AK76" s="116" t="n"/>
      <c r="AL76" s="116" t="n"/>
      <c r="AM76" s="108" t="n"/>
      <c r="AN76" s="108" t="n"/>
      <c r="AO76" s="108" t="n"/>
      <c r="AP76" s="108" t="n"/>
      <c r="AQ76" s="108" t="n"/>
      <c r="AR76" s="108" t="n"/>
      <c r="AS76" s="117" t="n"/>
      <c r="AT76" s="112" t="n"/>
      <c r="AU76" s="118" t="inlineStr">
        <is>
          <t>N</t>
        </is>
      </c>
      <c r="AV76" s="118" t="inlineStr">
        <is>
          <t>none</t>
        </is>
      </c>
      <c r="AW76" s="124" t="n"/>
      <c r="AX76" s="119" t="n">
        <v>11.99</v>
      </c>
      <c r="AY76" s="118" t="inlineStr">
        <is>
          <t>none</t>
        </is>
      </c>
      <c r="AZ76" s="118" t="inlineStr">
        <is>
          <t>Y</t>
        </is>
      </c>
      <c r="BA76" s="118" t="inlineStr">
        <is>
          <t>2026-10-13 23:46:57</t>
        </is>
      </c>
      <c r="BB76" s="120" t="inlineStr">
        <is>
          <t>Prime Exclusive Discount</t>
        </is>
      </c>
      <c r="BC76" s="120" t="inlineStr">
        <is>
          <t>11-20 to 12-01</t>
        </is>
      </c>
      <c r="BD76" s="121" t="n">
        <v>11.99</v>
      </c>
      <c r="BE76" s="121" t="n">
        <v>7.91</v>
      </c>
      <c r="BF76" s="110">
        <f>IF(AND(ISNUMBER(BD76),ISNUMBER(BE76),N(BD76)&gt;0),1-BE76/BD76,"")</f>
        <v/>
      </c>
      <c r="BG76" s="122" t="n">
        <v>69</v>
      </c>
      <c r="BH76" s="122" t="n">
        <v>169</v>
      </c>
      <c r="BI76" s="123">
        <f>IF(AND(ISNUMBER(BG76),ISNUMBER(BH76),N(BH76)&gt;0),BG76/BH76,"")</f>
        <v/>
      </c>
      <c r="BJ76" s="120" t="inlineStr">
        <is>
          <t>N</t>
        </is>
      </c>
      <c r="BK76" s="120" t="inlineStr">
        <is>
          <t>Lightning Deal 11-14 to 11-14; List Price $11.99</t>
        </is>
      </c>
    </row>
    <row r="77" ht="62" customHeight="1">
      <c r="A77" s="12">
        <f>_xlfn.IMAGE("https://m.media-amazon.com/images/I/61rn5-q-SpL._AC_SL1500_.jpg")</f>
        <v/>
      </c>
      <c r="B77" s="105" t="inlineStr">
        <is>
          <t>Casbrove</t>
        </is>
      </c>
      <c r="C77" s="39" t="inlineStr">
        <is>
          <t>Silk Pillowcase</t>
        </is>
      </c>
      <c r="D77" s="105" t="inlineStr">
        <is>
          <t>Untiered</t>
        </is>
      </c>
      <c r="E77" s="106" t="inlineStr">
        <is>
          <t>Direct</t>
        </is>
      </c>
      <c r="F77" s="105" t="inlineStr">
        <is>
          <t>Silk</t>
        </is>
      </c>
      <c r="G77" s="39" t="inlineStr">
        <is>
          <t>Same product (pillowcase) in the same material family: Silk (product page material: Mulberry Silk/100%); ours: our listing: mulberry silk.</t>
        </is>
      </c>
      <c r="H77" s="107" t="inlineStr">
        <is>
          <t>B09V4R7MMZ</t>
        </is>
      </c>
      <c r="I77" s="107" t="inlineStr">
        <is>
          <t>B0BXP2FQYZ</t>
        </is>
      </c>
      <c r="J77" s="105" t="inlineStr">
        <is>
          <t>Standard</t>
        </is>
      </c>
      <c r="K77" s="105" t="inlineStr">
        <is>
          <t>Green</t>
        </is>
      </c>
      <c r="L77" s="108" t="n"/>
      <c r="M77" s="39" t="inlineStr"/>
      <c r="N77" s="109" t="n">
        <v>9.99</v>
      </c>
      <c r="O77" s="109" t="n"/>
      <c r="P77" s="110">
        <f>IF(AND(ISNUMBER(O77),ISNUMBER(N77),N(N77)&gt;0),O77/N77-1,"")</f>
        <v/>
      </c>
      <c r="Q77" s="111">
        <f>IF(P77="","No List Price",IF(P77&lt;=0,"At/below price",IF(P77&lt;=0.12,"&lt;=12% STR zone",IF(P77&lt;=0.25,"12-25%","&gt;25% over"))))</f>
        <v/>
      </c>
      <c r="R77" s="109" t="n">
        <v>44.95</v>
      </c>
      <c r="S77" s="112">
        <f>IF(AND(ISNUMBER(N77),ISNUMBER(R77),N(R77)&gt;0),N77/R77-1,"")</f>
        <v/>
      </c>
      <c r="T77" s="39" t="inlineStr">
        <is>
          <t>Same size (Standard). Ours live: catalog price, 2026-10-13; 6 children</t>
        </is>
      </c>
      <c r="U77" s="108" t="n">
        <v>9597</v>
      </c>
      <c r="V77" s="108" t="n">
        <v>197</v>
      </c>
      <c r="W77" s="113">
        <f>IF(AND(ISNUMBER(N77),ISNUMBER(V77)),N77*V77*52/12,"")</f>
        <v/>
      </c>
      <c r="X77" s="114" t="n">
        <v>4.5</v>
      </c>
      <c r="Y77" s="108" t="n">
        <v>3879</v>
      </c>
      <c r="Z77" s="115" t="n">
        <v>46307</v>
      </c>
      <c r="AA77" s="115" t="n"/>
      <c r="AB77" s="105" t="n"/>
      <c r="AC77" s="105" t="n"/>
      <c r="AD77" s="108" t="n"/>
      <c r="AE77" s="108" t="n"/>
      <c r="AF77" s="116" t="n"/>
      <c r="AG77" s="116" t="n"/>
      <c r="AH77" s="39" t="n"/>
      <c r="AI77" s="116" t="n"/>
      <c r="AJ77" s="116" t="n"/>
      <c r="AK77" s="116" t="n"/>
      <c r="AL77" s="116" t="n"/>
      <c r="AM77" s="108" t="n"/>
      <c r="AN77" s="108" t="n"/>
      <c r="AO77" s="108" t="n"/>
      <c r="AP77" s="108" t="n"/>
      <c r="AQ77" s="108" t="n"/>
      <c r="AR77" s="108" t="n"/>
      <c r="AS77" s="117" t="n"/>
      <c r="AT77" s="112" t="n"/>
      <c r="AU77" s="118" t="inlineStr">
        <is>
          <t>N</t>
        </is>
      </c>
      <c r="AV77" s="118" t="inlineStr">
        <is>
          <t>none</t>
        </is>
      </c>
      <c r="AW77" s="124" t="n"/>
      <c r="AX77" s="119" t="n">
        <v>9.99</v>
      </c>
      <c r="AY77" s="118" t="inlineStr">
        <is>
          <t>none</t>
        </is>
      </c>
      <c r="AZ77" s="118" t="inlineStr">
        <is>
          <t>Y</t>
        </is>
      </c>
      <c r="BA77" s="118" t="inlineStr">
        <is>
          <t>2026-10-13 23:45:14</t>
        </is>
      </c>
      <c r="BB77" s="120" t="inlineStr">
        <is>
          <t>Coupon only</t>
        </is>
      </c>
      <c r="BC77" s="120" t="inlineStr">
        <is>
          <t>11-01 to 12-04</t>
        </is>
      </c>
      <c r="BD77" s="121" t="n">
        <v>9.99</v>
      </c>
      <c r="BE77" s="121" t="n">
        <v>7.21</v>
      </c>
      <c r="BF77" s="110">
        <f>IF(AND(ISNUMBER(BD77),ISNUMBER(BE77),N(BD77)&gt;0),1-BE77/BD77,"")</f>
        <v/>
      </c>
      <c r="BG77" s="122" t="n">
        <v>19604</v>
      </c>
      <c r="BH77" s="122" t="n">
        <v>13201</v>
      </c>
      <c r="BI77" s="123">
        <f>IF(AND(ISNUMBER(BG77),ISNUMBER(BH77),N(BH77)&gt;0),BG77/BH77,"")</f>
        <v/>
      </c>
      <c r="BJ77" s="120" t="inlineStr">
        <is>
          <t>N</t>
        </is>
      </c>
      <c r="BK77" s="120" t="inlineStr">
        <is>
          <t>Lightning Deal 11-05 to 11-15; Coupon 15%; List Price $9.99</t>
        </is>
      </c>
    </row>
    <row r="78" ht="62" customHeight="1">
      <c r="A78" s="12">
        <f>_xlfn.IMAGE("https://images-na.ssl-images-amazon.com/images/I/61dObyBs-kL.jpg")</f>
        <v/>
      </c>
      <c r="B78" s="105" t="inlineStr">
        <is>
          <t>Adubor</t>
        </is>
      </c>
      <c r="C78" s="39" t="inlineStr">
        <is>
          <t>Adubor 100% Silk Pillowcase - Mulberry Silk Pillow Cases, 22 Momme 6A Grade Fibers, Silk Pillow Case for Hair and Skin Health, with Hidden Zipper (Standard 20''×26'', Ivory White, 1PC)</t>
        </is>
      </c>
      <c r="D78" s="105" t="inlineStr">
        <is>
          <t>Untiered</t>
        </is>
      </c>
      <c r="E78" s="106" t="inlineStr">
        <is>
          <t>Direct</t>
        </is>
      </c>
      <c r="F78" s="105" t="inlineStr">
        <is>
          <t>Silk</t>
        </is>
      </c>
      <c r="G78" s="39" t="inlineStr">
        <is>
          <t>Same product (pillowcase) in the same material family: Silk (title: Adubor 100% Silk Pillowcase - Mulberry Silk Pillow Cases, 22); ours: our listing: mulberry silk.</t>
        </is>
      </c>
      <c r="H78" s="107" t="inlineStr">
        <is>
          <t>B07XD9468J</t>
        </is>
      </c>
      <c r="I78" s="107" t="inlineStr">
        <is>
          <t>B07VKRTKRM</t>
        </is>
      </c>
      <c r="J78" s="105" t="inlineStr">
        <is>
          <t>Standard</t>
        </is>
      </c>
      <c r="K78" s="105" t="inlineStr">
        <is>
          <t>Ivory White</t>
        </is>
      </c>
      <c r="L78" s="108" t="n">
        <v>65</v>
      </c>
      <c r="M78" s="39" t="inlineStr"/>
      <c r="N78" s="109" t="n">
        <v>19.99</v>
      </c>
      <c r="O78" s="109" t="n"/>
      <c r="P78" s="110">
        <f>IF(AND(ISNUMBER(O78),ISNUMBER(N78),N(N78)&gt;0),O78/N78-1,"")</f>
        <v/>
      </c>
      <c r="Q78" s="111">
        <f>IF(P78="","No List Price",IF(P78&lt;=0,"At/below price",IF(P78&lt;=0.12,"&lt;=12% STR zone",IF(P78&lt;=0.25,"12-25%","&gt;25% over"))))</f>
        <v/>
      </c>
      <c r="R78" s="109" t="n">
        <v>44.95</v>
      </c>
      <c r="S78" s="112">
        <f>IF(AND(ISNUMBER(N78),ISNUMBER(R78),N(R78)&gt;0),N78/R78-1,"")</f>
        <v/>
      </c>
      <c r="T78" s="39" t="inlineStr">
        <is>
          <t>Same size (Standard). Ours live: catalog price, 2026-10-13; 6 children</t>
        </is>
      </c>
      <c r="U78" s="108" t="n">
        <v>11494</v>
      </c>
      <c r="V78" s="108" t="n">
        <v>185</v>
      </c>
      <c r="W78" s="113">
        <f>IF(AND(ISNUMBER(N78),ISNUMBER(V78)),N78*V78*52/12,"")</f>
        <v/>
      </c>
      <c r="X78" s="114" t="n">
        <v>4.4</v>
      </c>
      <c r="Y78" s="108" t="n">
        <v>18955</v>
      </c>
      <c r="Z78" s="115" t="n">
        <v>46307</v>
      </c>
      <c r="AA78" s="115" t="n">
        <v>43670</v>
      </c>
      <c r="AB78" s="105" t="inlineStr">
        <is>
          <t>FBA</t>
        </is>
      </c>
      <c r="AC78" s="105" t="inlineStr">
        <is>
          <t>CN</t>
        </is>
      </c>
      <c r="AD78" s="108" t="n"/>
      <c r="AE78" s="108" t="n"/>
      <c r="AF78" s="116" t="n"/>
      <c r="AG78" s="116" t="n"/>
      <c r="AH78" s="39" t="n"/>
      <c r="AI78" s="116" t="n"/>
      <c r="AJ78" s="116" t="n"/>
      <c r="AK78" s="116" t="n"/>
      <c r="AL78" s="116" t="n"/>
      <c r="AM78" s="108" t="n"/>
      <c r="AN78" s="108" t="n"/>
      <c r="AO78" s="108" t="n"/>
      <c r="AP78" s="108" t="n"/>
      <c r="AQ78" s="108" t="n"/>
      <c r="AR78" s="108" t="n"/>
      <c r="AS78" s="117" t="n"/>
      <c r="AT78" s="112" t="n"/>
      <c r="AU78" s="118" t="inlineStr">
        <is>
          <t>N</t>
        </is>
      </c>
      <c r="AV78" s="118" t="inlineStr">
        <is>
          <t>none</t>
        </is>
      </c>
      <c r="AW78" s="124" t="n"/>
      <c r="AX78" s="119" t="n">
        <v>19.99</v>
      </c>
      <c r="AY78" s="118" t="inlineStr">
        <is>
          <t>none</t>
        </is>
      </c>
      <c r="AZ78" s="118" t="inlineStr">
        <is>
          <t>Y</t>
        </is>
      </c>
      <c r="BA78" s="118" t="inlineStr">
        <is>
          <t>2026-10-13 23:44:52</t>
        </is>
      </c>
      <c r="BB78" s="120" t="inlineStr">
        <is>
          <t>Price cut only</t>
        </is>
      </c>
      <c r="BC78" s="120" t="inlineStr">
        <is>
          <t>11-20 to 12-01</t>
        </is>
      </c>
      <c r="BD78" s="121" t="n">
        <v>16.99</v>
      </c>
      <c r="BE78" s="121" t="n">
        <v>15.19</v>
      </c>
      <c r="BF78" s="110">
        <f>IF(AND(ISNUMBER(BD78),ISNUMBER(BE78),N(BD78)&gt;0),1-BE78/BD78,"")</f>
        <v/>
      </c>
      <c r="BG78" s="122" t="n">
        <v>16136</v>
      </c>
      <c r="BH78" s="122" t="n">
        <v>7402</v>
      </c>
      <c r="BI78" s="123">
        <f>IF(AND(ISNUMBER(BG78),ISNUMBER(BH78),N(BH78)&gt;0),BG78/BH78,"")</f>
        <v/>
      </c>
      <c r="BJ78" s="120" t="inlineStr">
        <is>
          <t>N</t>
        </is>
      </c>
      <c r="BK78" s="120" t="inlineStr">
        <is>
          <t>List Price $21.99</t>
        </is>
      </c>
    </row>
    <row r="79" ht="62" customHeight="1">
      <c r="A79" s="12">
        <f>_xlfn.IMAGE("https://images-na.ssl-images-amazon.com/images/I/71B1EXVMIiL.jpg")</f>
        <v/>
      </c>
      <c r="B79" s="105" t="inlineStr">
        <is>
          <t>J JIMOO</t>
        </is>
      </c>
      <c r="C79" s="39" t="inlineStr">
        <is>
          <t>100% Mulberry Silk Pillowcase for Hair and Skin, 22 Momme Pure Natural Silk Pillow Case Both Sided with Zipper, Pillow Cover for Women Mom Men (Silver Grey, Standard 20''×26'', 1 Pack)</t>
        </is>
      </c>
      <c r="D79" s="105" t="inlineStr">
        <is>
          <t>Untiered</t>
        </is>
      </c>
      <c r="E79" s="106" t="inlineStr">
        <is>
          <t>Direct</t>
        </is>
      </c>
      <c r="F79" s="105" t="inlineStr">
        <is>
          <t>Silk</t>
        </is>
      </c>
      <c r="G79" s="39" t="inlineStr">
        <is>
          <t>Same product (pillowcase) in the same material family: Silk (title: 100% Mulberry Silk Pillowcase for Hair and Skin, 22 Momme Pu); ours: our listing: mulberry silk.</t>
        </is>
      </c>
      <c r="H79" s="107" t="inlineStr">
        <is>
          <t>B0DS1T8ZR7</t>
        </is>
      </c>
      <c r="I79" s="107" t="inlineStr">
        <is>
          <t>B07RGFS927</t>
        </is>
      </c>
      <c r="J79" s="105" t="inlineStr">
        <is>
          <t>Standard</t>
        </is>
      </c>
      <c r="K79" s="105" t="inlineStr">
        <is>
          <t>Silver Grey</t>
        </is>
      </c>
      <c r="L79" s="108" t="n">
        <v>43</v>
      </c>
      <c r="M79" s="39" t="inlineStr"/>
      <c r="N79" s="109" t="n">
        <v>25.99</v>
      </c>
      <c r="O79" s="109" t="n"/>
      <c r="P79" s="110">
        <f>IF(AND(ISNUMBER(O79),ISNUMBER(N79),N(N79)&gt;0),O79/N79-1,"")</f>
        <v/>
      </c>
      <c r="Q79" s="111">
        <f>IF(P79="","No List Price",IF(P79&lt;=0,"At/below price",IF(P79&lt;=0.12,"&lt;=12% STR zone",IF(P79&lt;=0.25,"12-25%","&gt;25% over"))))</f>
        <v/>
      </c>
      <c r="R79" s="109" t="n">
        <v>44.95</v>
      </c>
      <c r="S79" s="112">
        <f>IF(AND(ISNUMBER(N79),ISNUMBER(R79),N(R79)&gt;0),N79/R79-1,"")</f>
        <v/>
      </c>
      <c r="T79" s="39" t="inlineStr">
        <is>
          <t>Same size (Standard). Ours live: catalog price, 2026-10-13; 6 children</t>
        </is>
      </c>
      <c r="U79" s="108" t="n">
        <v>5604</v>
      </c>
      <c r="V79" s="108" t="n">
        <v>173</v>
      </c>
      <c r="W79" s="113">
        <f>IF(AND(ISNUMBER(N79),ISNUMBER(V79)),N79*V79*52/12,"")</f>
        <v/>
      </c>
      <c r="X79" s="114" t="n">
        <v>4.5</v>
      </c>
      <c r="Y79" s="108" t="n">
        <v>31715</v>
      </c>
      <c r="Z79" s="115" t="n">
        <v>46307</v>
      </c>
      <c r="AA79" s="115" t="n">
        <v>43589</v>
      </c>
      <c r="AB79" s="105" t="inlineStr">
        <is>
          <t>FBA</t>
        </is>
      </c>
      <c r="AC79" s="105" t="inlineStr">
        <is>
          <t>CN</t>
        </is>
      </c>
      <c r="AD79" s="108" t="n"/>
      <c r="AE79" s="108" t="n"/>
      <c r="AF79" s="116" t="n"/>
      <c r="AG79" s="116" t="n"/>
      <c r="AH79" s="39" t="n"/>
      <c r="AI79" s="116" t="n"/>
      <c r="AJ79" s="116" t="n"/>
      <c r="AK79" s="116" t="n"/>
      <c r="AL79" s="116" t="n"/>
      <c r="AM79" s="108" t="n"/>
      <c r="AN79" s="108" t="n"/>
      <c r="AO79" s="108" t="n"/>
      <c r="AP79" s="108" t="n"/>
      <c r="AQ79" s="108" t="n"/>
      <c r="AR79" s="108" t="n"/>
      <c r="AS79" s="117" t="n"/>
      <c r="AT79" s="112" t="n"/>
      <c r="AU79" s="118" t="inlineStr">
        <is>
          <t>N</t>
        </is>
      </c>
      <c r="AV79" s="118" t="inlineStr">
        <is>
          <t>none</t>
        </is>
      </c>
      <c r="AW79" s="124" t="n"/>
      <c r="AX79" s="119" t="n">
        <v>25.99</v>
      </c>
      <c r="AY79" s="118" t="inlineStr">
        <is>
          <t>none</t>
        </is>
      </c>
      <c r="AZ79" s="118" t="inlineStr">
        <is>
          <t>Y</t>
        </is>
      </c>
      <c r="BA79" s="118" t="inlineStr">
        <is>
          <t>2026-10-13 23:45:48</t>
        </is>
      </c>
      <c r="BB79" s="120" t="inlineStr">
        <is>
          <t>Price cut only</t>
        </is>
      </c>
      <c r="BC79" s="120" t="inlineStr">
        <is>
          <t>11-20 to 12-01</t>
        </is>
      </c>
      <c r="BD79" s="121" t="n">
        <v>25.99</v>
      </c>
      <c r="BE79" s="121" t="n">
        <v>23.44</v>
      </c>
      <c r="BF79" s="110">
        <f>IF(AND(ISNUMBER(BD79),ISNUMBER(BE79),N(BD79)&gt;0),1-BE79/BD79,"")</f>
        <v/>
      </c>
      <c r="BG79" s="122" t="n">
        <v>3674</v>
      </c>
      <c r="BH79" s="122" t="n">
        <v>1356</v>
      </c>
      <c r="BI79" s="123">
        <f>IF(AND(ISNUMBER(BG79),ISNUMBER(BH79),N(BH79)&gt;0),BG79/BH79,"")</f>
        <v/>
      </c>
      <c r="BJ79" s="120" t="inlineStr">
        <is>
          <t>N</t>
        </is>
      </c>
      <c r="BK79" s="120" t="inlineStr">
        <is>
          <t>Coupon 10%, 5% (11-01 to 12-05); List Price $39.99</t>
        </is>
      </c>
    </row>
    <row r="80" ht="62" customHeight="1">
      <c r="A80" s="12">
        <f>_xlfn.IMAGE("https://images-na.ssl-images-amazon.com/images/I/51jDXAKxi2L.jpg")</f>
        <v/>
      </c>
      <c r="B80" s="105" t="inlineStr">
        <is>
          <t>Ravmix</t>
        </is>
      </c>
      <c r="C80" s="39" t="inlineStr">
        <is>
          <t>Ravmix 100% Silk Pillow Cases with Zipper, 21 Momme Mulberry Silk Pillowcase for Hair Skin Health, Soft Smooth Breathable Cool Pillow Cover for Beauty Sleep(Standard 20"x26", Ivory White) 1PC</t>
        </is>
      </c>
      <c r="D80" s="105" t="inlineStr">
        <is>
          <t>Untiered</t>
        </is>
      </c>
      <c r="E80" s="106" t="inlineStr">
        <is>
          <t>Direct</t>
        </is>
      </c>
      <c r="F80" s="105" t="inlineStr">
        <is>
          <t>Silk</t>
        </is>
      </c>
      <c r="G80" s="39" t="inlineStr">
        <is>
          <t>Same product (pillowcase) in the same material family: Silk (title: Ravmix 100% Silk Pillow Cases with Zipper, 21 Momme Mulberry); ours: our listing: mulberry silk.</t>
        </is>
      </c>
      <c r="H80" s="107" t="inlineStr">
        <is>
          <t>B0H9S9ZNL2</t>
        </is>
      </c>
      <c r="I80" s="107" t="inlineStr">
        <is>
          <t>B07KJYP1VC</t>
        </is>
      </c>
      <c r="J80" s="105" t="inlineStr">
        <is>
          <t>Standard</t>
        </is>
      </c>
      <c r="K80" s="105" t="inlineStr">
        <is>
          <t>White</t>
        </is>
      </c>
      <c r="L80" s="108" t="n">
        <v>65</v>
      </c>
      <c r="M80" s="39" t="inlineStr"/>
      <c r="N80" s="109" t="n">
        <v>19.99</v>
      </c>
      <c r="O80" s="109" t="n"/>
      <c r="P80" s="110">
        <f>IF(AND(ISNUMBER(O80),ISNUMBER(N80),N(N80)&gt;0),O80/N80-1,"")</f>
        <v/>
      </c>
      <c r="Q80" s="111">
        <f>IF(P80="","No List Price",IF(P80&lt;=0,"At/below price",IF(P80&lt;=0.12,"&lt;=12% STR zone",IF(P80&lt;=0.25,"12-25%","&gt;25% over"))))</f>
        <v/>
      </c>
      <c r="R80" s="109" t="n">
        <v>44.95</v>
      </c>
      <c r="S80" s="112">
        <f>IF(AND(ISNUMBER(N80),ISNUMBER(R80),N(R80)&gt;0),N80/R80-1,"")</f>
        <v/>
      </c>
      <c r="T80" s="39" t="inlineStr">
        <is>
          <t>Same size (Standard). Ours live: catalog price, 2026-10-13; 6 children</t>
        </is>
      </c>
      <c r="U80" s="108" t="n">
        <v>17242</v>
      </c>
      <c r="V80" s="108" t="n">
        <v>104</v>
      </c>
      <c r="W80" s="113">
        <f>IF(AND(ISNUMBER(N80),ISNUMBER(V80)),N80*V80*52/12,"")</f>
        <v/>
      </c>
      <c r="X80" s="114" t="n">
        <v>4.5</v>
      </c>
      <c r="Y80" s="108" t="n">
        <v>33594</v>
      </c>
      <c r="Z80" s="115" t="n">
        <v>46307</v>
      </c>
      <c r="AA80" s="115" t="n">
        <v>43429</v>
      </c>
      <c r="AB80" s="105" t="inlineStr">
        <is>
          <t>FBA</t>
        </is>
      </c>
      <c r="AC80" s="105" t="inlineStr">
        <is>
          <t>CN</t>
        </is>
      </c>
      <c r="AD80" s="108" t="n"/>
      <c r="AE80" s="108" t="n"/>
      <c r="AF80" s="116" t="n"/>
      <c r="AG80" s="116" t="n"/>
      <c r="AH80" s="39" t="n"/>
      <c r="AI80" s="116" t="n"/>
      <c r="AJ80" s="116" t="n"/>
      <c r="AK80" s="116" t="n"/>
      <c r="AL80" s="116" t="n"/>
      <c r="AM80" s="108" t="n"/>
      <c r="AN80" s="108" t="n"/>
      <c r="AO80" s="108" t="n"/>
      <c r="AP80" s="108" t="n"/>
      <c r="AQ80" s="108" t="n"/>
      <c r="AR80" s="108" t="n"/>
      <c r="AS80" s="117" t="n"/>
      <c r="AT80" s="112" t="n"/>
      <c r="AU80" s="118" t="inlineStr">
        <is>
          <t>N</t>
        </is>
      </c>
      <c r="AV80" s="118" t="inlineStr">
        <is>
          <t>none</t>
        </is>
      </c>
      <c r="AW80" s="124" t="n"/>
      <c r="AX80" s="119" t="n">
        <v>19.99</v>
      </c>
      <c r="AY80" s="118" t="inlineStr">
        <is>
          <t>none</t>
        </is>
      </c>
      <c r="AZ80" s="118" t="inlineStr">
        <is>
          <t>Y</t>
        </is>
      </c>
      <c r="BA80" s="118" t="inlineStr">
        <is>
          <t>2026-10-13 23:46:39</t>
        </is>
      </c>
      <c r="BB80" s="120" t="inlineStr">
        <is>
          <t>Price cut only</t>
        </is>
      </c>
      <c r="BC80" s="120" t="inlineStr">
        <is>
          <t>11-20 to 12-01</t>
        </is>
      </c>
      <c r="BD80" s="121" t="n">
        <v>17.99</v>
      </c>
      <c r="BE80" s="121" t="n">
        <v>14.44</v>
      </c>
      <c r="BF80" s="110">
        <f>IF(AND(ISNUMBER(BD80),ISNUMBER(BE80),N(BD80)&gt;0),1-BE80/BD80,"")</f>
        <v/>
      </c>
      <c r="BG80" s="122" t="n">
        <v>13902</v>
      </c>
      <c r="BH80" s="122" t="n">
        <v>10260</v>
      </c>
      <c r="BI80" s="123">
        <f>IF(AND(ISNUMBER(BG80),ISNUMBER(BH80),N(BH80)&gt;0),BG80/BH80,"")</f>
        <v/>
      </c>
      <c r="BJ80" s="120" t="inlineStr">
        <is>
          <t>N</t>
        </is>
      </c>
      <c r="BK80" s="120" t="inlineStr">
        <is>
          <t>List Price $22.99</t>
        </is>
      </c>
    </row>
    <row r="81" ht="62" customHeight="1">
      <c r="A81" s="12">
        <f>_xlfn.IMAGE("https://m.media-amazon.com/images/I/61zgTYFkqeL._AC_SL1407_.jpg")</f>
        <v/>
      </c>
      <c r="B81" s="105" t="inlineStr">
        <is>
          <t>INSSL</t>
        </is>
      </c>
      <c r="C81" s="39" t="inlineStr">
        <is>
          <t>Silk Pillowcase</t>
        </is>
      </c>
      <c r="D81" s="105" t="inlineStr">
        <is>
          <t>Untiered</t>
        </is>
      </c>
      <c r="E81" s="106" t="inlineStr">
        <is>
          <t>Direct</t>
        </is>
      </c>
      <c r="F81" s="105" t="inlineStr">
        <is>
          <t>Silk</t>
        </is>
      </c>
      <c r="G81" s="39" t="inlineStr">
        <is>
          <t>Same product (pillowcase) in the same material family: Silk (product page material: Silk); ours: our listing: mulberry silk.</t>
        </is>
      </c>
      <c r="H81" s="107" t="inlineStr">
        <is>
          <t>B0BCGZVPCM</t>
        </is>
      </c>
      <c r="I81" s="107" t="inlineStr">
        <is>
          <t>B089SJQP45</t>
        </is>
      </c>
      <c r="J81" s="105" t="inlineStr">
        <is>
          <t>Standard</t>
        </is>
      </c>
      <c r="K81" s="105" t="inlineStr">
        <is>
          <t>Dark Purple</t>
        </is>
      </c>
      <c r="L81" s="108" t="n"/>
      <c r="M81" s="39" t="inlineStr"/>
      <c r="N81" s="109" t="n">
        <v>13.99</v>
      </c>
      <c r="O81" s="109" t="n"/>
      <c r="P81" s="110">
        <f>IF(AND(ISNUMBER(O81),ISNUMBER(N81),N(N81)&gt;0),O81/N81-1,"")</f>
        <v/>
      </c>
      <c r="Q81" s="111">
        <f>IF(P81="","No List Price",IF(P81&lt;=0,"At/below price",IF(P81&lt;=0.12,"&lt;=12% STR zone",IF(P81&lt;=0.25,"12-25%","&gt;25% over"))))</f>
        <v/>
      </c>
      <c r="R81" s="109" t="n">
        <v>44.95</v>
      </c>
      <c r="S81" s="112">
        <f>IF(AND(ISNUMBER(N81),ISNUMBER(R81),N(R81)&gt;0),N81/R81-1,"")</f>
        <v/>
      </c>
      <c r="T81" s="39" t="inlineStr">
        <is>
          <t>Same size (Standard). Ours live: catalog price, 2026-10-13; 6 children</t>
        </is>
      </c>
      <c r="U81" s="108" t="n">
        <v>14446</v>
      </c>
      <c r="V81" s="108" t="n">
        <v>92</v>
      </c>
      <c r="W81" s="113">
        <f>IF(AND(ISNUMBER(N81),ISNUMBER(V81)),N81*V81*52/12,"")</f>
        <v/>
      </c>
      <c r="X81" s="114" t="n">
        <v>4.5</v>
      </c>
      <c r="Y81" s="108" t="n">
        <v>11647</v>
      </c>
      <c r="Z81" s="115" t="n">
        <v>46307</v>
      </c>
      <c r="AA81" s="115" t="n"/>
      <c r="AB81" s="105" t="n"/>
      <c r="AC81" s="105" t="n"/>
      <c r="AD81" s="108" t="n"/>
      <c r="AE81" s="108" t="n"/>
      <c r="AF81" s="116" t="n"/>
      <c r="AG81" s="116" t="n"/>
      <c r="AH81" s="39" t="n"/>
      <c r="AI81" s="116" t="n"/>
      <c r="AJ81" s="116" t="n"/>
      <c r="AK81" s="116" t="n"/>
      <c r="AL81" s="116" t="n"/>
      <c r="AM81" s="108" t="n"/>
      <c r="AN81" s="108" t="n"/>
      <c r="AO81" s="108" t="n"/>
      <c r="AP81" s="108" t="n"/>
      <c r="AQ81" s="108" t="n"/>
      <c r="AR81" s="108" t="n"/>
      <c r="AS81" s="117" t="n"/>
      <c r="AT81" s="112" t="n"/>
      <c r="AU81" s="118" t="inlineStr">
        <is>
          <t>N</t>
        </is>
      </c>
      <c r="AV81" s="118" t="inlineStr">
        <is>
          <t>none</t>
        </is>
      </c>
      <c r="AW81" s="124" t="n"/>
      <c r="AX81" s="119" t="n">
        <v>13.99</v>
      </c>
      <c r="AY81" s="118" t="inlineStr">
        <is>
          <t>none</t>
        </is>
      </c>
      <c r="AZ81" s="118" t="inlineStr">
        <is>
          <t>Y</t>
        </is>
      </c>
      <c r="BA81" s="118" t="inlineStr">
        <is>
          <t>2026-10-13 23:45:45</t>
        </is>
      </c>
      <c r="BB81" s="120" t="inlineStr">
        <is>
          <t>Price cut only</t>
        </is>
      </c>
      <c r="BC81" s="120" t="inlineStr">
        <is>
          <t>11-20 to 12-01</t>
        </is>
      </c>
      <c r="BD81" s="121" t="n">
        <v>14.99</v>
      </c>
      <c r="BE81" s="121" t="n">
        <v>12.74</v>
      </c>
      <c r="BF81" s="110">
        <f>IF(AND(ISNUMBER(BD81),ISNUMBER(BE81),N(BD81)&gt;0),1-BE81/BD81,"")</f>
        <v/>
      </c>
      <c r="BG81" s="122" t="n">
        <v>12250</v>
      </c>
      <c r="BH81" s="122" t="n">
        <v>8105</v>
      </c>
      <c r="BI81" s="123">
        <f>IF(AND(ISNUMBER(BG81),ISNUMBER(BH81),N(BH81)&gt;0),BG81/BH81,"")</f>
        <v/>
      </c>
      <c r="BJ81" s="120" t="inlineStr">
        <is>
          <t>N</t>
        </is>
      </c>
      <c r="BK81" s="120" t="inlineStr">
        <is>
          <t>Lightning Deal 11-14 to 11-14; List Price $22.99</t>
        </is>
      </c>
    </row>
    <row r="82" ht="62" customHeight="1">
      <c r="A82" s="12">
        <f>_xlfn.IMAGE("https://m.media-amazon.com/images/I/61vNvMfDkpL._AC_SL1500_.jpg")</f>
        <v/>
      </c>
      <c r="B82" s="105" t="inlineStr">
        <is>
          <t>SIYUAN</t>
        </is>
      </c>
      <c r="C82" s="39" t="inlineStr">
        <is>
          <t>Silk Pillowcase</t>
        </is>
      </c>
      <c r="D82" s="105" t="inlineStr">
        <is>
          <t>Untiered</t>
        </is>
      </c>
      <c r="E82" s="106" t="inlineStr">
        <is>
          <t>Direct</t>
        </is>
      </c>
      <c r="F82" s="105" t="inlineStr">
        <is>
          <t>Silk</t>
        </is>
      </c>
      <c r="G82" s="39" t="inlineStr">
        <is>
          <t>Same product (pillowcase) in the same material family: Silk (product page material: Silk); ours: our listing: mulberry silk.</t>
        </is>
      </c>
      <c r="H82" s="107" t="inlineStr">
        <is>
          <t>B0C395RDGT</t>
        </is>
      </c>
      <c r="I82" s="107" t="inlineStr">
        <is>
          <t>B0BBC1GN6H</t>
        </is>
      </c>
      <c r="J82" s="105" t="inlineStr">
        <is>
          <t>Toddler</t>
        </is>
      </c>
      <c r="K82" s="105" t="inlineStr">
        <is>
          <t>Champagne</t>
        </is>
      </c>
      <c r="L82" s="108" t="n"/>
      <c r="M82" s="39" t="inlineStr"/>
      <c r="N82" s="109" t="n">
        <v>13.99</v>
      </c>
      <c r="O82" s="109" t="n"/>
      <c r="P82" s="110">
        <f>IF(AND(ISNUMBER(O82),ISNUMBER(N82),N(N82)&gt;0),O82/N82-1,"")</f>
        <v/>
      </c>
      <c r="Q82" s="111">
        <f>IF(P82="","No List Price",IF(P82&lt;=0,"At/below price",IF(P82&lt;=0.12,"&lt;=12% STR zone",IF(P82&lt;=0.25,"12-25%","&gt;25% over"))))</f>
        <v/>
      </c>
      <c r="R82" s="109" t="n">
        <v>50.20344827586207</v>
      </c>
      <c r="S82" s="112">
        <f>IF(AND(ISNUMBER(N82),ISNUMBER(R82),N(R82)&gt;0),N82/R82-1,"")</f>
        <v/>
      </c>
      <c r="T82" s="39" t="inlineStr">
        <is>
          <t>vs our blended price (market data, Mar 2026 - STALE)</t>
        </is>
      </c>
      <c r="U82" s="108" t="n">
        <v>3332</v>
      </c>
      <c r="V82" s="108" t="n">
        <v>81</v>
      </c>
      <c r="W82" s="113">
        <f>IF(AND(ISNUMBER(N82),ISNUMBER(V82)),N82*V82*52/12,"")</f>
        <v/>
      </c>
      <c r="X82" s="114" t="n">
        <v>4.5</v>
      </c>
      <c r="Y82" s="108" t="n">
        <v>9825</v>
      </c>
      <c r="Z82" s="115" t="n">
        <v>46307</v>
      </c>
      <c r="AA82" s="115" t="n"/>
      <c r="AB82" s="105" t="n"/>
      <c r="AC82" s="105" t="n"/>
      <c r="AD82" s="108" t="n"/>
      <c r="AE82" s="108" t="n"/>
      <c r="AF82" s="116" t="n"/>
      <c r="AG82" s="116" t="n"/>
      <c r="AH82" s="39" t="n"/>
      <c r="AI82" s="116" t="n"/>
      <c r="AJ82" s="116" t="n"/>
      <c r="AK82" s="116" t="n"/>
      <c r="AL82" s="116" t="n"/>
      <c r="AM82" s="108" t="n"/>
      <c r="AN82" s="108" t="n"/>
      <c r="AO82" s="108" t="n"/>
      <c r="AP82" s="108" t="n"/>
      <c r="AQ82" s="108" t="n"/>
      <c r="AR82" s="108" t="n"/>
      <c r="AS82" s="117" t="n"/>
      <c r="AT82" s="112" t="n"/>
      <c r="AU82" s="118" t="inlineStr">
        <is>
          <t>N</t>
        </is>
      </c>
      <c r="AV82" s="118" t="inlineStr">
        <is>
          <t>none</t>
        </is>
      </c>
      <c r="AW82" s="124" t="n"/>
      <c r="AX82" s="119" t="n">
        <v>13.99</v>
      </c>
      <c r="AY82" s="118" t="inlineStr">
        <is>
          <t>none</t>
        </is>
      </c>
      <c r="AZ82" s="118" t="inlineStr">
        <is>
          <t>Y</t>
        </is>
      </c>
      <c r="BA82" s="118" t="inlineStr">
        <is>
          <t>2026-10-13 23:46:48</t>
        </is>
      </c>
      <c r="BB82" s="120" t="inlineStr">
        <is>
          <t>None</t>
        </is>
      </c>
      <c r="BC82" s="125" t="n"/>
      <c r="BD82" s="121" t="n">
        <v>11.69</v>
      </c>
      <c r="BE82" s="121" t="n">
        <v>11.89</v>
      </c>
      <c r="BF82" s="110">
        <f>IF(AND(ISNUMBER(BD82),ISNUMBER(BE82),N(BD82)&gt;0),1-BE82/BD82,"")</f>
        <v/>
      </c>
      <c r="BG82" s="122" t="n">
        <v>4220</v>
      </c>
      <c r="BH82" s="122" t="n">
        <v>4760</v>
      </c>
      <c r="BI82" s="123">
        <f>IF(AND(ISNUMBER(BG82),ISNUMBER(BH82),N(BH82)&gt;0),BG82/BH82,"")</f>
        <v/>
      </c>
      <c r="BJ82" s="120" t="inlineStr">
        <is>
          <t>N</t>
        </is>
      </c>
      <c r="BK82" s="120" t="inlineStr">
        <is>
          <t>Buy Box RAISED in BFCM week (median $12.31 vs $11.69 before); List Price $13.99</t>
        </is>
      </c>
    </row>
    <row r="83" ht="62" customHeight="1">
      <c r="A83" s="12">
        <f>_xlfn.IMAGE("https://m.media-amazon.com/images/I/61TU5+iRNrL._AC_SL1500_.jpg")</f>
        <v/>
      </c>
      <c r="B83" s="105" t="inlineStr">
        <is>
          <t>WLOSJ</t>
        </is>
      </c>
      <c r="C83" s="39" t="inlineStr">
        <is>
          <t>Silk Pillow</t>
        </is>
      </c>
      <c r="D83" s="105" t="inlineStr">
        <is>
          <t>Untiered</t>
        </is>
      </c>
      <c r="E83" s="106" t="inlineStr">
        <is>
          <t>Direct</t>
        </is>
      </c>
      <c r="F83" s="105" t="inlineStr">
        <is>
          <t>Silk</t>
        </is>
      </c>
      <c r="G83" s="39" t="inlineStr">
        <is>
          <t>Same product (pillowcase) in the same material family: Silk (product page material: Silk); ours: our listing: mulberry silk.</t>
        </is>
      </c>
      <c r="H83" s="107" t="inlineStr">
        <is>
          <t>B0CZF5V1W7</t>
        </is>
      </c>
      <c r="I83" s="107" t="inlineStr">
        <is>
          <t>B09T6DV8BB</t>
        </is>
      </c>
      <c r="J83" s="105" t="inlineStr">
        <is>
          <t>Queen</t>
        </is>
      </c>
      <c r="K83" s="105" t="inlineStr">
        <is>
          <t>Gray</t>
        </is>
      </c>
      <c r="L83" s="108" t="n"/>
      <c r="M83" s="39" t="inlineStr"/>
      <c r="N83" s="109" t="n">
        <v>19.99</v>
      </c>
      <c r="O83" s="109" t="n"/>
      <c r="P83" s="110">
        <f>IF(AND(ISNUMBER(O83),ISNUMBER(N83),N(N83)&gt;0),O83/N83-1,"")</f>
        <v/>
      </c>
      <c r="Q83" s="111">
        <f>IF(P83="","No List Price",IF(P83&lt;=0,"At/below price",IF(P83&lt;=0.12,"&lt;=12% STR zone",IF(P83&lt;=0.25,"12-25%","&gt;25% over"))))</f>
        <v/>
      </c>
      <c r="R83" s="109" t="n">
        <v>49.95</v>
      </c>
      <c r="S83" s="112">
        <f>IF(AND(ISNUMBER(N83),ISNUMBER(R83),N(R83)&gt;0),N83/R83-1,"")</f>
        <v/>
      </c>
      <c r="T83" s="39" t="inlineStr">
        <is>
          <t>Same size (Queen). Ours live: catalog price, 2026-10-13; 6 children</t>
        </is>
      </c>
      <c r="U83" s="108" t="n">
        <v>19251</v>
      </c>
      <c r="V83" s="108" t="n">
        <v>81</v>
      </c>
      <c r="W83" s="113">
        <f>IF(AND(ISNUMBER(N83),ISNUMBER(V83)),N83*V83*52/12,"")</f>
        <v/>
      </c>
      <c r="X83" s="114" t="n">
        <v>4.2</v>
      </c>
      <c r="Y83" s="108" t="n">
        <v>1464</v>
      </c>
      <c r="Z83" s="115" t="n">
        <v>46307</v>
      </c>
      <c r="AA83" s="115" t="n"/>
      <c r="AB83" s="105" t="n"/>
      <c r="AC83" s="105" t="n"/>
      <c r="AD83" s="108" t="n"/>
      <c r="AE83" s="108" t="n"/>
      <c r="AF83" s="116" t="n"/>
      <c r="AG83" s="116" t="n"/>
      <c r="AH83" s="39" t="n"/>
      <c r="AI83" s="116" t="n"/>
      <c r="AJ83" s="116" t="n"/>
      <c r="AK83" s="116" t="n"/>
      <c r="AL83" s="116" t="n"/>
      <c r="AM83" s="108" t="n"/>
      <c r="AN83" s="108" t="n"/>
      <c r="AO83" s="108" t="n"/>
      <c r="AP83" s="108" t="n"/>
      <c r="AQ83" s="108" t="n"/>
      <c r="AR83" s="108" t="n"/>
      <c r="AS83" s="117" t="n"/>
      <c r="AT83" s="112" t="n"/>
      <c r="AU83" s="118" t="inlineStr">
        <is>
          <t>N</t>
        </is>
      </c>
      <c r="AV83" s="118" t="inlineStr">
        <is>
          <t>none</t>
        </is>
      </c>
      <c r="AW83" s="124" t="n"/>
      <c r="AX83" s="119" t="n">
        <v>19.99</v>
      </c>
      <c r="AY83" s="118" t="inlineStr">
        <is>
          <t>none</t>
        </is>
      </c>
      <c r="AZ83" s="118" t="inlineStr">
        <is>
          <t>Y</t>
        </is>
      </c>
      <c r="BA83" s="118" t="inlineStr">
        <is>
          <t>2026-10-13 23:47:07</t>
        </is>
      </c>
      <c r="BB83" s="120" t="inlineStr">
        <is>
          <t>Coupon only</t>
        </is>
      </c>
      <c r="BC83" s="120" t="inlineStr">
        <is>
          <t>11-01 to 11-22</t>
        </is>
      </c>
      <c r="BD83" s="121" t="n">
        <v>20.88</v>
      </c>
      <c r="BE83" s="121" t="n">
        <v>14.95</v>
      </c>
      <c r="BF83" s="110">
        <f>IF(AND(ISNUMBER(BD83),ISNUMBER(BE83),N(BD83)&gt;0),1-BE83/BD83,"")</f>
        <v/>
      </c>
      <c r="BG83" s="122" t="n">
        <v>32544</v>
      </c>
      <c r="BH83" s="122" t="n">
        <v>18137</v>
      </c>
      <c r="BI83" s="123">
        <f>IF(AND(ISNUMBER(BG83),ISNUMBER(BH83),N(BH83)&gt;0),BG83/BH83,"")</f>
        <v/>
      </c>
      <c r="BJ83" s="120" t="inlineStr">
        <is>
          <t>N</t>
        </is>
      </c>
      <c r="BK83" s="120" t="inlineStr">
        <is>
          <t>Coupon 20%; List Price $45.99</t>
        </is>
      </c>
    </row>
    <row r="84" ht="62" customHeight="1">
      <c r="A84" s="12">
        <f>_xlfn.IMAGE("https://m.media-amazon.com/images/I/61y1UOqmn9L._AC_SL1500_.jpg")</f>
        <v/>
      </c>
      <c r="B84" s="105" t="inlineStr">
        <is>
          <t>Kinself</t>
        </is>
      </c>
      <c r="C84" s="39" t="inlineStr">
        <is>
          <t>Silk Pillowcase</t>
        </is>
      </c>
      <c r="D84" s="105" t="inlineStr">
        <is>
          <t>Untiered</t>
        </is>
      </c>
      <c r="E84" s="106" t="inlineStr">
        <is>
          <t>Direct</t>
        </is>
      </c>
      <c r="F84" s="105" t="inlineStr">
        <is>
          <t>Silk</t>
        </is>
      </c>
      <c r="G84" s="39" t="inlineStr">
        <is>
          <t>Same product (pillowcase) in the same material family: Silk (product page material: Silk); ours: our listing: mulberry silk.</t>
        </is>
      </c>
      <c r="H84" s="107" t="inlineStr">
        <is>
          <t>B0CM16H4RY</t>
        </is>
      </c>
      <c r="I84" s="107" t="inlineStr">
        <is>
          <t>B0CKLCLQ62</t>
        </is>
      </c>
      <c r="J84" s="105" t="inlineStr">
        <is>
          <t>Standard</t>
        </is>
      </c>
      <c r="K84" s="105" t="inlineStr">
        <is>
          <t>Little Blue</t>
        </is>
      </c>
      <c r="L84" s="108" t="n"/>
      <c r="M84" s="39" t="inlineStr"/>
      <c r="N84" s="109" t="n">
        <v>20.99</v>
      </c>
      <c r="O84" s="109" t="n"/>
      <c r="P84" s="110">
        <f>IF(AND(ISNUMBER(O84),ISNUMBER(N84),N(N84)&gt;0),O84/N84-1,"")</f>
        <v/>
      </c>
      <c r="Q84" s="111">
        <f>IF(P84="","No List Price",IF(P84&lt;=0,"At/below price",IF(P84&lt;=0.12,"&lt;=12% STR zone",IF(P84&lt;=0.25,"12-25%","&gt;25% over"))))</f>
        <v/>
      </c>
      <c r="R84" s="109" t="n">
        <v>44.95</v>
      </c>
      <c r="S84" s="112">
        <f>IF(AND(ISNUMBER(N84),ISNUMBER(R84),N(R84)&gt;0),N84/R84-1,"")</f>
        <v/>
      </c>
      <c r="T84" s="39" t="inlineStr">
        <is>
          <t>Same size (Standard). Ours live: catalog price, 2026-10-13; 6 children</t>
        </is>
      </c>
      <c r="U84" s="108" t="n">
        <v>90616</v>
      </c>
      <c r="V84" s="108" t="n">
        <v>18</v>
      </c>
      <c r="W84" s="113">
        <f>IF(AND(ISNUMBER(N84),ISNUMBER(V84)),N84*V84*52/12,"")</f>
        <v/>
      </c>
      <c r="X84" s="114" t="n">
        <v>4.5</v>
      </c>
      <c r="Y84" s="108" t="n">
        <v>1457</v>
      </c>
      <c r="Z84" s="115" t="n">
        <v>46307</v>
      </c>
      <c r="AA84" s="115" t="n"/>
      <c r="AB84" s="105" t="n"/>
      <c r="AC84" s="105" t="n"/>
      <c r="AD84" s="108" t="n"/>
      <c r="AE84" s="108" t="n"/>
      <c r="AF84" s="116" t="n"/>
      <c r="AG84" s="116" t="n"/>
      <c r="AH84" s="39" t="n"/>
      <c r="AI84" s="116" t="n"/>
      <c r="AJ84" s="116" t="n"/>
      <c r="AK84" s="116" t="n"/>
      <c r="AL84" s="116" t="n"/>
      <c r="AM84" s="108" t="n"/>
      <c r="AN84" s="108" t="n"/>
      <c r="AO84" s="108" t="n"/>
      <c r="AP84" s="108" t="n"/>
      <c r="AQ84" s="108" t="n"/>
      <c r="AR84" s="108" t="n"/>
      <c r="AS84" s="117" t="n"/>
      <c r="AT84" s="112" t="n"/>
      <c r="AU84" s="118" t="inlineStr">
        <is>
          <t>N</t>
        </is>
      </c>
      <c r="AV84" s="118" t="inlineStr">
        <is>
          <t>none</t>
        </is>
      </c>
      <c r="AW84" s="124" t="n"/>
      <c r="AX84" s="119" t="n">
        <v>20.99</v>
      </c>
      <c r="AY84" s="118" t="inlineStr">
        <is>
          <t>none</t>
        </is>
      </c>
      <c r="AZ84" s="118" t="inlineStr">
        <is>
          <t>Y</t>
        </is>
      </c>
      <c r="BA84" s="118" t="inlineStr">
        <is>
          <t>2026-10-13 23:46:00</t>
        </is>
      </c>
      <c r="BB84" s="120" t="inlineStr">
        <is>
          <t>None</t>
        </is>
      </c>
      <c r="BC84" s="125" t="n"/>
      <c r="BD84" s="121" t="n">
        <v>18.99</v>
      </c>
      <c r="BE84" s="121" t="n">
        <v>18.99</v>
      </c>
      <c r="BF84" s="110">
        <f>IF(AND(ISNUMBER(BD84),ISNUMBER(BE84),N(BD84)&gt;0),1-BE84/BD84,"")</f>
        <v/>
      </c>
      <c r="BG84" s="122" t="n">
        <v>48719</v>
      </c>
      <c r="BH84" s="122" t="n">
        <v>56978</v>
      </c>
      <c r="BI84" s="123">
        <f>IF(AND(ISNUMBER(BG84),ISNUMBER(BH84),N(BH84)&gt;0),BG84/BH84,"")</f>
        <v/>
      </c>
      <c r="BJ84" s="120" t="inlineStr">
        <is>
          <t>N</t>
        </is>
      </c>
      <c r="BK84" s="120" t="inlineStr">
        <is>
          <t>List Price $34.99</t>
        </is>
      </c>
    </row>
    <row r="85" ht="62" customHeight="1">
      <c r="A85" s="12">
        <f>_xlfn.IMAGE("https://m.media-amazon.com/images/I/31G6cEPPybL._AC_.jpg")</f>
        <v/>
      </c>
      <c r="B85" s="105" t="inlineStr">
        <is>
          <t>Jocoku</t>
        </is>
      </c>
      <c r="C85" s="39" t="inlineStr">
        <is>
          <t>Silk Pillowcase</t>
        </is>
      </c>
      <c r="D85" s="105" t="inlineStr">
        <is>
          <t>Untiered</t>
        </is>
      </c>
      <c r="E85" s="106" t="inlineStr">
        <is>
          <t>Direct</t>
        </is>
      </c>
      <c r="F85" s="105" t="inlineStr">
        <is>
          <t>Silk</t>
        </is>
      </c>
      <c r="G85" s="39" t="inlineStr">
        <is>
          <t>Same product (pillowcase) in the same material family: Silk (product page material: Silk); ours: our listing: mulberry silk.</t>
        </is>
      </c>
      <c r="H85" s="107" t="inlineStr">
        <is>
          <t>B08BFG7CNK</t>
        </is>
      </c>
      <c r="I85" s="107" t="inlineStr">
        <is>
          <t>B07JLLJSK5</t>
        </is>
      </c>
      <c r="J85" s="105" t="inlineStr">
        <is>
          <t>Standard</t>
        </is>
      </c>
      <c r="K85" s="105" t="inlineStr">
        <is>
          <t>White</t>
        </is>
      </c>
      <c r="L85" s="108" t="n"/>
      <c r="M85" s="39" t="inlineStr"/>
      <c r="N85" s="109" t="n">
        <v>21.99</v>
      </c>
      <c r="O85" s="109" t="n"/>
      <c r="P85" s="110">
        <f>IF(AND(ISNUMBER(O85),ISNUMBER(N85),N(N85)&gt;0),O85/N85-1,"")</f>
        <v/>
      </c>
      <c r="Q85" s="111">
        <f>IF(P85="","No List Price",IF(P85&lt;=0,"At/below price",IF(P85&lt;=0.12,"&lt;=12% STR zone",IF(P85&lt;=0.25,"12-25%","&gt;25% over"))))</f>
        <v/>
      </c>
      <c r="R85" s="109" t="n">
        <v>44.95</v>
      </c>
      <c r="S85" s="112">
        <f>IF(AND(ISNUMBER(N85),ISNUMBER(R85),N(R85)&gt;0),N85/R85-1,"")</f>
        <v/>
      </c>
      <c r="T85" s="39" t="inlineStr">
        <is>
          <t>Same size (Standard). Ours live: catalog price, 2026-10-13; 6 children</t>
        </is>
      </c>
      <c r="U85" s="108" t="n">
        <v>83599</v>
      </c>
      <c r="V85" s="108" t="n">
        <v>5</v>
      </c>
      <c r="W85" s="113">
        <f>IF(AND(ISNUMBER(N85),ISNUMBER(V85)),N85*V85*52/12,"")</f>
        <v/>
      </c>
      <c r="X85" s="114" t="n">
        <v>4.4</v>
      </c>
      <c r="Y85" s="108" t="n">
        <v>14841</v>
      </c>
      <c r="Z85" s="115" t="n">
        <v>46307</v>
      </c>
      <c r="AA85" s="115" t="n"/>
      <c r="AB85" s="105" t="n"/>
      <c r="AC85" s="105" t="n"/>
      <c r="AD85" s="108" t="n"/>
      <c r="AE85" s="108" t="n"/>
      <c r="AF85" s="116" t="n"/>
      <c r="AG85" s="116" t="n"/>
      <c r="AH85" s="39" t="n"/>
      <c r="AI85" s="116" t="n"/>
      <c r="AJ85" s="116" t="n"/>
      <c r="AK85" s="116" t="n"/>
      <c r="AL85" s="116" t="n"/>
      <c r="AM85" s="108" t="n"/>
      <c r="AN85" s="108" t="n"/>
      <c r="AO85" s="108" t="n"/>
      <c r="AP85" s="108" t="n"/>
      <c r="AQ85" s="108" t="n"/>
      <c r="AR85" s="108" t="n"/>
      <c r="AS85" s="117" t="n"/>
      <c r="AT85" s="112" t="n"/>
      <c r="AU85" s="118" t="inlineStr">
        <is>
          <t>N</t>
        </is>
      </c>
      <c r="AV85" s="118" t="inlineStr">
        <is>
          <t>none</t>
        </is>
      </c>
      <c r="AW85" s="124" t="n"/>
      <c r="AX85" s="119" t="n">
        <v>21.99</v>
      </c>
      <c r="AY85" s="118" t="inlineStr">
        <is>
          <t>none</t>
        </is>
      </c>
      <c r="AZ85" s="118" t="inlineStr">
        <is>
          <t>Y</t>
        </is>
      </c>
      <c r="BA85" s="118" t="inlineStr">
        <is>
          <t>2026-10-13 23:45:57</t>
        </is>
      </c>
      <c r="BB85" s="120" t="inlineStr">
        <is>
          <t>None</t>
        </is>
      </c>
      <c r="BC85" s="125" t="n"/>
      <c r="BD85" s="121" t="n">
        <v>21.99</v>
      </c>
      <c r="BE85" s="121" t="n">
        <v>21.99</v>
      </c>
      <c r="BF85" s="110">
        <f>IF(AND(ISNUMBER(BD85),ISNUMBER(BE85),N(BD85)&gt;0),1-BE85/BD85,"")</f>
        <v/>
      </c>
      <c r="BG85" s="122" t="n">
        <v>44113</v>
      </c>
      <c r="BH85" s="122" t="n">
        <v>55874</v>
      </c>
      <c r="BI85" s="123">
        <f>IF(AND(ISNUMBER(BG85),ISNUMBER(BH85),N(BH85)&gt;0),BG85/BH85,"")</f>
        <v/>
      </c>
      <c r="BJ85" s="120" t="inlineStr">
        <is>
          <t>N</t>
        </is>
      </c>
      <c r="BK85" s="120" t="inlineStr">
        <is>
          <t>Coupon 15% (11-01 to 11-06); List Price $32.99</t>
        </is>
      </c>
    </row>
    <row r="86" ht="62" customHeight="1">
      <c r="A86" s="12">
        <f>_xlfn.IMAGE("https://m.media-amazon.com/images/I/51fFhUnFoiL._AC_SL1080_.jpg")</f>
        <v/>
      </c>
      <c r="B86" s="105" t="inlineStr">
        <is>
          <t>JOGJUE</t>
        </is>
      </c>
      <c r="C86" s="39" t="inlineStr">
        <is>
          <t>Silk Pillowcase</t>
        </is>
      </c>
      <c r="D86" s="105" t="inlineStr">
        <is>
          <t>Untiered</t>
        </is>
      </c>
      <c r="E86" s="106" t="inlineStr">
        <is>
          <t>Direct</t>
        </is>
      </c>
      <c r="F86" s="105" t="inlineStr">
        <is>
          <t>Silk</t>
        </is>
      </c>
      <c r="G86" s="39" t="inlineStr">
        <is>
          <t>Same product (pillowcase) in the same material family: Silk (product page material: Silk); ours: our listing: mulberry silk.</t>
        </is>
      </c>
      <c r="H86" s="107" t="inlineStr">
        <is>
          <t>B094NS7KFX</t>
        </is>
      </c>
      <c r="I86" s="107" t="inlineStr">
        <is>
          <t>B07S2XV3TG</t>
        </is>
      </c>
      <c r="J86" s="105" t="inlineStr">
        <is>
          <t>Standard</t>
        </is>
      </c>
      <c r="K86" s="105" t="inlineStr">
        <is>
          <t>Apricotgray</t>
        </is>
      </c>
      <c r="L86" s="108" t="n"/>
      <c r="M86" s="39" t="inlineStr"/>
      <c r="N86" s="109" t="n">
        <v>20.99</v>
      </c>
      <c r="O86" s="109" t="n"/>
      <c r="P86" s="110">
        <f>IF(AND(ISNUMBER(O86),ISNUMBER(N86),N(N86)&gt;0),O86/N86-1,"")</f>
        <v/>
      </c>
      <c r="Q86" s="111">
        <f>IF(P86="","No List Price",IF(P86&lt;=0,"At/below price",IF(P86&lt;=0.12,"&lt;=12% STR zone",IF(P86&lt;=0.25,"12-25%","&gt;25% over"))))</f>
        <v/>
      </c>
      <c r="R86" s="109" t="n">
        <v>44.95</v>
      </c>
      <c r="S86" s="112">
        <f>IF(AND(ISNUMBER(N86),ISNUMBER(R86),N(R86)&gt;0),N86/R86-1,"")</f>
        <v/>
      </c>
      <c r="T86" s="39" t="inlineStr">
        <is>
          <t>Same size (Standard). Ours live: catalog price, 2026-10-13; 6 children</t>
        </is>
      </c>
      <c r="U86" s="108" t="n">
        <v>135984</v>
      </c>
      <c r="V86" s="108" t="n">
        <v>5</v>
      </c>
      <c r="W86" s="113">
        <f>IF(AND(ISNUMBER(N86),ISNUMBER(V86)),N86*V86*52/12,"")</f>
        <v/>
      </c>
      <c r="X86" s="114" t="n">
        <v>4.4</v>
      </c>
      <c r="Y86" s="108" t="n">
        <v>8036</v>
      </c>
      <c r="Z86" s="115" t="n">
        <v>46307</v>
      </c>
      <c r="AA86" s="115" t="n"/>
      <c r="AB86" s="105" t="n"/>
      <c r="AC86" s="105" t="n"/>
      <c r="AD86" s="108" t="n"/>
      <c r="AE86" s="108" t="n"/>
      <c r="AF86" s="116" t="n"/>
      <c r="AG86" s="116" t="n"/>
      <c r="AH86" s="39" t="n"/>
      <c r="AI86" s="116" t="n"/>
      <c r="AJ86" s="116" t="n"/>
      <c r="AK86" s="116" t="n"/>
      <c r="AL86" s="116" t="n"/>
      <c r="AM86" s="108" t="n"/>
      <c r="AN86" s="108" t="n"/>
      <c r="AO86" s="108" t="n"/>
      <c r="AP86" s="108" t="n"/>
      <c r="AQ86" s="108" t="n"/>
      <c r="AR86" s="108" t="n"/>
      <c r="AS86" s="117" t="n"/>
      <c r="AT86" s="112" t="n"/>
      <c r="AU86" s="118" t="inlineStr">
        <is>
          <t>N</t>
        </is>
      </c>
      <c r="AV86" s="118" t="inlineStr">
        <is>
          <t>none</t>
        </is>
      </c>
      <c r="AW86" s="124" t="n"/>
      <c r="AX86" s="119" t="n">
        <v>20.99</v>
      </c>
      <c r="AY86" s="118" t="inlineStr">
        <is>
          <t>none</t>
        </is>
      </c>
      <c r="AZ86" s="118" t="inlineStr">
        <is>
          <t>Y</t>
        </is>
      </c>
      <c r="BA86" s="118" t="inlineStr">
        <is>
          <t>2026-10-13 23:45:51</t>
        </is>
      </c>
      <c r="BB86" s="120" t="inlineStr">
        <is>
          <t>None</t>
        </is>
      </c>
      <c r="BC86" s="125" t="n"/>
      <c r="BD86" s="121" t="n">
        <v>20.99</v>
      </c>
      <c r="BE86" s="121" t="n">
        <v>20.99</v>
      </c>
      <c r="BF86" s="110">
        <f>IF(AND(ISNUMBER(BD86),ISNUMBER(BE86),N(BD86)&gt;0),1-BE86/BD86,"")</f>
        <v/>
      </c>
      <c r="BG86" s="122" t="n">
        <v>71624</v>
      </c>
      <c r="BH86" s="122" t="n">
        <v>90692</v>
      </c>
      <c r="BI86" s="123">
        <f>IF(AND(ISNUMBER(BG86),ISNUMBER(BH86),N(BH86)&gt;0),BG86/BH86,"")</f>
        <v/>
      </c>
      <c r="BJ86" s="120" t="inlineStr">
        <is>
          <t>N</t>
        </is>
      </c>
      <c r="BK86" s="120" t="inlineStr">
        <is>
          <t>Coupon 15% (11-01 to 11-05); List Price $41.98</t>
        </is>
      </c>
    </row>
    <row r="87" ht="62" customHeight="1">
      <c r="A87" s="12">
        <f>_xlfn.IMAGE("https://m.media-amazon.com/images/I/61ODgg0HUBL._AC_SL1500_.jpg")</f>
        <v/>
      </c>
      <c r="B87" s="105" t="inlineStr">
        <is>
          <t>SGMSILK</t>
        </is>
      </c>
      <c r="C87" s="39" t="inlineStr">
        <is>
          <t>Silk Pillowcase</t>
        </is>
      </c>
      <c r="D87" s="105" t="inlineStr">
        <is>
          <t>Untiered</t>
        </is>
      </c>
      <c r="E87" s="106" t="inlineStr">
        <is>
          <t>Direct</t>
        </is>
      </c>
      <c r="F87" s="105" t="inlineStr">
        <is>
          <t>Silk</t>
        </is>
      </c>
      <c r="G87" s="39" t="inlineStr">
        <is>
          <t>Same product (pillowcase) in the same material family: Silk (product page material: Mulberry Silk, Organic Wood Pulp Fiber); ours: our listing: mulberry silk.</t>
        </is>
      </c>
      <c r="H87" s="107" t="inlineStr">
        <is>
          <t>B0CM9LCN75</t>
        </is>
      </c>
      <c r="I87" s="107" t="inlineStr">
        <is>
          <t>B0CM9N244T</t>
        </is>
      </c>
      <c r="J87" s="105" t="inlineStr">
        <is>
          <t>King 20"x36"</t>
        </is>
      </c>
      <c r="K87" s="105" t="inlineStr">
        <is>
          <t>Red</t>
        </is>
      </c>
      <c r="L87" s="108" t="n"/>
      <c r="M87" s="39" t="inlineStr"/>
      <c r="N87" s="109" t="n">
        <v>20.99</v>
      </c>
      <c r="O87" s="109" t="n"/>
      <c r="P87" s="110">
        <f>IF(AND(ISNUMBER(O87),ISNUMBER(N87),N(N87)&gt;0),O87/N87-1,"")</f>
        <v/>
      </c>
      <c r="Q87" s="111">
        <f>IF(P87="","No List Price",IF(P87&lt;=0,"At/below price",IF(P87&lt;=0.12,"&lt;=12% STR zone",IF(P87&lt;=0.25,"12-25%","&gt;25% over"))))</f>
        <v/>
      </c>
      <c r="R87" s="109" t="n">
        <v>54.95</v>
      </c>
      <c r="S87" s="112">
        <f>IF(AND(ISNUMBER(N87),ISNUMBER(R87),N(R87)&gt;0),N87/R87-1,"")</f>
        <v/>
      </c>
      <c r="T87" s="39" t="inlineStr">
        <is>
          <t>Same size (King). Ours live: catalog price, 2026-10-13; 5 children</t>
        </is>
      </c>
      <c r="U87" s="108" t="n">
        <v>726721</v>
      </c>
      <c r="V87" s="108" t="n">
        <v>5</v>
      </c>
      <c r="W87" s="113">
        <f>IF(AND(ISNUMBER(N87),ISNUMBER(V87)),N87*V87*52/12,"")</f>
        <v/>
      </c>
      <c r="X87" s="114" t="n">
        <v>4.5</v>
      </c>
      <c r="Y87" s="108" t="n">
        <v>673</v>
      </c>
      <c r="Z87" s="115" t="n">
        <v>46307</v>
      </c>
      <c r="AA87" s="115" t="n"/>
      <c r="AB87" s="105" t="n"/>
      <c r="AC87" s="105" t="n"/>
      <c r="AD87" s="108" t="n"/>
      <c r="AE87" s="108" t="n"/>
      <c r="AF87" s="116" t="n"/>
      <c r="AG87" s="116" t="n"/>
      <c r="AH87" s="39" t="n"/>
      <c r="AI87" s="116" t="n"/>
      <c r="AJ87" s="116" t="n"/>
      <c r="AK87" s="116" t="n"/>
      <c r="AL87" s="116" t="n"/>
      <c r="AM87" s="108" t="n"/>
      <c r="AN87" s="108" t="n"/>
      <c r="AO87" s="108" t="n"/>
      <c r="AP87" s="108" t="n"/>
      <c r="AQ87" s="108" t="n"/>
      <c r="AR87" s="108" t="n"/>
      <c r="AS87" s="117" t="n"/>
      <c r="AT87" s="112" t="n"/>
      <c r="AU87" s="118" t="inlineStr">
        <is>
          <t>N</t>
        </is>
      </c>
      <c r="AV87" s="118" t="inlineStr">
        <is>
          <t>none</t>
        </is>
      </c>
      <c r="AW87" s="124" t="n"/>
      <c r="AX87" s="124" t="n"/>
      <c r="AY87" s="118" t="inlineStr">
        <is>
          <t>none</t>
        </is>
      </c>
      <c r="AZ87" s="118" t="inlineStr">
        <is>
          <t>N</t>
        </is>
      </c>
      <c r="BA87" s="118" t="inlineStr">
        <is>
          <t>2026-10-13 23:46:45</t>
        </is>
      </c>
      <c r="BB87" s="120" t="inlineStr">
        <is>
          <t>Coupon only</t>
        </is>
      </c>
      <c r="BC87" s="120" t="inlineStr">
        <is>
          <t>11-01 to 11-25</t>
        </is>
      </c>
      <c r="BD87" s="121" t="n">
        <v>22.98</v>
      </c>
      <c r="BE87" s="121" t="n">
        <v>18.38</v>
      </c>
      <c r="BF87" s="110">
        <f>IF(AND(ISNUMBER(BD87),ISNUMBER(BE87),N(BD87)&gt;0),1-BE87/BD87,"")</f>
        <v/>
      </c>
      <c r="BG87" s="122" t="n">
        <v>107397</v>
      </c>
      <c r="BH87" s="122" t="n">
        <v>57077</v>
      </c>
      <c r="BI87" s="123">
        <f>IF(AND(ISNUMBER(BG87),ISNUMBER(BH87),N(BH87)&gt;0),BG87/BH87,"")</f>
        <v/>
      </c>
      <c r="BJ87" s="120" t="inlineStr">
        <is>
          <t>N</t>
        </is>
      </c>
      <c r="BK87" s="120" t="inlineStr">
        <is>
          <t>Lightning Deal 11-07 to 11-07; Coupon 20%; List Price $25.99</t>
        </is>
      </c>
    </row>
    <row r="88" ht="62" customHeight="1">
      <c r="A88" s="12">
        <f>_xlfn.IMAGE("https://m.media-amazon.com/images/I/71oeYErDjFL._AC_SL1200_.jpg")</f>
        <v/>
      </c>
      <c r="B88" s="105" t="inlineStr">
        <is>
          <t>Slpbaby</t>
        </is>
      </c>
      <c r="C88" s="39" t="inlineStr">
        <is>
          <t>Silk Pillowcase</t>
        </is>
      </c>
      <c r="D88" s="105" t="inlineStr">
        <is>
          <t>Untiered</t>
        </is>
      </c>
      <c r="E88" s="106" t="inlineStr">
        <is>
          <t>Direct</t>
        </is>
      </c>
      <c r="F88" s="105" t="inlineStr">
        <is>
          <t>Silk</t>
        </is>
      </c>
      <c r="G88" s="39" t="inlineStr">
        <is>
          <t>Same product (pillowcase) in the same material family: Silk (product page material: Silk); ours: our listing: mulberry silk.</t>
        </is>
      </c>
      <c r="H88" s="107" t="inlineStr">
        <is>
          <t>B075CNDRFJ</t>
        </is>
      </c>
      <c r="I88" s="107" t="inlineStr">
        <is>
          <t>B07TV3NVNX</t>
        </is>
      </c>
      <c r="J88" s="105" t="inlineStr">
        <is>
          <t>Standard</t>
        </is>
      </c>
      <c r="K88" s="105" t="inlineStr">
        <is>
          <t>Pattern26</t>
        </is>
      </c>
      <c r="L88" s="108" t="n"/>
      <c r="M88" s="39" t="inlineStr"/>
      <c r="N88" s="109" t="n">
        <v>22.99</v>
      </c>
      <c r="O88" s="109" t="n"/>
      <c r="P88" s="110">
        <f>IF(AND(ISNUMBER(O88),ISNUMBER(N88),N(N88)&gt;0),O88/N88-1,"")</f>
        <v/>
      </c>
      <c r="Q88" s="111">
        <f>IF(P88="","No List Price",IF(P88&lt;=0,"At/below price",IF(P88&lt;=0.12,"&lt;=12% STR zone",IF(P88&lt;=0.25,"12-25%","&gt;25% over"))))</f>
        <v/>
      </c>
      <c r="R88" s="109" t="n">
        <v>44.95</v>
      </c>
      <c r="S88" s="112">
        <f>IF(AND(ISNUMBER(N88),ISNUMBER(R88),N(R88)&gt;0),N88/R88-1,"")</f>
        <v/>
      </c>
      <c r="T88" s="39" t="inlineStr">
        <is>
          <t>Same size (Standard). Ours live: catalog price, 2026-10-13; 6 children</t>
        </is>
      </c>
      <c r="U88" s="108" t="n">
        <v>48946</v>
      </c>
      <c r="V88" s="108" t="n">
        <v>5</v>
      </c>
      <c r="W88" s="113">
        <f>IF(AND(ISNUMBER(N88),ISNUMBER(V88)),N88*V88*52/12,"")</f>
        <v/>
      </c>
      <c r="X88" s="114" t="n">
        <v>4.7</v>
      </c>
      <c r="Y88" s="108" t="n">
        <v>21427</v>
      </c>
      <c r="Z88" s="115" t="n">
        <v>46307</v>
      </c>
      <c r="AA88" s="115" t="n"/>
      <c r="AB88" s="105" t="n"/>
      <c r="AC88" s="105" t="n"/>
      <c r="AD88" s="108" t="n"/>
      <c r="AE88" s="108" t="n"/>
      <c r="AF88" s="116" t="n"/>
      <c r="AG88" s="116" t="n"/>
      <c r="AH88" s="39" t="n"/>
      <c r="AI88" s="116" t="n"/>
      <c r="AJ88" s="116" t="n"/>
      <c r="AK88" s="116" t="n"/>
      <c r="AL88" s="116" t="n"/>
      <c r="AM88" s="108" t="n"/>
      <c r="AN88" s="108" t="n"/>
      <c r="AO88" s="108" t="n"/>
      <c r="AP88" s="108" t="n"/>
      <c r="AQ88" s="108" t="n"/>
      <c r="AR88" s="108" t="n"/>
      <c r="AS88" s="117" t="n"/>
      <c r="AT88" s="112" t="n"/>
      <c r="AU88" s="118" t="inlineStr">
        <is>
          <t>N</t>
        </is>
      </c>
      <c r="AV88" s="118" t="inlineStr">
        <is>
          <t>none</t>
        </is>
      </c>
      <c r="AW88" s="124" t="n"/>
      <c r="AX88" s="119" t="n">
        <v>22.99</v>
      </c>
      <c r="AY88" s="118" t="inlineStr">
        <is>
          <t>none</t>
        </is>
      </c>
      <c r="AZ88" s="118" t="inlineStr">
        <is>
          <t>Y</t>
        </is>
      </c>
      <c r="BA88" s="118" t="inlineStr">
        <is>
          <t>2026-10-13 23:46:54</t>
        </is>
      </c>
      <c r="BB88" s="120" t="inlineStr">
        <is>
          <t>None</t>
        </is>
      </c>
      <c r="BC88" s="125" t="n"/>
      <c r="BD88" s="121" t="n">
        <v>22.99</v>
      </c>
      <c r="BE88" s="121" t="n">
        <v>22.99</v>
      </c>
      <c r="BF88" s="110">
        <f>IF(AND(ISNUMBER(BD88),ISNUMBER(BE88),N(BD88)&gt;0),1-BE88/BD88,"")</f>
        <v/>
      </c>
      <c r="BG88" s="122" t="n">
        <v>37549</v>
      </c>
      <c r="BH88" s="122" t="n">
        <v>43588</v>
      </c>
      <c r="BI88" s="123">
        <f>IF(AND(ISNUMBER(BG88),ISNUMBER(BH88),N(BH88)&gt;0),BG88/BH88,"")</f>
        <v/>
      </c>
      <c r="BJ88" s="120" t="inlineStr">
        <is>
          <t>N</t>
        </is>
      </c>
      <c r="BK88" s="120" t="inlineStr">
        <is>
          <t>List Price $37.99</t>
        </is>
      </c>
    </row>
    <row r="89" ht="62" customHeight="1">
      <c r="A89" s="12">
        <f>_xlfn.IMAGE("https://m.media-amazon.com/images/I/51cjk283LDL._AC_SL1000_.jpg")</f>
        <v/>
      </c>
      <c r="B89" s="105" t="inlineStr">
        <is>
          <t>BLISSFORD</t>
        </is>
      </c>
      <c r="C89" s="39" t="inlineStr">
        <is>
          <t>Silk Pillowcase</t>
        </is>
      </c>
      <c r="D89" s="105" t="inlineStr">
        <is>
          <t>Untiered</t>
        </is>
      </c>
      <c r="E89" s="128" t="inlineStr">
        <is>
          <t>Alternative material</t>
        </is>
      </c>
      <c r="F89" s="105" t="inlineStr">
        <is>
          <t>Microfiber / polyester</t>
        </is>
      </c>
      <c r="G89" s="39" t="inlineStr">
        <is>
          <t>Pillowcase in Microfiber / polyester (product page material: Polyester); ours is Silk (our listing: mulberry silk). Shopper may cross-shop, but not like-for-like.</t>
        </is>
      </c>
      <c r="H89" s="107" t="inlineStr">
        <is>
          <t>B0FXBTQ86V</t>
        </is>
      </c>
      <c r="I89" s="107" t="inlineStr">
        <is>
          <t>B01N0Z6HVO</t>
        </is>
      </c>
      <c r="J89" s="105" t="inlineStr">
        <is>
          <t>Standard (2-pack)</t>
        </is>
      </c>
      <c r="K89" s="105" t="inlineStr">
        <is>
          <t>Brown</t>
        </is>
      </c>
      <c r="L89" s="108" t="n"/>
      <c r="M89" s="39" t="inlineStr"/>
      <c r="N89" s="109" t="n">
        <v>13.99</v>
      </c>
      <c r="O89" s="109" t="n"/>
      <c r="P89" s="110">
        <f>IF(AND(ISNUMBER(O89),ISNUMBER(N89),N(N89)&gt;0),O89/N89-1,"")</f>
        <v/>
      </c>
      <c r="Q89" s="111">
        <f>IF(P89="","No List Price",IF(P89&lt;=0,"At/below price",IF(P89&lt;=0.12,"&lt;=12% STR zone",IF(P89&lt;=0.25,"12-25%","&gt;25% over"))))</f>
        <v/>
      </c>
      <c r="R89" s="109" t="n">
        <v>50.20344827586207</v>
      </c>
      <c r="S89" s="112">
        <f>IF(AND(ISNUMBER(N89),ISNUMBER(R89),N(R89)&gt;0),N89/R89-1,"")</f>
        <v/>
      </c>
      <c r="T89" s="39" t="inlineStr">
        <is>
          <t>vs our blended price (market data, Mar 2026 - STALE)</t>
        </is>
      </c>
      <c r="U89" s="108" t="n">
        <v>2452</v>
      </c>
      <c r="V89" s="108" t="n">
        <v>220</v>
      </c>
      <c r="W89" s="113">
        <f>IF(AND(ISNUMBER(N89),ISNUMBER(V89)),N89*V89*52/12,"")</f>
        <v/>
      </c>
      <c r="X89" s="114" t="n">
        <v>4.6</v>
      </c>
      <c r="Y89" s="108" t="n">
        <v>55029</v>
      </c>
      <c r="Z89" s="115" t="n">
        <v>46307</v>
      </c>
      <c r="AA89" s="115" t="n"/>
      <c r="AB89" s="105" t="n"/>
      <c r="AC89" s="105" t="n"/>
      <c r="AD89" s="108" t="n"/>
      <c r="AE89" s="108" t="n"/>
      <c r="AF89" s="116" t="n"/>
      <c r="AG89" s="116" t="n"/>
      <c r="AH89" s="39" t="n"/>
      <c r="AI89" s="116" t="n"/>
      <c r="AJ89" s="116" t="n"/>
      <c r="AK89" s="116" t="n"/>
      <c r="AL89" s="116" t="n"/>
      <c r="AM89" s="108" t="n"/>
      <c r="AN89" s="108" t="n"/>
      <c r="AO89" s="108" t="n"/>
      <c r="AP89" s="108" t="n"/>
      <c r="AQ89" s="108" t="n"/>
      <c r="AR89" s="108" t="n"/>
      <c r="AS89" s="117" t="n"/>
      <c r="AT89" s="112" t="n"/>
      <c r="AU89" s="118" t="inlineStr">
        <is>
          <t>N</t>
        </is>
      </c>
      <c r="AV89" s="118" t="inlineStr">
        <is>
          <t>none</t>
        </is>
      </c>
      <c r="AW89" s="124" t="n"/>
      <c r="AX89" s="119" t="n">
        <v>13.99</v>
      </c>
      <c r="AY89" s="118" t="inlineStr">
        <is>
          <t>none</t>
        </is>
      </c>
      <c r="AZ89" s="118" t="inlineStr">
        <is>
          <t>Y</t>
        </is>
      </c>
      <c r="BA89" s="118" t="inlineStr">
        <is>
          <t>2026-10-13 23:44:55</t>
        </is>
      </c>
      <c r="BB89" s="120" t="inlineStr">
        <is>
          <t>None</t>
        </is>
      </c>
      <c r="BC89" s="125" t="n"/>
      <c r="BD89" s="121" t="n">
        <v>11.99</v>
      </c>
      <c r="BE89" s="121" t="n">
        <v>11.99</v>
      </c>
      <c r="BF89" s="110">
        <f>IF(AND(ISNUMBER(BD89),ISNUMBER(BE89),N(BD89)&gt;0),1-BE89/BD89,"")</f>
        <v/>
      </c>
      <c r="BG89" s="122" t="n">
        <v>2660</v>
      </c>
      <c r="BH89" s="122" t="n">
        <v>3245</v>
      </c>
      <c r="BI89" s="123">
        <f>IF(AND(ISNUMBER(BG89),ISNUMBER(BH89),N(BH89)&gt;0),BG89/BH89,"")</f>
        <v/>
      </c>
      <c r="BJ89" s="120" t="inlineStr">
        <is>
          <t>N</t>
        </is>
      </c>
      <c r="BK89" s="120" t="inlineStr">
        <is>
          <t>List Price $11.99</t>
        </is>
      </c>
    </row>
    <row r="90"/>
    <row r="91" ht="22" customHeight="1">
      <c r="A91" s="65" t="inlineStr">
        <is>
          <t>5 ▼</t>
        </is>
      </c>
      <c r="B91" s="66" t="inlineStr">
        <is>
          <t>WHAT THIS MEANS FOR BFCM</t>
        </is>
      </c>
      <c r="C91" s="67" t="n"/>
      <c r="D91" s="67" t="n"/>
      <c r="E91" s="67" t="n"/>
      <c r="F91" s="67" t="n"/>
      <c r="G91" s="67" t="n"/>
      <c r="H91" s="67" t="n"/>
      <c r="I91" s="67" t="n"/>
      <c r="J91" s="67" t="n"/>
      <c r="K91" s="67" t="n"/>
      <c r="L91" s="67" t="n"/>
      <c r="M91" s="67" t="n"/>
      <c r="N91" s="67" t="n"/>
      <c r="O91" s="67" t="n"/>
      <c r="P91" s="67" t="n"/>
      <c r="Q91" s="67" t="n"/>
      <c r="R91" s="67" t="n"/>
      <c r="S91" s="67" t="n"/>
      <c r="T91" s="67" t="n"/>
      <c r="U91" s="67" t="n"/>
      <c r="V91" s="67" t="n"/>
      <c r="W91" s="67" t="n"/>
      <c r="X91" s="67" t="n"/>
      <c r="Y91" s="67" t="n"/>
      <c r="Z91" s="67" t="n"/>
      <c r="AA91" s="67" t="n"/>
      <c r="AB91" s="67" t="n"/>
      <c r="AC91" s="67" t="n"/>
      <c r="AD91" s="67" t="n"/>
      <c r="AE91" s="67" t="n"/>
      <c r="AF91" s="67" t="n"/>
      <c r="AG91" s="67" t="n"/>
      <c r="AH91" s="67" t="n"/>
      <c r="AI91" s="67" t="n"/>
      <c r="AJ91" s="67" t="n"/>
      <c r="AK91" s="67" t="n"/>
      <c r="AL91" s="67" t="n"/>
      <c r="AM91" s="67" t="n"/>
      <c r="AN91" s="67" t="n"/>
      <c r="AO91" s="67" t="n"/>
      <c r="AP91" s="67" t="n"/>
      <c r="AQ91" s="67" t="n"/>
      <c r="AR91" s="67" t="n"/>
      <c r="AS91" s="67" t="n"/>
      <c r="AT91" s="67" t="n"/>
      <c r="AU91" s="67" t="n"/>
      <c r="AV91" s="67" t="n"/>
      <c r="AW91" s="67" t="n"/>
      <c r="AX91" s="67" t="n"/>
      <c r="AY91" s="67" t="n"/>
      <c r="AZ91" s="67" t="n"/>
      <c r="BA91" s="67" t="n"/>
      <c r="BB91" s="67" t="n"/>
      <c r="BC91" s="67" t="n"/>
      <c r="BD91" s="67" t="n"/>
      <c r="BE91" s="67" t="n"/>
      <c r="BF91" s="67" t="n"/>
      <c r="BG91" s="67" t="n"/>
      <c r="BH91" s="67" t="n"/>
      <c r="BI91" s="67" t="n"/>
      <c r="BJ91" s="67" t="n"/>
      <c r="BK91" s="67" t="n"/>
    </row>
    <row r="92" ht="30" customHeight="1">
      <c r="A92" s="129" t="inlineStr">
        <is>
          <t>• Who sells most: INFIIXSO ~1,732/wk at $57.98; Gabire ~1,732/wk at $19.99; INFIIXSO ~1,732/wk at $7.99; DKBslik ~1,040/wk at $7.34; Suatien ~924/wk at $11.99. Tracked rivals ~9,718 units/wk; we sell ~31/wk (0.3% of the tracked set).</t>
        </is>
      </c>
    </row>
    <row r="93" ht="18" customHeight="1">
      <c r="A93" s="129" t="inlineStr">
        <is>
          <t>• Strikethrough: 2 of 29 rivals set a List Price above price; 2 within 12%: ZIMASILK +9%, ZIMASILK +6%.</t>
        </is>
      </c>
    </row>
    <row r="94" ht="30" customHeight="1">
      <c r="A94" s="129" t="inlineStr">
        <is>
          <t>• Price: 25 of 29 rivals sit below our price today (same size where the title states one). Cheapest strong rivals: ZIMASILK $23.39, ZIMASILK $23.91, PROMEED $24.00, ALASKA BEAR $25.99.</t>
        </is>
      </c>
    </row>
    <row r="95" ht="30" customHeight="1">
      <c r="A95" s="129" t="inlineStr">
        <is>
          <t>• Strikethrough on the page today (Oct 13 check): 3 of 28 checked rivals show one: ZIMASILK List Price $25.99 vs $23.91 (+9%), ZIMASILK Typical price $24.69 vs $23.39 (+6%), INFIIXSO List Price $9.79 vs $7.99 (+23%).</t>
        </is>
      </c>
    </row>
    <row r="96" ht="30" customHeight="1">
      <c r="A96" s="129" t="inlineStr">
        <is>
          <t>• Search: we lose most shared keywords to ZIMASILK (we win 12, lose 245), INFIIXSO (we win 11, lose 243), Fishers Finery (we win 29, lose 220). Biggest ad gaps (they advertise where we don't or harder): INFIIXSO 682 + 20 KWs, ZIMASILK 504 + 21 KWs, Fishers Finery 505 + 28 KWs.</t>
        </is>
      </c>
    </row>
    <row r="97" ht="30" customHeight="1">
      <c r="A97" s="129" t="inlineStr">
        <is>
          <t>• Brand ads: INFIIXSO (SB 88%, SBV 50%), ZIMASILK (SB 84%, SBV 81%), PROMEED (SB 27%, SBV 95%), Fishers Finery (SB 96%, SBV 78%), ZIMASILK (SB 92%, SBV 74%) hold Sponsored Brands / video on most of their traffic - the plan has our SB, SBV and display live by Nov 1.</t>
        </is>
      </c>
    </row>
    <row r="98" ht="18" customHeight="1">
      <c r="A98" s="129" t="inlineStr">
        <is>
          <t>• Our BFCM 2025: 1.35x daily sales in BFCM week vs the 30 days before; TACoS 33.6% vs 31.6% before; December 2.99x.</t>
        </is>
      </c>
    </row>
    <row r="99" ht="18" customHeight="1">
      <c r="A99" s="129" t="inlineStr">
        <is>
          <t>• Prime Day 2026: our organic visibility 1.30x vs rivals' median 1.17x (n=8) - we held or out-gained rivals.</t>
        </is>
      </c>
    </row>
    <row r="100" ht="30" customHeight="1">
      <c r="A100" s="129" t="inlineStr">
        <is>
          <t>• BFCM 2025, 29 rivals with price history history: None 10, Prime Exclusive Discount 9, Price cut only 6, Coupon only 3, Lightning Deal 1. Median depth vs their Nov 1-19 price 15%; median BSR lift 1.21x. 4 raised their Buy Box in BFCM week, so their deal looked deeper than it was.</t>
        </is>
      </c>
    </row>
  </sheetData>
  <autoFilter ref="B60:BK89"/>
  <mergeCells count="68">
    <mergeCell ref="A48:BK48"/>
    <mergeCell ref="A92:BK92"/>
    <mergeCell ref="A41:C41"/>
    <mergeCell ref="BB59:BK59"/>
    <mergeCell ref="N59:Z59"/>
    <mergeCell ref="A46:C46"/>
    <mergeCell ref="L5:Q5"/>
    <mergeCell ref="A49:BK49"/>
    <mergeCell ref="A51:BK51"/>
    <mergeCell ref="A59:K59"/>
    <mergeCell ref="A98:BK98"/>
    <mergeCell ref="Q11:T11"/>
    <mergeCell ref="A94:BK94"/>
    <mergeCell ref="L8:Q8"/>
    <mergeCell ref="L4:Q4"/>
    <mergeCell ref="D7:I7"/>
    <mergeCell ref="A13:D13"/>
    <mergeCell ref="I13:L13"/>
    <mergeCell ref="AA59:AC59"/>
    <mergeCell ref="AD59:AT59"/>
    <mergeCell ref="D4:I4"/>
    <mergeCell ref="L10:Q10"/>
    <mergeCell ref="E12:H12"/>
    <mergeCell ref="Q13:T13"/>
    <mergeCell ref="A54:BK54"/>
    <mergeCell ref="A99:BK99"/>
    <mergeCell ref="D9:I9"/>
    <mergeCell ref="U12:X12"/>
    <mergeCell ref="L9:Q9"/>
    <mergeCell ref="Q12:T12"/>
    <mergeCell ref="A11:D11"/>
    <mergeCell ref="I11:L11"/>
    <mergeCell ref="A38:C38"/>
    <mergeCell ref="D8:I8"/>
    <mergeCell ref="L6:Q6"/>
    <mergeCell ref="A4:B9"/>
    <mergeCell ref="A43:C43"/>
    <mergeCell ref="A50:BK50"/>
    <mergeCell ref="T6:Y6"/>
    <mergeCell ref="A55:BK55"/>
    <mergeCell ref="A44:C44"/>
    <mergeCell ref="A95:BK95"/>
    <mergeCell ref="D5:I5"/>
    <mergeCell ref="A47:BK47"/>
    <mergeCell ref="A40:C40"/>
    <mergeCell ref="M11:P11"/>
    <mergeCell ref="U11:X11"/>
    <mergeCell ref="A39:C39"/>
    <mergeCell ref="A97:BK97"/>
    <mergeCell ref="E13:H13"/>
    <mergeCell ref="A100:BK100"/>
    <mergeCell ref="A96:BK96"/>
    <mergeCell ref="D10:I10"/>
    <mergeCell ref="L7:Q7"/>
    <mergeCell ref="T5:Y5"/>
    <mergeCell ref="A53:BK53"/>
    <mergeCell ref="AU59:BA59"/>
    <mergeCell ref="A45:C45"/>
    <mergeCell ref="A12:D12"/>
    <mergeCell ref="M13:P13"/>
    <mergeCell ref="A52:BK52"/>
    <mergeCell ref="I12:L12"/>
    <mergeCell ref="U13:X13"/>
    <mergeCell ref="A93:BK93"/>
    <mergeCell ref="M12:P12"/>
    <mergeCell ref="T4:Y4"/>
    <mergeCell ref="D6:I6"/>
    <mergeCell ref="E11:H11"/>
  </mergeCells>
  <conditionalFormatting sqref="Q61:Q89">
    <cfRule type="expression" priority="1" dxfId="1">
      <formula>Q61="&lt;=12% STR zone"</formula>
    </cfRule>
  </conditionalFormatting>
  <conditionalFormatting sqref="Z61:Z89">
    <cfRule type="expression" priority="2" dxfId="0">
      <formula>AND(ISNUMBER(Z61),Z61&lt;DATE(2026,10,6))</formula>
    </cfRule>
  </conditionalFormatting>
  <conditionalFormatting sqref="T61:T89">
    <cfRule type="expression" priority="3" dxfId="0">
      <formula>ISNUMBER(SEARCH("STALE",T61))</formula>
    </cfRule>
  </conditionalFormatting>
  <conditionalFormatting sqref="S61:S89">
    <cfRule type="expression" priority="4" dxfId="0">
      <formula>AND(ISNUMBER(S61),S61&lt;0)</formula>
    </cfRule>
  </conditionalFormatting>
  <dataValidations count="3">
    <dataValidation sqref="AU61:AU89 BJ61:BJ89" showDropDown="0" showInputMessage="0" showErrorMessage="0" allowBlank="1" type="list">
      <formula1>"Y,N"</formula1>
    </dataValidation>
    <dataValidation sqref="AV61:AV89" showDropDown="0" showInputMessage="0" showErrorMessage="0" allowBlank="1" type="list">
      <formula1>"List Price,Typical price,Was price,None"</formula1>
    </dataValidation>
    <dataValidation sqref="BB61:BB89"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Silk Pillowcase'!A3" display="1 Our product ↓"/>
    <hyperlink ref="D2" location="'US DC Silk Pillowcase'!A15" display="2 Our variations ↓"/>
    <hyperlink ref="E2" location="'US DC Silk Pillowcase'!A37" display="3 Our BFCM 2025 ↓"/>
    <hyperlink ref="F2" location="'US DC Silk Pillowcase'!A57" display="4 COMPETITORS (29 mapped) ↓"/>
    <hyperlink ref="G2" location="'US DC Silk Pillowcase'!A91" display="5 What it means ↓"/>
    <hyperlink xmlns:r="http://schemas.openxmlformats.org/officeDocument/2006/relationships" ref="H61" r:id="rId1"/>
    <hyperlink xmlns:r="http://schemas.openxmlformats.org/officeDocument/2006/relationships" ref="I61" r:id="rId2"/>
    <hyperlink xmlns:r="http://schemas.openxmlformats.org/officeDocument/2006/relationships" ref="H62" r:id="rId3"/>
    <hyperlink xmlns:r="http://schemas.openxmlformats.org/officeDocument/2006/relationships" ref="I62" r:id="rId4"/>
    <hyperlink xmlns:r="http://schemas.openxmlformats.org/officeDocument/2006/relationships" ref="H63" r:id="rId5"/>
    <hyperlink xmlns:r="http://schemas.openxmlformats.org/officeDocument/2006/relationships" ref="I63" r:id="rId6"/>
    <hyperlink xmlns:r="http://schemas.openxmlformats.org/officeDocument/2006/relationships" ref="H64" r:id="rId7"/>
    <hyperlink xmlns:r="http://schemas.openxmlformats.org/officeDocument/2006/relationships" ref="I64" r:id="rId8"/>
    <hyperlink xmlns:r="http://schemas.openxmlformats.org/officeDocument/2006/relationships" ref="H65" r:id="rId9"/>
    <hyperlink xmlns:r="http://schemas.openxmlformats.org/officeDocument/2006/relationships" ref="I65" r:id="rId10"/>
    <hyperlink xmlns:r="http://schemas.openxmlformats.org/officeDocument/2006/relationships" ref="H66" r:id="rId11"/>
    <hyperlink xmlns:r="http://schemas.openxmlformats.org/officeDocument/2006/relationships" ref="I66" r:id="rId12"/>
    <hyperlink xmlns:r="http://schemas.openxmlformats.org/officeDocument/2006/relationships" ref="H67" r:id="rId13"/>
    <hyperlink xmlns:r="http://schemas.openxmlformats.org/officeDocument/2006/relationships" ref="I67" r:id="rId14"/>
    <hyperlink xmlns:r="http://schemas.openxmlformats.org/officeDocument/2006/relationships" ref="H68" r:id="rId15"/>
    <hyperlink xmlns:r="http://schemas.openxmlformats.org/officeDocument/2006/relationships" ref="I68" r:id="rId16"/>
    <hyperlink xmlns:r="http://schemas.openxmlformats.org/officeDocument/2006/relationships" ref="H69" r:id="rId17"/>
    <hyperlink xmlns:r="http://schemas.openxmlformats.org/officeDocument/2006/relationships" ref="I69" r:id="rId18"/>
    <hyperlink xmlns:r="http://schemas.openxmlformats.org/officeDocument/2006/relationships" ref="H70" r:id="rId19"/>
    <hyperlink xmlns:r="http://schemas.openxmlformats.org/officeDocument/2006/relationships" ref="I70" r:id="rId20"/>
    <hyperlink xmlns:r="http://schemas.openxmlformats.org/officeDocument/2006/relationships" ref="H71" r:id="rId21"/>
    <hyperlink xmlns:r="http://schemas.openxmlformats.org/officeDocument/2006/relationships" ref="I71" r:id="rId22"/>
    <hyperlink xmlns:r="http://schemas.openxmlformats.org/officeDocument/2006/relationships" ref="H72" r:id="rId23"/>
    <hyperlink xmlns:r="http://schemas.openxmlformats.org/officeDocument/2006/relationships" ref="I72" r:id="rId24"/>
    <hyperlink xmlns:r="http://schemas.openxmlformats.org/officeDocument/2006/relationships" ref="H73" r:id="rId25"/>
    <hyperlink xmlns:r="http://schemas.openxmlformats.org/officeDocument/2006/relationships" ref="I73" r:id="rId26"/>
    <hyperlink xmlns:r="http://schemas.openxmlformats.org/officeDocument/2006/relationships" ref="H74" r:id="rId27"/>
    <hyperlink xmlns:r="http://schemas.openxmlformats.org/officeDocument/2006/relationships" ref="I74" r:id="rId28"/>
    <hyperlink xmlns:r="http://schemas.openxmlformats.org/officeDocument/2006/relationships" ref="H75" r:id="rId29"/>
    <hyperlink xmlns:r="http://schemas.openxmlformats.org/officeDocument/2006/relationships" ref="I75" r:id="rId30"/>
    <hyperlink xmlns:r="http://schemas.openxmlformats.org/officeDocument/2006/relationships" ref="H76" r:id="rId31"/>
    <hyperlink xmlns:r="http://schemas.openxmlformats.org/officeDocument/2006/relationships" ref="I76" r:id="rId32"/>
    <hyperlink xmlns:r="http://schemas.openxmlformats.org/officeDocument/2006/relationships" ref="H77" r:id="rId33"/>
    <hyperlink xmlns:r="http://schemas.openxmlformats.org/officeDocument/2006/relationships" ref="I77" r:id="rId34"/>
    <hyperlink xmlns:r="http://schemas.openxmlformats.org/officeDocument/2006/relationships" ref="H78" r:id="rId35"/>
    <hyperlink xmlns:r="http://schemas.openxmlformats.org/officeDocument/2006/relationships" ref="I78" r:id="rId36"/>
    <hyperlink xmlns:r="http://schemas.openxmlformats.org/officeDocument/2006/relationships" ref="H79" r:id="rId37"/>
    <hyperlink xmlns:r="http://schemas.openxmlformats.org/officeDocument/2006/relationships" ref="I79" r:id="rId38"/>
    <hyperlink xmlns:r="http://schemas.openxmlformats.org/officeDocument/2006/relationships" ref="H80" r:id="rId39"/>
    <hyperlink xmlns:r="http://schemas.openxmlformats.org/officeDocument/2006/relationships" ref="I80" r:id="rId40"/>
    <hyperlink xmlns:r="http://schemas.openxmlformats.org/officeDocument/2006/relationships" ref="H81" r:id="rId41"/>
    <hyperlink xmlns:r="http://schemas.openxmlformats.org/officeDocument/2006/relationships" ref="I81" r:id="rId42"/>
    <hyperlink xmlns:r="http://schemas.openxmlformats.org/officeDocument/2006/relationships" ref="H82" r:id="rId43"/>
    <hyperlink xmlns:r="http://schemas.openxmlformats.org/officeDocument/2006/relationships" ref="I82" r:id="rId44"/>
    <hyperlink xmlns:r="http://schemas.openxmlformats.org/officeDocument/2006/relationships" ref="H83" r:id="rId45"/>
    <hyperlink xmlns:r="http://schemas.openxmlformats.org/officeDocument/2006/relationships" ref="I83" r:id="rId46"/>
    <hyperlink xmlns:r="http://schemas.openxmlformats.org/officeDocument/2006/relationships" ref="H84" r:id="rId47"/>
    <hyperlink xmlns:r="http://schemas.openxmlformats.org/officeDocument/2006/relationships" ref="I84" r:id="rId48"/>
    <hyperlink xmlns:r="http://schemas.openxmlformats.org/officeDocument/2006/relationships" ref="H85" r:id="rId49"/>
    <hyperlink xmlns:r="http://schemas.openxmlformats.org/officeDocument/2006/relationships" ref="I85" r:id="rId50"/>
    <hyperlink xmlns:r="http://schemas.openxmlformats.org/officeDocument/2006/relationships" ref="H86" r:id="rId51"/>
    <hyperlink xmlns:r="http://schemas.openxmlformats.org/officeDocument/2006/relationships" ref="I86" r:id="rId52"/>
    <hyperlink xmlns:r="http://schemas.openxmlformats.org/officeDocument/2006/relationships" ref="H87" r:id="rId53"/>
    <hyperlink xmlns:r="http://schemas.openxmlformats.org/officeDocument/2006/relationships" ref="I87" r:id="rId54"/>
    <hyperlink xmlns:r="http://schemas.openxmlformats.org/officeDocument/2006/relationships" ref="H88" r:id="rId55"/>
    <hyperlink xmlns:r="http://schemas.openxmlformats.org/officeDocument/2006/relationships" ref="I88" r:id="rId56"/>
    <hyperlink xmlns:r="http://schemas.openxmlformats.org/officeDocument/2006/relationships" ref="H89" r:id="rId57"/>
    <hyperlink xmlns:r="http://schemas.openxmlformats.org/officeDocument/2006/relationships" ref="I89" r:id="rId58"/>
  </hyperlinks>
  <pageMargins left="0.75" right="0.75" top="1" bottom="1" header="0.5" footer="0.5"/>
  <drawing xmlns:r="http://schemas.openxmlformats.org/officeDocument/2006/relationships" r:id="rId59"/>
  <legacyDrawing xmlns:r="http://schemas.openxmlformats.org/officeDocument/2006/relationships" r:id="anysvml"/>
</worksheet>
</file>

<file path=xl/worksheets/sheet18.xml><?xml version="1.0" encoding="utf-8"?>
<worksheet xmlns="http://schemas.openxmlformats.org/spreadsheetml/2006/main">
  <sheetPr>
    <tabColor rgb="009DC3E6"/>
    <outlinePr summaryBelow="1" summaryRight="1"/>
    <pageSetUpPr/>
  </sheetPr>
  <dimension ref="A1:BK80"/>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Silk Sleep Mask - Contoured · Amazon.com (US) · Silk · BFCM role: Gifting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(27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_xlfn.IMAGE("https://images-na.ssl-images-amazon.com/images/I/71JEybynRcL.jpg")</f>
        <v/>
      </c>
      <c r="C4" s="13" t="inlineStr">
        <is>
          <t>Title</t>
        </is>
      </c>
      <c r="D4" s="14" t="inlineStr">
        <is>
          <t>SLEEP SANCTUARY 100% Pure Mulberry Silk Sleep Mask - 22 Momme Light Blocking 3D Contour Silk Eye Mask for Sleeping - Secure Fit for Side Sleepers, Women &amp; Men - Cloud Soft (Peacock Blue)</t>
        </is>
      </c>
      <c r="K4" s="13" t="inlineStr">
        <is>
          <t>Sizes</t>
        </is>
      </c>
      <c r="L4" s="68" t="inlineStr">
        <is>
          <t>One Size</t>
        </is>
      </c>
      <c r="S4" s="13" t="inlineStr">
        <is>
          <t>Break-even ACoS</t>
        </is>
      </c>
      <c r="T4" s="68" t="inlineStr">
        <is>
          <t>32%</t>
        </is>
      </c>
    </row>
    <row r="5" ht="22" customHeight="1">
      <c r="C5" s="13" t="inlineStr">
        <is>
          <t>Brand</t>
        </is>
      </c>
      <c r="D5" s="68" t="inlineStr">
        <is>
          <t>Sleephoria</t>
        </is>
      </c>
      <c r="K5" s="13" t="inlineStr">
        <is>
          <t>Colours</t>
        </is>
      </c>
      <c r="L5" s="68" t="inlineStr">
        <is>
          <t>Black, Misty Blue, Peacock Blue, Pink</t>
        </is>
      </c>
      <c r="S5" s="13" t="inlineStr">
        <is>
          <t>Units last 28 days</t>
        </is>
      </c>
      <c r="T5" s="68" t="inlineStr">
        <is>
          <t>4</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B0F4XS1FWJ (one of our child ASINs, not the Amazon parent)</t>
        </is>
      </c>
    </row>
    <row r="7" ht="22" customHeight="1">
      <c r="C7" s="13" t="inlineStr">
        <is>
          <t>Parent ASIN (Amazon)</t>
        </is>
      </c>
      <c r="D7" s="68" t="inlineStr">
        <is>
          <t>B0GDML4FK7</t>
        </is>
      </c>
      <c r="K7" s="13" t="inlineStr">
        <is>
          <t>Rating / reviews now</t>
        </is>
      </c>
      <c r="L7" s="68" t="inlineStr">
        <is>
          <t>Not checked yet</t>
        </is>
      </c>
    </row>
    <row r="8" ht="22" customHeight="1">
      <c r="C8" s="13" t="inlineStr">
        <is>
          <t>Best-selling child ASIN</t>
        </is>
      </c>
      <c r="D8" s="68" t="inlineStr">
        <is>
          <t>B0F4XRFWGR</t>
        </is>
      </c>
      <c r="K8" s="13" t="inlineStr">
        <is>
          <t>Live prices held</t>
        </is>
      </c>
      <c r="L8" s="68" t="inlineStr">
        <is>
          <t>0 of 4 variations</t>
        </is>
      </c>
    </row>
    <row r="9" ht="22" customHeight="1">
      <c r="C9" s="13" t="inlineStr">
        <is>
          <t>Stage</t>
        </is>
      </c>
      <c r="D9" s="68" t="inlineStr">
        <is>
          <t>Liquidation</t>
        </is>
      </c>
      <c r="K9" s="13" t="inlineStr">
        <is>
          <t>Blended price (market data)</t>
        </is>
      </c>
      <c r="L9" s="68" t="inlineStr">
        <is>
          <t>$25.95 - fee feed as of 2026-03-30, STALE</t>
        </is>
      </c>
    </row>
    <row r="10">
      <c r="C10" s="13" t="inlineStr">
        <is>
          <t>Total variations (SKUs)</t>
        </is>
      </c>
      <c r="D10" s="68" t="n">
        <v>4</v>
      </c>
      <c r="K10" s="13" t="inlineStr">
        <is>
          <t>Contribution / unit</t>
        </is>
      </c>
      <c r="L10" s="68" t="inlineStr">
        <is>
          <t>$8.34</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3.67x</t>
        </is>
      </c>
      <c r="E12" s="70" t="inlineStr">
        <is>
          <t>n/a</t>
        </is>
      </c>
      <c r="I12" s="70" t="inlineStr">
        <is>
          <t>6.58x</t>
        </is>
      </c>
      <c r="M12" s="70" t="inlineStr">
        <is>
          <t>27</t>
        </is>
      </c>
      <c r="Q12" s="70" t="inlineStr">
        <is>
          <t>18</t>
        </is>
      </c>
      <c r="U12" s="70" t="inlineStr">
        <is>
          <t>5</t>
        </is>
      </c>
    </row>
    <row r="13">
      <c r="A13" s="71" t="inlineStr">
        <is>
          <t>daily sales, BFCM wk vs 30 days before (account data actual)</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(4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_xlfn.IMAGE("https://m.media-amazon.com/images/I/71JEybynRcL.jpg")</f>
        <v/>
      </c>
      <c r="B18" s="39" t="inlineStr">
        <is>
          <t>B0F4XRFWGR</t>
        </is>
      </c>
      <c r="C18" s="39" t="inlineStr">
        <is>
          <t>SS-SLEEP-MASK-3D-CONTOURED-PEACOCK-BLUE</t>
        </is>
      </c>
      <c r="D18" s="39" t="inlineStr">
        <is>
          <t>SLEEP SANCTUARY 100% Pure Mulberry Silk Sleep Mask - 22 Momme Light Blocking 3D Contour Silk Eye Mask for Sleeping - Secure Fit for Side Sleepers, Women &amp; Men - Cloud Soft (Peacock Blue)</t>
        </is>
      </c>
      <c r="E18" s="39" t="inlineStr">
        <is>
          <t>One Size</t>
        </is>
      </c>
      <c r="F18" s="39" t="inlineStr">
        <is>
          <t>Peacock Blue</t>
        </is>
      </c>
      <c r="G18" s="40" t="n"/>
      <c r="H18" s="39" t="n"/>
      <c r="I18" s="74" t="n">
        <v>25.95</v>
      </c>
      <c r="J18" s="75" t="inlineStr">
        <is>
          <t>2026-03-30</t>
        </is>
      </c>
      <c r="K18" s="40" t="n">
        <v>8.34</v>
      </c>
      <c r="L18" s="76" t="n">
        <v>0.3213872832369942</v>
      </c>
      <c r="M18" s="77" t="n">
        <v>4</v>
      </c>
      <c r="N18" s="39" t="inlineStr">
        <is>
          <t>Active</t>
        </is>
      </c>
      <c r="O18" s="39" t="n"/>
      <c r="P18" s="78" t="n"/>
      <c r="Q18" s="77" t="n"/>
      <c r="R18" s="77" t="n"/>
      <c r="S18" s="77" t="n"/>
      <c r="T18" s="39" t="n"/>
    </row>
    <row r="19" ht="62" customHeight="1">
      <c r="A19" s="12">
        <f>_xlfn.IMAGE("https://m.media-amazon.com/images/I/71RDEc71JoL.jpg")</f>
        <v/>
      </c>
      <c r="B19" s="39" t="inlineStr">
        <is>
          <t>B0F4XS1FWJ</t>
        </is>
      </c>
      <c r="C19" s="39" t="inlineStr">
        <is>
          <t>SS-SLEEP-MASK-3D-CONTOURED-BLACK</t>
        </is>
      </c>
      <c r="D19" s="39" t="inlineStr">
        <is>
          <t>SLEEP SANCTUARY 100% Pure Mulberry Silk Sleep Mask - 22 Momme Light Blocking 3D Contour Silk Eye Mask for Sleeping - Secure Fit for Side Sleepers, Women &amp; Men - Cloud Soft (Black)</t>
        </is>
      </c>
      <c r="E19" s="39" t="inlineStr">
        <is>
          <t>One Size</t>
        </is>
      </c>
      <c r="F19" s="39" t="inlineStr">
        <is>
          <t>Black</t>
        </is>
      </c>
      <c r="G19" s="40" t="n"/>
      <c r="H19" s="39" t="n"/>
      <c r="I19" s="74" t="n">
        <v>17.95</v>
      </c>
      <c r="J19" s="75" t="inlineStr">
        <is>
          <t>2026-03-30</t>
        </is>
      </c>
      <c r="K19" s="40" t="n">
        <v>1.129999999999999</v>
      </c>
      <c r="L19" s="76" t="n">
        <v>0.06295264623955427</v>
      </c>
      <c r="M19" s="77" t="n">
        <v>0</v>
      </c>
      <c r="N19" s="39" t="inlineStr">
        <is>
          <t>Active</t>
        </is>
      </c>
      <c r="O19" s="39" t="inlineStr">
        <is>
          <t>Yes (53%)</t>
        </is>
      </c>
      <c r="P19" s="78" t="n"/>
      <c r="Q19" s="77" t="n"/>
      <c r="R19" s="77" t="n"/>
      <c r="S19" s="77" t="n"/>
      <c r="T19" s="39" t="n"/>
    </row>
    <row r="20" ht="62" customHeight="1">
      <c r="A20" s="12">
        <f>_xlfn.IMAGE("https://m.media-amazon.com/images/I/613NpRgukuL.jpg")</f>
        <v/>
      </c>
      <c r="B20" s="39" t="inlineStr">
        <is>
          <t>B0F4XP8CYP</t>
        </is>
      </c>
      <c r="C20" s="39" t="inlineStr">
        <is>
          <t>SS-SLEEP-MASK-3D-CONTOURED-MISTY-BLUE</t>
        </is>
      </c>
      <c r="D20" s="39" t="inlineStr">
        <is>
          <t>SLEEP SANCTUARY 100% Pure Mulberry Silk Sleep Mask - 22 Momme Light Blocking 3D Contour Silk Eye Mask for Sleeping - Secure Fit for Side Sleepers, Women &amp; Men - Cloud Soft (Misty Blue)</t>
        </is>
      </c>
      <c r="E20" s="39" t="inlineStr">
        <is>
          <t>One Size</t>
        </is>
      </c>
      <c r="F20" s="39" t="inlineStr">
        <is>
          <t>Misty Blue</t>
        </is>
      </c>
      <c r="G20" s="40" t="n"/>
      <c r="H20" s="39" t="n"/>
      <c r="I20" s="74" t="n">
        <v>17.99</v>
      </c>
      <c r="J20" s="75" t="inlineStr">
        <is>
          <t>2026-03-30</t>
        </is>
      </c>
      <c r="K20" s="40" t="n">
        <v>1.57</v>
      </c>
      <c r="L20" s="76" t="n">
        <v>0.08727070594774877</v>
      </c>
      <c r="M20" s="77" t="n">
        <v>0</v>
      </c>
      <c r="N20" s="39" t="inlineStr">
        <is>
          <t>Active</t>
        </is>
      </c>
      <c r="O20" s="39" t="inlineStr">
        <is>
          <t>Yes (41%)</t>
        </is>
      </c>
      <c r="P20" s="78" t="n"/>
      <c r="Q20" s="77" t="n"/>
      <c r="R20" s="77" t="n"/>
      <c r="S20" s="77" t="n"/>
      <c r="T20" s="39" t="n"/>
    </row>
    <row r="21" ht="62" customHeight="1">
      <c r="A21" s="12">
        <f>_xlfn.IMAGE("https://m.media-amazon.com/images/I/71OdXzreAsL.jpg")</f>
        <v/>
      </c>
      <c r="B21" s="39" t="inlineStr">
        <is>
          <t>B0F4XQBGJV</t>
        </is>
      </c>
      <c r="C21" s="39" t="inlineStr">
        <is>
          <t>SS-SLEEP-MASK-3D-CONTOURED-PINK</t>
        </is>
      </c>
      <c r="D21" s="39" t="inlineStr">
        <is>
          <t>SLEEP SANCTUARY 100% Pure Mulberry Silk Sleep Mask - 22 Momme Light Blocking 3D Contour Silk Eye Mask for Sleeping - Secure Fit for Side Sleepers, Women &amp; Men - Cloud Soft (Pink)</t>
        </is>
      </c>
      <c r="E21" s="39" t="inlineStr">
        <is>
          <t>One Size</t>
        </is>
      </c>
      <c r="F21" s="39" t="inlineStr">
        <is>
          <t>Pink</t>
        </is>
      </c>
      <c r="G21" s="40" t="n"/>
      <c r="H21" s="39" t="n"/>
      <c r="I21" s="74" t="n">
        <v>25.95</v>
      </c>
      <c r="J21" s="75" t="inlineStr">
        <is>
          <t>2026-03-30</t>
        </is>
      </c>
      <c r="K21" s="40" t="n">
        <v>8.34</v>
      </c>
      <c r="L21" s="76" t="n">
        <v>0.3213872832369942</v>
      </c>
      <c r="M21" s="77" t="n">
        <v>0</v>
      </c>
      <c r="N21" s="39" t="inlineStr">
        <is>
          <t>Active</t>
        </is>
      </c>
      <c r="O21" s="39" t="n"/>
      <c r="P21" s="78" t="n"/>
      <c r="Q21" s="77" t="n"/>
      <c r="R21" s="77" t="n"/>
      <c r="S21" s="77" t="n"/>
      <c r="T21" s="39" t="n"/>
    </row>
    <row r="22"/>
    <row r="23" ht="22" customHeight="1">
      <c r="A23" s="65" t="inlineStr">
        <is>
          <t>3 ▼</t>
        </is>
      </c>
      <c r="B23" s="66" t="inlineStr">
        <is>
          <t>OUR BFCM 2025 RESULT &amp; EVENT VISIBILITY</t>
        </is>
      </c>
      <c r="C23" s="67" t="n"/>
      <c r="D23" s="67" t="n"/>
      <c r="E23" s="67" t="n"/>
      <c r="F23" s="67" t="n"/>
      <c r="G23" s="67" t="n"/>
      <c r="H23" s="67" t="n"/>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c r="AC23" s="67" t="n"/>
      <c r="AD23" s="67" t="n"/>
      <c r="AE23" s="67" t="n"/>
      <c r="AF23" s="67" t="n"/>
      <c r="AG23" s="67" t="n"/>
      <c r="AH23" s="67" t="n"/>
      <c r="AI23" s="67" t="n"/>
      <c r="AJ23" s="67" t="n"/>
      <c r="AK23" s="67" t="n"/>
      <c r="AL23" s="67" t="n"/>
      <c r="AM23" s="67" t="n"/>
      <c r="AN23" s="67" t="n"/>
      <c r="AO23" s="67" t="n"/>
      <c r="AP23" s="67" t="n"/>
      <c r="AQ23" s="67" t="n"/>
      <c r="AR23" s="67" t="n"/>
      <c r="AS23" s="67" t="n"/>
      <c r="AT23" s="67" t="n"/>
      <c r="AU23" s="67" t="n"/>
      <c r="AV23" s="67" t="n"/>
      <c r="AW23" s="67" t="n"/>
      <c r="AX23" s="67" t="n"/>
      <c r="AY23" s="67" t="n"/>
      <c r="AZ23" s="67" t="n"/>
      <c r="BA23" s="67" t="n"/>
      <c r="BB23" s="67" t="n"/>
      <c r="BC23" s="67" t="n"/>
      <c r="BD23" s="67" t="n"/>
      <c r="BE23" s="67" t="n"/>
      <c r="BF23" s="67" t="n"/>
      <c r="BG23" s="67" t="n"/>
      <c r="BH23" s="67" t="n"/>
      <c r="BI23" s="67" t="n"/>
      <c r="BJ23" s="67" t="n"/>
      <c r="BK23" s="67" t="n"/>
    </row>
    <row r="24">
      <c r="A24" s="80" t="inlineStr">
        <is>
          <t>Window</t>
        </is>
      </c>
      <c r="B24" s="81" t="n"/>
      <c r="C24" s="82" t="n"/>
      <c r="D24" s="80" t="inlineStr">
        <is>
          <t>Ad spend</t>
        </is>
      </c>
      <c r="E24" s="80" t="inlineStr">
        <is>
          <t>Ad sales</t>
        </is>
      </c>
      <c r="F24" s="80" t="inlineStr">
        <is>
          <t>ACoS</t>
        </is>
      </c>
      <c r="G24" s="80" t="inlineStr">
        <is>
          <t>TACoS</t>
        </is>
      </c>
      <c r="H24" s="80" t="inlineStr">
        <is>
          <t>Total sales (derived)</t>
        </is>
      </c>
      <c r="J24" s="80" t="inlineStr">
        <is>
          <t>Ad orders</t>
        </is>
      </c>
      <c r="K24" s="80" t="inlineStr">
        <is>
          <t>CVR</t>
        </is>
      </c>
    </row>
    <row r="25">
      <c r="A25" s="83" t="inlineStr">
        <is>
          <t>Pre-event Oct 21 - Nov 19, 2025 (30d)</t>
        </is>
      </c>
      <c r="B25" s="81" t="n"/>
      <c r="C25" s="82" t="n"/>
      <c r="D25" s="84" t="n"/>
      <c r="E25" s="84" t="n"/>
      <c r="F25" s="85" t="n"/>
      <c r="G25" s="85" t="n"/>
      <c r="H25" s="84" t="n"/>
      <c r="J25" s="86" t="n"/>
      <c r="K25" s="87" t="n"/>
    </row>
    <row r="26">
      <c r="A26" s="83" t="inlineStr">
        <is>
          <t>BFCM week Nov 20 - Dec 1, 2025 (12d)</t>
        </is>
      </c>
      <c r="B26" s="81" t="n"/>
      <c r="C26" s="82" t="n"/>
      <c r="D26" s="84" t="n"/>
      <c r="E26" s="84" t="n"/>
      <c r="F26" s="85" t="n"/>
      <c r="G26" s="85" t="n"/>
      <c r="H26" s="84" t="n"/>
      <c r="J26" s="86" t="n"/>
      <c r="K26" s="87" t="n"/>
    </row>
    <row r="27">
      <c r="A27" s="83" t="inlineStr">
        <is>
          <t>December 2 - 31, 2025 (30d)</t>
        </is>
      </c>
      <c r="B27" s="81" t="n"/>
      <c r="C27" s="82" t="n"/>
      <c r="D27" s="84" t="n"/>
      <c r="E27" s="84" t="n"/>
      <c r="F27" s="85" t="n"/>
      <c r="G27" s="85" t="n"/>
      <c r="H27" s="84" t="n"/>
      <c r="J27" s="86" t="n"/>
      <c r="K27" s="87" t="n"/>
    </row>
    <row r="28"/>
    <row r="29">
      <c r="A29" s="80" t="inlineStr">
        <is>
          <t>Actual sales (account data)</t>
        </is>
      </c>
      <c r="B29" s="81" t="n"/>
      <c r="C29" s="82" t="n"/>
      <c r="D29" s="80" t="inlineStr">
        <is>
          <t>Sales</t>
        </is>
      </c>
      <c r="E29" s="80" t="inlineStr">
        <is>
          <t>Units</t>
        </is>
      </c>
      <c r="F29" s="80" t="inlineStr">
        <is>
          <t>Organic units</t>
        </is>
      </c>
      <c r="G29" s="80" t="inlineStr">
        <is>
          <t>Ad units</t>
        </is>
      </c>
      <c r="H29" s="80" t="inlineStr">
        <is>
          <t>Ad cost</t>
        </is>
      </c>
      <c r="J29" s="80" t="inlineStr">
        <is>
          <t>TACoS (actual)</t>
        </is>
      </c>
      <c r="K29" s="80" t="inlineStr">
        <is>
          <t>Sessions</t>
        </is>
      </c>
      <c r="L29" s="80" t="inlineStr">
        <is>
          <t>Unit session %</t>
        </is>
      </c>
      <c r="M29" s="80" t="inlineStr">
        <is>
          <t>Avg price</t>
        </is>
      </c>
      <c r="N29" s="80" t="inlineStr">
        <is>
          <t>Refunds</t>
        </is>
      </c>
    </row>
    <row r="30">
      <c r="A30" s="83" t="inlineStr">
        <is>
          <t>Pre-event Oct 21 - Nov 19, 2025 (30d)</t>
        </is>
      </c>
      <c r="B30" s="81" t="n"/>
      <c r="C30" s="82" t="n"/>
      <c r="D30" s="84" t="n">
        <v>59.85</v>
      </c>
      <c r="E30" s="86" t="n">
        <v>3</v>
      </c>
      <c r="F30" s="86" t="n">
        <v>3</v>
      </c>
      <c r="G30" s="86" t="n">
        <v>0</v>
      </c>
      <c r="H30" s="84" t="n">
        <v>0</v>
      </c>
      <c r="J30" s="88" t="n">
        <v>0</v>
      </c>
      <c r="K30" s="86" t="n">
        <v>153</v>
      </c>
      <c r="L30" s="88" t="n">
        <v>0.0196078431372549</v>
      </c>
      <c r="M30" s="89" t="n">
        <v>19.95</v>
      </c>
      <c r="N30" s="86" t="n">
        <v>1</v>
      </c>
    </row>
    <row r="31">
      <c r="A31" s="83" t="inlineStr">
        <is>
          <t>BFCM week Nov 20 - Dec 1, 2025 (12d)</t>
        </is>
      </c>
      <c r="B31" s="81" t="n"/>
      <c r="C31" s="82" t="n"/>
      <c r="D31" s="84" t="n">
        <v>87.78</v>
      </c>
      <c r="E31" s="86" t="n">
        <v>5</v>
      </c>
      <c r="F31" s="86" t="n">
        <v>5</v>
      </c>
      <c r="G31" s="86" t="n">
        <v>0</v>
      </c>
      <c r="H31" s="84" t="n">
        <v>0</v>
      </c>
      <c r="J31" s="88" t="n">
        <v>0</v>
      </c>
      <c r="K31" s="86" t="n">
        <v>99</v>
      </c>
      <c r="L31" s="88" t="n">
        <v>0.0505050505050505</v>
      </c>
      <c r="M31" s="89" t="n">
        <v>17.556</v>
      </c>
      <c r="N31" s="86" t="n">
        <v>0</v>
      </c>
    </row>
    <row r="32">
      <c r="A32" s="83" t="inlineStr">
        <is>
          <t>December 2 - 31, 2025 (30d)</t>
        </is>
      </c>
      <c r="B32" s="81" t="n"/>
      <c r="C32" s="82" t="n"/>
      <c r="D32" s="84" t="n">
        <v>394.05</v>
      </c>
      <c r="E32" s="86" t="n">
        <v>19</v>
      </c>
      <c r="F32" s="86" t="n">
        <v>19</v>
      </c>
      <c r="G32" s="86" t="n">
        <v>0</v>
      </c>
      <c r="H32" s="84" t="n">
        <v>0</v>
      </c>
      <c r="J32" s="88" t="n">
        <v>0</v>
      </c>
      <c r="K32" s="86" t="n">
        <v>169</v>
      </c>
      <c r="L32" s="88" t="n">
        <v>0.1124260355029586</v>
      </c>
      <c r="M32" s="89" t="n">
        <v>20.73947368421053</v>
      </c>
      <c r="N32" s="86" t="n">
        <v>3</v>
      </c>
    </row>
    <row r="33">
      <c r="A33" s="90" t="inlineStr">
        <is>
          <t>account data, Amazon parent B0GDML4FK7 plus any of this product's child ASINs account data lists on their own, UTC days. Lift above uses these actual sales.</t>
        </is>
      </c>
    </row>
    <row r="34" ht="18" customHeight="1">
      <c r="A34" s="94" t="inlineStr">
        <is>
          <t>BFCM 2026 plan: NOT IN A DEAL. the team confirmed that products without a planned deal are not in any BFCM 2026 deal; they sell at their regular price.</t>
        </is>
      </c>
    </row>
    <row r="35" ht="30" customHeight="1">
      <c r="A35" s="94" t="inlineStr">
        <is>
          <t>BFCM 2026 stock (account data, Oct 15): 32 units at Amazon + 0 already sent (no ETA in account data); selling 0.3 a day; need about 20 to Nov 30 with a 3.67x BFCM lift (own BFCM 2025 lift (account data)). Variations: 2 covered, 0 need the inbound in time, 2 short even with inbound (18 units), 0 out of stock now. Detail: BFCM Stock tab.</t>
        </is>
      </c>
    </row>
    <row r="36" ht="30" customHeight="1">
      <c r="A36" s="91" t="inlineStr">
        <is>
          <t>Our hero child B0F4XRFWGR in price history (market data, US): price $19.95 before (median Nov 1-19) → $19.95 in BFCM week (median Nov 20 - Dec 1), no cut; lowest $19.95; Best Seller Rank 776,788 → 788,668 (1.02x worse). Price is price history's lowest new offer (price history holds no Buy Box series for our own ASINs; we are the only seller).</t>
        </is>
      </c>
    </row>
    <row r="37">
      <c r="A37" s="90" t="inlineStr">
        <is>
          <t>No market data visibility history for our best child ASIN.</t>
        </is>
      </c>
    </row>
    <row r="38">
      <c r="A38" s="132" t="inlineStr">
        <is>
          <t>No BFCM 2025 PPC data for this product (not advertised or launched after BFCM 2025).</t>
        </is>
      </c>
    </row>
    <row r="39"/>
    <row r="40" ht="22" customHeight="1">
      <c r="A40" s="65" t="inlineStr">
        <is>
          <t>4 ▼</t>
        </is>
      </c>
      <c r="B40" s="66" t="inlineStr">
        <is>
          <t>COMPETITOR LANDSCAPE (27 mapped)</t>
        </is>
      </c>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c r="AL40" s="67" t="n"/>
      <c r="AM40" s="67" t="n"/>
      <c r="AN40" s="67" t="n"/>
      <c r="AO40" s="67" t="n"/>
      <c r="AP40" s="67" t="n"/>
      <c r="AQ40" s="67" t="n"/>
      <c r="AR40" s="67" t="n"/>
      <c r="AS40" s="67" t="n"/>
      <c r="AT40" s="67" t="n"/>
      <c r="AU40" s="67" t="n"/>
      <c r="AV40" s="67" t="n"/>
      <c r="AW40" s="67" t="n"/>
      <c r="AX40" s="67" t="n"/>
      <c r="AY40" s="67" t="n"/>
      <c r="AZ40" s="67" t="n"/>
      <c r="BA40" s="67" t="n"/>
      <c r="BB40" s="67" t="n"/>
      <c r="BC40" s="67" t="n"/>
      <c r="BD40" s="67" t="n"/>
      <c r="BE40" s="67" t="n"/>
      <c r="BF40" s="67" t="n"/>
      <c r="BG40" s="67" t="n"/>
      <c r="BH40" s="67" t="n"/>
      <c r="BI40" s="67" t="n"/>
      <c r="BJ40" s="67" t="n"/>
      <c r="BK40" s="67" t="n"/>
    </row>
    <row r="41" ht="20" customHeight="1">
      <c r="A41" s="96" t="inlineStr">
        <is>
          <t>▼▼▼</t>
        </is>
      </c>
      <c r="B41" s="97" t="inlineStr">
        <is>
          <t>COMPETITOR DATA BELOW: one row per competitor (0 direct first, then alternative material). Scroll right for listing, search, strikethrough now and BFCM 2025 history (deal type, price, discount, rank change).</t>
        </is>
      </c>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8" t="n"/>
      <c r="BI41" s="98" t="n"/>
      <c r="BJ41" s="98" t="n"/>
      <c r="BK41" s="98" t="n"/>
    </row>
    <row r="42">
      <c r="A42" s="99" t="inlineStr">
        <is>
          <t>COMPETITOR</t>
        </is>
      </c>
      <c r="L42" s="100" t="inlineStr">
        <is>
          <t>LISTING - catalog data</t>
        </is>
      </c>
      <c r="M42" s="101" t="inlineStr">
        <is>
          <t>SEARCH STRATEGY - market data search data</t>
        </is>
      </c>
      <c r="N42" s="102" t="inlineStr">
        <is>
          <t>PRICE &amp; SALES - market data snapshot (date per row)</t>
        </is>
      </c>
      <c r="AA42" s="100" t="inlineStr">
        <is>
          <t>LISTING - catalog data</t>
        </is>
      </c>
      <c r="AD42" s="101" t="inlineStr">
        <is>
          <t>SEARCH STRATEGY - market data search data</t>
        </is>
      </c>
      <c r="AU42" s="103" t="inlineStr">
        <is>
          <t>STR NOW - Amazon page check (Oct 13, P1 + P2)</t>
        </is>
      </c>
      <c r="BB42" s="104" t="inlineStr">
        <is>
          <t>BFCM 2025 - price history (P1 filled; yellow = not pulled yet)</t>
        </is>
      </c>
    </row>
    <row r="43" ht="48" customHeight="1">
      <c r="A43" s="26" t="inlineStr">
        <is>
          <t>Image</t>
        </is>
      </c>
      <c r="B43" s="26" t="inlineStr">
        <is>
          <t>Brand</t>
        </is>
      </c>
      <c r="C43" s="26" t="inlineStr">
        <is>
          <t>Product title</t>
        </is>
      </c>
      <c r="D43" s="26" t="inlineStr">
        <is>
          <t>Tier</t>
        </is>
      </c>
      <c r="E43" s="26" t="inlineStr">
        <is>
          <t>Competitor type</t>
        </is>
      </c>
      <c r="F43" s="26" t="inlineStr">
        <is>
          <t>Material</t>
        </is>
      </c>
      <c r="G43" s="26" t="inlineStr">
        <is>
          <t>Why this type</t>
        </is>
      </c>
      <c r="H43" s="26" t="inlineStr">
        <is>
          <t>Parent ASIN</t>
        </is>
      </c>
      <c r="I43" s="26" t="inlineStr">
        <is>
          <t>Tracked child ASIN</t>
        </is>
      </c>
      <c r="J43" s="26" t="inlineStr">
        <is>
          <t>Size</t>
        </is>
      </c>
      <c r="K43" s="26" t="inlineStr">
        <is>
          <t>Colour</t>
        </is>
      </c>
      <c r="L43" s="26" t="inlineStr">
        <is>
          <t>Variations</t>
        </is>
      </c>
      <c r="M43" s="26" t="inlineStr">
        <is>
          <t>Hero child ASINs (share of their visibility)</t>
        </is>
      </c>
      <c r="N43" s="26" t="inlineStr">
        <is>
          <t>Price ($)</t>
        </is>
      </c>
      <c r="O43" s="26" t="inlineStr">
        <is>
          <t>List Price ($)</t>
        </is>
      </c>
      <c r="P43" s="26" t="inlineStr">
        <is>
          <t>List Price % over</t>
        </is>
      </c>
      <c r="Q43" s="26" t="inlineStr">
        <is>
          <t>STR band</t>
        </is>
      </c>
      <c r="R43" s="26" t="inlineStr">
        <is>
          <t>Our price, same size ($)</t>
        </is>
      </c>
      <c r="S43" s="26" t="inlineStr">
        <is>
          <t>Their price vs ours</t>
        </is>
      </c>
      <c r="T43" s="26" t="inlineStr">
        <is>
          <t>Comparison basis</t>
        </is>
      </c>
      <c r="U43" s="26" t="inlineStr">
        <is>
          <t>BSR</t>
        </is>
      </c>
      <c r="V43" s="26" t="inlineStr">
        <is>
          <t>Est weekly units</t>
        </is>
      </c>
      <c r="W43" s="26" t="inlineStr">
        <is>
          <t>Est monthly revenue ($)</t>
        </is>
      </c>
      <c r="X43" s="26" t="inlineStr">
        <is>
          <t>Rating</t>
        </is>
      </c>
      <c r="Y43" s="26" t="inlineStr">
        <is>
          <t>Reviews</t>
        </is>
      </c>
      <c r="Z43" s="26" t="inlineStr">
        <is>
          <t>Snapshot date</t>
        </is>
      </c>
      <c r="AA43" s="26" t="inlineStr">
        <is>
          <t>Listed</t>
        </is>
      </c>
      <c r="AB43" s="26" t="inlineStr">
        <is>
          <t>Fulfil.</t>
        </is>
      </c>
      <c r="AC43" s="26" t="inlineStr">
        <is>
          <t>Seller country</t>
        </is>
      </c>
      <c r="AD43" s="26" t="inlineStr">
        <is>
          <t>search data 7d traffic</t>
        </is>
      </c>
      <c r="AE43" s="26" t="inlineStr">
        <is>
          <t>Keywords ranked</t>
        </is>
      </c>
      <c r="AF43" s="26" t="inlineStr">
        <is>
          <t>Organic share of traffic</t>
        </is>
      </c>
      <c r="AG43" s="26" t="inlineStr">
        <is>
          <t>Ad share of traffic</t>
        </is>
      </c>
      <c r="AH43" s="26" t="inlineStr">
        <is>
          <t>Top keyword</t>
        </is>
      </c>
      <c r="AI43" s="26" t="inlineStr">
        <is>
          <t>SP reach</t>
        </is>
      </c>
      <c r="AJ43" s="26" t="inlineStr">
        <is>
          <t>SB reach</t>
        </is>
      </c>
      <c r="AK43" s="26" t="inlineStr">
        <is>
          <t>SB video reach</t>
        </is>
      </c>
      <c r="AL43" s="26" t="inlineStr">
        <is>
          <t>Amazon's Choice reach</t>
        </is>
      </c>
      <c r="AM43" s="26" t="inlineStr">
        <is>
          <t>Shared keywords</t>
        </is>
      </c>
      <c r="AN43" s="26" t="inlineStr">
        <is>
          <t>We win</t>
        </is>
      </c>
      <c r="AO43" s="26" t="inlineStr">
        <is>
          <t>We lose</t>
        </is>
      </c>
      <c r="AP43" s="26" t="inlineStr">
        <is>
          <t>Their keywords we miss</t>
        </is>
      </c>
      <c r="AQ43" s="26" t="inlineStr">
        <is>
          <t>KWs they advertise, we don't</t>
        </is>
      </c>
      <c r="AR43" s="26" t="inlineStr">
        <is>
          <t>KWs they out-advertise us</t>
        </is>
      </c>
      <c r="AS43" s="26" t="inlineStr">
        <is>
          <t>Prime Day 2026 organic vis lift</t>
        </is>
      </c>
      <c r="AT43" s="26" t="inlineStr">
        <is>
          <t>Organic trend (Aug-Sep vs Q2)</t>
        </is>
      </c>
      <c r="AU43" s="26" t="inlineStr">
        <is>
          <t>STR showing now? (Y/N)</t>
        </is>
      </c>
      <c r="AV43" s="26" t="inlineStr">
        <is>
          <t>STR label</t>
        </is>
      </c>
      <c r="AW43" s="26" t="inlineStr">
        <is>
          <t>Strikethrough price ($)</t>
        </is>
      </c>
      <c r="AX43" s="26" t="inlineStr">
        <is>
          <t>Page price at check ($)</t>
        </is>
      </c>
      <c r="AY43" s="26" t="inlineStr">
        <is>
          <t>Deal / coupon now</t>
        </is>
      </c>
      <c r="AZ43" s="26" t="inlineStr">
        <is>
          <t>Orderable now (Y/N)</t>
        </is>
      </c>
      <c r="BA43" s="26" t="inlineStr">
        <is>
          <t>Checked (ET)</t>
        </is>
      </c>
      <c r="BB43" s="26" t="inlineStr">
        <is>
          <t>BFCM 2025 deal type</t>
        </is>
      </c>
      <c r="BC43" s="26" t="inlineStr">
        <is>
          <t>BFCM 2025 deal dates</t>
        </is>
      </c>
      <c r="BD43" s="26" t="inlineStr">
        <is>
          <t>Pre-event price ($)</t>
        </is>
      </c>
      <c r="BE43" s="26" t="inlineStr">
        <is>
          <t>BFCM 2025 low ($)</t>
        </is>
      </c>
      <c r="BF43" s="26" t="inlineStr">
        <is>
          <t>BFCM 2025 discount</t>
        </is>
      </c>
      <c r="BG43" s="26" t="inlineStr">
        <is>
          <t>BSR pre-event</t>
        </is>
      </c>
      <c r="BH43" s="26" t="inlineStr">
        <is>
          <t>BSR BFCM wk</t>
        </is>
      </c>
      <c r="BI43" s="26" t="inlineStr">
        <is>
          <t>BSR lift (x)</t>
        </is>
      </c>
      <c r="BJ43" s="26" t="inlineStr">
        <is>
          <t>OOS in BFCM? (Y/N)</t>
        </is>
      </c>
      <c r="BK43" s="26" t="inlineStr">
        <is>
          <t>Notes</t>
        </is>
      </c>
    </row>
    <row r="44" ht="62" customHeight="1">
      <c r="A44" s="12">
        <f>_xlfn.IMAGE("https://m.media-amazon.com/images/I/71SMSJDNOBL._AC_SL1500_.jpg")</f>
        <v/>
      </c>
      <c r="B44" s="105" t="inlineStr">
        <is>
          <t>MZOO</t>
        </is>
      </c>
      <c r="C44" s="39" t="inlineStr">
        <is>
          <t>SS Silk Sleep Mask - Contoured</t>
        </is>
      </c>
      <c r="D44" s="105" t="inlineStr">
        <is>
          <t>Aspirational</t>
        </is>
      </c>
      <c r="E44" s="134" t="inlineStr">
        <is>
          <t>Not classified</t>
        </is>
      </c>
      <c r="F44" s="105" t="n"/>
      <c r="G44" s="39" t="inlineStr">
        <is>
          <t>Not a sheet, pillowcase or comforter product; competitors are compared on price and sales only.</t>
        </is>
      </c>
      <c r="H44" s="107" t="inlineStr">
        <is>
          <t>B0BQD58J7V</t>
        </is>
      </c>
      <c r="I44" s="107" t="inlineStr">
        <is>
          <t>B07KC5DWCC</t>
        </is>
      </c>
      <c r="J44" s="105" t="n"/>
      <c r="K44" s="105" t="n"/>
      <c r="L44" s="108" t="n"/>
      <c r="M44" s="39" t="inlineStr"/>
      <c r="N44" s="109" t="n">
        <v>13.99</v>
      </c>
      <c r="O44" s="109" t="n">
        <v>17.99</v>
      </c>
      <c r="P44" s="110">
        <f>IF(AND(ISNUMBER(O44),ISNUMBER(N44),N(N44)&gt;0),O44/N44-1,"")</f>
        <v/>
      </c>
      <c r="Q44" s="111">
        <f>IF(P44="","No List Price",IF(P44&lt;=0,"At/below price",IF(P44&lt;=0.12,"&lt;=12% STR zone",IF(P44&lt;=0.25,"12-25%","&gt;25% over"))))</f>
        <v/>
      </c>
      <c r="R44" s="109" t="n">
        <v>25.95</v>
      </c>
      <c r="S44" s="112">
        <f>IF(AND(ISNUMBER(N44),ISNUMBER(R44),N(R44)&gt;0),N44/R44-1,"")</f>
        <v/>
      </c>
      <c r="T44" s="39" t="inlineStr">
        <is>
          <t>vs our blended price (market data, Mar 2026 - STALE)</t>
        </is>
      </c>
      <c r="U44" s="108" t="n">
        <v>263</v>
      </c>
      <c r="V44" s="108" t="n">
        <v>13857</v>
      </c>
      <c r="W44" s="113">
        <f>IF(AND(ISNUMBER(N44),ISNUMBER(V44)),N44*V44*52/12,"")</f>
        <v/>
      </c>
      <c r="X44" s="114" t="n">
        <v>4.6</v>
      </c>
      <c r="Y44" s="108" t="n">
        <v>101412</v>
      </c>
      <c r="Z44" s="115" t="n">
        <v>46307</v>
      </c>
      <c r="AA44" s="115" t="n"/>
      <c r="AB44" s="105" t="n"/>
      <c r="AC44" s="105" t="n"/>
      <c r="AD44" s="108" t="n"/>
      <c r="AE44" s="108" t="n"/>
      <c r="AF44" s="116" t="n"/>
      <c r="AG44" s="116" t="n"/>
      <c r="AH44" s="39" t="n"/>
      <c r="AI44" s="116" t="n"/>
      <c r="AJ44" s="116" t="n"/>
      <c r="AK44" s="116" t="n"/>
      <c r="AL44" s="116" t="n"/>
      <c r="AM44" s="108" t="n"/>
      <c r="AN44" s="108" t="n"/>
      <c r="AO44" s="108" t="n"/>
      <c r="AP44" s="108" t="n"/>
      <c r="AQ44" s="108" t="n"/>
      <c r="AR44" s="108" t="n"/>
      <c r="AS44" s="117" t="n">
        <v>1.060881633249334</v>
      </c>
      <c r="AT44" s="112" t="n">
        <v>0.3402625367510042</v>
      </c>
      <c r="AU44" s="118" t="inlineStr">
        <is>
          <t>Y</t>
        </is>
      </c>
      <c r="AV44" s="118" t="inlineStr">
        <is>
          <t>List Price</t>
        </is>
      </c>
      <c r="AW44" s="119" t="n">
        <v>17.99</v>
      </c>
      <c r="AX44" s="119" t="n">
        <v>13.99</v>
      </c>
      <c r="AY44" s="118" t="inlineStr">
        <is>
          <t>Limited time deal</t>
        </is>
      </c>
      <c r="AZ44" s="118" t="inlineStr">
        <is>
          <t>Y</t>
        </is>
      </c>
      <c r="BA44" s="118" t="inlineStr">
        <is>
          <t>2026-10-13 23:46:20</t>
        </is>
      </c>
      <c r="BB44" s="120" t="inlineStr">
        <is>
          <t>Prime Exclusive Discount</t>
        </is>
      </c>
      <c r="BC44" s="120" t="inlineStr">
        <is>
          <t>11-21 to 12-01</t>
        </is>
      </c>
      <c r="BD44" s="121" t="n">
        <v>14.99</v>
      </c>
      <c r="BE44" s="121" t="n">
        <v>9.99</v>
      </c>
      <c r="BF44" s="110">
        <f>IF(AND(ISNUMBER(BD44),ISNUMBER(BE44),N(BD44)&gt;0),1-BE44/BD44,"")</f>
        <v/>
      </c>
      <c r="BG44" s="122" t="n">
        <v>184</v>
      </c>
      <c r="BH44" s="122" t="n">
        <v>150</v>
      </c>
      <c r="BI44" s="123">
        <f>IF(AND(ISNUMBER(BG44),ISNUMBER(BH44),N(BH44)&gt;0),BG44/BH44,"")</f>
        <v/>
      </c>
      <c r="BJ44" s="120" t="inlineStr">
        <is>
          <t>N</t>
        </is>
      </c>
      <c r="BK44" s="120" t="inlineStr">
        <is>
          <t>Coupon 2.00 USD, 5.00 USD (11-01 to 12-02); List Price $22.99</t>
        </is>
      </c>
    </row>
    <row r="45" ht="62" customHeight="1">
      <c r="A45" s="12">
        <f>_xlfn.IMAGE("https://m.media-amazon.com/images/I/813M0YqSLzL._AC_SL1500_.jpg")</f>
        <v/>
      </c>
      <c r="B45" s="105" t="inlineStr">
        <is>
          <t>LitBear</t>
        </is>
      </c>
      <c r="C45" s="39" t="inlineStr">
        <is>
          <t>SS Silk Sleep Mask</t>
        </is>
      </c>
      <c r="D45" s="105" t="inlineStr">
        <is>
          <t>Aspirational</t>
        </is>
      </c>
      <c r="E45" s="134" t="inlineStr">
        <is>
          <t>Not classified</t>
        </is>
      </c>
      <c r="F45" s="105" t="n"/>
      <c r="G45" s="39" t="inlineStr">
        <is>
          <t>Not a sheet, pillowcase or comforter product; competitors are compared on price and sales only.</t>
        </is>
      </c>
      <c r="H45" s="107" t="inlineStr">
        <is>
          <t>B09YQ2GFGB</t>
        </is>
      </c>
      <c r="I45" s="107" t="inlineStr">
        <is>
          <t>B09H7FZ5JM</t>
        </is>
      </c>
      <c r="J45" s="105" t="n"/>
      <c r="K45" s="105" t="n"/>
      <c r="L45" s="108" t="n"/>
      <c r="M45" s="39" t="inlineStr"/>
      <c r="N45" s="109" t="n">
        <v>12.95</v>
      </c>
      <c r="O45" s="109" t="n">
        <v>14.39</v>
      </c>
      <c r="P45" s="110">
        <f>IF(AND(ISNUMBER(O45),ISNUMBER(N45),N(N45)&gt;0),O45/N45-1,"")</f>
        <v/>
      </c>
      <c r="Q45" s="111">
        <f>IF(P45="","No List Price",IF(P45&lt;=0,"At/below price",IF(P45&lt;=0.12,"&lt;=12% STR zone",IF(P45&lt;=0.25,"12-25%","&gt;25% over"))))</f>
        <v/>
      </c>
      <c r="R45" s="109" t="n">
        <v>25.95</v>
      </c>
      <c r="S45" s="112">
        <f>IF(AND(ISNUMBER(N45),ISNUMBER(R45),N(R45)&gt;0),N45/R45-1,"")</f>
        <v/>
      </c>
      <c r="T45" s="39" t="inlineStr">
        <is>
          <t>vs our blended price (market data, Mar 2026 - STALE)</t>
        </is>
      </c>
      <c r="U45" s="108" t="n">
        <v>1574</v>
      </c>
      <c r="V45" s="108" t="n">
        <v>3464</v>
      </c>
      <c r="W45" s="113">
        <f>IF(AND(ISNUMBER(N45),ISNUMBER(V45)),N45*V45*52/12,"")</f>
        <v/>
      </c>
      <c r="X45" s="114" t="n">
        <v>4.7</v>
      </c>
      <c r="Y45" s="108" t="n">
        <v>17354</v>
      </c>
      <c r="Z45" s="115" t="n">
        <v>46307</v>
      </c>
      <c r="AA45" s="115" t="n"/>
      <c r="AB45" s="105" t="n"/>
      <c r="AC45" s="105" t="n"/>
      <c r="AD45" s="108" t="n"/>
      <c r="AE45" s="108" t="n"/>
      <c r="AF45" s="116" t="n"/>
      <c r="AG45" s="116" t="n"/>
      <c r="AH45" s="39" t="n"/>
      <c r="AI45" s="116" t="n"/>
      <c r="AJ45" s="116" t="n"/>
      <c r="AK45" s="116" t="n"/>
      <c r="AL45" s="116" t="n"/>
      <c r="AM45" s="108" t="n"/>
      <c r="AN45" s="108" t="n"/>
      <c r="AO45" s="108" t="n"/>
      <c r="AP45" s="108" t="n"/>
      <c r="AQ45" s="108" t="n"/>
      <c r="AR45" s="108" t="n"/>
      <c r="AS45" s="117" t="n">
        <v>0.9930349542112731</v>
      </c>
      <c r="AT45" s="112" t="n">
        <v>0.2237064116985374</v>
      </c>
      <c r="AU45" s="118" t="inlineStr">
        <is>
          <t>Y</t>
        </is>
      </c>
      <c r="AV45" s="118" t="inlineStr">
        <is>
          <t>Typical price</t>
        </is>
      </c>
      <c r="AW45" s="119" t="n">
        <v>14.39</v>
      </c>
      <c r="AX45" s="119" t="n">
        <v>12.95</v>
      </c>
      <c r="AY45" s="118" t="inlineStr">
        <is>
          <t>Limited time deal</t>
        </is>
      </c>
      <c r="AZ45" s="118" t="inlineStr">
        <is>
          <t>Y</t>
        </is>
      </c>
      <c r="BA45" s="118" t="inlineStr">
        <is>
          <t>2026-10-13 23:46:10</t>
        </is>
      </c>
      <c r="BB45" s="120" t="inlineStr">
        <is>
          <t>Price cut only</t>
        </is>
      </c>
      <c r="BC45" s="120" t="inlineStr">
        <is>
          <t>11-20 to 12-01</t>
        </is>
      </c>
      <c r="BD45" s="121" t="n">
        <v>15.99</v>
      </c>
      <c r="BE45" s="121" t="n">
        <v>13.59</v>
      </c>
      <c r="BF45" s="110">
        <f>IF(AND(ISNUMBER(BD45),ISNUMBER(BE45),N(BD45)&gt;0),1-BE45/BD45,"")</f>
        <v/>
      </c>
      <c r="BG45" s="122" t="n">
        <v>1469</v>
      </c>
      <c r="BH45" s="122" t="n">
        <v>1172</v>
      </c>
      <c r="BI45" s="123">
        <f>IF(AND(ISNUMBER(BG45),ISNUMBER(BH45),N(BH45)&gt;0),BG45/BH45,"")</f>
        <v/>
      </c>
      <c r="BJ45" s="120" t="inlineStr">
        <is>
          <t>N</t>
        </is>
      </c>
      <c r="BK45" s="120" t="inlineStr">
        <is>
          <t>Prime Exclusive 12-05 to 12-05; List Price $15.99</t>
        </is>
      </c>
    </row>
    <row r="46" ht="62" customHeight="1">
      <c r="A46" s="12">
        <f>_xlfn.IMAGE("https://m.media-amazon.com/images/I/81SKo-F-qLL._AC_SL1500_.jpg")</f>
        <v/>
      </c>
      <c r="B46" s="105" t="inlineStr">
        <is>
          <t>Kitsch</t>
        </is>
      </c>
      <c r="C46" s="39" t="inlineStr">
        <is>
          <t>SS Silk Sleep Mask</t>
        </is>
      </c>
      <c r="D46" s="105" t="inlineStr">
        <is>
          <t>Aspirational</t>
        </is>
      </c>
      <c r="E46" s="134" t="inlineStr">
        <is>
          <t>Not classified</t>
        </is>
      </c>
      <c r="F46" s="105" t="n"/>
      <c r="G46" s="39" t="inlineStr">
        <is>
          <t>Not a sheet, pillowcase or comforter product; competitors are compared on price and sales only.</t>
        </is>
      </c>
      <c r="H46" s="107" t="inlineStr">
        <is>
          <t>B0FNPM9ZM4</t>
        </is>
      </c>
      <c r="I46" s="107" t="inlineStr">
        <is>
          <t>B09GYPT47K</t>
        </is>
      </c>
      <c r="J46" s="105" t="n"/>
      <c r="K46" s="105" t="n"/>
      <c r="L46" s="108" t="n"/>
      <c r="M46" s="39" t="inlineStr"/>
      <c r="N46" s="109" t="n">
        <v>14.39</v>
      </c>
      <c r="O46" s="109" t="n">
        <v>17.99</v>
      </c>
      <c r="P46" s="110">
        <f>IF(AND(ISNUMBER(O46),ISNUMBER(N46),N(N46)&gt;0),O46/N46-1,"")</f>
        <v/>
      </c>
      <c r="Q46" s="111">
        <f>IF(P46="","No List Price",IF(P46&lt;=0,"At/below price",IF(P46&lt;=0.12,"&lt;=12% STR zone",IF(P46&lt;=0.25,"12-25%","&gt;25% over"))))</f>
        <v/>
      </c>
      <c r="R46" s="109" t="n">
        <v>25.95</v>
      </c>
      <c r="S46" s="112">
        <f>IF(AND(ISNUMBER(N46),ISNUMBER(R46),N(R46)&gt;0),N46/R46-1,"")</f>
        <v/>
      </c>
      <c r="T46" s="39" t="inlineStr">
        <is>
          <t>vs our blended price (market data, Mar 2026 - STALE)</t>
        </is>
      </c>
      <c r="U46" s="108" t="n">
        <v>1837</v>
      </c>
      <c r="V46" s="108" t="n">
        <v>1848</v>
      </c>
      <c r="W46" s="113">
        <f>IF(AND(ISNUMBER(N46),ISNUMBER(V46)),N46*V46*52/12,"")</f>
        <v/>
      </c>
      <c r="X46" s="114" t="n">
        <v>4.3</v>
      </c>
      <c r="Y46" s="108" t="n">
        <v>1648</v>
      </c>
      <c r="Z46" s="115" t="n">
        <v>46307</v>
      </c>
      <c r="AA46" s="115" t="n"/>
      <c r="AB46" s="105" t="n"/>
      <c r="AC46" s="105" t="n"/>
      <c r="AD46" s="108" t="n"/>
      <c r="AE46" s="108" t="n"/>
      <c r="AF46" s="116" t="n"/>
      <c r="AG46" s="116" t="n"/>
      <c r="AH46" s="39" t="n"/>
      <c r="AI46" s="116" t="n"/>
      <c r="AJ46" s="116" t="n"/>
      <c r="AK46" s="116" t="n"/>
      <c r="AL46" s="116" t="n"/>
      <c r="AM46" s="108" t="n"/>
      <c r="AN46" s="108" t="n"/>
      <c r="AO46" s="108" t="n"/>
      <c r="AP46" s="108" t="n"/>
      <c r="AQ46" s="108" t="n"/>
      <c r="AR46" s="108" t="n"/>
      <c r="AS46" s="117" t="n"/>
      <c r="AT46" s="112" t="n"/>
      <c r="AU46" s="118" t="inlineStr">
        <is>
          <t>N</t>
        </is>
      </c>
      <c r="AV46" s="118" t="inlineStr">
        <is>
          <t>none</t>
        </is>
      </c>
      <c r="AW46" s="124" t="n"/>
      <c r="AX46" s="119" t="n">
        <v>17.99</v>
      </c>
      <c r="AY46" s="118" t="inlineStr">
        <is>
          <t>none</t>
        </is>
      </c>
      <c r="AZ46" s="118" t="inlineStr">
        <is>
          <t>Y</t>
        </is>
      </c>
      <c r="BA46" s="118" t="inlineStr">
        <is>
          <t>2026-10-13 23:46:04</t>
        </is>
      </c>
      <c r="BB46" s="120" t="inlineStr">
        <is>
          <t>Price cut only</t>
        </is>
      </c>
      <c r="BC46" s="120" t="inlineStr">
        <is>
          <t>11-20 to 12-01</t>
        </is>
      </c>
      <c r="BD46" s="121" t="n">
        <v>14.38</v>
      </c>
      <c r="BE46" s="121" t="n">
        <v>12.72</v>
      </c>
      <c r="BF46" s="110">
        <f>IF(AND(ISNUMBER(BD46),ISNUMBER(BE46),N(BD46)&gt;0),1-BE46/BD46,"")</f>
        <v/>
      </c>
      <c r="BG46" s="122" t="n">
        <v>10337</v>
      </c>
      <c r="BH46" s="122" t="n">
        <v>5060</v>
      </c>
      <c r="BI46" s="123">
        <f>IF(AND(ISNUMBER(BG46),ISNUMBER(BH46),N(BH46)&gt;0),BG46/BH46,"")</f>
        <v/>
      </c>
      <c r="BJ46" s="120" t="inlineStr">
        <is>
          <t>N</t>
        </is>
      </c>
      <c r="BK46" s="120" t="inlineStr">
        <is>
          <t>List Price $25.99</t>
        </is>
      </c>
    </row>
    <row r="47" ht="62" customHeight="1">
      <c r="A47" s="12">
        <f>_xlfn.IMAGE("https://m.media-amazon.com/images/I/71QDYaolCbL._AC_SL1500_.jpg")</f>
        <v/>
      </c>
      <c r="B47" s="105" t="inlineStr">
        <is>
          <t>YFONG</t>
        </is>
      </c>
      <c r="C47" s="39" t="inlineStr">
        <is>
          <t>SS Silk Sleep Mask - Contoured</t>
        </is>
      </c>
      <c r="D47" s="105" t="inlineStr">
        <is>
          <t>Aspirational</t>
        </is>
      </c>
      <c r="E47" s="134" t="inlineStr">
        <is>
          <t>Not classified</t>
        </is>
      </c>
      <c r="F47" s="105" t="n"/>
      <c r="G47" s="39" t="inlineStr">
        <is>
          <t>Not a sheet, pillowcase or comforter product; competitors are compared on price and sales only.</t>
        </is>
      </c>
      <c r="H47" s="107" t="inlineStr">
        <is>
          <t>B0F1MYF2WL</t>
        </is>
      </c>
      <c r="I47" s="107" t="inlineStr">
        <is>
          <t>B09C5PD9VD</t>
        </is>
      </c>
      <c r="J47" s="105" t="n"/>
      <c r="K47" s="105" t="n"/>
      <c r="L47" s="108" t="n"/>
      <c r="M47" s="39" t="inlineStr"/>
      <c r="N47" s="109" t="n">
        <v>14.39</v>
      </c>
      <c r="O47" s="109" t="n"/>
      <c r="P47" s="110">
        <f>IF(AND(ISNUMBER(O47),ISNUMBER(N47),N(N47)&gt;0),O47/N47-1,"")</f>
        <v/>
      </c>
      <c r="Q47" s="111">
        <f>IF(P47="","No List Price",IF(P47&lt;=0,"At/below price",IF(P47&lt;=0.12,"&lt;=12% STR zone",IF(P47&lt;=0.25,"12-25%","&gt;25% over"))))</f>
        <v/>
      </c>
      <c r="R47" s="109" t="n">
        <v>25.95</v>
      </c>
      <c r="S47" s="112">
        <f>IF(AND(ISNUMBER(N47),ISNUMBER(R47),N(R47)&gt;0),N47/R47-1,"")</f>
        <v/>
      </c>
      <c r="T47" s="39" t="inlineStr">
        <is>
          <t>vs our blended price (market data, Mar 2026 - STALE)</t>
        </is>
      </c>
      <c r="U47" s="108" t="n">
        <v>5419</v>
      </c>
      <c r="V47" s="108" t="n">
        <v>1848</v>
      </c>
      <c r="W47" s="113">
        <f>IF(AND(ISNUMBER(N47),ISNUMBER(V47)),N47*V47*52/12,"")</f>
        <v/>
      </c>
      <c r="X47" s="114" t="n">
        <v>4.6</v>
      </c>
      <c r="Y47" s="108" t="n">
        <v>8046</v>
      </c>
      <c r="Z47" s="115" t="n">
        <v>46307</v>
      </c>
      <c r="AA47" s="115" t="n"/>
      <c r="AB47" s="105" t="n"/>
      <c r="AC47" s="105" t="n"/>
      <c r="AD47" s="108" t="n"/>
      <c r="AE47" s="108" t="n"/>
      <c r="AF47" s="116" t="n"/>
      <c r="AG47" s="116" t="n"/>
      <c r="AH47" s="39" t="n"/>
      <c r="AI47" s="116" t="n"/>
      <c r="AJ47" s="116" t="n"/>
      <c r="AK47" s="116" t="n"/>
      <c r="AL47" s="116" t="n"/>
      <c r="AM47" s="108" t="n"/>
      <c r="AN47" s="108" t="n"/>
      <c r="AO47" s="108" t="n"/>
      <c r="AP47" s="108" t="n"/>
      <c r="AQ47" s="108" t="n"/>
      <c r="AR47" s="108" t="n"/>
      <c r="AS47" s="117" t="n">
        <v>1.063945578231293</v>
      </c>
      <c r="AT47" s="112" t="n">
        <v>0.4516590389016018</v>
      </c>
      <c r="AU47" s="118" t="inlineStr">
        <is>
          <t>N</t>
        </is>
      </c>
      <c r="AV47" s="118" t="inlineStr">
        <is>
          <t>none</t>
        </is>
      </c>
      <c r="AW47" s="124" t="n"/>
      <c r="AX47" s="119" t="n">
        <v>16.99</v>
      </c>
      <c r="AY47" s="118" t="inlineStr">
        <is>
          <t>none</t>
        </is>
      </c>
      <c r="AZ47" s="118" t="inlineStr">
        <is>
          <t>Y</t>
        </is>
      </c>
      <c r="BA47" s="118" t="inlineStr">
        <is>
          <t>2026-10-13 23:47:10</t>
        </is>
      </c>
      <c r="BB47" s="120" t="inlineStr">
        <is>
          <t>Prime Exclusive Discount</t>
        </is>
      </c>
      <c r="BC47" s="120" t="inlineStr">
        <is>
          <t>11-11 to 12-02</t>
        </is>
      </c>
      <c r="BD47" s="121" t="n">
        <v>13.59</v>
      </c>
      <c r="BE47" s="121" t="n">
        <v>12.91</v>
      </c>
      <c r="BF47" s="110">
        <f>IF(AND(ISNUMBER(BD47),ISNUMBER(BE47),N(BD47)&gt;0),1-BE47/BD47,"")</f>
        <v/>
      </c>
      <c r="BG47" s="122" t="n">
        <v>4945</v>
      </c>
      <c r="BH47" s="122" t="n">
        <v>4269</v>
      </c>
      <c r="BI47" s="123">
        <f>IF(AND(ISNUMBER(BG47),ISNUMBER(BH47),N(BH47)&gt;0),BG47/BH47,"")</f>
        <v/>
      </c>
      <c r="BJ47" s="120" t="inlineStr">
        <is>
          <t>N</t>
        </is>
      </c>
      <c r="BK47" s="120" t="inlineStr">
        <is>
          <t>Prime Exclusive already running before BFCM week; Buy Box RAISED in BFCM week (median $16.99 vs $13.59 before); List Price $16.99</t>
        </is>
      </c>
    </row>
    <row r="48" ht="62" customHeight="1">
      <c r="A48" s="12">
        <f>_xlfn.IMAGE("https://m.media-amazon.com/images/I/61vbS5WX-fL._AC_SL1495_.jpg")</f>
        <v/>
      </c>
      <c r="B48" s="105" t="inlineStr">
        <is>
          <t>FengXinZi Store</t>
        </is>
      </c>
      <c r="C48" s="39" t="inlineStr">
        <is>
          <t>SS Silk Sleep Mask - Contoured</t>
        </is>
      </c>
      <c r="D48" s="105" t="inlineStr">
        <is>
          <t>Aspirational</t>
        </is>
      </c>
      <c r="E48" s="134" t="inlineStr">
        <is>
          <t>Not classified</t>
        </is>
      </c>
      <c r="F48" s="105" t="n"/>
      <c r="G48" s="39" t="inlineStr">
        <is>
          <t>Not a sheet, pillowcase or comforter product; competitors are compared on price and sales only.</t>
        </is>
      </c>
      <c r="H48" s="107" t="inlineStr">
        <is>
          <t>B09YRXKX5Z</t>
        </is>
      </c>
      <c r="I48" s="107" t="inlineStr">
        <is>
          <t>B09YRX2F83</t>
        </is>
      </c>
      <c r="J48" s="105" t="n"/>
      <c r="K48" s="105" t="n"/>
      <c r="L48" s="108" t="n"/>
      <c r="M48" s="39" t="inlineStr"/>
      <c r="N48" s="109" t="n">
        <v>9.98</v>
      </c>
      <c r="O48" s="109" t="n"/>
      <c r="P48" s="110">
        <f>IF(AND(ISNUMBER(O48),ISNUMBER(N48),N(N48)&gt;0),O48/N48-1,"")</f>
        <v/>
      </c>
      <c r="Q48" s="111">
        <f>IF(P48="","No List Price",IF(P48&lt;=0,"At/below price",IF(P48&lt;=0.12,"&lt;=12% STR zone",IF(P48&lt;=0.25,"12-25%","&gt;25% over"))))</f>
        <v/>
      </c>
      <c r="R48" s="109" t="n">
        <v>25.95</v>
      </c>
      <c r="S48" s="112">
        <f>IF(AND(ISNUMBER(N48),ISNUMBER(R48),N(R48)&gt;0),N48/R48-1,"")</f>
        <v/>
      </c>
      <c r="T48" s="39" t="inlineStr">
        <is>
          <t>vs our blended price (market data, Mar 2026 - STALE)</t>
        </is>
      </c>
      <c r="U48" s="108" t="n">
        <v>4808</v>
      </c>
      <c r="V48" s="108" t="n">
        <v>1732</v>
      </c>
      <c r="W48" s="113">
        <f>IF(AND(ISNUMBER(N48),ISNUMBER(V48)),N48*V48*52/12,"")</f>
        <v/>
      </c>
      <c r="X48" s="114" t="n">
        <v>4.6</v>
      </c>
      <c r="Y48" s="108" t="n">
        <v>3765</v>
      </c>
      <c r="Z48" s="115" t="n">
        <v>46307</v>
      </c>
      <c r="AA48" s="115" t="n"/>
      <c r="AB48" s="105" t="n"/>
      <c r="AC48" s="105" t="n"/>
      <c r="AD48" s="108" t="n"/>
      <c r="AE48" s="108" t="n"/>
      <c r="AF48" s="116" t="n"/>
      <c r="AG48" s="116" t="n"/>
      <c r="AH48" s="39" t="n"/>
      <c r="AI48" s="116" t="n"/>
      <c r="AJ48" s="116" t="n"/>
      <c r="AK48" s="116" t="n"/>
      <c r="AL48" s="116" t="n"/>
      <c r="AM48" s="108" t="n"/>
      <c r="AN48" s="108" t="n"/>
      <c r="AO48" s="108" t="n"/>
      <c r="AP48" s="108" t="n"/>
      <c r="AQ48" s="108" t="n"/>
      <c r="AR48" s="108" t="n"/>
      <c r="AS48" s="117" t="n">
        <v>1.008796041781199</v>
      </c>
      <c r="AT48" s="112" t="n">
        <v>-0.2785813630041724</v>
      </c>
      <c r="AU48" s="118" t="inlineStr">
        <is>
          <t>N</t>
        </is>
      </c>
      <c r="AV48" s="118" t="inlineStr">
        <is>
          <t>none</t>
        </is>
      </c>
      <c r="AW48" s="124" t="n"/>
      <c r="AX48" s="119" t="n">
        <v>9.98</v>
      </c>
      <c r="AY48" s="118" t="inlineStr">
        <is>
          <t>none</t>
        </is>
      </c>
      <c r="AZ48" s="118" t="inlineStr">
        <is>
          <t>Y</t>
        </is>
      </c>
      <c r="BA48" s="118" t="inlineStr">
        <is>
          <t>2026-10-13 23:45:26</t>
        </is>
      </c>
      <c r="BB48" s="120" t="inlineStr">
        <is>
          <t>Prime Exclusive Discount</t>
        </is>
      </c>
      <c r="BC48" s="120" t="inlineStr">
        <is>
          <t>11-23 to 12-01</t>
        </is>
      </c>
      <c r="BD48" s="121" t="n">
        <v>9.93</v>
      </c>
      <c r="BE48" s="121" t="n">
        <v>9.369999999999999</v>
      </c>
      <c r="BF48" s="110">
        <f>IF(AND(ISNUMBER(BD48),ISNUMBER(BE48),N(BD48)&gt;0),1-BE48/BD48,"")</f>
        <v/>
      </c>
      <c r="BG48" s="122" t="n">
        <v>4850</v>
      </c>
      <c r="BH48" s="122" t="n">
        <v>4336</v>
      </c>
      <c r="BI48" s="123">
        <f>IF(AND(ISNUMBER(BG48),ISNUMBER(BH48),N(BH48)&gt;0),BG48/BH48,"")</f>
        <v/>
      </c>
      <c r="BJ48" s="120" t="inlineStr">
        <is>
          <t>N</t>
        </is>
      </c>
      <c r="BK48" s="120" t="inlineStr">
        <is>
          <t>List Price $13.98</t>
        </is>
      </c>
    </row>
    <row r="49" ht="62" customHeight="1">
      <c r="A49" s="12">
        <f>_xlfn.IMAGE("https://m.media-amazon.com/images/I/61obj0CqXCL._AC_SL1500_.jpg")</f>
        <v/>
      </c>
      <c r="B49" s="105" t="inlineStr">
        <is>
          <t>LULUSILK</t>
        </is>
      </c>
      <c r="C49" s="39" t="inlineStr">
        <is>
          <t>SS Silk Sleep Mask</t>
        </is>
      </c>
      <c r="D49" s="105" t="inlineStr">
        <is>
          <t>Aspirational</t>
        </is>
      </c>
      <c r="E49" s="134" t="inlineStr">
        <is>
          <t>Not classified</t>
        </is>
      </c>
      <c r="F49" s="105" t="n"/>
      <c r="G49" s="39" t="inlineStr">
        <is>
          <t>Not a sheet, pillowcase or comforter product; competitors are compared on price and sales only.</t>
        </is>
      </c>
      <c r="H49" s="107" t="inlineStr">
        <is>
          <t>B074TBH52S</t>
        </is>
      </c>
      <c r="I49" s="107" t="inlineStr">
        <is>
          <t>B074TBYWGS</t>
        </is>
      </c>
      <c r="J49" s="105" t="n"/>
      <c r="K49" s="105" t="n"/>
      <c r="L49" s="108" t="n">
        <v>7</v>
      </c>
      <c r="M49" s="39" t="inlineStr">
        <is>
          <t>B074TBYWGS (83%)</t>
        </is>
      </c>
      <c r="N49" s="109" t="n">
        <v>9.99</v>
      </c>
      <c r="O49" s="109" t="n"/>
      <c r="P49" s="110">
        <f>IF(AND(ISNUMBER(O49),ISNUMBER(N49),N(N49)&gt;0),O49/N49-1,"")</f>
        <v/>
      </c>
      <c r="Q49" s="111">
        <f>IF(P49="","No List Price",IF(P49&lt;=0,"At/below price",IF(P49&lt;=0.12,"&lt;=12% STR zone",IF(P49&lt;=0.25,"12-25%","&gt;25% over"))))</f>
        <v/>
      </c>
      <c r="R49" s="109" t="n">
        <v>25.95</v>
      </c>
      <c r="S49" s="112">
        <f>IF(AND(ISNUMBER(N49),ISNUMBER(R49),N(R49)&gt;0),N49/R49-1,"")</f>
        <v/>
      </c>
      <c r="T49" s="39" t="inlineStr">
        <is>
          <t>vs our blended price (market data, Mar 2026 - STALE)</t>
        </is>
      </c>
      <c r="U49" s="108" t="n">
        <v>8556</v>
      </c>
      <c r="V49" s="108" t="n">
        <v>809</v>
      </c>
      <c r="W49" s="113">
        <f>IF(AND(ISNUMBER(N49),ISNUMBER(V49)),N49*V49*52/12,"")</f>
        <v/>
      </c>
      <c r="X49" s="114" t="n">
        <v>4.4</v>
      </c>
      <c r="Y49" s="108" t="n">
        <v>12325</v>
      </c>
      <c r="Z49" s="115" t="n">
        <v>46307</v>
      </c>
      <c r="AA49" s="115" t="n"/>
      <c r="AB49" s="105" t="n"/>
      <c r="AC49" s="105" t="n"/>
      <c r="AD49" s="108" t="n">
        <v>106430</v>
      </c>
      <c r="AE49" s="108" t="n">
        <v>644</v>
      </c>
      <c r="AF49" s="116" t="n">
        <v>0.9607324494973225</v>
      </c>
      <c r="AG49" s="116" t="n">
        <v>0.03926767076951988</v>
      </c>
      <c r="AH49" s="39" t="inlineStr">
        <is>
          <t>sleep mask</t>
        </is>
      </c>
      <c r="AI49" s="116" t="n">
        <v>0.67251714742084</v>
      </c>
      <c r="AJ49" s="116" t="n"/>
      <c r="AK49" s="116" t="n"/>
      <c r="AL49" s="116" t="n">
        <v>0.00684017664192427</v>
      </c>
      <c r="AM49" s="108" t="n">
        <v>41</v>
      </c>
      <c r="AN49" s="108" t="n">
        <v>2</v>
      </c>
      <c r="AO49" s="108" t="n">
        <v>34</v>
      </c>
      <c r="AP49" s="108" t="n">
        <v>603</v>
      </c>
      <c r="AQ49" s="108" t="n">
        <v>135</v>
      </c>
      <c r="AR49" s="108" t="n">
        <v>0</v>
      </c>
      <c r="AS49" s="117" t="n">
        <v>1.562836624775583</v>
      </c>
      <c r="AT49" s="112" t="n">
        <v>0.3807249227311043</v>
      </c>
      <c r="AU49" s="118" t="inlineStr">
        <is>
          <t>N</t>
        </is>
      </c>
      <c r="AV49" s="118" t="inlineStr">
        <is>
          <t>none</t>
        </is>
      </c>
      <c r="AW49" s="124" t="n"/>
      <c r="AX49" s="119" t="n">
        <v>9.99</v>
      </c>
      <c r="AY49" s="118" t="inlineStr">
        <is>
          <t>none</t>
        </is>
      </c>
      <c r="AZ49" s="118" t="inlineStr">
        <is>
          <t>Y</t>
        </is>
      </c>
      <c r="BA49" s="118" t="inlineStr">
        <is>
          <t>2026-10-13 23:46:07</t>
        </is>
      </c>
      <c r="BB49" s="120" t="inlineStr">
        <is>
          <t>Price cut only</t>
        </is>
      </c>
      <c r="BC49" s="120" t="inlineStr">
        <is>
          <t>11-20 to 12-01</t>
        </is>
      </c>
      <c r="BD49" s="121" t="n">
        <v>9.99</v>
      </c>
      <c r="BE49" s="121" t="n">
        <v>8.49</v>
      </c>
      <c r="BF49" s="110">
        <f>IF(AND(ISNUMBER(BD49),ISNUMBER(BE49),N(BD49)&gt;0),1-BE49/BD49,"")</f>
        <v/>
      </c>
      <c r="BG49" s="122" t="n">
        <v>6515</v>
      </c>
      <c r="BH49" s="122" t="n">
        <v>5815</v>
      </c>
      <c r="BI49" s="123">
        <f>IF(AND(ISNUMBER(BG49),ISNUMBER(BH49),N(BH49)&gt;0),BG49/BH49,"")</f>
        <v/>
      </c>
      <c r="BJ49" s="120" t="inlineStr">
        <is>
          <t>N</t>
        </is>
      </c>
      <c r="BK49" s="125" t="n"/>
    </row>
    <row r="50" ht="62" customHeight="1">
      <c r="A50" s="12">
        <f>_xlfn.IMAGE("https://m.media-amazon.com/images/I/61R3m7881+L._AC_SL1500_.jpg")</f>
        <v/>
      </c>
      <c r="B50" s="105" t="inlineStr">
        <is>
          <t>BLSSNZ</t>
        </is>
      </c>
      <c r="C50" s="39" t="inlineStr">
        <is>
          <t>SS Silk Sleep Mask - Contoured</t>
        </is>
      </c>
      <c r="D50" s="105" t="inlineStr">
        <is>
          <t>Aspirational</t>
        </is>
      </c>
      <c r="E50" s="134" t="inlineStr">
        <is>
          <t>Not classified</t>
        </is>
      </c>
      <c r="F50" s="105" t="n"/>
      <c r="G50" s="39" t="inlineStr">
        <is>
          <t>Not a sheet, pillowcase or comforter product; competitors are compared on price and sales only.</t>
        </is>
      </c>
      <c r="H50" s="107" t="inlineStr">
        <is>
          <t>B0H5JPNHHN</t>
        </is>
      </c>
      <c r="I50" s="107" t="inlineStr">
        <is>
          <t>B0C1YYKVDQ</t>
        </is>
      </c>
      <c r="J50" s="105" t="n"/>
      <c r="K50" s="105" t="n"/>
      <c r="L50" s="108" t="n"/>
      <c r="M50" s="39" t="inlineStr"/>
      <c r="N50" s="109" t="n">
        <v>9.99</v>
      </c>
      <c r="O50" s="109" t="n"/>
      <c r="P50" s="110">
        <f>IF(AND(ISNUMBER(O50),ISNUMBER(N50),N(N50)&gt;0),O50/N50-1,"")</f>
        <v/>
      </c>
      <c r="Q50" s="111">
        <f>IF(P50="","No List Price",IF(P50&lt;=0,"At/below price",IF(P50&lt;=0.12,"&lt;=12% STR zone",IF(P50&lt;=0.25,"12-25%","&gt;25% over"))))</f>
        <v/>
      </c>
      <c r="R50" s="109" t="n">
        <v>25.95</v>
      </c>
      <c r="S50" s="112">
        <f>IF(AND(ISNUMBER(N50),ISNUMBER(R50),N(R50)&gt;0),N50/R50-1,"")</f>
        <v/>
      </c>
      <c r="T50" s="39" t="inlineStr">
        <is>
          <t>vs our blended price (market data, Mar 2026 - STALE)</t>
        </is>
      </c>
      <c r="U50" s="108" t="n">
        <v>11877</v>
      </c>
      <c r="V50" s="108" t="n">
        <v>347</v>
      </c>
      <c r="W50" s="113">
        <f>IF(AND(ISNUMBER(N50),ISNUMBER(V50)),N50*V50*52/12,"")</f>
        <v/>
      </c>
      <c r="X50" s="114" t="n">
        <v>4.5</v>
      </c>
      <c r="Y50" s="108" t="n">
        <v>1593</v>
      </c>
      <c r="Z50" s="115" t="n">
        <v>46307</v>
      </c>
      <c r="AA50" s="115" t="n"/>
      <c r="AB50" s="105" t="n"/>
      <c r="AC50" s="105" t="n"/>
      <c r="AD50" s="108" t="n"/>
      <c r="AE50" s="108" t="n"/>
      <c r="AF50" s="116" t="n"/>
      <c r="AG50" s="116" t="n"/>
      <c r="AH50" s="39" t="n"/>
      <c r="AI50" s="116" t="n"/>
      <c r="AJ50" s="116" t="n"/>
      <c r="AK50" s="116" t="n"/>
      <c r="AL50" s="116" t="n"/>
      <c r="AM50" s="108" t="n"/>
      <c r="AN50" s="108" t="n"/>
      <c r="AO50" s="108" t="n"/>
      <c r="AP50" s="108" t="n"/>
      <c r="AQ50" s="108" t="n"/>
      <c r="AR50" s="108" t="n"/>
      <c r="AS50" s="117" t="n">
        <v>1.312454479242534</v>
      </c>
      <c r="AT50" s="112" t="n">
        <v>-0.1724358974358975</v>
      </c>
      <c r="AU50" s="118" t="inlineStr">
        <is>
          <t>N</t>
        </is>
      </c>
      <c r="AV50" s="118" t="inlineStr">
        <is>
          <t>none</t>
        </is>
      </c>
      <c r="AW50" s="124" t="n"/>
      <c r="AX50" s="119" t="n">
        <v>9.99</v>
      </c>
      <c r="AY50" s="118" t="inlineStr">
        <is>
          <t>none</t>
        </is>
      </c>
      <c r="AZ50" s="118" t="inlineStr">
        <is>
          <t>Y</t>
        </is>
      </c>
      <c r="BA50" s="118" t="inlineStr">
        <is>
          <t>2026-10-13 23:45:05</t>
        </is>
      </c>
      <c r="BB50" s="120" t="inlineStr">
        <is>
          <t>Prime Exclusive Discount</t>
        </is>
      </c>
      <c r="BC50" s="120" t="inlineStr">
        <is>
          <t>11-26 to 12-01</t>
        </is>
      </c>
      <c r="BD50" s="121" t="n">
        <v>9.99</v>
      </c>
      <c r="BE50" s="121" t="n">
        <v>7.99</v>
      </c>
      <c r="BF50" s="110">
        <f>IF(AND(ISNUMBER(BD50),ISNUMBER(BE50),N(BD50)&gt;0),1-BE50/BD50,"")</f>
        <v/>
      </c>
      <c r="BG50" s="122" t="n">
        <v>16351</v>
      </c>
      <c r="BH50" s="122" t="n">
        <v>15848</v>
      </c>
      <c r="BI50" s="123">
        <f>IF(AND(ISNUMBER(BG50),ISNUMBER(BH50),N(BH50)&gt;0),BG50/BH50,"")</f>
        <v/>
      </c>
      <c r="BJ50" s="120" t="inlineStr">
        <is>
          <t>N</t>
        </is>
      </c>
      <c r="BK50" s="120" t="inlineStr">
        <is>
          <t>List Price $19.99</t>
        </is>
      </c>
    </row>
    <row r="51" ht="62" customHeight="1">
      <c r="A51" s="12">
        <f>_xlfn.IMAGE("https://images-na.ssl-images-amazon.com/images/I/717uHiZRsrL.jpg")</f>
        <v/>
      </c>
      <c r="B51" s="105" t="inlineStr">
        <is>
          <t>Zenssia</t>
        </is>
      </c>
      <c r="C51" s="39" t="inlineStr">
        <is>
          <t>Zenssia 100% Mulberry Silk Sleep Mask Eye Mask for Man and Woman with Adjustable Headband, Full Size Large Sleep Mask &amp; Blindfold for Total Blackout for All Night Sleep, Travel &amp; Nap- Light Plum</t>
        </is>
      </c>
      <c r="D51" s="105" t="inlineStr">
        <is>
          <t>Aspirational</t>
        </is>
      </c>
      <c r="E51" s="134" t="inlineStr">
        <is>
          <t>Not classified</t>
        </is>
      </c>
      <c r="F51" s="105" t="n"/>
      <c r="G51" s="39" t="inlineStr">
        <is>
          <t>Not a sheet, pillowcase or comforter product; competitors are compared on price and sales only.</t>
        </is>
      </c>
      <c r="H51" s="107" t="inlineStr">
        <is>
          <t>B0B5K41YD7</t>
        </is>
      </c>
      <c r="I51" s="107" t="inlineStr">
        <is>
          <t>B07V5BCQFW</t>
        </is>
      </c>
      <c r="J51" s="105" t="inlineStr">
        <is>
          <t>Full</t>
        </is>
      </c>
      <c r="K51" s="105" t="n"/>
      <c r="L51" s="108" t="n">
        <v>6</v>
      </c>
      <c r="M51" s="39" t="inlineStr">
        <is>
          <t>B07V5BCQFW (58%), B07CNT74Z6 (24%)</t>
        </is>
      </c>
      <c r="N51" s="109" t="n">
        <v>19.99</v>
      </c>
      <c r="O51" s="109" t="n"/>
      <c r="P51" s="110">
        <f>IF(AND(ISNUMBER(O51),ISNUMBER(N51),N(N51)&gt;0),O51/N51-1,"")</f>
        <v/>
      </c>
      <c r="Q51" s="111">
        <f>IF(P51="","No List Price",IF(P51&lt;=0,"At/below price",IF(P51&lt;=0.12,"&lt;=12% STR zone",IF(P51&lt;=0.25,"12-25%","&gt;25% over"))))</f>
        <v/>
      </c>
      <c r="R51" s="109" t="n">
        <v>25.95</v>
      </c>
      <c r="S51" s="112">
        <f>IF(AND(ISNUMBER(N51),ISNUMBER(R51),N(R51)&gt;0),N51/R51-1,"")</f>
        <v/>
      </c>
      <c r="T51" s="39" t="inlineStr">
        <is>
          <t>vs our blended price (market data, Mar 2026 - STALE)</t>
        </is>
      </c>
      <c r="U51" s="108" t="n">
        <v>11617</v>
      </c>
      <c r="V51" s="108" t="n">
        <v>347</v>
      </c>
      <c r="W51" s="113">
        <f>IF(AND(ISNUMBER(N51),ISNUMBER(V51)),N51*V51*52/12,"")</f>
        <v/>
      </c>
      <c r="X51" s="114" t="n">
        <v>4.5</v>
      </c>
      <c r="Y51" s="108" t="n">
        <v>1571</v>
      </c>
      <c r="Z51" s="115" t="n">
        <v>46307</v>
      </c>
      <c r="AA51" s="115" t="n">
        <v>43655</v>
      </c>
      <c r="AB51" s="105" t="inlineStr">
        <is>
          <t>FBA</t>
        </is>
      </c>
      <c r="AC51" s="105" t="inlineStr">
        <is>
          <t>CN</t>
        </is>
      </c>
      <c r="AD51" s="108" t="n">
        <v>151964</v>
      </c>
      <c r="AE51" s="108" t="n">
        <v>580</v>
      </c>
      <c r="AF51" s="116" t="n">
        <v>0.8624514049380118</v>
      </c>
      <c r="AG51" s="116" t="n">
        <v>0.1375487003500829</v>
      </c>
      <c r="AH51" s="39" t="inlineStr">
        <is>
          <t>sleep mask</t>
        </is>
      </c>
      <c r="AI51" s="116" t="n">
        <v>0.340712273959622</v>
      </c>
      <c r="AJ51" s="116" t="n"/>
      <c r="AK51" s="116" t="n">
        <v>0.285751888605196</v>
      </c>
      <c r="AL51" s="116" t="n">
        <v>0.0009278513332104972</v>
      </c>
      <c r="AM51" s="108" t="n">
        <v>39</v>
      </c>
      <c r="AN51" s="108" t="n">
        <v>1</v>
      </c>
      <c r="AO51" s="108" t="n">
        <v>35</v>
      </c>
      <c r="AP51" s="108" t="n">
        <v>541</v>
      </c>
      <c r="AQ51" s="108" t="n">
        <v>59</v>
      </c>
      <c r="AR51" s="108" t="n">
        <v>0</v>
      </c>
      <c r="AS51" s="117" t="n"/>
      <c r="AT51" s="112" t="n"/>
      <c r="AU51" s="118" t="inlineStr">
        <is>
          <t>N</t>
        </is>
      </c>
      <c r="AV51" s="118" t="inlineStr">
        <is>
          <t>none</t>
        </is>
      </c>
      <c r="AW51" s="124" t="n"/>
      <c r="AX51" s="119" t="n">
        <v>19.99</v>
      </c>
      <c r="AY51" s="118" t="inlineStr">
        <is>
          <t>none</t>
        </is>
      </c>
      <c r="AZ51" s="118" t="inlineStr">
        <is>
          <t>Y</t>
        </is>
      </c>
      <c r="BA51" s="118" t="inlineStr">
        <is>
          <t>2026-10-13 23:47:35</t>
        </is>
      </c>
      <c r="BB51" s="120" t="inlineStr">
        <is>
          <t>Price cut only</t>
        </is>
      </c>
      <c r="BC51" s="120" t="inlineStr">
        <is>
          <t>11-20 to 12-01</t>
        </is>
      </c>
      <c r="BD51" s="121" t="n">
        <v>19.99</v>
      </c>
      <c r="BE51" s="121" t="n">
        <v>15.99</v>
      </c>
      <c r="BF51" s="110">
        <f>IF(AND(ISNUMBER(BD51),ISNUMBER(BE51),N(BD51)&gt;0),1-BE51/BD51,"")</f>
        <v/>
      </c>
      <c r="BG51" s="122" t="n">
        <v>17000</v>
      </c>
      <c r="BH51" s="122" t="n">
        <v>8132</v>
      </c>
      <c r="BI51" s="123">
        <f>IF(AND(ISNUMBER(BG51),ISNUMBER(BH51),N(BH51)&gt;0),BG51/BH51,"")</f>
        <v/>
      </c>
      <c r="BJ51" s="120" t="inlineStr">
        <is>
          <t>N</t>
        </is>
      </c>
      <c r="BK51" s="120" t="inlineStr">
        <is>
          <t>List Price $24.99</t>
        </is>
      </c>
    </row>
    <row r="52" ht="62" customHeight="1">
      <c r="A52" s="12">
        <f>_xlfn.IMAGE("https://m.media-amazon.com/images/I/71LL5nkhi5L._AC_SL1500_.jpg")</f>
        <v/>
      </c>
      <c r="B52" s="105" t="inlineStr">
        <is>
          <t>Jersey Slumber</t>
        </is>
      </c>
      <c r="C52" s="39" t="inlineStr">
        <is>
          <t>SS Silk Sleep Mask</t>
        </is>
      </c>
      <c r="D52" s="105" t="inlineStr">
        <is>
          <t>Aspirational</t>
        </is>
      </c>
      <c r="E52" s="134" t="inlineStr">
        <is>
          <t>Not classified</t>
        </is>
      </c>
      <c r="F52" s="105" t="n"/>
      <c r="G52" s="39" t="inlineStr">
        <is>
          <t>Not a sheet, pillowcase or comforter product; competitors are compared on price and sales only.</t>
        </is>
      </c>
      <c r="H52" s="107" t="inlineStr">
        <is>
          <t>B0D4MHYD6C</t>
        </is>
      </c>
      <c r="I52" s="107" t="inlineStr">
        <is>
          <t>B014VYD7NW</t>
        </is>
      </c>
      <c r="J52" s="105" t="n"/>
      <c r="K52" s="105" t="n"/>
      <c r="L52" s="108" t="n"/>
      <c r="M52" s="39" t="inlineStr"/>
      <c r="N52" s="109" t="n">
        <v>8.890000000000001</v>
      </c>
      <c r="O52" s="109" t="n"/>
      <c r="P52" s="110">
        <f>IF(AND(ISNUMBER(O52),ISNUMBER(N52),N(N52)&gt;0),O52/N52-1,"")</f>
        <v/>
      </c>
      <c r="Q52" s="111">
        <f>IF(P52="","No List Price",IF(P52&lt;=0,"At/below price",IF(P52&lt;=0.12,"&lt;=12% STR zone",IF(P52&lt;=0.25,"12-25%","&gt;25% over"))))</f>
        <v/>
      </c>
      <c r="R52" s="109" t="n">
        <v>25.95</v>
      </c>
      <c r="S52" s="112">
        <f>IF(AND(ISNUMBER(N52),ISNUMBER(R52),N(R52)&gt;0),N52/R52-1,"")</f>
        <v/>
      </c>
      <c r="T52" s="39" t="inlineStr">
        <is>
          <t>vs our blended price (market data, Mar 2026 - STALE)</t>
        </is>
      </c>
      <c r="U52" s="108" t="n">
        <v>25636</v>
      </c>
      <c r="V52" s="108" t="n">
        <v>220</v>
      </c>
      <c r="W52" s="113">
        <f>IF(AND(ISNUMBER(N52),ISNUMBER(V52)),N52*V52*52/12,"")</f>
        <v/>
      </c>
      <c r="X52" s="114" t="n">
        <v>4.5</v>
      </c>
      <c r="Y52" s="108" t="n">
        <v>28100</v>
      </c>
      <c r="Z52" s="115" t="n">
        <v>46307</v>
      </c>
      <c r="AA52" s="115" t="n"/>
      <c r="AB52" s="105" t="n"/>
      <c r="AC52" s="105" t="n"/>
      <c r="AD52" s="108" t="n"/>
      <c r="AE52" s="108" t="n"/>
      <c r="AF52" s="116" t="n"/>
      <c r="AG52" s="116" t="n"/>
      <c r="AH52" s="39" t="n"/>
      <c r="AI52" s="116" t="n"/>
      <c r="AJ52" s="116" t="n"/>
      <c r="AK52" s="116" t="n"/>
      <c r="AL52" s="116" t="n"/>
      <c r="AM52" s="108" t="n"/>
      <c r="AN52" s="108" t="n"/>
      <c r="AO52" s="108" t="n"/>
      <c r="AP52" s="108" t="n"/>
      <c r="AQ52" s="108" t="n"/>
      <c r="AR52" s="108" t="n"/>
      <c r="AS52" s="117" t="n">
        <v>0.7335907335907336</v>
      </c>
      <c r="AT52" s="112" t="n">
        <v>-0.3853006681514476</v>
      </c>
      <c r="AU52" s="118" t="inlineStr">
        <is>
          <t>N</t>
        </is>
      </c>
      <c r="AV52" s="118" t="inlineStr">
        <is>
          <t>none</t>
        </is>
      </c>
      <c r="AW52" s="124" t="n"/>
      <c r="AX52" s="119" t="n">
        <v>8.890000000000001</v>
      </c>
      <c r="AY52" s="118" t="inlineStr">
        <is>
          <t>none</t>
        </is>
      </c>
      <c r="AZ52" s="118" t="inlineStr">
        <is>
          <t>Y</t>
        </is>
      </c>
      <c r="BA52" s="118" t="inlineStr">
        <is>
          <t>2026-10-13 23:45:54</t>
        </is>
      </c>
      <c r="BB52" s="120" t="inlineStr">
        <is>
          <t>Price cut only</t>
        </is>
      </c>
      <c r="BC52" s="120" t="inlineStr">
        <is>
          <t>11-20 to 12-01</t>
        </is>
      </c>
      <c r="BD52" s="121" t="n">
        <v>8.890000000000001</v>
      </c>
      <c r="BE52" s="121" t="n">
        <v>7.56</v>
      </c>
      <c r="BF52" s="110">
        <f>IF(AND(ISNUMBER(BD52),ISNUMBER(BE52),N(BD52)&gt;0),1-BE52/BD52,"")</f>
        <v/>
      </c>
      <c r="BG52" s="122" t="n">
        <v>19180</v>
      </c>
      <c r="BH52" s="122" t="n">
        <v>18045</v>
      </c>
      <c r="BI52" s="123">
        <f>IF(AND(ISNUMBER(BG52),ISNUMBER(BH52),N(BH52)&gt;0),BG52/BH52,"")</f>
        <v/>
      </c>
      <c r="BJ52" s="120" t="inlineStr">
        <is>
          <t>N</t>
        </is>
      </c>
      <c r="BK52" s="120" t="inlineStr">
        <is>
          <t>List Price $20.99</t>
        </is>
      </c>
    </row>
    <row r="53" ht="62" customHeight="1">
      <c r="A53" s="12">
        <f>_xlfn.IMAGE("https://m.media-amazon.com/images/I/71JqI9gpywL._AC_SL1500_.jpg")</f>
        <v/>
      </c>
      <c r="B53" s="105" t="inlineStr">
        <is>
          <t>Umisleep Store</t>
        </is>
      </c>
      <c r="C53" s="39" t="inlineStr">
        <is>
          <t>SS Silk Sleep Mask</t>
        </is>
      </c>
      <c r="D53" s="105" t="inlineStr">
        <is>
          <t>Aspirational</t>
        </is>
      </c>
      <c r="E53" s="134" t="inlineStr">
        <is>
          <t>Not classified</t>
        </is>
      </c>
      <c r="F53" s="105" t="n"/>
      <c r="G53" s="39" t="inlineStr">
        <is>
          <t>Not a sheet, pillowcase or comforter product; competitors are compared on price and sales only.</t>
        </is>
      </c>
      <c r="H53" s="107" t="inlineStr">
        <is>
          <t>B0FBWPMZHX</t>
        </is>
      </c>
      <c r="I53" s="107" t="inlineStr">
        <is>
          <t>B0F7R9NPSW</t>
        </is>
      </c>
      <c r="J53" s="105" t="n"/>
      <c r="K53" s="105" t="n"/>
      <c r="L53" s="108" t="n">
        <v>3</v>
      </c>
      <c r="M53" s="39" t="inlineStr">
        <is>
          <t>B0F7R9NPSW (84%)</t>
        </is>
      </c>
      <c r="N53" s="109" t="n">
        <v>17.99</v>
      </c>
      <c r="O53" s="109" t="n">
        <v>18.99</v>
      </c>
      <c r="P53" s="110">
        <f>IF(AND(ISNUMBER(O53),ISNUMBER(N53),N(N53)&gt;0),O53/N53-1,"")</f>
        <v/>
      </c>
      <c r="Q53" s="111">
        <f>IF(P53="","No List Price",IF(P53&lt;=0,"At/below price",IF(P53&lt;=0.12,"&lt;=12% STR zone",IF(P53&lt;=0.25,"12-25%","&gt;25% over"))))</f>
        <v/>
      </c>
      <c r="R53" s="109" t="n">
        <v>25.95</v>
      </c>
      <c r="S53" s="112">
        <f>IF(AND(ISNUMBER(N53),ISNUMBER(R53),N(R53)&gt;0),N53/R53-1,"")</f>
        <v/>
      </c>
      <c r="T53" s="39" t="inlineStr">
        <is>
          <t>vs our blended price (market data, Mar 2026 - STALE)</t>
        </is>
      </c>
      <c r="U53" s="108" t="n">
        <v>31138</v>
      </c>
      <c r="V53" s="108" t="n">
        <v>173</v>
      </c>
      <c r="W53" s="113">
        <f>IF(AND(ISNUMBER(N53),ISNUMBER(V53)),N53*V53*52/12,"")</f>
        <v/>
      </c>
      <c r="X53" s="114" t="n">
        <v>4.5</v>
      </c>
      <c r="Y53" s="108" t="n">
        <v>402</v>
      </c>
      <c r="Z53" s="115" t="n">
        <v>46307</v>
      </c>
      <c r="AA53" s="115" t="n"/>
      <c r="AB53" s="105" t="n"/>
      <c r="AC53" s="105" t="n"/>
      <c r="AD53" s="108" t="n">
        <v>66655</v>
      </c>
      <c r="AE53" s="108" t="n">
        <v>578</v>
      </c>
      <c r="AF53" s="116" t="n">
        <v>0.5586979461405747</v>
      </c>
      <c r="AG53" s="116" t="n">
        <v>0.4413021498762283</v>
      </c>
      <c r="AH53" s="39" t="inlineStr">
        <is>
          <t>sleep mask</t>
        </is>
      </c>
      <c r="AI53" s="116" t="n">
        <v>0.863221063686145</v>
      </c>
      <c r="AJ53" s="116" t="n">
        <v>0.6191433500862651</v>
      </c>
      <c r="AK53" s="116" t="n"/>
      <c r="AL53" s="116" t="n"/>
      <c r="AM53" s="108" t="n">
        <v>41</v>
      </c>
      <c r="AN53" s="108" t="n">
        <v>3</v>
      </c>
      <c r="AO53" s="108" t="n">
        <v>34</v>
      </c>
      <c r="AP53" s="108" t="n">
        <v>537</v>
      </c>
      <c r="AQ53" s="108" t="n">
        <v>178</v>
      </c>
      <c r="AR53" s="108" t="n">
        <v>0</v>
      </c>
      <c r="AS53" s="117" t="n">
        <v>0.9713988559542381</v>
      </c>
      <c r="AT53" s="112" t="n">
        <v>-0.1567164179104477</v>
      </c>
      <c r="AU53" s="118" t="inlineStr">
        <is>
          <t>Y</t>
        </is>
      </c>
      <c r="AV53" s="118" t="inlineStr">
        <is>
          <t>List Price</t>
        </is>
      </c>
      <c r="AW53" s="119" t="n">
        <v>18.99</v>
      </c>
      <c r="AX53" s="119" t="n">
        <v>17.99</v>
      </c>
      <c r="AY53" s="118" t="inlineStr">
        <is>
          <t>none</t>
        </is>
      </c>
      <c r="AZ53" s="118" t="inlineStr">
        <is>
          <t>Y</t>
        </is>
      </c>
      <c r="BA53" s="118" t="inlineStr">
        <is>
          <t>2026-10-13 23:47:03</t>
        </is>
      </c>
      <c r="BB53" s="120" t="inlineStr">
        <is>
          <t>Prime Exclusive Discount</t>
        </is>
      </c>
      <c r="BC53" s="120" t="inlineStr">
        <is>
          <t>11-20 to 12-01</t>
        </is>
      </c>
      <c r="BD53" s="121" t="n">
        <v>14.99</v>
      </c>
      <c r="BE53" s="121" t="n">
        <v>9.99</v>
      </c>
      <c r="BF53" s="110">
        <f>IF(AND(ISNUMBER(BD53),ISNUMBER(BE53),N(BD53)&gt;0),1-BE53/BD53,"")</f>
        <v/>
      </c>
      <c r="BG53" s="122" t="n">
        <v>20817</v>
      </c>
      <c r="BH53" s="122" t="n">
        <v>21121</v>
      </c>
      <c r="BI53" s="123">
        <f>IF(AND(ISNUMBER(BG53),ISNUMBER(BH53),N(BH53)&gt;0),BG53/BH53,"")</f>
        <v/>
      </c>
      <c r="BJ53" s="120" t="inlineStr">
        <is>
          <t>N</t>
        </is>
      </c>
      <c r="BK53" s="120" t="inlineStr">
        <is>
          <t>Coupon 10% (12-03 to 12-05); Buy Box RAISED in BFCM week (median $19.99 vs $14.99 before); List Price $19.99</t>
        </is>
      </c>
    </row>
    <row r="54" ht="62" customHeight="1">
      <c r="A54" s="12">
        <f>_xlfn.IMAGE("https://m.media-amazon.com/images/I/717np3bt88L._AC_SL1500_.jpg")</f>
        <v/>
      </c>
      <c r="B54" s="105" t="inlineStr">
        <is>
          <t>LitBear</t>
        </is>
      </c>
      <c r="C54" s="39" t="inlineStr">
        <is>
          <t>SS Silk Sleep Mask</t>
        </is>
      </c>
      <c r="D54" s="105" t="inlineStr">
        <is>
          <t>Beatable</t>
        </is>
      </c>
      <c r="E54" s="134" t="inlineStr">
        <is>
          <t>Not classified</t>
        </is>
      </c>
      <c r="F54" s="105" t="n"/>
      <c r="G54" s="39" t="inlineStr">
        <is>
          <t>Not a sheet, pillowcase or comforter product; competitors are compared on price and sales only.</t>
        </is>
      </c>
      <c r="H54" s="107" t="inlineStr">
        <is>
          <t>B0CNX9RTK8</t>
        </is>
      </c>
      <c r="I54" s="107" t="inlineStr">
        <is>
          <t>B0BN559GVG</t>
        </is>
      </c>
      <c r="J54" s="105" t="n"/>
      <c r="K54" s="105" t="n"/>
      <c r="L54" s="108" t="n">
        <v>4</v>
      </c>
      <c r="M54" s="39" t="inlineStr">
        <is>
          <t>B0BN559GVG (81%)</t>
        </is>
      </c>
      <c r="N54" s="109" t="n">
        <v>29.99</v>
      </c>
      <c r="O54" s="109" t="n"/>
      <c r="P54" s="110">
        <f>IF(AND(ISNUMBER(O54),ISNUMBER(N54),N(N54)&gt;0),O54/N54-1,"")</f>
        <v/>
      </c>
      <c r="Q54" s="111">
        <f>IF(P54="","No List Price",IF(P54&lt;=0,"At/below price",IF(P54&lt;=0.12,"&lt;=12% STR zone",IF(P54&lt;=0.25,"12-25%","&gt;25% over"))))</f>
        <v/>
      </c>
      <c r="R54" s="109" t="n">
        <v>25.95</v>
      </c>
      <c r="S54" s="112">
        <f>IF(AND(ISNUMBER(N54),ISNUMBER(R54),N(R54)&gt;0),N54/R54-1,"")</f>
        <v/>
      </c>
      <c r="T54" s="39" t="inlineStr">
        <is>
          <t>vs our blended price (market data, Mar 2026 - STALE)</t>
        </is>
      </c>
      <c r="U54" s="108" t="n">
        <v>9413</v>
      </c>
      <c r="V54" s="108" t="n">
        <v>809</v>
      </c>
      <c r="W54" s="113">
        <f>IF(AND(ISNUMBER(N54),ISNUMBER(V54)),N54*V54*52/12,"")</f>
        <v/>
      </c>
      <c r="X54" s="114" t="n">
        <v>4.4</v>
      </c>
      <c r="Y54" s="108" t="n">
        <v>2143</v>
      </c>
      <c r="Z54" s="115" t="n">
        <v>46307</v>
      </c>
      <c r="AA54" s="115" t="n"/>
      <c r="AB54" s="105" t="n"/>
      <c r="AC54" s="105" t="n"/>
      <c r="AD54" s="108" t="n">
        <v>401761</v>
      </c>
      <c r="AE54" s="108" t="n">
        <v>1367</v>
      </c>
      <c r="AF54" s="116" t="n">
        <v>0.7073638471628658</v>
      </c>
      <c r="AG54" s="116" t="n">
        <v>0.292636280276085</v>
      </c>
      <c r="AH54" s="39" t="inlineStr">
        <is>
          <t>sleep mask</t>
        </is>
      </c>
      <c r="AI54" s="116" t="n">
        <v>0.9110316830155242</v>
      </c>
      <c r="AJ54" s="116" t="n">
        <v>0.1794126358705798</v>
      </c>
      <c r="AK54" s="116" t="n">
        <v>0.2505768354817914</v>
      </c>
      <c r="AL54" s="116" t="n">
        <v>0.02166711054582202</v>
      </c>
      <c r="AM54" s="108" t="n">
        <v>44</v>
      </c>
      <c r="AN54" s="108" t="n">
        <v>0</v>
      </c>
      <c r="AO54" s="108" t="n">
        <v>41</v>
      </c>
      <c r="AP54" s="108" t="n">
        <v>1323</v>
      </c>
      <c r="AQ54" s="108" t="n">
        <v>684</v>
      </c>
      <c r="AR54" s="108" t="n">
        <v>0</v>
      </c>
      <c r="AS54" s="117" t="n">
        <v>0.8740317977986141</v>
      </c>
      <c r="AT54" s="112" t="n">
        <v>0.1626394052044609</v>
      </c>
      <c r="AU54" s="118" t="inlineStr">
        <is>
          <t>N</t>
        </is>
      </c>
      <c r="AV54" s="118" t="inlineStr">
        <is>
          <t>none</t>
        </is>
      </c>
      <c r="AW54" s="124" t="n"/>
      <c r="AX54" s="119" t="n">
        <v>29.99</v>
      </c>
      <c r="AY54" s="118" t="inlineStr">
        <is>
          <t>none</t>
        </is>
      </c>
      <c r="AZ54" s="118" t="inlineStr">
        <is>
          <t>Y</t>
        </is>
      </c>
      <c r="BA54" s="118" t="inlineStr">
        <is>
          <t>2026-10-13 23:46:13</t>
        </is>
      </c>
      <c r="BB54" s="120" t="inlineStr">
        <is>
          <t>Prime Exclusive Discount</t>
        </is>
      </c>
      <c r="BC54" s="120" t="inlineStr">
        <is>
          <t>11-01 to 12-05</t>
        </is>
      </c>
      <c r="BD54" s="121" t="n">
        <v>28.49</v>
      </c>
      <c r="BE54" s="121" t="n">
        <v>23.99</v>
      </c>
      <c r="BF54" s="110">
        <f>IF(AND(ISNUMBER(BD54),ISNUMBER(BE54),N(BD54)&gt;0),1-BE54/BD54,"")</f>
        <v/>
      </c>
      <c r="BG54" s="122" t="n">
        <v>9933</v>
      </c>
      <c r="BH54" s="122" t="n">
        <v>8144</v>
      </c>
      <c r="BI54" s="123">
        <f>IF(AND(ISNUMBER(BG54),ISNUMBER(BH54),N(BH54)&gt;0),BG54/BH54,"")</f>
        <v/>
      </c>
      <c r="BJ54" s="120" t="inlineStr">
        <is>
          <t>N</t>
        </is>
      </c>
      <c r="BK54" s="120" t="inlineStr">
        <is>
          <t>Prime Exclusive already running before BFCM week; List Price $29.99</t>
        </is>
      </c>
    </row>
    <row r="55" ht="62" customHeight="1">
      <c r="A55" s="12">
        <f>_xlfn.IMAGE("https://m.media-amazon.com/images/I/71te+FofMtL._AC_SL1500_.jpg")</f>
        <v/>
      </c>
      <c r="B55" s="105" t="inlineStr">
        <is>
          <t>BLISSY</t>
        </is>
      </c>
      <c r="C55" s="39" t="inlineStr">
        <is>
          <t>SS Silk Sleep Mask</t>
        </is>
      </c>
      <c r="D55" s="105" t="inlineStr">
        <is>
          <t>Beatable</t>
        </is>
      </c>
      <c r="E55" s="134" t="inlineStr">
        <is>
          <t>Not classified</t>
        </is>
      </c>
      <c r="F55" s="105" t="n"/>
      <c r="G55" s="39" t="inlineStr">
        <is>
          <t>Not a sheet, pillowcase or comforter product; competitors are compared on price and sales only.</t>
        </is>
      </c>
      <c r="H55" s="107" t="inlineStr">
        <is>
          <t>B0CWRWR64G</t>
        </is>
      </c>
      <c r="I55" s="107" t="inlineStr">
        <is>
          <t>B0BFDGC7CC</t>
        </is>
      </c>
      <c r="J55" s="105" t="n"/>
      <c r="K55" s="105" t="n"/>
      <c r="L55" s="108" t="n">
        <v>19</v>
      </c>
      <c r="M55" s="39" t="inlineStr">
        <is>
          <t>B0BFDGC7CC (80%), B0DFTHSYLY (7%)</t>
        </is>
      </c>
      <c r="N55" s="109" t="n">
        <v>27.87</v>
      </c>
      <c r="O55" s="109" t="n">
        <v>49.95</v>
      </c>
      <c r="P55" s="110">
        <f>IF(AND(ISNUMBER(O55),ISNUMBER(N55),N(N55)&gt;0),O55/N55-1,"")</f>
        <v/>
      </c>
      <c r="Q55" s="111">
        <f>IF(P55="","No List Price",IF(P55&lt;=0,"At/below price",IF(P55&lt;=0.12,"&lt;=12% STR zone",IF(P55&lt;=0.25,"12-25%","&gt;25% over"))))</f>
        <v/>
      </c>
      <c r="R55" s="109" t="n">
        <v>25.95</v>
      </c>
      <c r="S55" s="112">
        <f>IF(AND(ISNUMBER(N55),ISNUMBER(R55),N(R55)&gt;0),N55/R55-1,"")</f>
        <v/>
      </c>
      <c r="T55" s="39" t="inlineStr">
        <is>
          <t>vs our blended price (market data, Mar 2026 - STALE)</t>
        </is>
      </c>
      <c r="U55" s="108" t="n">
        <v>9693</v>
      </c>
      <c r="V55" s="108" t="n">
        <v>347</v>
      </c>
      <c r="W55" s="113">
        <f>IF(AND(ISNUMBER(N55),ISNUMBER(V55)),N55*V55*52/12,"")</f>
        <v/>
      </c>
      <c r="X55" s="114" t="n">
        <v>4.4</v>
      </c>
      <c r="Y55" s="108" t="n">
        <v>1225</v>
      </c>
      <c r="Z55" s="115" t="n">
        <v>46307</v>
      </c>
      <c r="AA55" s="115" t="n"/>
      <c r="AB55" s="105" t="n"/>
      <c r="AC55" s="105" t="n"/>
      <c r="AD55" s="108" t="n">
        <v>150410</v>
      </c>
      <c r="AE55" s="108" t="n">
        <v>638</v>
      </c>
      <c r="AF55" s="116" t="n">
        <v>0.7120334106774815</v>
      </c>
      <c r="AG55" s="116" t="n">
        <v>0.2879665893225186</v>
      </c>
      <c r="AH55" s="39" t="inlineStr">
        <is>
          <t>eye mask</t>
        </is>
      </c>
      <c r="AI55" s="116" t="n">
        <v>0.8523834851406157</v>
      </c>
      <c r="AJ55" s="116" t="n"/>
      <c r="AK55" s="116" t="n"/>
      <c r="AL55" s="116" t="n">
        <v>0.09252044411940695</v>
      </c>
      <c r="AM55" s="108" t="n">
        <v>44</v>
      </c>
      <c r="AN55" s="108" t="n">
        <v>2</v>
      </c>
      <c r="AO55" s="108" t="n">
        <v>39</v>
      </c>
      <c r="AP55" s="108" t="n">
        <v>594</v>
      </c>
      <c r="AQ55" s="108" t="n">
        <v>227</v>
      </c>
      <c r="AR55" s="108" t="n">
        <v>0</v>
      </c>
      <c r="AS55" s="117" t="n">
        <v>0.8843343432543218</v>
      </c>
      <c r="AT55" s="112" t="n">
        <v>-0.3999127780200611</v>
      </c>
      <c r="AU55" s="118" t="inlineStr">
        <is>
          <t>Y</t>
        </is>
      </c>
      <c r="AV55" s="118" t="inlineStr">
        <is>
          <t>List Price</t>
        </is>
      </c>
      <c r="AW55" s="119" t="n">
        <v>49.95</v>
      </c>
      <c r="AX55" s="119" t="n">
        <v>27.87</v>
      </c>
      <c r="AY55" s="118" t="inlineStr">
        <is>
          <t>none</t>
        </is>
      </c>
      <c r="AZ55" s="118" t="inlineStr">
        <is>
          <t>Y</t>
        </is>
      </c>
      <c r="BA55" s="118" t="inlineStr">
        <is>
          <t>2026-10-13 23:44:58</t>
        </is>
      </c>
      <c r="BB55" s="120" t="inlineStr">
        <is>
          <t>Price cut only</t>
        </is>
      </c>
      <c r="BC55" s="120" t="inlineStr">
        <is>
          <t>11-20 to 11-22</t>
        </is>
      </c>
      <c r="BD55" s="121" t="n">
        <v>27.87</v>
      </c>
      <c r="BE55" s="121" t="n">
        <v>22.84</v>
      </c>
      <c r="BF55" s="110">
        <f>IF(AND(ISNUMBER(BD55),ISNUMBER(BE55),N(BD55)&gt;0),1-BE55/BD55,"")</f>
        <v/>
      </c>
      <c r="BG55" s="122" t="n">
        <v>8503</v>
      </c>
      <c r="BH55" s="122" t="n">
        <v>5966</v>
      </c>
      <c r="BI55" s="123">
        <f>IF(AND(ISNUMBER(BG55),ISNUMBER(BH55),N(BH55)&gt;0),BG55/BH55,"")</f>
        <v/>
      </c>
      <c r="BJ55" s="120" t="inlineStr">
        <is>
          <t>N</t>
        </is>
      </c>
      <c r="BK55" s="120" t="inlineStr">
        <is>
          <t>List Price $49.95</t>
        </is>
      </c>
    </row>
    <row r="56" ht="62" customHeight="1">
      <c r="A56" s="12">
        <f>_xlfn.IMAGE("https://images-na.ssl-images-amazon.com/images/I/61t7hRnDSTL.jpg")</f>
        <v/>
      </c>
      <c r="B56" s="105" t="inlineStr">
        <is>
          <t>iCooBreeze</t>
        </is>
      </c>
      <c r="C56" s="39" t="inlineStr">
        <is>
          <t>SS Silk Sleep Mask</t>
        </is>
      </c>
      <c r="D56" s="105" t="inlineStr">
        <is>
          <t>Beatable</t>
        </is>
      </c>
      <c r="E56" s="134" t="inlineStr">
        <is>
          <t>Not classified</t>
        </is>
      </c>
      <c r="F56" s="105" t="n"/>
      <c r="G56" s="39" t="inlineStr">
        <is>
          <t>Not a sheet, pillowcase or comforter product; competitors are compared on price and sales only.</t>
        </is>
      </c>
      <c r="H56" s="107" t="inlineStr">
        <is>
          <t>B0BBN7XTW5</t>
        </is>
      </c>
      <c r="I56" s="107" t="inlineStr">
        <is>
          <t>B0BBN627MK</t>
        </is>
      </c>
      <c r="J56" s="105" t="n"/>
      <c r="K56" s="105" t="n"/>
      <c r="L56" s="108" t="n">
        <v>4</v>
      </c>
      <c r="M56" s="39" t="inlineStr">
        <is>
          <t>B0BB9Z23FD (45%), B0BBN627MK (45%)</t>
        </is>
      </c>
      <c r="N56" s="109" t="n">
        <v>19.99</v>
      </c>
      <c r="O56" s="109" t="n"/>
      <c r="P56" s="110">
        <f>IF(AND(ISNUMBER(O56),ISNUMBER(N56),N(N56)&gt;0),O56/N56-1,"")</f>
        <v/>
      </c>
      <c r="Q56" s="111">
        <f>IF(P56="","No List Price",IF(P56&lt;=0,"At/below price",IF(P56&lt;=0.12,"&lt;=12% STR zone",IF(P56&lt;=0.25,"12-25%","&gt;25% over"))))</f>
        <v/>
      </c>
      <c r="R56" s="109" t="n">
        <v>25.95</v>
      </c>
      <c r="S56" s="112">
        <f>IF(AND(ISNUMBER(N56),ISNUMBER(R56),N(R56)&gt;0),N56/R56-1,"")</f>
        <v/>
      </c>
      <c r="T56" s="39" t="inlineStr">
        <is>
          <t>vs our blended price (market data, Mar 2026 - STALE)</t>
        </is>
      </c>
      <c r="U56" s="108" t="n">
        <v>12259</v>
      </c>
      <c r="V56" s="108" t="n">
        <v>347</v>
      </c>
      <c r="W56" s="113">
        <f>IF(AND(ISNUMBER(N56),ISNUMBER(V56)),N56*V56*52/12,"")</f>
        <v/>
      </c>
      <c r="X56" s="114" t="n">
        <v>4.5</v>
      </c>
      <c r="Y56" s="108" t="n">
        <v>2063</v>
      </c>
      <c r="Z56" s="115" t="n">
        <v>46307</v>
      </c>
      <c r="AA56" s="115" t="n"/>
      <c r="AB56" s="105" t="n"/>
      <c r="AC56" s="105" t="n"/>
      <c r="AD56" s="108" t="n">
        <v>303791</v>
      </c>
      <c r="AE56" s="108" t="n">
        <v>774</v>
      </c>
      <c r="AF56" s="116" t="n">
        <v>0.556958422402244</v>
      </c>
      <c r="AG56" s="116" t="n">
        <v>0.4430416091984288</v>
      </c>
      <c r="AH56" s="39" t="inlineStr">
        <is>
          <t>sleep mask</t>
        </is>
      </c>
      <c r="AI56" s="116" t="n">
        <v>0.9396492983663111</v>
      </c>
      <c r="AJ56" s="116" t="n"/>
      <c r="AK56" s="116" t="n">
        <v>0.03647902669927681</v>
      </c>
      <c r="AL56" s="116" t="n">
        <v>0</v>
      </c>
      <c r="AM56" s="108" t="n">
        <v>43</v>
      </c>
      <c r="AN56" s="108" t="n">
        <v>3</v>
      </c>
      <c r="AO56" s="108" t="n">
        <v>37</v>
      </c>
      <c r="AP56" s="108" t="n">
        <v>731</v>
      </c>
      <c r="AQ56" s="108" t="n">
        <v>172</v>
      </c>
      <c r="AR56" s="108" t="n">
        <v>0</v>
      </c>
      <c r="AS56" s="117" t="n">
        <v>0.2928870292887029</v>
      </c>
      <c r="AT56" s="112" t="n">
        <v>-0.09840810419681623</v>
      </c>
      <c r="AU56" s="118" t="inlineStr">
        <is>
          <t>N</t>
        </is>
      </c>
      <c r="AV56" s="118" t="inlineStr">
        <is>
          <t>none</t>
        </is>
      </c>
      <c r="AW56" s="124" t="n"/>
      <c r="AX56" s="119" t="n">
        <v>19.99</v>
      </c>
      <c r="AY56" s="118" t="inlineStr">
        <is>
          <t>none</t>
        </is>
      </c>
      <c r="AZ56" s="118" t="inlineStr">
        <is>
          <t>Y</t>
        </is>
      </c>
      <c r="BA56" s="118" t="inlineStr">
        <is>
          <t>2026-10-13 23:47:38</t>
        </is>
      </c>
      <c r="BB56" s="120" t="inlineStr">
        <is>
          <t>Prime Exclusive Discount</t>
        </is>
      </c>
      <c r="BC56" s="120" t="inlineStr">
        <is>
          <t>11-27 to 12-01</t>
        </is>
      </c>
      <c r="BD56" s="121" t="n">
        <v>19.99</v>
      </c>
      <c r="BE56" s="121" t="n">
        <v>15.99</v>
      </c>
      <c r="BF56" s="110">
        <f>IF(AND(ISNUMBER(BD56),ISNUMBER(BE56),N(BD56)&gt;0),1-BE56/BD56,"")</f>
        <v/>
      </c>
      <c r="BG56" s="122" t="n">
        <v>11889</v>
      </c>
      <c r="BH56" s="122" t="n">
        <v>10923</v>
      </c>
      <c r="BI56" s="123">
        <f>IF(AND(ISNUMBER(BG56),ISNUMBER(BH56),N(BH56)&gt;0),BG56/BH56,"")</f>
        <v/>
      </c>
      <c r="BJ56" s="120" t="inlineStr">
        <is>
          <t>N</t>
        </is>
      </c>
      <c r="BK56" s="120" t="inlineStr">
        <is>
          <t>Coupon 2.00 USD (11-01 to 11-19); List Price $22.99</t>
        </is>
      </c>
    </row>
    <row r="57" ht="62" customHeight="1">
      <c r="A57" s="12">
        <f>_xlfn.IMAGE("https://images-na.ssl-images-amazon.com/images/I/61GwSG1wveL.jpg")</f>
        <v/>
      </c>
      <c r="B57" s="105" t="inlineStr">
        <is>
          <t>SECZIPE</t>
        </is>
      </c>
      <c r="C57" s="39" t="inlineStr">
        <is>
          <t>SECZIPE 100% Mulberry Silk Sleep Mask Eye Mask for Women Man with Adjustable Band, for Side Sleeper Blackout Sleep Mask for Travel Rest and Office Large Size (Taupe)</t>
        </is>
      </c>
      <c r="D57" s="105" t="inlineStr">
        <is>
          <t>Beatable</t>
        </is>
      </c>
      <c r="E57" s="134" t="inlineStr">
        <is>
          <t>Not classified</t>
        </is>
      </c>
      <c r="F57" s="105" t="n"/>
      <c r="G57" s="39" t="inlineStr">
        <is>
          <t>Not a sheet, pillowcase or comforter product; competitors are compared on price and sales only.</t>
        </is>
      </c>
      <c r="H57" s="107" t="inlineStr">
        <is>
          <t>B0C6DZRBWV</t>
        </is>
      </c>
      <c r="I57" s="107" t="inlineStr">
        <is>
          <t>B0C6DYG511</t>
        </is>
      </c>
      <c r="J57" s="105" t="n"/>
      <c r="K57" s="105" t="inlineStr">
        <is>
          <t>Taupe</t>
        </is>
      </c>
      <c r="L57" s="108" t="n">
        <v>5</v>
      </c>
      <c r="M57" s="39" t="inlineStr">
        <is>
          <t>B0C6DYG511 (87%)</t>
        </is>
      </c>
      <c r="N57" s="109" t="n">
        <v>22.99</v>
      </c>
      <c r="O57" s="109" t="n"/>
      <c r="P57" s="110">
        <f>IF(AND(ISNUMBER(O57),ISNUMBER(N57),N(N57)&gt;0),O57/N57-1,"")</f>
        <v/>
      </c>
      <c r="Q57" s="111">
        <f>IF(P57="","No List Price",IF(P57&lt;=0,"At/below price",IF(P57&lt;=0.12,"&lt;=12% STR zone",IF(P57&lt;=0.25,"12-25%","&gt;25% over"))))</f>
        <v/>
      </c>
      <c r="R57" s="109" t="n">
        <v>25.95</v>
      </c>
      <c r="S57" s="112">
        <f>IF(AND(ISNUMBER(N57),ISNUMBER(R57),N(R57)&gt;0),N57/R57-1,"")</f>
        <v/>
      </c>
      <c r="T57" s="39" t="inlineStr">
        <is>
          <t>vs our blended price (market data, Mar 2026 - STALE)</t>
        </is>
      </c>
      <c r="U57" s="108" t="n">
        <v>18076</v>
      </c>
      <c r="V57" s="108" t="n">
        <v>220</v>
      </c>
      <c r="W57" s="113">
        <f>IF(AND(ISNUMBER(N57),ISNUMBER(V57)),N57*V57*52/12,"")</f>
        <v/>
      </c>
      <c r="X57" s="114" t="n">
        <v>4.5</v>
      </c>
      <c r="Y57" s="108" t="n">
        <v>867</v>
      </c>
      <c r="Z57" s="115" t="n">
        <v>46307</v>
      </c>
      <c r="AA57" s="115" t="n">
        <v>45169</v>
      </c>
      <c r="AB57" s="105" t="inlineStr">
        <is>
          <t>FBA</t>
        </is>
      </c>
      <c r="AC57" s="105" t="inlineStr">
        <is>
          <t>CN</t>
        </is>
      </c>
      <c r="AD57" s="108" t="n">
        <v>190502</v>
      </c>
      <c r="AE57" s="108" t="n">
        <v>1005</v>
      </c>
      <c r="AF57" s="116" t="n">
        <v>0.3638504939580689</v>
      </c>
      <c r="AG57" s="116" t="n">
        <v>0.6361497076146179</v>
      </c>
      <c r="AH57" s="39" t="inlineStr">
        <is>
          <t>sleep mask</t>
        </is>
      </c>
      <c r="AI57" s="116" t="n">
        <v>0.9771865912168901</v>
      </c>
      <c r="AJ57" s="116" t="n">
        <v>0.1361350537002236</v>
      </c>
      <c r="AK57" s="116" t="n"/>
      <c r="AL57" s="116" t="n">
        <v>0.005595741776989218</v>
      </c>
      <c r="AM57" s="108" t="n">
        <v>43</v>
      </c>
      <c r="AN57" s="108" t="n">
        <v>4</v>
      </c>
      <c r="AO57" s="108" t="n">
        <v>37</v>
      </c>
      <c r="AP57" s="108" t="n">
        <v>962</v>
      </c>
      <c r="AQ57" s="108" t="n">
        <v>417</v>
      </c>
      <c r="AR57" s="108" t="n">
        <v>0</v>
      </c>
      <c r="AS57" s="117" t="n">
        <v>0.9280217292892712</v>
      </c>
      <c r="AT57" s="112" t="n">
        <v>0.2546646495209279</v>
      </c>
      <c r="AU57" s="118" t="inlineStr">
        <is>
          <t>N</t>
        </is>
      </c>
      <c r="AV57" s="118" t="inlineStr">
        <is>
          <t>none</t>
        </is>
      </c>
      <c r="AW57" s="124" t="n"/>
      <c r="AX57" s="119" t="n">
        <v>22.99</v>
      </c>
      <c r="AY57" s="118" t="inlineStr">
        <is>
          <t>none</t>
        </is>
      </c>
      <c r="AZ57" s="118" t="inlineStr">
        <is>
          <t>Y</t>
        </is>
      </c>
      <c r="BA57" s="118" t="inlineStr">
        <is>
          <t>2026-10-13 23:46:42</t>
        </is>
      </c>
      <c r="BB57" s="120" t="inlineStr">
        <is>
          <t>Prime Exclusive Discount</t>
        </is>
      </c>
      <c r="BC57" s="120" t="inlineStr">
        <is>
          <t>11-22 to 12-01</t>
        </is>
      </c>
      <c r="BD57" s="121" t="n">
        <v>22.99</v>
      </c>
      <c r="BE57" s="121" t="n">
        <v>17.99</v>
      </c>
      <c r="BF57" s="110">
        <f>IF(AND(ISNUMBER(BD57),ISNUMBER(BE57),N(BD57)&gt;0),1-BE57/BD57,"")</f>
        <v/>
      </c>
      <c r="BG57" s="122" t="n">
        <v>20936</v>
      </c>
      <c r="BH57" s="122" t="n">
        <v>18794</v>
      </c>
      <c r="BI57" s="123">
        <f>IF(AND(ISNUMBER(BG57),ISNUMBER(BH57),N(BH57)&gt;0),BG57/BH57,"")</f>
        <v/>
      </c>
      <c r="BJ57" s="120" t="inlineStr">
        <is>
          <t>N</t>
        </is>
      </c>
      <c r="BK57" s="120" t="inlineStr">
        <is>
          <t>Coupon 3.00 USD (11-07 to 12-05); List Price $29.99</t>
        </is>
      </c>
    </row>
    <row r="58" ht="62" customHeight="1">
      <c r="A58" s="12">
        <f>_xlfn.IMAGE("https://m.media-amazon.com/images/I/71izNSiipGL._AC_SL1500_.jpg")</f>
        <v/>
      </c>
      <c r="B58" s="105" t="inlineStr">
        <is>
          <t>DROWSY</t>
        </is>
      </c>
      <c r="C58" s="39" t="inlineStr">
        <is>
          <t>SS Silk Sleep Mask</t>
        </is>
      </c>
      <c r="D58" s="105" t="inlineStr">
        <is>
          <t>Beatable</t>
        </is>
      </c>
      <c r="E58" s="134" t="inlineStr">
        <is>
          <t>Not classified</t>
        </is>
      </c>
      <c r="F58" s="105" t="n"/>
      <c r="G58" s="39" t="inlineStr">
        <is>
          <t>Not a sheet, pillowcase or comforter product; competitors are compared on price and sales only.</t>
        </is>
      </c>
      <c r="H58" s="107" t="inlineStr">
        <is>
          <t>B0GQZL7XLN</t>
        </is>
      </c>
      <c r="I58" s="107" t="inlineStr">
        <is>
          <t>B08NHHDLT6</t>
        </is>
      </c>
      <c r="J58" s="105" t="n"/>
      <c r="K58" s="105" t="n"/>
      <c r="L58" s="108" t="n">
        <v>13</v>
      </c>
      <c r="M58" s="39" t="inlineStr">
        <is>
          <t>B08NHF4HCS (51%), B08NHHDLT6 (32%)</t>
        </is>
      </c>
      <c r="N58" s="109" t="n">
        <v>79</v>
      </c>
      <c r="O58" s="109" t="n"/>
      <c r="P58" s="110">
        <f>IF(AND(ISNUMBER(O58),ISNUMBER(N58),N(N58)&gt;0),O58/N58-1,"")</f>
        <v/>
      </c>
      <c r="Q58" s="111">
        <f>IF(P58="","No List Price",IF(P58&lt;=0,"At/below price",IF(P58&lt;=0.12,"&lt;=12% STR zone",IF(P58&lt;=0.25,"12-25%","&gt;25% over"))))</f>
        <v/>
      </c>
      <c r="R58" s="109" t="n">
        <v>25.95</v>
      </c>
      <c r="S58" s="112">
        <f>IF(AND(ISNUMBER(N58),ISNUMBER(R58),N(R58)&gt;0),N58/R58-1,"")</f>
        <v/>
      </c>
      <c r="T58" s="39" t="inlineStr">
        <is>
          <t>vs our blended price (market data, Mar 2026 - STALE)</t>
        </is>
      </c>
      <c r="U58" s="108" t="n">
        <v>7182</v>
      </c>
      <c r="V58" s="108" t="n">
        <v>208</v>
      </c>
      <c r="W58" s="113">
        <f>IF(AND(ISNUMBER(N58),ISNUMBER(V58)),N58*V58*52/12,"")</f>
        <v/>
      </c>
      <c r="X58" s="114" t="n">
        <v>4.3</v>
      </c>
      <c r="Y58" s="108" t="n">
        <v>1740</v>
      </c>
      <c r="Z58" s="115" t="n">
        <v>46307</v>
      </c>
      <c r="AA58" s="115" t="n"/>
      <c r="AB58" s="105" t="n"/>
      <c r="AC58" s="105" t="n"/>
      <c r="AD58" s="108" t="n">
        <v>143864</v>
      </c>
      <c r="AE58" s="108" t="n">
        <v>655</v>
      </c>
      <c r="AF58" s="116" t="n">
        <v>0.5480138186064621</v>
      </c>
      <c r="AG58" s="116" t="n">
        <v>0.4519862036367683</v>
      </c>
      <c r="AH58" s="39" t="inlineStr">
        <is>
          <t>eye masks for sleep</t>
        </is>
      </c>
      <c r="AI58" s="116" t="n">
        <v>0.9813643441027637</v>
      </c>
      <c r="AJ58" s="116" t="n"/>
      <c r="AK58" s="116" t="n"/>
      <c r="AL58" s="116" t="n">
        <v>0.1368097647778457</v>
      </c>
      <c r="AM58" s="108" t="n">
        <v>40</v>
      </c>
      <c r="AN58" s="108" t="n">
        <v>7</v>
      </c>
      <c r="AO58" s="108" t="n">
        <v>25</v>
      </c>
      <c r="AP58" s="108" t="n">
        <v>615</v>
      </c>
      <c r="AQ58" s="108" t="n">
        <v>269</v>
      </c>
      <c r="AR58" s="108" t="n">
        <v>0</v>
      </c>
      <c r="AS58" s="117" t="n"/>
      <c r="AT58" s="112" t="n"/>
      <c r="AU58" s="118" t="inlineStr">
        <is>
          <t>N</t>
        </is>
      </c>
      <c r="AV58" s="118" t="inlineStr">
        <is>
          <t>none</t>
        </is>
      </c>
      <c r="AW58" s="124" t="n"/>
      <c r="AX58" s="119" t="n">
        <v>79</v>
      </c>
      <c r="AY58" s="118" t="inlineStr">
        <is>
          <t>none</t>
        </is>
      </c>
      <c r="AZ58" s="118" t="inlineStr">
        <is>
          <t>Y</t>
        </is>
      </c>
      <c r="BA58" s="118" t="inlineStr">
        <is>
          <t>2026-10-13 23:45:23</t>
        </is>
      </c>
      <c r="BB58" s="120" t="inlineStr">
        <is>
          <t>None</t>
        </is>
      </c>
      <c r="BC58" s="125" t="n"/>
      <c r="BD58" s="121" t="n">
        <v>79</v>
      </c>
      <c r="BE58" s="121" t="n">
        <v>79</v>
      </c>
      <c r="BF58" s="110">
        <f>IF(AND(ISNUMBER(BD58),ISNUMBER(BE58),N(BD58)&gt;0),1-BE58/BD58,"")</f>
        <v/>
      </c>
      <c r="BG58" s="122" t="n">
        <v>12613</v>
      </c>
      <c r="BH58" s="122" t="n">
        <v>6362</v>
      </c>
      <c r="BI58" s="123">
        <f>IF(AND(ISNUMBER(BG58),ISNUMBER(BH58),N(BH58)&gt;0),BG58/BH58,"")</f>
        <v/>
      </c>
      <c r="BJ58" s="120" t="inlineStr">
        <is>
          <t>N</t>
        </is>
      </c>
      <c r="BK58" s="120" t="inlineStr">
        <is>
          <t>List Price $79.00</t>
        </is>
      </c>
    </row>
    <row r="59" ht="62" customHeight="1">
      <c r="A59" s="12">
        <f>_xlfn.IMAGE("https://m.media-amazon.com/images/I/81yWNINY+zL._AC_SL1500_.jpg")</f>
        <v/>
      </c>
      <c r="B59" s="105" t="inlineStr">
        <is>
          <t>Manta Sleep</t>
        </is>
      </c>
      <c r="C59" s="39" t="inlineStr">
        <is>
          <t>SS Silk Sleep Mask - Contoured</t>
        </is>
      </c>
      <c r="D59" s="105" t="inlineStr">
        <is>
          <t>Beatable</t>
        </is>
      </c>
      <c r="E59" s="134" t="inlineStr">
        <is>
          <t>Not classified</t>
        </is>
      </c>
      <c r="F59" s="105" t="n"/>
      <c r="G59" s="39" t="inlineStr">
        <is>
          <t>Not a sheet, pillowcase or comforter product; competitors are compared on price and sales only.</t>
        </is>
      </c>
      <c r="H59" s="107" t="inlineStr">
        <is>
          <t>B0DFJDJLDB</t>
        </is>
      </c>
      <c r="I59" s="107" t="inlineStr">
        <is>
          <t>B0D8M5MDCS</t>
        </is>
      </c>
      <c r="J59" s="105" t="n"/>
      <c r="K59" s="105" t="n"/>
      <c r="L59" s="108" t="n"/>
      <c r="M59" s="39" t="inlineStr"/>
      <c r="N59" s="109" t="n">
        <v>75</v>
      </c>
      <c r="O59" s="109" t="n"/>
      <c r="P59" s="110">
        <f>IF(AND(ISNUMBER(O59),ISNUMBER(N59),N(N59)&gt;0),O59/N59-1,"")</f>
        <v/>
      </c>
      <c r="Q59" s="111">
        <f>IF(P59="","No List Price",IF(P59&lt;=0,"At/below price",IF(P59&lt;=0.12,"&lt;=12% STR zone",IF(P59&lt;=0.25,"12-25%","&gt;25% over"))))</f>
        <v/>
      </c>
      <c r="R59" s="109" t="n">
        <v>25.95</v>
      </c>
      <c r="S59" s="112">
        <f>IF(AND(ISNUMBER(N59),ISNUMBER(R59),N(R59)&gt;0),N59/R59-1,"")</f>
        <v/>
      </c>
      <c r="T59" s="39" t="inlineStr">
        <is>
          <t>vs our blended price (market data, Mar 2026 - STALE)</t>
        </is>
      </c>
      <c r="U59" s="108" t="n">
        <v>26849</v>
      </c>
      <c r="V59" s="108" t="n">
        <v>197</v>
      </c>
      <c r="W59" s="113">
        <f>IF(AND(ISNUMBER(N59),ISNUMBER(V59)),N59*V59*52/12,"")</f>
        <v/>
      </c>
      <c r="X59" s="114" t="n">
        <v>4</v>
      </c>
      <c r="Y59" s="108" t="n">
        <v>587</v>
      </c>
      <c r="Z59" s="115" t="n">
        <v>46307</v>
      </c>
      <c r="AA59" s="115" t="n"/>
      <c r="AB59" s="105" t="n"/>
      <c r="AC59" s="105" t="n"/>
      <c r="AD59" s="108" t="n"/>
      <c r="AE59" s="108" t="n"/>
      <c r="AF59" s="116" t="n"/>
      <c r="AG59" s="116" t="n"/>
      <c r="AH59" s="39" t="n"/>
      <c r="AI59" s="116" t="n"/>
      <c r="AJ59" s="116" t="n"/>
      <c r="AK59" s="116" t="n"/>
      <c r="AL59" s="116" t="n"/>
      <c r="AM59" s="108" t="n"/>
      <c r="AN59" s="108" t="n"/>
      <c r="AO59" s="108" t="n"/>
      <c r="AP59" s="108" t="n"/>
      <c r="AQ59" s="108" t="n"/>
      <c r="AR59" s="108" t="n"/>
      <c r="AS59" s="117" t="n">
        <v>1.158222703874289</v>
      </c>
      <c r="AT59" s="112" t="n">
        <v>-0.07496927488734118</v>
      </c>
      <c r="AU59" s="118" t="inlineStr">
        <is>
          <t>N</t>
        </is>
      </c>
      <c r="AV59" s="118" t="inlineStr">
        <is>
          <t>none</t>
        </is>
      </c>
      <c r="AW59" s="124" t="n"/>
      <c r="AX59" s="119" t="n">
        <v>75</v>
      </c>
      <c r="AY59" s="118" t="inlineStr">
        <is>
          <t>none</t>
        </is>
      </c>
      <c r="AZ59" s="118" t="inlineStr">
        <is>
          <t>Y</t>
        </is>
      </c>
      <c r="BA59" s="118" t="inlineStr">
        <is>
          <t>2026-10-13 23:46:23</t>
        </is>
      </c>
      <c r="BB59" s="120" t="inlineStr">
        <is>
          <t>Price cut only</t>
        </is>
      </c>
      <c r="BC59" s="120" t="inlineStr">
        <is>
          <t>11-20 to 12-01</t>
        </is>
      </c>
      <c r="BD59" s="121" t="n">
        <v>75</v>
      </c>
      <c r="BE59" s="121" t="n">
        <v>60</v>
      </c>
      <c r="BF59" s="110">
        <f>IF(AND(ISNUMBER(BD59),ISNUMBER(BE59),N(BD59)&gt;0),1-BE59/BD59,"")</f>
        <v/>
      </c>
      <c r="BG59" s="122" t="n">
        <v>32079</v>
      </c>
      <c r="BH59" s="122" t="n">
        <v>18312</v>
      </c>
      <c r="BI59" s="123">
        <f>IF(AND(ISNUMBER(BG59),ISNUMBER(BH59),N(BH59)&gt;0),BG59/BH59,"")</f>
        <v/>
      </c>
      <c r="BJ59" s="120" t="inlineStr">
        <is>
          <t>N</t>
        </is>
      </c>
      <c r="BK59" s="120" t="inlineStr">
        <is>
          <t>List Price $75.00</t>
        </is>
      </c>
    </row>
    <row r="60" ht="62" customHeight="1">
      <c r="A60" s="12">
        <f>_xlfn.IMAGE("https://m.media-amazon.com/images/I/51pE5E97utL._AC_SL1000_.jpg")</f>
        <v/>
      </c>
      <c r="B60" s="105" t="inlineStr">
        <is>
          <t>OLESILK</t>
        </is>
      </c>
      <c r="C60" s="39" t="inlineStr">
        <is>
          <t>SS Silk Sleep Mask</t>
        </is>
      </c>
      <c r="D60" s="105" t="inlineStr">
        <is>
          <t>Beatable</t>
        </is>
      </c>
      <c r="E60" s="134" t="inlineStr">
        <is>
          <t>Not classified</t>
        </is>
      </c>
      <c r="F60" s="105" t="n"/>
      <c r="G60" s="39" t="inlineStr">
        <is>
          <t>Not a sheet, pillowcase or comforter product; competitors are compared on price and sales only.</t>
        </is>
      </c>
      <c r="H60" s="107" t="inlineStr">
        <is>
          <t>B07C7VH6CQ</t>
        </is>
      </c>
      <c r="I60" s="107" t="inlineStr">
        <is>
          <t>B07C7Y8QSW</t>
        </is>
      </c>
      <c r="J60" s="105" t="n"/>
      <c r="K60" s="105" t="n"/>
      <c r="L60" s="108" t="n">
        <v>13</v>
      </c>
      <c r="M60" s="39" t="inlineStr">
        <is>
          <t>B07C7Y8QSW (63%), B07RL1L8D4 (18%)</t>
        </is>
      </c>
      <c r="N60" s="109" t="n">
        <v>15.99</v>
      </c>
      <c r="O60" s="109" t="n"/>
      <c r="P60" s="110">
        <f>IF(AND(ISNUMBER(O60),ISNUMBER(N60),N(N60)&gt;0),O60/N60-1,"")</f>
        <v/>
      </c>
      <c r="Q60" s="111">
        <f>IF(P60="","No List Price",IF(P60&lt;=0,"At/below price",IF(P60&lt;=0.12,"&lt;=12% STR zone",IF(P60&lt;=0.25,"12-25%","&gt;25% over"))))</f>
        <v/>
      </c>
      <c r="R60" s="109" t="n">
        <v>25.95</v>
      </c>
      <c r="S60" s="112">
        <f>IF(AND(ISNUMBER(N60),ISNUMBER(R60),N(R60)&gt;0),N60/R60-1,"")</f>
        <v/>
      </c>
      <c r="T60" s="39" t="inlineStr">
        <is>
          <t>vs our blended price (market data, Mar 2026 - STALE)</t>
        </is>
      </c>
      <c r="U60" s="108" t="n">
        <v>17930</v>
      </c>
      <c r="V60" s="108" t="n">
        <v>185</v>
      </c>
      <c r="W60" s="113">
        <f>IF(AND(ISNUMBER(N60),ISNUMBER(V60)),N60*V60*52/12,"")</f>
        <v/>
      </c>
      <c r="X60" s="114" t="n">
        <v>4.4</v>
      </c>
      <c r="Y60" s="108" t="n">
        <v>2501</v>
      </c>
      <c r="Z60" s="115" t="n">
        <v>46307</v>
      </c>
      <c r="AA60" s="115" t="n"/>
      <c r="AB60" s="105" t="n"/>
      <c r="AC60" s="105" t="n"/>
      <c r="AD60" s="108" t="n">
        <v>123074</v>
      </c>
      <c r="AE60" s="108" t="n">
        <v>563</v>
      </c>
      <c r="AF60" s="116" t="n">
        <v>0.3315021734891204</v>
      </c>
      <c r="AG60" s="116" t="n">
        <v>0.6685029843833791</v>
      </c>
      <c r="AH60" s="39" t="inlineStr">
        <is>
          <t>eye masks for sleep</t>
        </is>
      </c>
      <c r="AI60" s="116" t="n">
        <v>0.9726749760306808</v>
      </c>
      <c r="AJ60" s="116" t="n"/>
      <c r="AK60" s="116" t="n"/>
      <c r="AL60" s="116" t="n"/>
      <c r="AM60" s="108" t="n">
        <v>42</v>
      </c>
      <c r="AN60" s="108" t="n">
        <v>2</v>
      </c>
      <c r="AO60" s="108" t="n">
        <v>34</v>
      </c>
      <c r="AP60" s="108" t="n">
        <v>521</v>
      </c>
      <c r="AQ60" s="108" t="n">
        <v>173</v>
      </c>
      <c r="AR60" s="108" t="n">
        <v>0</v>
      </c>
      <c r="AS60" s="117" t="n">
        <v>1.050397877984085</v>
      </c>
      <c r="AT60" s="112" t="n">
        <v>0.08739076154806491</v>
      </c>
      <c r="AU60" s="118" t="inlineStr">
        <is>
          <t>N</t>
        </is>
      </c>
      <c r="AV60" s="118" t="inlineStr">
        <is>
          <t>none</t>
        </is>
      </c>
      <c r="AW60" s="124" t="n"/>
      <c r="AX60" s="119" t="n">
        <v>15.99</v>
      </c>
      <c r="AY60" s="118" t="inlineStr">
        <is>
          <t>none</t>
        </is>
      </c>
      <c r="AZ60" s="118" t="inlineStr">
        <is>
          <t>Y</t>
        </is>
      </c>
      <c r="BA60" s="118" t="inlineStr">
        <is>
          <t>2026-10-13 23:46:26</t>
        </is>
      </c>
      <c r="BB60" s="120" t="inlineStr">
        <is>
          <t>Prime Exclusive Discount</t>
        </is>
      </c>
      <c r="BC60" s="120" t="inlineStr">
        <is>
          <t>11-20 to 12-01</t>
        </is>
      </c>
      <c r="BD60" s="121" t="n">
        <v>13.99</v>
      </c>
      <c r="BE60" s="121" t="n">
        <v>11.19</v>
      </c>
      <c r="BF60" s="110">
        <f>IF(AND(ISNUMBER(BD60),ISNUMBER(BE60),N(BD60)&gt;0),1-BE60/BD60,"")</f>
        <v/>
      </c>
      <c r="BG60" s="122" t="n">
        <v>21450</v>
      </c>
      <c r="BH60" s="122" t="n">
        <v>22642</v>
      </c>
      <c r="BI60" s="123">
        <f>IF(AND(ISNUMBER(BG60),ISNUMBER(BH60),N(BH60)&gt;0),BG60/BH60,"")</f>
        <v/>
      </c>
      <c r="BJ60" s="120" t="inlineStr">
        <is>
          <t>N</t>
        </is>
      </c>
      <c r="BK60" s="120" t="inlineStr">
        <is>
          <t>List Price $19.99</t>
        </is>
      </c>
    </row>
    <row r="61" ht="62" customHeight="1">
      <c r="A61" s="12">
        <f>_xlfn.IMAGE("https://m.media-amazon.com/images/I/71weJ+mMAOL._AC_SL1500_.jpg")</f>
        <v/>
      </c>
      <c r="B61" s="105" t="inlineStr">
        <is>
          <t>TheSleepGuard</t>
        </is>
      </c>
      <c r="C61" s="39" t="inlineStr">
        <is>
          <t>SS Silk Sleep Mask - Contoured</t>
        </is>
      </c>
      <c r="D61" s="105" t="inlineStr">
        <is>
          <t>Beatable</t>
        </is>
      </c>
      <c r="E61" s="134" t="inlineStr">
        <is>
          <t>Not classified</t>
        </is>
      </c>
      <c r="F61" s="105" t="n"/>
      <c r="G61" s="39" t="inlineStr">
        <is>
          <t>Not a sheet, pillowcase or comforter product; competitors are compared on price and sales only.</t>
        </is>
      </c>
      <c r="H61" s="107" t="inlineStr">
        <is>
          <t>B0CJMDTVS2</t>
        </is>
      </c>
      <c r="I61" s="107" t="inlineStr">
        <is>
          <t>B0CJMHPKKC</t>
        </is>
      </c>
      <c r="J61" s="105" t="n"/>
      <c r="K61" s="105" t="n"/>
      <c r="L61" s="108" t="n"/>
      <c r="M61" s="39" t="inlineStr"/>
      <c r="N61" s="109" t="n">
        <v>29.95</v>
      </c>
      <c r="O61" s="109" t="n"/>
      <c r="P61" s="110">
        <f>IF(AND(ISNUMBER(O61),ISNUMBER(N61),N(N61)&gt;0),O61/N61-1,"")</f>
        <v/>
      </c>
      <c r="Q61" s="111">
        <f>IF(P61="","No List Price",IF(P61&lt;=0,"At/below price",IF(P61&lt;=0.12,"&lt;=12% STR zone",IF(P61&lt;=0.25,"12-25%","&gt;25% over"))))</f>
        <v/>
      </c>
      <c r="R61" s="109" t="n">
        <v>25.95</v>
      </c>
      <c r="S61" s="112">
        <f>IF(AND(ISNUMBER(N61),ISNUMBER(R61),N(R61)&gt;0),N61/R61-1,"")</f>
        <v/>
      </c>
      <c r="T61" s="39" t="inlineStr">
        <is>
          <t>vs our blended price (market data, Mar 2026 - STALE)</t>
        </is>
      </c>
      <c r="U61" s="108" t="n">
        <v>26824</v>
      </c>
      <c r="V61" s="108" t="n">
        <v>104</v>
      </c>
      <c r="W61" s="113">
        <f>IF(AND(ISNUMBER(N61),ISNUMBER(V61)),N61*V61*52/12,"")</f>
        <v/>
      </c>
      <c r="X61" s="114" t="n">
        <v>4.3</v>
      </c>
      <c r="Y61" s="108" t="n">
        <v>717</v>
      </c>
      <c r="Z61" s="115" t="n">
        <v>46307</v>
      </c>
      <c r="AA61" s="115" t="n"/>
      <c r="AB61" s="105" t="n"/>
      <c r="AC61" s="105" t="n"/>
      <c r="AD61" s="108" t="n"/>
      <c r="AE61" s="108" t="n"/>
      <c r="AF61" s="116" t="n"/>
      <c r="AG61" s="116" t="n"/>
      <c r="AH61" s="39" t="n"/>
      <c r="AI61" s="116" t="n"/>
      <c r="AJ61" s="116" t="n"/>
      <c r="AK61" s="116" t="n"/>
      <c r="AL61" s="116" t="n"/>
      <c r="AM61" s="108" t="n"/>
      <c r="AN61" s="108" t="n"/>
      <c r="AO61" s="108" t="n"/>
      <c r="AP61" s="108" t="n"/>
      <c r="AQ61" s="108" t="n"/>
      <c r="AR61" s="108" t="n"/>
      <c r="AS61" s="117" t="n">
        <v>1.295081967213115</v>
      </c>
      <c r="AT61" s="112" t="n">
        <v>5.956422018348624</v>
      </c>
      <c r="AU61" s="118" t="inlineStr">
        <is>
          <t>N</t>
        </is>
      </c>
      <c r="AV61" s="118" t="inlineStr">
        <is>
          <t>none</t>
        </is>
      </c>
      <c r="AW61" s="124" t="n"/>
      <c r="AX61" s="119" t="n">
        <v>29.95</v>
      </c>
      <c r="AY61" s="118" t="inlineStr">
        <is>
          <t>none</t>
        </is>
      </c>
      <c r="AZ61" s="118" t="inlineStr">
        <is>
          <t>Y</t>
        </is>
      </c>
      <c r="BA61" s="118" t="inlineStr">
        <is>
          <t>2026-10-13 23:47:00</t>
        </is>
      </c>
      <c r="BB61" s="120" t="inlineStr">
        <is>
          <t>Coupon only</t>
        </is>
      </c>
      <c r="BC61" s="120" t="inlineStr">
        <is>
          <t>11-01 to 12-05</t>
        </is>
      </c>
      <c r="BD61" s="121" t="n">
        <v>29.95</v>
      </c>
      <c r="BE61" s="121" t="n">
        <v>29.95</v>
      </c>
      <c r="BF61" s="110">
        <f>IF(AND(ISNUMBER(BD61),ISNUMBER(BE61),N(BD61)&gt;0),1-BE61/BD61,"")</f>
        <v/>
      </c>
      <c r="BG61" s="122" t="n">
        <v>23559</v>
      </c>
      <c r="BH61" s="122" t="n">
        <v>24662</v>
      </c>
      <c r="BI61" s="123">
        <f>IF(AND(ISNUMBER(BG61),ISNUMBER(BH61),N(BH61)&gt;0),BG61/BH61,"")</f>
        <v/>
      </c>
      <c r="BJ61" s="120" t="inlineStr">
        <is>
          <t>Y</t>
        </is>
      </c>
      <c r="BK61" s="120" t="inlineStr">
        <is>
          <t>Coupon 5%; List Price $39.95</t>
        </is>
      </c>
    </row>
    <row r="62" ht="62" customHeight="1">
      <c r="A62" s="12">
        <f>_xlfn.IMAGE("https://m.media-amazon.com/images/I/61KQzkxep5L._AC_SL1500_.jpg")</f>
        <v/>
      </c>
      <c r="B62" s="105" t="inlineStr">
        <is>
          <t>ZIMASILK</t>
        </is>
      </c>
      <c r="C62" s="39" t="inlineStr">
        <is>
          <t>SS Silk Sleep Mask - Contoured</t>
        </is>
      </c>
      <c r="D62" s="105" t="inlineStr">
        <is>
          <t>Beatable</t>
        </is>
      </c>
      <c r="E62" s="134" t="inlineStr">
        <is>
          <t>Not classified</t>
        </is>
      </c>
      <c r="F62" s="105" t="n"/>
      <c r="G62" s="39" t="inlineStr">
        <is>
          <t>Not a sheet, pillowcase or comforter product; competitors are compared on price and sales only.</t>
        </is>
      </c>
      <c r="H62" s="107" t="inlineStr">
        <is>
          <t>B0FV2TSFBG</t>
        </is>
      </c>
      <c r="I62" s="107" t="inlineStr">
        <is>
          <t>B0CZPYKHQW</t>
        </is>
      </c>
      <c r="J62" s="105" t="n"/>
      <c r="K62" s="105" t="n"/>
      <c r="L62" s="108" t="n"/>
      <c r="M62" s="39" t="inlineStr"/>
      <c r="N62" s="109" t="n">
        <v>22.49</v>
      </c>
      <c r="O62" s="109" t="n">
        <v>24.99</v>
      </c>
      <c r="P62" s="110">
        <f>IF(AND(ISNUMBER(O62),ISNUMBER(N62),N(N62)&gt;0),O62/N62-1,"")</f>
        <v/>
      </c>
      <c r="Q62" s="111">
        <f>IF(P62="","No List Price",IF(P62&lt;=0,"At/below price",IF(P62&lt;=0.12,"&lt;=12% STR zone",IF(P62&lt;=0.25,"12-25%","&gt;25% over"))))</f>
        <v/>
      </c>
      <c r="R62" s="109" t="n">
        <v>25.95</v>
      </c>
      <c r="S62" s="112">
        <f>IF(AND(ISNUMBER(N62),ISNUMBER(R62),N(R62)&gt;0),N62/R62-1,"")</f>
        <v/>
      </c>
      <c r="T62" s="39" t="inlineStr">
        <is>
          <t>vs our blended price (market data, Mar 2026 - STALE)</t>
        </is>
      </c>
      <c r="U62" s="108" t="n">
        <v>33544</v>
      </c>
      <c r="V62" s="108" t="n">
        <v>104</v>
      </c>
      <c r="W62" s="113">
        <f>IF(AND(ISNUMBER(N62),ISNUMBER(V62)),N62*V62*52/12,"")</f>
        <v/>
      </c>
      <c r="X62" s="114" t="n">
        <v>4.5</v>
      </c>
      <c r="Y62" s="108" t="n">
        <v>2507</v>
      </c>
      <c r="Z62" s="115" t="n">
        <v>46307</v>
      </c>
      <c r="AA62" s="115" t="n"/>
      <c r="AB62" s="105" t="n"/>
      <c r="AC62" s="105" t="n"/>
      <c r="AD62" s="108" t="n"/>
      <c r="AE62" s="108" t="n"/>
      <c r="AF62" s="116" t="n"/>
      <c r="AG62" s="116" t="n"/>
      <c r="AH62" s="39" t="n"/>
      <c r="AI62" s="116" t="n"/>
      <c r="AJ62" s="116" t="n"/>
      <c r="AK62" s="116" t="n"/>
      <c r="AL62" s="116" t="n"/>
      <c r="AM62" s="108" t="n"/>
      <c r="AN62" s="108" t="n"/>
      <c r="AO62" s="108" t="n"/>
      <c r="AP62" s="108" t="n"/>
      <c r="AQ62" s="108" t="n"/>
      <c r="AR62" s="108" t="n"/>
      <c r="AS62" s="117" t="n">
        <v>1.276005547850208</v>
      </c>
      <c r="AT62" s="112" t="n">
        <v>0.1431148526758868</v>
      </c>
      <c r="AU62" s="118" t="inlineStr">
        <is>
          <t>Y</t>
        </is>
      </c>
      <c r="AV62" s="118" t="inlineStr">
        <is>
          <t>List Price</t>
        </is>
      </c>
      <c r="AW62" s="119" t="n">
        <v>24.99</v>
      </c>
      <c r="AX62" s="119" t="n">
        <v>22.49</v>
      </c>
      <c r="AY62" s="118" t="inlineStr">
        <is>
          <t>Limited time deal</t>
        </is>
      </c>
      <c r="AZ62" s="118" t="inlineStr">
        <is>
          <t>Y</t>
        </is>
      </c>
      <c r="BA62" s="118" t="inlineStr">
        <is>
          <t>2026-10-13 23:47:26</t>
        </is>
      </c>
      <c r="BB62" s="120" t="inlineStr">
        <is>
          <t>Prime Exclusive Discount</t>
        </is>
      </c>
      <c r="BC62" s="120" t="inlineStr">
        <is>
          <t>11-24 to 12-02</t>
        </is>
      </c>
      <c r="BD62" s="121" t="n">
        <v>24.99</v>
      </c>
      <c r="BE62" s="121" t="n">
        <v>19.74</v>
      </c>
      <c r="BF62" s="110">
        <f>IF(AND(ISNUMBER(BD62),ISNUMBER(BE62),N(BD62)&gt;0),1-BE62/BD62,"")</f>
        <v/>
      </c>
      <c r="BG62" s="122" t="n">
        <v>41158</v>
      </c>
      <c r="BH62" s="122" t="n">
        <v>34224</v>
      </c>
      <c r="BI62" s="123">
        <f>IF(AND(ISNUMBER(BG62),ISNUMBER(BH62),N(BH62)&gt;0),BG62/BH62,"")</f>
        <v/>
      </c>
      <c r="BJ62" s="120" t="inlineStr">
        <is>
          <t>N</t>
        </is>
      </c>
      <c r="BK62" s="120" t="inlineStr">
        <is>
          <t>List Price $29.99</t>
        </is>
      </c>
    </row>
    <row r="63" ht="62" customHeight="1">
      <c r="A63" s="12">
        <f>_xlfn.IMAGE("https://images-na.ssl-images-amazon.com/images/I/71VepaC3F7L.jpg")</f>
        <v/>
      </c>
      <c r="B63" s="105" t="inlineStr">
        <is>
          <t>ATreebay</t>
        </is>
      </c>
      <c r="C63" s="39" t="inlineStr">
        <is>
          <t>SS Silk Sleep Mask</t>
        </is>
      </c>
      <c r="D63" s="105" t="inlineStr">
        <is>
          <t>Beatable</t>
        </is>
      </c>
      <c r="E63" s="134" t="inlineStr">
        <is>
          <t>Not classified</t>
        </is>
      </c>
      <c r="F63" s="105" t="n"/>
      <c r="G63" s="39" t="inlineStr">
        <is>
          <t>Not a sheet, pillowcase or comforter product; competitors are compared on price and sales only.</t>
        </is>
      </c>
      <c r="H63" s="107" t="inlineStr">
        <is>
          <t>B0DFGZZ7F1</t>
        </is>
      </c>
      <c r="I63" s="107" t="inlineStr">
        <is>
          <t>B0DFGZPP7K</t>
        </is>
      </c>
      <c r="J63" s="105" t="n"/>
      <c r="K63" s="105" t="n"/>
      <c r="L63" s="108" t="n">
        <v>5</v>
      </c>
      <c r="M63" s="39" t="inlineStr">
        <is>
          <t>B0DFGZ1MXL (62%), B0DFGZPP7K (38%)</t>
        </is>
      </c>
      <c r="N63" s="109" t="n">
        <v>22.99</v>
      </c>
      <c r="O63" s="109" t="n"/>
      <c r="P63" s="110">
        <f>IF(AND(ISNUMBER(O63),ISNUMBER(N63),N(N63)&gt;0),O63/N63-1,"")</f>
        <v/>
      </c>
      <c r="Q63" s="111">
        <f>IF(P63="","No List Price",IF(P63&lt;=0,"At/below price",IF(P63&lt;=0.12,"&lt;=12% STR zone",IF(P63&lt;=0.25,"12-25%","&gt;25% over"))))</f>
        <v/>
      </c>
      <c r="R63" s="109" t="n">
        <v>25.95</v>
      </c>
      <c r="S63" s="112">
        <f>IF(AND(ISNUMBER(N63),ISNUMBER(R63),N(R63)&gt;0),N63/R63-1,"")</f>
        <v/>
      </c>
      <c r="T63" s="39" t="inlineStr">
        <is>
          <t>vs our blended price (market data, Mar 2026 - STALE)</t>
        </is>
      </c>
      <c r="U63" s="108" t="n">
        <v>30513</v>
      </c>
      <c r="V63" s="108" t="n">
        <v>92</v>
      </c>
      <c r="W63" s="113">
        <f>IF(AND(ISNUMBER(N63),ISNUMBER(V63)),N63*V63*52/12,"")</f>
        <v/>
      </c>
      <c r="X63" s="114" t="n">
        <v>4.5</v>
      </c>
      <c r="Y63" s="108" t="n">
        <v>345</v>
      </c>
      <c r="Z63" s="115" t="n">
        <v>46307</v>
      </c>
      <c r="AA63" s="115" t="n"/>
      <c r="AB63" s="105" t="n"/>
      <c r="AC63" s="105" t="n"/>
      <c r="AD63" s="108" t="n">
        <v>81189</v>
      </c>
      <c r="AE63" s="108" t="n">
        <v>467</v>
      </c>
      <c r="AF63" s="116" t="n">
        <v>0.6977105777876312</v>
      </c>
      <c r="AG63" s="116" t="n">
        <v>0.3022894222123687</v>
      </c>
      <c r="AH63" s="39" t="inlineStr">
        <is>
          <t>sleep mask</t>
        </is>
      </c>
      <c r="AI63" s="116" t="n">
        <v>0.8474423875155501</v>
      </c>
      <c r="AJ63" s="116" t="n"/>
      <c r="AK63" s="116" t="n">
        <v>0.1174543349468524</v>
      </c>
      <c r="AL63" s="116" t="n"/>
      <c r="AM63" s="108" t="n">
        <v>40</v>
      </c>
      <c r="AN63" s="108" t="n">
        <v>2</v>
      </c>
      <c r="AO63" s="108" t="n">
        <v>33</v>
      </c>
      <c r="AP63" s="108" t="n">
        <v>427</v>
      </c>
      <c r="AQ63" s="108" t="n">
        <v>38</v>
      </c>
      <c r="AR63" s="108" t="n">
        <v>0</v>
      </c>
      <c r="AS63" s="117" t="n">
        <v>2.084468664850136</v>
      </c>
      <c r="AT63" s="112" t="n">
        <v>0.4383333333333332</v>
      </c>
      <c r="AU63" s="118" t="inlineStr">
        <is>
          <t>N</t>
        </is>
      </c>
      <c r="AV63" s="118" t="inlineStr">
        <is>
          <t>none</t>
        </is>
      </c>
      <c r="AW63" s="124" t="n"/>
      <c r="AX63" s="119" t="n">
        <v>22.99</v>
      </c>
      <c r="AY63" s="118" t="inlineStr">
        <is>
          <t>none</t>
        </is>
      </c>
      <c r="AZ63" s="118" t="inlineStr">
        <is>
          <t>Y</t>
        </is>
      </c>
      <c r="BA63" s="118" t="inlineStr">
        <is>
          <t>2026-10-13 23:44:49</t>
        </is>
      </c>
      <c r="BB63" s="120" t="inlineStr">
        <is>
          <t>Prime Exclusive Discount</t>
        </is>
      </c>
      <c r="BC63" s="120" t="inlineStr">
        <is>
          <t>11-26 to 12-01</t>
        </is>
      </c>
      <c r="BD63" s="121" t="n">
        <v>19.99</v>
      </c>
      <c r="BE63" s="121" t="n">
        <v>15.99</v>
      </c>
      <c r="BF63" s="110">
        <f>IF(AND(ISNUMBER(BD63),ISNUMBER(BE63),N(BD63)&gt;0),1-BE63/BD63,"")</f>
        <v/>
      </c>
      <c r="BG63" s="122" t="n">
        <v>27949</v>
      </c>
      <c r="BH63" s="122" t="n">
        <v>18429</v>
      </c>
      <c r="BI63" s="123">
        <f>IF(AND(ISNUMBER(BG63),ISNUMBER(BH63),N(BH63)&gt;0),BG63/BH63,"")</f>
        <v/>
      </c>
      <c r="BJ63" s="120" t="inlineStr">
        <is>
          <t>N</t>
        </is>
      </c>
      <c r="BK63" s="120" t="inlineStr">
        <is>
          <t>Coupon 2.00 USD (11-02 to 11-16); List Price $22.99</t>
        </is>
      </c>
    </row>
    <row r="64" ht="62" customHeight="1">
      <c r="A64" s="12">
        <f>_xlfn.IMAGE("https://m.media-amazon.com/images/I/71nMCB6D0nL._AC_SL1500_.jpg")</f>
        <v/>
      </c>
      <c r="B64" s="105" t="inlineStr">
        <is>
          <t>SLIP</t>
        </is>
      </c>
      <c r="C64" s="39" t="inlineStr">
        <is>
          <t>SS Silk Sleep Mask - Contoured</t>
        </is>
      </c>
      <c r="D64" s="105" t="inlineStr">
        <is>
          <t>Beatable</t>
        </is>
      </c>
      <c r="E64" s="134" t="inlineStr">
        <is>
          <t>Not classified</t>
        </is>
      </c>
      <c r="F64" s="105" t="n"/>
      <c r="G64" s="39" t="inlineStr">
        <is>
          <t>Not a sheet, pillowcase or comforter product; competitors are compared on price and sales only.</t>
        </is>
      </c>
      <c r="H64" s="107" t="inlineStr">
        <is>
          <t>B0D94T2PG7</t>
        </is>
      </c>
      <c r="I64" s="107" t="inlineStr">
        <is>
          <t>B09CLHKX26</t>
        </is>
      </c>
      <c r="J64" s="105" t="n"/>
      <c r="K64" s="105" t="n"/>
      <c r="L64" s="108" t="n"/>
      <c r="M64" s="39" t="inlineStr"/>
      <c r="N64" s="109" t="n">
        <v>79</v>
      </c>
      <c r="O64" s="109" t="n"/>
      <c r="P64" s="110">
        <f>IF(AND(ISNUMBER(O64),ISNUMBER(N64),N(N64)&gt;0),O64/N64-1,"")</f>
        <v/>
      </c>
      <c r="Q64" s="111">
        <f>IF(P64="","No List Price",IF(P64&lt;=0,"At/below price",IF(P64&lt;=0.12,"&lt;=12% STR zone",IF(P64&lt;=0.25,"12-25%","&gt;25% over"))))</f>
        <v/>
      </c>
      <c r="R64" s="109" t="n">
        <v>25.95</v>
      </c>
      <c r="S64" s="112">
        <f>IF(AND(ISNUMBER(N64),ISNUMBER(R64),N(R64)&gt;0),N64/R64-1,"")</f>
        <v/>
      </c>
      <c r="T64" s="39" t="inlineStr">
        <is>
          <t>vs our blended price (market data, Mar 2026 - STALE)</t>
        </is>
      </c>
      <c r="U64" s="108" t="n">
        <v>31364</v>
      </c>
      <c r="V64" s="108" t="n">
        <v>92</v>
      </c>
      <c r="W64" s="113">
        <f>IF(AND(ISNUMBER(N64),ISNUMBER(V64)),N64*V64*52/12,"")</f>
        <v/>
      </c>
      <c r="X64" s="114" t="n">
        <v>4.3</v>
      </c>
      <c r="Y64" s="108" t="n">
        <v>401</v>
      </c>
      <c r="Z64" s="115" t="n">
        <v>46307</v>
      </c>
      <c r="AA64" s="115" t="n"/>
      <c r="AB64" s="105" t="n"/>
      <c r="AC64" s="105" t="n"/>
      <c r="AD64" s="108" t="n"/>
      <c r="AE64" s="108" t="n"/>
      <c r="AF64" s="116" t="n"/>
      <c r="AG64" s="116" t="n"/>
      <c r="AH64" s="39" t="n"/>
      <c r="AI64" s="116" t="n"/>
      <c r="AJ64" s="116" t="n"/>
      <c r="AK64" s="116" t="n"/>
      <c r="AL64" s="116" t="n"/>
      <c r="AM64" s="108" t="n"/>
      <c r="AN64" s="108" t="n"/>
      <c r="AO64" s="108" t="n"/>
      <c r="AP64" s="108" t="n"/>
      <c r="AQ64" s="108" t="n"/>
      <c r="AR64" s="108" t="n"/>
      <c r="AS64" s="117" t="n">
        <v>1.119019375247133</v>
      </c>
      <c r="AT64" s="112" t="n">
        <v>-0.2147444847807876</v>
      </c>
      <c r="AU64" s="118" t="inlineStr">
        <is>
          <t>N</t>
        </is>
      </c>
      <c r="AV64" s="118" t="inlineStr">
        <is>
          <t>none</t>
        </is>
      </c>
      <c r="AW64" s="124" t="n"/>
      <c r="AX64" s="119" t="n">
        <v>79</v>
      </c>
      <c r="AY64" s="118" t="inlineStr">
        <is>
          <t>none</t>
        </is>
      </c>
      <c r="AZ64" s="118" t="inlineStr">
        <is>
          <t>Y</t>
        </is>
      </c>
      <c r="BA64" s="118" t="inlineStr">
        <is>
          <t>2026-10-13 23:46:51</t>
        </is>
      </c>
      <c r="BB64" s="120" t="inlineStr">
        <is>
          <t>Price cut only</t>
        </is>
      </c>
      <c r="BC64" s="120" t="inlineStr">
        <is>
          <t>11-28 to 12-01</t>
        </is>
      </c>
      <c r="BD64" s="121" t="n">
        <v>75</v>
      </c>
      <c r="BE64" s="121" t="n">
        <v>60</v>
      </c>
      <c r="BF64" s="110">
        <f>IF(AND(ISNUMBER(BD64),ISNUMBER(BE64),N(BD64)&gt;0),1-BE64/BD64,"")</f>
        <v/>
      </c>
      <c r="BG64" s="122" t="n">
        <v>32964</v>
      </c>
      <c r="BH64" s="122" t="n">
        <v>34920</v>
      </c>
      <c r="BI64" s="123">
        <f>IF(AND(ISNUMBER(BG64),ISNUMBER(BH64),N(BH64)&gt;0),BG64/BH64,"")</f>
        <v/>
      </c>
      <c r="BJ64" s="120" t="inlineStr">
        <is>
          <t>N</t>
        </is>
      </c>
      <c r="BK64" s="120" t="inlineStr">
        <is>
          <t>List Price $75.00</t>
        </is>
      </c>
    </row>
    <row r="65" ht="62" customHeight="1">
      <c r="A65" s="12">
        <f>_xlfn.IMAGE("https://m.media-amazon.com/images/I/81GDJrskg9L._AC_SL1500_.jpg")</f>
        <v/>
      </c>
      <c r="B65" s="105" t="inlineStr">
        <is>
          <t>BLISSY</t>
        </is>
      </c>
      <c r="C65" s="39" t="inlineStr">
        <is>
          <t>SS Silk Sleep Mask - Contoured</t>
        </is>
      </c>
      <c r="D65" s="105" t="inlineStr">
        <is>
          <t>Beatable</t>
        </is>
      </c>
      <c r="E65" s="134" t="inlineStr">
        <is>
          <t>Not classified</t>
        </is>
      </c>
      <c r="F65" s="105" t="n"/>
      <c r="G65" s="39" t="inlineStr">
        <is>
          <t>Not a sheet, pillowcase or comforter product; competitors are compared on price and sales only.</t>
        </is>
      </c>
      <c r="H65" s="107" t="inlineStr">
        <is>
          <t>B0GY143VLB</t>
        </is>
      </c>
      <c r="I65" s="107" t="inlineStr">
        <is>
          <t>B0G49VVD1Z</t>
        </is>
      </c>
      <c r="J65" s="105" t="n"/>
      <c r="K65" s="105" t="n"/>
      <c r="L65" s="108" t="n"/>
      <c r="M65" s="39" t="inlineStr"/>
      <c r="N65" s="109" t="n">
        <v>37.96</v>
      </c>
      <c r="O65" s="109" t="n"/>
      <c r="P65" s="110">
        <f>IF(AND(ISNUMBER(O65),ISNUMBER(N65),N(N65)&gt;0),O65/N65-1,"")</f>
        <v/>
      </c>
      <c r="Q65" s="111">
        <f>IF(P65="","No List Price",IF(P65&lt;=0,"At/below price",IF(P65&lt;=0.12,"&lt;=12% STR zone",IF(P65&lt;=0.25,"12-25%","&gt;25% over"))))</f>
        <v/>
      </c>
      <c r="R65" s="109" t="n">
        <v>25.95</v>
      </c>
      <c r="S65" s="112">
        <f>IF(AND(ISNUMBER(N65),ISNUMBER(R65),N(R65)&gt;0),N65/R65-1,"")</f>
        <v/>
      </c>
      <c r="T65" s="39" t="inlineStr">
        <is>
          <t>vs our blended price (market data, Mar 2026 - STALE)</t>
        </is>
      </c>
      <c r="U65" s="108" t="n">
        <v>31692</v>
      </c>
      <c r="V65" s="108" t="n">
        <v>35</v>
      </c>
      <c r="W65" s="113">
        <f>IF(AND(ISNUMBER(N65),ISNUMBER(V65)),N65*V65*52/12,"")</f>
        <v/>
      </c>
      <c r="X65" s="114" t="n">
        <v>4</v>
      </c>
      <c r="Y65" s="108" t="n">
        <v>188</v>
      </c>
      <c r="Z65" s="115" t="n">
        <v>46307</v>
      </c>
      <c r="AA65" s="115" t="n"/>
      <c r="AB65" s="105" t="n"/>
      <c r="AC65" s="105" t="n"/>
      <c r="AD65" s="108" t="n"/>
      <c r="AE65" s="108" t="n"/>
      <c r="AF65" s="116" t="n"/>
      <c r="AG65" s="116" t="n"/>
      <c r="AH65" s="39" t="n"/>
      <c r="AI65" s="116" t="n"/>
      <c r="AJ65" s="116" t="n"/>
      <c r="AK65" s="116" t="n"/>
      <c r="AL65" s="116" t="n"/>
      <c r="AM65" s="108" t="n"/>
      <c r="AN65" s="108" t="n"/>
      <c r="AO65" s="108" t="n"/>
      <c r="AP65" s="108" t="n"/>
      <c r="AQ65" s="108" t="n"/>
      <c r="AR65" s="108" t="n"/>
      <c r="AS65" s="117" t="n"/>
      <c r="AT65" s="112" t="n"/>
      <c r="AU65" s="118" t="inlineStr">
        <is>
          <t>N</t>
        </is>
      </c>
      <c r="AV65" s="118" t="inlineStr">
        <is>
          <t>none</t>
        </is>
      </c>
      <c r="AW65" s="124" t="n"/>
      <c r="AX65" s="119" t="n">
        <v>37.96</v>
      </c>
      <c r="AY65" s="118" t="inlineStr">
        <is>
          <t>none</t>
        </is>
      </c>
      <c r="AZ65" s="118" t="inlineStr">
        <is>
          <t>Y</t>
        </is>
      </c>
      <c r="BA65" s="118" t="inlineStr">
        <is>
          <t>2026-10-13 23:45:02</t>
        </is>
      </c>
      <c r="BB65" s="120" t="inlineStr">
        <is>
          <t>Not live in 2025</t>
        </is>
      </c>
      <c r="BC65" s="125" t="n"/>
      <c r="BD65" s="124" t="n"/>
      <c r="BE65" s="124" t="n"/>
      <c r="BF65" s="110">
        <f>IF(AND(ISNUMBER(BD65),ISNUMBER(BE65),N(BD65)&gt;0),1-BE65/BD65,"")</f>
        <v/>
      </c>
      <c r="BG65" s="126" t="n"/>
      <c r="BH65" s="126" t="n"/>
      <c r="BI65" s="123">
        <f>IF(AND(ISNUMBER(BG65),ISNUMBER(BH65),N(BH65)&gt;0),BG65/BH65,"")</f>
        <v/>
      </c>
      <c r="BJ65" s="125" t="n"/>
      <c r="BK65" s="125" t="n"/>
    </row>
    <row r="66" ht="62" customHeight="1">
      <c r="A66" s="12">
        <f>_xlfn.IMAGE("https://m.media-amazon.com/images/I/71JFsm491mL._AC_SL1500_.jpg")</f>
        <v/>
      </c>
      <c r="B66" s="105" t="inlineStr">
        <is>
          <t>ZIMASILK</t>
        </is>
      </c>
      <c r="C66" s="39" t="inlineStr">
        <is>
          <t>SS Silk Sleep Mask - Contoured</t>
        </is>
      </c>
      <c r="D66" s="105" t="inlineStr">
        <is>
          <t>Beatable</t>
        </is>
      </c>
      <c r="E66" s="134" t="inlineStr">
        <is>
          <t>Not classified</t>
        </is>
      </c>
      <c r="F66" s="105" t="n"/>
      <c r="G66" s="39" t="inlineStr">
        <is>
          <t>Not a sheet, pillowcase or comforter product; competitors are compared on price and sales only.</t>
        </is>
      </c>
      <c r="H66" s="107" t="inlineStr">
        <is>
          <t>B07KPF57S3</t>
        </is>
      </c>
      <c r="I66" s="107" t="inlineStr">
        <is>
          <t>B0BZRCV4BM</t>
        </is>
      </c>
      <c r="J66" s="105" t="n"/>
      <c r="K66" s="105" t="n"/>
      <c r="L66" s="108" t="n"/>
      <c r="M66" s="39" t="inlineStr"/>
      <c r="N66" s="109" t="n">
        <v>28.99</v>
      </c>
      <c r="O66" s="109" t="n"/>
      <c r="P66" s="110">
        <f>IF(AND(ISNUMBER(O66),ISNUMBER(N66),N(N66)&gt;0),O66/N66-1,"")</f>
        <v/>
      </c>
      <c r="Q66" s="111">
        <f>IF(P66="","No List Price",IF(P66&lt;=0,"At/below price",IF(P66&lt;=0.12,"&lt;=12% STR zone",IF(P66&lt;=0.25,"12-25%","&gt;25% over"))))</f>
        <v/>
      </c>
      <c r="R66" s="109" t="n">
        <v>25.95</v>
      </c>
      <c r="S66" s="112">
        <f>IF(AND(ISNUMBER(N66),ISNUMBER(R66),N(R66)&gt;0),N66/R66-1,"")</f>
        <v/>
      </c>
      <c r="T66" s="39" t="inlineStr">
        <is>
          <t>vs our blended price (market data, Mar 2026 - STALE)</t>
        </is>
      </c>
      <c r="U66" s="108" t="n">
        <v>20620</v>
      </c>
      <c r="V66" s="108" t="n">
        <v>35</v>
      </c>
      <c r="W66" s="113">
        <f>IF(AND(ISNUMBER(N66),ISNUMBER(V66)),N66*V66*52/12,"")</f>
        <v/>
      </c>
      <c r="X66" s="114" t="n">
        <v>4.3</v>
      </c>
      <c r="Y66" s="108" t="n">
        <v>1106</v>
      </c>
      <c r="Z66" s="115" t="n">
        <v>46307</v>
      </c>
      <c r="AA66" s="115" t="n"/>
      <c r="AB66" s="105" t="n"/>
      <c r="AC66" s="105" t="n"/>
      <c r="AD66" s="108" t="n"/>
      <c r="AE66" s="108" t="n"/>
      <c r="AF66" s="116" t="n"/>
      <c r="AG66" s="116" t="n"/>
      <c r="AH66" s="39" t="n"/>
      <c r="AI66" s="116" t="n"/>
      <c r="AJ66" s="116" t="n"/>
      <c r="AK66" s="116" t="n"/>
      <c r="AL66" s="116" t="n"/>
      <c r="AM66" s="108" t="n"/>
      <c r="AN66" s="108" t="n"/>
      <c r="AO66" s="108" t="n"/>
      <c r="AP66" s="108" t="n"/>
      <c r="AQ66" s="108" t="n"/>
      <c r="AR66" s="108" t="n"/>
      <c r="AS66" s="117" t="n"/>
      <c r="AT66" s="112" t="n"/>
      <c r="AU66" s="118" t="inlineStr">
        <is>
          <t>N</t>
        </is>
      </c>
      <c r="AV66" s="118" t="inlineStr">
        <is>
          <t>none</t>
        </is>
      </c>
      <c r="AW66" s="124" t="n"/>
      <c r="AX66" s="119" t="n">
        <v>28.99</v>
      </c>
      <c r="AY66" s="118" t="inlineStr">
        <is>
          <t>none</t>
        </is>
      </c>
      <c r="AZ66" s="118" t="inlineStr">
        <is>
          <t>Y</t>
        </is>
      </c>
      <c r="BA66" s="118" t="inlineStr">
        <is>
          <t>2026-10-13 23:47:29</t>
        </is>
      </c>
      <c r="BB66" s="120" t="inlineStr">
        <is>
          <t>None</t>
        </is>
      </c>
      <c r="BC66" s="125" t="n"/>
      <c r="BD66" s="121" t="n">
        <v>28.99</v>
      </c>
      <c r="BE66" s="121" t="n">
        <v>28.99</v>
      </c>
      <c r="BF66" s="110">
        <f>IF(AND(ISNUMBER(BD66),ISNUMBER(BE66),N(BD66)&gt;0),1-BE66/BD66,"")</f>
        <v/>
      </c>
      <c r="BG66" s="122" t="n">
        <v>24096</v>
      </c>
      <c r="BH66" s="122" t="n">
        <v>20540</v>
      </c>
      <c r="BI66" s="123">
        <f>IF(AND(ISNUMBER(BG66),ISNUMBER(BH66),N(BH66)&gt;0),BG66/BH66,"")</f>
        <v/>
      </c>
      <c r="BJ66" s="120" t="inlineStr">
        <is>
          <t>N</t>
        </is>
      </c>
      <c r="BK66" s="120" t="inlineStr">
        <is>
          <t>List Price $50.00</t>
        </is>
      </c>
    </row>
    <row r="67" ht="62" customHeight="1">
      <c r="A67" s="12">
        <f>_xlfn.IMAGE("https://m.media-amazon.com/images/I/81n3w1oqYRL._AC_SL1500_.jpg")</f>
        <v/>
      </c>
      <c r="B67" s="105" t="inlineStr">
        <is>
          <t>LitBear</t>
        </is>
      </c>
      <c r="C67" s="39" t="inlineStr">
        <is>
          <t>SS Silk Sleep Mask - Contoured</t>
        </is>
      </c>
      <c r="D67" s="105" t="inlineStr">
        <is>
          <t>Beatable</t>
        </is>
      </c>
      <c r="E67" s="134" t="inlineStr">
        <is>
          <t>Not classified</t>
        </is>
      </c>
      <c r="F67" s="105" t="n"/>
      <c r="G67" s="39" t="inlineStr">
        <is>
          <t>Not a sheet, pillowcase or comforter product; competitors are compared on price and sales only.</t>
        </is>
      </c>
      <c r="H67" s="107" t="inlineStr">
        <is>
          <t>B0D5R7CCZ2</t>
        </is>
      </c>
      <c r="I67" s="107" t="inlineStr">
        <is>
          <t>B0FDB7XXSL</t>
        </is>
      </c>
      <c r="J67" s="105" t="n"/>
      <c r="K67" s="105" t="n"/>
      <c r="L67" s="108" t="n"/>
      <c r="M67" s="39" t="inlineStr"/>
      <c r="N67" s="109" t="n">
        <v>24.29</v>
      </c>
      <c r="O67" s="109" t="n">
        <v>26.99</v>
      </c>
      <c r="P67" s="110">
        <f>IF(AND(ISNUMBER(O67),ISNUMBER(N67),N(N67)&gt;0),O67/N67-1,"")</f>
        <v/>
      </c>
      <c r="Q67" s="111">
        <f>IF(P67="","No List Price",IF(P67&lt;=0,"At/below price",IF(P67&lt;=0.12,"&lt;=12% STR zone",IF(P67&lt;=0.25,"12-25%","&gt;25% over"))))</f>
        <v/>
      </c>
      <c r="R67" s="109" t="n">
        <v>25.95</v>
      </c>
      <c r="S67" s="112">
        <f>IF(AND(ISNUMBER(N67),ISNUMBER(R67),N(R67)&gt;0),N67/R67-1,"")</f>
        <v/>
      </c>
      <c r="T67" s="39" t="inlineStr">
        <is>
          <t>vs our blended price (market data, Mar 2026 - STALE)</t>
        </is>
      </c>
      <c r="U67" s="108" t="n">
        <v>33096</v>
      </c>
      <c r="V67" s="108" t="n">
        <v>18</v>
      </c>
      <c r="W67" s="113">
        <f>IF(AND(ISNUMBER(N67),ISNUMBER(V67)),N67*V67*52/12,"")</f>
        <v/>
      </c>
      <c r="X67" s="114" t="n">
        <v>4.3</v>
      </c>
      <c r="Y67" s="108" t="n">
        <v>441</v>
      </c>
      <c r="Z67" s="115" t="n">
        <v>46307</v>
      </c>
      <c r="AA67" s="115" t="n"/>
      <c r="AB67" s="105" t="n"/>
      <c r="AC67" s="105" t="n"/>
      <c r="AD67" s="108" t="n"/>
      <c r="AE67" s="108" t="n"/>
      <c r="AF67" s="116" t="n"/>
      <c r="AG67" s="116" t="n"/>
      <c r="AH67" s="39" t="n"/>
      <c r="AI67" s="116" t="n"/>
      <c r="AJ67" s="116" t="n"/>
      <c r="AK67" s="116" t="n"/>
      <c r="AL67" s="116" t="n"/>
      <c r="AM67" s="108" t="n"/>
      <c r="AN67" s="108" t="n"/>
      <c r="AO67" s="108" t="n"/>
      <c r="AP67" s="108" t="n"/>
      <c r="AQ67" s="108" t="n"/>
      <c r="AR67" s="108" t="n"/>
      <c r="AS67" s="117" t="n"/>
      <c r="AT67" s="112" t="n"/>
      <c r="AU67" s="118" t="inlineStr">
        <is>
          <t>Y</t>
        </is>
      </c>
      <c r="AV67" s="118" t="inlineStr">
        <is>
          <t>Typical price</t>
        </is>
      </c>
      <c r="AW67" s="119" t="n">
        <v>26.99</v>
      </c>
      <c r="AX67" s="119" t="n">
        <v>24.29</v>
      </c>
      <c r="AY67" s="118" t="inlineStr">
        <is>
          <t>Limited time deal</t>
        </is>
      </c>
      <c r="AZ67" s="118" t="inlineStr">
        <is>
          <t>Y</t>
        </is>
      </c>
      <c r="BA67" s="118" t="inlineStr">
        <is>
          <t>2026-10-13 23:46:16</t>
        </is>
      </c>
      <c r="BB67" s="120" t="inlineStr">
        <is>
          <t>Prime Exclusive Discount</t>
        </is>
      </c>
      <c r="BC67" s="120" t="inlineStr">
        <is>
          <t>11-26 to 12-01</t>
        </is>
      </c>
      <c r="BD67" s="121" t="n">
        <v>26.99</v>
      </c>
      <c r="BE67" s="121" t="n">
        <v>21.59</v>
      </c>
      <c r="BF67" s="110">
        <f>IF(AND(ISNUMBER(BD67),ISNUMBER(BE67),N(BD67)&gt;0),1-BE67/BD67,"")</f>
        <v/>
      </c>
      <c r="BG67" s="122" t="n">
        <v>27239</v>
      </c>
      <c r="BH67" s="122" t="n">
        <v>27718</v>
      </c>
      <c r="BI67" s="123">
        <f>IF(AND(ISNUMBER(BG67),ISNUMBER(BH67),N(BH67)&gt;0),BG67/BH67,"")</f>
        <v/>
      </c>
      <c r="BJ67" s="120" t="inlineStr">
        <is>
          <t>N</t>
        </is>
      </c>
      <c r="BK67" s="120" t="inlineStr">
        <is>
          <t>List Price $33.99</t>
        </is>
      </c>
    </row>
    <row r="68" ht="62" customHeight="1">
      <c r="A68" s="12">
        <f>_xlfn.IMAGE("https://m.media-amazon.com/images/I/71S7qjWILOL._AC_SL1500_.jpg")</f>
        <v/>
      </c>
      <c r="B68" s="105" t="inlineStr">
        <is>
          <t>ZIMASILK</t>
        </is>
      </c>
      <c r="C68" s="39" t="inlineStr">
        <is>
          <t>SS Silk Sleep Mask - Contoured</t>
        </is>
      </c>
      <c r="D68" s="105" t="inlineStr">
        <is>
          <t>Beatable</t>
        </is>
      </c>
      <c r="E68" s="134" t="inlineStr">
        <is>
          <t>Not classified</t>
        </is>
      </c>
      <c r="F68" s="105" t="n"/>
      <c r="G68" s="39" t="inlineStr">
        <is>
          <t>Not a sheet, pillowcase or comforter product; competitors are compared on price and sales only.</t>
        </is>
      </c>
      <c r="H68" s="107" t="inlineStr">
        <is>
          <t>B0F9STVX64</t>
        </is>
      </c>
      <c r="I68" s="107" t="inlineStr">
        <is>
          <t>B0DSYXFT4M</t>
        </is>
      </c>
      <c r="J68" s="105" t="n"/>
      <c r="K68" s="105" t="n"/>
      <c r="L68" s="108" t="n"/>
      <c r="M68" s="39" t="inlineStr"/>
      <c r="N68" s="109" t="n">
        <v>25.19</v>
      </c>
      <c r="O68" s="109" t="n">
        <v>27.99</v>
      </c>
      <c r="P68" s="110">
        <f>IF(AND(ISNUMBER(O68),ISNUMBER(N68),N(N68)&gt;0),O68/N68-1,"")</f>
        <v/>
      </c>
      <c r="Q68" s="111">
        <f>IF(P68="","No List Price",IF(P68&lt;=0,"At/below price",IF(P68&lt;=0.12,"&lt;=12% STR zone",IF(P68&lt;=0.25,"12-25%","&gt;25% over"))))</f>
        <v/>
      </c>
      <c r="R68" s="109" t="n">
        <v>25.95</v>
      </c>
      <c r="S68" s="112">
        <f>IF(AND(ISNUMBER(N68),ISNUMBER(R68),N(R68)&gt;0),N68/R68-1,"")</f>
        <v/>
      </c>
      <c r="T68" s="39" t="inlineStr">
        <is>
          <t>vs our blended price (market data, Mar 2026 - STALE)</t>
        </is>
      </c>
      <c r="U68" s="108" t="n">
        <v>73471</v>
      </c>
      <c r="V68" s="108" t="n">
        <v>18</v>
      </c>
      <c r="W68" s="113">
        <f>IF(AND(ISNUMBER(N68),ISNUMBER(V68)),N68*V68*52/12,"")</f>
        <v/>
      </c>
      <c r="X68" s="114" t="n">
        <v>4.3</v>
      </c>
      <c r="Y68" s="108" t="n">
        <v>219</v>
      </c>
      <c r="Z68" s="115" t="n">
        <v>46307</v>
      </c>
      <c r="AA68" s="115" t="n"/>
      <c r="AB68" s="105" t="n"/>
      <c r="AC68" s="105" t="n"/>
      <c r="AD68" s="108" t="n"/>
      <c r="AE68" s="108" t="n"/>
      <c r="AF68" s="116" t="n"/>
      <c r="AG68" s="116" t="n"/>
      <c r="AH68" s="39" t="n"/>
      <c r="AI68" s="116" t="n"/>
      <c r="AJ68" s="116" t="n"/>
      <c r="AK68" s="116" t="n"/>
      <c r="AL68" s="116" t="n"/>
      <c r="AM68" s="108" t="n"/>
      <c r="AN68" s="108" t="n"/>
      <c r="AO68" s="108" t="n"/>
      <c r="AP68" s="108" t="n"/>
      <c r="AQ68" s="108" t="n"/>
      <c r="AR68" s="108" t="n"/>
      <c r="AS68" s="117" t="n"/>
      <c r="AT68" s="112" t="n"/>
      <c r="AU68" s="118" t="inlineStr">
        <is>
          <t>Y</t>
        </is>
      </c>
      <c r="AV68" s="118" t="inlineStr">
        <is>
          <t>List Price</t>
        </is>
      </c>
      <c r="AW68" s="119" t="n">
        <v>27.99</v>
      </c>
      <c r="AX68" s="119" t="n">
        <v>25.19</v>
      </c>
      <c r="AY68" s="118" t="inlineStr">
        <is>
          <t>Limited time deal</t>
        </is>
      </c>
      <c r="AZ68" s="118" t="inlineStr">
        <is>
          <t>Y</t>
        </is>
      </c>
      <c r="BA68" s="118" t="inlineStr">
        <is>
          <t>2026-10-13 23:47:32</t>
        </is>
      </c>
      <c r="BB68" s="120" t="inlineStr">
        <is>
          <t>Prime Exclusive Discount</t>
        </is>
      </c>
      <c r="BC68" s="120" t="inlineStr">
        <is>
          <t>11-20 to 12-02</t>
        </is>
      </c>
      <c r="BD68" s="121" t="n">
        <v>27.99</v>
      </c>
      <c r="BE68" s="121" t="n">
        <v>21.83</v>
      </c>
      <c r="BF68" s="110">
        <f>IF(AND(ISNUMBER(BD68),ISNUMBER(BE68),N(BD68)&gt;0),1-BE68/BD68,"")</f>
        <v/>
      </c>
      <c r="BG68" s="122" t="n">
        <v>46611</v>
      </c>
      <c r="BH68" s="122" t="n">
        <v>39977</v>
      </c>
      <c r="BI68" s="123">
        <f>IF(AND(ISNUMBER(BG68),ISNUMBER(BH68),N(BH68)&gt;0),BG68/BH68,"")</f>
        <v/>
      </c>
      <c r="BJ68" s="120" t="inlineStr">
        <is>
          <t>N</t>
        </is>
      </c>
      <c r="BK68" s="120" t="inlineStr">
        <is>
          <t>List Price $27.99</t>
        </is>
      </c>
    </row>
    <row r="69" ht="62" customHeight="1">
      <c r="A69" s="12">
        <f>_xlfn.IMAGE("https://m.media-amazon.com/images/I/61qbdh5+DlL._AC_SL1500_.jpg")</f>
        <v/>
      </c>
      <c r="B69" s="105" t="inlineStr">
        <is>
          <t>Back Bay Audio</t>
        </is>
      </c>
      <c r="C69" s="39" t="inlineStr">
        <is>
          <t>SS Silk Sleep Mask - Contoured</t>
        </is>
      </c>
      <c r="D69" s="105" t="inlineStr">
        <is>
          <t>Poor</t>
        </is>
      </c>
      <c r="E69" s="134" t="inlineStr">
        <is>
          <t>Not classified</t>
        </is>
      </c>
      <c r="F69" s="105" t="n"/>
      <c r="G69" s="39" t="inlineStr">
        <is>
          <t>Not a sheet, pillowcase or comforter product; competitors are compared on price and sales only.</t>
        </is>
      </c>
      <c r="H69" s="107" t="inlineStr">
        <is>
          <t>B0FSG756Y3</t>
        </is>
      </c>
      <c r="I69" s="107" t="inlineStr">
        <is>
          <t>B0DMFYTLQR</t>
        </is>
      </c>
      <c r="J69" s="105" t="n"/>
      <c r="K69" s="105" t="n"/>
      <c r="L69" s="108" t="n"/>
      <c r="M69" s="39" t="inlineStr"/>
      <c r="N69" s="109" t="n">
        <v>34.99</v>
      </c>
      <c r="O69" s="109" t="n"/>
      <c r="P69" s="110">
        <f>IF(AND(ISNUMBER(O69),ISNUMBER(N69),N(N69)&gt;0),O69/N69-1,"")</f>
        <v/>
      </c>
      <c r="Q69" s="111">
        <f>IF(P69="","No List Price",IF(P69&lt;=0,"At/below price",IF(P69&lt;=0.12,"&lt;=12% STR zone",IF(P69&lt;=0.25,"12-25%","&gt;25% over"))))</f>
        <v/>
      </c>
      <c r="R69" s="109" t="n">
        <v>25.95</v>
      </c>
      <c r="S69" s="112">
        <f>IF(AND(ISNUMBER(N69),ISNUMBER(R69),N(R69)&gt;0),N69/R69-1,"")</f>
        <v/>
      </c>
      <c r="T69" s="39" t="inlineStr">
        <is>
          <t>vs our blended price (market data, Mar 2026 - STALE)</t>
        </is>
      </c>
      <c r="U69" s="108" t="n">
        <v>92740</v>
      </c>
      <c r="V69" s="108" t="n">
        <v>5</v>
      </c>
      <c r="W69" s="113">
        <f>IF(AND(ISNUMBER(N69),ISNUMBER(V69)),N69*V69*52/12,"")</f>
        <v/>
      </c>
      <c r="X69" s="114" t="n">
        <v>3.8</v>
      </c>
      <c r="Y69" s="108" t="n">
        <v>347</v>
      </c>
      <c r="Z69" s="115" t="n">
        <v>46307</v>
      </c>
      <c r="AA69" s="115" t="n"/>
      <c r="AB69" s="105" t="n"/>
      <c r="AC69" s="105" t="n"/>
      <c r="AD69" s="108" t="n"/>
      <c r="AE69" s="108" t="n"/>
      <c r="AF69" s="116" t="n"/>
      <c r="AG69" s="116" t="n"/>
      <c r="AH69" s="39" t="n"/>
      <c r="AI69" s="116" t="n"/>
      <c r="AJ69" s="116" t="n"/>
      <c r="AK69" s="116" t="n"/>
      <c r="AL69" s="116" t="n"/>
      <c r="AM69" s="108" t="n"/>
      <c r="AN69" s="108" t="n"/>
      <c r="AO69" s="108" t="n"/>
      <c r="AP69" s="108" t="n"/>
      <c r="AQ69" s="108" t="n"/>
      <c r="AR69" s="108" t="n"/>
      <c r="AS69" s="117" t="n"/>
      <c r="AT69" s="112" t="n"/>
      <c r="AU69" s="118" t="inlineStr">
        <is>
          <t>N</t>
        </is>
      </c>
      <c r="AV69" s="118" t="inlineStr">
        <is>
          <t>none</t>
        </is>
      </c>
      <c r="AW69" s="124" t="n"/>
      <c r="AX69" s="119" t="n">
        <v>34.99</v>
      </c>
      <c r="AY69" s="118" t="inlineStr">
        <is>
          <t>none</t>
        </is>
      </c>
      <c r="AZ69" s="118" t="inlineStr">
        <is>
          <t>Y</t>
        </is>
      </c>
      <c r="BA69" s="118" t="inlineStr">
        <is>
          <t>2026-10-13 23:45:08</t>
        </is>
      </c>
      <c r="BB69" s="120" t="inlineStr">
        <is>
          <t>Prime Exclusive Discount</t>
        </is>
      </c>
      <c r="BC69" s="120" t="inlineStr">
        <is>
          <t>11-22 to 12-01</t>
        </is>
      </c>
      <c r="BD69" s="121" t="n">
        <v>34.99</v>
      </c>
      <c r="BE69" s="121" t="n">
        <v>27.99</v>
      </c>
      <c r="BF69" s="110">
        <f>IF(AND(ISNUMBER(BD69),ISNUMBER(BE69),N(BD69)&gt;0),1-BE69/BD69,"")</f>
        <v/>
      </c>
      <c r="BG69" s="122" t="n">
        <v>13367</v>
      </c>
      <c r="BH69" s="122" t="n">
        <v>13122</v>
      </c>
      <c r="BI69" s="123">
        <f>IF(AND(ISNUMBER(BG69),ISNUMBER(BH69),N(BH69)&gt;0),BG69/BH69,"")</f>
        <v/>
      </c>
      <c r="BJ69" s="120" t="inlineStr">
        <is>
          <t>N</t>
        </is>
      </c>
      <c r="BK69" s="120" t="inlineStr">
        <is>
          <t>Coupon 10%, 5% (11-01 to 11-19); Buy Box RAISED in BFCM week (median $49.99 vs $34.99 before); List Price $49.99</t>
        </is>
      </c>
    </row>
    <row r="70" ht="62" customHeight="1">
      <c r="A70" s="12">
        <f>_xlfn.IMAGE("https://m.media-amazon.com/images/I/51CeCV1TCdL._AC_SL1000_.jpg")</f>
        <v/>
      </c>
      <c r="B70" s="105" t="inlineStr">
        <is>
          <t>spacepower</t>
        </is>
      </c>
      <c r="C70" s="39" t="inlineStr">
        <is>
          <t>SS Silk Sleep Mask</t>
        </is>
      </c>
      <c r="D70" s="105" t="inlineStr">
        <is>
          <t>Untiered</t>
        </is>
      </c>
      <c r="E70" s="134" t="inlineStr">
        <is>
          <t>Not classified</t>
        </is>
      </c>
      <c r="F70" s="105" t="n"/>
      <c r="G70" s="39" t="inlineStr">
        <is>
          <t>Not a sheet, pillowcase or comforter product; competitors are compared on price and sales only.</t>
        </is>
      </c>
      <c r="H70" s="107" t="inlineStr">
        <is>
          <t>B0H9RJ7HSY</t>
        </is>
      </c>
      <c r="I70" s="107" t="inlineStr">
        <is>
          <t>B07J41LJJZ</t>
        </is>
      </c>
      <c r="J70" s="105" t="n"/>
      <c r="K70" s="105" t="n"/>
      <c r="L70" s="108" t="n"/>
      <c r="M70" s="39" t="inlineStr"/>
      <c r="N70" s="109" t="n">
        <v>4.99</v>
      </c>
      <c r="O70" s="109" t="n"/>
      <c r="P70" s="110">
        <f>IF(AND(ISNUMBER(O70),ISNUMBER(N70),N(N70)&gt;0),O70/N70-1,"")</f>
        <v/>
      </c>
      <c r="Q70" s="111">
        <f>IF(P70="","No List Price",IF(P70&lt;=0,"At/below price",IF(P70&lt;=0.12,"&lt;=12% STR zone",IF(P70&lt;=0.25,"12-25%","&gt;25% over"))))</f>
        <v/>
      </c>
      <c r="R70" s="109" t="n">
        <v>25.95</v>
      </c>
      <c r="S70" s="112">
        <f>IF(AND(ISNUMBER(N70),ISNUMBER(R70),N(R70)&gt;0),N70/R70-1,"")</f>
        <v/>
      </c>
      <c r="T70" s="39" t="inlineStr">
        <is>
          <t>vs our blended price (market data, Mar 2026 - STALE)</t>
        </is>
      </c>
      <c r="U70" s="108" t="n">
        <v>8110</v>
      </c>
      <c r="V70" s="108" t="n">
        <v>809</v>
      </c>
      <c r="W70" s="113">
        <f>IF(AND(ISNUMBER(N70),ISNUMBER(V70)),N70*V70*52/12,"")</f>
        <v/>
      </c>
      <c r="X70" s="114" t="n">
        <v>4.6</v>
      </c>
      <c r="Y70" s="108" t="n">
        <v>5889</v>
      </c>
      <c r="Z70" s="115" t="n">
        <v>46307</v>
      </c>
      <c r="AA70" s="115" t="n"/>
      <c r="AB70" s="105" t="n"/>
      <c r="AC70" s="105" t="n"/>
      <c r="AD70" s="108" t="n"/>
      <c r="AE70" s="108" t="n"/>
      <c r="AF70" s="116" t="n"/>
      <c r="AG70" s="116" t="n"/>
      <c r="AH70" s="39" t="n"/>
      <c r="AI70" s="116" t="n"/>
      <c r="AJ70" s="116" t="n"/>
      <c r="AK70" s="116" t="n"/>
      <c r="AL70" s="116" t="n"/>
      <c r="AM70" s="108" t="n"/>
      <c r="AN70" s="108" t="n"/>
      <c r="AO70" s="108" t="n"/>
      <c r="AP70" s="108" t="n"/>
      <c r="AQ70" s="108" t="n"/>
      <c r="AR70" s="108" t="n"/>
      <c r="AS70" s="117" t="n"/>
      <c r="AT70" s="112" t="n"/>
      <c r="AU70" s="118" t="inlineStr">
        <is>
          <t>N</t>
        </is>
      </c>
      <c r="AV70" s="118" t="inlineStr">
        <is>
          <t>none</t>
        </is>
      </c>
      <c r="AW70" s="124" t="n"/>
      <c r="AX70" s="119" t="n">
        <v>4.99</v>
      </c>
      <c r="AY70" s="118" t="inlineStr">
        <is>
          <t>none</t>
        </is>
      </c>
      <c r="AZ70" s="118" t="inlineStr">
        <is>
          <t>Y</t>
        </is>
      </c>
      <c r="BA70" s="118" t="inlineStr">
        <is>
          <t>2026-10-13 23:47:42</t>
        </is>
      </c>
      <c r="BB70" s="120" t="inlineStr">
        <is>
          <t>Prime Exclusive Discount</t>
        </is>
      </c>
      <c r="BC70" s="120" t="inlineStr">
        <is>
          <t>11-20 to 12-01</t>
        </is>
      </c>
      <c r="BD70" s="121" t="n">
        <v>4.99</v>
      </c>
      <c r="BE70" s="121" t="n">
        <v>3.94</v>
      </c>
      <c r="BF70" s="110">
        <f>IF(AND(ISNUMBER(BD70),ISNUMBER(BE70),N(BD70)&gt;0),1-BE70/BD70,"")</f>
        <v/>
      </c>
      <c r="BG70" s="122" t="n">
        <v>6070</v>
      </c>
      <c r="BH70" s="122" t="n">
        <v>5527</v>
      </c>
      <c r="BI70" s="123">
        <f>IF(AND(ISNUMBER(BG70),ISNUMBER(BH70),N(BH70)&gt;0),BG70/BH70,"")</f>
        <v/>
      </c>
      <c r="BJ70" s="120" t="inlineStr">
        <is>
          <t>N</t>
        </is>
      </c>
      <c r="BK70" s="120" t="inlineStr">
        <is>
          <t>List Price $10.99</t>
        </is>
      </c>
    </row>
    <row r="71"/>
    <row r="72" ht="22" customHeight="1">
      <c r="A72" s="65" t="inlineStr">
        <is>
          <t>5 ▼</t>
        </is>
      </c>
      <c r="B72" s="66" t="inlineStr">
        <is>
          <t>WHAT THIS MEANS FOR BFCM</t>
        </is>
      </c>
      <c r="C72" s="67" t="n"/>
      <c r="D72" s="67" t="n"/>
      <c r="E72" s="67" t="n"/>
      <c r="F72" s="67" t="n"/>
      <c r="G72" s="67" t="n"/>
      <c r="H72" s="67" t="n"/>
      <c r="I72" s="67" t="n"/>
      <c r="J72" s="67" t="n"/>
      <c r="K72" s="67" t="n"/>
      <c r="L72" s="67" t="n"/>
      <c r="M72" s="67" t="n"/>
      <c r="N72" s="67" t="n"/>
      <c r="O72" s="67" t="n"/>
      <c r="P72" s="67" t="n"/>
      <c r="Q72" s="67" t="n"/>
      <c r="R72" s="67" t="n"/>
      <c r="S72" s="67" t="n"/>
      <c r="T72" s="67" t="n"/>
      <c r="U72" s="67" t="n"/>
      <c r="V72" s="67" t="n"/>
      <c r="W72" s="67" t="n"/>
      <c r="X72" s="67" t="n"/>
      <c r="Y72" s="67" t="n"/>
      <c r="Z72" s="67" t="n"/>
      <c r="AA72" s="67" t="n"/>
      <c r="AB72" s="67" t="n"/>
      <c r="AC72" s="67" t="n"/>
      <c r="AD72" s="67" t="n"/>
      <c r="AE72" s="67" t="n"/>
      <c r="AF72" s="67" t="n"/>
      <c r="AG72" s="67" t="n"/>
      <c r="AH72" s="67" t="n"/>
      <c r="AI72" s="67" t="n"/>
      <c r="AJ72" s="67" t="n"/>
      <c r="AK72" s="67" t="n"/>
      <c r="AL72" s="67" t="n"/>
      <c r="AM72" s="67" t="n"/>
      <c r="AN72" s="67" t="n"/>
      <c r="AO72" s="67" t="n"/>
      <c r="AP72" s="67" t="n"/>
      <c r="AQ72" s="67" t="n"/>
      <c r="AR72" s="67" t="n"/>
      <c r="AS72" s="67" t="n"/>
      <c r="AT72" s="67" t="n"/>
      <c r="AU72" s="67" t="n"/>
      <c r="AV72" s="67" t="n"/>
      <c r="AW72" s="67" t="n"/>
      <c r="AX72" s="67" t="n"/>
      <c r="AY72" s="67" t="n"/>
      <c r="AZ72" s="67" t="n"/>
      <c r="BA72" s="67" t="n"/>
      <c r="BB72" s="67" t="n"/>
      <c r="BC72" s="67" t="n"/>
      <c r="BD72" s="67" t="n"/>
      <c r="BE72" s="67" t="n"/>
      <c r="BF72" s="67" t="n"/>
      <c r="BG72" s="67" t="n"/>
      <c r="BH72" s="67" t="n"/>
      <c r="BI72" s="67" t="n"/>
      <c r="BJ72" s="67" t="n"/>
      <c r="BK72" s="67" t="n"/>
    </row>
    <row r="73" ht="30" customHeight="1">
      <c r="A73" s="129" t="inlineStr">
        <is>
          <t>• Who sells most: MZOO ~13,857/wk at $13.99 (List $17.99, +29%); LitBear ~3,464/wk at $12.95 (List $14.39, +11%); Kitsch ~1,848/wk at $14.39 (List $17.99, +25%); YFONG ~1,848/wk at $14.39; FengXinZi Store ~1,732/wk at $9.98. Tracked rivals ~28,270 units/wk; we sell ~1/wk (0.0% of the tracked set).</t>
        </is>
      </c>
    </row>
    <row r="74" ht="18" customHeight="1">
      <c r="A74" s="129" t="inlineStr">
        <is>
          <t>• Strikethrough: 8 of 27 rivals set a List Price above price; 5 within 12%: LitBear +11%, Umisleep Store +6%, ZIMASILK +11%, LitBear +11%, ZIMASILK +11%.</t>
        </is>
      </c>
    </row>
    <row r="75" ht="30" customHeight="1">
      <c r="A75" s="129" t="inlineStr">
        <is>
          <t>• Price: 18 of 27 rivals sit below our price today (same size where the title states one). Cheapest strong rivals: Jersey Slumber $8.89, FengXinZi Store $9.98, LULUSILK $9.99, BLSSNZ $9.99.</t>
        </is>
      </c>
    </row>
    <row r="76" ht="30" customHeight="1">
      <c r="A76" s="129" t="inlineStr">
        <is>
          <t>• Strikethrough on the page today (Oct 13 check): 7 of 27 checked rivals show one: MZOO List Price $17.99 vs $13.99 (+29%) with deal, LitBear Typical price $14.39 vs $12.95 (+11%) with deal, Umisleep Store List Price $18.99 vs $17.99 (+6%), BLISSY List Price $49.95 vs $27.87 (+79%), ZIMASILK List Price $24.99 vs $22.49 (+11%) with deal, LitBear Typical price $26.99 vs $24.29 (+11%) with deal.</t>
        </is>
      </c>
    </row>
    <row r="77" ht="30" customHeight="1">
      <c r="A77" s="129" t="inlineStr">
        <is>
          <t>• Search: we lose most shared keywords to LitBear (we win 0, lose 41), BLISSY (we win 2, lose 39), iCooBreeze (we win 3, lose 37). Biggest ad gaps (they advertise where we don't or harder): iCooBreeze 172 + 0 KWs, SECZIPE 417 + 0 KWs, LitBear 684 + 0 KWs.</t>
        </is>
      </c>
    </row>
    <row r="78" ht="18" customHeight="1">
      <c r="A78" s="129" t="inlineStr">
        <is>
          <t>• Brand ads: Umisleep Store (SB 62%, SBV 0%) hold Sponsored Brands / video on most of their traffic - the plan has our SB, SBV and display live by Nov 1.</t>
        </is>
      </c>
    </row>
    <row r="79" ht="18" customHeight="1">
      <c r="A79" s="129" t="inlineStr">
        <is>
          <t>• Our BFCM 2025: 3.67x.</t>
        </is>
      </c>
    </row>
    <row r="80" ht="30" customHeight="1">
      <c r="A80" s="129" t="inlineStr">
        <is>
          <t>• BFCM 2025, 26 rivals with price history history: Prime Exclusive Discount 15, Price cut only 8, None 2, Coupon only 1. Median depth vs their Nov 1-19 price 20%; median BSR lift 1.14x. 3 raised their Buy Box in BFCM week, so their deal looked deeper than it was.</t>
        </is>
      </c>
    </row>
  </sheetData>
  <autoFilter ref="B43:BK70"/>
  <mergeCells count="63">
    <mergeCell ref="A25:C25"/>
    <mergeCell ref="AD42:AT42"/>
    <mergeCell ref="A77:BK77"/>
    <mergeCell ref="A73:BK73"/>
    <mergeCell ref="L5:Q5"/>
    <mergeCell ref="A36:BK36"/>
    <mergeCell ref="A27:C27"/>
    <mergeCell ref="Q11:T11"/>
    <mergeCell ref="L8:Q8"/>
    <mergeCell ref="A79:BK79"/>
    <mergeCell ref="A26:C26"/>
    <mergeCell ref="L4:Q4"/>
    <mergeCell ref="D7:I7"/>
    <mergeCell ref="A13:D13"/>
    <mergeCell ref="I13:L13"/>
    <mergeCell ref="A78:BK78"/>
    <mergeCell ref="D4:I4"/>
    <mergeCell ref="L10:Q10"/>
    <mergeCell ref="E12:H12"/>
    <mergeCell ref="Q13:T13"/>
    <mergeCell ref="A32:C32"/>
    <mergeCell ref="AU42:BA42"/>
    <mergeCell ref="D9:I9"/>
    <mergeCell ref="U12:X12"/>
    <mergeCell ref="L9:Q9"/>
    <mergeCell ref="Q12:T12"/>
    <mergeCell ref="A37:BK37"/>
    <mergeCell ref="A11:D11"/>
    <mergeCell ref="A29:C29"/>
    <mergeCell ref="A75:BK75"/>
    <mergeCell ref="A80:BK80"/>
    <mergeCell ref="I11:L11"/>
    <mergeCell ref="A74:BK74"/>
    <mergeCell ref="D8:I8"/>
    <mergeCell ref="L6:Q6"/>
    <mergeCell ref="A4:B9"/>
    <mergeCell ref="T6:Y6"/>
    <mergeCell ref="AA42:AC42"/>
    <mergeCell ref="A33:BK33"/>
    <mergeCell ref="D5:I5"/>
    <mergeCell ref="A31:C31"/>
    <mergeCell ref="A76:BK76"/>
    <mergeCell ref="M11:P11"/>
    <mergeCell ref="A42:K42"/>
    <mergeCell ref="A30:C30"/>
    <mergeCell ref="U11:X11"/>
    <mergeCell ref="A24:C24"/>
    <mergeCell ref="BB42:BK42"/>
    <mergeCell ref="A35:BK35"/>
    <mergeCell ref="E13:H13"/>
    <mergeCell ref="D10:I10"/>
    <mergeCell ref="L7:Q7"/>
    <mergeCell ref="T5:Y5"/>
    <mergeCell ref="N42:Z42"/>
    <mergeCell ref="A12:D12"/>
    <mergeCell ref="M13:P13"/>
    <mergeCell ref="I12:L12"/>
    <mergeCell ref="U13:X13"/>
    <mergeCell ref="M12:P12"/>
    <mergeCell ref="T4:Y4"/>
    <mergeCell ref="D6:I6"/>
    <mergeCell ref="E11:H11"/>
    <mergeCell ref="A34:BK34"/>
  </mergeCells>
  <conditionalFormatting sqref="Q44:Q70">
    <cfRule type="expression" priority="1" dxfId="1">
      <formula>Q44="&lt;=12% STR zone"</formula>
    </cfRule>
  </conditionalFormatting>
  <conditionalFormatting sqref="Z44:Z70">
    <cfRule type="expression" priority="2" dxfId="0">
      <formula>AND(ISNUMBER(Z44),Z44&lt;DATE(2026,10,6))</formula>
    </cfRule>
  </conditionalFormatting>
  <conditionalFormatting sqref="T44:T70">
    <cfRule type="expression" priority="3" dxfId="0">
      <formula>ISNUMBER(SEARCH("STALE",T44))</formula>
    </cfRule>
  </conditionalFormatting>
  <conditionalFormatting sqref="S44:S70">
    <cfRule type="expression" priority="4" dxfId="0">
      <formula>AND(ISNUMBER(S44),S44&lt;0)</formula>
    </cfRule>
  </conditionalFormatting>
  <dataValidations count="3">
    <dataValidation sqref="AU44:AU70 BJ44:BJ70" showDropDown="0" showInputMessage="0" showErrorMessage="0" allowBlank="1" type="list">
      <formula1>"Y,N"</formula1>
    </dataValidation>
    <dataValidation sqref="AV44:AV70" showDropDown="0" showInputMessage="0" showErrorMessage="0" allowBlank="1" type="list">
      <formula1>"List Price,Typical price,Was price,None"</formula1>
    </dataValidation>
    <dataValidation sqref="BB44:BB70"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Mask Contoured'!A3" display="1 Our product ↓"/>
    <hyperlink ref="D2" location="'US SL Mask Contoured'!A15" display="2 Our variations ↓"/>
    <hyperlink ref="E2" location="'US SL Mask Contoured'!A23" display="3 Our BFCM 2025 ↓"/>
    <hyperlink ref="F2" location="'US SL Mask Contoured'!A40" display="4 COMPETITORS (27 mapped) ↓"/>
    <hyperlink ref="G2" location="'US SL Mask Contoured'!A72" display="5 What it means ↓"/>
    <hyperlink xmlns:r="http://schemas.openxmlformats.org/officeDocument/2006/relationships" ref="H44" r:id="rId1"/>
    <hyperlink xmlns:r="http://schemas.openxmlformats.org/officeDocument/2006/relationships" ref="I44" r:id="rId2"/>
    <hyperlink xmlns:r="http://schemas.openxmlformats.org/officeDocument/2006/relationships" ref="H45" r:id="rId3"/>
    <hyperlink xmlns:r="http://schemas.openxmlformats.org/officeDocument/2006/relationships" ref="I45" r:id="rId4"/>
    <hyperlink xmlns:r="http://schemas.openxmlformats.org/officeDocument/2006/relationships" ref="H46" r:id="rId5"/>
    <hyperlink xmlns:r="http://schemas.openxmlformats.org/officeDocument/2006/relationships" ref="I46" r:id="rId6"/>
    <hyperlink xmlns:r="http://schemas.openxmlformats.org/officeDocument/2006/relationships" ref="H47" r:id="rId7"/>
    <hyperlink xmlns:r="http://schemas.openxmlformats.org/officeDocument/2006/relationships" ref="I47" r:id="rId8"/>
    <hyperlink xmlns:r="http://schemas.openxmlformats.org/officeDocument/2006/relationships" ref="H48" r:id="rId9"/>
    <hyperlink xmlns:r="http://schemas.openxmlformats.org/officeDocument/2006/relationships" ref="I48" r:id="rId10"/>
    <hyperlink xmlns:r="http://schemas.openxmlformats.org/officeDocument/2006/relationships" ref="H49" r:id="rId11"/>
    <hyperlink xmlns:r="http://schemas.openxmlformats.org/officeDocument/2006/relationships" ref="I49" r:id="rId12"/>
    <hyperlink xmlns:r="http://schemas.openxmlformats.org/officeDocument/2006/relationships" ref="H50" r:id="rId13"/>
    <hyperlink xmlns:r="http://schemas.openxmlformats.org/officeDocument/2006/relationships" ref="I50" r:id="rId14"/>
    <hyperlink xmlns:r="http://schemas.openxmlformats.org/officeDocument/2006/relationships" ref="H51" r:id="rId15"/>
    <hyperlink xmlns:r="http://schemas.openxmlformats.org/officeDocument/2006/relationships" ref="I51" r:id="rId16"/>
    <hyperlink xmlns:r="http://schemas.openxmlformats.org/officeDocument/2006/relationships" ref="H52" r:id="rId17"/>
    <hyperlink xmlns:r="http://schemas.openxmlformats.org/officeDocument/2006/relationships" ref="I52" r:id="rId18"/>
    <hyperlink xmlns:r="http://schemas.openxmlformats.org/officeDocument/2006/relationships" ref="H53" r:id="rId19"/>
    <hyperlink xmlns:r="http://schemas.openxmlformats.org/officeDocument/2006/relationships" ref="I53" r:id="rId20"/>
    <hyperlink xmlns:r="http://schemas.openxmlformats.org/officeDocument/2006/relationships" ref="H54" r:id="rId21"/>
    <hyperlink xmlns:r="http://schemas.openxmlformats.org/officeDocument/2006/relationships" ref="I54" r:id="rId22"/>
    <hyperlink xmlns:r="http://schemas.openxmlformats.org/officeDocument/2006/relationships" ref="H55" r:id="rId23"/>
    <hyperlink xmlns:r="http://schemas.openxmlformats.org/officeDocument/2006/relationships" ref="I55" r:id="rId24"/>
    <hyperlink xmlns:r="http://schemas.openxmlformats.org/officeDocument/2006/relationships" ref="H56" r:id="rId25"/>
    <hyperlink xmlns:r="http://schemas.openxmlformats.org/officeDocument/2006/relationships" ref="I56" r:id="rId26"/>
    <hyperlink xmlns:r="http://schemas.openxmlformats.org/officeDocument/2006/relationships" ref="H57" r:id="rId27"/>
    <hyperlink xmlns:r="http://schemas.openxmlformats.org/officeDocument/2006/relationships" ref="I57" r:id="rId28"/>
    <hyperlink xmlns:r="http://schemas.openxmlformats.org/officeDocument/2006/relationships" ref="H58" r:id="rId29"/>
    <hyperlink xmlns:r="http://schemas.openxmlformats.org/officeDocument/2006/relationships" ref="I58" r:id="rId30"/>
    <hyperlink xmlns:r="http://schemas.openxmlformats.org/officeDocument/2006/relationships" ref="H59" r:id="rId31"/>
    <hyperlink xmlns:r="http://schemas.openxmlformats.org/officeDocument/2006/relationships" ref="I59" r:id="rId32"/>
    <hyperlink xmlns:r="http://schemas.openxmlformats.org/officeDocument/2006/relationships" ref="H60" r:id="rId33"/>
    <hyperlink xmlns:r="http://schemas.openxmlformats.org/officeDocument/2006/relationships" ref="I60" r:id="rId34"/>
    <hyperlink xmlns:r="http://schemas.openxmlformats.org/officeDocument/2006/relationships" ref="H61" r:id="rId35"/>
    <hyperlink xmlns:r="http://schemas.openxmlformats.org/officeDocument/2006/relationships" ref="I61" r:id="rId36"/>
    <hyperlink xmlns:r="http://schemas.openxmlformats.org/officeDocument/2006/relationships" ref="H62" r:id="rId37"/>
    <hyperlink xmlns:r="http://schemas.openxmlformats.org/officeDocument/2006/relationships" ref="I62" r:id="rId38"/>
    <hyperlink xmlns:r="http://schemas.openxmlformats.org/officeDocument/2006/relationships" ref="H63" r:id="rId39"/>
    <hyperlink xmlns:r="http://schemas.openxmlformats.org/officeDocument/2006/relationships" ref="I63" r:id="rId40"/>
    <hyperlink xmlns:r="http://schemas.openxmlformats.org/officeDocument/2006/relationships" ref="H64" r:id="rId41"/>
    <hyperlink xmlns:r="http://schemas.openxmlformats.org/officeDocument/2006/relationships" ref="I64" r:id="rId42"/>
    <hyperlink xmlns:r="http://schemas.openxmlformats.org/officeDocument/2006/relationships" ref="H65" r:id="rId43"/>
    <hyperlink xmlns:r="http://schemas.openxmlformats.org/officeDocument/2006/relationships" ref="I65" r:id="rId44"/>
    <hyperlink xmlns:r="http://schemas.openxmlformats.org/officeDocument/2006/relationships" ref="H66" r:id="rId45"/>
    <hyperlink xmlns:r="http://schemas.openxmlformats.org/officeDocument/2006/relationships" ref="I66" r:id="rId46"/>
    <hyperlink xmlns:r="http://schemas.openxmlformats.org/officeDocument/2006/relationships" ref="H67" r:id="rId47"/>
    <hyperlink xmlns:r="http://schemas.openxmlformats.org/officeDocument/2006/relationships" ref="I67" r:id="rId48"/>
    <hyperlink xmlns:r="http://schemas.openxmlformats.org/officeDocument/2006/relationships" ref="H68" r:id="rId49"/>
    <hyperlink xmlns:r="http://schemas.openxmlformats.org/officeDocument/2006/relationships" ref="I68" r:id="rId50"/>
    <hyperlink xmlns:r="http://schemas.openxmlformats.org/officeDocument/2006/relationships" ref="H69" r:id="rId51"/>
    <hyperlink xmlns:r="http://schemas.openxmlformats.org/officeDocument/2006/relationships" ref="I69" r:id="rId52"/>
    <hyperlink xmlns:r="http://schemas.openxmlformats.org/officeDocument/2006/relationships" ref="H70" r:id="rId53"/>
    <hyperlink xmlns:r="http://schemas.openxmlformats.org/officeDocument/2006/relationships" ref="I70" r:id="rId54"/>
  </hyperlink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DC3E6"/>
    <outlinePr summaryBelow="1" summaryRight="1"/>
    <pageSetUpPr/>
  </sheetPr>
  <dimension ref="A1:BK6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Silk Sleep Mask - Velcro · Amazon.com (US) · Silk · BFCM role: Gifting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_xlfn.IMAGE("https://images-na.ssl-images-amazon.com/images/I/61Z2DkWXasL.jpg")</f>
        <v/>
      </c>
      <c r="C4" s="13" t="inlineStr">
        <is>
          <t>Title</t>
        </is>
      </c>
      <c r="D4" s="14" t="inlineStr">
        <is>
          <t>SLEEP SANCTUARY 100% Pure Mulberry Silk Sleep Mask - 22 Momme Light Blocking Hook &amp; Loop Silk Eye Mask for Sleeping - Secure Fit for Side Sleepers, Women &amp; Men - Cloud Soft (Black)</t>
        </is>
      </c>
      <c r="K4" s="13" t="inlineStr">
        <is>
          <t>Sizes</t>
        </is>
      </c>
      <c r="L4" s="68" t="inlineStr">
        <is>
          <t>One Size</t>
        </is>
      </c>
      <c r="S4" s="13" t="inlineStr">
        <is>
          <t>Break-even ACoS</t>
        </is>
      </c>
      <c r="T4" s="68" t="inlineStr">
        <is>
          <t>29%</t>
        </is>
      </c>
    </row>
    <row r="5" ht="22" customHeight="1">
      <c r="C5" s="13" t="inlineStr">
        <is>
          <t>Brand</t>
        </is>
      </c>
      <c r="D5" s="68" t="inlineStr">
        <is>
          <t>Sleephoria</t>
        </is>
      </c>
      <c r="K5" s="13" t="inlineStr">
        <is>
          <t>Colours</t>
        </is>
      </c>
      <c r="L5" s="68" t="inlineStr">
        <is>
          <t>Black, Misty Blue, Peacock Blue, Pink</t>
        </is>
      </c>
      <c r="S5" s="13" t="inlineStr">
        <is>
          <t>Units last 28 days</t>
        </is>
      </c>
      <c r="T5" s="68" t="inlineStr">
        <is>
          <t>13</t>
        </is>
      </c>
    </row>
    <row r="6" ht="22" customHeight="1">
      <c r="C6" s="13" t="inlineStr">
        <is>
          <t>Marketplace</t>
        </is>
      </c>
      <c r="D6" s="68" t="inlineStr">
        <is>
          <t>Amazon.com (US)</t>
        </is>
      </c>
      <c r="K6" s="13" t="inlineStr">
        <is>
          <t>Price now, best child</t>
        </is>
      </c>
      <c r="L6" s="68" t="inlineStr">
        <is>
          <t>$17.99 (catalog price, 2026-10-13)</t>
        </is>
      </c>
      <c r="S6" s="13" t="inlineStr">
        <is>
          <t>market data product ASIN</t>
        </is>
      </c>
      <c r="T6" s="68" t="inlineStr">
        <is>
          <t>B0F4XQ7L8Q (one of our child ASINs, not the Amazon parent)</t>
        </is>
      </c>
    </row>
    <row r="7" ht="22" customHeight="1">
      <c r="C7" s="13" t="inlineStr">
        <is>
          <t>Parent ASIN (Amazon)</t>
        </is>
      </c>
      <c r="D7" s="68" t="inlineStr">
        <is>
          <t>B0GDMSK15Z</t>
        </is>
      </c>
      <c r="K7" s="13" t="inlineStr">
        <is>
          <t>Rating / reviews now</t>
        </is>
      </c>
      <c r="L7" s="68" t="inlineStr">
        <is>
          <t>4.5 / 83 (catalog price, 2026-10-13)</t>
        </is>
      </c>
    </row>
    <row r="8" ht="22" customHeight="1">
      <c r="C8" s="13" t="inlineStr">
        <is>
          <t>Best-selling child ASIN</t>
        </is>
      </c>
      <c r="D8" s="68" t="inlineStr">
        <is>
          <t>B0F4XQ7L8Q</t>
        </is>
      </c>
      <c r="K8" s="13" t="inlineStr">
        <is>
          <t>Live prices held</t>
        </is>
      </c>
      <c r="L8" s="68" t="inlineStr">
        <is>
          <t>4 of 4 variations</t>
        </is>
      </c>
    </row>
    <row r="9" ht="22" customHeight="1">
      <c r="C9" s="13" t="inlineStr">
        <is>
          <t>Stage</t>
        </is>
      </c>
      <c r="D9" s="68" t="inlineStr">
        <is>
          <t>Launch</t>
        </is>
      </c>
      <c r="K9" s="13" t="inlineStr">
        <is>
          <t>Blended price (market data)</t>
        </is>
      </c>
      <c r="L9" s="68" t="inlineStr">
        <is>
          <t>$20.41 - fee feed as of 2026-03-30, STALE</t>
        </is>
      </c>
    </row>
    <row r="10">
      <c r="C10" s="13" t="inlineStr">
        <is>
          <t>Total variations (SKUs)</t>
        </is>
      </c>
      <c r="D10" s="68" t="n">
        <v>4</v>
      </c>
      <c r="K10" s="13" t="inlineStr">
        <is>
          <t>Contribution / unit</t>
        </is>
      </c>
      <c r="L10" s="68" t="inlineStr">
        <is>
          <t>$5.83</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1.00x</t>
        </is>
      </c>
      <c r="E12" s="70" t="inlineStr">
        <is>
          <t>n/a</t>
        </is>
      </c>
      <c r="I12" s="70" t="inlineStr">
        <is>
          <t>1.75x</t>
        </is>
      </c>
      <c r="M12" s="70" t="inlineStr">
        <is>
          <t>15</t>
        </is>
      </c>
      <c r="Q12" s="70" t="inlineStr">
        <is>
          <t>10</t>
        </is>
      </c>
      <c r="U12" s="70" t="inlineStr">
        <is>
          <t>2</t>
        </is>
      </c>
    </row>
    <row r="13">
      <c r="A13" s="71" t="inlineStr">
        <is>
          <t>daily sales, BFCM wk vs 30 days before (account data actual)</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(4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_xlfn.IMAGE("https://m.media-amazon.com/images/I/61Z2DkWXasL.jpg")</f>
        <v/>
      </c>
      <c r="B18" s="39" t="inlineStr">
        <is>
          <t>B0F4XQ7L8Q</t>
        </is>
      </c>
      <c r="C18" s="39" t="inlineStr">
        <is>
          <t>SS-SLEEP-MASK-VELCRO-STRAP-BLACK</t>
        </is>
      </c>
      <c r="D18" s="39" t="inlineStr">
        <is>
          <t>SLEEP SANCTUARY 100% Pure Mulberry Silk Sleep Mask - 22 Momme Light Blocking Hook &amp; Loop Silk Eye Mask for Sleeping - Secure Fit for Side Sleepers, Women &amp; Men - Cloud Soft (Black)</t>
        </is>
      </c>
      <c r="E18" s="39" t="inlineStr">
        <is>
          <t>One Size</t>
        </is>
      </c>
      <c r="F18" s="39" t="inlineStr">
        <is>
          <t>Black</t>
        </is>
      </c>
      <c r="G18" s="73" t="n">
        <v>17.99</v>
      </c>
      <c r="H18" s="39" t="inlineStr">
        <is>
          <t>catalog price, 2026-10-13</t>
        </is>
      </c>
      <c r="I18" s="74" t="n">
        <v>17.95</v>
      </c>
      <c r="J18" s="75" t="inlineStr">
        <is>
          <t>2026-03-30</t>
        </is>
      </c>
      <c r="K18" s="40" t="n">
        <v>4.309999999999999</v>
      </c>
      <c r="L18" s="76" t="n">
        <v>0.2401114206128133</v>
      </c>
      <c r="M18" s="77" t="n">
        <v>5</v>
      </c>
      <c r="N18" s="39" t="inlineStr">
        <is>
          <t>Active</t>
        </is>
      </c>
      <c r="O18" s="39" t="n"/>
      <c r="P18" s="78" t="n">
        <v>4.5</v>
      </c>
      <c r="Q18" s="77" t="n">
        <v>83</v>
      </c>
      <c r="R18" s="77" t="n">
        <v>309550</v>
      </c>
      <c r="S18" s="77" t="n">
        <v>7</v>
      </c>
      <c r="T18" s="39" t="n"/>
    </row>
    <row r="19" ht="62" customHeight="1">
      <c r="A19" s="12">
        <f>_xlfn.IMAGE("https://m.media-amazon.com/images/I/71+1o5JmDVL.jpg")</f>
        <v/>
      </c>
      <c r="B19" s="39" t="inlineStr">
        <is>
          <t>B0F4XS863Y</t>
        </is>
      </c>
      <c r="C19" s="39" t="inlineStr">
        <is>
          <t>SS-SLEEP-MASK-VELCRO-STRAP-MISTY-BLUE</t>
        </is>
      </c>
      <c r="D19" s="39" t="inlineStr">
        <is>
          <t>SLEEP SANCTUARY 100% Pure Mulberry Silk Sleep Mask - 22 Momme Light Blocking Hook &amp; Loop Silk Eye Mask for Sleeping - Secure Fit for Side Sleepers, Women &amp; Men - Cloud Soft (Misty Blue)</t>
        </is>
      </c>
      <c r="E19" s="39" t="inlineStr">
        <is>
          <t>One Size</t>
        </is>
      </c>
      <c r="F19" s="39" t="inlineStr">
        <is>
          <t>Misty Blue</t>
        </is>
      </c>
      <c r="G19" s="73" t="n">
        <v>17.99</v>
      </c>
      <c r="H19" s="39" t="inlineStr">
        <is>
          <t>catalog price, 2026-10-13</t>
        </is>
      </c>
      <c r="I19" s="74" t="n">
        <v>25.95</v>
      </c>
      <c r="J19" s="75" t="inlineStr">
        <is>
          <t>2026-03-30</t>
        </is>
      </c>
      <c r="K19" s="40" t="n">
        <v>11.11</v>
      </c>
      <c r="L19" s="76" t="n">
        <v>0.428131021194605</v>
      </c>
      <c r="M19" s="77" t="n">
        <v>4</v>
      </c>
      <c r="N19" s="39" t="inlineStr">
        <is>
          <t>Active</t>
        </is>
      </c>
      <c r="O19" s="39" t="inlineStr">
        <is>
          <t>Yes (19%)</t>
        </is>
      </c>
      <c r="P19" s="78" t="n">
        <v>4.5</v>
      </c>
      <c r="Q19" s="77" t="n">
        <v>83</v>
      </c>
      <c r="R19" s="77" t="n">
        <v>309505</v>
      </c>
      <c r="S19" s="77" t="n">
        <v>8</v>
      </c>
      <c r="T19" s="39" t="n"/>
    </row>
    <row r="20" ht="62" customHeight="1">
      <c r="A20" s="12">
        <f>_xlfn.IMAGE("https://m.media-amazon.com/images/I/71A8XukYuWL.jpg")</f>
        <v/>
      </c>
      <c r="B20" s="39" t="inlineStr">
        <is>
          <t>B0F4XR5RWT</t>
        </is>
      </c>
      <c r="C20" s="39" t="inlineStr">
        <is>
          <t>SS-SLEEP-MASK-VELCRO-STRAP-PINK</t>
        </is>
      </c>
      <c r="D20" s="39" t="inlineStr">
        <is>
          <t>SLEEP SANCTUARY 100% Pure Mulberry Silk Sleep Mask - 22 Momme Light Blocking Hook &amp; Loop Silk Eye Mask for Sleeping - Secure Fit for Side Sleepers, Women &amp; Men - Cloud Soft (Pink)</t>
        </is>
      </c>
      <c r="E20" s="39" t="inlineStr">
        <is>
          <t>One Size</t>
        </is>
      </c>
      <c r="F20" s="39" t="inlineStr">
        <is>
          <t>Pink</t>
        </is>
      </c>
      <c r="G20" s="73" t="n">
        <v>17.99</v>
      </c>
      <c r="H20" s="39" t="inlineStr">
        <is>
          <t>catalog price, 2026-10-13</t>
        </is>
      </c>
      <c r="I20" s="74" t="n">
        <v>17.95</v>
      </c>
      <c r="J20" s="75" t="inlineStr">
        <is>
          <t>2026-03-30</t>
        </is>
      </c>
      <c r="K20" s="40" t="n">
        <v>1.839999999999998</v>
      </c>
      <c r="L20" s="76" t="n">
        <v>0.1025069637883008</v>
      </c>
      <c r="M20" s="77" t="n">
        <v>3</v>
      </c>
      <c r="N20" s="39" t="inlineStr">
        <is>
          <t>Active</t>
        </is>
      </c>
      <c r="O20" s="39" t="inlineStr">
        <is>
          <t>Yes (74%)</t>
        </is>
      </c>
      <c r="P20" s="78" t="n">
        <v>4.5</v>
      </c>
      <c r="Q20" s="77" t="n">
        <v>83</v>
      </c>
      <c r="R20" s="77" t="n">
        <v>309550</v>
      </c>
      <c r="S20" s="77" t="n">
        <v>8</v>
      </c>
      <c r="T20" s="39" t="n"/>
    </row>
    <row r="21" ht="62" customHeight="1">
      <c r="A21" s="12">
        <f>_xlfn.IMAGE("https://m.media-amazon.com/images/I/71i193VsS4L.jpg")</f>
        <v/>
      </c>
      <c r="B21" s="39" t="inlineStr">
        <is>
          <t>B0F4XPMS5B</t>
        </is>
      </c>
      <c r="C21" s="39" t="inlineStr">
        <is>
          <t>SS-SLEEP-MASK-VELCRO-STRAP-PEACOCK-BLUE</t>
        </is>
      </c>
      <c r="D21" s="39" t="inlineStr">
        <is>
          <t>SLEEP SANCTUARY 100% Pure Mulberry Silk Sleep Mask - 22 Momme Light Blocking Hook &amp; Loop Silk Eye Mask for Sleeping - Secure Fit for Side Sleepers, Women &amp; Men - Cloud Soft (Peacock Blue)</t>
        </is>
      </c>
      <c r="E21" s="39" t="inlineStr">
        <is>
          <t>One Size</t>
        </is>
      </c>
      <c r="F21" s="39" t="inlineStr">
        <is>
          <t>Peacock Blue</t>
        </is>
      </c>
      <c r="G21" s="73" t="n">
        <v>17.95</v>
      </c>
      <c r="H21" s="39" t="inlineStr">
        <is>
          <t>catalog price, 2026-10-13</t>
        </is>
      </c>
      <c r="I21" s="74" t="n">
        <v>17.95</v>
      </c>
      <c r="J21" s="75" t="inlineStr">
        <is>
          <t>2026-03-30</t>
        </is>
      </c>
      <c r="K21" s="40" t="n">
        <v>4.309999999999999</v>
      </c>
      <c r="L21" s="76" t="n">
        <v>0.2401114206128133</v>
      </c>
      <c r="M21" s="77" t="n">
        <v>1</v>
      </c>
      <c r="N21" s="39" t="inlineStr">
        <is>
          <t>Active</t>
        </is>
      </c>
      <c r="O21" s="39" t="n"/>
      <c r="P21" s="78" t="n">
        <v>4.5</v>
      </c>
      <c r="Q21" s="77" t="n">
        <v>83</v>
      </c>
      <c r="R21" s="77" t="n">
        <v>309550</v>
      </c>
      <c r="S21" s="77" t="n">
        <v>11</v>
      </c>
      <c r="T21" s="39" t="n"/>
    </row>
    <row r="22"/>
    <row r="23" ht="22" customHeight="1">
      <c r="A23" s="65" t="inlineStr">
        <is>
          <t>3 ▼</t>
        </is>
      </c>
      <c r="B23" s="66" t="inlineStr">
        <is>
          <t>OUR BFCM 2025 RESULT &amp; EVENT VISIBILITY</t>
        </is>
      </c>
      <c r="C23" s="67" t="n"/>
      <c r="D23" s="67" t="n"/>
      <c r="E23" s="67" t="n"/>
      <c r="F23" s="67" t="n"/>
      <c r="G23" s="67" t="n"/>
      <c r="H23" s="67" t="n"/>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c r="AC23" s="67" t="n"/>
      <c r="AD23" s="67" t="n"/>
      <c r="AE23" s="67" t="n"/>
      <c r="AF23" s="67" t="n"/>
      <c r="AG23" s="67" t="n"/>
      <c r="AH23" s="67" t="n"/>
      <c r="AI23" s="67" t="n"/>
      <c r="AJ23" s="67" t="n"/>
      <c r="AK23" s="67" t="n"/>
      <c r="AL23" s="67" t="n"/>
      <c r="AM23" s="67" t="n"/>
      <c r="AN23" s="67" t="n"/>
      <c r="AO23" s="67" t="n"/>
      <c r="AP23" s="67" t="n"/>
      <c r="AQ23" s="67" t="n"/>
      <c r="AR23" s="67" t="n"/>
      <c r="AS23" s="67" t="n"/>
      <c r="AT23" s="67" t="n"/>
      <c r="AU23" s="67" t="n"/>
      <c r="AV23" s="67" t="n"/>
      <c r="AW23" s="67" t="n"/>
      <c r="AX23" s="67" t="n"/>
      <c r="AY23" s="67" t="n"/>
      <c r="AZ23" s="67" t="n"/>
      <c r="BA23" s="67" t="n"/>
      <c r="BB23" s="67" t="n"/>
      <c r="BC23" s="67" t="n"/>
      <c r="BD23" s="67" t="n"/>
      <c r="BE23" s="67" t="n"/>
      <c r="BF23" s="67" t="n"/>
      <c r="BG23" s="67" t="n"/>
      <c r="BH23" s="67" t="n"/>
      <c r="BI23" s="67" t="n"/>
      <c r="BJ23" s="67" t="n"/>
      <c r="BK23" s="67" t="n"/>
    </row>
    <row r="24">
      <c r="A24" s="80" t="inlineStr">
        <is>
          <t>Window</t>
        </is>
      </c>
      <c r="B24" s="81" t="n"/>
      <c r="C24" s="82" t="n"/>
      <c r="D24" s="80" t="inlineStr">
        <is>
          <t>Ad spend</t>
        </is>
      </c>
      <c r="E24" s="80" t="inlineStr">
        <is>
          <t>Ad sales</t>
        </is>
      </c>
      <c r="F24" s="80" t="inlineStr">
        <is>
          <t>ACoS</t>
        </is>
      </c>
      <c r="G24" s="80" t="inlineStr">
        <is>
          <t>TACoS</t>
        </is>
      </c>
      <c r="H24" s="80" t="inlineStr">
        <is>
          <t>Total sales (derived)</t>
        </is>
      </c>
      <c r="J24" s="80" t="inlineStr">
        <is>
          <t>Ad orders</t>
        </is>
      </c>
      <c r="K24" s="80" t="inlineStr">
        <is>
          <t>CVR</t>
        </is>
      </c>
    </row>
    <row r="25">
      <c r="A25" s="83" t="inlineStr">
        <is>
          <t>Pre-event Oct 21 - Nov 19, 2025 (30d)</t>
        </is>
      </c>
      <c r="B25" s="81" t="n"/>
      <c r="C25" s="82" t="n"/>
      <c r="D25" s="84" t="n"/>
      <c r="E25" s="84" t="n"/>
      <c r="F25" s="85" t="n"/>
      <c r="G25" s="85" t="n"/>
      <c r="H25" s="84" t="n"/>
      <c r="J25" s="86" t="n"/>
      <c r="K25" s="87" t="n"/>
    </row>
    <row r="26">
      <c r="A26" s="83" t="inlineStr">
        <is>
          <t>BFCM week Nov 20 - Dec 1, 2025 (12d)</t>
        </is>
      </c>
      <c r="B26" s="81" t="n"/>
      <c r="C26" s="82" t="n"/>
      <c r="D26" s="84" t="n"/>
      <c r="E26" s="84" t="n"/>
      <c r="F26" s="85" t="n"/>
      <c r="G26" s="85" t="n"/>
      <c r="H26" s="84" t="n"/>
      <c r="J26" s="86" t="n"/>
      <c r="K26" s="87" t="n"/>
    </row>
    <row r="27">
      <c r="A27" s="83" t="inlineStr">
        <is>
          <t>December 2 - 31, 2025 (30d)</t>
        </is>
      </c>
      <c r="B27" s="81" t="n"/>
      <c r="C27" s="82" t="n"/>
      <c r="D27" s="84" t="n"/>
      <c r="E27" s="84" t="n"/>
      <c r="F27" s="85" t="n"/>
      <c r="G27" s="85" t="n"/>
      <c r="H27" s="84" t="n"/>
      <c r="J27" s="86" t="n"/>
      <c r="K27" s="87" t="n"/>
    </row>
    <row r="28"/>
    <row r="29">
      <c r="A29" s="80" t="inlineStr">
        <is>
          <t>Actual sales (account data)</t>
        </is>
      </c>
      <c r="B29" s="81" t="n"/>
      <c r="C29" s="82" t="n"/>
      <c r="D29" s="80" t="inlineStr">
        <is>
          <t>Sales</t>
        </is>
      </c>
      <c r="E29" s="80" t="inlineStr">
        <is>
          <t>Units</t>
        </is>
      </c>
      <c r="F29" s="80" t="inlineStr">
        <is>
          <t>Organic units</t>
        </is>
      </c>
      <c r="G29" s="80" t="inlineStr">
        <is>
          <t>Ad units</t>
        </is>
      </c>
      <c r="H29" s="80" t="inlineStr">
        <is>
          <t>Ad cost</t>
        </is>
      </c>
      <c r="J29" s="80" t="inlineStr">
        <is>
          <t>TACoS (actual)</t>
        </is>
      </c>
      <c r="K29" s="80" t="inlineStr">
        <is>
          <t>Sessions</t>
        </is>
      </c>
      <c r="L29" s="80" t="inlineStr">
        <is>
          <t>Unit session %</t>
        </is>
      </c>
      <c r="M29" s="80" t="inlineStr">
        <is>
          <t>Avg price</t>
        </is>
      </c>
      <c r="N29" s="80" t="inlineStr">
        <is>
          <t>Refunds</t>
        </is>
      </c>
    </row>
    <row r="30">
      <c r="A30" s="83" t="inlineStr">
        <is>
          <t>Pre-event Oct 21 - Nov 19, 2025 (30d)</t>
        </is>
      </c>
      <c r="B30" s="81" t="n"/>
      <c r="C30" s="82" t="n"/>
      <c r="D30" s="84" t="n">
        <v>39.9</v>
      </c>
      <c r="E30" s="86" t="n">
        <v>2</v>
      </c>
      <c r="F30" s="86" t="n">
        <v>2</v>
      </c>
      <c r="G30" s="86" t="n">
        <v>0</v>
      </c>
      <c r="H30" s="84" t="n">
        <v>0.9</v>
      </c>
      <c r="J30" s="88" t="n">
        <v>0.02255639097744361</v>
      </c>
      <c r="K30" s="86" t="n">
        <v>46</v>
      </c>
      <c r="L30" s="88" t="n">
        <v>0.04347826086956522</v>
      </c>
      <c r="M30" s="89" t="n">
        <v>19.95</v>
      </c>
      <c r="N30" s="86" t="n">
        <v>0</v>
      </c>
    </row>
    <row r="31">
      <c r="A31" s="83" t="inlineStr">
        <is>
          <t>BFCM week Nov 20 - Dec 1, 2025 (12d)</t>
        </is>
      </c>
      <c r="B31" s="81" t="n"/>
      <c r="C31" s="82" t="n"/>
      <c r="D31" s="84" t="n">
        <v>15.96</v>
      </c>
      <c r="E31" s="86" t="n">
        <v>1</v>
      </c>
      <c r="F31" s="86" t="n">
        <v>1</v>
      </c>
      <c r="G31" s="86" t="n">
        <v>0</v>
      </c>
      <c r="H31" s="84" t="n">
        <v>1.35</v>
      </c>
      <c r="J31" s="88" t="n">
        <v>0.08458646616541353</v>
      </c>
      <c r="K31" s="86" t="n">
        <v>33</v>
      </c>
      <c r="L31" s="88" t="n">
        <v>0.0303030303030303</v>
      </c>
      <c r="M31" s="89" t="n">
        <v>15.96</v>
      </c>
      <c r="N31" s="86" t="n">
        <v>0</v>
      </c>
    </row>
    <row r="32">
      <c r="A32" s="83" t="inlineStr">
        <is>
          <t>December 2 - 31, 2025 (30d)</t>
        </is>
      </c>
      <c r="B32" s="81" t="n"/>
      <c r="C32" s="82" t="n"/>
      <c r="D32" s="84" t="n">
        <v>69.84999999999999</v>
      </c>
      <c r="E32" s="86" t="n">
        <v>3</v>
      </c>
      <c r="F32" s="86" t="n">
        <v>3</v>
      </c>
      <c r="G32" s="86" t="n">
        <v>0</v>
      </c>
      <c r="H32" s="84" t="n">
        <v>1.8</v>
      </c>
      <c r="J32" s="88" t="n">
        <v>0.02576950608446672</v>
      </c>
      <c r="K32" s="86" t="n">
        <v>52</v>
      </c>
      <c r="L32" s="88" t="n">
        <v>0.05769230769230769</v>
      </c>
      <c r="M32" s="89" t="n">
        <v>23.28333333333333</v>
      </c>
      <c r="N32" s="86" t="n">
        <v>0</v>
      </c>
    </row>
    <row r="33">
      <c r="A33" s="90" t="inlineStr">
        <is>
          <t>account data, Amazon parent B0GDMSK15Z plus any of this product's child ASINs account data lists on their own, UTC days. Lift above uses these actual sales.</t>
        </is>
      </c>
    </row>
    <row r="34" ht="18" customHeight="1">
      <c r="A34" s="94" t="inlineStr">
        <is>
          <t>BFCM 2026 plan: NOT IN A DEAL. the team confirmed that products without a planned deal are not in any BFCM 2026 deal; they sell at their regular price.</t>
        </is>
      </c>
    </row>
    <row r="35" ht="30" customHeight="1">
      <c r="A35" s="92" t="inlineStr">
        <is>
          <t>BFCM 2026 stock (account data, Oct 15): 638 units at Amazon + 0 already sent (no ETA in account data); selling 0.3 a day; need about 13 to Nov 30 with a 1.00x BFCM lift (own BFCM 2025 lift (account data)). Variations: 4 covered, 0 need the inbound in time, 0 short even with inbound (0 units), 0 out of stock now. Detail: BFCM Stock tab.</t>
        </is>
      </c>
    </row>
    <row r="36" ht="30" customHeight="1">
      <c r="A36" s="91" t="inlineStr">
        <is>
          <t>Our hero child B0F4XQ7L8Q in price history (market data, US): price $19.95 before (median Nov 1-19) → $15.96 in BFCM week (median Nov 20 - Dec 1), 20% lower; lowest $15.96; Best Seller Rank 679,269 → 721,536 (1.06x worse); Prime Exclusive price seen 11-20 to 12-01 (7 days). Price is price history's lowest new offer (price history holds no Buy Box series for our own ASINs; we are the only seller).</t>
        </is>
      </c>
    </row>
    <row r="37">
      <c r="A37" s="90" t="inlineStr">
        <is>
          <t>No market data visibility history for our best child ASIN.</t>
        </is>
      </c>
    </row>
    <row r="38">
      <c r="A38" s="132" t="inlineStr">
        <is>
          <t>No BFCM 2025 PPC data for this product (not advertised or launched after BFCM 2025).</t>
        </is>
      </c>
    </row>
    <row r="39"/>
    <row r="40" ht="22" customHeight="1">
      <c r="A40" s="65" t="inlineStr">
        <is>
          <t>4 ▼</t>
        </is>
      </c>
      <c r="B40" s="66" t="inlineStr">
        <is>
          <t>COMPETITOR LANDSCAPE (15 mapped)</t>
        </is>
      </c>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c r="AL40" s="67" t="n"/>
      <c r="AM40" s="67" t="n"/>
      <c r="AN40" s="67" t="n"/>
      <c r="AO40" s="67" t="n"/>
      <c r="AP40" s="67" t="n"/>
      <c r="AQ40" s="67" t="n"/>
      <c r="AR40" s="67" t="n"/>
      <c r="AS40" s="67" t="n"/>
      <c r="AT40" s="67" t="n"/>
      <c r="AU40" s="67" t="n"/>
      <c r="AV40" s="67" t="n"/>
      <c r="AW40" s="67" t="n"/>
      <c r="AX40" s="67" t="n"/>
      <c r="AY40" s="67" t="n"/>
      <c r="AZ40" s="67" t="n"/>
      <c r="BA40" s="67" t="n"/>
      <c r="BB40" s="67" t="n"/>
      <c r="BC40" s="67" t="n"/>
      <c r="BD40" s="67" t="n"/>
      <c r="BE40" s="67" t="n"/>
      <c r="BF40" s="67" t="n"/>
      <c r="BG40" s="67" t="n"/>
      <c r="BH40" s="67" t="n"/>
      <c r="BI40" s="67" t="n"/>
      <c r="BJ40" s="67" t="n"/>
      <c r="BK40" s="67" t="n"/>
    </row>
    <row r="41" ht="20" customHeight="1">
      <c r="A41" s="96" t="inlineStr">
        <is>
          <t>▼▼▼</t>
        </is>
      </c>
      <c r="B41" s="97" t="inlineStr">
        <is>
          <t>COMPETITOR DATA BELOW: one row per competitor (0 direct first, then alternative material). Scroll right for listing, search, strikethrough now and BFCM 2025 history (deal type, price, discount, rank change).</t>
        </is>
      </c>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8" t="n"/>
      <c r="BI41" s="98" t="n"/>
      <c r="BJ41" s="98" t="n"/>
      <c r="BK41" s="98" t="n"/>
    </row>
    <row r="42">
      <c r="A42" s="99" t="inlineStr">
        <is>
          <t>COMPETITOR</t>
        </is>
      </c>
      <c r="L42" s="100" t="inlineStr">
        <is>
          <t>LISTING - catalog data</t>
        </is>
      </c>
      <c r="M42" s="101" t="inlineStr">
        <is>
          <t>SEARCH STRATEGY - market data search data</t>
        </is>
      </c>
      <c r="N42" s="102" t="inlineStr">
        <is>
          <t>PRICE &amp; SALES - market data snapshot (date per row)</t>
        </is>
      </c>
      <c r="AA42" s="100" t="inlineStr">
        <is>
          <t>LISTING - catalog data</t>
        </is>
      </c>
      <c r="AD42" s="101" t="inlineStr">
        <is>
          <t>SEARCH STRATEGY - market data search data</t>
        </is>
      </c>
      <c r="AU42" s="103" t="inlineStr">
        <is>
          <t>STR NOW - Amazon page check (Oct 13, P1 + P2)</t>
        </is>
      </c>
      <c r="BB42" s="104" t="inlineStr">
        <is>
          <t>BFCM 2025 - price history (P1 filled; yellow = not pulled yet)</t>
        </is>
      </c>
    </row>
    <row r="43" ht="48" customHeight="1">
      <c r="A43" s="26" t="inlineStr">
        <is>
          <t>Image</t>
        </is>
      </c>
      <c r="B43" s="26" t="inlineStr">
        <is>
          <t>Brand</t>
        </is>
      </c>
      <c r="C43" s="26" t="inlineStr">
        <is>
          <t>Product title</t>
        </is>
      </c>
      <c r="D43" s="26" t="inlineStr">
        <is>
          <t>Tier</t>
        </is>
      </c>
      <c r="E43" s="26" t="inlineStr">
        <is>
          <t>Competitor type</t>
        </is>
      </c>
      <c r="F43" s="26" t="inlineStr">
        <is>
          <t>Material</t>
        </is>
      </c>
      <c r="G43" s="26" t="inlineStr">
        <is>
          <t>Why this type</t>
        </is>
      </c>
      <c r="H43" s="26" t="inlineStr">
        <is>
          <t>Parent ASIN</t>
        </is>
      </c>
      <c r="I43" s="26" t="inlineStr">
        <is>
          <t>Tracked child ASIN</t>
        </is>
      </c>
      <c r="J43" s="26" t="inlineStr">
        <is>
          <t>Size</t>
        </is>
      </c>
      <c r="K43" s="26" t="inlineStr">
        <is>
          <t>Colour</t>
        </is>
      </c>
      <c r="L43" s="26" t="inlineStr">
        <is>
          <t>Variations</t>
        </is>
      </c>
      <c r="M43" s="26" t="inlineStr">
        <is>
          <t>Hero child ASINs (share of their visibility)</t>
        </is>
      </c>
      <c r="N43" s="26" t="inlineStr">
        <is>
          <t>Price ($)</t>
        </is>
      </c>
      <c r="O43" s="26" t="inlineStr">
        <is>
          <t>List Price ($)</t>
        </is>
      </c>
      <c r="P43" s="26" t="inlineStr">
        <is>
          <t>List Price % over</t>
        </is>
      </c>
      <c r="Q43" s="26" t="inlineStr">
        <is>
          <t>STR band</t>
        </is>
      </c>
      <c r="R43" s="26" t="inlineStr">
        <is>
          <t>Our price, same size ($)</t>
        </is>
      </c>
      <c r="S43" s="26" t="inlineStr">
        <is>
          <t>Their price vs ours</t>
        </is>
      </c>
      <c r="T43" s="26" t="inlineStr">
        <is>
          <t>Comparison basis</t>
        </is>
      </c>
      <c r="U43" s="26" t="inlineStr">
        <is>
          <t>BSR</t>
        </is>
      </c>
      <c r="V43" s="26" t="inlineStr">
        <is>
          <t>Est weekly units</t>
        </is>
      </c>
      <c r="W43" s="26" t="inlineStr">
        <is>
          <t>Est monthly revenue ($)</t>
        </is>
      </c>
      <c r="X43" s="26" t="inlineStr">
        <is>
          <t>Rating</t>
        </is>
      </c>
      <c r="Y43" s="26" t="inlineStr">
        <is>
          <t>Reviews</t>
        </is>
      </c>
      <c r="Z43" s="26" t="inlineStr">
        <is>
          <t>Snapshot date</t>
        </is>
      </c>
      <c r="AA43" s="26" t="inlineStr">
        <is>
          <t>Listed</t>
        </is>
      </c>
      <c r="AB43" s="26" t="inlineStr">
        <is>
          <t>Fulfil.</t>
        </is>
      </c>
      <c r="AC43" s="26" t="inlineStr">
        <is>
          <t>Seller country</t>
        </is>
      </c>
      <c r="AD43" s="26" t="inlineStr">
        <is>
          <t>search data 7d traffic</t>
        </is>
      </c>
      <c r="AE43" s="26" t="inlineStr">
        <is>
          <t>Keywords ranked</t>
        </is>
      </c>
      <c r="AF43" s="26" t="inlineStr">
        <is>
          <t>Organic share of traffic</t>
        </is>
      </c>
      <c r="AG43" s="26" t="inlineStr">
        <is>
          <t>Ad share of traffic</t>
        </is>
      </c>
      <c r="AH43" s="26" t="inlineStr">
        <is>
          <t>Top keyword</t>
        </is>
      </c>
      <c r="AI43" s="26" t="inlineStr">
        <is>
          <t>SP reach</t>
        </is>
      </c>
      <c r="AJ43" s="26" t="inlineStr">
        <is>
          <t>SB reach</t>
        </is>
      </c>
      <c r="AK43" s="26" t="inlineStr">
        <is>
          <t>SB video reach</t>
        </is>
      </c>
      <c r="AL43" s="26" t="inlineStr">
        <is>
          <t>Amazon's Choice reach</t>
        </is>
      </c>
      <c r="AM43" s="26" t="inlineStr">
        <is>
          <t>Shared keywords</t>
        </is>
      </c>
      <c r="AN43" s="26" t="inlineStr">
        <is>
          <t>We win</t>
        </is>
      </c>
      <c r="AO43" s="26" t="inlineStr">
        <is>
          <t>We lose</t>
        </is>
      </c>
      <c r="AP43" s="26" t="inlineStr">
        <is>
          <t>Their keywords we miss</t>
        </is>
      </c>
      <c r="AQ43" s="26" t="inlineStr">
        <is>
          <t>KWs they advertise, we don't</t>
        </is>
      </c>
      <c r="AR43" s="26" t="inlineStr">
        <is>
          <t>KWs they out-advertise us</t>
        </is>
      </c>
      <c r="AS43" s="26" t="inlineStr">
        <is>
          <t>Prime Day 2026 organic vis lift</t>
        </is>
      </c>
      <c r="AT43" s="26" t="inlineStr">
        <is>
          <t>Organic trend (Aug-Sep vs Q2)</t>
        </is>
      </c>
      <c r="AU43" s="26" t="inlineStr">
        <is>
          <t>STR showing now? (Y/N)</t>
        </is>
      </c>
      <c r="AV43" s="26" t="inlineStr">
        <is>
          <t>STR label</t>
        </is>
      </c>
      <c r="AW43" s="26" t="inlineStr">
        <is>
          <t>Strikethrough price ($)</t>
        </is>
      </c>
      <c r="AX43" s="26" t="inlineStr">
        <is>
          <t>Page price at check ($)</t>
        </is>
      </c>
      <c r="AY43" s="26" t="inlineStr">
        <is>
          <t>Deal / coupon now</t>
        </is>
      </c>
      <c r="AZ43" s="26" t="inlineStr">
        <is>
          <t>Orderable now (Y/N)</t>
        </is>
      </c>
      <c r="BA43" s="26" t="inlineStr">
        <is>
          <t>Checked (ET)</t>
        </is>
      </c>
      <c r="BB43" s="26" t="inlineStr">
        <is>
          <t>BFCM 2025 deal type</t>
        </is>
      </c>
      <c r="BC43" s="26" t="inlineStr">
        <is>
          <t>BFCM 2025 deal dates</t>
        </is>
      </c>
      <c r="BD43" s="26" t="inlineStr">
        <is>
          <t>Pre-event price ($)</t>
        </is>
      </c>
      <c r="BE43" s="26" t="inlineStr">
        <is>
          <t>BFCM 2025 low ($)</t>
        </is>
      </c>
      <c r="BF43" s="26" t="inlineStr">
        <is>
          <t>BFCM 2025 discount</t>
        </is>
      </c>
      <c r="BG43" s="26" t="inlineStr">
        <is>
          <t>BSR pre-event</t>
        </is>
      </c>
      <c r="BH43" s="26" t="inlineStr">
        <is>
          <t>BSR BFCM wk</t>
        </is>
      </c>
      <c r="BI43" s="26" t="inlineStr">
        <is>
          <t>BSR lift (x)</t>
        </is>
      </c>
      <c r="BJ43" s="26" t="inlineStr">
        <is>
          <t>OOS in BFCM? (Y/N)</t>
        </is>
      </c>
      <c r="BK43" s="26" t="inlineStr">
        <is>
          <t>Notes</t>
        </is>
      </c>
    </row>
    <row r="44" ht="62" customHeight="1">
      <c r="A44" s="12">
        <f>_xlfn.IMAGE("https://m.media-amazon.com/images/I/717np3bt88L._AC_SL1500_.jpg")</f>
        <v/>
      </c>
      <c r="B44" s="105" t="inlineStr">
        <is>
          <t>LitBear</t>
        </is>
      </c>
      <c r="C44" s="39" t="inlineStr">
        <is>
          <t>SS Silk Sleep Mask</t>
        </is>
      </c>
      <c r="D44" s="105" t="inlineStr">
        <is>
          <t>Aspirational</t>
        </is>
      </c>
      <c r="E44" s="134" t="inlineStr">
        <is>
          <t>Not classified</t>
        </is>
      </c>
      <c r="F44" s="105" t="n"/>
      <c r="G44" s="39" t="inlineStr">
        <is>
          <t>Not a sheet, pillowcase or comforter product; competitors are compared on price and sales only.</t>
        </is>
      </c>
      <c r="H44" s="107" t="inlineStr">
        <is>
          <t>B0CNX9RTK8</t>
        </is>
      </c>
      <c r="I44" s="107" t="inlineStr">
        <is>
          <t>B0BN559GVG</t>
        </is>
      </c>
      <c r="J44" s="105" t="n"/>
      <c r="K44" s="105" t="n"/>
      <c r="L44" s="108" t="n">
        <v>4</v>
      </c>
      <c r="M44" s="39" t="inlineStr">
        <is>
          <t>B0BN559GVG (81%)</t>
        </is>
      </c>
      <c r="N44" s="109" t="n">
        <v>29.99</v>
      </c>
      <c r="O44" s="109" t="n"/>
      <c r="P44" s="110">
        <f>IF(AND(ISNUMBER(O44),ISNUMBER(N44),N(N44)&gt;0),O44/N44-1,"")</f>
        <v/>
      </c>
      <c r="Q44" s="111">
        <f>IF(P44="","No List Price",IF(P44&lt;=0,"At/below price",IF(P44&lt;=0.12,"&lt;=12% STR zone",IF(P44&lt;=0.25,"12-25%","&gt;25% over"))))</f>
        <v/>
      </c>
      <c r="R44" s="109" t="n">
        <v>20.41153846153846</v>
      </c>
      <c r="S44" s="112">
        <f>IF(AND(ISNUMBER(N44),ISNUMBER(R44),N(R44)&gt;0),N44/R44-1,"")</f>
        <v/>
      </c>
      <c r="T44" s="39" t="inlineStr">
        <is>
          <t>vs our blended price (market data, Mar 2026 - STALE)</t>
        </is>
      </c>
      <c r="U44" s="108" t="n">
        <v>9413</v>
      </c>
      <c r="V44" s="108" t="n">
        <v>809</v>
      </c>
      <c r="W44" s="113">
        <f>IF(AND(ISNUMBER(N44),ISNUMBER(V44)),N44*V44*52/12,"")</f>
        <v/>
      </c>
      <c r="X44" s="114" t="n">
        <v>4.4</v>
      </c>
      <c r="Y44" s="108" t="n">
        <v>2143</v>
      </c>
      <c r="Z44" s="115" t="n">
        <v>46307</v>
      </c>
      <c r="AA44" s="115" t="n"/>
      <c r="AB44" s="105" t="n"/>
      <c r="AC44" s="105" t="n"/>
      <c r="AD44" s="108" t="n">
        <v>401761</v>
      </c>
      <c r="AE44" s="108" t="n">
        <v>1367</v>
      </c>
      <c r="AF44" s="116" t="n">
        <v>0.7073638471628658</v>
      </c>
      <c r="AG44" s="116" t="n">
        <v>0.292636280276085</v>
      </c>
      <c r="AH44" s="39" t="inlineStr">
        <is>
          <t>sleep mask</t>
        </is>
      </c>
      <c r="AI44" s="116" t="n">
        <v>0.9110316830155242</v>
      </c>
      <c r="AJ44" s="116" t="n">
        <v>0.1794126358705798</v>
      </c>
      <c r="AK44" s="116" t="n">
        <v>0.2505768354817914</v>
      </c>
      <c r="AL44" s="116" t="n">
        <v>0.02166711054582202</v>
      </c>
      <c r="AM44" s="108" t="n">
        <v>49</v>
      </c>
      <c r="AN44" s="108" t="n">
        <v>4</v>
      </c>
      <c r="AO44" s="108" t="n">
        <v>45</v>
      </c>
      <c r="AP44" s="108" t="n">
        <v>1318</v>
      </c>
      <c r="AQ44" s="108" t="n">
        <v>684</v>
      </c>
      <c r="AR44" s="108" t="n">
        <v>0</v>
      </c>
      <c r="AS44" s="117" t="n">
        <v>0.8740317977986141</v>
      </c>
      <c r="AT44" s="112" t="n">
        <v>0.1626394052044609</v>
      </c>
      <c r="AU44" s="118" t="inlineStr">
        <is>
          <t>N</t>
        </is>
      </c>
      <c r="AV44" s="118" t="inlineStr">
        <is>
          <t>none</t>
        </is>
      </c>
      <c r="AW44" s="124" t="n"/>
      <c r="AX44" s="119" t="n">
        <v>29.99</v>
      </c>
      <c r="AY44" s="118" t="inlineStr">
        <is>
          <t>none</t>
        </is>
      </c>
      <c r="AZ44" s="118" t="inlineStr">
        <is>
          <t>Y</t>
        </is>
      </c>
      <c r="BA44" s="118" t="inlineStr">
        <is>
          <t>2026-10-13 23:46:13</t>
        </is>
      </c>
      <c r="BB44" s="120" t="inlineStr">
        <is>
          <t>Prime Exclusive Discount</t>
        </is>
      </c>
      <c r="BC44" s="120" t="inlineStr">
        <is>
          <t>11-01 to 12-05</t>
        </is>
      </c>
      <c r="BD44" s="121" t="n">
        <v>28.49</v>
      </c>
      <c r="BE44" s="121" t="n">
        <v>23.99</v>
      </c>
      <c r="BF44" s="110">
        <f>IF(AND(ISNUMBER(BD44),ISNUMBER(BE44),N(BD44)&gt;0),1-BE44/BD44,"")</f>
        <v/>
      </c>
      <c r="BG44" s="122" t="n">
        <v>9933</v>
      </c>
      <c r="BH44" s="122" t="n">
        <v>8144</v>
      </c>
      <c r="BI44" s="123">
        <f>IF(AND(ISNUMBER(BG44),ISNUMBER(BH44),N(BH44)&gt;0),BG44/BH44,"")</f>
        <v/>
      </c>
      <c r="BJ44" s="120" t="inlineStr">
        <is>
          <t>N</t>
        </is>
      </c>
      <c r="BK44" s="120" t="inlineStr">
        <is>
          <t>Prime Exclusive already running before BFCM week; List Price $29.99</t>
        </is>
      </c>
    </row>
    <row r="45" ht="62" customHeight="1">
      <c r="A45" s="12">
        <f>_xlfn.IMAGE("https://m.media-amazon.com/images/I/61obj0CqXCL._AC_SL1500_.jpg")</f>
        <v/>
      </c>
      <c r="B45" s="105" t="inlineStr">
        <is>
          <t>LULUSILK</t>
        </is>
      </c>
      <c r="C45" s="39" t="inlineStr">
        <is>
          <t>SS Silk Sleep Mask</t>
        </is>
      </c>
      <c r="D45" s="105" t="inlineStr">
        <is>
          <t>Aspirational</t>
        </is>
      </c>
      <c r="E45" s="134" t="inlineStr">
        <is>
          <t>Not classified</t>
        </is>
      </c>
      <c r="F45" s="105" t="n"/>
      <c r="G45" s="39" t="inlineStr">
        <is>
          <t>Not a sheet, pillowcase or comforter product; competitors are compared on price and sales only.</t>
        </is>
      </c>
      <c r="H45" s="107" t="inlineStr">
        <is>
          <t>B074TBH52S</t>
        </is>
      </c>
      <c r="I45" s="107" t="inlineStr">
        <is>
          <t>B074TBYWGS</t>
        </is>
      </c>
      <c r="J45" s="105" t="n"/>
      <c r="K45" s="105" t="n"/>
      <c r="L45" s="108" t="n">
        <v>7</v>
      </c>
      <c r="M45" s="39" t="inlineStr">
        <is>
          <t>B074TBYWGS (83%)</t>
        </is>
      </c>
      <c r="N45" s="109" t="n">
        <v>9.99</v>
      </c>
      <c r="O45" s="109" t="n"/>
      <c r="P45" s="110">
        <f>IF(AND(ISNUMBER(O45),ISNUMBER(N45),N(N45)&gt;0),O45/N45-1,"")</f>
        <v/>
      </c>
      <c r="Q45" s="111">
        <f>IF(P45="","No List Price",IF(P45&lt;=0,"At/below price",IF(P45&lt;=0.12,"&lt;=12% STR zone",IF(P45&lt;=0.25,"12-25%","&gt;25% over"))))</f>
        <v/>
      </c>
      <c r="R45" s="109" t="n">
        <v>20.41153846153846</v>
      </c>
      <c r="S45" s="112">
        <f>IF(AND(ISNUMBER(N45),ISNUMBER(R45),N(R45)&gt;0),N45/R45-1,"")</f>
        <v/>
      </c>
      <c r="T45" s="39" t="inlineStr">
        <is>
          <t>vs our blended price (market data, Mar 2026 - STALE)</t>
        </is>
      </c>
      <c r="U45" s="108" t="n">
        <v>8556</v>
      </c>
      <c r="V45" s="108" t="n">
        <v>809</v>
      </c>
      <c r="W45" s="113">
        <f>IF(AND(ISNUMBER(N45),ISNUMBER(V45)),N45*V45*52/12,"")</f>
        <v/>
      </c>
      <c r="X45" s="114" t="n">
        <v>4.4</v>
      </c>
      <c r="Y45" s="108" t="n">
        <v>12325</v>
      </c>
      <c r="Z45" s="115" t="n">
        <v>46307</v>
      </c>
      <c r="AA45" s="115" t="n"/>
      <c r="AB45" s="105" t="n"/>
      <c r="AC45" s="105" t="n"/>
      <c r="AD45" s="108" t="n">
        <v>106430</v>
      </c>
      <c r="AE45" s="108" t="n">
        <v>644</v>
      </c>
      <c r="AF45" s="116" t="n">
        <v>0.9607324494973225</v>
      </c>
      <c r="AG45" s="116" t="n">
        <v>0.03926767076951988</v>
      </c>
      <c r="AH45" s="39" t="inlineStr">
        <is>
          <t>sleep mask</t>
        </is>
      </c>
      <c r="AI45" s="116" t="n">
        <v>0.67251714742084</v>
      </c>
      <c r="AJ45" s="116" t="n"/>
      <c r="AK45" s="116" t="n"/>
      <c r="AL45" s="116" t="n">
        <v>0.00684017664192427</v>
      </c>
      <c r="AM45" s="108" t="n">
        <v>47</v>
      </c>
      <c r="AN45" s="108" t="n">
        <v>10</v>
      </c>
      <c r="AO45" s="108" t="n">
        <v>36</v>
      </c>
      <c r="AP45" s="108" t="n">
        <v>597</v>
      </c>
      <c r="AQ45" s="108" t="n">
        <v>135</v>
      </c>
      <c r="AR45" s="108" t="n">
        <v>0</v>
      </c>
      <c r="AS45" s="117" t="n">
        <v>1.562836624775583</v>
      </c>
      <c r="AT45" s="112" t="n">
        <v>0.3807249227311043</v>
      </c>
      <c r="AU45" s="118" t="inlineStr">
        <is>
          <t>N</t>
        </is>
      </c>
      <c r="AV45" s="118" t="inlineStr">
        <is>
          <t>none</t>
        </is>
      </c>
      <c r="AW45" s="124" t="n"/>
      <c r="AX45" s="119" t="n">
        <v>9.99</v>
      </c>
      <c r="AY45" s="118" t="inlineStr">
        <is>
          <t>none</t>
        </is>
      </c>
      <c r="AZ45" s="118" t="inlineStr">
        <is>
          <t>Y</t>
        </is>
      </c>
      <c r="BA45" s="118" t="inlineStr">
        <is>
          <t>2026-10-13 23:46:07</t>
        </is>
      </c>
      <c r="BB45" s="120" t="inlineStr">
        <is>
          <t>Price cut only</t>
        </is>
      </c>
      <c r="BC45" s="120" t="inlineStr">
        <is>
          <t>11-20 to 12-01</t>
        </is>
      </c>
      <c r="BD45" s="121" t="n">
        <v>9.99</v>
      </c>
      <c r="BE45" s="121" t="n">
        <v>8.49</v>
      </c>
      <c r="BF45" s="110">
        <f>IF(AND(ISNUMBER(BD45),ISNUMBER(BE45),N(BD45)&gt;0),1-BE45/BD45,"")</f>
        <v/>
      </c>
      <c r="BG45" s="122" t="n">
        <v>6515</v>
      </c>
      <c r="BH45" s="122" t="n">
        <v>5815</v>
      </c>
      <c r="BI45" s="123">
        <f>IF(AND(ISNUMBER(BG45),ISNUMBER(BH45),N(BH45)&gt;0),BG45/BH45,"")</f>
        <v/>
      </c>
      <c r="BJ45" s="120" t="inlineStr">
        <is>
          <t>N</t>
        </is>
      </c>
      <c r="BK45" s="125" t="n"/>
    </row>
    <row r="46" ht="62" customHeight="1">
      <c r="A46" s="12">
        <f>_xlfn.IMAGE("https://images-na.ssl-images-amazon.com/images/I/61t7hRnDSTL.jpg")</f>
        <v/>
      </c>
      <c r="B46" s="105" t="inlineStr">
        <is>
          <t>iCooBreeze</t>
        </is>
      </c>
      <c r="C46" s="39" t="inlineStr">
        <is>
          <t>SS Silk Sleep Mask</t>
        </is>
      </c>
      <c r="D46" s="105" t="inlineStr">
        <is>
          <t>Aspirational</t>
        </is>
      </c>
      <c r="E46" s="134" t="inlineStr">
        <is>
          <t>Not classified</t>
        </is>
      </c>
      <c r="F46" s="105" t="n"/>
      <c r="G46" s="39" t="inlineStr">
        <is>
          <t>Not a sheet, pillowcase or comforter product; competitors are compared on price and sales only.</t>
        </is>
      </c>
      <c r="H46" s="107" t="inlineStr">
        <is>
          <t>B0BBN7XTW5</t>
        </is>
      </c>
      <c r="I46" s="107" t="inlineStr">
        <is>
          <t>B0BBN627MK</t>
        </is>
      </c>
      <c r="J46" s="105" t="n"/>
      <c r="K46" s="105" t="n"/>
      <c r="L46" s="108" t="n">
        <v>4</v>
      </c>
      <c r="M46" s="39" t="inlineStr">
        <is>
          <t>B0BB9Z23FD (45%), B0BBN627MK (45%)</t>
        </is>
      </c>
      <c r="N46" s="109" t="n">
        <v>19.99</v>
      </c>
      <c r="O46" s="109" t="n"/>
      <c r="P46" s="110">
        <f>IF(AND(ISNUMBER(O46),ISNUMBER(N46),N(N46)&gt;0),O46/N46-1,"")</f>
        <v/>
      </c>
      <c r="Q46" s="111">
        <f>IF(P46="","No List Price",IF(P46&lt;=0,"At/below price",IF(P46&lt;=0.12,"&lt;=12% STR zone",IF(P46&lt;=0.25,"12-25%","&gt;25% over"))))</f>
        <v/>
      </c>
      <c r="R46" s="109" t="n">
        <v>20.41153846153846</v>
      </c>
      <c r="S46" s="112">
        <f>IF(AND(ISNUMBER(N46),ISNUMBER(R46),N(R46)&gt;0),N46/R46-1,"")</f>
        <v/>
      </c>
      <c r="T46" s="39" t="inlineStr">
        <is>
          <t>vs our blended price (market data, Mar 2026 - STALE)</t>
        </is>
      </c>
      <c r="U46" s="108" t="n">
        <v>12259</v>
      </c>
      <c r="V46" s="108" t="n">
        <v>347</v>
      </c>
      <c r="W46" s="113">
        <f>IF(AND(ISNUMBER(N46),ISNUMBER(V46)),N46*V46*52/12,"")</f>
        <v/>
      </c>
      <c r="X46" s="114" t="n">
        <v>4.5</v>
      </c>
      <c r="Y46" s="108" t="n">
        <v>2063</v>
      </c>
      <c r="Z46" s="115" t="n">
        <v>46307</v>
      </c>
      <c r="AA46" s="115" t="n"/>
      <c r="AB46" s="105" t="n"/>
      <c r="AC46" s="105" t="n"/>
      <c r="AD46" s="108" t="n">
        <v>303791</v>
      </c>
      <c r="AE46" s="108" t="n">
        <v>774</v>
      </c>
      <c r="AF46" s="116" t="n">
        <v>0.556958422402244</v>
      </c>
      <c r="AG46" s="116" t="n">
        <v>0.4430416091984288</v>
      </c>
      <c r="AH46" s="39" t="inlineStr">
        <is>
          <t>sleep mask</t>
        </is>
      </c>
      <c r="AI46" s="116" t="n">
        <v>0.9396492983663111</v>
      </c>
      <c r="AJ46" s="116" t="n"/>
      <c r="AK46" s="116" t="n">
        <v>0.03647902669927681</v>
      </c>
      <c r="AL46" s="116" t="n">
        <v>0</v>
      </c>
      <c r="AM46" s="108" t="n">
        <v>47</v>
      </c>
      <c r="AN46" s="108" t="n">
        <v>4</v>
      </c>
      <c r="AO46" s="108" t="n">
        <v>43</v>
      </c>
      <c r="AP46" s="108" t="n">
        <v>727</v>
      </c>
      <c r="AQ46" s="108" t="n">
        <v>172</v>
      </c>
      <c r="AR46" s="108" t="n">
        <v>0</v>
      </c>
      <c r="AS46" s="117" t="n">
        <v>0.2928870292887029</v>
      </c>
      <c r="AT46" s="112" t="n">
        <v>-0.09840810419681623</v>
      </c>
      <c r="AU46" s="118" t="inlineStr">
        <is>
          <t>N</t>
        </is>
      </c>
      <c r="AV46" s="118" t="inlineStr">
        <is>
          <t>none</t>
        </is>
      </c>
      <c r="AW46" s="124" t="n"/>
      <c r="AX46" s="119" t="n">
        <v>19.99</v>
      </c>
      <c r="AY46" s="118" t="inlineStr">
        <is>
          <t>none</t>
        </is>
      </c>
      <c r="AZ46" s="118" t="inlineStr">
        <is>
          <t>Y</t>
        </is>
      </c>
      <c r="BA46" s="118" t="inlineStr">
        <is>
          <t>2026-10-13 23:47:38</t>
        </is>
      </c>
      <c r="BB46" s="120" t="inlineStr">
        <is>
          <t>Prime Exclusive Discount</t>
        </is>
      </c>
      <c r="BC46" s="120" t="inlineStr">
        <is>
          <t>11-27 to 12-01</t>
        </is>
      </c>
      <c r="BD46" s="121" t="n">
        <v>19.99</v>
      </c>
      <c r="BE46" s="121" t="n">
        <v>15.99</v>
      </c>
      <c r="BF46" s="110">
        <f>IF(AND(ISNUMBER(BD46),ISNUMBER(BE46),N(BD46)&gt;0),1-BE46/BD46,"")</f>
        <v/>
      </c>
      <c r="BG46" s="122" t="n">
        <v>11889</v>
      </c>
      <c r="BH46" s="122" t="n">
        <v>10923</v>
      </c>
      <c r="BI46" s="123">
        <f>IF(AND(ISNUMBER(BG46),ISNUMBER(BH46),N(BH46)&gt;0),BG46/BH46,"")</f>
        <v/>
      </c>
      <c r="BJ46" s="120" t="inlineStr">
        <is>
          <t>N</t>
        </is>
      </c>
      <c r="BK46" s="120" t="inlineStr">
        <is>
          <t>Coupon 2.00 USD (11-01 to 11-19); List Price $22.99</t>
        </is>
      </c>
    </row>
    <row r="47" ht="62" customHeight="1">
      <c r="A47" s="12">
        <f>_xlfn.IMAGE("https://images-na.ssl-images-amazon.com/images/I/717uHiZRsrL.jpg")</f>
        <v/>
      </c>
      <c r="B47" s="105" t="inlineStr">
        <is>
          <t>Zenssia</t>
        </is>
      </c>
      <c r="C47" s="39" t="inlineStr">
        <is>
          <t>Zenssia 100% Mulberry Silk Sleep Mask Eye Mask for Man and Woman with Adjustable Headband, Full Size Large Sleep Mask &amp; Blindfold for Total Blackout for All Night Sleep, Travel &amp; Nap- Light Plum</t>
        </is>
      </c>
      <c r="D47" s="105" t="inlineStr">
        <is>
          <t>Aspirational</t>
        </is>
      </c>
      <c r="E47" s="134" t="inlineStr">
        <is>
          <t>Not classified</t>
        </is>
      </c>
      <c r="F47" s="105" t="n"/>
      <c r="G47" s="39" t="inlineStr">
        <is>
          <t>Not a sheet, pillowcase or comforter product; competitors are compared on price and sales only.</t>
        </is>
      </c>
      <c r="H47" s="107" t="inlineStr">
        <is>
          <t>B0B5K41YD7</t>
        </is>
      </c>
      <c r="I47" s="107" t="inlineStr">
        <is>
          <t>B07V5BCQFW</t>
        </is>
      </c>
      <c r="J47" s="105" t="inlineStr">
        <is>
          <t>Full</t>
        </is>
      </c>
      <c r="K47" s="105" t="n"/>
      <c r="L47" s="108" t="n">
        <v>6</v>
      </c>
      <c r="M47" s="39" t="inlineStr">
        <is>
          <t>B07V5BCQFW (58%), B07CNT74Z6 (24%)</t>
        </is>
      </c>
      <c r="N47" s="109" t="n">
        <v>19.99</v>
      </c>
      <c r="O47" s="109" t="n"/>
      <c r="P47" s="110">
        <f>IF(AND(ISNUMBER(O47),ISNUMBER(N47),N(N47)&gt;0),O47/N47-1,"")</f>
        <v/>
      </c>
      <c r="Q47" s="111">
        <f>IF(P47="","No List Price",IF(P47&lt;=0,"At/below price",IF(P47&lt;=0.12,"&lt;=12% STR zone",IF(P47&lt;=0.25,"12-25%","&gt;25% over"))))</f>
        <v/>
      </c>
      <c r="R47" s="109" t="n">
        <v>20.41153846153846</v>
      </c>
      <c r="S47" s="112">
        <f>IF(AND(ISNUMBER(N47),ISNUMBER(R47),N(R47)&gt;0),N47/R47-1,"")</f>
        <v/>
      </c>
      <c r="T47" s="39" t="inlineStr">
        <is>
          <t>vs our blended price (market data, Mar 2026 - STALE)</t>
        </is>
      </c>
      <c r="U47" s="108" t="n">
        <v>11617</v>
      </c>
      <c r="V47" s="108" t="n">
        <v>347</v>
      </c>
      <c r="W47" s="113">
        <f>IF(AND(ISNUMBER(N47),ISNUMBER(V47)),N47*V47*52/12,"")</f>
        <v/>
      </c>
      <c r="X47" s="114" t="n">
        <v>4.5</v>
      </c>
      <c r="Y47" s="108" t="n">
        <v>1571</v>
      </c>
      <c r="Z47" s="115" t="n">
        <v>46307</v>
      </c>
      <c r="AA47" s="115" t="n">
        <v>43655</v>
      </c>
      <c r="AB47" s="105" t="inlineStr">
        <is>
          <t>FBA</t>
        </is>
      </c>
      <c r="AC47" s="105" t="inlineStr">
        <is>
          <t>CN</t>
        </is>
      </c>
      <c r="AD47" s="108" t="n">
        <v>151964</v>
      </c>
      <c r="AE47" s="108" t="n">
        <v>580</v>
      </c>
      <c r="AF47" s="116" t="n">
        <v>0.8624514049380118</v>
      </c>
      <c r="AG47" s="116" t="n">
        <v>0.1375487003500829</v>
      </c>
      <c r="AH47" s="39" t="inlineStr">
        <is>
          <t>sleep mask</t>
        </is>
      </c>
      <c r="AI47" s="116" t="n">
        <v>0.340712273959622</v>
      </c>
      <c r="AJ47" s="116" t="n"/>
      <c r="AK47" s="116" t="n">
        <v>0.285751888605196</v>
      </c>
      <c r="AL47" s="116" t="n">
        <v>0.0009278513332104972</v>
      </c>
      <c r="AM47" s="108" t="n">
        <v>47</v>
      </c>
      <c r="AN47" s="108" t="n">
        <v>5</v>
      </c>
      <c r="AO47" s="108" t="n">
        <v>41</v>
      </c>
      <c r="AP47" s="108" t="n">
        <v>533</v>
      </c>
      <c r="AQ47" s="108" t="n">
        <v>59</v>
      </c>
      <c r="AR47" s="108" t="n">
        <v>0</v>
      </c>
      <c r="AS47" s="117" t="n"/>
      <c r="AT47" s="112" t="n"/>
      <c r="AU47" s="118" t="inlineStr">
        <is>
          <t>N</t>
        </is>
      </c>
      <c r="AV47" s="118" t="inlineStr">
        <is>
          <t>none</t>
        </is>
      </c>
      <c r="AW47" s="124" t="n"/>
      <c r="AX47" s="119" t="n">
        <v>19.99</v>
      </c>
      <c r="AY47" s="118" t="inlineStr">
        <is>
          <t>none</t>
        </is>
      </c>
      <c r="AZ47" s="118" t="inlineStr">
        <is>
          <t>Y</t>
        </is>
      </c>
      <c r="BA47" s="118" t="inlineStr">
        <is>
          <t>2026-10-13 23:47:35</t>
        </is>
      </c>
      <c r="BB47" s="120" t="inlineStr">
        <is>
          <t>Price cut only</t>
        </is>
      </c>
      <c r="BC47" s="120" t="inlineStr">
        <is>
          <t>11-20 to 12-01</t>
        </is>
      </c>
      <c r="BD47" s="121" t="n">
        <v>19.99</v>
      </c>
      <c r="BE47" s="121" t="n">
        <v>15.99</v>
      </c>
      <c r="BF47" s="110">
        <f>IF(AND(ISNUMBER(BD47),ISNUMBER(BE47),N(BD47)&gt;0),1-BE47/BD47,"")</f>
        <v/>
      </c>
      <c r="BG47" s="122" t="n">
        <v>17000</v>
      </c>
      <c r="BH47" s="122" t="n">
        <v>8132</v>
      </c>
      <c r="BI47" s="123">
        <f>IF(AND(ISNUMBER(BG47),ISNUMBER(BH47),N(BH47)&gt;0),BG47/BH47,"")</f>
        <v/>
      </c>
      <c r="BJ47" s="120" t="inlineStr">
        <is>
          <t>N</t>
        </is>
      </c>
      <c r="BK47" s="120" t="inlineStr">
        <is>
          <t>List Price $24.99</t>
        </is>
      </c>
    </row>
    <row r="48" ht="62" customHeight="1">
      <c r="A48" s="12">
        <f>_xlfn.IMAGE("https://m.media-amazon.com/images/I/71izNSiipGL._AC_SL1500_.jpg")</f>
        <v/>
      </c>
      <c r="B48" s="105" t="inlineStr">
        <is>
          <t>DROWSY</t>
        </is>
      </c>
      <c r="C48" s="39" t="inlineStr">
        <is>
          <t>SS Silk Sleep Mask</t>
        </is>
      </c>
      <c r="D48" s="105" t="inlineStr">
        <is>
          <t>Aspirational</t>
        </is>
      </c>
      <c r="E48" s="134" t="inlineStr">
        <is>
          <t>Not classified</t>
        </is>
      </c>
      <c r="F48" s="105" t="n"/>
      <c r="G48" s="39" t="inlineStr">
        <is>
          <t>Not a sheet, pillowcase or comforter product; competitors are compared on price and sales only.</t>
        </is>
      </c>
      <c r="H48" s="107" t="inlineStr">
        <is>
          <t>B0GQZL7XLN</t>
        </is>
      </c>
      <c r="I48" s="107" t="inlineStr">
        <is>
          <t>B08NHHDLT6</t>
        </is>
      </c>
      <c r="J48" s="105" t="n"/>
      <c r="K48" s="105" t="n"/>
      <c r="L48" s="108" t="n">
        <v>13</v>
      </c>
      <c r="M48" s="39" t="inlineStr">
        <is>
          <t>B08NHF4HCS (51%), B08NHHDLT6 (32%)</t>
        </is>
      </c>
      <c r="N48" s="109" t="n">
        <v>79</v>
      </c>
      <c r="O48" s="109" t="n"/>
      <c r="P48" s="110">
        <f>IF(AND(ISNUMBER(O48),ISNUMBER(N48),N(N48)&gt;0),O48/N48-1,"")</f>
        <v/>
      </c>
      <c r="Q48" s="111">
        <f>IF(P48="","No List Price",IF(P48&lt;=0,"At/below price",IF(P48&lt;=0.12,"&lt;=12% STR zone",IF(P48&lt;=0.25,"12-25%","&gt;25% over"))))</f>
        <v/>
      </c>
      <c r="R48" s="109" t="n">
        <v>20.41153846153846</v>
      </c>
      <c r="S48" s="112">
        <f>IF(AND(ISNUMBER(N48),ISNUMBER(R48),N(R48)&gt;0),N48/R48-1,"")</f>
        <v/>
      </c>
      <c r="T48" s="39" t="inlineStr">
        <is>
          <t>vs our blended price (market data, Mar 2026 - STALE)</t>
        </is>
      </c>
      <c r="U48" s="108" t="n">
        <v>7182</v>
      </c>
      <c r="V48" s="108" t="n">
        <v>208</v>
      </c>
      <c r="W48" s="113">
        <f>IF(AND(ISNUMBER(N48),ISNUMBER(V48)),N48*V48*52/12,"")</f>
        <v/>
      </c>
      <c r="X48" s="114" t="n">
        <v>4.3</v>
      </c>
      <c r="Y48" s="108" t="n">
        <v>1740</v>
      </c>
      <c r="Z48" s="115" t="n">
        <v>46307</v>
      </c>
      <c r="AA48" s="115" t="n"/>
      <c r="AB48" s="105" t="n"/>
      <c r="AC48" s="105" t="n"/>
      <c r="AD48" s="108" t="n">
        <v>143864</v>
      </c>
      <c r="AE48" s="108" t="n">
        <v>655</v>
      </c>
      <c r="AF48" s="116" t="n">
        <v>0.5480138186064621</v>
      </c>
      <c r="AG48" s="116" t="n">
        <v>0.4519862036367683</v>
      </c>
      <c r="AH48" s="39" t="inlineStr">
        <is>
          <t>eye masks for sleep</t>
        </is>
      </c>
      <c r="AI48" s="116" t="n">
        <v>0.9813643441027637</v>
      </c>
      <c r="AJ48" s="116" t="n"/>
      <c r="AK48" s="116" t="n"/>
      <c r="AL48" s="116" t="n">
        <v>0.1368097647778457</v>
      </c>
      <c r="AM48" s="108" t="n">
        <v>42</v>
      </c>
      <c r="AN48" s="108" t="n">
        <v>5</v>
      </c>
      <c r="AO48" s="108" t="n">
        <v>33</v>
      </c>
      <c r="AP48" s="108" t="n">
        <v>613</v>
      </c>
      <c r="AQ48" s="108" t="n">
        <v>269</v>
      </c>
      <c r="AR48" s="108" t="n">
        <v>0</v>
      </c>
      <c r="AS48" s="117" t="n"/>
      <c r="AT48" s="112" t="n"/>
      <c r="AU48" s="118" t="inlineStr">
        <is>
          <t>N</t>
        </is>
      </c>
      <c r="AV48" s="118" t="inlineStr">
        <is>
          <t>none</t>
        </is>
      </c>
      <c r="AW48" s="124" t="n"/>
      <c r="AX48" s="119" t="n">
        <v>79</v>
      </c>
      <c r="AY48" s="118" t="inlineStr">
        <is>
          <t>none</t>
        </is>
      </c>
      <c r="AZ48" s="118" t="inlineStr">
        <is>
          <t>Y</t>
        </is>
      </c>
      <c r="BA48" s="118" t="inlineStr">
        <is>
          <t>2026-10-13 23:45:23</t>
        </is>
      </c>
      <c r="BB48" s="120" t="inlineStr">
        <is>
          <t>None</t>
        </is>
      </c>
      <c r="BC48" s="125" t="n"/>
      <c r="BD48" s="121" t="n">
        <v>79</v>
      </c>
      <c r="BE48" s="121" t="n">
        <v>79</v>
      </c>
      <c r="BF48" s="110">
        <f>IF(AND(ISNUMBER(BD48),ISNUMBER(BE48),N(BD48)&gt;0),1-BE48/BD48,"")</f>
        <v/>
      </c>
      <c r="BG48" s="122" t="n">
        <v>12613</v>
      </c>
      <c r="BH48" s="122" t="n">
        <v>6362</v>
      </c>
      <c r="BI48" s="123">
        <f>IF(AND(ISNUMBER(BG48),ISNUMBER(BH48),N(BH48)&gt;0),BG48/BH48,"")</f>
        <v/>
      </c>
      <c r="BJ48" s="120" t="inlineStr">
        <is>
          <t>N</t>
        </is>
      </c>
      <c r="BK48" s="120" t="inlineStr">
        <is>
          <t>List Price $79.00</t>
        </is>
      </c>
    </row>
    <row r="49" ht="62" customHeight="1">
      <c r="A49" s="12">
        <f>_xlfn.IMAGE("https://m.media-amazon.com/images/I/51pE5E97utL._AC_SL1000_.jpg")</f>
        <v/>
      </c>
      <c r="B49" s="105" t="inlineStr">
        <is>
          <t>OLESILK</t>
        </is>
      </c>
      <c r="C49" s="39" t="inlineStr">
        <is>
          <t>SS Silk Sleep Mask</t>
        </is>
      </c>
      <c r="D49" s="105" t="inlineStr">
        <is>
          <t>Aspirational</t>
        </is>
      </c>
      <c r="E49" s="134" t="inlineStr">
        <is>
          <t>Not classified</t>
        </is>
      </c>
      <c r="F49" s="105" t="n"/>
      <c r="G49" s="39" t="inlineStr">
        <is>
          <t>Not a sheet, pillowcase or comforter product; competitors are compared on price and sales only.</t>
        </is>
      </c>
      <c r="H49" s="107" t="inlineStr">
        <is>
          <t>B07C7VH6CQ</t>
        </is>
      </c>
      <c r="I49" s="107" t="inlineStr">
        <is>
          <t>B07C7Y8QSW</t>
        </is>
      </c>
      <c r="J49" s="105" t="n"/>
      <c r="K49" s="105" t="n"/>
      <c r="L49" s="108" t="n">
        <v>13</v>
      </c>
      <c r="M49" s="39" t="inlineStr">
        <is>
          <t>B07C7Y8QSW (63%), B07RL1L8D4 (18%)</t>
        </is>
      </c>
      <c r="N49" s="109" t="n">
        <v>15.99</v>
      </c>
      <c r="O49" s="109" t="n"/>
      <c r="P49" s="110">
        <f>IF(AND(ISNUMBER(O49),ISNUMBER(N49),N(N49)&gt;0),O49/N49-1,"")</f>
        <v/>
      </c>
      <c r="Q49" s="111">
        <f>IF(P49="","No List Price",IF(P49&lt;=0,"At/below price",IF(P49&lt;=0.12,"&lt;=12% STR zone",IF(P49&lt;=0.25,"12-25%","&gt;25% over"))))</f>
        <v/>
      </c>
      <c r="R49" s="109" t="n">
        <v>20.41153846153846</v>
      </c>
      <c r="S49" s="112">
        <f>IF(AND(ISNUMBER(N49),ISNUMBER(R49),N(R49)&gt;0),N49/R49-1,"")</f>
        <v/>
      </c>
      <c r="T49" s="39" t="inlineStr">
        <is>
          <t>vs our blended price (market data, Mar 2026 - STALE)</t>
        </is>
      </c>
      <c r="U49" s="108" t="n">
        <v>17930</v>
      </c>
      <c r="V49" s="108" t="n">
        <v>185</v>
      </c>
      <c r="W49" s="113">
        <f>IF(AND(ISNUMBER(N49),ISNUMBER(V49)),N49*V49*52/12,"")</f>
        <v/>
      </c>
      <c r="X49" s="114" t="n">
        <v>4.4</v>
      </c>
      <c r="Y49" s="108" t="n">
        <v>2501</v>
      </c>
      <c r="Z49" s="115" t="n">
        <v>46307</v>
      </c>
      <c r="AA49" s="115" t="n"/>
      <c r="AB49" s="105" t="n"/>
      <c r="AC49" s="105" t="n"/>
      <c r="AD49" s="108" t="n">
        <v>123074</v>
      </c>
      <c r="AE49" s="108" t="n">
        <v>563</v>
      </c>
      <c r="AF49" s="116" t="n">
        <v>0.3315021734891204</v>
      </c>
      <c r="AG49" s="116" t="n">
        <v>0.6685029843833791</v>
      </c>
      <c r="AH49" s="39" t="inlineStr">
        <is>
          <t>eye masks for sleep</t>
        </is>
      </c>
      <c r="AI49" s="116" t="n">
        <v>0.9726749760306808</v>
      </c>
      <c r="AJ49" s="116" t="n"/>
      <c r="AK49" s="116" t="n"/>
      <c r="AL49" s="116" t="n"/>
      <c r="AM49" s="108" t="n">
        <v>45</v>
      </c>
      <c r="AN49" s="108" t="n">
        <v>5</v>
      </c>
      <c r="AO49" s="108" t="n">
        <v>37</v>
      </c>
      <c r="AP49" s="108" t="n">
        <v>518</v>
      </c>
      <c r="AQ49" s="108" t="n">
        <v>173</v>
      </c>
      <c r="AR49" s="108" t="n">
        <v>0</v>
      </c>
      <c r="AS49" s="117" t="n">
        <v>1.050397877984085</v>
      </c>
      <c r="AT49" s="112" t="n">
        <v>0.08739076154806491</v>
      </c>
      <c r="AU49" s="118" t="inlineStr">
        <is>
          <t>N</t>
        </is>
      </c>
      <c r="AV49" s="118" t="inlineStr">
        <is>
          <t>none</t>
        </is>
      </c>
      <c r="AW49" s="124" t="n"/>
      <c r="AX49" s="119" t="n">
        <v>15.99</v>
      </c>
      <c r="AY49" s="118" t="inlineStr">
        <is>
          <t>none</t>
        </is>
      </c>
      <c r="AZ49" s="118" t="inlineStr">
        <is>
          <t>Y</t>
        </is>
      </c>
      <c r="BA49" s="118" t="inlineStr">
        <is>
          <t>2026-10-13 23:46:26</t>
        </is>
      </c>
      <c r="BB49" s="120" t="inlineStr">
        <is>
          <t>Prime Exclusive Discount</t>
        </is>
      </c>
      <c r="BC49" s="120" t="inlineStr">
        <is>
          <t>11-20 to 12-01</t>
        </is>
      </c>
      <c r="BD49" s="121" t="n">
        <v>13.99</v>
      </c>
      <c r="BE49" s="121" t="n">
        <v>11.19</v>
      </c>
      <c r="BF49" s="110">
        <f>IF(AND(ISNUMBER(BD49),ISNUMBER(BE49),N(BD49)&gt;0),1-BE49/BD49,"")</f>
        <v/>
      </c>
      <c r="BG49" s="122" t="n">
        <v>21450</v>
      </c>
      <c r="BH49" s="122" t="n">
        <v>22642</v>
      </c>
      <c r="BI49" s="123">
        <f>IF(AND(ISNUMBER(BG49),ISNUMBER(BH49),N(BH49)&gt;0),BG49/BH49,"")</f>
        <v/>
      </c>
      <c r="BJ49" s="120" t="inlineStr">
        <is>
          <t>N</t>
        </is>
      </c>
      <c r="BK49" s="120" t="inlineStr">
        <is>
          <t>List Price $19.99</t>
        </is>
      </c>
    </row>
    <row r="50" ht="62" customHeight="1">
      <c r="A50" s="12">
        <f>_xlfn.IMAGE("https://m.media-amazon.com/images/I/71te+FofMtL._AC_SL1500_.jpg")</f>
        <v/>
      </c>
      <c r="B50" s="105" t="inlineStr">
        <is>
          <t>BLISSY</t>
        </is>
      </c>
      <c r="C50" s="39" t="inlineStr">
        <is>
          <t>SS Silk Sleep Mask</t>
        </is>
      </c>
      <c r="D50" s="105" t="inlineStr">
        <is>
          <t>Beatable</t>
        </is>
      </c>
      <c r="E50" s="134" t="inlineStr">
        <is>
          <t>Not classified</t>
        </is>
      </c>
      <c r="F50" s="105" t="n"/>
      <c r="G50" s="39" t="inlineStr">
        <is>
          <t>Not a sheet, pillowcase or comforter product; competitors are compared on price and sales only.</t>
        </is>
      </c>
      <c r="H50" s="107" t="inlineStr">
        <is>
          <t>B0CWRWR64G</t>
        </is>
      </c>
      <c r="I50" s="107" t="inlineStr">
        <is>
          <t>B0BFDGC7CC</t>
        </is>
      </c>
      <c r="J50" s="105" t="n"/>
      <c r="K50" s="105" t="n"/>
      <c r="L50" s="108" t="n">
        <v>19</v>
      </c>
      <c r="M50" s="39" t="inlineStr">
        <is>
          <t>B0BFDGC7CC (80%), B0DFTHSYLY (7%)</t>
        </is>
      </c>
      <c r="N50" s="109" t="n">
        <v>27.87</v>
      </c>
      <c r="O50" s="109" t="n">
        <v>49.95</v>
      </c>
      <c r="P50" s="110">
        <f>IF(AND(ISNUMBER(O50),ISNUMBER(N50),N(N50)&gt;0),O50/N50-1,"")</f>
        <v/>
      </c>
      <c r="Q50" s="111">
        <f>IF(P50="","No List Price",IF(P50&lt;=0,"At/below price",IF(P50&lt;=0.12,"&lt;=12% STR zone",IF(P50&lt;=0.25,"12-25%","&gt;25% over"))))</f>
        <v/>
      </c>
      <c r="R50" s="109" t="n">
        <v>20.41153846153846</v>
      </c>
      <c r="S50" s="112">
        <f>IF(AND(ISNUMBER(N50),ISNUMBER(R50),N(R50)&gt;0),N50/R50-1,"")</f>
        <v/>
      </c>
      <c r="T50" s="39" t="inlineStr">
        <is>
          <t>vs our blended price (market data, Mar 2026 - STALE)</t>
        </is>
      </c>
      <c r="U50" s="108" t="n">
        <v>9693</v>
      </c>
      <c r="V50" s="108" t="n">
        <v>347</v>
      </c>
      <c r="W50" s="113">
        <f>IF(AND(ISNUMBER(N50),ISNUMBER(V50)),N50*V50*52/12,"")</f>
        <v/>
      </c>
      <c r="X50" s="114" t="n">
        <v>4.4</v>
      </c>
      <c r="Y50" s="108" t="n">
        <v>1225</v>
      </c>
      <c r="Z50" s="115" t="n">
        <v>46307</v>
      </c>
      <c r="AA50" s="115" t="n"/>
      <c r="AB50" s="105" t="n"/>
      <c r="AC50" s="105" t="n"/>
      <c r="AD50" s="108" t="n">
        <v>150410</v>
      </c>
      <c r="AE50" s="108" t="n">
        <v>638</v>
      </c>
      <c r="AF50" s="116" t="n">
        <v>0.7120334106774815</v>
      </c>
      <c r="AG50" s="116" t="n">
        <v>0.2879665893225186</v>
      </c>
      <c r="AH50" s="39" t="inlineStr">
        <is>
          <t>eye mask</t>
        </is>
      </c>
      <c r="AI50" s="116" t="n">
        <v>0.8523834851406157</v>
      </c>
      <c r="AJ50" s="116" t="n"/>
      <c r="AK50" s="116" t="n"/>
      <c r="AL50" s="116" t="n">
        <v>0.09252044411940695</v>
      </c>
      <c r="AM50" s="108" t="n">
        <v>50</v>
      </c>
      <c r="AN50" s="108" t="n">
        <v>10</v>
      </c>
      <c r="AO50" s="108" t="n">
        <v>36</v>
      </c>
      <c r="AP50" s="108" t="n">
        <v>588</v>
      </c>
      <c r="AQ50" s="108" t="n">
        <v>227</v>
      </c>
      <c r="AR50" s="108" t="n">
        <v>0</v>
      </c>
      <c r="AS50" s="117" t="n">
        <v>0.8843343432543218</v>
      </c>
      <c r="AT50" s="112" t="n">
        <v>-0.3999127780200611</v>
      </c>
      <c r="AU50" s="118" t="inlineStr">
        <is>
          <t>Y</t>
        </is>
      </c>
      <c r="AV50" s="118" t="inlineStr">
        <is>
          <t>List Price</t>
        </is>
      </c>
      <c r="AW50" s="119" t="n">
        <v>49.95</v>
      </c>
      <c r="AX50" s="119" t="n">
        <v>27.87</v>
      </c>
      <c r="AY50" s="118" t="inlineStr">
        <is>
          <t>none</t>
        </is>
      </c>
      <c r="AZ50" s="118" t="inlineStr">
        <is>
          <t>Y</t>
        </is>
      </c>
      <c r="BA50" s="118" t="inlineStr">
        <is>
          <t>2026-10-13 23:44:58</t>
        </is>
      </c>
      <c r="BB50" s="120" t="inlineStr">
        <is>
          <t>Price cut only</t>
        </is>
      </c>
      <c r="BC50" s="120" t="inlineStr">
        <is>
          <t>11-20 to 11-22</t>
        </is>
      </c>
      <c r="BD50" s="121" t="n">
        <v>27.87</v>
      </c>
      <c r="BE50" s="121" t="n">
        <v>22.84</v>
      </c>
      <c r="BF50" s="110">
        <f>IF(AND(ISNUMBER(BD50),ISNUMBER(BE50),N(BD50)&gt;0),1-BE50/BD50,"")</f>
        <v/>
      </c>
      <c r="BG50" s="122" t="n">
        <v>8503</v>
      </c>
      <c r="BH50" s="122" t="n">
        <v>5966</v>
      </c>
      <c r="BI50" s="123">
        <f>IF(AND(ISNUMBER(BG50),ISNUMBER(BH50),N(BH50)&gt;0),BG50/BH50,"")</f>
        <v/>
      </c>
      <c r="BJ50" s="120" t="inlineStr">
        <is>
          <t>N</t>
        </is>
      </c>
      <c r="BK50" s="120" t="inlineStr">
        <is>
          <t>List Price $49.95</t>
        </is>
      </c>
    </row>
    <row r="51" ht="62" customHeight="1">
      <c r="A51" s="12">
        <f>_xlfn.IMAGE("https://images-na.ssl-images-amazon.com/images/I/61GwSG1wveL.jpg")</f>
        <v/>
      </c>
      <c r="B51" s="105" t="inlineStr">
        <is>
          <t>SECZIPE</t>
        </is>
      </c>
      <c r="C51" s="39" t="inlineStr">
        <is>
          <t>SECZIPE 100% Mulberry Silk Sleep Mask Eye Mask for Women Man with Adjustable Band, for Side Sleeper Blackout Sleep Mask for Travel Rest and Office Large Size (Taupe)</t>
        </is>
      </c>
      <c r="D51" s="105" t="inlineStr">
        <is>
          <t>Beatable</t>
        </is>
      </c>
      <c r="E51" s="134" t="inlineStr">
        <is>
          <t>Not classified</t>
        </is>
      </c>
      <c r="F51" s="105" t="n"/>
      <c r="G51" s="39" t="inlineStr">
        <is>
          <t>Not a sheet, pillowcase or comforter product; competitors are compared on price and sales only.</t>
        </is>
      </c>
      <c r="H51" s="107" t="inlineStr">
        <is>
          <t>B0C6DZRBWV</t>
        </is>
      </c>
      <c r="I51" s="107" t="inlineStr">
        <is>
          <t>B0C6DYG511</t>
        </is>
      </c>
      <c r="J51" s="105" t="n"/>
      <c r="K51" s="105" t="inlineStr">
        <is>
          <t>Taupe</t>
        </is>
      </c>
      <c r="L51" s="108" t="n">
        <v>5</v>
      </c>
      <c r="M51" s="39" t="inlineStr">
        <is>
          <t>B0C6DYG511 (87%)</t>
        </is>
      </c>
      <c r="N51" s="109" t="n">
        <v>22.99</v>
      </c>
      <c r="O51" s="109" t="n"/>
      <c r="P51" s="110">
        <f>IF(AND(ISNUMBER(O51),ISNUMBER(N51),N(N51)&gt;0),O51/N51-1,"")</f>
        <v/>
      </c>
      <c r="Q51" s="111">
        <f>IF(P51="","No List Price",IF(P51&lt;=0,"At/below price",IF(P51&lt;=0.12,"&lt;=12% STR zone",IF(P51&lt;=0.25,"12-25%","&gt;25% over"))))</f>
        <v/>
      </c>
      <c r="R51" s="109" t="n">
        <v>20.41153846153846</v>
      </c>
      <c r="S51" s="112">
        <f>IF(AND(ISNUMBER(N51),ISNUMBER(R51),N(R51)&gt;0),N51/R51-1,"")</f>
        <v/>
      </c>
      <c r="T51" s="39" t="inlineStr">
        <is>
          <t>vs our blended price (market data, Mar 2026 - STALE)</t>
        </is>
      </c>
      <c r="U51" s="108" t="n">
        <v>18076</v>
      </c>
      <c r="V51" s="108" t="n">
        <v>220</v>
      </c>
      <c r="W51" s="113">
        <f>IF(AND(ISNUMBER(N51),ISNUMBER(V51)),N51*V51*52/12,"")</f>
        <v/>
      </c>
      <c r="X51" s="114" t="n">
        <v>4.5</v>
      </c>
      <c r="Y51" s="108" t="n">
        <v>867</v>
      </c>
      <c r="Z51" s="115" t="n">
        <v>46307</v>
      </c>
      <c r="AA51" s="115" t="n">
        <v>45169</v>
      </c>
      <c r="AB51" s="105" t="inlineStr">
        <is>
          <t>FBA</t>
        </is>
      </c>
      <c r="AC51" s="105" t="inlineStr">
        <is>
          <t>CN</t>
        </is>
      </c>
      <c r="AD51" s="108" t="n">
        <v>190502</v>
      </c>
      <c r="AE51" s="108" t="n">
        <v>1005</v>
      </c>
      <c r="AF51" s="116" t="n">
        <v>0.3638504939580689</v>
      </c>
      <c r="AG51" s="116" t="n">
        <v>0.6361497076146179</v>
      </c>
      <c r="AH51" s="39" t="inlineStr">
        <is>
          <t>sleep mask</t>
        </is>
      </c>
      <c r="AI51" s="116" t="n">
        <v>0.9771865912168901</v>
      </c>
      <c r="AJ51" s="116" t="n">
        <v>0.1361350537002236</v>
      </c>
      <c r="AK51" s="116" t="n"/>
      <c r="AL51" s="116" t="n">
        <v>0.005595741776989218</v>
      </c>
      <c r="AM51" s="108" t="n">
        <v>50</v>
      </c>
      <c r="AN51" s="108" t="n">
        <v>8</v>
      </c>
      <c r="AO51" s="108" t="n">
        <v>39</v>
      </c>
      <c r="AP51" s="108" t="n">
        <v>955</v>
      </c>
      <c r="AQ51" s="108" t="n">
        <v>417</v>
      </c>
      <c r="AR51" s="108" t="n">
        <v>0</v>
      </c>
      <c r="AS51" s="117" t="n">
        <v>0.9280217292892712</v>
      </c>
      <c r="AT51" s="112" t="n">
        <v>0.2546646495209279</v>
      </c>
      <c r="AU51" s="118" t="inlineStr">
        <is>
          <t>N</t>
        </is>
      </c>
      <c r="AV51" s="118" t="inlineStr">
        <is>
          <t>none</t>
        </is>
      </c>
      <c r="AW51" s="124" t="n"/>
      <c r="AX51" s="119" t="n">
        <v>22.99</v>
      </c>
      <c r="AY51" s="118" t="inlineStr">
        <is>
          <t>none</t>
        </is>
      </c>
      <c r="AZ51" s="118" t="inlineStr">
        <is>
          <t>Y</t>
        </is>
      </c>
      <c r="BA51" s="118" t="inlineStr">
        <is>
          <t>2026-10-13 23:46:42</t>
        </is>
      </c>
      <c r="BB51" s="120" t="inlineStr">
        <is>
          <t>Prime Exclusive Discount</t>
        </is>
      </c>
      <c r="BC51" s="120" t="inlineStr">
        <is>
          <t>11-22 to 12-01</t>
        </is>
      </c>
      <c r="BD51" s="121" t="n">
        <v>22.99</v>
      </c>
      <c r="BE51" s="121" t="n">
        <v>17.99</v>
      </c>
      <c r="BF51" s="110">
        <f>IF(AND(ISNUMBER(BD51),ISNUMBER(BE51),N(BD51)&gt;0),1-BE51/BD51,"")</f>
        <v/>
      </c>
      <c r="BG51" s="122" t="n">
        <v>20936</v>
      </c>
      <c r="BH51" s="122" t="n">
        <v>18794</v>
      </c>
      <c r="BI51" s="123">
        <f>IF(AND(ISNUMBER(BG51),ISNUMBER(BH51),N(BH51)&gt;0),BG51/BH51,"")</f>
        <v/>
      </c>
      <c r="BJ51" s="120" t="inlineStr">
        <is>
          <t>N</t>
        </is>
      </c>
      <c r="BK51" s="120" t="inlineStr">
        <is>
          <t>Coupon 3.00 USD (11-07 to 12-05); List Price $29.99</t>
        </is>
      </c>
    </row>
    <row r="52" ht="62" customHeight="1">
      <c r="A52" s="12">
        <f>_xlfn.IMAGE("https://m.media-amazon.com/images/I/71JqI9gpywL._AC_SL1500_.jpg")</f>
        <v/>
      </c>
      <c r="B52" s="105" t="inlineStr">
        <is>
          <t>Umisleep Store</t>
        </is>
      </c>
      <c r="C52" s="39" t="inlineStr">
        <is>
          <t>SS Silk Sleep Mask</t>
        </is>
      </c>
      <c r="D52" s="105" t="inlineStr">
        <is>
          <t>Beatable</t>
        </is>
      </c>
      <c r="E52" s="134" t="inlineStr">
        <is>
          <t>Not classified</t>
        </is>
      </c>
      <c r="F52" s="105" t="n"/>
      <c r="G52" s="39" t="inlineStr">
        <is>
          <t>Not a sheet, pillowcase or comforter product; competitors are compared on price and sales only.</t>
        </is>
      </c>
      <c r="H52" s="107" t="inlineStr">
        <is>
          <t>B0FBWPMZHX</t>
        </is>
      </c>
      <c r="I52" s="107" t="inlineStr">
        <is>
          <t>B0F7R9NPSW</t>
        </is>
      </c>
      <c r="J52" s="105" t="n"/>
      <c r="K52" s="105" t="n"/>
      <c r="L52" s="108" t="n">
        <v>3</v>
      </c>
      <c r="M52" s="39" t="inlineStr">
        <is>
          <t>B0F7R9NPSW (84%)</t>
        </is>
      </c>
      <c r="N52" s="109" t="n">
        <v>17.99</v>
      </c>
      <c r="O52" s="109" t="n">
        <v>18.99</v>
      </c>
      <c r="P52" s="110">
        <f>IF(AND(ISNUMBER(O52),ISNUMBER(N52),N(N52)&gt;0),O52/N52-1,"")</f>
        <v/>
      </c>
      <c r="Q52" s="111">
        <f>IF(P52="","No List Price",IF(P52&lt;=0,"At/below price",IF(P52&lt;=0.12,"&lt;=12% STR zone",IF(P52&lt;=0.25,"12-25%","&gt;25% over"))))</f>
        <v/>
      </c>
      <c r="R52" s="109" t="n">
        <v>20.41153846153846</v>
      </c>
      <c r="S52" s="112">
        <f>IF(AND(ISNUMBER(N52),ISNUMBER(R52),N(R52)&gt;0),N52/R52-1,"")</f>
        <v/>
      </c>
      <c r="T52" s="39" t="inlineStr">
        <is>
          <t>vs our blended price (market data, Mar 2026 - STALE)</t>
        </is>
      </c>
      <c r="U52" s="108" t="n">
        <v>31138</v>
      </c>
      <c r="V52" s="108" t="n">
        <v>173</v>
      </c>
      <c r="W52" s="113">
        <f>IF(AND(ISNUMBER(N52),ISNUMBER(V52)),N52*V52*52/12,"")</f>
        <v/>
      </c>
      <c r="X52" s="114" t="n">
        <v>4.5</v>
      </c>
      <c r="Y52" s="108" t="n">
        <v>402</v>
      </c>
      <c r="Z52" s="115" t="n">
        <v>46307</v>
      </c>
      <c r="AA52" s="115" t="n"/>
      <c r="AB52" s="105" t="n"/>
      <c r="AC52" s="105" t="n"/>
      <c r="AD52" s="108" t="n">
        <v>66655</v>
      </c>
      <c r="AE52" s="108" t="n">
        <v>578</v>
      </c>
      <c r="AF52" s="116" t="n">
        <v>0.5586979461405747</v>
      </c>
      <c r="AG52" s="116" t="n">
        <v>0.4413021498762283</v>
      </c>
      <c r="AH52" s="39" t="inlineStr">
        <is>
          <t>sleep mask</t>
        </is>
      </c>
      <c r="AI52" s="116" t="n">
        <v>0.863221063686145</v>
      </c>
      <c r="AJ52" s="116" t="n">
        <v>0.6191433500862651</v>
      </c>
      <c r="AK52" s="116" t="n"/>
      <c r="AL52" s="116" t="n"/>
      <c r="AM52" s="108" t="n">
        <v>47</v>
      </c>
      <c r="AN52" s="108" t="n">
        <v>7</v>
      </c>
      <c r="AO52" s="108" t="n">
        <v>37</v>
      </c>
      <c r="AP52" s="108" t="n">
        <v>531</v>
      </c>
      <c r="AQ52" s="108" t="n">
        <v>178</v>
      </c>
      <c r="AR52" s="108" t="n">
        <v>0</v>
      </c>
      <c r="AS52" s="117" t="n">
        <v>0.9713988559542381</v>
      </c>
      <c r="AT52" s="112" t="n">
        <v>-0.1567164179104477</v>
      </c>
      <c r="AU52" s="118" t="inlineStr">
        <is>
          <t>Y</t>
        </is>
      </c>
      <c r="AV52" s="118" t="inlineStr">
        <is>
          <t>List Price</t>
        </is>
      </c>
      <c r="AW52" s="119" t="n">
        <v>18.99</v>
      </c>
      <c r="AX52" s="119" t="n">
        <v>17.99</v>
      </c>
      <c r="AY52" s="118" t="inlineStr">
        <is>
          <t>none</t>
        </is>
      </c>
      <c r="AZ52" s="118" t="inlineStr">
        <is>
          <t>Y</t>
        </is>
      </c>
      <c r="BA52" s="118" t="inlineStr">
        <is>
          <t>2026-10-13 23:47:03</t>
        </is>
      </c>
      <c r="BB52" s="120" t="inlineStr">
        <is>
          <t>Prime Exclusive Discount</t>
        </is>
      </c>
      <c r="BC52" s="120" t="inlineStr">
        <is>
          <t>11-20 to 12-01</t>
        </is>
      </c>
      <c r="BD52" s="121" t="n">
        <v>14.99</v>
      </c>
      <c r="BE52" s="121" t="n">
        <v>9.99</v>
      </c>
      <c r="BF52" s="110">
        <f>IF(AND(ISNUMBER(BD52),ISNUMBER(BE52),N(BD52)&gt;0),1-BE52/BD52,"")</f>
        <v/>
      </c>
      <c r="BG52" s="122" t="n">
        <v>20817</v>
      </c>
      <c r="BH52" s="122" t="n">
        <v>21121</v>
      </c>
      <c r="BI52" s="123">
        <f>IF(AND(ISNUMBER(BG52),ISNUMBER(BH52),N(BH52)&gt;0),BG52/BH52,"")</f>
        <v/>
      </c>
      <c r="BJ52" s="120" t="inlineStr">
        <is>
          <t>N</t>
        </is>
      </c>
      <c r="BK52" s="120" t="inlineStr">
        <is>
          <t>Coupon 10% (12-03 to 12-05); Buy Box RAISED in BFCM week (median $19.99 vs $14.99 before); List Price $19.99</t>
        </is>
      </c>
    </row>
    <row r="53" ht="62" customHeight="1">
      <c r="A53" s="12">
        <f>_xlfn.IMAGE("https://images-na.ssl-images-amazon.com/images/I/71VepaC3F7L.jpg")</f>
        <v/>
      </c>
      <c r="B53" s="105" t="inlineStr">
        <is>
          <t>ATreebay</t>
        </is>
      </c>
      <c r="C53" s="39" t="inlineStr">
        <is>
          <t>SS Silk Sleep Mask</t>
        </is>
      </c>
      <c r="D53" s="105" t="inlineStr">
        <is>
          <t>Beatable</t>
        </is>
      </c>
      <c r="E53" s="134" t="inlineStr">
        <is>
          <t>Not classified</t>
        </is>
      </c>
      <c r="F53" s="105" t="n"/>
      <c r="G53" s="39" t="inlineStr">
        <is>
          <t>Not a sheet, pillowcase or comforter product; competitors are compared on price and sales only.</t>
        </is>
      </c>
      <c r="H53" s="107" t="inlineStr">
        <is>
          <t>B0DFGZZ7F1</t>
        </is>
      </c>
      <c r="I53" s="107" t="inlineStr">
        <is>
          <t>B0DFGZPP7K</t>
        </is>
      </c>
      <c r="J53" s="105" t="n"/>
      <c r="K53" s="105" t="n"/>
      <c r="L53" s="108" t="n">
        <v>5</v>
      </c>
      <c r="M53" s="39" t="inlineStr">
        <is>
          <t>B0DFGZ1MXL (62%), B0DFGZPP7K (38%)</t>
        </is>
      </c>
      <c r="N53" s="109" t="n">
        <v>22.99</v>
      </c>
      <c r="O53" s="109" t="n"/>
      <c r="P53" s="110">
        <f>IF(AND(ISNUMBER(O53),ISNUMBER(N53),N(N53)&gt;0),O53/N53-1,"")</f>
        <v/>
      </c>
      <c r="Q53" s="111">
        <f>IF(P53="","No List Price",IF(P53&lt;=0,"At/below price",IF(P53&lt;=0.12,"&lt;=12% STR zone",IF(P53&lt;=0.25,"12-25%","&gt;25% over"))))</f>
        <v/>
      </c>
      <c r="R53" s="109" t="n">
        <v>20.41153846153846</v>
      </c>
      <c r="S53" s="112">
        <f>IF(AND(ISNUMBER(N53),ISNUMBER(R53),N(R53)&gt;0),N53/R53-1,"")</f>
        <v/>
      </c>
      <c r="T53" s="39" t="inlineStr">
        <is>
          <t>vs our blended price (market data, Mar 2026 - STALE)</t>
        </is>
      </c>
      <c r="U53" s="108" t="n">
        <v>30513</v>
      </c>
      <c r="V53" s="108" t="n">
        <v>92</v>
      </c>
      <c r="W53" s="113">
        <f>IF(AND(ISNUMBER(N53),ISNUMBER(V53)),N53*V53*52/12,"")</f>
        <v/>
      </c>
      <c r="X53" s="114" t="n">
        <v>4.5</v>
      </c>
      <c r="Y53" s="108" t="n">
        <v>345</v>
      </c>
      <c r="Z53" s="115" t="n">
        <v>46307</v>
      </c>
      <c r="AA53" s="115" t="n"/>
      <c r="AB53" s="105" t="n"/>
      <c r="AC53" s="105" t="n"/>
      <c r="AD53" s="108" t="n">
        <v>81189</v>
      </c>
      <c r="AE53" s="108" t="n">
        <v>467</v>
      </c>
      <c r="AF53" s="116" t="n">
        <v>0.6977105777876312</v>
      </c>
      <c r="AG53" s="116" t="n">
        <v>0.3022894222123687</v>
      </c>
      <c r="AH53" s="39" t="inlineStr">
        <is>
          <t>sleep mask</t>
        </is>
      </c>
      <c r="AI53" s="116" t="n">
        <v>0.8474423875155501</v>
      </c>
      <c r="AJ53" s="116" t="n"/>
      <c r="AK53" s="116" t="n">
        <v>0.1174543349468524</v>
      </c>
      <c r="AL53" s="116" t="n"/>
      <c r="AM53" s="108" t="n">
        <v>46</v>
      </c>
      <c r="AN53" s="108" t="n">
        <v>8</v>
      </c>
      <c r="AO53" s="108" t="n">
        <v>34</v>
      </c>
      <c r="AP53" s="108" t="n">
        <v>421</v>
      </c>
      <c r="AQ53" s="108" t="n">
        <v>38</v>
      </c>
      <c r="AR53" s="108" t="n">
        <v>0</v>
      </c>
      <c r="AS53" s="117" t="n">
        <v>2.084468664850136</v>
      </c>
      <c r="AT53" s="112" t="n">
        <v>0.4383333333333332</v>
      </c>
      <c r="AU53" s="118" t="inlineStr">
        <is>
          <t>N</t>
        </is>
      </c>
      <c r="AV53" s="118" t="inlineStr">
        <is>
          <t>none</t>
        </is>
      </c>
      <c r="AW53" s="124" t="n"/>
      <c r="AX53" s="119" t="n">
        <v>22.99</v>
      </c>
      <c r="AY53" s="118" t="inlineStr">
        <is>
          <t>none</t>
        </is>
      </c>
      <c r="AZ53" s="118" t="inlineStr">
        <is>
          <t>Y</t>
        </is>
      </c>
      <c r="BA53" s="118" t="inlineStr">
        <is>
          <t>2026-10-13 23:44:49</t>
        </is>
      </c>
      <c r="BB53" s="120" t="inlineStr">
        <is>
          <t>Prime Exclusive Discount</t>
        </is>
      </c>
      <c r="BC53" s="120" t="inlineStr">
        <is>
          <t>11-26 to 12-01</t>
        </is>
      </c>
      <c r="BD53" s="121" t="n">
        <v>19.99</v>
      </c>
      <c r="BE53" s="121" t="n">
        <v>15.99</v>
      </c>
      <c r="BF53" s="110">
        <f>IF(AND(ISNUMBER(BD53),ISNUMBER(BE53),N(BD53)&gt;0),1-BE53/BD53,"")</f>
        <v/>
      </c>
      <c r="BG53" s="122" t="n">
        <v>27949</v>
      </c>
      <c r="BH53" s="122" t="n">
        <v>18429</v>
      </c>
      <c r="BI53" s="123">
        <f>IF(AND(ISNUMBER(BG53),ISNUMBER(BH53),N(BH53)&gt;0),BG53/BH53,"")</f>
        <v/>
      </c>
      <c r="BJ53" s="120" t="inlineStr">
        <is>
          <t>N</t>
        </is>
      </c>
      <c r="BK53" s="120" t="inlineStr">
        <is>
          <t>Coupon 2.00 USD (11-02 to 11-16); List Price $22.99</t>
        </is>
      </c>
    </row>
    <row r="54" ht="62" customHeight="1">
      <c r="A54" s="45" t="inlineStr">
        <is>
          <t>COMING SOON</t>
        </is>
      </c>
      <c r="B54" s="105" t="inlineStr">
        <is>
          <t>YFONG</t>
        </is>
      </c>
      <c r="C54" s="39" t="inlineStr">
        <is>
          <t>SS Silk Sleep Mask</t>
        </is>
      </c>
      <c r="D54" s="105" t="inlineStr">
        <is>
          <t>Beatable</t>
        </is>
      </c>
      <c r="E54" s="134" t="inlineStr">
        <is>
          <t>Not classified</t>
        </is>
      </c>
      <c r="F54" s="105" t="n"/>
      <c r="G54" s="39" t="inlineStr">
        <is>
          <t>Not a sheet, pillowcase or comforter product; competitors are compared on price and sales only.</t>
        </is>
      </c>
      <c r="H54" s="107" t="inlineStr">
        <is>
          <t>B0D4Q3KB7S</t>
        </is>
      </c>
      <c r="I54" s="107" t="inlineStr">
        <is>
          <t>B0D4PKVNWB</t>
        </is>
      </c>
      <c r="J54" s="105" t="n"/>
      <c r="K54" s="105" t="n"/>
      <c r="L54" s="108" t="n"/>
      <c r="M54" s="39" t="inlineStr"/>
      <c r="N54" s="109" t="n">
        <v>14.99</v>
      </c>
      <c r="O54" s="109" t="n"/>
      <c r="P54" s="110">
        <f>IF(AND(ISNUMBER(O54),ISNUMBER(N54),N(N54)&gt;0),O54/N54-1,"")</f>
        <v/>
      </c>
      <c r="Q54" s="111">
        <f>IF(P54="","No List Price",IF(P54&lt;=0,"At/below price",IF(P54&lt;=0.12,"&lt;=12% STR zone",IF(P54&lt;=0.25,"12-25%","&gt;25% over"))))</f>
        <v/>
      </c>
      <c r="R54" s="109" t="n">
        <v>20.41153846153846</v>
      </c>
      <c r="S54" s="112">
        <f>IF(AND(ISNUMBER(N54),ISNUMBER(R54),N(R54)&gt;0),N54/R54-1,"")</f>
        <v/>
      </c>
      <c r="T54" s="39" t="inlineStr">
        <is>
          <t>vs our blended price (market data, Mar 2026 - STALE)</t>
        </is>
      </c>
      <c r="U54" s="108" t="n">
        <v>47070</v>
      </c>
      <c r="V54" s="108" t="n"/>
      <c r="W54" s="113">
        <f>IF(AND(ISNUMBER(N54),ISNUMBER(V54)),N54*V54*52/12,"")</f>
        <v/>
      </c>
      <c r="X54" s="114" t="n">
        <v>4.3</v>
      </c>
      <c r="Y54" s="108" t="n">
        <v>272</v>
      </c>
      <c r="Z54" s="115" t="n">
        <v>46307</v>
      </c>
      <c r="AA54" s="115" t="n"/>
      <c r="AB54" s="105" t="n"/>
      <c r="AC54" s="105" t="n"/>
      <c r="AD54" s="108" t="n"/>
      <c r="AE54" s="108" t="n"/>
      <c r="AF54" s="116" t="n"/>
      <c r="AG54" s="116" t="n"/>
      <c r="AH54" s="39" t="n"/>
      <c r="AI54" s="116" t="n"/>
      <c r="AJ54" s="116" t="n"/>
      <c r="AK54" s="116" t="n"/>
      <c r="AL54" s="116" t="n"/>
      <c r="AM54" s="108" t="n"/>
      <c r="AN54" s="108" t="n"/>
      <c r="AO54" s="108" t="n"/>
      <c r="AP54" s="108" t="n"/>
      <c r="AQ54" s="108" t="n"/>
      <c r="AR54" s="108" t="n"/>
      <c r="AS54" s="117" t="n">
        <v>1.057692307692308</v>
      </c>
      <c r="AT54" s="112" t="n">
        <v>-1</v>
      </c>
      <c r="AU54" s="118" t="inlineStr">
        <is>
          <t>unknown</t>
        </is>
      </c>
      <c r="AV54" s="125" t="n"/>
      <c r="AW54" s="124" t="n"/>
      <c r="AX54" s="124" t="n"/>
      <c r="AY54" s="125" t="n"/>
      <c r="AZ54" s="125" t="n"/>
      <c r="BA54" s="118" t="inlineStr">
        <is>
          <t>2026-10-13 23:47:13</t>
        </is>
      </c>
      <c r="BB54" s="120" t="inlineStr">
        <is>
          <t>Prime Exclusive Discount</t>
        </is>
      </c>
      <c r="BC54" s="120" t="inlineStr">
        <is>
          <t>11-20 to 12-01</t>
        </is>
      </c>
      <c r="BD54" s="121" t="n">
        <v>16.99</v>
      </c>
      <c r="BE54" s="121" t="n">
        <v>14.99</v>
      </c>
      <c r="BF54" s="110">
        <f>IF(AND(ISNUMBER(BD54),ISNUMBER(BE54),N(BD54)&gt;0),1-BE54/BD54,"")</f>
        <v/>
      </c>
      <c r="BG54" s="122" t="n">
        <v>62155</v>
      </c>
      <c r="BH54" s="122" t="n">
        <v>54710</v>
      </c>
      <c r="BI54" s="123">
        <f>IF(AND(ISNUMBER(BG54),ISNUMBER(BH54),N(BH54)&gt;0),BG54/BH54,"")</f>
        <v/>
      </c>
      <c r="BJ54" s="120" t="inlineStr">
        <is>
          <t>N</t>
        </is>
      </c>
      <c r="BK54" s="120" t="inlineStr">
        <is>
          <t>Buy Box RAISED in BFCM week (median $19.99 vs $16.99 before); List Price $19.99</t>
        </is>
      </c>
    </row>
    <row r="55" ht="62" customHeight="1">
      <c r="A55" s="12">
        <f>_xlfn.IMAGE("https://m.media-amazon.com/images/I/813M0YqSLzL._AC_SL1500_.jpg")</f>
        <v/>
      </c>
      <c r="B55" s="105" t="inlineStr">
        <is>
          <t>LitBear</t>
        </is>
      </c>
      <c r="C55" s="39" t="inlineStr">
        <is>
          <t>SS Silk Sleep Mask</t>
        </is>
      </c>
      <c r="D55" s="105" t="inlineStr">
        <is>
          <t>Untiered</t>
        </is>
      </c>
      <c r="E55" s="134" t="inlineStr">
        <is>
          <t>Not classified</t>
        </is>
      </c>
      <c r="F55" s="105" t="n"/>
      <c r="G55" s="39" t="inlineStr">
        <is>
          <t>Not a sheet, pillowcase or comforter product; competitors are compared on price and sales only.</t>
        </is>
      </c>
      <c r="H55" s="107" t="inlineStr">
        <is>
          <t>B09YQ2GFGB</t>
        </is>
      </c>
      <c r="I55" s="107" t="inlineStr">
        <is>
          <t>B09H7FZ5JM</t>
        </is>
      </c>
      <c r="J55" s="105" t="n"/>
      <c r="K55" s="105" t="n"/>
      <c r="L55" s="108" t="n"/>
      <c r="M55" s="39" t="inlineStr"/>
      <c r="N55" s="109" t="n">
        <v>12.95</v>
      </c>
      <c r="O55" s="109" t="n">
        <v>14.39</v>
      </c>
      <c r="P55" s="110">
        <f>IF(AND(ISNUMBER(O55),ISNUMBER(N55),N(N55)&gt;0),O55/N55-1,"")</f>
        <v/>
      </c>
      <c r="Q55" s="111">
        <f>IF(P55="","No List Price",IF(P55&lt;=0,"At/below price",IF(P55&lt;=0.12,"&lt;=12% STR zone",IF(P55&lt;=0.25,"12-25%","&gt;25% over"))))</f>
        <v/>
      </c>
      <c r="R55" s="109" t="n">
        <v>20.41153846153846</v>
      </c>
      <c r="S55" s="112">
        <f>IF(AND(ISNUMBER(N55),ISNUMBER(R55),N(R55)&gt;0),N55/R55-1,"")</f>
        <v/>
      </c>
      <c r="T55" s="39" t="inlineStr">
        <is>
          <t>vs our blended price (market data, Mar 2026 - STALE)</t>
        </is>
      </c>
      <c r="U55" s="108" t="n">
        <v>1574</v>
      </c>
      <c r="V55" s="108" t="n">
        <v>3464</v>
      </c>
      <c r="W55" s="113">
        <f>IF(AND(ISNUMBER(N55),ISNUMBER(V55)),N55*V55*52/12,"")</f>
        <v/>
      </c>
      <c r="X55" s="114" t="n">
        <v>4.7</v>
      </c>
      <c r="Y55" s="108" t="n">
        <v>17354</v>
      </c>
      <c r="Z55" s="115" t="n">
        <v>46307</v>
      </c>
      <c r="AA55" s="115" t="n"/>
      <c r="AB55" s="105" t="n"/>
      <c r="AC55" s="105" t="n"/>
      <c r="AD55" s="108" t="n"/>
      <c r="AE55" s="108" t="n"/>
      <c r="AF55" s="116" t="n"/>
      <c r="AG55" s="116" t="n"/>
      <c r="AH55" s="39" t="n"/>
      <c r="AI55" s="116" t="n"/>
      <c r="AJ55" s="116" t="n"/>
      <c r="AK55" s="116" t="n"/>
      <c r="AL55" s="116" t="n"/>
      <c r="AM55" s="108" t="n"/>
      <c r="AN55" s="108" t="n"/>
      <c r="AO55" s="108" t="n"/>
      <c r="AP55" s="108" t="n"/>
      <c r="AQ55" s="108" t="n"/>
      <c r="AR55" s="108" t="n"/>
      <c r="AS55" s="117" t="n">
        <v>0.9930349542112731</v>
      </c>
      <c r="AT55" s="112" t="n">
        <v>0.2237064116985374</v>
      </c>
      <c r="AU55" s="118" t="inlineStr">
        <is>
          <t>Y</t>
        </is>
      </c>
      <c r="AV55" s="118" t="inlineStr">
        <is>
          <t>Typical price</t>
        </is>
      </c>
      <c r="AW55" s="119" t="n">
        <v>14.39</v>
      </c>
      <c r="AX55" s="119" t="n">
        <v>12.95</v>
      </c>
      <c r="AY55" s="118" t="inlineStr">
        <is>
          <t>Limited time deal</t>
        </is>
      </c>
      <c r="AZ55" s="118" t="inlineStr">
        <is>
          <t>Y</t>
        </is>
      </c>
      <c r="BA55" s="118" t="inlineStr">
        <is>
          <t>2026-10-13 23:46:10</t>
        </is>
      </c>
      <c r="BB55" s="120" t="inlineStr">
        <is>
          <t>Price cut only</t>
        </is>
      </c>
      <c r="BC55" s="120" t="inlineStr">
        <is>
          <t>11-20 to 12-01</t>
        </is>
      </c>
      <c r="BD55" s="121" t="n">
        <v>15.99</v>
      </c>
      <c r="BE55" s="121" t="n">
        <v>13.59</v>
      </c>
      <c r="BF55" s="110">
        <f>IF(AND(ISNUMBER(BD55),ISNUMBER(BE55),N(BD55)&gt;0),1-BE55/BD55,"")</f>
        <v/>
      </c>
      <c r="BG55" s="122" t="n">
        <v>1469</v>
      </c>
      <c r="BH55" s="122" t="n">
        <v>1172</v>
      </c>
      <c r="BI55" s="123">
        <f>IF(AND(ISNUMBER(BG55),ISNUMBER(BH55),N(BH55)&gt;0),BG55/BH55,"")</f>
        <v/>
      </c>
      <c r="BJ55" s="120" t="inlineStr">
        <is>
          <t>N</t>
        </is>
      </c>
      <c r="BK55" s="120" t="inlineStr">
        <is>
          <t>Prime Exclusive 12-05 to 12-05; List Price $15.99</t>
        </is>
      </c>
    </row>
    <row r="56" ht="62" customHeight="1">
      <c r="A56" s="12">
        <f>_xlfn.IMAGE("https://m.media-amazon.com/images/I/81SKo-F-qLL._AC_SL1500_.jpg")</f>
        <v/>
      </c>
      <c r="B56" s="105" t="inlineStr">
        <is>
          <t>Kitsch</t>
        </is>
      </c>
      <c r="C56" s="39" t="inlineStr">
        <is>
          <t>SS Silk Sleep Mask</t>
        </is>
      </c>
      <c r="D56" s="105" t="inlineStr">
        <is>
          <t>Untiered</t>
        </is>
      </c>
      <c r="E56" s="134" t="inlineStr">
        <is>
          <t>Not classified</t>
        </is>
      </c>
      <c r="F56" s="105" t="n"/>
      <c r="G56" s="39" t="inlineStr">
        <is>
          <t>Not a sheet, pillowcase or comforter product; competitors are compared on price and sales only.</t>
        </is>
      </c>
      <c r="H56" s="107" t="inlineStr">
        <is>
          <t>B0FNPM9ZM4</t>
        </is>
      </c>
      <c r="I56" s="107" t="inlineStr">
        <is>
          <t>B09GYPT47K</t>
        </is>
      </c>
      <c r="J56" s="105" t="n"/>
      <c r="K56" s="105" t="n"/>
      <c r="L56" s="108" t="n"/>
      <c r="M56" s="39" t="inlineStr"/>
      <c r="N56" s="109" t="n">
        <v>14.39</v>
      </c>
      <c r="O56" s="109" t="n">
        <v>17.99</v>
      </c>
      <c r="P56" s="110">
        <f>IF(AND(ISNUMBER(O56),ISNUMBER(N56),N(N56)&gt;0),O56/N56-1,"")</f>
        <v/>
      </c>
      <c r="Q56" s="111">
        <f>IF(P56="","No List Price",IF(P56&lt;=0,"At/below price",IF(P56&lt;=0.12,"&lt;=12% STR zone",IF(P56&lt;=0.25,"12-25%","&gt;25% over"))))</f>
        <v/>
      </c>
      <c r="R56" s="109" t="n">
        <v>20.41153846153846</v>
      </c>
      <c r="S56" s="112">
        <f>IF(AND(ISNUMBER(N56),ISNUMBER(R56),N(R56)&gt;0),N56/R56-1,"")</f>
        <v/>
      </c>
      <c r="T56" s="39" t="inlineStr">
        <is>
          <t>vs our blended price (market data, Mar 2026 - STALE)</t>
        </is>
      </c>
      <c r="U56" s="108" t="n">
        <v>1837</v>
      </c>
      <c r="V56" s="108" t="n">
        <v>1848</v>
      </c>
      <c r="W56" s="113">
        <f>IF(AND(ISNUMBER(N56),ISNUMBER(V56)),N56*V56*52/12,"")</f>
        <v/>
      </c>
      <c r="X56" s="114" t="n">
        <v>4.3</v>
      </c>
      <c r="Y56" s="108" t="n">
        <v>1648</v>
      </c>
      <c r="Z56" s="115" t="n">
        <v>46307</v>
      </c>
      <c r="AA56" s="115" t="n"/>
      <c r="AB56" s="105" t="n"/>
      <c r="AC56" s="105" t="n"/>
      <c r="AD56" s="108" t="n"/>
      <c r="AE56" s="108" t="n"/>
      <c r="AF56" s="116" t="n"/>
      <c r="AG56" s="116" t="n"/>
      <c r="AH56" s="39" t="n"/>
      <c r="AI56" s="116" t="n"/>
      <c r="AJ56" s="116" t="n"/>
      <c r="AK56" s="116" t="n"/>
      <c r="AL56" s="116" t="n"/>
      <c r="AM56" s="108" t="n"/>
      <c r="AN56" s="108" t="n"/>
      <c r="AO56" s="108" t="n"/>
      <c r="AP56" s="108" t="n"/>
      <c r="AQ56" s="108" t="n"/>
      <c r="AR56" s="108" t="n"/>
      <c r="AS56" s="117" t="n"/>
      <c r="AT56" s="112" t="n"/>
      <c r="AU56" s="118" t="inlineStr">
        <is>
          <t>N</t>
        </is>
      </c>
      <c r="AV56" s="118" t="inlineStr">
        <is>
          <t>none</t>
        </is>
      </c>
      <c r="AW56" s="124" t="n"/>
      <c r="AX56" s="119" t="n">
        <v>17.99</v>
      </c>
      <c r="AY56" s="118" t="inlineStr">
        <is>
          <t>none</t>
        </is>
      </c>
      <c r="AZ56" s="118" t="inlineStr">
        <is>
          <t>Y</t>
        </is>
      </c>
      <c r="BA56" s="118" t="inlineStr">
        <is>
          <t>2026-10-13 23:46:04</t>
        </is>
      </c>
      <c r="BB56" s="120" t="inlineStr">
        <is>
          <t>Price cut only</t>
        </is>
      </c>
      <c r="BC56" s="120" t="inlineStr">
        <is>
          <t>11-20 to 12-01</t>
        </is>
      </c>
      <c r="BD56" s="121" t="n">
        <v>14.38</v>
      </c>
      <c r="BE56" s="121" t="n">
        <v>12.72</v>
      </c>
      <c r="BF56" s="110">
        <f>IF(AND(ISNUMBER(BD56),ISNUMBER(BE56),N(BD56)&gt;0),1-BE56/BD56,"")</f>
        <v/>
      </c>
      <c r="BG56" s="122" t="n">
        <v>10337</v>
      </c>
      <c r="BH56" s="122" t="n">
        <v>5060</v>
      </c>
      <c r="BI56" s="123">
        <f>IF(AND(ISNUMBER(BG56),ISNUMBER(BH56),N(BH56)&gt;0),BG56/BH56,"")</f>
        <v/>
      </c>
      <c r="BJ56" s="120" t="inlineStr">
        <is>
          <t>N</t>
        </is>
      </c>
      <c r="BK56" s="120" t="inlineStr">
        <is>
          <t>List Price $25.99</t>
        </is>
      </c>
    </row>
    <row r="57" ht="62" customHeight="1">
      <c r="A57" s="12">
        <f>_xlfn.IMAGE("https://m.media-amazon.com/images/I/51CeCV1TCdL._AC_SL1000_.jpg")</f>
        <v/>
      </c>
      <c r="B57" s="105" t="inlineStr">
        <is>
          <t>spacepower</t>
        </is>
      </c>
      <c r="C57" s="39" t="inlineStr">
        <is>
          <t>SS Silk Sleep Mask</t>
        </is>
      </c>
      <c r="D57" s="105" t="inlineStr">
        <is>
          <t>Untiered</t>
        </is>
      </c>
      <c r="E57" s="134" t="inlineStr">
        <is>
          <t>Not classified</t>
        </is>
      </c>
      <c r="F57" s="105" t="n"/>
      <c r="G57" s="39" t="inlineStr">
        <is>
          <t>Not a sheet, pillowcase or comforter product; competitors are compared on price and sales only.</t>
        </is>
      </c>
      <c r="H57" s="107" t="inlineStr">
        <is>
          <t>B0H9RJ7HSY</t>
        </is>
      </c>
      <c r="I57" s="107" t="inlineStr">
        <is>
          <t>B07J41LJJZ</t>
        </is>
      </c>
      <c r="J57" s="105" t="n"/>
      <c r="K57" s="105" t="n"/>
      <c r="L57" s="108" t="n"/>
      <c r="M57" s="39" t="inlineStr"/>
      <c r="N57" s="109" t="n">
        <v>4.99</v>
      </c>
      <c r="O57" s="109" t="n"/>
      <c r="P57" s="110">
        <f>IF(AND(ISNUMBER(O57),ISNUMBER(N57),N(N57)&gt;0),O57/N57-1,"")</f>
        <v/>
      </c>
      <c r="Q57" s="111">
        <f>IF(P57="","No List Price",IF(P57&lt;=0,"At/below price",IF(P57&lt;=0.12,"&lt;=12% STR zone",IF(P57&lt;=0.25,"12-25%","&gt;25% over"))))</f>
        <v/>
      </c>
      <c r="R57" s="109" t="n">
        <v>20.41153846153846</v>
      </c>
      <c r="S57" s="112">
        <f>IF(AND(ISNUMBER(N57),ISNUMBER(R57),N(R57)&gt;0),N57/R57-1,"")</f>
        <v/>
      </c>
      <c r="T57" s="39" t="inlineStr">
        <is>
          <t>vs our blended price (market data, Mar 2026 - STALE)</t>
        </is>
      </c>
      <c r="U57" s="108" t="n">
        <v>8110</v>
      </c>
      <c r="V57" s="108" t="n">
        <v>809</v>
      </c>
      <c r="W57" s="113">
        <f>IF(AND(ISNUMBER(N57),ISNUMBER(V57)),N57*V57*52/12,"")</f>
        <v/>
      </c>
      <c r="X57" s="114" t="n">
        <v>4.6</v>
      </c>
      <c r="Y57" s="108" t="n">
        <v>5889</v>
      </c>
      <c r="Z57" s="115" t="n">
        <v>46307</v>
      </c>
      <c r="AA57" s="115" t="n"/>
      <c r="AB57" s="105" t="n"/>
      <c r="AC57" s="105" t="n"/>
      <c r="AD57" s="108" t="n"/>
      <c r="AE57" s="108" t="n"/>
      <c r="AF57" s="116" t="n"/>
      <c r="AG57" s="116" t="n"/>
      <c r="AH57" s="39" t="n"/>
      <c r="AI57" s="116" t="n"/>
      <c r="AJ57" s="116" t="n"/>
      <c r="AK57" s="116" t="n"/>
      <c r="AL57" s="116" t="n"/>
      <c r="AM57" s="108" t="n"/>
      <c r="AN57" s="108" t="n"/>
      <c r="AO57" s="108" t="n"/>
      <c r="AP57" s="108" t="n"/>
      <c r="AQ57" s="108" t="n"/>
      <c r="AR57" s="108" t="n"/>
      <c r="AS57" s="117" t="n"/>
      <c r="AT57" s="112" t="n"/>
      <c r="AU57" s="118" t="inlineStr">
        <is>
          <t>N</t>
        </is>
      </c>
      <c r="AV57" s="118" t="inlineStr">
        <is>
          <t>none</t>
        </is>
      </c>
      <c r="AW57" s="124" t="n"/>
      <c r="AX57" s="119" t="n">
        <v>4.99</v>
      </c>
      <c r="AY57" s="118" t="inlineStr">
        <is>
          <t>none</t>
        </is>
      </c>
      <c r="AZ57" s="118" t="inlineStr">
        <is>
          <t>Y</t>
        </is>
      </c>
      <c r="BA57" s="118" t="inlineStr">
        <is>
          <t>2026-10-13 23:47:42</t>
        </is>
      </c>
      <c r="BB57" s="120" t="inlineStr">
        <is>
          <t>Prime Exclusive Discount</t>
        </is>
      </c>
      <c r="BC57" s="120" t="inlineStr">
        <is>
          <t>11-20 to 12-01</t>
        </is>
      </c>
      <c r="BD57" s="121" t="n">
        <v>4.99</v>
      </c>
      <c r="BE57" s="121" t="n">
        <v>3.94</v>
      </c>
      <c r="BF57" s="110">
        <f>IF(AND(ISNUMBER(BD57),ISNUMBER(BE57),N(BD57)&gt;0),1-BE57/BD57,"")</f>
        <v/>
      </c>
      <c r="BG57" s="122" t="n">
        <v>6070</v>
      </c>
      <c r="BH57" s="122" t="n">
        <v>5527</v>
      </c>
      <c r="BI57" s="123">
        <f>IF(AND(ISNUMBER(BG57),ISNUMBER(BH57),N(BH57)&gt;0),BG57/BH57,"")</f>
        <v/>
      </c>
      <c r="BJ57" s="120" t="inlineStr">
        <is>
          <t>N</t>
        </is>
      </c>
      <c r="BK57" s="120" t="inlineStr">
        <is>
          <t>List Price $10.99</t>
        </is>
      </c>
    </row>
    <row r="58" ht="62" customHeight="1">
      <c r="A58" s="12">
        <f>_xlfn.IMAGE("https://m.media-amazon.com/images/I/71LL5nkhi5L._AC_SL1500_.jpg")</f>
        <v/>
      </c>
      <c r="B58" s="105" t="inlineStr">
        <is>
          <t>Jersey Slumber</t>
        </is>
      </c>
      <c r="C58" s="39" t="inlineStr">
        <is>
          <t>SS Silk Sleep Mask</t>
        </is>
      </c>
      <c r="D58" s="105" t="inlineStr">
        <is>
          <t>Untiered</t>
        </is>
      </c>
      <c r="E58" s="134" t="inlineStr">
        <is>
          <t>Not classified</t>
        </is>
      </c>
      <c r="F58" s="105" t="n"/>
      <c r="G58" s="39" t="inlineStr">
        <is>
          <t>Not a sheet, pillowcase or comforter product; competitors are compared on price and sales only.</t>
        </is>
      </c>
      <c r="H58" s="107" t="inlineStr">
        <is>
          <t>B0D4MHYD6C</t>
        </is>
      </c>
      <c r="I58" s="107" t="inlineStr">
        <is>
          <t>B014VYD7NW</t>
        </is>
      </c>
      <c r="J58" s="105" t="n"/>
      <c r="K58" s="105" t="n"/>
      <c r="L58" s="108" t="n"/>
      <c r="M58" s="39" t="inlineStr"/>
      <c r="N58" s="109" t="n">
        <v>8.890000000000001</v>
      </c>
      <c r="O58" s="109" t="n"/>
      <c r="P58" s="110">
        <f>IF(AND(ISNUMBER(O58),ISNUMBER(N58),N(N58)&gt;0),O58/N58-1,"")</f>
        <v/>
      </c>
      <c r="Q58" s="111">
        <f>IF(P58="","No List Price",IF(P58&lt;=0,"At/below price",IF(P58&lt;=0.12,"&lt;=12% STR zone",IF(P58&lt;=0.25,"12-25%","&gt;25% over"))))</f>
        <v/>
      </c>
      <c r="R58" s="109" t="n">
        <v>20.41153846153846</v>
      </c>
      <c r="S58" s="112">
        <f>IF(AND(ISNUMBER(N58),ISNUMBER(R58),N(R58)&gt;0),N58/R58-1,"")</f>
        <v/>
      </c>
      <c r="T58" s="39" t="inlineStr">
        <is>
          <t>vs our blended price (market data, Mar 2026 - STALE)</t>
        </is>
      </c>
      <c r="U58" s="108" t="n">
        <v>25636</v>
      </c>
      <c r="V58" s="108" t="n">
        <v>220</v>
      </c>
      <c r="W58" s="113">
        <f>IF(AND(ISNUMBER(N58),ISNUMBER(V58)),N58*V58*52/12,"")</f>
        <v/>
      </c>
      <c r="X58" s="114" t="n">
        <v>4.5</v>
      </c>
      <c r="Y58" s="108" t="n">
        <v>28100</v>
      </c>
      <c r="Z58" s="115" t="n">
        <v>46307</v>
      </c>
      <c r="AA58" s="115" t="n"/>
      <c r="AB58" s="105" t="n"/>
      <c r="AC58" s="105" t="n"/>
      <c r="AD58" s="108" t="n"/>
      <c r="AE58" s="108" t="n"/>
      <c r="AF58" s="116" t="n"/>
      <c r="AG58" s="116" t="n"/>
      <c r="AH58" s="39" t="n"/>
      <c r="AI58" s="116" t="n"/>
      <c r="AJ58" s="116" t="n"/>
      <c r="AK58" s="116" t="n"/>
      <c r="AL58" s="116" t="n"/>
      <c r="AM58" s="108" t="n"/>
      <c r="AN58" s="108" t="n"/>
      <c r="AO58" s="108" t="n"/>
      <c r="AP58" s="108" t="n"/>
      <c r="AQ58" s="108" t="n"/>
      <c r="AR58" s="108" t="n"/>
      <c r="AS58" s="117" t="n">
        <v>0.7335907335907336</v>
      </c>
      <c r="AT58" s="112" t="n">
        <v>-0.3853006681514476</v>
      </c>
      <c r="AU58" s="118" t="inlineStr">
        <is>
          <t>N</t>
        </is>
      </c>
      <c r="AV58" s="118" t="inlineStr">
        <is>
          <t>none</t>
        </is>
      </c>
      <c r="AW58" s="124" t="n"/>
      <c r="AX58" s="119" t="n">
        <v>8.890000000000001</v>
      </c>
      <c r="AY58" s="118" t="inlineStr">
        <is>
          <t>none</t>
        </is>
      </c>
      <c r="AZ58" s="118" t="inlineStr">
        <is>
          <t>Y</t>
        </is>
      </c>
      <c r="BA58" s="118" t="inlineStr">
        <is>
          <t>2026-10-13 23:45:54</t>
        </is>
      </c>
      <c r="BB58" s="120" t="inlineStr">
        <is>
          <t>Price cut only</t>
        </is>
      </c>
      <c r="BC58" s="120" t="inlineStr">
        <is>
          <t>11-20 to 12-01</t>
        </is>
      </c>
      <c r="BD58" s="121" t="n">
        <v>8.890000000000001</v>
      </c>
      <c r="BE58" s="121" t="n">
        <v>7.56</v>
      </c>
      <c r="BF58" s="110">
        <f>IF(AND(ISNUMBER(BD58),ISNUMBER(BE58),N(BD58)&gt;0),1-BE58/BD58,"")</f>
        <v/>
      </c>
      <c r="BG58" s="122" t="n">
        <v>19180</v>
      </c>
      <c r="BH58" s="122" t="n">
        <v>18045</v>
      </c>
      <c r="BI58" s="123">
        <f>IF(AND(ISNUMBER(BG58),ISNUMBER(BH58),N(BH58)&gt;0),BG58/BH58,"")</f>
        <v/>
      </c>
      <c r="BJ58" s="120" t="inlineStr">
        <is>
          <t>N</t>
        </is>
      </c>
      <c r="BK58" s="120" t="inlineStr">
        <is>
          <t>List Price $20.99</t>
        </is>
      </c>
    </row>
    <row r="59"/>
    <row r="60" ht="22" customHeight="1">
      <c r="A60" s="65" t="inlineStr">
        <is>
          <t>5 ▼</t>
        </is>
      </c>
      <c r="B60" s="66" t="inlineStr">
        <is>
          <t>WHAT THIS MEANS FOR BFCM</t>
        </is>
      </c>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c r="AC60" s="67" t="n"/>
      <c r="AD60" s="67" t="n"/>
      <c r="AE60" s="67" t="n"/>
      <c r="AF60" s="67" t="n"/>
      <c r="AG60" s="67" t="n"/>
      <c r="AH60" s="67" t="n"/>
      <c r="AI60" s="67" t="n"/>
      <c r="AJ60" s="67" t="n"/>
      <c r="AK60" s="67" t="n"/>
      <c r="AL60" s="67" t="n"/>
      <c r="AM60" s="67" t="n"/>
      <c r="AN60" s="67" t="n"/>
      <c r="AO60" s="67" t="n"/>
      <c r="AP60" s="67" t="n"/>
      <c r="AQ60" s="67" t="n"/>
      <c r="AR60" s="67" t="n"/>
      <c r="AS60" s="67" t="n"/>
      <c r="AT60" s="67" t="n"/>
      <c r="AU60" s="67" t="n"/>
      <c r="AV60" s="67" t="n"/>
      <c r="AW60" s="67" t="n"/>
      <c r="AX60" s="67" t="n"/>
      <c r="AY60" s="67" t="n"/>
      <c r="AZ60" s="67" t="n"/>
      <c r="BA60" s="67" t="n"/>
      <c r="BB60" s="67" t="n"/>
      <c r="BC60" s="67" t="n"/>
      <c r="BD60" s="67" t="n"/>
      <c r="BE60" s="67" t="n"/>
      <c r="BF60" s="67" t="n"/>
      <c r="BG60" s="67" t="n"/>
      <c r="BH60" s="67" t="n"/>
      <c r="BI60" s="67" t="n"/>
      <c r="BJ60" s="67" t="n"/>
      <c r="BK60" s="67" t="n"/>
    </row>
    <row r="61" ht="30" customHeight="1">
      <c r="A61" s="129" t="inlineStr">
        <is>
          <t>• Who sells most: LitBear ~3,464/wk at $12.95 (List $14.39, +11%); Kitsch ~1,848/wk at $14.39 (List $17.99, +25%); LitBear ~809/wk at $29.99; LULUSILK ~809/wk at $9.99; spacepower ~809/wk at $4.99. Tracked rivals ~9,878 units/wk; we sell ~3/wk (0.0% of the tracked set).</t>
        </is>
      </c>
    </row>
    <row r="62" ht="18" customHeight="1">
      <c r="A62" s="129" t="inlineStr">
        <is>
          <t>• Strikethrough: 4 of 15 rivals set a List Price above price; 2 within 12%: Umisleep Store +6%, LitBear +11%.</t>
        </is>
      </c>
    </row>
    <row r="63" ht="30" customHeight="1">
      <c r="A63" s="129" t="inlineStr">
        <is>
          <t>• Price: 10 of 15 rivals sit below our price today (same size where the title states one). Cheapest strong rivals: LULUSILK $9.99, YFONG $14.99, OLESILK $15.99, Umisleep Store $17.99.</t>
        </is>
      </c>
    </row>
    <row r="64" ht="30" customHeight="1">
      <c r="A64" s="129" t="inlineStr">
        <is>
          <t>• Strikethrough on the page today (Oct 13 check): 3 of 14 checked rivals show one: BLISSY List Price $49.95 vs $27.87 (+79%), Umisleep Store List Price $18.99 vs $17.99 (+6%), LitBear Typical price $14.39 vs $12.95 (+11%) with deal.</t>
        </is>
      </c>
    </row>
    <row r="65" ht="30" customHeight="1">
      <c r="A65" s="129" t="inlineStr">
        <is>
          <t>• Search: we lose most shared keywords to LitBear (we win 4, lose 45), iCooBreeze (we win 4, lose 43), Zenssia (we win 5, lose 41). Biggest ad gaps (they advertise where we don't or harder): iCooBreeze 172 + 0 KWs, SECZIPE 417 + 0 KWs, LitBear 684 + 0 KWs.</t>
        </is>
      </c>
    </row>
    <row r="66" ht="18" customHeight="1">
      <c r="A66" s="129" t="inlineStr">
        <is>
          <t>• Brand ads: Umisleep Store (SB 62%, SBV 0%) hold Sponsored Brands / video on most of their traffic - the plan has our SB, SBV and display live by Nov 1.</t>
        </is>
      </c>
    </row>
    <row r="67" ht="18" customHeight="1">
      <c r="A67" s="129" t="inlineStr">
        <is>
          <t>• Our BFCM 2025: 1.00x.</t>
        </is>
      </c>
    </row>
    <row r="68" ht="30" customHeight="1">
      <c r="A68" s="129" t="inlineStr">
        <is>
          <t>• BFCM 2025, 15 rivals with price history history: Prime Exclusive Discount 8, Price cut only 6, None 1. Median depth vs their Nov 1-19 price 18%; median BSR lift 1.14x. 2 raised their Buy Box in BFCM week, so their deal looked deeper than it was.</t>
        </is>
      </c>
    </row>
  </sheetData>
  <autoFilter ref="B43:BK58"/>
  <mergeCells count="63">
    <mergeCell ref="A25:C25"/>
    <mergeCell ref="AD42:AT42"/>
    <mergeCell ref="A64:BK64"/>
    <mergeCell ref="L5:Q5"/>
    <mergeCell ref="A36:BK36"/>
    <mergeCell ref="A27:C27"/>
    <mergeCell ref="Q11:T11"/>
    <mergeCell ref="L8:Q8"/>
    <mergeCell ref="A61:BK61"/>
    <mergeCell ref="A26:C26"/>
    <mergeCell ref="L4:Q4"/>
    <mergeCell ref="D7:I7"/>
    <mergeCell ref="A13:D13"/>
    <mergeCell ref="I13:L13"/>
    <mergeCell ref="A65:BK65"/>
    <mergeCell ref="D4:I4"/>
    <mergeCell ref="L10:Q10"/>
    <mergeCell ref="E12:H12"/>
    <mergeCell ref="Q13:T13"/>
    <mergeCell ref="A32:C32"/>
    <mergeCell ref="AU42:BA42"/>
    <mergeCell ref="D9:I9"/>
    <mergeCell ref="A66:BK66"/>
    <mergeCell ref="U12:X12"/>
    <mergeCell ref="L9:Q9"/>
    <mergeCell ref="Q12:T12"/>
    <mergeCell ref="A37:BK37"/>
    <mergeCell ref="A11:D11"/>
    <mergeCell ref="A29:C29"/>
    <mergeCell ref="I11:L11"/>
    <mergeCell ref="D8:I8"/>
    <mergeCell ref="L6:Q6"/>
    <mergeCell ref="A4:B9"/>
    <mergeCell ref="T6:Y6"/>
    <mergeCell ref="AA42:AC42"/>
    <mergeCell ref="A33:BK33"/>
    <mergeCell ref="D5:I5"/>
    <mergeCell ref="A31:C31"/>
    <mergeCell ref="M11:P11"/>
    <mergeCell ref="A42:K42"/>
    <mergeCell ref="A30:C30"/>
    <mergeCell ref="U11:X11"/>
    <mergeCell ref="A24:C24"/>
    <mergeCell ref="BB42:BK42"/>
    <mergeCell ref="A35:BK35"/>
    <mergeCell ref="E13:H13"/>
    <mergeCell ref="A62:BK62"/>
    <mergeCell ref="D10:I10"/>
    <mergeCell ref="L7:Q7"/>
    <mergeCell ref="T5:Y5"/>
    <mergeCell ref="N42:Z42"/>
    <mergeCell ref="A12:D12"/>
    <mergeCell ref="M13:P13"/>
    <mergeCell ref="A63:BK63"/>
    <mergeCell ref="I12:L12"/>
    <mergeCell ref="U13:X13"/>
    <mergeCell ref="A68:BK68"/>
    <mergeCell ref="M12:P12"/>
    <mergeCell ref="T4:Y4"/>
    <mergeCell ref="D6:I6"/>
    <mergeCell ref="A67:BK67"/>
    <mergeCell ref="E11:H11"/>
    <mergeCell ref="A34:BK34"/>
  </mergeCells>
  <conditionalFormatting sqref="Q44:Q58">
    <cfRule type="expression" priority="1" dxfId="1">
      <formula>Q44="&lt;=12% STR zone"</formula>
    </cfRule>
  </conditionalFormatting>
  <conditionalFormatting sqref="Z44:Z58">
    <cfRule type="expression" priority="2" dxfId="0">
      <formula>AND(ISNUMBER(Z44),Z44&lt;DATE(2026,10,6))</formula>
    </cfRule>
  </conditionalFormatting>
  <conditionalFormatting sqref="T44:T58">
    <cfRule type="expression" priority="3" dxfId="0">
      <formula>ISNUMBER(SEARCH("STALE",T44))</formula>
    </cfRule>
  </conditionalFormatting>
  <conditionalFormatting sqref="S44:S58">
    <cfRule type="expression" priority="4" dxfId="0">
      <formula>AND(ISNUMBER(S44),S44&lt;0)</formula>
    </cfRule>
  </conditionalFormatting>
  <dataValidations count="3">
    <dataValidation sqref="AU44:AU58 BJ44:BJ58" showDropDown="0" showInputMessage="0" showErrorMessage="0" allowBlank="1" type="list">
      <formula1>"Y,N"</formula1>
    </dataValidation>
    <dataValidation sqref="AV44:AV58" showDropDown="0" showInputMessage="0" showErrorMessage="0" allowBlank="1" type="list">
      <formula1>"List Price,Typical price,Was price,None"</formula1>
    </dataValidation>
    <dataValidation sqref="BB44:BB58"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Mask Velcro'!A3" display="1 Our product ↓"/>
    <hyperlink ref="D2" location="'US SL Mask Velcro'!A15" display="2 Our variations ↓"/>
    <hyperlink ref="E2" location="'US SL Mask Velcro'!A23" display="3 Our BFCM 2025 ↓"/>
    <hyperlink ref="F2" location="'US SL Mask Velcro'!A40" display="4 COMPETITORS (15 mapped) ↓"/>
    <hyperlink ref="G2" location="'US SL Mask Velcro'!A60" display="5 What it means ↓"/>
    <hyperlink xmlns:r="http://schemas.openxmlformats.org/officeDocument/2006/relationships" ref="H44" r:id="rId1"/>
    <hyperlink xmlns:r="http://schemas.openxmlformats.org/officeDocument/2006/relationships" ref="I44" r:id="rId2"/>
    <hyperlink xmlns:r="http://schemas.openxmlformats.org/officeDocument/2006/relationships" ref="H45" r:id="rId3"/>
    <hyperlink xmlns:r="http://schemas.openxmlformats.org/officeDocument/2006/relationships" ref="I45" r:id="rId4"/>
    <hyperlink xmlns:r="http://schemas.openxmlformats.org/officeDocument/2006/relationships" ref="H46" r:id="rId5"/>
    <hyperlink xmlns:r="http://schemas.openxmlformats.org/officeDocument/2006/relationships" ref="I46" r:id="rId6"/>
    <hyperlink xmlns:r="http://schemas.openxmlformats.org/officeDocument/2006/relationships" ref="H47" r:id="rId7"/>
    <hyperlink xmlns:r="http://schemas.openxmlformats.org/officeDocument/2006/relationships" ref="I47" r:id="rId8"/>
    <hyperlink xmlns:r="http://schemas.openxmlformats.org/officeDocument/2006/relationships" ref="H48" r:id="rId9"/>
    <hyperlink xmlns:r="http://schemas.openxmlformats.org/officeDocument/2006/relationships" ref="I48" r:id="rId10"/>
    <hyperlink xmlns:r="http://schemas.openxmlformats.org/officeDocument/2006/relationships" ref="H49" r:id="rId11"/>
    <hyperlink xmlns:r="http://schemas.openxmlformats.org/officeDocument/2006/relationships" ref="I49" r:id="rId12"/>
    <hyperlink xmlns:r="http://schemas.openxmlformats.org/officeDocument/2006/relationships" ref="H50" r:id="rId13"/>
    <hyperlink xmlns:r="http://schemas.openxmlformats.org/officeDocument/2006/relationships" ref="I50" r:id="rId14"/>
    <hyperlink xmlns:r="http://schemas.openxmlformats.org/officeDocument/2006/relationships" ref="H51" r:id="rId15"/>
    <hyperlink xmlns:r="http://schemas.openxmlformats.org/officeDocument/2006/relationships" ref="I51" r:id="rId16"/>
    <hyperlink xmlns:r="http://schemas.openxmlformats.org/officeDocument/2006/relationships" ref="H52" r:id="rId17"/>
    <hyperlink xmlns:r="http://schemas.openxmlformats.org/officeDocument/2006/relationships" ref="I52" r:id="rId18"/>
    <hyperlink xmlns:r="http://schemas.openxmlformats.org/officeDocument/2006/relationships" ref="H53" r:id="rId19"/>
    <hyperlink xmlns:r="http://schemas.openxmlformats.org/officeDocument/2006/relationships" ref="I53" r:id="rId20"/>
    <hyperlink xmlns:r="http://schemas.openxmlformats.org/officeDocument/2006/relationships" ref="H54" r:id="rId21"/>
    <hyperlink xmlns:r="http://schemas.openxmlformats.org/officeDocument/2006/relationships" ref="I54" r:id="rId22"/>
    <hyperlink xmlns:r="http://schemas.openxmlformats.org/officeDocument/2006/relationships" ref="H55" r:id="rId23"/>
    <hyperlink xmlns:r="http://schemas.openxmlformats.org/officeDocument/2006/relationships" ref="I55" r:id="rId24"/>
    <hyperlink xmlns:r="http://schemas.openxmlformats.org/officeDocument/2006/relationships" ref="H56" r:id="rId25"/>
    <hyperlink xmlns:r="http://schemas.openxmlformats.org/officeDocument/2006/relationships" ref="I56" r:id="rId26"/>
    <hyperlink xmlns:r="http://schemas.openxmlformats.org/officeDocument/2006/relationships" ref="H57" r:id="rId27"/>
    <hyperlink xmlns:r="http://schemas.openxmlformats.org/officeDocument/2006/relationships" ref="I57" r:id="rId28"/>
    <hyperlink xmlns:r="http://schemas.openxmlformats.org/officeDocument/2006/relationships" ref="H58" r:id="rId29"/>
    <hyperlink xmlns:r="http://schemas.openxmlformats.org/officeDocument/2006/relationships" ref="I58" r:id="rId30"/>
  </hyperlinks>
  <pageMargins left="0.75" right="0.75" top="1" bottom="1" header="0.5" footer="0.5"/>
  <drawing xmlns:r="http://schemas.openxmlformats.org/officeDocument/2006/relationships" r:id="rId31"/>
  <legacyDrawing xmlns:r="http://schemas.openxmlformats.org/officeDocument/2006/relationships" r:id="anysvml"/>
</worksheet>
</file>

<file path=xl/worksheets/sheet20.xml><?xml version="1.0" encoding="utf-8"?>
<worksheet xmlns="http://schemas.openxmlformats.org/spreadsheetml/2006/main">
  <sheetPr>
    <tabColor rgb="009DC3E6"/>
    <outlinePr summaryBelow="1" summaryRight="1"/>
    <pageSetUpPr/>
  </sheetPr>
  <dimension ref="A1:BK145"/>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Cooling Sheets 4 Piece · Amazon.com (US) · Cooling · BFCM role: Off-season (aged variations only)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(28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_xlfn.IMAGE("https://m.media-amazon.com/images/I/81+QctNV9NL._AC_SL1500_.jpg")</f>
        <v/>
      </c>
      <c r="C4" s="13" t="inlineStr">
        <is>
          <t>Title</t>
        </is>
      </c>
      <c r="D4" s="14" t="inlineStr">
        <is>
          <t>DECOLURE Cooling Sheets Queen Set 4pcs - Luxurious &amp; Ultra-Soft Cooling Bed Sheets Queen Size for Hot Sleepers - Comfortable Bamboo Viscose Microfiber Queen Bed Sheets Set Cooling (Navy)</t>
        </is>
      </c>
      <c r="K4" s="13" t="inlineStr">
        <is>
          <t>Sizes</t>
        </is>
      </c>
      <c r="L4" s="68" t="inlineStr">
        <is>
          <t>California King, Cal King, Full, King, Queen, Twin</t>
        </is>
      </c>
      <c r="S4" s="13" t="inlineStr">
        <is>
          <t>Break-even ACoS</t>
        </is>
      </c>
      <c r="T4" s="68" t="inlineStr">
        <is>
          <t>29%</t>
        </is>
      </c>
    </row>
    <row r="5" ht="22" customHeight="1">
      <c r="C5" s="13" t="inlineStr">
        <is>
          <t>Brand</t>
        </is>
      </c>
      <c r="D5" s="68" t="inlineStr">
        <is>
          <t>Decolure</t>
        </is>
      </c>
      <c r="K5" s="13" t="inlineStr">
        <is>
          <t>Colours</t>
        </is>
      </c>
      <c r="L5" s="68" t="inlineStr">
        <is>
          <t>Beige, Cool Grey, Cream, Graphite, Light Blue, Light Grey, Light Pink, Midnight Black, Navy Blue, Regal Purple, Sage Green, White, Navy Blue-01, Cool Grey-01, White-01, Cream-01</t>
        </is>
      </c>
      <c r="S5" s="13" t="inlineStr">
        <is>
          <t>Units last 28 days</t>
        </is>
      </c>
      <c r="T5" s="68" t="inlineStr">
        <is>
          <t>89</t>
        </is>
      </c>
    </row>
    <row r="6" ht="22" customHeight="1">
      <c r="C6" s="13" t="inlineStr">
        <is>
          <t>Marketplace</t>
        </is>
      </c>
      <c r="D6" s="68" t="inlineStr">
        <is>
          <t>Amazon.com (US)</t>
        </is>
      </c>
      <c r="K6" s="13" t="inlineStr">
        <is>
          <t>Price now, best child</t>
        </is>
      </c>
      <c r="L6" s="68" t="inlineStr">
        <is>
          <t>$37.95 (catalog price, 2026-10-13)</t>
        </is>
      </c>
      <c r="S6" s="13" t="inlineStr">
        <is>
          <t>market data product ASIN</t>
        </is>
      </c>
      <c r="T6" s="68" t="inlineStr">
        <is>
          <t>B0CWJ2ZQJR (one of our child ASINs, not the Amazon parent)</t>
        </is>
      </c>
    </row>
    <row r="7" ht="22" customHeight="1">
      <c r="C7" s="13" t="inlineStr">
        <is>
          <t>Parent ASIN (Amazon)</t>
        </is>
      </c>
      <c r="D7" s="68" t="inlineStr">
        <is>
          <t>B0HLLHYGLQ</t>
        </is>
      </c>
      <c r="K7" s="13" t="inlineStr">
        <is>
          <t>Rating / reviews now</t>
        </is>
      </c>
      <c r="L7" s="68" t="inlineStr">
        <is>
          <t>4.2 / 1,296 (catalog price, 2026-10-13)</t>
        </is>
      </c>
    </row>
    <row r="8" ht="22" customHeight="1">
      <c r="C8" s="13" t="inlineStr">
        <is>
          <t>Best-selling child ASIN</t>
        </is>
      </c>
      <c r="D8" s="68" t="inlineStr">
        <is>
          <t>B0C9LS5H2T</t>
        </is>
      </c>
      <c r="K8" s="13" t="inlineStr">
        <is>
          <t>Live prices held</t>
        </is>
      </c>
      <c r="L8" s="68" t="inlineStr">
        <is>
          <t>38 of 66 variations</t>
        </is>
      </c>
    </row>
    <row r="9" ht="22" customHeight="1">
      <c r="C9" s="13" t="inlineStr">
        <is>
          <t>Stage</t>
        </is>
      </c>
      <c r="D9" s="68" t="inlineStr">
        <is>
          <t>Re-Launch</t>
        </is>
      </c>
      <c r="K9" s="13" t="inlineStr">
        <is>
          <t>Blended price (market data)</t>
        </is>
      </c>
      <c r="L9" s="68" t="inlineStr">
        <is>
          <t>$40.33 - fee feed as of 2026-03-30, STALE</t>
        </is>
      </c>
    </row>
    <row r="10">
      <c r="C10" s="13" t="inlineStr">
        <is>
          <t>Total variations (SKUs)</t>
        </is>
      </c>
      <c r="D10" s="68" t="n">
        <v>61</v>
      </c>
      <c r="K10" s="13" t="inlineStr">
        <is>
          <t>Contribution / unit</t>
        </is>
      </c>
      <c r="L10" s="68" t="inlineStr">
        <is>
          <t>$11.54</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1.63x</t>
        </is>
      </c>
      <c r="E12" s="70" t="inlineStr">
        <is>
          <t>6.8%</t>
        </is>
      </c>
      <c r="I12" s="70" t="inlineStr">
        <is>
          <t>1.81x</t>
        </is>
      </c>
      <c r="M12" s="70" t="inlineStr">
        <is>
          <t>28</t>
        </is>
      </c>
      <c r="Q12" s="70" t="inlineStr">
        <is>
          <t>3</t>
        </is>
      </c>
      <c r="U12" s="70" t="inlineStr">
        <is>
          <t>1</t>
        </is>
      </c>
    </row>
    <row r="13">
      <c r="A13" s="71" t="inlineStr">
        <is>
          <t>daily sales, BFCM wk vs 30 days before (account data actual)</t>
        </is>
      </c>
      <c r="E13" s="71" t="inlineStr">
        <is>
          <t>vs 5.1%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(66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_xlfn.IMAGE("https://m.media-amazon.com/images/I/81QaOvY2uCL.jpg")</f>
        <v/>
      </c>
      <c r="B18" s="39" t="inlineStr">
        <is>
          <t>B0C9LS8Z18</t>
        </is>
      </c>
      <c r="C18" s="39" t="inlineStr">
        <is>
          <t>BM-KING-R-PURPLE</t>
        </is>
      </c>
      <c r="D18" s="39" t="inlineStr">
        <is>
          <t>DECOLURE Cooling Bed Sheets King Set 4pcs - Luxurious &amp; Ultra-Soft King Size Cooling Sheets for Hot Sleepers - Comfortable &amp; Cool Bamboo Viscose Microfiber Sheets King Size w/Deep Pockets (Purple)</t>
        </is>
      </c>
      <c r="E18" s="39" t="inlineStr">
        <is>
          <t>King</t>
        </is>
      </c>
      <c r="F18" s="39" t="inlineStr">
        <is>
          <t>Regal Purple</t>
        </is>
      </c>
      <c r="G18" s="73" t="n">
        <v>37.95</v>
      </c>
      <c r="H18" s="39" t="inlineStr">
        <is>
          <t>catalog price, 2026-10-13</t>
        </is>
      </c>
      <c r="I18" s="74" t="n">
        <v>37.95</v>
      </c>
      <c r="J18" s="75" t="inlineStr">
        <is>
          <t>2026-03-30</t>
        </is>
      </c>
      <c r="K18" s="40" t="n">
        <v>8.100000000000005</v>
      </c>
      <c r="L18" s="76" t="n">
        <v>0.2134387351778657</v>
      </c>
      <c r="M18" s="77" t="n">
        <v>16</v>
      </c>
      <c r="N18" s="39" t="inlineStr">
        <is>
          <t>Active</t>
        </is>
      </c>
      <c r="O18" s="39" t="inlineStr">
        <is>
          <t>Yes (21%)</t>
        </is>
      </c>
      <c r="P18" s="78" t="n">
        <v>4.2</v>
      </c>
      <c r="Q18" s="77" t="n">
        <v>1296</v>
      </c>
      <c r="R18" s="77" t="n">
        <v>341774</v>
      </c>
      <c r="S18" s="77" t="n">
        <v>1</v>
      </c>
      <c r="T18" s="39" t="n"/>
    </row>
    <row r="19" ht="62" customHeight="1">
      <c r="A19" s="12">
        <f>_xlfn.IMAGE("https://m.media-amazon.com/images/I/81+QctNV9NL.jpg")</f>
        <v/>
      </c>
      <c r="B19" s="39" t="inlineStr">
        <is>
          <t>B0C9LS5H2T</t>
        </is>
      </c>
      <c r="C19" s="39" t="inlineStr">
        <is>
          <t>BM-QUEEN-NAVY-BLUE</t>
        </is>
      </c>
      <c r="D19" s="39" t="inlineStr">
        <is>
          <t>DECOLURE Cooling Sheets Queen Set 4pcs - Luxurious &amp; Ultra-Soft Cooling Bed Sheets Queen Size for Hot Sleepers - Comfortable Bamboo Viscose Microfiber Queen Bed Sheets Set Cooling (Navy)</t>
        </is>
      </c>
      <c r="E19" s="39" t="inlineStr">
        <is>
          <t>Queen</t>
        </is>
      </c>
      <c r="F19" s="39" t="inlineStr">
        <is>
          <t>Navy Blue</t>
        </is>
      </c>
      <c r="G19" s="73" t="n">
        <v>37.95</v>
      </c>
      <c r="H19" s="39" t="inlineStr">
        <is>
          <t>catalog price, 2026-10-13</t>
        </is>
      </c>
      <c r="I19" s="74" t="n">
        <v>37.95</v>
      </c>
      <c r="J19" s="75" t="inlineStr">
        <is>
          <t>2026-03-30</t>
        </is>
      </c>
      <c r="K19" s="40" t="n">
        <v>10.20000000000001</v>
      </c>
      <c r="L19" s="76" t="n">
        <v>0.2687747035573124</v>
      </c>
      <c r="M19" s="77" t="n">
        <v>13</v>
      </c>
      <c r="N19" s="39" t="inlineStr">
        <is>
          <t>Active</t>
        </is>
      </c>
      <c r="O19" s="39" t="inlineStr">
        <is>
          <t>Yes (34%)</t>
        </is>
      </c>
      <c r="P19" s="78" t="n">
        <v>4.2</v>
      </c>
      <c r="Q19" s="77" t="n">
        <v>1296</v>
      </c>
      <c r="R19" s="77" t="n">
        <v>341774</v>
      </c>
      <c r="S19" s="77" t="n">
        <v>0.3616</v>
      </c>
      <c r="T19" s="39" t="n"/>
    </row>
    <row r="20" ht="62" customHeight="1">
      <c r="A20" s="12">
        <f>_xlfn.IMAGE("https://m.media-amazon.com/images/I/81XErw+bRVL.jpg")</f>
        <v/>
      </c>
      <c r="B20" s="39" t="inlineStr">
        <is>
          <t>B0CWJ87BTG</t>
        </is>
      </c>
      <c r="C20" s="39" t="inlineStr">
        <is>
          <t>BM-QUEEN-LIGHT-BLUE</t>
        </is>
      </c>
      <c r="D20" s="39" t="inlineStr">
        <is>
          <t>DECOLURE Cooling Sheets Queen Set 4pcs - Luxurious &amp; Ultra-Soft Cooling Bed Sheets Queen Size for Hot Sleepers - Comfortable Bamboo Viscose Microfiber Queen Bed Sheets Set Cooling (Light Blue)</t>
        </is>
      </c>
      <c r="E20" s="39" t="inlineStr">
        <is>
          <t>Queen</t>
        </is>
      </c>
      <c r="F20" s="39" t="inlineStr">
        <is>
          <t>Light Blue</t>
        </is>
      </c>
      <c r="G20" s="73" t="n">
        <v>37.95</v>
      </c>
      <c r="H20" s="39" t="inlineStr">
        <is>
          <t>catalog price, 2026-10-13</t>
        </is>
      </c>
      <c r="I20" s="74" t="n">
        <v>37.95</v>
      </c>
      <c r="J20" s="75" t="inlineStr">
        <is>
          <t>2026-03-30</t>
        </is>
      </c>
      <c r="K20" s="40" t="n">
        <v>10.21000000000001</v>
      </c>
      <c r="L20" s="76" t="n">
        <v>0.2690382081686431</v>
      </c>
      <c r="M20" s="77" t="n">
        <v>10</v>
      </c>
      <c r="N20" s="39" t="inlineStr">
        <is>
          <t>Active</t>
        </is>
      </c>
      <c r="O20" s="39" t="n"/>
      <c r="P20" s="78" t="n">
        <v>4.2</v>
      </c>
      <c r="Q20" s="77" t="n">
        <v>1296</v>
      </c>
      <c r="R20" s="77" t="n">
        <v>341774</v>
      </c>
      <c r="S20" s="77" t="n">
        <v>1</v>
      </c>
      <c r="T20" s="39" t="n"/>
    </row>
    <row r="21" ht="62" customHeight="1">
      <c r="A21" s="12">
        <f>_xlfn.IMAGE("https://m.media-amazon.com/images/I/81nTGoALtAL.jpg")</f>
        <v/>
      </c>
      <c r="B21" s="39" t="inlineStr">
        <is>
          <t>B0C9LSB9RT</t>
        </is>
      </c>
      <c r="C21" s="39" t="inlineStr">
        <is>
          <t>BM-QUEEN-MIDNIGHT-BLACK</t>
        </is>
      </c>
      <c r="D21" s="39" t="inlineStr">
        <is>
          <t>DECOLURE Cooling Sheets Queen Set 4pcs - Luxurious &amp; Ultra-Soft Cooling Bed Sheets Queen Size for Hot Sleepers - Comfortable Bamboo Viscose Microfiber Queen Bed Sheets Set Cooling (Black)</t>
        </is>
      </c>
      <c r="E21" s="39" t="inlineStr">
        <is>
          <t>Queen</t>
        </is>
      </c>
      <c r="F21" s="39" t="inlineStr">
        <is>
          <t>Midnight Black</t>
        </is>
      </c>
      <c r="G21" s="73" t="n">
        <v>37.95</v>
      </c>
      <c r="H21" s="39" t="inlineStr">
        <is>
          <t>catalog price, 2026-10-13</t>
        </is>
      </c>
      <c r="I21" s="74" t="n">
        <v>49.95</v>
      </c>
      <c r="J21" s="75" t="inlineStr">
        <is>
          <t>2026-03-30</t>
        </is>
      </c>
      <c r="K21" s="40" t="n">
        <v>20.63</v>
      </c>
      <c r="L21" s="76" t="n">
        <v>0.413013013013013</v>
      </c>
      <c r="M21" s="77" t="n">
        <v>9</v>
      </c>
      <c r="N21" s="39" t="inlineStr">
        <is>
          <t>Active</t>
        </is>
      </c>
      <c r="O21" s="39" t="n"/>
      <c r="P21" s="78" t="n">
        <v>4.2</v>
      </c>
      <c r="Q21" s="77" t="n">
        <v>1296</v>
      </c>
      <c r="R21" s="77" t="n">
        <v>341774</v>
      </c>
      <c r="S21" s="77" t="n">
        <v>1</v>
      </c>
      <c r="T21" s="39" t="n"/>
    </row>
    <row r="22" ht="62" customHeight="1">
      <c r="A22" s="12">
        <f>_xlfn.IMAGE("https://m.media-amazon.com/images/I/81Gj0zENECL.jpg")</f>
        <v/>
      </c>
      <c r="B22" s="39" t="inlineStr">
        <is>
          <t>B0C9LTMN8M</t>
        </is>
      </c>
      <c r="C22" s="39" t="inlineStr">
        <is>
          <t>BM-QUEEN-CGREY</t>
        </is>
      </c>
      <c r="D22" s="39" t="inlineStr">
        <is>
          <t>DECOLURE Cooling Sheets Queen Set 4pcs - Luxurious &amp; Ultra-Soft Cooling Bed Sheets Queen Size for Hot Sleepers - Comfortable Bamboo Viscose Microfiber Queen Bed Sheets Set Cooling (Cool Grey)</t>
        </is>
      </c>
      <c r="E22" s="39" t="inlineStr">
        <is>
          <t>Queen</t>
        </is>
      </c>
      <c r="F22" s="39" t="inlineStr">
        <is>
          <t>Cool Grey</t>
        </is>
      </c>
      <c r="G22" s="73" t="n">
        <v>37.95</v>
      </c>
      <c r="H22" s="39" t="inlineStr">
        <is>
          <t>catalog price, 2026-10-13</t>
        </is>
      </c>
      <c r="I22" s="74" t="n">
        <v>37.95</v>
      </c>
      <c r="J22" s="75" t="inlineStr">
        <is>
          <t>2026-03-30</t>
        </is>
      </c>
      <c r="K22" s="40" t="n">
        <v>10.18000000000001</v>
      </c>
      <c r="L22" s="76" t="n">
        <v>0.268247694334651</v>
      </c>
      <c r="M22" s="77" t="n">
        <v>8</v>
      </c>
      <c r="N22" s="39" t="inlineStr">
        <is>
          <t>Active</t>
        </is>
      </c>
      <c r="O22" s="39" t="n"/>
      <c r="P22" s="78" t="n">
        <v>4.2</v>
      </c>
      <c r="Q22" s="77" t="n">
        <v>1296</v>
      </c>
      <c r="R22" s="77" t="n">
        <v>341774</v>
      </c>
      <c r="S22" s="77" t="n">
        <v>1</v>
      </c>
      <c r="T22" s="39" t="n"/>
    </row>
    <row r="23" ht="62" customHeight="1">
      <c r="A23" s="12">
        <f>_xlfn.IMAGE("https://m.media-amazon.com/images/I/81XErw+bRVL.jpg")</f>
        <v/>
      </c>
      <c r="B23" s="39" t="inlineStr">
        <is>
          <t>B0CWJ745KL</t>
        </is>
      </c>
      <c r="C23" s="39" t="inlineStr">
        <is>
          <t>BM-KING-LIGHT-BLUE</t>
        </is>
      </c>
      <c r="D23" s="39" t="inlineStr">
        <is>
          <t>DECOLURE Cooling Bed Sheets King Set 4pcs - Luxurious &amp; Ultra-Soft King Size Cooling Sheets for Hot Sleepers - Comfortable &amp; Cool Bamboo Viscose Microfiber Sheets King Size w/Deep Pockets (Light Blue)</t>
        </is>
      </c>
      <c r="E23" s="39" t="inlineStr">
        <is>
          <t>King</t>
        </is>
      </c>
      <c r="F23" s="39" t="inlineStr">
        <is>
          <t>Light Blue</t>
        </is>
      </c>
      <c r="G23" s="73" t="n">
        <v>39.95</v>
      </c>
      <c r="H23" s="39" t="inlineStr">
        <is>
          <t>catalog price, 2026-10-13</t>
        </is>
      </c>
      <c r="I23" s="74" t="n">
        <v>39.95</v>
      </c>
      <c r="J23" s="75" t="inlineStr">
        <is>
          <t>2026-03-30</t>
        </is>
      </c>
      <c r="K23" s="40" t="n">
        <v>9.740000000000002</v>
      </c>
      <c r="L23" s="76" t="n">
        <v>0.2438047559449312</v>
      </c>
      <c r="M23" s="77" t="n">
        <v>7</v>
      </c>
      <c r="N23" s="39" t="inlineStr">
        <is>
          <t>Active</t>
        </is>
      </c>
      <c r="O23" s="39" t="n"/>
      <c r="P23" s="78" t="n">
        <v>4.2</v>
      </c>
      <c r="Q23" s="77" t="n">
        <v>1296</v>
      </c>
      <c r="R23" s="77" t="n">
        <v>341774</v>
      </c>
      <c r="S23" s="77" t="n">
        <v>0.9383</v>
      </c>
      <c r="T23" s="39" t="n"/>
    </row>
    <row r="24" ht="62" customHeight="1">
      <c r="A24" s="12">
        <f>_xlfn.IMAGE("https://m.media-amazon.com/images/I/81nTGoALtAL.jpg")</f>
        <v/>
      </c>
      <c r="B24" s="39" t="inlineStr">
        <is>
          <t>B0C9LTM6CX</t>
        </is>
      </c>
      <c r="C24" s="39" t="inlineStr">
        <is>
          <t>BM-KING-MIDNIGHT-BLACK</t>
        </is>
      </c>
      <c r="D24" s="39" t="inlineStr">
        <is>
          <t>DECOLURE Cooling Bed Sheets King Set 4pcs - Luxurious &amp; Ultra-Soft King Size Cooling Sheets for Hot Sleepers - Comfortable &amp; Cool Bamboo Viscose Microfiber w/Deep Pockets (Midnight Black)</t>
        </is>
      </c>
      <c r="E24" s="39" t="inlineStr">
        <is>
          <t>King</t>
        </is>
      </c>
      <c r="F24" s="39" t="inlineStr">
        <is>
          <t>Midnight Black</t>
        </is>
      </c>
      <c r="G24" s="73" t="n">
        <v>39.95</v>
      </c>
      <c r="H24" s="39" t="inlineStr">
        <is>
          <t>catalog price, 2026-10-13</t>
        </is>
      </c>
      <c r="I24" s="74" t="n">
        <v>45.95</v>
      </c>
      <c r="J24" s="75" t="inlineStr">
        <is>
          <t>2026-03-30</t>
        </is>
      </c>
      <c r="K24" s="40" t="n">
        <v>15.06</v>
      </c>
      <c r="L24" s="76" t="n">
        <v>0.3277475516866159</v>
      </c>
      <c r="M24" s="77" t="n">
        <v>4</v>
      </c>
      <c r="N24" s="39" t="inlineStr">
        <is>
          <t>Active</t>
        </is>
      </c>
      <c r="O24" s="39" t="inlineStr">
        <is>
          <t>Yes (6%)</t>
        </is>
      </c>
      <c r="P24" s="78" t="n">
        <v>4.2</v>
      </c>
      <c r="Q24" s="77" t="n">
        <v>1296</v>
      </c>
      <c r="R24" s="77" t="n">
        <v>341774</v>
      </c>
      <c r="S24" s="77" t="n">
        <v>0.4598</v>
      </c>
      <c r="T24" s="39" t="n"/>
    </row>
    <row r="25" ht="62" customHeight="1">
      <c r="A25" s="12">
        <f>_xlfn.IMAGE("https://m.media-amazon.com/images/I/81+QctNV9NL.jpg")</f>
        <v/>
      </c>
      <c r="B25" s="39" t="inlineStr">
        <is>
          <t>B0C9LT3V3D</t>
        </is>
      </c>
      <c r="C25" s="39" t="inlineStr">
        <is>
          <t>BM-KING-NAVY-BLUE</t>
        </is>
      </c>
      <c r="D25" s="39" t="inlineStr">
        <is>
          <t>DECOLURE Cooling Bed Sheets King Set 4pcs - Luxurious &amp; Ultra-Soft King Size Cooling Sheets for Hot Sleepers - Comfortable &amp; Cool Bamboo Viscose Microfiber Sheets King Size w/Deep Pockets (Navy)</t>
        </is>
      </c>
      <c r="E25" s="39" t="inlineStr">
        <is>
          <t>King</t>
        </is>
      </c>
      <c r="F25" s="39" t="inlineStr">
        <is>
          <t>Navy Blue</t>
        </is>
      </c>
      <c r="G25" s="73" t="n">
        <v>39.95</v>
      </c>
      <c r="H25" s="39" t="inlineStr">
        <is>
          <t>catalog price, 2026-10-13</t>
        </is>
      </c>
      <c r="I25" s="74" t="n">
        <v>39.95</v>
      </c>
      <c r="J25" s="75" t="inlineStr">
        <is>
          <t>2026-03-30</t>
        </is>
      </c>
      <c r="K25" s="40" t="n">
        <v>9.73</v>
      </c>
      <c r="L25" s="76" t="n">
        <v>0.2435544430538173</v>
      </c>
      <c r="M25" s="77" t="n">
        <v>3</v>
      </c>
      <c r="N25" s="39" t="inlineStr">
        <is>
          <t>Active</t>
        </is>
      </c>
      <c r="O25" s="39" t="n"/>
      <c r="P25" s="78" t="n">
        <v>4.2</v>
      </c>
      <c r="Q25" s="77" t="n">
        <v>1296</v>
      </c>
      <c r="R25" s="77" t="n">
        <v>341774</v>
      </c>
      <c r="S25" s="77" t="n">
        <v>0.7537</v>
      </c>
      <c r="T25" s="39" t="n"/>
    </row>
    <row r="26" ht="62" customHeight="1">
      <c r="A26" s="12">
        <f>_xlfn.IMAGE("https://m.media-amazon.com/images/I/81Hts-OSmEL.jpg")</f>
        <v/>
      </c>
      <c r="B26" s="39" t="inlineStr">
        <is>
          <t>B0CWJ4HG9Q</t>
        </is>
      </c>
      <c r="C26" s="39" t="inlineStr">
        <is>
          <t>BM-CALKING-LIGHT-GREY</t>
        </is>
      </c>
      <c r="D26" s="39" t="inlineStr">
        <is>
          <t>DECOLURE Cooling Bed Sheets Cal-King Set 4pcs - Luxurious &amp; Soft California King Size Cooling Sheets for Hot Sleepers - Comfy &amp; Cool California King Bamboo Viscose Microfiber Sheets (Light Grey)</t>
        </is>
      </c>
      <c r="E26" s="39" t="inlineStr">
        <is>
          <t>California King</t>
        </is>
      </c>
      <c r="F26" s="39" t="inlineStr">
        <is>
          <t>Light Grey</t>
        </is>
      </c>
      <c r="G26" s="73" t="n">
        <v>39.95</v>
      </c>
      <c r="H26" s="39" t="inlineStr">
        <is>
          <t>catalog price, 2026-10-13</t>
        </is>
      </c>
      <c r="I26" s="74" t="n">
        <v>45.95</v>
      </c>
      <c r="J26" s="75" t="inlineStr">
        <is>
          <t>2026-03-30</t>
        </is>
      </c>
      <c r="K26" s="40" t="n">
        <v>14.73</v>
      </c>
      <c r="L26" s="76" t="n">
        <v>0.3205658324265506</v>
      </c>
      <c r="M26" s="77" t="n">
        <v>2</v>
      </c>
      <c r="N26" s="39" t="inlineStr">
        <is>
          <t>Active</t>
        </is>
      </c>
      <c r="O26" s="39" t="n"/>
      <c r="P26" s="78" t="n">
        <v>4.2</v>
      </c>
      <c r="Q26" s="77" t="n">
        <v>1296</v>
      </c>
      <c r="R26" s="77" t="n">
        <v>341774</v>
      </c>
      <c r="S26" s="77" t="n">
        <v>0.8335</v>
      </c>
      <c r="T26" s="39" t="n"/>
    </row>
    <row r="27" ht="62" customHeight="1">
      <c r="A27" s="12">
        <f>_xlfn.IMAGE("https://m.media-amazon.com/images/I/819aQdxjmYL.jpg")</f>
        <v/>
      </c>
      <c r="B27" s="39" t="inlineStr">
        <is>
          <t>B0C9LVTKF7</t>
        </is>
      </c>
      <c r="C27" s="39" t="inlineStr">
        <is>
          <t>BM-FULL-CGREY</t>
        </is>
      </c>
      <c r="D27" s="39" t="inlineStr">
        <is>
          <t>DECOLURE Cooling Sheets Full Set 4pcs - Luxurious &amp; Ultra-Soft Full Size Cooling Sheets for Hot Sleepers - Comfortable Bamboo Viscose Microfiber Full Cooling Bed Sheets w/Deep Pockets (Cool Grey)</t>
        </is>
      </c>
      <c r="E27" s="39" t="inlineStr">
        <is>
          <t>Full</t>
        </is>
      </c>
      <c r="F27" s="39" t="inlineStr">
        <is>
          <t>Cool Grey</t>
        </is>
      </c>
      <c r="G27" s="40" t="n"/>
      <c r="H27" s="39" t="n"/>
      <c r="I27" s="74" t="n">
        <v>35.95</v>
      </c>
      <c r="J27" s="75" t="inlineStr">
        <is>
          <t>2026-03-30</t>
        </is>
      </c>
      <c r="K27" s="40" t="n"/>
      <c r="L27" s="76" t="n"/>
      <c r="M27" s="77" t="n">
        <v>2</v>
      </c>
      <c r="N27" s="39" t="inlineStr">
        <is>
          <t>Inactive</t>
        </is>
      </c>
      <c r="O27" s="39" t="n"/>
      <c r="P27" s="78" t="n"/>
      <c r="Q27" s="77" t="n"/>
      <c r="R27" s="77" t="n"/>
      <c r="S27" s="77" t="n"/>
      <c r="T27" s="39" t="n"/>
    </row>
    <row r="28" ht="62" customHeight="1">
      <c r="A28" s="12">
        <f>_xlfn.IMAGE("https://m.media-amazon.com/images/I/81YbVqqOOBL.jpg")</f>
        <v/>
      </c>
      <c r="B28" s="39" t="inlineStr">
        <is>
          <t>B0C9LR45L9</t>
        </is>
      </c>
      <c r="C28" s="39" t="inlineStr">
        <is>
          <t>BM-FULL-CREAM</t>
        </is>
      </c>
      <c r="D28" s="39" t="inlineStr">
        <is>
          <t>DECOLURE Cooling Sheets Full Set 4pcs - Luxurious &amp; Ultra-Soft Full Size Cooling Sheets for Hot Sleepers - Comfortable Bamboo Viscose Microfiber Full Cooling Bed Sheets w/Deep Pockets (Cream)</t>
        </is>
      </c>
      <c r="E28" s="39" t="inlineStr">
        <is>
          <t>Full</t>
        </is>
      </c>
      <c r="F28" s="39" t="inlineStr">
        <is>
          <t>Cream</t>
        </is>
      </c>
      <c r="G28" s="73" t="n">
        <v>35.95</v>
      </c>
      <c r="H28" s="39" t="inlineStr">
        <is>
          <t>catalog price, 2026-10-13</t>
        </is>
      </c>
      <c r="I28" s="74" t="n">
        <v>43.95</v>
      </c>
      <c r="J28" s="75" t="inlineStr">
        <is>
          <t>2026-03-30</t>
        </is>
      </c>
      <c r="K28" s="40" t="n">
        <v>16.07</v>
      </c>
      <c r="L28" s="76" t="n">
        <v>0.3656427758816838</v>
      </c>
      <c r="M28" s="77" t="n">
        <v>2</v>
      </c>
      <c r="N28" s="39" t="inlineStr">
        <is>
          <t>Active</t>
        </is>
      </c>
      <c r="O28" s="39" t="n"/>
      <c r="P28" s="78" t="n">
        <v>4.2</v>
      </c>
      <c r="Q28" s="77" t="n">
        <v>1296</v>
      </c>
      <c r="R28" s="77" t="n">
        <v>341774</v>
      </c>
      <c r="S28" s="77" t="n">
        <v>2</v>
      </c>
      <c r="T28" s="39" t="n"/>
    </row>
    <row r="29" ht="62" customHeight="1">
      <c r="A29" s="12">
        <f>_xlfn.IMAGE("https://m.media-amazon.com/images/I/81LzK078hML.jpg")</f>
        <v/>
      </c>
      <c r="B29" s="39" t="inlineStr">
        <is>
          <t>B0CWJ79M7J</t>
        </is>
      </c>
      <c r="C29" s="39" t="inlineStr">
        <is>
          <t>BM-KING-PINK</t>
        </is>
      </c>
      <c r="D29" s="39" t="inlineStr">
        <is>
          <t>DECOLURE Cooling Bed Sheets King Set 4pcs - Luxurious &amp; Ultra-Soft King Size Cooling Sheets for Hot Sleepers - Comfortable &amp; Cool Bamboo Viscose Microfiber Sheets King Size w/Deep Pockets (Pink)</t>
        </is>
      </c>
      <c r="E29" s="39" t="inlineStr">
        <is>
          <t>King</t>
        </is>
      </c>
      <c r="F29" s="39" t="inlineStr">
        <is>
          <t>Light Pink</t>
        </is>
      </c>
      <c r="G29" s="73" t="n">
        <v>39.95</v>
      </c>
      <c r="H29" s="39" t="inlineStr">
        <is>
          <t>catalog price, 2026-10-13</t>
        </is>
      </c>
      <c r="I29" s="74" t="n">
        <v>39.95</v>
      </c>
      <c r="J29" s="75" t="inlineStr">
        <is>
          <t>2026-03-30</t>
        </is>
      </c>
      <c r="K29" s="40" t="n">
        <v>8.719999999999999</v>
      </c>
      <c r="L29" s="76" t="n">
        <v>0.2182728410513141</v>
      </c>
      <c r="M29" s="77" t="n">
        <v>2</v>
      </c>
      <c r="N29" s="39" t="inlineStr">
        <is>
          <t>Active</t>
        </is>
      </c>
      <c r="O29" s="39" t="n"/>
      <c r="P29" s="78" t="n">
        <v>4.2</v>
      </c>
      <c r="Q29" s="77" t="n">
        <v>1296</v>
      </c>
      <c r="R29" s="77" t="n">
        <v>341774</v>
      </c>
      <c r="S29" s="77" t="n">
        <v>0.6859</v>
      </c>
      <c r="T29" s="39" t="n"/>
    </row>
    <row r="30" ht="62" customHeight="1">
      <c r="A30" s="12">
        <f>_xlfn.IMAGE("https://m.media-amazon.com/images/I/81e9ABRlpwL.jpg")</f>
        <v/>
      </c>
      <c r="B30" s="39" t="inlineStr">
        <is>
          <t>B0CWJ1KPGR</t>
        </is>
      </c>
      <c r="C30" s="39" t="inlineStr">
        <is>
          <t>BM-TWIN-LIGHT-GREY</t>
        </is>
      </c>
      <c r="D30" s="39" t="inlineStr">
        <is>
          <t>DECOLURE Cooling Bed Sheets Twin Set 3pcs - Luxurious &amp; Ultra-Soft Twin Size Cooling Sheets for Hot Sleepers - Comfortable Cool Bamboo Viscose Microfiber Sheets Twin Size w/Deep Pockets (Light Grey)</t>
        </is>
      </c>
      <c r="E30" s="39" t="inlineStr">
        <is>
          <t>Twin</t>
        </is>
      </c>
      <c r="F30" s="39" t="inlineStr">
        <is>
          <t>Light Grey</t>
        </is>
      </c>
      <c r="G30" s="73" t="n">
        <v>33.95</v>
      </c>
      <c r="H30" s="39" t="inlineStr">
        <is>
          <t>catalog price, 2026-10-13</t>
        </is>
      </c>
      <c r="I30" s="74" t="n">
        <v>39.95</v>
      </c>
      <c r="J30" s="75" t="inlineStr">
        <is>
          <t>2026-03-30</t>
        </is>
      </c>
      <c r="K30" s="40" t="n">
        <v>16.78</v>
      </c>
      <c r="L30" s="76" t="n">
        <v>0.4200250312891114</v>
      </c>
      <c r="M30" s="77" t="n">
        <v>2</v>
      </c>
      <c r="N30" s="39" t="inlineStr">
        <is>
          <t>Active</t>
        </is>
      </c>
      <c r="O30" s="39" t="n"/>
      <c r="P30" s="78" t="n">
        <v>4.2</v>
      </c>
      <c r="Q30" s="77" t="n">
        <v>1296</v>
      </c>
      <c r="R30" s="77" t="n">
        <v>341774</v>
      </c>
      <c r="S30" s="77" t="n">
        <v>3</v>
      </c>
      <c r="T30" s="39" t="n"/>
    </row>
    <row r="31" ht="62" customHeight="1">
      <c r="A31" s="12">
        <f>_xlfn.IMAGE("https://m.media-amazon.com/images/I/81m677YWEDL.jpg")</f>
        <v/>
      </c>
      <c r="B31" s="39" t="inlineStr">
        <is>
          <t>B0CWJ4HG7W</t>
        </is>
      </c>
      <c r="C31" s="39" t="inlineStr">
        <is>
          <t>BM-CALKING-SAGE-GREEN</t>
        </is>
      </c>
      <c r="D31" s="39" t="inlineStr">
        <is>
          <t>DECOLURE Cooling Bed Sheets Cal-King Set 4pcs - Luxurious &amp; Soft California King Size Cooling Sheets for Hot Sleepers - Comfy &amp; Cool California King Bamboo Viscose Microfiber Sheets (Sage Green)</t>
        </is>
      </c>
      <c r="E31" s="39" t="inlineStr">
        <is>
          <t>California King</t>
        </is>
      </c>
      <c r="F31" s="39" t="inlineStr">
        <is>
          <t>Sage Green</t>
        </is>
      </c>
      <c r="G31" s="73" t="n">
        <v>39.95</v>
      </c>
      <c r="H31" s="39" t="inlineStr">
        <is>
          <t>catalog price, 2026-10-13</t>
        </is>
      </c>
      <c r="I31" s="74" t="n">
        <v>39.95</v>
      </c>
      <c r="J31" s="75" t="inlineStr">
        <is>
          <t>2026-03-30</t>
        </is>
      </c>
      <c r="K31" s="40" t="n">
        <v>8.690000000000001</v>
      </c>
      <c r="L31" s="76" t="n">
        <v>0.2175219023779725</v>
      </c>
      <c r="M31" s="77" t="n">
        <v>1</v>
      </c>
      <c r="N31" s="39" t="inlineStr">
        <is>
          <t>Active</t>
        </is>
      </c>
      <c r="O31" s="39" t="n"/>
      <c r="P31" s="78" t="n">
        <v>4.2</v>
      </c>
      <c r="Q31" s="77" t="n">
        <v>1296</v>
      </c>
      <c r="R31" s="77" t="n">
        <v>341774</v>
      </c>
      <c r="S31" s="77" t="n">
        <v>0.9221</v>
      </c>
      <c r="T31" s="39" t="n"/>
    </row>
    <row r="32" ht="62" customHeight="1">
      <c r="A32" s="12">
        <f>_xlfn.IMAGE("https://m.media-amazon.com/images/I/81MzWBXjtdL.jpg")</f>
        <v/>
      </c>
      <c r="B32" s="39" t="inlineStr">
        <is>
          <t>B0C9LQWY53</t>
        </is>
      </c>
      <c r="C32" s="39" t="inlineStr">
        <is>
          <t>BM-FULL-GRAPHITE-GREY</t>
        </is>
      </c>
      <c r="D32" s="39" t="inlineStr">
        <is>
          <t>DECOLURE Cooling Sheets Full Set 4pcs - Luxurious &amp; Ultra-Soft Full Size Cooling Sheets for Hot Sleepers - Comfortable Bamboo Viscose Microfiber Full Cooling Bed Sheets w/Deep Pockets (Graphite)</t>
        </is>
      </c>
      <c r="E32" s="39" t="inlineStr">
        <is>
          <t>Full</t>
        </is>
      </c>
      <c r="F32" s="39" t="inlineStr">
        <is>
          <t>Graphite</t>
        </is>
      </c>
      <c r="G32" s="73" t="n">
        <v>35.95</v>
      </c>
      <c r="H32" s="39" t="inlineStr">
        <is>
          <t>catalog price, 2026-10-13</t>
        </is>
      </c>
      <c r="I32" s="74" t="n">
        <v>35.95</v>
      </c>
      <c r="J32" s="75" t="inlineStr">
        <is>
          <t>2026-03-30</t>
        </is>
      </c>
      <c r="K32" s="40" t="n">
        <v>6.550000000000001</v>
      </c>
      <c r="L32" s="76" t="n">
        <v>0.1821974965229486</v>
      </c>
      <c r="M32" s="77" t="n">
        <v>1</v>
      </c>
      <c r="N32" s="39" t="inlineStr">
        <is>
          <t>Active</t>
        </is>
      </c>
      <c r="O32" s="39" t="n"/>
      <c r="P32" s="78" t="n">
        <v>4.2</v>
      </c>
      <c r="Q32" s="77" t="n">
        <v>1296</v>
      </c>
      <c r="R32" s="77" t="n">
        <v>341774</v>
      </c>
      <c r="S32" s="77" t="n">
        <v>1</v>
      </c>
      <c r="T32" s="39" t="n"/>
    </row>
    <row r="33" ht="62" customHeight="1">
      <c r="A33" s="12">
        <f>_xlfn.IMAGE("https://m.media-amazon.com/images/I/81XErw+bRVL.jpg")</f>
        <v/>
      </c>
      <c r="B33" s="39" t="inlineStr">
        <is>
          <t>B0CWJ4W1WP</t>
        </is>
      </c>
      <c r="C33" s="39" t="inlineStr">
        <is>
          <t>BM-FULL-LIGHT-BLUE</t>
        </is>
      </c>
      <c r="D33" s="39" t="inlineStr">
        <is>
          <t>DECOLURE Cooling Sheets Full Set 4pcs - Luxurious &amp; Ultra-Soft Full Size Cooling Sheets for Hot Sleepers - Comfortable Bamboo Viscose Microfiber Full Cooling Bed Sheets w/Deep Pockets (Light Blue)</t>
        </is>
      </c>
      <c r="E33" s="39" t="inlineStr">
        <is>
          <t>Full</t>
        </is>
      </c>
      <c r="F33" s="39" t="inlineStr">
        <is>
          <t>Light Blue</t>
        </is>
      </c>
      <c r="G33" s="73" t="n">
        <v>35.95</v>
      </c>
      <c r="H33" s="39" t="inlineStr">
        <is>
          <t>catalog price, 2026-10-13</t>
        </is>
      </c>
      <c r="I33" s="74" t="n">
        <v>35.95</v>
      </c>
      <c r="J33" s="75" t="inlineStr">
        <is>
          <t>2026-03-30</t>
        </is>
      </c>
      <c r="K33" s="40" t="n"/>
      <c r="L33" s="76" t="n"/>
      <c r="M33" s="77" t="n">
        <v>1</v>
      </c>
      <c r="N33" s="39" t="inlineStr">
        <is>
          <t>Active</t>
        </is>
      </c>
      <c r="O33" s="39" t="n"/>
      <c r="P33" s="78" t="n">
        <v>4.2</v>
      </c>
      <c r="Q33" s="77" t="n">
        <v>1296</v>
      </c>
      <c r="R33" s="77" t="n">
        <v>341774</v>
      </c>
      <c r="S33" s="77" t="n">
        <v>2</v>
      </c>
      <c r="T33" s="39" t="n"/>
    </row>
    <row r="34" ht="62" customHeight="1">
      <c r="A34" s="12">
        <f>_xlfn.IMAGE("https://m.media-amazon.com/images/I/81+QctNV9NL.jpg")</f>
        <v/>
      </c>
      <c r="B34" s="39" t="inlineStr">
        <is>
          <t>B0C9LT81MY</t>
        </is>
      </c>
      <c r="C34" s="39" t="inlineStr">
        <is>
          <t>BM-FULL-NAVY-BLUE</t>
        </is>
      </c>
      <c r="D34" s="39" t="inlineStr">
        <is>
          <t>DECOLURE Cooling Sheets Full Set 4pcs - Luxurious &amp; Ultra-Soft Full Size Cooling Sheets for Hot Sleepers - Comfortable Bamboo Viscose Microfiber Full Cooling Bed Sheets w/Deep Pockets (Navy-01)</t>
        </is>
      </c>
      <c r="E34" s="39" t="inlineStr">
        <is>
          <t>Full</t>
        </is>
      </c>
      <c r="F34" s="39" t="inlineStr">
        <is>
          <t>Navy Blue-01</t>
        </is>
      </c>
      <c r="G34" s="40" t="n"/>
      <c r="H34" s="39" t="n"/>
      <c r="I34" s="74" t="n">
        <v>35.95</v>
      </c>
      <c r="J34" s="75" t="inlineStr">
        <is>
          <t>2026-03-30</t>
        </is>
      </c>
      <c r="K34" s="40" t="n">
        <v>8.820000000000002</v>
      </c>
      <c r="L34" s="76" t="n">
        <v>0.2453407510431155</v>
      </c>
      <c r="M34" s="77" t="n">
        <v>1</v>
      </c>
      <c r="N34" s="39" t="inlineStr">
        <is>
          <t>Active</t>
        </is>
      </c>
      <c r="O34" s="39" t="n"/>
      <c r="P34" s="78" t="n"/>
      <c r="Q34" s="77" t="n"/>
      <c r="R34" s="77" t="n"/>
      <c r="S34" s="77" t="n"/>
      <c r="T34" s="39" t="n"/>
    </row>
    <row r="35" ht="62" customHeight="1">
      <c r="A35" s="12">
        <f>_xlfn.IMAGE("https://m.media-amazon.com/images/I/81m677YWEDL.jpg")</f>
        <v/>
      </c>
      <c r="B35" s="39" t="inlineStr">
        <is>
          <t>B0CWJCY2VP</t>
        </is>
      </c>
      <c r="C35" s="39" t="inlineStr">
        <is>
          <t>BM-FULL-SAGE-GREEN</t>
        </is>
      </c>
      <c r="D35" s="39" t="inlineStr">
        <is>
          <t>DECOLURE Cooling Sheets Full Set 4pcs - Luxurious &amp; Ultra-Soft Full Size Cooling Sheets for Hot Sleepers - Comfortable Bamboo Viscose Microfiber Full Cooling Bed Sheets w/Deep Pockets (Sage Green)</t>
        </is>
      </c>
      <c r="E35" s="39" t="inlineStr">
        <is>
          <t>Full</t>
        </is>
      </c>
      <c r="F35" s="39" t="inlineStr">
        <is>
          <t>Sage Green</t>
        </is>
      </c>
      <c r="G35" s="73" t="n">
        <v>35.95</v>
      </c>
      <c r="H35" s="39" t="inlineStr">
        <is>
          <t>catalog price, 2026-10-13</t>
        </is>
      </c>
      <c r="I35" s="74" t="n">
        <v>35.95</v>
      </c>
      <c r="J35" s="75" t="inlineStr">
        <is>
          <t>2026-03-30</t>
        </is>
      </c>
      <c r="K35" s="40" t="n">
        <v>9.180000000000001</v>
      </c>
      <c r="L35" s="76" t="n">
        <v>0.2553546592489569</v>
      </c>
      <c r="M35" s="77" t="n">
        <v>1</v>
      </c>
      <c r="N35" s="39" t="inlineStr">
        <is>
          <t>Active</t>
        </is>
      </c>
      <c r="O35" s="39" t="n"/>
      <c r="P35" s="78" t="n">
        <v>4.2</v>
      </c>
      <c r="Q35" s="77" t="n">
        <v>1296</v>
      </c>
      <c r="R35" s="77" t="n">
        <v>341774</v>
      </c>
      <c r="S35" s="77" t="n">
        <v>2</v>
      </c>
      <c r="T35" s="39" t="n"/>
    </row>
    <row r="36" ht="62" customHeight="1">
      <c r="A36" s="12">
        <f>_xlfn.IMAGE("https://m.media-amazon.com/images/I/81OQAuZYXSL.jpg")</f>
        <v/>
      </c>
      <c r="B36" s="39" t="inlineStr">
        <is>
          <t>B0C9LSHCH5</t>
        </is>
      </c>
      <c r="C36" s="39" t="inlineStr">
        <is>
          <t>BM-FULL-WHITE</t>
        </is>
      </c>
      <c r="D36" s="39" t="inlineStr">
        <is>
          <t>DECOLURE Cooling Sheets Full Set 4pcs - Luxurious &amp; Ultra-Soft Full Size Cooling Sheets for Hot Sleepers - Comfortable Bamboo Viscose Microfiber Full Cooling Bed Sheets w/Deep Pockets (White)</t>
        </is>
      </c>
      <c r="E36" s="39" t="inlineStr">
        <is>
          <t>Full</t>
        </is>
      </c>
      <c r="F36" s="39" t="inlineStr">
        <is>
          <t>White</t>
        </is>
      </c>
      <c r="G36" s="73" t="n">
        <v>35.95</v>
      </c>
      <c r="H36" s="39" t="inlineStr">
        <is>
          <t>catalog price, 2026-10-13</t>
        </is>
      </c>
      <c r="I36" s="74" t="n">
        <v>41.95</v>
      </c>
      <c r="J36" s="75" t="inlineStr">
        <is>
          <t>2026-03-30</t>
        </is>
      </c>
      <c r="K36" s="40" t="n">
        <v>12.59</v>
      </c>
      <c r="L36" s="76" t="n">
        <v>0.300119189511323</v>
      </c>
      <c r="M36" s="77" t="n">
        <v>1</v>
      </c>
      <c r="N36" s="39" t="inlineStr">
        <is>
          <t>Active</t>
        </is>
      </c>
      <c r="O36" s="39" t="n"/>
      <c r="P36" s="78" t="n">
        <v>4.2</v>
      </c>
      <c r="Q36" s="77" t="n">
        <v>1296</v>
      </c>
      <c r="R36" s="77" t="n">
        <v>341774</v>
      </c>
      <c r="S36" s="77" t="n">
        <v>1</v>
      </c>
      <c r="T36" s="39" t="n"/>
    </row>
    <row r="37" ht="62" customHeight="1">
      <c r="A37" s="12">
        <f>_xlfn.IMAGE("https://m.media-amazon.com/images/I/81Hts-OSmEL.jpg")</f>
        <v/>
      </c>
      <c r="B37" s="39" t="inlineStr">
        <is>
          <t>B0CWJ188W3</t>
        </is>
      </c>
      <c r="C37" s="39" t="inlineStr">
        <is>
          <t>BM-QUEEN-LIGHT-GREY</t>
        </is>
      </c>
      <c r="D37" s="39" t="inlineStr">
        <is>
          <t>DECOLURE Cooling Sheets Queen Set 4pcs - Luxurious &amp; Ultra-Soft Cooling Bed Sheets Queen Size for Hot Sleepers - Comfortable Bamboo Viscose Microfiber Queen Bed Sheets Set Cooling (Light Grey)</t>
        </is>
      </c>
      <c r="E37" s="39" t="inlineStr">
        <is>
          <t>Queen</t>
        </is>
      </c>
      <c r="F37" s="39" t="inlineStr">
        <is>
          <t>Light Grey</t>
        </is>
      </c>
      <c r="G37" s="73" t="n">
        <v>37.95</v>
      </c>
      <c r="H37" s="39" t="inlineStr">
        <is>
          <t>catalog price, 2026-10-13</t>
        </is>
      </c>
      <c r="I37" s="40" t="n"/>
      <c r="J37" s="39" t="n"/>
      <c r="K37" s="40" t="n"/>
      <c r="L37" s="76" t="n"/>
      <c r="M37" s="77" t="n">
        <v>1</v>
      </c>
      <c r="N37" s="39" t="inlineStr">
        <is>
          <t>Active</t>
        </is>
      </c>
      <c r="O37" s="39" t="n"/>
      <c r="P37" s="78" t="n">
        <v>4.2</v>
      </c>
      <c r="Q37" s="77" t="n">
        <v>1296</v>
      </c>
      <c r="R37" s="77" t="n">
        <v>341774</v>
      </c>
      <c r="S37" s="77" t="n">
        <v>0.3397</v>
      </c>
      <c r="T37" s="39" t="n"/>
    </row>
    <row r="38" ht="62" customHeight="1">
      <c r="A38" s="12">
        <f>_xlfn.IMAGE("https://m.media-amazon.com/images/I/81DKT9lQLpL.jpg")</f>
        <v/>
      </c>
      <c r="B38" s="39" t="inlineStr">
        <is>
          <t>B0C9LPF46G</t>
        </is>
      </c>
      <c r="C38" s="39" t="inlineStr">
        <is>
          <t>BM-TWIN-GRAPHITE-GREY</t>
        </is>
      </c>
      <c r="D38" s="39" t="inlineStr">
        <is>
          <t>DECOLURE Cooling Bed Sheets Twin Set 3pcs - Luxurious &amp; Ultra-Soft Twin Size Cooling Sheets for Hot Sleepers - Comfortable Cool Bamboo Viscose Microfiber Sheets Twin Size w/Deep Pockets (Graphite)</t>
        </is>
      </c>
      <c r="E38" s="39" t="inlineStr">
        <is>
          <t>Twin</t>
        </is>
      </c>
      <c r="F38" s="39" t="inlineStr">
        <is>
          <t>Graphite</t>
        </is>
      </c>
      <c r="G38" s="73" t="n">
        <v>33.95</v>
      </c>
      <c r="H38" s="39" t="inlineStr">
        <is>
          <t>catalog price, 2026-10-13</t>
        </is>
      </c>
      <c r="I38" s="74" t="n">
        <v>40.95</v>
      </c>
      <c r="J38" s="75" t="inlineStr">
        <is>
          <t>2026-03-30</t>
        </is>
      </c>
      <c r="K38" s="40" t="n">
        <v>17.03</v>
      </c>
      <c r="L38" s="76" t="n">
        <v>0.4158730158730159</v>
      </c>
      <c r="M38" s="77" t="n">
        <v>1</v>
      </c>
      <c r="N38" s="39" t="inlineStr">
        <is>
          <t>Active</t>
        </is>
      </c>
      <c r="O38" s="39" t="n"/>
      <c r="P38" s="78" t="n">
        <v>4.2</v>
      </c>
      <c r="Q38" s="77" t="n">
        <v>1296</v>
      </c>
      <c r="R38" s="77" t="n">
        <v>341790</v>
      </c>
      <c r="S38" s="77" t="n">
        <v>2</v>
      </c>
      <c r="T38" s="39" t="n"/>
    </row>
    <row r="39" ht="62" customHeight="1">
      <c r="A39" s="12">
        <f>_xlfn.IMAGE("https://m.media-amazon.com/images/I/810EckETRlL.jpg")</f>
        <v/>
      </c>
      <c r="B39" s="39" t="inlineStr">
        <is>
          <t>B0C9LVLJ6S</t>
        </is>
      </c>
      <c r="C39" s="39" t="inlineStr">
        <is>
          <t>BM-TWIN-NAVY-BLUE</t>
        </is>
      </c>
      <c r="D39" s="39" t="inlineStr">
        <is>
          <t>DECOLURE Cooling Bed Sheets Twin Set 3pcs - Luxurious &amp; Ultra-Soft Twin Size Cooling Sheets for Hot Sleepers - Comfortable Cool Bamboo Viscose Microfiber Sheets Twin Size w/Deep Pockets (Navy)</t>
        </is>
      </c>
      <c r="E39" s="39" t="inlineStr">
        <is>
          <t>Twin</t>
        </is>
      </c>
      <c r="F39" s="39" t="inlineStr">
        <is>
          <t>Navy Blue</t>
        </is>
      </c>
      <c r="G39" s="73" t="n">
        <v>33.95</v>
      </c>
      <c r="H39" s="39" t="inlineStr">
        <is>
          <t>catalog price, 2026-10-13</t>
        </is>
      </c>
      <c r="I39" s="74" t="n">
        <v>40.95</v>
      </c>
      <c r="J39" s="75" t="inlineStr">
        <is>
          <t>2026-03-30</t>
        </is>
      </c>
      <c r="K39" s="40" t="n">
        <v>16.59</v>
      </c>
      <c r="L39" s="76" t="n">
        <v>0.4051282051282052</v>
      </c>
      <c r="M39" s="77" t="n">
        <v>1</v>
      </c>
      <c r="N39" s="39" t="inlineStr">
        <is>
          <t>Active</t>
        </is>
      </c>
      <c r="O39" s="39" t="n"/>
      <c r="P39" s="78" t="n">
        <v>4.2</v>
      </c>
      <c r="Q39" s="77" t="n">
        <v>1296</v>
      </c>
      <c r="R39" s="77" t="n">
        <v>341774</v>
      </c>
      <c r="S39" s="77" t="n">
        <v>3</v>
      </c>
      <c r="T39" s="39" t="n"/>
    </row>
    <row r="40" ht="62" customHeight="1">
      <c r="A40" s="12">
        <f>_xlfn.IMAGE("https://m.media-amazon.com/images/I/81MzWBXjtdL.jpg")</f>
        <v/>
      </c>
      <c r="B40" s="39" t="inlineStr">
        <is>
          <t>B0C9LNSCWB</t>
        </is>
      </c>
      <c r="C40" s="39" t="inlineStr">
        <is>
          <t>BM-CALKING-4PCS-GRAPHITE-GREY</t>
        </is>
      </c>
      <c r="D40" s="39" t="inlineStr">
        <is>
          <t>DECOLURE Cooling Bed Sheets Cal-King Set 4pcs - Luxurious &amp; Soft California King Size Cooling Sheets for Hot Sleepers - Comfy &amp; Cool California King Bamboo Viscose Microfiber Sheets (Graphite-01)</t>
        </is>
      </c>
      <c r="E40" s="39" t="inlineStr">
        <is>
          <t>Cal King</t>
        </is>
      </c>
      <c r="F40" s="39" t="inlineStr">
        <is>
          <t>Graphite</t>
        </is>
      </c>
      <c r="G40" s="73" t="n">
        <v>39.95</v>
      </c>
      <c r="H40" s="39" t="inlineStr">
        <is>
          <t>catalog price, 2026-10-13</t>
        </is>
      </c>
      <c r="I40" s="40" t="n"/>
      <c r="J40" s="39" t="n"/>
      <c r="K40" s="40" t="n"/>
      <c r="L40" s="76" t="n"/>
      <c r="M40" s="77" t="n">
        <v>0</v>
      </c>
      <c r="N40" s="39" t="inlineStr">
        <is>
          <t>Active</t>
        </is>
      </c>
      <c r="O40" s="39" t="n"/>
      <c r="P40" s="78" t="n">
        <v>3</v>
      </c>
      <c r="Q40" s="77" t="n">
        <v>15</v>
      </c>
      <c r="R40" s="77" t="n">
        <v>980806</v>
      </c>
      <c r="S40" s="77" t="n">
        <v>0</v>
      </c>
      <c r="T40" s="79" t="inlineStr">
        <is>
          <t>SEPARATE listing - not in the main review family</t>
        </is>
      </c>
    </row>
    <row r="41" ht="62" customHeight="1">
      <c r="A41" s="12">
        <f>_xlfn.IMAGE("https://m.media-amazon.com/images/I/81BtsH28UJL.jpg")</f>
        <v/>
      </c>
      <c r="B41" s="39" t="inlineStr">
        <is>
          <t>B0CWJ2ZQJR</t>
        </is>
      </c>
      <c r="C41" s="39" t="inlineStr">
        <is>
          <t>BM-CALKING-BEIGE</t>
        </is>
      </c>
      <c r="D41" s="39" t="inlineStr">
        <is>
          <t>DECOLURE Cooling Bed Sheets Cal-King Set 4pcs - Luxurious &amp; Soft California King Size Cooling Sheets for Hot Sleepers - Comfy &amp; Cool California King Bamboo Viscose Microfiber Sheets (Beige)</t>
        </is>
      </c>
      <c r="E41" s="39" t="inlineStr">
        <is>
          <t>California King</t>
        </is>
      </c>
      <c r="F41" s="39" t="inlineStr">
        <is>
          <t>Beige</t>
        </is>
      </c>
      <c r="G41" s="73" t="n">
        <v>39.95</v>
      </c>
      <c r="H41" s="39" t="inlineStr">
        <is>
          <t>catalog price, 2026-10-13</t>
        </is>
      </c>
      <c r="I41" s="74" t="n">
        <v>39.95</v>
      </c>
      <c r="J41" s="75" t="inlineStr">
        <is>
          <t>2026-03-30</t>
        </is>
      </c>
      <c r="K41" s="40" t="n">
        <v>9.629999999999999</v>
      </c>
      <c r="L41" s="76" t="n">
        <v>0.2410513141426783</v>
      </c>
      <c r="M41" s="77" t="n">
        <v>0</v>
      </c>
      <c r="N41" s="39" t="inlineStr">
        <is>
          <t>Active</t>
        </is>
      </c>
      <c r="O41" s="39" t="n"/>
      <c r="P41" s="78" t="n">
        <v>4.2</v>
      </c>
      <c r="Q41" s="77" t="n">
        <v>1296</v>
      </c>
      <c r="R41" s="77" t="n">
        <v>341774</v>
      </c>
      <c r="S41" s="77" t="n">
        <v>0.7277</v>
      </c>
      <c r="T41" s="39" t="n"/>
    </row>
    <row r="42" ht="62" customHeight="1">
      <c r="A42" s="12">
        <f>_xlfn.IMAGE("https://m.media-amazon.com/images/I/81Gj0zENECL.jpg")</f>
        <v/>
      </c>
      <c r="B42" s="39" t="inlineStr">
        <is>
          <t>B0C9LXDSJ1</t>
        </is>
      </c>
      <c r="C42" s="39" t="inlineStr">
        <is>
          <t>BM-CALKING-CGREY</t>
        </is>
      </c>
      <c r="D42" s="39" t="inlineStr">
        <is>
          <t>DECOLURE Cooling Bed Sheets Cal-King Set 4pcs - Luxurious &amp; Soft California King Size Cooling Sheets for Hot Sleepers - Comfy &amp; Cool California King Bamboo Viscose Microfiber Sheets (Cool Grey)</t>
        </is>
      </c>
      <c r="E42" s="39" t="inlineStr">
        <is>
          <t>California King</t>
        </is>
      </c>
      <c r="F42" s="39" t="inlineStr">
        <is>
          <t>Cool Grey</t>
        </is>
      </c>
      <c r="G42" s="73" t="n">
        <v>39.95</v>
      </c>
      <c r="H42" s="39" t="inlineStr">
        <is>
          <t>catalog price, 2026-10-13</t>
        </is>
      </c>
      <c r="I42" s="74" t="n">
        <v>47.95</v>
      </c>
      <c r="J42" s="75" t="inlineStr">
        <is>
          <t>2026-03-30</t>
        </is>
      </c>
      <c r="K42" s="40" t="n">
        <v>16.68</v>
      </c>
      <c r="L42" s="76" t="n">
        <v>0.3478623566214807</v>
      </c>
      <c r="M42" s="77" t="n">
        <v>0</v>
      </c>
      <c r="N42" s="39" t="inlineStr">
        <is>
          <t>Active</t>
        </is>
      </c>
      <c r="O42" s="39" t="inlineStr">
        <is>
          <t>Yes (3%)</t>
        </is>
      </c>
      <c r="P42" s="78" t="n">
        <v>4.2</v>
      </c>
      <c r="Q42" s="77" t="n">
        <v>1296</v>
      </c>
      <c r="R42" s="77" t="n">
        <v>341774</v>
      </c>
      <c r="S42" s="77" t="n">
        <v>0.8683</v>
      </c>
      <c r="T42" s="39" t="n"/>
    </row>
    <row r="43" ht="62" customHeight="1">
      <c r="A43" s="12">
        <f>_xlfn.IMAGE("https://m.media-amazon.com/images/I/81YbVqqOOBL.jpg")</f>
        <v/>
      </c>
      <c r="B43" s="39" t="inlineStr">
        <is>
          <t>B0C9LWPL86</t>
        </is>
      </c>
      <c r="C43" s="39" t="inlineStr">
        <is>
          <t>BM-CALKING-CREAM</t>
        </is>
      </c>
      <c r="D43" s="39" t="inlineStr">
        <is>
          <t>DECOLURE Cooling Bed Sheets Cal-King Set 4pcs - Luxurious &amp; Soft California King Size Cooling Sheets for Hot Sleepers - Comfy &amp; Cool California King Bamboo Viscose Microfiber Sheets (Cream)</t>
        </is>
      </c>
      <c r="E43" s="39" t="inlineStr">
        <is>
          <t>California King</t>
        </is>
      </c>
      <c r="F43" s="39" t="inlineStr">
        <is>
          <t>Cream</t>
        </is>
      </c>
      <c r="G43" s="73" t="n">
        <v>39.95</v>
      </c>
      <c r="H43" s="39" t="inlineStr">
        <is>
          <t>catalog price, 2026-10-13</t>
        </is>
      </c>
      <c r="I43" s="74" t="n">
        <v>44.95</v>
      </c>
      <c r="J43" s="75" t="inlineStr">
        <is>
          <t>2026-03-30</t>
        </is>
      </c>
      <c r="K43" s="40" t="n">
        <v>13.59</v>
      </c>
      <c r="L43" s="76" t="n">
        <v>0.3023359288097887</v>
      </c>
      <c r="M43" s="77" t="n">
        <v>0</v>
      </c>
      <c r="N43" s="39" t="inlineStr">
        <is>
          <t>Active</t>
        </is>
      </c>
      <c r="O43" s="39" t="n"/>
      <c r="P43" s="78" t="n">
        <v>4.2</v>
      </c>
      <c r="Q43" s="77" t="n">
        <v>1296</v>
      </c>
      <c r="R43" s="77" t="n">
        <v>341774</v>
      </c>
      <c r="S43" s="77" t="n">
        <v>0.7969000000000001</v>
      </c>
      <c r="T43" s="39" t="n"/>
    </row>
    <row r="44" ht="62" customHeight="1">
      <c r="A44" s="12">
        <f>_xlfn.IMAGE("https://m.media-amazon.com/images/I/81MzWBXjtdL.jpg")</f>
        <v/>
      </c>
      <c r="B44" s="39" t="inlineStr">
        <is>
          <t>B0C9LNSCWB</t>
        </is>
      </c>
      <c r="C44" s="39" t="inlineStr">
        <is>
          <t>BM-CALKING-GRAPHITE-GREY</t>
        </is>
      </c>
      <c r="D44" s="39" t="inlineStr">
        <is>
          <t>DECOLURE Cooling Bed Sheets Cal-King Set 4pcs - Luxurious &amp; Soft California King Size Cooling Sheets for Hot Sleepers - Comfy &amp; Cool California King Bamboo Viscose Microfiber Sheets (Graphite-01)</t>
        </is>
      </c>
      <c r="E44" s="39" t="inlineStr">
        <is>
          <t>California King</t>
        </is>
      </c>
      <c r="F44" s="39" t="inlineStr">
        <is>
          <t>Graphite</t>
        </is>
      </c>
      <c r="G44" s="73" t="n">
        <v>39.95</v>
      </c>
      <c r="H44" s="39" t="inlineStr">
        <is>
          <t>catalog price, 2026-10-13</t>
        </is>
      </c>
      <c r="I44" s="74" t="n">
        <v>39.95</v>
      </c>
      <c r="J44" s="75" t="inlineStr">
        <is>
          <t>2026-03-30</t>
        </is>
      </c>
      <c r="K44" s="40" t="n">
        <v>9.590000000000003</v>
      </c>
      <c r="L44" s="76" t="n">
        <v>0.2400500625782228</v>
      </c>
      <c r="M44" s="77" t="n">
        <v>0</v>
      </c>
      <c r="N44" s="39" t="inlineStr">
        <is>
          <t>Active</t>
        </is>
      </c>
      <c r="O44" s="39" t="n"/>
      <c r="P44" s="78" t="n">
        <v>3</v>
      </c>
      <c r="Q44" s="77" t="n">
        <v>15</v>
      </c>
      <c r="R44" s="77" t="n">
        <v>980806</v>
      </c>
      <c r="S44" s="77" t="n">
        <v>0</v>
      </c>
      <c r="T44" s="79" t="inlineStr">
        <is>
          <t>SEPARATE listing - not in the main review family</t>
        </is>
      </c>
    </row>
    <row r="45" ht="62" customHeight="1">
      <c r="A45" s="12">
        <f>_xlfn.IMAGE("https://m.media-amazon.com/images/I/81pyUdhR+eL.jpg")</f>
        <v/>
      </c>
      <c r="B45" s="39" t="inlineStr">
        <is>
          <t>B0CWHT5C1M</t>
        </is>
      </c>
      <c r="C45" s="39" t="inlineStr">
        <is>
          <t>BM-CALKING-LIGHT-BLUE</t>
        </is>
      </c>
      <c r="D45" s="39" t="inlineStr">
        <is>
          <t>DECOLURE Cooling Bed Sheets Cal-King Set 4pcs - Luxurious &amp; Soft California King Size Cooling Sheets for Hot Sleepers - Comfy &amp; Cool California King Bamboo Viscose Microfiber Sheets (Light Blue)</t>
        </is>
      </c>
      <c r="E45" s="39" t="inlineStr">
        <is>
          <t>California King</t>
        </is>
      </c>
      <c r="F45" s="39" t="inlineStr">
        <is>
          <t>Light Blue</t>
        </is>
      </c>
      <c r="G45" s="40" t="n"/>
      <c r="H45" s="39" t="n"/>
      <c r="I45" s="74" t="n">
        <v>39.95</v>
      </c>
      <c r="J45" s="75" t="inlineStr">
        <is>
          <t>2026-03-30</t>
        </is>
      </c>
      <c r="K45" s="40" t="n">
        <v>8.690000000000001</v>
      </c>
      <c r="L45" s="76" t="n">
        <v>0.2175219023779725</v>
      </c>
      <c r="M45" s="77" t="n"/>
      <c r="N45" s="39" t="inlineStr">
        <is>
          <t>Inactive</t>
        </is>
      </c>
      <c r="O45" s="39" t="n"/>
      <c r="P45" s="78" t="n"/>
      <c r="Q45" s="77" t="n"/>
      <c r="R45" s="77" t="n"/>
      <c r="S45" s="77" t="n"/>
      <c r="T45" s="39" t="n"/>
    </row>
    <row r="46" ht="62" customHeight="1">
      <c r="A46" s="12">
        <f>_xlfn.IMAGE("https://m.media-amazon.com/images/I/81LzK078hML.jpg")</f>
        <v/>
      </c>
      <c r="B46" s="39" t="inlineStr">
        <is>
          <t>B0CWJ19HT3</t>
        </is>
      </c>
      <c r="C46" s="39" t="inlineStr">
        <is>
          <t>BM-CALKING-PINK</t>
        </is>
      </c>
      <c r="D46" s="39" t="inlineStr">
        <is>
          <t>DECOLURE Cooling Bed Sheets Cal-King Set 4pcs - Luxurious &amp; Soft California King Size Cooling Sheets for Hot Sleepers - Comfy &amp; Cool California King Bamboo Viscose Microfiber Sheets (Pink)</t>
        </is>
      </c>
      <c r="E46" s="39" t="inlineStr">
        <is>
          <t>California King</t>
        </is>
      </c>
      <c r="F46" s="39" t="inlineStr">
        <is>
          <t>Light Pink</t>
        </is>
      </c>
      <c r="G46" s="73" t="n">
        <v>39.95</v>
      </c>
      <c r="H46" s="39" t="inlineStr">
        <is>
          <t>catalog price, 2026-10-13</t>
        </is>
      </c>
      <c r="I46" s="74" t="n">
        <v>49.95</v>
      </c>
      <c r="J46" s="75" t="inlineStr">
        <is>
          <t>2026-03-30</t>
        </is>
      </c>
      <c r="K46" s="40" t="n">
        <v>17.11</v>
      </c>
      <c r="L46" s="76" t="n">
        <v>0.3425425425425425</v>
      </c>
      <c r="M46" s="77" t="n">
        <v>0</v>
      </c>
      <c r="N46" s="39" t="inlineStr">
        <is>
          <t>Active</t>
        </is>
      </c>
      <c r="O46" s="39" t="n"/>
      <c r="P46" s="78" t="n">
        <v>4.2</v>
      </c>
      <c r="Q46" s="77" t="n">
        <v>1296</v>
      </c>
      <c r="R46" s="77" t="n">
        <v>341774</v>
      </c>
      <c r="S46" s="77" t="n">
        <v>0.7722</v>
      </c>
      <c r="T46" s="39" t="n"/>
    </row>
    <row r="47" ht="62" customHeight="1">
      <c r="A47" s="12">
        <f>_xlfn.IMAGE("https://m.media-amazon.com/images/I/81Z4qrudvWL.jpg")</f>
        <v/>
      </c>
      <c r="B47" s="39" t="inlineStr">
        <is>
          <t>B0C9LTYXMQ</t>
        </is>
      </c>
      <c r="C47" s="39" t="inlineStr">
        <is>
          <t>BM-CALKING-MIDNIGHT-BLACK</t>
        </is>
      </c>
      <c r="D47" s="39" t="inlineStr">
        <is>
          <t>DECOLURE Cooling Bed Sheets Cal-King Set 4pcs - Luxurious &amp; Soft California King Size Cooling Sheets for Hot Sleepers - Comfy &amp; Cool California King Bamboo Viscose Microfiber Sheets (Midnight Black)</t>
        </is>
      </c>
      <c r="E47" s="39" t="inlineStr">
        <is>
          <t>California King</t>
        </is>
      </c>
      <c r="F47" s="39" t="inlineStr">
        <is>
          <t>Midnight Black</t>
        </is>
      </c>
      <c r="G47" s="40" t="n"/>
      <c r="H47" s="39" t="n"/>
      <c r="I47" s="74" t="n">
        <v>55.95</v>
      </c>
      <c r="J47" s="75" t="inlineStr">
        <is>
          <t>2026-03-30</t>
        </is>
      </c>
      <c r="K47" s="40" t="n">
        <v>22.16</v>
      </c>
      <c r="L47" s="76" t="n">
        <v>0.3960679177837355</v>
      </c>
      <c r="M47" s="77" t="n"/>
      <c r="N47" s="39" t="inlineStr">
        <is>
          <t>Inactive</t>
        </is>
      </c>
      <c r="O47" s="39" t="n"/>
      <c r="P47" s="78" t="n"/>
      <c r="Q47" s="77" t="n"/>
      <c r="R47" s="77" t="n"/>
      <c r="S47" s="77" t="n"/>
      <c r="T47" s="39" t="n"/>
    </row>
    <row r="48" ht="62" customHeight="1">
      <c r="A48" s="12">
        <f>_xlfn.IMAGE("https://m.media-amazon.com/images/I/81+QctNV9NL.jpg")</f>
        <v/>
      </c>
      <c r="B48" s="39" t="inlineStr">
        <is>
          <t>B0C9LR2MK4</t>
        </is>
      </c>
      <c r="C48" s="39" t="inlineStr">
        <is>
          <t>BM-CALKING-NAVY-BLUE</t>
        </is>
      </c>
      <c r="D48" s="39" t="inlineStr">
        <is>
          <t>DECOLURE Cooling Bed Sheets Cal-King Set 4pcs - Luxurious &amp; Soft California King Size Cooling Sheets for Hot Sleepers - Comfy &amp; Cool California King Bamboo Viscose Microfiber Sheets (Navy)</t>
        </is>
      </c>
      <c r="E48" s="39" t="inlineStr">
        <is>
          <t>California King</t>
        </is>
      </c>
      <c r="F48" s="39" t="inlineStr">
        <is>
          <t>Navy Blue</t>
        </is>
      </c>
      <c r="G48" s="73" t="n">
        <v>39.95</v>
      </c>
      <c r="H48" s="39" t="inlineStr">
        <is>
          <t>catalog price, 2026-10-13</t>
        </is>
      </c>
      <c r="I48" s="40" t="n"/>
      <c r="J48" s="39" t="n"/>
      <c r="K48" s="40" t="n"/>
      <c r="L48" s="76" t="n"/>
      <c r="M48" s="77" t="n">
        <v>0</v>
      </c>
      <c r="N48" s="39" t="inlineStr">
        <is>
          <t>Active</t>
        </is>
      </c>
      <c r="O48" s="39" t="n"/>
      <c r="P48" s="78" t="n">
        <v>4.2</v>
      </c>
      <c r="Q48" s="77" t="n">
        <v>1296</v>
      </c>
      <c r="R48" s="77" t="n">
        <v>341774</v>
      </c>
      <c r="S48" s="77" t="n">
        <v>0.4377</v>
      </c>
      <c r="T48" s="39" t="n"/>
    </row>
    <row r="49" ht="62" customHeight="1">
      <c r="A49" s="12">
        <f>_xlfn.IMAGE("https://m.media-amazon.com/images/I/81ydLFLIitL.jpg")</f>
        <v/>
      </c>
      <c r="B49" s="39" t="inlineStr">
        <is>
          <t>B0C9LSHCGX</t>
        </is>
      </c>
      <c r="C49" s="39" t="inlineStr">
        <is>
          <t>BM-CALKING-R-PURPLE</t>
        </is>
      </c>
      <c r="D49" s="39" t="inlineStr">
        <is>
          <t>DECOLURE Cooling Bed Sheets Cal-King Set 4pcs - Luxurious &amp; Soft California King Size Cooling Sheets for Hot Sleepers - Comfy &amp; Cool California King Bamboo Viscose Microfiber Sheets (Purple)</t>
        </is>
      </c>
      <c r="E49" s="39" t="inlineStr">
        <is>
          <t>California King</t>
        </is>
      </c>
      <c r="F49" s="39" t="inlineStr">
        <is>
          <t>Regal Purple</t>
        </is>
      </c>
      <c r="G49" s="40" t="n"/>
      <c r="H49" s="39" t="n"/>
      <c r="I49" s="40" t="n"/>
      <c r="J49" s="39" t="n"/>
      <c r="K49" s="40" t="n"/>
      <c r="L49" s="76" t="n"/>
      <c r="M49" s="77" t="n"/>
      <c r="N49" s="39" t="inlineStr">
        <is>
          <t>Inactive</t>
        </is>
      </c>
      <c r="O49" s="39" t="n"/>
      <c r="P49" s="78" t="n"/>
      <c r="Q49" s="77" t="n"/>
      <c r="R49" s="77" t="n"/>
      <c r="S49" s="77" t="n"/>
      <c r="T49" s="39" t="n"/>
    </row>
    <row r="50" ht="62" customHeight="1">
      <c r="A50" s="12">
        <f>_xlfn.IMAGE("https://m.media-amazon.com/images/I/81OQAuZYXSL.jpg")</f>
        <v/>
      </c>
      <c r="B50" s="39" t="inlineStr">
        <is>
          <t>B0C9LTP7TM</t>
        </is>
      </c>
      <c r="C50" s="39" t="inlineStr">
        <is>
          <t>BM-CALKING-WHITE</t>
        </is>
      </c>
      <c r="D50" s="39" t="inlineStr">
        <is>
          <t>DECOLURE Cooling Bed Sheets Cal-King Set 4pcs - Luxurious &amp; Soft California King Size Cooling Sheets for Hot Sleepers - Comfy &amp; Cool California King Bamboo Viscose Microfiber Sheets (White)</t>
        </is>
      </c>
      <c r="E50" s="39" t="inlineStr">
        <is>
          <t>California King</t>
        </is>
      </c>
      <c r="F50" s="39" t="inlineStr">
        <is>
          <t>White</t>
        </is>
      </c>
      <c r="G50" s="73" t="n">
        <v>39.95</v>
      </c>
      <c r="H50" s="39" t="inlineStr">
        <is>
          <t>catalog price, 2026-10-13</t>
        </is>
      </c>
      <c r="I50" s="74" t="n">
        <v>39.95</v>
      </c>
      <c r="J50" s="75" t="inlineStr">
        <is>
          <t>2026-03-30</t>
        </is>
      </c>
      <c r="K50" s="40" t="n">
        <v>9.620000000000001</v>
      </c>
      <c r="L50" s="76" t="n">
        <v>0.2408010012515645</v>
      </c>
      <c r="M50" s="77" t="n">
        <v>0</v>
      </c>
      <c r="N50" s="39" t="inlineStr">
        <is>
          <t>Active</t>
        </is>
      </c>
      <c r="O50" s="39" t="inlineStr">
        <is>
          <t>Yes (15%)</t>
        </is>
      </c>
      <c r="P50" s="78" t="n">
        <v>4.2</v>
      </c>
      <c r="Q50" s="77" t="n">
        <v>1296</v>
      </c>
      <c r="R50" s="77" t="n">
        <v>341774</v>
      </c>
      <c r="S50" s="77" t="n">
        <v>0.4848</v>
      </c>
      <c r="T50" s="39" t="n"/>
    </row>
    <row r="51" ht="62" customHeight="1">
      <c r="A51" s="12">
        <f>_xlfn.IMAGE("https://m.media-amazon.com/images/I/81BtsH28UJL.jpg")</f>
        <v/>
      </c>
      <c r="B51" s="39" t="inlineStr">
        <is>
          <t>B0CWJBHX1G</t>
        </is>
      </c>
      <c r="C51" s="39" t="inlineStr">
        <is>
          <t>BM-FULL-BEIGE</t>
        </is>
      </c>
      <c r="D51" s="39" t="inlineStr">
        <is>
          <t>DECOLURE Cooling Sheets Full Set 4pcs - Luxurious &amp; Ultra-Soft Full Size Cooling Sheets for Hot Sleepers - Comfortable Bamboo Viscose Microfiber Full Cooling Bed Sheets w/Deep Pockets (Beige)</t>
        </is>
      </c>
      <c r="E51" s="39" t="inlineStr">
        <is>
          <t>Full</t>
        </is>
      </c>
      <c r="F51" s="39" t="inlineStr">
        <is>
          <t>Beige</t>
        </is>
      </c>
      <c r="G51" s="73" t="n">
        <v>35.95</v>
      </c>
      <c r="H51" s="39" t="inlineStr">
        <is>
          <t>catalog price, 2026-10-13</t>
        </is>
      </c>
      <c r="I51" s="74" t="n">
        <v>35.95</v>
      </c>
      <c r="J51" s="75" t="inlineStr">
        <is>
          <t>2026-03-30</t>
        </is>
      </c>
      <c r="K51" s="40" t="n">
        <v>8.820000000000002</v>
      </c>
      <c r="L51" s="76" t="n">
        <v>0.2453407510431155</v>
      </c>
      <c r="M51" s="77" t="n">
        <v>0</v>
      </c>
      <c r="N51" s="39" t="inlineStr">
        <is>
          <t>Active</t>
        </is>
      </c>
      <c r="O51" s="39" t="n"/>
      <c r="P51" s="78" t="n">
        <v>4.2</v>
      </c>
      <c r="Q51" s="77" t="n">
        <v>1296</v>
      </c>
      <c r="R51" s="77" t="n">
        <v>341774</v>
      </c>
      <c r="S51" s="77" t="n">
        <v>2</v>
      </c>
      <c r="T51" s="39" t="n"/>
    </row>
    <row r="52" ht="62" customHeight="1">
      <c r="A52" s="12">
        <f>_xlfn.IMAGE("https://m.media-amazon.com/images/I/81e9ABRlpwL.jpg")</f>
        <v/>
      </c>
      <c r="B52" s="39" t="inlineStr">
        <is>
          <t>B0CWHYT2NC</t>
        </is>
      </c>
      <c r="C52" s="39" t="inlineStr">
        <is>
          <t>BM-FULL-LIGHT-GREY</t>
        </is>
      </c>
      <c r="D52" s="39" t="inlineStr">
        <is>
          <t>DECOLURE Cooling Sheets Full Set 4pcs - Luxurious &amp; Ultra-Soft Full Size Cooling Sheets for Hot Sleepers - Comfortable Bamboo Viscose Microfiber Full Cooling Bed Sheets w/Deep Pockets (Light Grey)</t>
        </is>
      </c>
      <c r="E52" s="39" t="inlineStr">
        <is>
          <t>Full</t>
        </is>
      </c>
      <c r="F52" s="39" t="inlineStr">
        <is>
          <t>Light Grey</t>
        </is>
      </c>
      <c r="G52" s="40" t="n"/>
      <c r="H52" s="39" t="n"/>
      <c r="I52" s="40" t="n"/>
      <c r="J52" s="39" t="n"/>
      <c r="K52" s="40" t="n"/>
      <c r="L52" s="76" t="n"/>
      <c r="M52" s="77" t="n"/>
      <c r="N52" s="39" t="inlineStr">
        <is>
          <t>Inactive</t>
        </is>
      </c>
      <c r="O52" s="39" t="n"/>
      <c r="P52" s="78" t="n"/>
      <c r="Q52" s="77" t="n"/>
      <c r="R52" s="77" t="n"/>
      <c r="S52" s="77" t="n"/>
      <c r="T52" s="39" t="n"/>
    </row>
    <row r="53" ht="62" customHeight="1">
      <c r="A53" s="12">
        <f>_xlfn.IMAGE("https://m.media-amazon.com/images/I/81LzK078hML.jpg")</f>
        <v/>
      </c>
      <c r="B53" s="39" t="inlineStr">
        <is>
          <t>B0CWJ8YXR4</t>
        </is>
      </c>
      <c r="C53" s="39" t="inlineStr">
        <is>
          <t>BM-FULL-PINK</t>
        </is>
      </c>
      <c r="D53" s="39" t="inlineStr">
        <is>
          <t>DECOLURE Cooling Sheets Full Set 4pcs - Luxurious &amp; Ultra-Soft Full Size Cooling Sheets for Hot Sleepers - Comfortable Bamboo Viscose Microfiber Full Cooling Bed Sheets w/Deep Pockets (Pink)</t>
        </is>
      </c>
      <c r="E53" s="39" t="inlineStr">
        <is>
          <t>Full</t>
        </is>
      </c>
      <c r="F53" s="39" t="inlineStr">
        <is>
          <t>Light Pink</t>
        </is>
      </c>
      <c r="G53" s="73" t="n">
        <v>35.95</v>
      </c>
      <c r="H53" s="39" t="inlineStr">
        <is>
          <t>catalog price, 2026-10-13</t>
        </is>
      </c>
      <c r="I53" s="74" t="n">
        <v>35.95</v>
      </c>
      <c r="J53" s="75" t="inlineStr">
        <is>
          <t>2026-03-30</t>
        </is>
      </c>
      <c r="K53" s="40" t="n">
        <v>9.050000000000002</v>
      </c>
      <c r="L53" s="76" t="n">
        <v>0.2517385257301809</v>
      </c>
      <c r="M53" s="77" t="n">
        <v>0</v>
      </c>
      <c r="N53" s="39" t="inlineStr">
        <is>
          <t>Active</t>
        </is>
      </c>
      <c r="O53" s="39" t="n"/>
      <c r="P53" s="78" t="n">
        <v>4.2</v>
      </c>
      <c r="Q53" s="77" t="n">
        <v>1296</v>
      </c>
      <c r="R53" s="77" t="n">
        <v>341774</v>
      </c>
      <c r="S53" s="77" t="n">
        <v>2</v>
      </c>
      <c r="T53" s="39" t="n"/>
    </row>
    <row r="54" ht="62" customHeight="1">
      <c r="A54" s="12">
        <f>_xlfn.IMAGE("https://m.media-amazon.com/images/I/81Z4qrudvWL.jpg")</f>
        <v/>
      </c>
      <c r="B54" s="39" t="inlineStr">
        <is>
          <t>B0C9LTQ5YV</t>
        </is>
      </c>
      <c r="C54" s="39" t="inlineStr">
        <is>
          <t>BM-FULL-MIDNIGHT-BLACK</t>
        </is>
      </c>
      <c r="D54" s="39" t="inlineStr">
        <is>
          <t>DECOLURE Cooling Sheets Full Set 4pcs - Luxurious &amp; Ultra-Soft Full Size Cooling Sheets for Hot Sleepers - Comfortable Bamboo Viscose Microfiber Full Cooling Bed Sheets w/Deep Pockets (Midnight Black)</t>
        </is>
      </c>
      <c r="E54" s="39" t="inlineStr">
        <is>
          <t>Full</t>
        </is>
      </c>
      <c r="F54" s="39" t="inlineStr">
        <is>
          <t>Midnight Black</t>
        </is>
      </c>
      <c r="G54" s="40" t="n"/>
      <c r="H54" s="39" t="n"/>
      <c r="I54" s="74" t="n">
        <v>35.95</v>
      </c>
      <c r="J54" s="75" t="inlineStr">
        <is>
          <t>2026-03-30</t>
        </is>
      </c>
      <c r="K54" s="40" t="n">
        <v>9.050000000000002</v>
      </c>
      <c r="L54" s="76" t="n">
        <v>0.2517385257301809</v>
      </c>
      <c r="M54" s="77" t="n"/>
      <c r="N54" s="39" t="inlineStr">
        <is>
          <t>Inactive</t>
        </is>
      </c>
      <c r="O54" s="39" t="n"/>
      <c r="P54" s="78" t="n"/>
      <c r="Q54" s="77" t="n"/>
      <c r="R54" s="77" t="n"/>
      <c r="S54" s="77" t="n"/>
      <c r="T54" s="39" t="n"/>
    </row>
    <row r="55" ht="62" customHeight="1">
      <c r="A55" s="12">
        <f>_xlfn.IMAGE("https://m.media-amazon.com/images/I/810EckETRlL.jpg")</f>
        <v/>
      </c>
      <c r="B55" s="39" t="inlineStr">
        <is>
          <t>B0DCK3XMTF</t>
        </is>
      </c>
      <c r="C55" s="39" t="n"/>
      <c r="D55" s="39" t="inlineStr">
        <is>
          <t>DECOLURE Cooling Sheets Full Set 4pcs - Luxurious &amp; Ultra-Soft Full Size Cooling Sheets for Hot Sleepers - Comfortable Bamboo Viscose Microfiber Full Cooling Bed Sheets w/Deep Pockets (Navy)</t>
        </is>
      </c>
      <c r="E55" s="39" t="inlineStr">
        <is>
          <t>Full</t>
        </is>
      </c>
      <c r="F55" s="39" t="inlineStr">
        <is>
          <t>Navy</t>
        </is>
      </c>
      <c r="G55" s="40" t="n"/>
      <c r="H55" s="39" t="n"/>
      <c r="I55" s="40" t="n"/>
      <c r="J55" s="39" t="n"/>
      <c r="K55" s="40" t="n"/>
      <c r="L55" s="76" t="n"/>
      <c r="M55" s="77" t="n"/>
      <c r="N55" s="39" t="inlineStr">
        <is>
          <t>Active</t>
        </is>
      </c>
      <c r="O55" s="39" t="n"/>
      <c r="P55" s="78" t="n"/>
      <c r="Q55" s="77" t="n"/>
      <c r="R55" s="77" t="n"/>
      <c r="S55" s="77" t="n"/>
      <c r="T55" s="39" t="n"/>
    </row>
    <row r="56" ht="62" customHeight="1">
      <c r="A56" s="12">
        <f>_xlfn.IMAGE("https://m.media-amazon.com/images/I/81ydLFLIitL.jpg")</f>
        <v/>
      </c>
      <c r="B56" s="39" t="inlineStr">
        <is>
          <t>B0C9LV5QYP</t>
        </is>
      </c>
      <c r="C56" s="39" t="inlineStr">
        <is>
          <t>BM-FULL-R-PURPLE</t>
        </is>
      </c>
      <c r="D56" s="39" t="inlineStr">
        <is>
          <t>DECOLURE Cooling Sheets Full Set 4pcs - Luxurious &amp; Ultra-Soft Full Size Cooling Sheets for Hot Sleepers - Comfortable Bamboo Viscose Microfiber Full Cooling Bed Sheets w/Deep Pockets (Purple)</t>
        </is>
      </c>
      <c r="E56" s="39" t="inlineStr">
        <is>
          <t>Full</t>
        </is>
      </c>
      <c r="F56" s="39" t="inlineStr">
        <is>
          <t>Regal Purple</t>
        </is>
      </c>
      <c r="G56" s="40" t="n"/>
      <c r="H56" s="39" t="n"/>
      <c r="I56" s="74" t="n">
        <v>41.95</v>
      </c>
      <c r="J56" s="75" t="inlineStr">
        <is>
          <t>2026-03-30</t>
        </is>
      </c>
      <c r="K56" s="40" t="n">
        <v>12.98</v>
      </c>
      <c r="L56" s="76" t="n">
        <v>0.3094159713945173</v>
      </c>
      <c r="M56" s="77" t="n"/>
      <c r="N56" s="39" t="inlineStr">
        <is>
          <t>Inactive</t>
        </is>
      </c>
      <c r="O56" s="39" t="n"/>
      <c r="P56" s="78" t="n"/>
      <c r="Q56" s="77" t="n"/>
      <c r="R56" s="77" t="n"/>
      <c r="S56" s="77" t="n"/>
      <c r="T56" s="39" t="n"/>
    </row>
    <row r="57" ht="62" customHeight="1">
      <c r="A57" s="12">
        <f>_xlfn.IMAGE("https://m.media-amazon.com/images/I/81dos9D9W7L.jpg")</f>
        <v/>
      </c>
      <c r="B57" s="39" t="inlineStr">
        <is>
          <t>B0CWJFKC2N</t>
        </is>
      </c>
      <c r="C57" s="39" t="inlineStr">
        <is>
          <t>BM-KING-BEIGE</t>
        </is>
      </c>
      <c r="D57" s="39" t="inlineStr">
        <is>
          <t>DECOLURE Cooling Bed Sheets King Set 4pcs - Luxurious &amp; Ultra-Soft King Size Cooling Sheets for Hot Sleepers - Comfortable &amp; Cool Bamboo Viscose Microfiber Sheets King Size w/Deep Pockets (Beige)</t>
        </is>
      </c>
      <c r="E57" s="39" t="inlineStr">
        <is>
          <t>King</t>
        </is>
      </c>
      <c r="F57" s="39" t="inlineStr">
        <is>
          <t>Beige</t>
        </is>
      </c>
      <c r="G57" s="40" t="n"/>
      <c r="H57" s="39" t="n"/>
      <c r="I57" s="74" t="n">
        <v>39.95</v>
      </c>
      <c r="J57" s="75" t="inlineStr">
        <is>
          <t>2026-03-30</t>
        </is>
      </c>
      <c r="K57" s="40" t="n">
        <v>9.960000000000001</v>
      </c>
      <c r="L57" s="76" t="n">
        <v>0.2493116395494368</v>
      </c>
      <c r="M57" s="77" t="n"/>
      <c r="N57" s="39" t="inlineStr">
        <is>
          <t>Inactive</t>
        </is>
      </c>
      <c r="O57" s="39" t="n"/>
      <c r="P57" s="78" t="n"/>
      <c r="Q57" s="77" t="n"/>
      <c r="R57" s="77" t="n"/>
      <c r="S57" s="77" t="n"/>
      <c r="T57" s="39" t="n"/>
    </row>
    <row r="58" ht="62" customHeight="1">
      <c r="A58" s="12">
        <f>_xlfn.IMAGE("https://m.media-amazon.com/images/I/819aQdxjmYL.jpg")</f>
        <v/>
      </c>
      <c r="B58" s="39" t="inlineStr">
        <is>
          <t>B0DCK3Z5P8</t>
        </is>
      </c>
      <c r="C58" s="39" t="n"/>
      <c r="D58" s="39" t="inlineStr">
        <is>
          <t>DECOLURE Cooling Bed Sheets King Set 4pcs - Luxurious &amp; Ultra-Soft King Size Cooling Sheets for Hot Sleepers - Comfortable &amp; Cool Bamboo Viscose Microfiber Sheets King Size w/Deep Pockets (Cool Grey)</t>
        </is>
      </c>
      <c r="E58" s="39" t="inlineStr">
        <is>
          <t>King</t>
        </is>
      </c>
      <c r="F58" s="39" t="inlineStr">
        <is>
          <t>Cool Grey</t>
        </is>
      </c>
      <c r="G58" s="40" t="n"/>
      <c r="H58" s="39" t="n"/>
      <c r="I58" s="40" t="n"/>
      <c r="J58" s="39" t="n"/>
      <c r="K58" s="40" t="n"/>
      <c r="L58" s="76" t="n"/>
      <c r="M58" s="77" t="n"/>
      <c r="N58" s="39" t="inlineStr">
        <is>
          <t>Active</t>
        </is>
      </c>
      <c r="O58" s="39" t="n"/>
      <c r="P58" s="78" t="n"/>
      <c r="Q58" s="77" t="n"/>
      <c r="R58" s="77" t="n"/>
      <c r="S58" s="77" t="n"/>
      <c r="T58" s="39" t="n"/>
    </row>
    <row r="59" ht="62" customHeight="1">
      <c r="A59" s="12">
        <f>_xlfn.IMAGE("https://m.media-amazon.com/images/I/81Gj0zENECL.jpg")</f>
        <v/>
      </c>
      <c r="B59" s="39" t="inlineStr">
        <is>
          <t>B0C9LSY8S7</t>
        </is>
      </c>
      <c r="C59" s="39" t="inlineStr">
        <is>
          <t>BM-KING-CGREY</t>
        </is>
      </c>
      <c r="D59" s="39" t="inlineStr">
        <is>
          <t>DECOLURE Cooling Bed Sheets King Set 4pcs - Luxurious &amp; Ultra-Soft King Size Cooling Sheets for Hot Sleepers - Comfortable &amp; Cool Microfiber Sheets King Size w/Deep Pockets (Cool Grey-01)</t>
        </is>
      </c>
      <c r="E59" s="39" t="inlineStr">
        <is>
          <t>King</t>
        </is>
      </c>
      <c r="F59" s="39" t="inlineStr">
        <is>
          <t>Cool Grey-01</t>
        </is>
      </c>
      <c r="G59" s="40" t="n"/>
      <c r="H59" s="39" t="n"/>
      <c r="I59" s="40" t="n"/>
      <c r="J59" s="39" t="n"/>
      <c r="K59" s="40" t="n"/>
      <c r="L59" s="76" t="n"/>
      <c r="M59" s="77" t="n"/>
      <c r="N59" s="39" t="inlineStr">
        <is>
          <t>Inactive</t>
        </is>
      </c>
      <c r="O59" s="39" t="n"/>
      <c r="P59" s="78" t="n"/>
      <c r="Q59" s="77" t="n"/>
      <c r="R59" s="77" t="n"/>
      <c r="S59" s="77" t="n"/>
      <c r="T59" s="39" t="n"/>
    </row>
    <row r="60" ht="62" customHeight="1">
      <c r="A60" s="12">
        <f>_xlfn.IMAGE("https://m.media-amazon.com/images/I/81YbVqqOOBL.jpg")</f>
        <v/>
      </c>
      <c r="B60" s="39" t="inlineStr">
        <is>
          <t>B0C9LXFDJT</t>
        </is>
      </c>
      <c r="C60" s="39" t="inlineStr">
        <is>
          <t>BM-KING-CREAM</t>
        </is>
      </c>
      <c r="D60" s="39" t="inlineStr">
        <is>
          <t>DECOLURE Cooling Bed Sheets King Set 4pcs - Luxurious &amp; Ultra-Soft King Size Cooling Sheets for Hot Sleepers - Comfortable &amp; Cool Bamboo Viscose Microfiber Sheets King Size w/Deep Pockets (Cream)</t>
        </is>
      </c>
      <c r="E60" s="39" t="inlineStr">
        <is>
          <t>King</t>
        </is>
      </c>
      <c r="F60" s="39" t="inlineStr">
        <is>
          <t>Cream</t>
        </is>
      </c>
      <c r="G60" s="40" t="n"/>
      <c r="H60" s="39" t="n"/>
      <c r="I60" s="40" t="n"/>
      <c r="J60" s="39" t="n"/>
      <c r="K60" s="40" t="n"/>
      <c r="L60" s="76" t="n"/>
      <c r="M60" s="77" t="n"/>
      <c r="N60" s="39" t="inlineStr">
        <is>
          <t>Inactive</t>
        </is>
      </c>
      <c r="O60" s="39" t="n"/>
      <c r="P60" s="78" t="n"/>
      <c r="Q60" s="77" t="n"/>
      <c r="R60" s="77" t="n"/>
      <c r="S60" s="77" t="n"/>
      <c r="T60" s="39" t="n"/>
    </row>
    <row r="61" ht="62" customHeight="1">
      <c r="A61" s="12">
        <f>_xlfn.IMAGE("https://m.media-amazon.com/images/I/81DKT9lQLpL.jpg")</f>
        <v/>
      </c>
      <c r="B61" s="39" t="inlineStr">
        <is>
          <t>B0C9LPCX5G</t>
        </is>
      </c>
      <c r="C61" s="39" t="inlineStr">
        <is>
          <t>BM-KING-GRAPHITE-GREY</t>
        </is>
      </c>
      <c r="D61" s="39" t="inlineStr">
        <is>
          <t>DECOLURE Cooling Bed Sheets King Set 4pcs - Luxurious &amp; Ultra-Soft King Size Cooling Sheets for Hot Sleepers - Comfortable &amp; Cool Bamboo Viscose Microfiber Sheets King Size w/Deep Pockets (Graphite)</t>
        </is>
      </c>
      <c r="E61" s="39" t="inlineStr">
        <is>
          <t>King</t>
        </is>
      </c>
      <c r="F61" s="39" t="inlineStr">
        <is>
          <t>Graphite</t>
        </is>
      </c>
      <c r="G61" s="40" t="n"/>
      <c r="H61" s="39" t="n"/>
      <c r="I61" s="40" t="n"/>
      <c r="J61" s="39" t="n"/>
      <c r="K61" s="40" t="n"/>
      <c r="L61" s="76" t="n"/>
      <c r="M61" s="77" t="n"/>
      <c r="N61" s="39" t="inlineStr">
        <is>
          <t>Inactive</t>
        </is>
      </c>
      <c r="O61" s="39" t="n"/>
      <c r="P61" s="78" t="n"/>
      <c r="Q61" s="77" t="n"/>
      <c r="R61" s="77" t="n"/>
      <c r="S61" s="77" t="n"/>
      <c r="T61" s="39" t="n"/>
    </row>
    <row r="62" ht="62" customHeight="1">
      <c r="A62" s="12">
        <f>_xlfn.IMAGE("https://m.media-amazon.com/images/I/81DKT9lQLpL.jpg")</f>
        <v/>
      </c>
      <c r="B62" s="39" t="inlineStr">
        <is>
          <t>B0HM7TRRMM</t>
        </is>
      </c>
      <c r="C62" s="39" t="n"/>
      <c r="D62" s="39" t="inlineStr">
        <is>
          <t>DECOLURE Cooling Bed Sheets Cal-King Set 4pcs - Luxurious &amp; Soft California King Size Cooling Sheets for Hot Sleepers - Comfy &amp; Cool California King Bamboo Viscose Microfiber Sheets (Graphite)</t>
        </is>
      </c>
      <c r="E62" s="39" t="inlineStr">
        <is>
          <t>King</t>
        </is>
      </c>
      <c r="F62" s="39" t="inlineStr">
        <is>
          <t>Graphite</t>
        </is>
      </c>
      <c r="G62" s="40" t="n"/>
      <c r="H62" s="39" t="n"/>
      <c r="I62" s="40" t="n"/>
      <c r="J62" s="39" t="n"/>
      <c r="K62" s="40" t="n"/>
      <c r="L62" s="76" t="n"/>
      <c r="M62" s="77" t="n"/>
      <c r="N62" s="39" t="inlineStr">
        <is>
          <t>Inactive</t>
        </is>
      </c>
      <c r="O62" s="39" t="n"/>
      <c r="P62" s="78" t="n"/>
      <c r="Q62" s="77" t="n"/>
      <c r="R62" s="77" t="n"/>
      <c r="S62" s="77" t="n"/>
      <c r="T62" s="39" t="n"/>
    </row>
    <row r="63" ht="62" customHeight="1">
      <c r="A63" s="12">
        <f>_xlfn.IMAGE("https://m.media-amazon.com/images/I/81e9ABRlpwL.jpg")</f>
        <v/>
      </c>
      <c r="B63" s="39" t="inlineStr">
        <is>
          <t>B0CWJ4FTLV</t>
        </is>
      </c>
      <c r="C63" s="39" t="inlineStr">
        <is>
          <t>BM-KING-LIGHT-GREY</t>
        </is>
      </c>
      <c r="D63" s="39" t="inlineStr">
        <is>
          <t>DECOLURE Cooling Bed Sheets King Set 4pcs - Luxurious &amp; Ultra-Soft King Size Cooling Sheets for Hot Sleepers - Comfortable &amp; Cool Bamboo Viscose Microfiber Sheets King Size w/Deep Pockets (Light Grey)</t>
        </is>
      </c>
      <c r="E63" s="39" t="inlineStr">
        <is>
          <t>King</t>
        </is>
      </c>
      <c r="F63" s="39" t="inlineStr">
        <is>
          <t>Light Grey</t>
        </is>
      </c>
      <c r="G63" s="40" t="n"/>
      <c r="H63" s="39" t="n"/>
      <c r="I63" s="40" t="n"/>
      <c r="J63" s="39" t="n"/>
      <c r="K63" s="40" t="n"/>
      <c r="L63" s="76" t="n"/>
      <c r="M63" s="77" t="n"/>
      <c r="N63" s="39" t="inlineStr">
        <is>
          <t>Inactive</t>
        </is>
      </c>
      <c r="O63" s="39" t="n"/>
      <c r="P63" s="78" t="n"/>
      <c r="Q63" s="77" t="n"/>
      <c r="R63" s="77" t="n"/>
      <c r="S63" s="77" t="n"/>
      <c r="T63" s="39" t="n"/>
    </row>
    <row r="64" ht="62" customHeight="1">
      <c r="A64" s="12">
        <f>_xlfn.IMAGE("https://m.media-amazon.com/images/I/81m677YWEDL.jpg")</f>
        <v/>
      </c>
      <c r="B64" s="39" t="inlineStr">
        <is>
          <t>B0CWJ2BG1V</t>
        </is>
      </c>
      <c r="C64" s="39" t="inlineStr">
        <is>
          <t>BM-KING-SAGE-GREEN</t>
        </is>
      </c>
      <c r="D64" s="39" t="inlineStr">
        <is>
          <t>DECOLURE Cooling Bed Sheets King Set 4pcs - Luxurious &amp; Ultra-Soft King Size Cooling Sheets for Hot Sleepers - Comfortable &amp; Cool Bamboo Viscose Microfiber Sheets King Size w/Deep Pockets (Sage Green)</t>
        </is>
      </c>
      <c r="E64" s="39" t="inlineStr">
        <is>
          <t>King</t>
        </is>
      </c>
      <c r="F64" s="39" t="inlineStr">
        <is>
          <t>Sage Green</t>
        </is>
      </c>
      <c r="G64" s="40" t="n"/>
      <c r="H64" s="39" t="n"/>
      <c r="I64" s="74" t="n">
        <v>39.95</v>
      </c>
      <c r="J64" s="75" t="inlineStr">
        <is>
          <t>2026-03-30</t>
        </is>
      </c>
      <c r="K64" s="40" t="n">
        <v>8.800000000000001</v>
      </c>
      <c r="L64" s="76" t="n">
        <v>0.2202753441802253</v>
      </c>
      <c r="M64" s="77" t="n"/>
      <c r="N64" s="39" t="inlineStr">
        <is>
          <t>Inactive</t>
        </is>
      </c>
      <c r="O64" s="39" t="n"/>
      <c r="P64" s="78" t="n"/>
      <c r="Q64" s="77" t="n"/>
      <c r="R64" s="77" t="n"/>
      <c r="S64" s="77" t="n"/>
      <c r="T64" s="39" t="n"/>
    </row>
    <row r="65" ht="62" customHeight="1">
      <c r="A65" s="12">
        <f>_xlfn.IMAGE("https://m.media-amazon.com/images/I/81QKz6f4V8L.jpg")</f>
        <v/>
      </c>
      <c r="B65" s="39" t="inlineStr">
        <is>
          <t>B0DCK6T525</t>
        </is>
      </c>
      <c r="C65" s="39" t="n"/>
      <c r="D65" s="39" t="inlineStr">
        <is>
          <t>DECOLURE Cooling Bed Sheets King Set 4pcs - Luxurious &amp; Ultra-Soft King Size Cooling Sheets for Hot Sleepers - Comfortable &amp; Cool Bamboo Viscose Microfiber Sheets King Size w/Deep Pockets (White)</t>
        </is>
      </c>
      <c r="E65" s="39" t="inlineStr">
        <is>
          <t>King</t>
        </is>
      </c>
      <c r="F65" s="39" t="inlineStr">
        <is>
          <t>White</t>
        </is>
      </c>
      <c r="G65" s="40" t="n"/>
      <c r="H65" s="39" t="n"/>
      <c r="I65" s="40" t="n"/>
      <c r="J65" s="39" t="n"/>
      <c r="K65" s="40" t="n"/>
      <c r="L65" s="76" t="n"/>
      <c r="M65" s="77" t="n"/>
      <c r="N65" s="39" t="inlineStr">
        <is>
          <t>Inactive</t>
        </is>
      </c>
      <c r="O65" s="39" t="n"/>
      <c r="P65" s="78" t="n"/>
      <c r="Q65" s="77" t="n"/>
      <c r="R65" s="77" t="n"/>
      <c r="S65" s="77" t="n"/>
      <c r="T65" s="39" t="n"/>
    </row>
    <row r="66" ht="62" customHeight="1">
      <c r="A66" s="12">
        <f>_xlfn.IMAGE("https://m.media-amazon.com/images/I/81OQAuZYXSL.jpg")</f>
        <v/>
      </c>
      <c r="B66" s="39" t="inlineStr">
        <is>
          <t>B0C9LTTX5N</t>
        </is>
      </c>
      <c r="C66" s="39" t="inlineStr">
        <is>
          <t>BM-KING-WHITE</t>
        </is>
      </c>
      <c r="D66" s="39" t="inlineStr">
        <is>
          <t>DECOLURE Cooling Bed Sheets King Set 4pcs - Luxurious &amp; Ultra-Soft King Size Cooling Sheets for Hot Sleepers - Comfortable &amp; Cool Bamboo Viscose Microfiber Sheets King Size w/Deep Pockets (White-01)</t>
        </is>
      </c>
      <c r="E66" s="39" t="inlineStr">
        <is>
          <t>King</t>
        </is>
      </c>
      <c r="F66" s="39" t="inlineStr">
        <is>
          <t>White-01</t>
        </is>
      </c>
      <c r="G66" s="40" t="n"/>
      <c r="H66" s="39" t="n"/>
      <c r="I66" s="74" t="n">
        <v>39.95</v>
      </c>
      <c r="J66" s="75" t="inlineStr">
        <is>
          <t>2026-03-30</t>
        </is>
      </c>
      <c r="K66" s="40" t="n">
        <v>10.04</v>
      </c>
      <c r="L66" s="76" t="n">
        <v>0.251314142678348</v>
      </c>
      <c r="M66" s="77" t="n"/>
      <c r="N66" s="39" t="inlineStr">
        <is>
          <t>Inactive</t>
        </is>
      </c>
      <c r="O66" s="39" t="n"/>
      <c r="P66" s="78" t="n"/>
      <c r="Q66" s="77" t="n"/>
      <c r="R66" s="77" t="n"/>
      <c r="S66" s="77" t="n"/>
      <c r="T66" s="39" t="n"/>
    </row>
    <row r="67" ht="62" customHeight="1">
      <c r="A67" s="12">
        <f>_xlfn.IMAGE("https://m.media-amazon.com/images/I/81BtsH28UJL.jpg")</f>
        <v/>
      </c>
      <c r="B67" s="39" t="inlineStr">
        <is>
          <t>B0CWJBC82X</t>
        </is>
      </c>
      <c r="C67" s="39" t="inlineStr">
        <is>
          <t>BM-QUEEN-BEIGE</t>
        </is>
      </c>
      <c r="D67" s="39" t="inlineStr">
        <is>
          <t>DECOLURE Cooling Sheets Queen Set 4pcs - Luxurious &amp; Ultra-Soft Cooling Bed Sheets Queen Size for Hot Sleepers - Comfortable Bamboo Viscose Microfiber Queen Bed Sheets Set Cooling (Beige)</t>
        </is>
      </c>
      <c r="E67" s="39" t="inlineStr">
        <is>
          <t>Queen</t>
        </is>
      </c>
      <c r="F67" s="39" t="inlineStr">
        <is>
          <t>Beige</t>
        </is>
      </c>
      <c r="G67" s="73" t="n">
        <v>37.95</v>
      </c>
      <c r="H67" s="39" t="inlineStr">
        <is>
          <t>catalog price, 2026-10-13</t>
        </is>
      </c>
      <c r="I67" s="74" t="n">
        <v>37.95</v>
      </c>
      <c r="J67" s="75" t="inlineStr">
        <is>
          <t>2026-03-30</t>
        </is>
      </c>
      <c r="K67" s="40" t="n">
        <v>10.43000000000001</v>
      </c>
      <c r="L67" s="76" t="n">
        <v>0.2748353096179185</v>
      </c>
      <c r="M67" s="77" t="n">
        <v>0</v>
      </c>
      <c r="N67" s="39" t="inlineStr">
        <is>
          <t>Active</t>
        </is>
      </c>
      <c r="O67" s="39" t="n"/>
      <c r="P67" s="78" t="n">
        <v>4.2</v>
      </c>
      <c r="Q67" s="77" t="n">
        <v>1296</v>
      </c>
      <c r="R67" s="77" t="n">
        <v>341774</v>
      </c>
      <c r="S67" s="77" t="n">
        <v>0.3446</v>
      </c>
      <c r="T67" s="39" t="n"/>
    </row>
    <row r="68" ht="62" customHeight="1">
      <c r="A68" s="12">
        <f>_xlfn.IMAGE("https://m.media-amazon.com/images/I/81av0t1ND-L.jpg")</f>
        <v/>
      </c>
      <c r="B68" s="39" t="inlineStr">
        <is>
          <t>B0DCK54DQP</t>
        </is>
      </c>
      <c r="C68" s="39" t="n"/>
      <c r="D68" s="39" t="inlineStr">
        <is>
          <t>DECOLURE Cooling Sheets Queen Set 4pcs - Luxurious &amp; Ultra-Soft Cooling Bed Sheets Queen Size for Hot Sleepers - Comfortable Bamboo Viscose Microfiber Queen Bed Sheets Set Cooling (Cream)</t>
        </is>
      </c>
      <c r="E68" s="39" t="inlineStr">
        <is>
          <t>Queen</t>
        </is>
      </c>
      <c r="F68" s="39" t="inlineStr">
        <is>
          <t>Cream</t>
        </is>
      </c>
      <c r="G68" s="73" t="n">
        <v>37.95</v>
      </c>
      <c r="H68" s="39" t="inlineStr">
        <is>
          <t>catalog price, 2026-10-13</t>
        </is>
      </c>
      <c r="I68" s="40" t="n"/>
      <c r="J68" s="39" t="n"/>
      <c r="K68" s="40" t="n"/>
      <c r="L68" s="76" t="n"/>
      <c r="M68" s="77" t="n"/>
      <c r="N68" s="39" t="inlineStr">
        <is>
          <t>Active</t>
        </is>
      </c>
      <c r="O68" s="39" t="inlineStr">
        <is>
          <t>Yes (3%)</t>
        </is>
      </c>
      <c r="P68" s="78" t="n">
        <v>4.2</v>
      </c>
      <c r="Q68" s="77" t="n">
        <v>1296</v>
      </c>
      <c r="R68" s="77" t="n">
        <v>341790</v>
      </c>
      <c r="S68" s="77" t="n">
        <v>1</v>
      </c>
      <c r="T68" s="39" t="n"/>
    </row>
    <row r="69" ht="62" customHeight="1">
      <c r="A69" s="12">
        <f>_xlfn.IMAGE("https://m.media-amazon.com/images/I/81YbVqqOOBL.jpg")</f>
        <v/>
      </c>
      <c r="B69" s="39" t="inlineStr">
        <is>
          <t>B0C9LRJQCW</t>
        </is>
      </c>
      <c r="C69" s="39" t="inlineStr">
        <is>
          <t>BM-QUEEN-CREAM</t>
        </is>
      </c>
      <c r="D69" s="39" t="inlineStr">
        <is>
          <t>DECOLURE Cooling Sheets Queen Set 4pcs - Luxurious &amp; Ultra-Soft Cooling Bed Sheets Queen Size for Hot Sleepers - Comfortable Bamboo Viscose Microfiber Queen Bed Sheets Set Cooling (Cream)</t>
        </is>
      </c>
      <c r="E69" s="39" t="inlineStr">
        <is>
          <t>Queen</t>
        </is>
      </c>
      <c r="F69" s="39" t="inlineStr">
        <is>
          <t>Cream-01</t>
        </is>
      </c>
      <c r="G69" s="40" t="n"/>
      <c r="H69" s="39" t="n"/>
      <c r="I69" s="74" t="n">
        <v>37.95</v>
      </c>
      <c r="J69" s="75" t="inlineStr">
        <is>
          <t>2026-03-30</t>
        </is>
      </c>
      <c r="K69" s="40" t="n">
        <v>9.680000000000007</v>
      </c>
      <c r="L69" s="76" t="n">
        <v>0.2550724637681161</v>
      </c>
      <c r="M69" s="77" t="n">
        <v>0</v>
      </c>
      <c r="N69" s="39" t="inlineStr">
        <is>
          <t>Active</t>
        </is>
      </c>
      <c r="O69" s="39" t="n"/>
      <c r="P69" s="78" t="n"/>
      <c r="Q69" s="77" t="n"/>
      <c r="R69" s="77" t="n"/>
      <c r="S69" s="77" t="n"/>
      <c r="T69" s="39" t="n"/>
    </row>
    <row r="70" ht="62" customHeight="1">
      <c r="A70" s="12">
        <f>_xlfn.IMAGE("https://m.media-amazon.com/images/I/81DKT9lQLpL.jpg")</f>
        <v/>
      </c>
      <c r="B70" s="39" t="inlineStr">
        <is>
          <t>B0C9LQWPC7</t>
        </is>
      </c>
      <c r="C70" s="39" t="inlineStr">
        <is>
          <t>BM-QUEEN-GRAPHITE-GREY</t>
        </is>
      </c>
      <c r="D70" s="39" t="inlineStr">
        <is>
          <t>DECOLURE Cooling Sheets Queen Set 4pcs - Luxurious &amp; Ultra-Soft Cooling Bed Sheets Queen Size for Hot Sleepers - Comfortable Bamboo Viscose Microfiber Queen Bed Sheets Set Cooling (Graphite)</t>
        </is>
      </c>
      <c r="E70" s="39" t="inlineStr">
        <is>
          <t>Queen</t>
        </is>
      </c>
      <c r="F70" s="39" t="inlineStr">
        <is>
          <t>Graphite</t>
        </is>
      </c>
      <c r="G70" s="40" t="n"/>
      <c r="H70" s="39" t="n"/>
      <c r="I70" s="74" t="n">
        <v>37.95</v>
      </c>
      <c r="J70" s="75" t="inlineStr">
        <is>
          <t>2026-03-30</t>
        </is>
      </c>
      <c r="K70" s="40" t="n">
        <v>9.680000000000007</v>
      </c>
      <c r="L70" s="76" t="n">
        <v>0.2550724637681161</v>
      </c>
      <c r="M70" s="77" t="n"/>
      <c r="N70" s="39" t="inlineStr">
        <is>
          <t>Inactive</t>
        </is>
      </c>
      <c r="O70" s="39" t="n"/>
      <c r="P70" s="78" t="n"/>
      <c r="Q70" s="77" t="n"/>
      <c r="R70" s="77" t="n"/>
      <c r="S70" s="77" t="n"/>
      <c r="T70" s="39" t="n"/>
    </row>
    <row r="71" ht="62" customHeight="1">
      <c r="A71" s="12">
        <f>_xlfn.IMAGE("https://m.media-amazon.com/images/I/81LzK078hML.jpg")</f>
        <v/>
      </c>
      <c r="B71" s="39" t="inlineStr">
        <is>
          <t>B0CWJ2X18T</t>
        </is>
      </c>
      <c r="C71" s="39" t="inlineStr">
        <is>
          <t>BM-QUEEN-PINK</t>
        </is>
      </c>
      <c r="D71" s="39" t="inlineStr">
        <is>
          <t>DECOLURE Cooling Sheets Queen Set 4pcs - Luxurious &amp; Ultra-Soft Cooling Bed Sheets Queen Size for Hot Sleepers - Comfortable Bamboo Viscose Microfiber Queen Bed Sheets Set Cooling (Pink)</t>
        </is>
      </c>
      <c r="E71" s="39" t="inlineStr">
        <is>
          <t>Queen</t>
        </is>
      </c>
      <c r="F71" s="39" t="inlineStr">
        <is>
          <t>Light Pink</t>
        </is>
      </c>
      <c r="G71" s="40" t="n"/>
      <c r="H71" s="39" t="n"/>
      <c r="I71" s="74" t="n">
        <v>37.95</v>
      </c>
      <c r="J71" s="75" t="inlineStr">
        <is>
          <t>2026-03-30</t>
        </is>
      </c>
      <c r="K71" s="40" t="n">
        <v>8.880000000000006</v>
      </c>
      <c r="L71" s="76" t="n">
        <v>0.2339920948616602</v>
      </c>
      <c r="M71" s="77" t="n"/>
      <c r="N71" s="39" t="inlineStr">
        <is>
          <t>Inactive</t>
        </is>
      </c>
      <c r="O71" s="39" t="n"/>
      <c r="P71" s="78" t="n"/>
      <c r="Q71" s="77" t="n"/>
      <c r="R71" s="77" t="n"/>
      <c r="S71" s="77" t="n"/>
      <c r="T71" s="39" t="n"/>
    </row>
    <row r="72" ht="62" customHeight="1">
      <c r="A72" s="12">
        <f>_xlfn.IMAGE("https://m.media-amazon.com/images/I/81ydLFLIitL.jpg")</f>
        <v/>
      </c>
      <c r="B72" s="39" t="inlineStr">
        <is>
          <t>B0C9LTT7CL</t>
        </is>
      </c>
      <c r="C72" s="39" t="inlineStr">
        <is>
          <t>BM-QUEEN-R-PURPLE</t>
        </is>
      </c>
      <c r="D72" s="39" t="inlineStr">
        <is>
          <t>DECOLURE Cooling Sheets Queen Set 4pcs - Luxurious &amp; Ultra-Soft Cooling Bed Sheets Queen Size for Hot Sleepers - Comfortable Bamboo Viscose Microfiber Queen Bed Sheets Set Cooling (Purple)</t>
        </is>
      </c>
      <c r="E72" s="39" t="inlineStr">
        <is>
          <t>Queen</t>
        </is>
      </c>
      <c r="F72" s="39" t="inlineStr">
        <is>
          <t>Regal Purple</t>
        </is>
      </c>
      <c r="G72" s="40" t="n"/>
      <c r="H72" s="39" t="n"/>
      <c r="I72" s="40" t="n"/>
      <c r="J72" s="39" t="n"/>
      <c r="K72" s="40" t="n"/>
      <c r="L72" s="76" t="n"/>
      <c r="M72" s="77" t="n"/>
      <c r="N72" s="39" t="inlineStr">
        <is>
          <t>Inactive</t>
        </is>
      </c>
      <c r="O72" s="39" t="n"/>
      <c r="P72" s="78" t="n"/>
      <c r="Q72" s="77" t="n"/>
      <c r="R72" s="77" t="n"/>
      <c r="S72" s="77" t="n"/>
      <c r="T72" s="39" t="n"/>
    </row>
    <row r="73" ht="62" customHeight="1">
      <c r="A73" s="12">
        <f>_xlfn.IMAGE("https://m.media-amazon.com/images/I/81m677YWEDL.jpg")</f>
        <v/>
      </c>
      <c r="B73" s="39" t="inlineStr">
        <is>
          <t>B0CWHXCW71</t>
        </is>
      </c>
      <c r="C73" s="39" t="inlineStr">
        <is>
          <t>BM-QUEEN-SAGE-GREEN</t>
        </is>
      </c>
      <c r="D73" s="39" t="inlineStr">
        <is>
          <t>DECOLURE Cooling Sheets Queen Set 4pcs - Luxurious &amp; Ultra-Soft Cooling Bed Sheets Queen Size for Hot Sleepers - Comfortable Bamboo Viscose Microfiber Queen Bed Sheets Set Cooling (Sage Green)</t>
        </is>
      </c>
      <c r="E73" s="39" t="inlineStr">
        <is>
          <t>Queen</t>
        </is>
      </c>
      <c r="F73" s="39" t="inlineStr">
        <is>
          <t>Sage Green</t>
        </is>
      </c>
      <c r="G73" s="40" t="n"/>
      <c r="H73" s="39" t="n"/>
      <c r="I73" s="74" t="n">
        <v>37.95</v>
      </c>
      <c r="J73" s="75" t="inlineStr">
        <is>
          <t>2026-03-30</t>
        </is>
      </c>
      <c r="K73" s="40" t="n">
        <v>8.930000000000007</v>
      </c>
      <c r="L73" s="76" t="n">
        <v>0.2353096179183137</v>
      </c>
      <c r="M73" s="77" t="n"/>
      <c r="N73" s="39" t="inlineStr">
        <is>
          <t>Inactive</t>
        </is>
      </c>
      <c r="O73" s="39" t="n"/>
      <c r="P73" s="78" t="n"/>
      <c r="Q73" s="77" t="n"/>
      <c r="R73" s="77" t="n"/>
      <c r="S73" s="77" t="n"/>
      <c r="T73" s="39" t="n"/>
    </row>
    <row r="74" ht="62" customHeight="1">
      <c r="A74" s="12">
        <f>_xlfn.IMAGE("https://m.media-amazon.com/images/I/81QKz6f4V8L.jpg")</f>
        <v/>
      </c>
      <c r="B74" s="39" t="inlineStr">
        <is>
          <t>B0C9LS4KC5</t>
        </is>
      </c>
      <c r="C74" s="39" t="inlineStr">
        <is>
          <t>BM-QUEEN-WHITE</t>
        </is>
      </c>
      <c r="D74" s="39" t="inlineStr">
        <is>
          <t>DECOLURE Cooling Sheets Queen Set 4pcs - Luxurious &amp; Ultra-Soft Cooling Bed Sheets Queen Size for Hot Sleepers - Comfortable Bamboo Viscose Microfiber Queen Bed Sheets Set Cooling (White)</t>
        </is>
      </c>
      <c r="E74" s="39" t="inlineStr">
        <is>
          <t>Queen</t>
        </is>
      </c>
      <c r="F74" s="39" t="inlineStr">
        <is>
          <t>White</t>
        </is>
      </c>
      <c r="G74" s="40" t="n"/>
      <c r="H74" s="39" t="n"/>
      <c r="I74" s="74" t="n">
        <v>37.95</v>
      </c>
      <c r="J74" s="75" t="inlineStr">
        <is>
          <t>2026-03-30</t>
        </is>
      </c>
      <c r="K74" s="40" t="n">
        <v>8.650000000000006</v>
      </c>
      <c r="L74" s="76" t="n">
        <v>0.2279314888010542</v>
      </c>
      <c r="M74" s="77" t="n"/>
      <c r="N74" s="39" t="inlineStr">
        <is>
          <t>Inactive</t>
        </is>
      </c>
      <c r="O74" s="39" t="n"/>
      <c r="P74" s="78" t="n"/>
      <c r="Q74" s="77" t="n"/>
      <c r="R74" s="77" t="n"/>
      <c r="S74" s="77" t="n"/>
      <c r="T74" s="39" t="n"/>
    </row>
    <row r="75" ht="62" customHeight="1">
      <c r="A75" s="12">
        <f>_xlfn.IMAGE("https://m.media-amazon.com/images/I/81dos9D9W7L.jpg")</f>
        <v/>
      </c>
      <c r="B75" s="39" t="inlineStr">
        <is>
          <t>B0CWJ24ZTV</t>
        </is>
      </c>
      <c r="C75" s="39" t="inlineStr">
        <is>
          <t>BM-TWIN-BEIGE</t>
        </is>
      </c>
      <c r="D75" s="39" t="inlineStr">
        <is>
          <t>DECOLURE Cooling Bed Sheets Twin Set 3pcs - Luxurious &amp; Ultra-Soft Twin Size Cooling Sheets for Hot Sleepers - Comfortable Cool Bamboo Viscose Microfiber Sheets Twin Size w/Deep Pockets (Beige)</t>
        </is>
      </c>
      <c r="E75" s="39" t="inlineStr">
        <is>
          <t>Twin</t>
        </is>
      </c>
      <c r="F75" s="39" t="inlineStr">
        <is>
          <t>Beige</t>
        </is>
      </c>
      <c r="G75" s="73" t="n">
        <v>33.95</v>
      </c>
      <c r="H75" s="39" t="inlineStr">
        <is>
          <t>catalog price, 2026-10-13</t>
        </is>
      </c>
      <c r="I75" s="74" t="n">
        <v>38.95</v>
      </c>
      <c r="J75" s="75" t="inlineStr">
        <is>
          <t>2026-03-30</t>
        </is>
      </c>
      <c r="K75" s="40" t="n">
        <v>15.93</v>
      </c>
      <c r="L75" s="76" t="n">
        <v>0.4089858793324775</v>
      </c>
      <c r="M75" s="77" t="n">
        <v>0</v>
      </c>
      <c r="N75" s="39" t="inlineStr">
        <is>
          <t>Active</t>
        </is>
      </c>
      <c r="O75" s="39" t="n"/>
      <c r="P75" s="78" t="n">
        <v>4.2</v>
      </c>
      <c r="Q75" s="77" t="n">
        <v>1296</v>
      </c>
      <c r="R75" s="77" t="n">
        <v>341774</v>
      </c>
      <c r="S75" s="77" t="n">
        <v>1</v>
      </c>
      <c r="T75" s="39" t="n"/>
    </row>
    <row r="76" ht="62" customHeight="1">
      <c r="A76" s="12">
        <f>_xlfn.IMAGE("https://m.media-amazon.com/images/I/819aQdxjmYL.jpg")</f>
        <v/>
      </c>
      <c r="B76" s="39" t="inlineStr">
        <is>
          <t>B0C9LSZTPN</t>
        </is>
      </c>
      <c r="C76" s="39" t="inlineStr">
        <is>
          <t>BM-TWIN-CGREY</t>
        </is>
      </c>
      <c r="D76" s="39" t="inlineStr">
        <is>
          <t>DECOLURE Cooling Bed Sheets Twin Set 3pcs - Luxurious &amp; Ultra-Soft Twin Size Cooling Sheets for Hot Sleepers - Comfortable Cool Bamboo Viscose Microfiber Sheets Twin Size w/Deep Pockets (Cool Grey)</t>
        </is>
      </c>
      <c r="E76" s="39" t="inlineStr">
        <is>
          <t>Twin</t>
        </is>
      </c>
      <c r="F76" s="39" t="inlineStr">
        <is>
          <t>Cool Grey</t>
        </is>
      </c>
      <c r="G76" s="73" t="n">
        <v>33.95</v>
      </c>
      <c r="H76" s="39" t="inlineStr">
        <is>
          <t>catalog price, 2026-10-13</t>
        </is>
      </c>
      <c r="I76" s="74" t="n">
        <v>20.47</v>
      </c>
      <c r="J76" s="75" t="inlineStr">
        <is>
          <t>2026-03-30</t>
        </is>
      </c>
      <c r="K76" s="40" t="n">
        <v>-0.2500000000000018</v>
      </c>
      <c r="L76" s="76" t="n">
        <v>-1.221299462628245</v>
      </c>
      <c r="M76" s="77" t="n">
        <v>0</v>
      </c>
      <c r="N76" s="39" t="inlineStr">
        <is>
          <t>Active</t>
        </is>
      </c>
      <c r="O76" s="39" t="n"/>
      <c r="P76" s="78" t="n">
        <v>4.2</v>
      </c>
      <c r="Q76" s="77" t="n">
        <v>1296</v>
      </c>
      <c r="R76" s="77" t="n">
        <v>341774</v>
      </c>
      <c r="S76" s="77" t="n">
        <v>0.8095</v>
      </c>
      <c r="T76" s="39" t="n"/>
    </row>
    <row r="77" ht="62" customHeight="1">
      <c r="A77" s="12">
        <f>_xlfn.IMAGE("https://m.media-amazon.com/images/I/81YbVqqOOBL.jpg")</f>
        <v/>
      </c>
      <c r="B77" s="39" t="inlineStr">
        <is>
          <t>B0C9LWVB7D</t>
        </is>
      </c>
      <c r="C77" s="39" t="inlineStr">
        <is>
          <t>BM-TWIN-CREAM</t>
        </is>
      </c>
      <c r="D77" s="39" t="inlineStr">
        <is>
          <t>DECOLURE Cooling Bed Sheets Twin Set 3pcs - Luxurious &amp; Ultra-Soft Twin Size Cooling Sheets for Hot Sleepers - Comfortable Cool Bamboo Viscose Microfiber Sheets Twin Size w/Deep Pockets (Cream)</t>
        </is>
      </c>
      <c r="E77" s="39" t="inlineStr">
        <is>
          <t>Twin</t>
        </is>
      </c>
      <c r="F77" s="39" t="inlineStr">
        <is>
          <t>Cream</t>
        </is>
      </c>
      <c r="G77" s="40" t="n"/>
      <c r="H77" s="39" t="n"/>
      <c r="I77" s="40" t="n"/>
      <c r="J77" s="39" t="n"/>
      <c r="K77" s="40" t="n"/>
      <c r="L77" s="76" t="n"/>
      <c r="M77" s="77" t="n"/>
      <c r="N77" s="39" t="inlineStr">
        <is>
          <t>Inactive</t>
        </is>
      </c>
      <c r="O77" s="39" t="n"/>
      <c r="P77" s="78" t="n"/>
      <c r="Q77" s="77" t="n"/>
      <c r="R77" s="77" t="n"/>
      <c r="S77" s="77" t="n"/>
      <c r="T77" s="39" t="n"/>
    </row>
    <row r="78" ht="62" customHeight="1">
      <c r="A78" s="12">
        <f>_xlfn.IMAGE("https://m.media-amazon.com/images/I/81pyUdhR+eL.jpg")</f>
        <v/>
      </c>
      <c r="B78" s="39" t="inlineStr">
        <is>
          <t>B0CWJBZFZ7</t>
        </is>
      </c>
      <c r="C78" s="39" t="inlineStr">
        <is>
          <t>BM-TWIN-LIGHT-BLUE</t>
        </is>
      </c>
      <c r="D78" s="39" t="inlineStr">
        <is>
          <t>DECOLURE Cooling Bed Sheets Twin Set 3pcs - Luxurious &amp; Ultra-Soft Twin Size Cooling Sheets for Hot Sleepers - Comfortable Cool Bamboo Viscose Microfiber Sheets Twin Size w/Deep Pockets (Light Blue)</t>
        </is>
      </c>
      <c r="E78" s="39" t="inlineStr">
        <is>
          <t>Twin</t>
        </is>
      </c>
      <c r="F78" s="39" t="inlineStr">
        <is>
          <t>Light Blue</t>
        </is>
      </c>
      <c r="G78" s="73" t="n">
        <v>33.95</v>
      </c>
      <c r="H78" s="39" t="inlineStr">
        <is>
          <t>catalog price, 2026-10-13</t>
        </is>
      </c>
      <c r="I78" s="74" t="n">
        <v>33.95</v>
      </c>
      <c r="J78" s="75" t="inlineStr">
        <is>
          <t>2026-03-30</t>
        </is>
      </c>
      <c r="K78" s="40" t="n">
        <v>11.95</v>
      </c>
      <c r="L78" s="76" t="n">
        <v>0.3519882179675995</v>
      </c>
      <c r="M78" s="77" t="n">
        <v>0</v>
      </c>
      <c r="N78" s="39" t="inlineStr">
        <is>
          <t>Active</t>
        </is>
      </c>
      <c r="O78" s="39" t="n"/>
      <c r="P78" s="78" t="n">
        <v>4.2</v>
      </c>
      <c r="Q78" s="77" t="n">
        <v>1296</v>
      </c>
      <c r="R78" s="77" t="n">
        <v>341774</v>
      </c>
      <c r="S78" s="77" t="n">
        <v>3</v>
      </c>
      <c r="T78" s="39" t="n"/>
    </row>
    <row r="79" ht="62" customHeight="1">
      <c r="A79" s="12">
        <f>_xlfn.IMAGE("https://m.media-amazon.com/images/I/81LzK078hML.jpg")</f>
        <v/>
      </c>
      <c r="B79" s="39" t="inlineStr">
        <is>
          <t>B0CWJ6KZ15</t>
        </is>
      </c>
      <c r="C79" s="39" t="inlineStr">
        <is>
          <t>BM-TWIN-PINK</t>
        </is>
      </c>
      <c r="D79" s="39" t="inlineStr">
        <is>
          <t>DECOLURE Cooling Bed Sheets Twin Set 3pcs - Luxurious &amp; Ultra-Soft Twin Size Cooling Sheets for Hot Sleepers - Comfortable Cool Bamboo Viscose Microfiber Sheets Twin Size w/Deep Pockets (Pink)</t>
        </is>
      </c>
      <c r="E79" s="39" t="inlineStr">
        <is>
          <t>Twin</t>
        </is>
      </c>
      <c r="F79" s="39" t="inlineStr">
        <is>
          <t>Light Pink</t>
        </is>
      </c>
      <c r="G79" s="40" t="n"/>
      <c r="H79" s="39" t="n"/>
      <c r="I79" s="74" t="n">
        <v>35.95</v>
      </c>
      <c r="J79" s="75" t="inlineStr">
        <is>
          <t>2026-03-10</t>
        </is>
      </c>
      <c r="K79" s="40" t="n"/>
      <c r="L79" s="76" t="n"/>
      <c r="M79" s="77" t="n"/>
      <c r="N79" s="39" t="inlineStr">
        <is>
          <t>Inactive</t>
        </is>
      </c>
      <c r="O79" s="39" t="n"/>
      <c r="P79" s="78" t="n"/>
      <c r="Q79" s="77" t="n"/>
      <c r="R79" s="77" t="n"/>
      <c r="S79" s="77" t="n"/>
      <c r="T79" s="39" t="n"/>
    </row>
    <row r="80" ht="62" customHeight="1">
      <c r="A80" s="12">
        <f>_xlfn.IMAGE("https://m.media-amazon.com/images/I/81Z4qrudvWL.jpg")</f>
        <v/>
      </c>
      <c r="B80" s="39" t="inlineStr">
        <is>
          <t>B0C9LTZ8BC</t>
        </is>
      </c>
      <c r="C80" s="39" t="inlineStr">
        <is>
          <t>BM-TWIN-MIDNIGHT-BLACK</t>
        </is>
      </c>
      <c r="D80" s="39" t="inlineStr">
        <is>
          <t>DECOLURE Cooling Bed Sheets Twin Set 3pcs - Luxurious &amp; Ultra-Soft Twin Size Cooling Sheets for Hot Sleepers - Comfortable Bamboo Viscose Microfiber Sheets Twin Size w/Deep Pockets (Midnight Black)</t>
        </is>
      </c>
      <c r="E80" s="39" t="inlineStr">
        <is>
          <t>Twin</t>
        </is>
      </c>
      <c r="F80" s="39" t="inlineStr">
        <is>
          <t>Midnight Black</t>
        </is>
      </c>
      <c r="G80" s="73" t="n">
        <v>33.95</v>
      </c>
      <c r="H80" s="39" t="inlineStr">
        <is>
          <t>catalog price, 2026-10-13</t>
        </is>
      </c>
      <c r="I80" s="74" t="n">
        <v>28.66</v>
      </c>
      <c r="J80" s="75" t="inlineStr">
        <is>
          <t>2026-03-30</t>
        </is>
      </c>
      <c r="K80" s="40" t="n">
        <v>6.99</v>
      </c>
      <c r="L80" s="76" t="n">
        <v>0.243893928820656</v>
      </c>
      <c r="M80" s="77" t="n">
        <v>0</v>
      </c>
      <c r="N80" s="39" t="inlineStr">
        <is>
          <t>Active</t>
        </is>
      </c>
      <c r="O80" s="39" t="n"/>
      <c r="P80" s="78" t="n">
        <v>4.2</v>
      </c>
      <c r="Q80" s="77" t="n">
        <v>1296</v>
      </c>
      <c r="R80" s="77" t="n">
        <v>341774</v>
      </c>
      <c r="S80" s="77" t="n">
        <v>3</v>
      </c>
      <c r="T80" s="39" t="n"/>
    </row>
    <row r="81" ht="62" customHeight="1">
      <c r="A81" s="12">
        <f>_xlfn.IMAGE("https://m.media-amazon.com/images/I/81ydLFLIitL.jpg")</f>
        <v/>
      </c>
      <c r="B81" s="39" t="inlineStr">
        <is>
          <t>B0C9LS4RWT</t>
        </is>
      </c>
      <c r="C81" s="39" t="inlineStr">
        <is>
          <t>BM-TWIN-R-PURPLE</t>
        </is>
      </c>
      <c r="D81" s="39" t="inlineStr">
        <is>
          <t>DECOLURE Cooling Bed Sheets Twin Set 3pcs - Luxurious &amp; Ultra-Soft Twin Size Cooling Sheets for Hot Sleepers - Comfortable Cool Bamboo Viscose Microfiber Sheets Twin Size w/Deep Pockets (Purple)</t>
        </is>
      </c>
      <c r="E81" s="39" t="inlineStr">
        <is>
          <t>Twin</t>
        </is>
      </c>
      <c r="F81" s="39" t="inlineStr">
        <is>
          <t>Regal Purple</t>
        </is>
      </c>
      <c r="G81" s="73" t="n">
        <v>33.95</v>
      </c>
      <c r="H81" s="39" t="inlineStr">
        <is>
          <t>catalog price, 2026-10-13</t>
        </is>
      </c>
      <c r="I81" s="74" t="n">
        <v>33.95</v>
      </c>
      <c r="J81" s="75" t="inlineStr">
        <is>
          <t>2026-03-30</t>
        </is>
      </c>
      <c r="K81" s="40" t="n">
        <v>10.74000000000001</v>
      </c>
      <c r="L81" s="76" t="n">
        <v>0.3163475699558175</v>
      </c>
      <c r="M81" s="77" t="n">
        <v>0</v>
      </c>
      <c r="N81" s="39" t="inlineStr">
        <is>
          <t>Active</t>
        </is>
      </c>
      <c r="O81" s="39" t="n"/>
      <c r="P81" s="78" t="n">
        <v>4.2</v>
      </c>
      <c r="Q81" s="77" t="n">
        <v>1296</v>
      </c>
      <c r="R81" s="77" t="n">
        <v>341774</v>
      </c>
      <c r="S81" s="77" t="n">
        <v>3</v>
      </c>
      <c r="T81" s="39" t="n"/>
    </row>
    <row r="82" ht="62" customHeight="1">
      <c r="A82" s="12">
        <f>_xlfn.IMAGE("https://m.media-amazon.com/images/I/81m677YWEDL.jpg")</f>
        <v/>
      </c>
      <c r="B82" s="39" t="inlineStr">
        <is>
          <t>B0CWJD4D6N</t>
        </is>
      </c>
      <c r="C82" s="39" t="inlineStr">
        <is>
          <t>BM-TWIN-SAGE-GREEN</t>
        </is>
      </c>
      <c r="D82" s="39" t="inlineStr">
        <is>
          <t>DECOLURE Cooling Bed Sheets Twin Set 3pcs - Luxurious &amp; Ultra-Soft Twin Size Cooling Sheets for Hot Sleepers - Comfortable Cool Bamboo Viscose Microfiber Sheets Twin Size w/Deep Pockets (Sage Green)</t>
        </is>
      </c>
      <c r="E82" s="39" t="inlineStr">
        <is>
          <t>Twin</t>
        </is>
      </c>
      <c r="F82" s="39" t="inlineStr">
        <is>
          <t>Sage Green</t>
        </is>
      </c>
      <c r="G82" s="40" t="n"/>
      <c r="H82" s="39" t="n"/>
      <c r="I82" s="74" t="n">
        <v>33.95</v>
      </c>
      <c r="J82" s="75" t="inlineStr">
        <is>
          <t>2026-03-30</t>
        </is>
      </c>
      <c r="K82" s="40" t="n">
        <v>11.68</v>
      </c>
      <c r="L82" s="76" t="n">
        <v>0.3440353460972018</v>
      </c>
      <c r="M82" s="77" t="n"/>
      <c r="N82" s="39" t="inlineStr">
        <is>
          <t>Inactive</t>
        </is>
      </c>
      <c r="O82" s="39" t="n"/>
      <c r="P82" s="78" t="n"/>
      <c r="Q82" s="77" t="n"/>
      <c r="R82" s="77" t="n"/>
      <c r="S82" s="77" t="n"/>
      <c r="T82" s="39" t="n"/>
    </row>
    <row r="83" ht="62" customHeight="1">
      <c r="A83" s="12">
        <f>_xlfn.IMAGE("https://m.media-amazon.com/images/I/81QKz6f4V8L.jpg")</f>
        <v/>
      </c>
      <c r="B83" s="39" t="inlineStr">
        <is>
          <t>B0C9LVNKHG</t>
        </is>
      </c>
      <c r="C83" s="39" t="inlineStr">
        <is>
          <t>BM-TWIN-WHITE</t>
        </is>
      </c>
      <c r="D83" s="39" t="inlineStr">
        <is>
          <t>DECOLURE Cooling Bed Sheets Twin Set 3pcs - Luxurious &amp; Ultra-Soft Twin Size Cooling Sheets for Hot Sleepers - Comfortable Cool Bamboo Viscose Microfiber Sheets Twin Size w/Deep Pockets (White)</t>
        </is>
      </c>
      <c r="E83" s="39" t="inlineStr">
        <is>
          <t>Twin</t>
        </is>
      </c>
      <c r="F83" s="39" t="inlineStr">
        <is>
          <t>White</t>
        </is>
      </c>
      <c r="G83" s="73" t="n">
        <v>33.95</v>
      </c>
      <c r="H83" s="39" t="inlineStr">
        <is>
          <t>catalog price, 2026-10-13</t>
        </is>
      </c>
      <c r="I83" s="74" t="n">
        <v>39.95</v>
      </c>
      <c r="J83" s="75" t="inlineStr">
        <is>
          <t>2026-03-30</t>
        </is>
      </c>
      <c r="K83" s="40" t="n">
        <v>15.9</v>
      </c>
      <c r="L83" s="76" t="n">
        <v>0.3979974968710889</v>
      </c>
      <c r="M83" s="77" t="n">
        <v>0</v>
      </c>
      <c r="N83" s="39" t="inlineStr">
        <is>
          <t>Active</t>
        </is>
      </c>
      <c r="O83" s="39" t="n"/>
      <c r="P83" s="78" t="n">
        <v>4.2</v>
      </c>
      <c r="Q83" s="77" t="n">
        <v>1296</v>
      </c>
      <c r="R83" s="77" t="n">
        <v>341774</v>
      </c>
      <c r="S83" s="77" t="n">
        <v>3</v>
      </c>
      <c r="T83" s="39" t="n"/>
    </row>
    <row r="84"/>
    <row r="85" ht="22" customHeight="1">
      <c r="A85" s="65" t="inlineStr">
        <is>
          <t>3 ▼</t>
        </is>
      </c>
      <c r="B85" s="66" t="inlineStr">
        <is>
          <t>OUR BFCM 2025 RESULT &amp; EVENT VISIBILITY</t>
        </is>
      </c>
      <c r="C85" s="67" t="n"/>
      <c r="D85" s="67" t="n"/>
      <c r="E85" s="67" t="n"/>
      <c r="F85" s="67" t="n"/>
      <c r="G85" s="67" t="n"/>
      <c r="H85" s="67" t="n"/>
      <c r="I85" s="67" t="n"/>
      <c r="J85" s="67" t="n"/>
      <c r="K85" s="67" t="n"/>
      <c r="L85" s="67" t="n"/>
      <c r="M85" s="67" t="n"/>
      <c r="N85" s="67" t="n"/>
      <c r="O85" s="67" t="n"/>
      <c r="P85" s="67" t="n"/>
      <c r="Q85" s="67" t="n"/>
      <c r="R85" s="67" t="n"/>
      <c r="S85" s="67" t="n"/>
      <c r="T85" s="67" t="n"/>
      <c r="U85" s="67" t="n"/>
      <c r="V85" s="67" t="n"/>
      <c r="W85" s="67" t="n"/>
      <c r="X85" s="67" t="n"/>
      <c r="Y85" s="67" t="n"/>
      <c r="Z85" s="67" t="n"/>
      <c r="AA85" s="67" t="n"/>
      <c r="AB85" s="67" t="n"/>
      <c r="AC85" s="67" t="n"/>
      <c r="AD85" s="67" t="n"/>
      <c r="AE85" s="67" t="n"/>
      <c r="AF85" s="67" t="n"/>
      <c r="AG85" s="67" t="n"/>
      <c r="AH85" s="67" t="n"/>
      <c r="AI85" s="67" t="n"/>
      <c r="AJ85" s="67" t="n"/>
      <c r="AK85" s="67" t="n"/>
      <c r="AL85" s="67" t="n"/>
      <c r="AM85" s="67" t="n"/>
      <c r="AN85" s="67" t="n"/>
      <c r="AO85" s="67" t="n"/>
      <c r="AP85" s="67" t="n"/>
      <c r="AQ85" s="67" t="n"/>
      <c r="AR85" s="67" t="n"/>
      <c r="AS85" s="67" t="n"/>
      <c r="AT85" s="67" t="n"/>
      <c r="AU85" s="67" t="n"/>
      <c r="AV85" s="67" t="n"/>
      <c r="AW85" s="67" t="n"/>
      <c r="AX85" s="67" t="n"/>
      <c r="AY85" s="67" t="n"/>
      <c r="AZ85" s="67" t="n"/>
      <c r="BA85" s="67" t="n"/>
      <c r="BB85" s="67" t="n"/>
      <c r="BC85" s="67" t="n"/>
      <c r="BD85" s="67" t="n"/>
      <c r="BE85" s="67" t="n"/>
      <c r="BF85" s="67" t="n"/>
      <c r="BG85" s="67" t="n"/>
      <c r="BH85" s="67" t="n"/>
      <c r="BI85" s="67" t="n"/>
      <c r="BJ85" s="67" t="n"/>
      <c r="BK85" s="67" t="n"/>
    </row>
    <row r="86">
      <c r="A86" s="80" t="inlineStr">
        <is>
          <t>Window</t>
        </is>
      </c>
      <c r="B86" s="81" t="n"/>
      <c r="C86" s="82" t="n"/>
      <c r="D86" s="80" t="inlineStr">
        <is>
          <t>Ad spend</t>
        </is>
      </c>
      <c r="E86" s="80" t="inlineStr">
        <is>
          <t>Ad sales</t>
        </is>
      </c>
      <c r="F86" s="80" t="inlineStr">
        <is>
          <t>ACoS</t>
        </is>
      </c>
      <c r="G86" s="80" t="inlineStr">
        <is>
          <t>TACoS</t>
        </is>
      </c>
      <c r="H86" s="80" t="inlineStr">
        <is>
          <t>Total sales (derived)</t>
        </is>
      </c>
      <c r="J86" s="80" t="inlineStr">
        <is>
          <t>Ad orders</t>
        </is>
      </c>
      <c r="K86" s="80" t="inlineStr">
        <is>
          <t>CVR</t>
        </is>
      </c>
    </row>
    <row r="87">
      <c r="A87" s="83" t="inlineStr">
        <is>
          <t>Pre-event Oct 21 - Nov 19, 2025 (30d)</t>
        </is>
      </c>
      <c r="B87" s="81" t="n"/>
      <c r="C87" s="82" t="n"/>
      <c r="D87" s="84" t="n">
        <v>247.96</v>
      </c>
      <c r="E87" s="84" t="n">
        <v>727.3299999999999</v>
      </c>
      <c r="F87" s="85" t="n">
        <v>34.1</v>
      </c>
      <c r="G87" s="85" t="n">
        <v>5.130815517426894</v>
      </c>
      <c r="H87" s="84" t="n">
        <v>4832.76</v>
      </c>
      <c r="J87" s="86" t="n">
        <v>14</v>
      </c>
      <c r="K87" s="87" t="n">
        <v>10.14</v>
      </c>
    </row>
    <row r="88">
      <c r="A88" s="83" t="inlineStr">
        <is>
          <t>BFCM week Nov 20 - Dec 1, 2025 (12d)</t>
        </is>
      </c>
      <c r="B88" s="81" t="n"/>
      <c r="C88" s="82" t="n"/>
      <c r="D88" s="84" t="n">
        <v>215.53</v>
      </c>
      <c r="E88" s="84" t="n">
        <v>634.4599999999999</v>
      </c>
      <c r="F88" s="85" t="n">
        <v>34</v>
      </c>
      <c r="G88" s="85" t="n">
        <v>6.846895500103245</v>
      </c>
      <c r="H88" s="84" t="n">
        <v>3147.85</v>
      </c>
      <c r="J88" s="86" t="n">
        <v>14</v>
      </c>
      <c r="K88" s="87" t="n">
        <v>12.96</v>
      </c>
    </row>
    <row r="89">
      <c r="A89" s="83" t="inlineStr">
        <is>
          <t>December 2 - 31, 2025 (30d)</t>
        </is>
      </c>
      <c r="B89" s="81" t="n"/>
      <c r="C89" s="82" t="n"/>
      <c r="D89" s="84" t="n">
        <v>540.34</v>
      </c>
      <c r="E89" s="84" t="n">
        <v>1695.65</v>
      </c>
      <c r="F89" s="85" t="n">
        <v>31.9</v>
      </c>
      <c r="G89" s="85" t="n">
        <v>6.186945743712466</v>
      </c>
      <c r="H89" s="84" t="n">
        <v>8733.549999999999</v>
      </c>
      <c r="J89" s="86" t="n">
        <v>35</v>
      </c>
      <c r="K89" s="87" t="n">
        <v>11.63</v>
      </c>
    </row>
    <row r="90"/>
    <row r="91">
      <c r="A91" s="80" t="inlineStr">
        <is>
          <t>Actual sales (account data)</t>
        </is>
      </c>
      <c r="B91" s="81" t="n"/>
      <c r="C91" s="82" t="n"/>
      <c r="D91" s="80" t="inlineStr">
        <is>
          <t>Sales</t>
        </is>
      </c>
      <c r="E91" s="80" t="inlineStr">
        <is>
          <t>Units</t>
        </is>
      </c>
      <c r="F91" s="80" t="inlineStr">
        <is>
          <t>Organic units</t>
        </is>
      </c>
      <c r="G91" s="80" t="inlineStr">
        <is>
          <t>Ad units</t>
        </is>
      </c>
      <c r="H91" s="80" t="inlineStr">
        <is>
          <t>Ad cost</t>
        </is>
      </c>
      <c r="J91" s="80" t="inlineStr">
        <is>
          <t>TACoS (actual)</t>
        </is>
      </c>
      <c r="K91" s="80" t="inlineStr">
        <is>
          <t>Sessions</t>
        </is>
      </c>
      <c r="L91" s="80" t="inlineStr">
        <is>
          <t>Unit session %</t>
        </is>
      </c>
      <c r="M91" s="80" t="inlineStr">
        <is>
          <t>Avg price</t>
        </is>
      </c>
      <c r="N91" s="80" t="inlineStr">
        <is>
          <t>Refunds</t>
        </is>
      </c>
    </row>
    <row r="92">
      <c r="A92" s="83" t="inlineStr">
        <is>
          <t>Pre-event Oct 21 - Nov 19, 2025 (30d)</t>
        </is>
      </c>
      <c r="B92" s="81" t="n"/>
      <c r="C92" s="82" t="n"/>
      <c r="D92" s="84" t="n">
        <v>4832.76</v>
      </c>
      <c r="E92" s="86" t="n">
        <v>123</v>
      </c>
      <c r="F92" s="86" t="n">
        <v>111</v>
      </c>
      <c r="G92" s="86" t="n">
        <v>12</v>
      </c>
      <c r="H92" s="84" t="n">
        <v>466.95</v>
      </c>
      <c r="J92" s="88" t="n">
        <v>0.09662180617287015</v>
      </c>
      <c r="K92" s="86" t="n">
        <v>4250</v>
      </c>
      <c r="L92" s="88" t="n">
        <v>0.02894117647058823</v>
      </c>
      <c r="M92" s="89" t="n">
        <v>39.29073170731707</v>
      </c>
      <c r="N92" s="86" t="n">
        <v>8</v>
      </c>
    </row>
    <row r="93">
      <c r="A93" s="83" t="inlineStr">
        <is>
          <t>BFCM week Nov 20 - Dec 1, 2025 (12d)</t>
        </is>
      </c>
      <c r="B93" s="81" t="n"/>
      <c r="C93" s="82" t="n"/>
      <c r="D93" s="84" t="n">
        <v>3147.85</v>
      </c>
      <c r="E93" s="86" t="n">
        <v>83</v>
      </c>
      <c r="F93" s="86" t="n">
        <v>79</v>
      </c>
      <c r="G93" s="86" t="n">
        <v>4</v>
      </c>
      <c r="H93" s="84" t="n">
        <v>314.59</v>
      </c>
      <c r="J93" s="88" t="n">
        <v>0.09993805295678003</v>
      </c>
      <c r="K93" s="86" t="n">
        <v>1884</v>
      </c>
      <c r="L93" s="88" t="n">
        <v>0.0440552016985138</v>
      </c>
      <c r="M93" s="89" t="n">
        <v>37.92590361445784</v>
      </c>
      <c r="N93" s="86" t="n">
        <v>1</v>
      </c>
    </row>
    <row r="94">
      <c r="A94" s="83" t="inlineStr">
        <is>
          <t>December 2 - 31, 2025 (30d)</t>
        </is>
      </c>
      <c r="B94" s="81" t="n"/>
      <c r="C94" s="82" t="n"/>
      <c r="D94" s="84" t="n">
        <v>8733.549999999999</v>
      </c>
      <c r="E94" s="86" t="n">
        <v>229</v>
      </c>
      <c r="F94" s="86" t="n">
        <v>216</v>
      </c>
      <c r="G94" s="86" t="n">
        <v>13</v>
      </c>
      <c r="H94" s="84" t="n">
        <v>804.3200000000001</v>
      </c>
      <c r="J94" s="88" t="n">
        <v>0.09209542511349911</v>
      </c>
      <c r="K94" s="86" t="n">
        <v>5044</v>
      </c>
      <c r="L94" s="88" t="n">
        <v>0.04540047581284695</v>
      </c>
      <c r="M94" s="89" t="n">
        <v>38.13777292576419</v>
      </c>
      <c r="N94" s="86" t="n">
        <v>21</v>
      </c>
    </row>
    <row r="95">
      <c r="A95" s="90" t="inlineStr">
        <is>
          <t>account data, Amazon parent B0HLLHYGLQ plus any of this product's child ASINs account data lists on their own, UTC days. Lift above uses these actual sales (1.63x; the ad-spend estimate was 1.63x).</t>
        </is>
      </c>
    </row>
    <row r="96" ht="30" customHeight="1">
      <c r="A96" s="91" t="inlineStr">
        <is>
          <t>Deals we ran or scheduled, Nov 1 - Dec 5, 2025 (deal records promotions; scheduled deal price not in the feed. price history price = lowest Buy Box seen during the deal, an observation for the hero child only, not the scheduled deal price): Lightning Deal 11-09 to 11-10 (cancelled, 32 variations); Lightning Deal 11-12 to 11-13 (cancelled, 32 variations); Best Deal 11-20 to 12-02 (cancelled, 38 variations).</t>
        </is>
      </c>
    </row>
    <row r="97" ht="18" customHeight="1">
      <c r="A97" s="94" t="inlineStr">
        <is>
          <t>BFCM 2026 plan: NOT IN A DEAL. the team confirmed that products without a planned deal are not in any BFCM 2026 deal; they sell at their regular price.</t>
        </is>
      </c>
    </row>
    <row r="98" ht="30" customHeight="1">
      <c r="A98" s="94" t="inlineStr">
        <is>
          <t>BFCM 2026 stock (account data, Oct 15): 1,835 units at Amazon + 15 already sent (no ETA in account data); selling 9.6 a day; need about 511 to Nov 30 with a 1.63x BFCM lift (own BFCM 2025 lift (account data)). Variations: 37 covered, 0 need the inbound in time, 4 short even with inbound (56 units), 2 out of stock now. Detail: BFCM Stock tab.</t>
        </is>
      </c>
    </row>
    <row r="99" ht="30" customHeight="1">
      <c r="A99" s="91" t="inlineStr">
        <is>
          <t>Our hero child B0C9LS5H2T in price history (market data, US): Best Seller Rank 156,082 → 176,144 (1.13x worse). Price is price history's lowest new offer (price history holds no Buy Box series for our own ASINs; we are the only seller).</t>
        </is>
      </c>
    </row>
    <row r="100" ht="40" customHeight="1">
      <c r="A100" s="91" t="inlineStr">
        <is>
          <t>Stock in BFCM week 2025 (FBA inventory snapshots, child-ASIN level, revision 2): 2 of 31 variations hit zero FBA stock on at least one observed day; weighted by today's sales mix that is ~0.0% of variation-days lost. Most important: B0C9LS4KC5 2/9 days; B0C9LXFDJT 3/9 days. Days with no snapshot (Nov 26-27 and Dec 1, Cyber Monday), inferred from sales that day and the readings either side: 68 of 93 variation-days in stock, 3 out of stock, 22 unknown. Inferred, not a stock reading.</t>
        </is>
      </c>
    </row>
    <row r="101">
      <c r="A101" s="90" t="inlineStr">
        <is>
          <t>market data visibility for our best child B0C9LS5H2T: organic score 0.0 before BFCM 2025 → 0.0 in BFCM week; Prime Day 2026 0.0 → 0.0; Aug-Sep 2026 0.6.</t>
        </is>
      </c>
    </row>
    <row r="102"/>
    <row r="103" ht="22" customHeight="1">
      <c r="A103" s="65" t="inlineStr">
        <is>
          <t>4 ▼</t>
        </is>
      </c>
      <c r="B103" s="66" t="inlineStr">
        <is>
          <t>COMPETITOR LANDSCAPE (28 mapped)</t>
        </is>
      </c>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c r="AL103" s="67" t="n"/>
      <c r="AM103" s="67" t="n"/>
      <c r="AN103" s="67" t="n"/>
      <c r="AO103" s="67" t="n"/>
      <c r="AP103" s="67" t="n"/>
      <c r="AQ103" s="67" t="n"/>
      <c r="AR103" s="67" t="n"/>
      <c r="AS103" s="67" t="n"/>
      <c r="AT103" s="67" t="n"/>
      <c r="AU103" s="67" t="n"/>
      <c r="AV103" s="67" t="n"/>
      <c r="AW103" s="67" t="n"/>
      <c r="AX103" s="67" t="n"/>
      <c r="AY103" s="67" t="n"/>
      <c r="AZ103" s="67" t="n"/>
      <c r="BA103" s="67" t="n"/>
      <c r="BB103" s="67" t="n"/>
      <c r="BC103" s="67" t="n"/>
      <c r="BD103" s="67" t="n"/>
      <c r="BE103" s="67" t="n"/>
      <c r="BF103" s="67" t="n"/>
      <c r="BG103" s="67" t="n"/>
      <c r="BH103" s="67" t="n"/>
      <c r="BI103" s="67" t="n"/>
      <c r="BJ103" s="67" t="n"/>
      <c r="BK103" s="67" t="n"/>
    </row>
    <row r="104" ht="20" customHeight="1">
      <c r="A104" s="96" t="inlineStr">
        <is>
          <t>▼▼▼</t>
        </is>
      </c>
      <c r="B104" s="97" t="inlineStr">
        <is>
          <t>COMPETITOR DATA BELOW: one row per competitor (2 direct first, then alternative material). Scroll right for listing, search, strikethrough now and BFCM 2025 history (deal type, price, discount, rank change).</t>
        </is>
      </c>
      <c r="C104" s="98" t="n"/>
      <c r="D104" s="98" t="n"/>
      <c r="E104" s="98" t="n"/>
      <c r="F104" s="98" t="n"/>
      <c r="G104" s="98" t="n"/>
      <c r="H104" s="98" t="n"/>
      <c r="I104" s="98" t="n"/>
      <c r="J104" s="98" t="n"/>
      <c r="K104" s="98" t="n"/>
      <c r="L104" s="98" t="n"/>
      <c r="M104" s="98" t="n"/>
      <c r="N104" s="98" t="n"/>
      <c r="O104" s="98" t="n"/>
      <c r="P104" s="98" t="n"/>
      <c r="Q104" s="98" t="n"/>
      <c r="R104" s="98" t="n"/>
      <c r="S104" s="98" t="n"/>
      <c r="T104" s="98" t="n"/>
      <c r="U104" s="98" t="n"/>
      <c r="V104" s="98" t="n"/>
      <c r="W104" s="98" t="n"/>
      <c r="X104" s="98" t="n"/>
      <c r="Y104" s="98" t="n"/>
      <c r="Z104" s="98" t="n"/>
      <c r="AA104" s="98" t="n"/>
      <c r="AB104" s="98" t="n"/>
      <c r="AC104" s="98" t="n"/>
      <c r="AD104" s="98" t="n"/>
      <c r="AE104" s="98" t="n"/>
      <c r="AF104" s="98" t="n"/>
      <c r="AG104" s="98" t="n"/>
      <c r="AH104" s="98" t="n"/>
      <c r="AI104" s="98" t="n"/>
      <c r="AJ104" s="98" t="n"/>
      <c r="AK104" s="98" t="n"/>
      <c r="AL104" s="98" t="n"/>
      <c r="AM104" s="98" t="n"/>
      <c r="AN104" s="98" t="n"/>
      <c r="AO104" s="98" t="n"/>
      <c r="AP104" s="98" t="n"/>
      <c r="AQ104" s="98" t="n"/>
      <c r="AR104" s="98" t="n"/>
      <c r="AS104" s="98" t="n"/>
      <c r="AT104" s="98" t="n"/>
      <c r="AU104" s="98" t="n"/>
      <c r="AV104" s="98" t="n"/>
      <c r="AW104" s="98" t="n"/>
      <c r="AX104" s="98" t="n"/>
      <c r="AY104" s="98" t="n"/>
      <c r="AZ104" s="98" t="n"/>
      <c r="BA104" s="98" t="n"/>
      <c r="BB104" s="98" t="n"/>
      <c r="BC104" s="98" t="n"/>
      <c r="BD104" s="98" t="n"/>
      <c r="BE104" s="98" t="n"/>
      <c r="BF104" s="98" t="n"/>
      <c r="BG104" s="98" t="n"/>
      <c r="BH104" s="98" t="n"/>
      <c r="BI104" s="98" t="n"/>
      <c r="BJ104" s="98" t="n"/>
      <c r="BK104" s="98" t="n"/>
    </row>
    <row r="105">
      <c r="A105" s="99" t="inlineStr">
        <is>
          <t>COMPETITOR</t>
        </is>
      </c>
      <c r="L105" s="100" t="inlineStr">
        <is>
          <t>LISTING - catalog data</t>
        </is>
      </c>
      <c r="M105" s="101" t="inlineStr">
        <is>
          <t>SEARCH STRATEGY - market data search data</t>
        </is>
      </c>
      <c r="N105" s="102" t="inlineStr">
        <is>
          <t>PRICE &amp; SALES - market data snapshot (date per row)</t>
        </is>
      </c>
      <c r="AA105" s="100" t="inlineStr">
        <is>
          <t>LISTING - catalog data</t>
        </is>
      </c>
      <c r="AD105" s="101" t="inlineStr">
        <is>
          <t>SEARCH STRATEGY - market data search data</t>
        </is>
      </c>
      <c r="AU105" s="103" t="inlineStr">
        <is>
          <t>STR NOW - Amazon page check (Oct 13, P1 + P2)</t>
        </is>
      </c>
      <c r="BB105" s="104" t="inlineStr">
        <is>
          <t>BFCM 2025 - price history (P1 filled; yellow = not pulled yet)</t>
        </is>
      </c>
    </row>
    <row r="106" ht="48" customHeight="1">
      <c r="A106" s="26" t="inlineStr">
        <is>
          <t>Image</t>
        </is>
      </c>
      <c r="B106" s="26" t="inlineStr">
        <is>
          <t>Brand</t>
        </is>
      </c>
      <c r="C106" s="26" t="inlineStr">
        <is>
          <t>Product title</t>
        </is>
      </c>
      <c r="D106" s="26" t="inlineStr">
        <is>
          <t>Tier</t>
        </is>
      </c>
      <c r="E106" s="26" t="inlineStr">
        <is>
          <t>Competitor type</t>
        </is>
      </c>
      <c r="F106" s="26" t="inlineStr">
        <is>
          <t>Material</t>
        </is>
      </c>
      <c r="G106" s="26" t="inlineStr">
        <is>
          <t>Why this type</t>
        </is>
      </c>
      <c r="H106" s="26" t="inlineStr">
        <is>
          <t>Parent ASIN</t>
        </is>
      </c>
      <c r="I106" s="26" t="inlineStr">
        <is>
          <t>Tracked child ASIN</t>
        </is>
      </c>
      <c r="J106" s="26" t="inlineStr">
        <is>
          <t>Size</t>
        </is>
      </c>
      <c r="K106" s="26" t="inlineStr">
        <is>
          <t>Colour</t>
        </is>
      </c>
      <c r="L106" s="26" t="inlineStr">
        <is>
          <t>Variations</t>
        </is>
      </c>
      <c r="M106" s="26" t="inlineStr">
        <is>
          <t>Hero child ASINs (share of their visibility)</t>
        </is>
      </c>
      <c r="N106" s="26" t="inlineStr">
        <is>
          <t>Price ($)</t>
        </is>
      </c>
      <c r="O106" s="26" t="inlineStr">
        <is>
          <t>List Price ($)</t>
        </is>
      </c>
      <c r="P106" s="26" t="inlineStr">
        <is>
          <t>List Price % over</t>
        </is>
      </c>
      <c r="Q106" s="26" t="inlineStr">
        <is>
          <t>STR band</t>
        </is>
      </c>
      <c r="R106" s="26" t="inlineStr">
        <is>
          <t>Our price, same size ($)</t>
        </is>
      </c>
      <c r="S106" s="26" t="inlineStr">
        <is>
          <t>Their price vs ours</t>
        </is>
      </c>
      <c r="T106" s="26" t="inlineStr">
        <is>
          <t>Comparison basis</t>
        </is>
      </c>
      <c r="U106" s="26" t="inlineStr">
        <is>
          <t>BSR</t>
        </is>
      </c>
      <c r="V106" s="26" t="inlineStr">
        <is>
          <t>Est weekly units</t>
        </is>
      </c>
      <c r="W106" s="26" t="inlineStr">
        <is>
          <t>Est monthly revenue ($)</t>
        </is>
      </c>
      <c r="X106" s="26" t="inlineStr">
        <is>
          <t>Rating</t>
        </is>
      </c>
      <c r="Y106" s="26" t="inlineStr">
        <is>
          <t>Reviews</t>
        </is>
      </c>
      <c r="Z106" s="26" t="inlineStr">
        <is>
          <t>Snapshot date</t>
        </is>
      </c>
      <c r="AA106" s="26" t="inlineStr">
        <is>
          <t>Listed</t>
        </is>
      </c>
      <c r="AB106" s="26" t="inlineStr">
        <is>
          <t>Fulfil.</t>
        </is>
      </c>
      <c r="AC106" s="26" t="inlineStr">
        <is>
          <t>Seller country</t>
        </is>
      </c>
      <c r="AD106" s="26" t="inlineStr">
        <is>
          <t>search data 7d traffic</t>
        </is>
      </c>
      <c r="AE106" s="26" t="inlineStr">
        <is>
          <t>Keywords ranked</t>
        </is>
      </c>
      <c r="AF106" s="26" t="inlineStr">
        <is>
          <t>Organic share of traffic</t>
        </is>
      </c>
      <c r="AG106" s="26" t="inlineStr">
        <is>
          <t>Ad share of traffic</t>
        </is>
      </c>
      <c r="AH106" s="26" t="inlineStr">
        <is>
          <t>Top keyword</t>
        </is>
      </c>
      <c r="AI106" s="26" t="inlineStr">
        <is>
          <t>SP reach</t>
        </is>
      </c>
      <c r="AJ106" s="26" t="inlineStr">
        <is>
          <t>SB reach</t>
        </is>
      </c>
      <c r="AK106" s="26" t="inlineStr">
        <is>
          <t>SB video reach</t>
        </is>
      </c>
      <c r="AL106" s="26" t="inlineStr">
        <is>
          <t>Amazon's Choice reach</t>
        </is>
      </c>
      <c r="AM106" s="26" t="inlineStr">
        <is>
          <t>Shared keywords</t>
        </is>
      </c>
      <c r="AN106" s="26" t="inlineStr">
        <is>
          <t>We win</t>
        </is>
      </c>
      <c r="AO106" s="26" t="inlineStr">
        <is>
          <t>We lose</t>
        </is>
      </c>
      <c r="AP106" s="26" t="inlineStr">
        <is>
          <t>Their keywords we miss</t>
        </is>
      </c>
      <c r="AQ106" s="26" t="inlineStr">
        <is>
          <t>KWs they advertise, we don't</t>
        </is>
      </c>
      <c r="AR106" s="26" t="inlineStr">
        <is>
          <t>KWs they out-advertise us</t>
        </is>
      </c>
      <c r="AS106" s="26" t="inlineStr">
        <is>
          <t>Prime Day 2026 organic vis lift</t>
        </is>
      </c>
      <c r="AT106" s="26" t="inlineStr">
        <is>
          <t>Organic trend (Aug-Sep vs Q2)</t>
        </is>
      </c>
      <c r="AU106" s="26" t="inlineStr">
        <is>
          <t>STR showing now? (Y/N)</t>
        </is>
      </c>
      <c r="AV106" s="26" t="inlineStr">
        <is>
          <t>STR label</t>
        </is>
      </c>
      <c r="AW106" s="26" t="inlineStr">
        <is>
          <t>Strikethrough price ($)</t>
        </is>
      </c>
      <c r="AX106" s="26" t="inlineStr">
        <is>
          <t>Page price at check ($)</t>
        </is>
      </c>
      <c r="AY106" s="26" t="inlineStr">
        <is>
          <t>Deal / coupon now</t>
        </is>
      </c>
      <c r="AZ106" s="26" t="inlineStr">
        <is>
          <t>Orderable now (Y/N)</t>
        </is>
      </c>
      <c r="BA106" s="26" t="inlineStr">
        <is>
          <t>Checked (ET)</t>
        </is>
      </c>
      <c r="BB106" s="26" t="inlineStr">
        <is>
          <t>BFCM 2025 deal type</t>
        </is>
      </c>
      <c r="BC106" s="26" t="inlineStr">
        <is>
          <t>BFCM 2025 deal dates</t>
        </is>
      </c>
      <c r="BD106" s="26" t="inlineStr">
        <is>
          <t>Pre-event price ($)</t>
        </is>
      </c>
      <c r="BE106" s="26" t="inlineStr">
        <is>
          <t>BFCM 2025 low ($)</t>
        </is>
      </c>
      <c r="BF106" s="26" t="inlineStr">
        <is>
          <t>BFCM 2025 discount</t>
        </is>
      </c>
      <c r="BG106" s="26" t="inlineStr">
        <is>
          <t>BSR pre-event</t>
        </is>
      </c>
      <c r="BH106" s="26" t="inlineStr">
        <is>
          <t>BSR BFCM wk</t>
        </is>
      </c>
      <c r="BI106" s="26" t="inlineStr">
        <is>
          <t>BSR lift (x)</t>
        </is>
      </c>
      <c r="BJ106" s="26" t="inlineStr">
        <is>
          <t>OOS in BFCM? (Y/N)</t>
        </is>
      </c>
      <c r="BK106" s="26" t="inlineStr">
        <is>
          <t>Notes</t>
        </is>
      </c>
    </row>
    <row r="107" ht="62" customHeight="1">
      <c r="A107" s="12">
        <f>_xlfn.IMAGE("https://m.media-amazon.com/images/I/715A70+dQUL._AC_SL1001_.jpg")</f>
        <v/>
      </c>
      <c r="B107" s="105" t="inlineStr">
        <is>
          <t>Bedlifes</t>
        </is>
      </c>
      <c r="C107" s="39" t="inlineStr">
        <is>
          <t>Cooling Sheets</t>
        </is>
      </c>
      <c r="D107" s="105" t="inlineStr">
        <is>
          <t>Aspirational</t>
        </is>
      </c>
      <c r="E107" s="106" t="inlineStr">
        <is>
          <t>Direct</t>
        </is>
      </c>
      <c r="F107" s="105" t="inlineStr">
        <is>
          <t>Microfiber / polyester</t>
        </is>
      </c>
      <c r="G107" s="39" t="inlineStr">
        <is>
          <t>Same product (sheet set) in the same material family: Microfiber / polyester (product page material: Microfiber); ours: different material from the Sleephoria cooling sheets: microfiber with some bamboo viscose.</t>
        </is>
      </c>
      <c r="H107" s="107" t="inlineStr">
        <is>
          <t>B0957W6SPP</t>
        </is>
      </c>
      <c r="I107" s="107" t="inlineStr">
        <is>
          <t>B0894QH86C</t>
        </is>
      </c>
      <c r="J107" s="105" t="inlineStr">
        <is>
          <t>Queen</t>
        </is>
      </c>
      <c r="K107" s="105" t="inlineStr">
        <is>
          <t>Spring Flower</t>
        </is>
      </c>
      <c r="L107" s="108" t="n">
        <v>84</v>
      </c>
      <c r="M107" s="39" t="inlineStr">
        <is>
          <t>B0894QH86C (33%), B0FJLSCV4B (10%), B0894RBF7W (8%), B0BK4JY1MQ (6%), B0894QBCFS (5%)</t>
        </is>
      </c>
      <c r="N107" s="109" t="n">
        <v>22.49</v>
      </c>
      <c r="O107" s="109" t="n"/>
      <c r="P107" s="110">
        <f>IF(AND(ISNUMBER(O107),ISNUMBER(N107),N(N107)&gt;0),O107/N107-1,"")</f>
        <v/>
      </c>
      <c r="Q107" s="111">
        <f>IF(P107="","No List Price",IF(P107&lt;=0,"At/below price",IF(P107&lt;=0.12,"&lt;=12% STR zone",IF(P107&lt;=0.25,"12-25%","&gt;25% over"))))</f>
        <v/>
      </c>
      <c r="R107" s="109" t="n">
        <v>37.95</v>
      </c>
      <c r="S107" s="112">
        <f>IF(AND(ISNUMBER(N107),ISNUMBER(R107),N(R107)&gt;0),N107/R107-1,"")</f>
        <v/>
      </c>
      <c r="T107" s="39" t="inlineStr">
        <is>
          <t>Same size (Queen). Ours live: catalog price, 2026-10-13; 7 children</t>
        </is>
      </c>
      <c r="U107" s="108" t="n">
        <v>9402</v>
      </c>
      <c r="V107" s="108" t="n">
        <v>92</v>
      </c>
      <c r="W107" s="113">
        <f>IF(AND(ISNUMBER(N107),ISNUMBER(V107)),N107*V107*52/12,"")</f>
        <v/>
      </c>
      <c r="X107" s="114" t="n">
        <v>4.6</v>
      </c>
      <c r="Y107" s="108" t="n">
        <v>13223</v>
      </c>
      <c r="Z107" s="115" t="n">
        <v>46307</v>
      </c>
      <c r="AA107" s="115" t="n"/>
      <c r="AB107" s="105" t="n"/>
      <c r="AC107" s="105" t="n"/>
      <c r="AD107" s="108" t="n">
        <v>80103</v>
      </c>
      <c r="AE107" s="108" t="n">
        <v>2211</v>
      </c>
      <c r="AF107" s="116" t="n">
        <v>0.9185560415964454</v>
      </c>
      <c r="AG107" s="116" t="n">
        <v>0.08144459758061494</v>
      </c>
      <c r="AH107" s="39" t="inlineStr">
        <is>
          <t>bamboo sheets</t>
        </is>
      </c>
      <c r="AI107" s="116" t="n">
        <v>0.3502116025617018</v>
      </c>
      <c r="AJ107" s="116" t="n">
        <v>0.07300600476886009</v>
      </c>
      <c r="AK107" s="116" t="n"/>
      <c r="AL107" s="116" t="n">
        <v>0.03850043069547957</v>
      </c>
      <c r="AM107" s="108" t="n">
        <v>291</v>
      </c>
      <c r="AN107" s="108" t="n">
        <v>76</v>
      </c>
      <c r="AO107" s="108" t="n">
        <v>187</v>
      </c>
      <c r="AP107" s="108" t="n">
        <v>1920</v>
      </c>
      <c r="AQ107" s="108" t="n">
        <v>331</v>
      </c>
      <c r="AR107" s="108" t="n">
        <v>2</v>
      </c>
      <c r="AS107" s="117" t="n">
        <v>1.235737351991389</v>
      </c>
      <c r="AT107" s="112" t="n">
        <v>-0.1396797153024911</v>
      </c>
      <c r="AU107" s="118" t="inlineStr">
        <is>
          <t>N</t>
        </is>
      </c>
      <c r="AV107" s="118" t="inlineStr">
        <is>
          <t>none</t>
        </is>
      </c>
      <c r="AW107" s="124" t="n"/>
      <c r="AX107" s="119" t="n">
        <v>23.99</v>
      </c>
      <c r="AY107" s="118" t="inlineStr">
        <is>
          <t>none</t>
        </is>
      </c>
      <c r="AZ107" s="118" t="inlineStr">
        <is>
          <t>Y</t>
        </is>
      </c>
      <c r="BA107" s="118" t="inlineStr">
        <is>
          <t>2026-10-13 12:11:45</t>
        </is>
      </c>
      <c r="BB107" s="120" t="inlineStr">
        <is>
          <t>Prime Exclusive Discount</t>
        </is>
      </c>
      <c r="BC107" s="120" t="inlineStr">
        <is>
          <t>11-20 to 12-01</t>
        </is>
      </c>
      <c r="BD107" s="121" t="n">
        <v>25.99</v>
      </c>
      <c r="BE107" s="121" t="n">
        <v>14.03</v>
      </c>
      <c r="BF107" s="110">
        <f>IF(AND(ISNUMBER(BD107),ISNUMBER(BE107),N(BD107)&gt;0),1-BE107/BD107,"")</f>
        <v/>
      </c>
      <c r="BG107" s="122" t="n">
        <v>6553</v>
      </c>
      <c r="BH107" s="122" t="n">
        <v>6923</v>
      </c>
      <c r="BI107" s="123">
        <f>IF(AND(ISNUMBER(BG107),ISNUMBER(BH107),N(BH107)&gt;0),BG107/BH107,"")</f>
        <v/>
      </c>
      <c r="BJ107" s="120" t="inlineStr">
        <is>
          <t>N</t>
        </is>
      </c>
      <c r="BK107" s="120" t="inlineStr">
        <is>
          <t>Coupon 10% (11-01 to 11-19); List Price $35.99</t>
        </is>
      </c>
    </row>
    <row r="108" ht="62" customHeight="1">
      <c r="A108" s="12">
        <f>_xlfn.IMAGE("https://m.media-amazon.com/images/I/818EX2hLSoL._AC_SL1500_.jpg")</f>
        <v/>
      </c>
      <c r="B108" s="105" t="inlineStr">
        <is>
          <t>OMERAI</t>
        </is>
      </c>
      <c r="C108" s="39" t="inlineStr">
        <is>
          <t>Cooling Sheets</t>
        </is>
      </c>
      <c r="D108" s="105" t="inlineStr">
        <is>
          <t>Beatable</t>
        </is>
      </c>
      <c r="E108" s="106" t="inlineStr">
        <is>
          <t>Direct</t>
        </is>
      </c>
      <c r="F108" s="105" t="inlineStr">
        <is>
          <t>Microfiber / polyester</t>
        </is>
      </c>
      <c r="G108" s="39" t="inlineStr">
        <is>
          <t>Same product (sheet set) in the same material family: Microfiber / polyester (product page material: Microfiber); ours: different material from the Sleephoria cooling sheets: microfiber with some bamboo viscose.</t>
        </is>
      </c>
      <c r="H108" s="107" t="inlineStr">
        <is>
          <t>B0HDC7BMTC</t>
        </is>
      </c>
      <c r="I108" s="107" t="inlineStr">
        <is>
          <t>B0FX8K1CG9</t>
        </is>
      </c>
      <c r="J108" s="105" t="inlineStr">
        <is>
          <t>King 4 PC</t>
        </is>
      </c>
      <c r="K108" s="105" t="inlineStr">
        <is>
          <t>Blue</t>
        </is>
      </c>
      <c r="L108" s="108" t="n">
        <v>10</v>
      </c>
      <c r="M108" s="39" t="inlineStr">
        <is>
          <t>B0BM9K24ST (46%), B0BM9GLKYV (43%)</t>
        </is>
      </c>
      <c r="N108" s="109" t="n">
        <v>42.99</v>
      </c>
      <c r="O108" s="109" t="n">
        <v>59.99</v>
      </c>
      <c r="P108" s="110">
        <f>IF(AND(ISNUMBER(O108),ISNUMBER(N108),N(N108)&gt;0),O108/N108-1,"")</f>
        <v/>
      </c>
      <c r="Q108" s="111">
        <f>IF(P108="","No List Price",IF(P108&lt;=0,"At/below price",IF(P108&lt;=0.12,"&lt;=12% STR zone",IF(P108&lt;=0.25,"12-25%","&gt;25% over"))))</f>
        <v/>
      </c>
      <c r="R108" s="109" t="n">
        <v>39.95</v>
      </c>
      <c r="S108" s="112">
        <f>IF(AND(ISNUMBER(N108),ISNUMBER(R108),N(R108)&gt;0),N108/R108-1,"")</f>
        <v/>
      </c>
      <c r="T108" s="39" t="inlineStr">
        <is>
          <t>Same size (King). Ours live: catalog price, 2026-10-13; 5 children</t>
        </is>
      </c>
      <c r="U108" s="108" t="n">
        <v>115669</v>
      </c>
      <c r="V108" s="108" t="n">
        <v>5</v>
      </c>
      <c r="W108" s="113">
        <f>IF(AND(ISNUMBER(N108),ISNUMBER(V108)),N108*V108*52/12,"")</f>
        <v/>
      </c>
      <c r="X108" s="114" t="n">
        <v>4.7</v>
      </c>
      <c r="Y108" s="108" t="n">
        <v>4</v>
      </c>
      <c r="Z108" s="115" t="n">
        <v>46307</v>
      </c>
      <c r="AA108" s="115" t="n"/>
      <c r="AB108" s="105" t="n"/>
      <c r="AC108" s="105" t="n"/>
      <c r="AD108" s="108" t="n">
        <v>13712</v>
      </c>
      <c r="AE108" s="108" t="n">
        <v>332</v>
      </c>
      <c r="AF108" s="116" t="n">
        <v>0.8852072199533255</v>
      </c>
      <c r="AG108" s="116" t="n">
        <v>0.1147927800466745</v>
      </c>
      <c r="AH108" s="39" t="inlineStr">
        <is>
          <t>cooling sheets queen</t>
        </is>
      </c>
      <c r="AI108" s="116" t="n">
        <v>0.8668319719953326</v>
      </c>
      <c r="AJ108" s="116" t="n"/>
      <c r="AK108" s="116" t="n"/>
      <c r="AL108" s="116" t="n"/>
      <c r="AM108" s="108" t="n">
        <v>138</v>
      </c>
      <c r="AN108" s="108" t="n">
        <v>46</v>
      </c>
      <c r="AO108" s="108" t="n">
        <v>80</v>
      </c>
      <c r="AP108" s="108" t="n">
        <v>194</v>
      </c>
      <c r="AQ108" s="108" t="n">
        <v>53</v>
      </c>
      <c r="AR108" s="108" t="n">
        <v>3</v>
      </c>
      <c r="AS108" s="117" t="n"/>
      <c r="AT108" s="112" t="n"/>
      <c r="AU108" s="118" t="inlineStr">
        <is>
          <t>Y</t>
        </is>
      </c>
      <c r="AV108" s="118" t="inlineStr">
        <is>
          <t>List Price</t>
        </is>
      </c>
      <c r="AW108" s="119" t="n">
        <v>59.99</v>
      </c>
      <c r="AX108" s="119" t="n">
        <v>42.99</v>
      </c>
      <c r="AY108" s="118" t="inlineStr">
        <is>
          <t>coupon 20%</t>
        </is>
      </c>
      <c r="AZ108" s="118" t="inlineStr">
        <is>
          <t>Y</t>
        </is>
      </c>
      <c r="BA108" s="118" t="inlineStr">
        <is>
          <t>2026-10-13 12:12:04</t>
        </is>
      </c>
      <c r="BB108" s="120" t="inlineStr">
        <is>
          <t>Not live in 2025</t>
        </is>
      </c>
      <c r="BC108" s="125" t="n"/>
      <c r="BD108" s="124" t="n"/>
      <c r="BE108" s="124" t="n"/>
      <c r="BF108" s="110">
        <f>IF(AND(ISNUMBER(BD108),ISNUMBER(BE108),N(BD108)&gt;0),1-BE108/BD108,"")</f>
        <v/>
      </c>
      <c r="BG108" s="126" t="n"/>
      <c r="BH108" s="126" t="n"/>
      <c r="BI108" s="123">
        <f>IF(AND(ISNUMBER(BG108),ISNUMBER(BH108),N(BH108)&gt;0),BG108/BH108,"")</f>
        <v/>
      </c>
      <c r="BJ108" s="125" t="n"/>
      <c r="BK108" s="125" t="n"/>
    </row>
    <row r="109" ht="62" customHeight="1">
      <c r="A109" s="12">
        <f>_xlfn.IMAGE("https://images-na.ssl-images-amazon.com/images/I/81fpVjndH2L.jpg")</f>
        <v/>
      </c>
      <c r="B109" s="105" t="inlineStr">
        <is>
          <t>Shilucheng</t>
        </is>
      </c>
      <c r="C109" s="39" t="inlineStr">
        <is>
          <t>Shilucheng 4 Piece King Sheet Sets, Cooling Sheets, Dark Grey</t>
        </is>
      </c>
      <c r="D109" s="105" t="inlineStr">
        <is>
          <t>Beatable</t>
        </is>
      </c>
      <c r="E109" s="127" t="inlineStr">
        <is>
          <t>Material not verified</t>
        </is>
      </c>
      <c r="F109" s="105" t="n"/>
      <c r="G109" s="39" t="inlineStr">
        <is>
          <t>Sheet set like ours, but the material is not stated (material not stated on the page or in the title); verify before treating as direct.</t>
        </is>
      </c>
      <c r="H109" s="107" t="inlineStr">
        <is>
          <t>B098JT1RF2</t>
        </is>
      </c>
      <c r="I109" s="107" t="inlineStr">
        <is>
          <t>B098JT1RF2</t>
        </is>
      </c>
      <c r="J109" s="105" t="inlineStr">
        <is>
          <t>King</t>
        </is>
      </c>
      <c r="K109" s="105" t="inlineStr">
        <is>
          <t>Grey</t>
        </is>
      </c>
      <c r="L109" s="108" t="n">
        <v>100</v>
      </c>
      <c r="M109" s="39" t="inlineStr">
        <is>
          <t>B0FWY1TGFK (65%), B098JT1RF2 (23%)</t>
        </is>
      </c>
      <c r="N109" s="109" t="n">
        <v>37.9</v>
      </c>
      <c r="O109" s="109" t="n"/>
      <c r="P109" s="110">
        <f>IF(AND(ISNUMBER(O109),ISNUMBER(N109),N(N109)&gt;0),O109/N109-1,"")</f>
        <v/>
      </c>
      <c r="Q109" s="111">
        <f>IF(P109="","No List Price",IF(P109&lt;=0,"At/below price",IF(P109&lt;=0.12,"&lt;=12% STR zone",IF(P109&lt;=0.25,"12-25%","&gt;25% over"))))</f>
        <v/>
      </c>
      <c r="R109" s="109" t="n">
        <v>39.95</v>
      </c>
      <c r="S109" s="112">
        <f>IF(AND(ISNUMBER(N109),ISNUMBER(R109),N(R109)&gt;0),N109/R109-1,"")</f>
        <v/>
      </c>
      <c r="T109" s="39" t="inlineStr">
        <is>
          <t>Same size (King). Ours live: catalog price, 2026-10-13; 5 children</t>
        </is>
      </c>
      <c r="U109" s="108" t="n">
        <v>9187</v>
      </c>
      <c r="V109" s="108" t="n">
        <v>18</v>
      </c>
      <c r="W109" s="113">
        <f>IF(AND(ISNUMBER(N109),ISNUMBER(V109)),N109*V109*52/12,"")</f>
        <v/>
      </c>
      <c r="X109" s="114" t="n">
        <v>4.3</v>
      </c>
      <c r="Y109" s="108" t="n">
        <v>24333</v>
      </c>
      <c r="Z109" s="115" t="n">
        <v>46286</v>
      </c>
      <c r="AA109" s="115" t="n">
        <v>44379</v>
      </c>
      <c r="AB109" s="105" t="inlineStr">
        <is>
          <t>FBA</t>
        </is>
      </c>
      <c r="AC109" s="105" t="inlineStr">
        <is>
          <t>CN</t>
        </is>
      </c>
      <c r="AD109" s="108" t="n">
        <v>23320</v>
      </c>
      <c r="AE109" s="108" t="n">
        <v>859</v>
      </c>
      <c r="AF109" s="116" t="n">
        <v>0.6141093996569467</v>
      </c>
      <c r="AG109" s="116" t="n">
        <v>0.3858907375643228</v>
      </c>
      <c r="AH109" s="39" t="inlineStr">
        <is>
          <t>bamboo sheets</t>
        </is>
      </c>
      <c r="AI109" s="116" t="n">
        <v>0.5330188679245284</v>
      </c>
      <c r="AJ109" s="116" t="n"/>
      <c r="AK109" s="116" t="n"/>
      <c r="AL109" s="116" t="n">
        <v>0.006989708404802744</v>
      </c>
      <c r="AM109" s="108" t="n">
        <v>251</v>
      </c>
      <c r="AN109" s="108" t="n">
        <v>62</v>
      </c>
      <c r="AO109" s="108" t="n">
        <v>180</v>
      </c>
      <c r="AP109" s="108" t="n">
        <v>608</v>
      </c>
      <c r="AQ109" s="108" t="n">
        <v>227</v>
      </c>
      <c r="AR109" s="108" t="n">
        <v>2</v>
      </c>
      <c r="AS109" s="117" t="n"/>
      <c r="AT109" s="112" t="n">
        <v>-0.9551569506726457</v>
      </c>
      <c r="AU109" s="118" t="inlineStr">
        <is>
          <t>N</t>
        </is>
      </c>
      <c r="AV109" s="118" t="inlineStr">
        <is>
          <t>none</t>
        </is>
      </c>
      <c r="AW109" s="124" t="n"/>
      <c r="AX109" s="119" t="n">
        <v>37.9</v>
      </c>
      <c r="AY109" s="118" t="inlineStr">
        <is>
          <t>coupon 15%</t>
        </is>
      </c>
      <c r="AZ109" s="118" t="inlineStr">
        <is>
          <t>Y</t>
        </is>
      </c>
      <c r="BA109" s="118" t="inlineStr">
        <is>
          <t>2026-10-13 12:11:29</t>
        </is>
      </c>
      <c r="BB109" s="120" t="inlineStr">
        <is>
          <t>Coupon only</t>
        </is>
      </c>
      <c r="BC109" s="120" t="inlineStr">
        <is>
          <t>11-05 to 12-05</t>
        </is>
      </c>
      <c r="BD109" s="121" t="n">
        <v>37.9</v>
      </c>
      <c r="BE109" s="121" t="n">
        <v>30.32</v>
      </c>
      <c r="BF109" s="110">
        <f>IF(AND(ISNUMBER(BD109),ISNUMBER(BE109),N(BD109)&gt;0),1-BE109/BD109,"")</f>
        <v/>
      </c>
      <c r="BG109" s="122" t="n">
        <v>4668</v>
      </c>
      <c r="BH109" s="122" t="n">
        <v>3277</v>
      </c>
      <c r="BI109" s="123">
        <f>IF(AND(ISNUMBER(BG109),ISNUMBER(BH109),N(BH109)&gt;0),BG109/BH109,"")</f>
        <v/>
      </c>
      <c r="BJ109" s="120" t="inlineStr">
        <is>
          <t>N</t>
        </is>
      </c>
      <c r="BK109" s="120" t="inlineStr">
        <is>
          <t>Coupon 15%; List Price $37.90</t>
        </is>
      </c>
    </row>
    <row r="110" ht="62" customHeight="1">
      <c r="A110" s="12">
        <f>_xlfn.IMAGE("https://m.media-amazon.com/images/I/61lUaTQjkAL._AC_SL1500_.jpg")</f>
        <v/>
      </c>
      <c r="B110" s="105" t="inlineStr">
        <is>
          <t>Bedsure</t>
        </is>
      </c>
      <c r="C110" s="39" t="inlineStr">
        <is>
          <t>Cooling Sheets</t>
        </is>
      </c>
      <c r="D110" s="105" t="inlineStr">
        <is>
          <t>Beatable</t>
        </is>
      </c>
      <c r="E110" s="127" t="inlineStr">
        <is>
          <t>Material not verified</t>
        </is>
      </c>
      <c r="F110" s="105" t="n"/>
      <c r="G110" s="39" t="inlineStr">
        <is>
          <t>Sheet set like ours, but the material is not stated (material not stated on the page or in the title); verify before treating as direct.</t>
        </is>
      </c>
      <c r="H110" s="107" t="inlineStr">
        <is>
          <t>B0CPDTJ5NN</t>
        </is>
      </c>
      <c r="I110" s="107" t="inlineStr">
        <is>
          <t>B0CPDR5DDM</t>
        </is>
      </c>
      <c r="J110" s="105" t="inlineStr">
        <is>
          <t>Queen</t>
        </is>
      </c>
      <c r="K110" s="105" t="inlineStr">
        <is>
          <t>01 - Grey</t>
        </is>
      </c>
      <c r="L110" s="108" t="n">
        <v>1</v>
      </c>
      <c r="M110" s="39" t="inlineStr">
        <is>
          <t>B0DGWZTTRL (100%)</t>
        </is>
      </c>
      <c r="N110" s="109" t="n">
        <v>149.99</v>
      </c>
      <c r="O110" s="109" t="n"/>
      <c r="P110" s="110">
        <f>IF(AND(ISNUMBER(O110),ISNUMBER(N110),N(N110)&gt;0),O110/N110-1,"")</f>
        <v/>
      </c>
      <c r="Q110" s="111">
        <f>IF(P110="","No List Price",IF(P110&lt;=0,"At/below price",IF(P110&lt;=0.12,"&lt;=12% STR zone",IF(P110&lt;=0.25,"12-25%","&gt;25% over"))))</f>
        <v/>
      </c>
      <c r="R110" s="109" t="n">
        <v>37.95</v>
      </c>
      <c r="S110" s="112">
        <f>IF(AND(ISNUMBER(N110),ISNUMBER(R110),N(R110)&gt;0),N110/R110-1,"")</f>
        <v/>
      </c>
      <c r="T110" s="39" t="inlineStr">
        <is>
          <t>Same size (Queen). Ours live: catalog price, 2026-10-13; 7 children</t>
        </is>
      </c>
      <c r="U110" s="108" t="n">
        <v>463922</v>
      </c>
      <c r="V110" s="108" t="n">
        <v>5</v>
      </c>
      <c r="W110" s="113">
        <f>IF(AND(ISNUMBER(N110),ISNUMBER(V110)),N110*V110*52/12,"")</f>
        <v/>
      </c>
      <c r="X110" s="114" t="n">
        <v>4.2</v>
      </c>
      <c r="Y110" s="108" t="n">
        <v>512</v>
      </c>
      <c r="Z110" s="115" t="n">
        <v>46307</v>
      </c>
      <c r="AA110" s="115" t="n"/>
      <c r="AB110" s="105" t="n"/>
      <c r="AC110" s="105" t="n"/>
      <c r="AD110" s="108" t="n">
        <v>170</v>
      </c>
      <c r="AE110" s="108" t="n">
        <v>22</v>
      </c>
      <c r="AF110" s="116" t="n">
        <v>1</v>
      </c>
      <c r="AG110" s="116" t="n">
        <v>0</v>
      </c>
      <c r="AH110" s="39" t="inlineStr">
        <is>
          <t>bedsure cooling sheets</t>
        </is>
      </c>
      <c r="AI110" s="116" t="n"/>
      <c r="AJ110" s="116" t="n"/>
      <c r="AK110" s="116" t="n"/>
      <c r="AL110" s="116" t="n"/>
      <c r="AM110" s="108" t="n">
        <v>15</v>
      </c>
      <c r="AN110" s="108" t="n">
        <v>12</v>
      </c>
      <c r="AO110" s="108" t="n">
        <v>1</v>
      </c>
      <c r="AP110" s="108" t="n">
        <v>7</v>
      </c>
      <c r="AQ110" s="108" t="n">
        <v>0</v>
      </c>
      <c r="AR110" s="108" t="n">
        <v>0</v>
      </c>
      <c r="AS110" s="117" t="n"/>
      <c r="AT110" s="112" t="n"/>
      <c r="AU110" s="118" t="inlineStr">
        <is>
          <t>N</t>
        </is>
      </c>
      <c r="AV110" s="118" t="inlineStr">
        <is>
          <t>none</t>
        </is>
      </c>
      <c r="AW110" s="124" t="n"/>
      <c r="AX110" s="124" t="n"/>
      <c r="AY110" s="118" t="inlineStr">
        <is>
          <t>none</t>
        </is>
      </c>
      <c r="AZ110" s="118" t="inlineStr">
        <is>
          <t>N</t>
        </is>
      </c>
      <c r="BA110" s="118" t="inlineStr">
        <is>
          <t>2026-10-13 12:11:48</t>
        </is>
      </c>
      <c r="BB110" s="125" t="n"/>
      <c r="BC110" s="125" t="n"/>
      <c r="BD110" s="124" t="n"/>
      <c r="BE110" s="124" t="n"/>
      <c r="BF110" s="110">
        <f>IF(AND(ISNUMBER(BD110),ISNUMBER(BE110),N(BD110)&gt;0),1-BE110/BD110,"")</f>
        <v/>
      </c>
      <c r="BG110" s="126" t="n"/>
      <c r="BH110" s="126" t="n"/>
      <c r="BI110" s="123">
        <f>IF(AND(ISNUMBER(BG110),ISNUMBER(BH110),N(BH110)&gt;0),BG110/BH110,"")</f>
        <v/>
      </c>
      <c r="BJ110" s="120" t="inlineStr">
        <is>
          <t>Y</t>
        </is>
      </c>
      <c r="BK110" s="120" t="inlineStr">
        <is>
          <t>No Buy Box history in price history for BFCM 2025; List Price $82.99</t>
        </is>
      </c>
    </row>
    <row r="111" ht="62" customHeight="1">
      <c r="A111" s="45" t="inlineStr">
        <is>
          <t>COMING SOON</t>
        </is>
      </c>
      <c r="B111" s="105" t="inlineStr">
        <is>
          <t>David's Home</t>
        </is>
      </c>
      <c r="C111" s="39" t="inlineStr">
        <is>
          <t>Cooling Sheets</t>
        </is>
      </c>
      <c r="D111" s="105" t="inlineStr">
        <is>
          <t>Beatable</t>
        </is>
      </c>
      <c r="E111" s="127" t="inlineStr">
        <is>
          <t>Material not verified</t>
        </is>
      </c>
      <c r="F111" s="105" t="n"/>
      <c r="G111" s="39" t="inlineStr">
        <is>
          <t>Sheet set like ours, but the material is not stated (material not stated on the page or in the title); verify before treating as direct.</t>
        </is>
      </c>
      <c r="H111" s="107" t="inlineStr">
        <is>
          <t>B0D1SRR2H4</t>
        </is>
      </c>
      <c r="I111" s="107" t="inlineStr">
        <is>
          <t>B0D1RBXBNG</t>
        </is>
      </c>
      <c r="J111" s="105" t="n"/>
      <c r="K111" s="105" t="n"/>
      <c r="L111" s="108" t="n"/>
      <c r="M111" s="39" t="inlineStr"/>
      <c r="N111" s="109" t="n">
        <v>24.99</v>
      </c>
      <c r="O111" s="109" t="n"/>
      <c r="P111" s="110">
        <f>IF(AND(ISNUMBER(O111),ISNUMBER(N111),N(N111)&gt;0),O111/N111-1,"")</f>
        <v/>
      </c>
      <c r="Q111" s="111">
        <f>IF(P111="","No List Price",IF(P111&lt;=0,"At/below price",IF(P111&lt;=0.12,"&lt;=12% STR zone",IF(P111&lt;=0.25,"12-25%","&gt;25% over"))))</f>
        <v/>
      </c>
      <c r="R111" s="109" t="n">
        <v>37.95</v>
      </c>
      <c r="S111" s="112">
        <f>IF(AND(ISNUMBER(N111),ISNUMBER(R111),N(R111)&gt;0),N111/R111-1,"")</f>
        <v/>
      </c>
      <c r="T111" s="39" t="inlineStr">
        <is>
          <t>Size not stated - vs our Queen. Ours live: catalog price, 2026-10-13; 7 children</t>
        </is>
      </c>
      <c r="U111" s="108" t="n">
        <v>758020</v>
      </c>
      <c r="V111" s="108" t="n"/>
      <c r="W111" s="113">
        <f>IF(AND(ISNUMBER(N111),ISNUMBER(V111)),N111*V111*52/12,"")</f>
        <v/>
      </c>
      <c r="X111" s="114" t="n">
        <v>4.3</v>
      </c>
      <c r="Y111" s="108" t="n">
        <v>169</v>
      </c>
      <c r="Z111" s="115" t="n">
        <v>46307</v>
      </c>
      <c r="AA111" s="115" t="n"/>
      <c r="AB111" s="105" t="n"/>
      <c r="AC111" s="105" t="n"/>
      <c r="AD111" s="108" t="n"/>
      <c r="AE111" s="108" t="n"/>
      <c r="AF111" s="116" t="n"/>
      <c r="AG111" s="116" t="n"/>
      <c r="AH111" s="39" t="n"/>
      <c r="AI111" s="116" t="n"/>
      <c r="AJ111" s="116" t="n"/>
      <c r="AK111" s="116" t="n"/>
      <c r="AL111" s="116" t="n"/>
      <c r="AM111" s="108" t="n"/>
      <c r="AN111" s="108" t="n"/>
      <c r="AO111" s="108" t="n"/>
      <c r="AP111" s="108" t="n"/>
      <c r="AQ111" s="108" t="n"/>
      <c r="AR111" s="108" t="n"/>
      <c r="AS111" s="117" t="n"/>
      <c r="AT111" s="112" t="n"/>
      <c r="AU111" s="118" t="inlineStr">
        <is>
          <t>unknown</t>
        </is>
      </c>
      <c r="AV111" s="125" t="n"/>
      <c r="AW111" s="124" t="n"/>
      <c r="AX111" s="124" t="n"/>
      <c r="AY111" s="125" t="n"/>
      <c r="AZ111" s="125" t="n"/>
      <c r="BA111" s="118" t="inlineStr">
        <is>
          <t>2026-10-13 12:11:57</t>
        </is>
      </c>
      <c r="BB111" s="120" t="inlineStr">
        <is>
          <t>Prime Exclusive Discount</t>
        </is>
      </c>
      <c r="BC111" s="120" t="inlineStr">
        <is>
          <t>11-24 to 11-27</t>
        </is>
      </c>
      <c r="BD111" s="121" t="n">
        <v>39.99</v>
      </c>
      <c r="BE111" s="121" t="n">
        <v>10</v>
      </c>
      <c r="BF111" s="110">
        <f>IF(AND(ISNUMBER(BD111),ISNUMBER(BE111),N(BD111)&gt;0),1-BE111/BD111,"")</f>
        <v/>
      </c>
      <c r="BG111" s="122" t="n">
        <v>437868</v>
      </c>
      <c r="BH111" s="122" t="n">
        <v>446244</v>
      </c>
      <c r="BI111" s="123">
        <f>IF(AND(ISNUMBER(BG111),ISNUMBER(BH111),N(BH111)&gt;0),BG111/BH111,"")</f>
        <v/>
      </c>
      <c r="BJ111" s="120" t="inlineStr">
        <is>
          <t>Y</t>
        </is>
      </c>
      <c r="BK111" s="120" t="inlineStr">
        <is>
          <t>Coupon 20%, 40% (11-01 to 11-20); List Price $67.99</t>
        </is>
      </c>
    </row>
    <row r="112" ht="62" customHeight="1">
      <c r="A112" s="12">
        <f>_xlfn.IMAGE("https://images-na.ssl-images-amazon.com/images/I/91dfner9BkL.jpg")</f>
        <v/>
      </c>
      <c r="B112" s="105" t="inlineStr">
        <is>
          <t>Pure Bamboo</t>
        </is>
      </c>
      <c r="C112" s="39" t="inlineStr">
        <is>
          <t>Pure Bamboo King Sheets, Genuine 100% Organic Viscose Derived from Bamboo Bed Sheet Set, Luxuriously Soft &amp; Cooling, Double Stitching, 2 Year Quality Promise (King, Ivory)</t>
        </is>
      </c>
      <c r="D112" s="105" t="inlineStr">
        <is>
          <t>Aspirational</t>
        </is>
      </c>
      <c r="E112" s="128" t="inlineStr">
        <is>
          <t>Alternative material</t>
        </is>
      </c>
      <c r="F112" s="105" t="inlineStr">
        <is>
          <t>Bamboo viscose</t>
        </is>
      </c>
      <c r="G112" s="39" t="inlineStr">
        <is>
          <t>Sheet set in Bamboo viscose (title: Pure Bamboo King Sheets, Genuine 100% Organic Viscose Derive); ours is Microfiber / polyester (different material from the Sleephoria cooling sheets: microfiber with some bamboo viscose). Shopper may cross-shop, but not like-for-like.</t>
        </is>
      </c>
      <c r="H112" s="107" t="inlineStr">
        <is>
          <t>B0CZQ52MTQ</t>
        </is>
      </c>
      <c r="I112" s="107" t="inlineStr">
        <is>
          <t>B07DZTQ4JC</t>
        </is>
      </c>
      <c r="J112" s="105" t="inlineStr">
        <is>
          <t>King</t>
        </is>
      </c>
      <c r="K112" s="105" t="inlineStr">
        <is>
          <t>Ivory</t>
        </is>
      </c>
      <c r="L112" s="108" t="n">
        <v>181</v>
      </c>
      <c r="M112" s="39" t="inlineStr">
        <is>
          <t>B07MZ4GKZH (30%), B079RXWGSD (12%), B07DZTQ4JC (11%), B074CHDX7V (10%), B07DZMB498 (5%)</t>
        </is>
      </c>
      <c r="N112" s="109" t="n">
        <v>109.99</v>
      </c>
      <c r="O112" s="109" t="n"/>
      <c r="P112" s="110">
        <f>IF(AND(ISNUMBER(O112),ISNUMBER(N112),N(N112)&gt;0),O112/N112-1,"")</f>
        <v/>
      </c>
      <c r="Q112" s="111">
        <f>IF(P112="","No List Price",IF(P112&lt;=0,"At/below price",IF(P112&lt;=0.12,"&lt;=12% STR zone",IF(P112&lt;=0.25,"12-25%","&gt;25% over"))))</f>
        <v/>
      </c>
      <c r="R112" s="109" t="n">
        <v>39.95</v>
      </c>
      <c r="S112" s="112">
        <f>IF(AND(ISNUMBER(N112),ISNUMBER(R112),N(R112)&gt;0),N112/R112-1,"")</f>
        <v/>
      </c>
      <c r="T112" s="39" t="inlineStr">
        <is>
          <t>Same size (King). Ours live: catalog price, 2026-10-13; 5 children</t>
        </is>
      </c>
      <c r="U112" s="108" t="n">
        <v>304</v>
      </c>
      <c r="V112" s="108" t="n">
        <v>809</v>
      </c>
      <c r="W112" s="113">
        <f>IF(AND(ISNUMBER(N112),ISNUMBER(V112)),N112*V112*52/12,"")</f>
        <v/>
      </c>
      <c r="X112" s="114" t="n">
        <v>4.5</v>
      </c>
      <c r="Y112" s="108" t="n">
        <v>21927</v>
      </c>
      <c r="Z112" s="115" t="n">
        <v>46307</v>
      </c>
      <c r="AA112" s="115" t="n">
        <v>43281</v>
      </c>
      <c r="AB112" s="105" t="inlineStr">
        <is>
          <t>FBA</t>
        </is>
      </c>
      <c r="AC112" s="105" t="inlineStr">
        <is>
          <t>US</t>
        </is>
      </c>
      <c r="AD112" s="108" t="n">
        <v>2565055</v>
      </c>
      <c r="AE112" s="108" t="n">
        <v>8283</v>
      </c>
      <c r="AF112" s="116" t="n">
        <v>0.4648594811807159</v>
      </c>
      <c r="AG112" s="116" t="n">
        <v>0.5351407059497737</v>
      </c>
      <c r="AH112" s="39" t="inlineStr">
        <is>
          <t>bamboo sheets</t>
        </is>
      </c>
      <c r="AI112" s="116" t="n">
        <v>0.8806310196077667</v>
      </c>
      <c r="AJ112" s="116" t="n">
        <v>0.8210506207469236</v>
      </c>
      <c r="AK112" s="116" t="n">
        <v>0.8831019217911507</v>
      </c>
      <c r="AL112" s="116" t="n">
        <v>0.2663467255088098</v>
      </c>
      <c r="AM112" s="108" t="n">
        <v>382</v>
      </c>
      <c r="AN112" s="108" t="n">
        <v>8</v>
      </c>
      <c r="AO112" s="108" t="n">
        <v>359</v>
      </c>
      <c r="AP112" s="108" t="n">
        <v>7901</v>
      </c>
      <c r="AQ112" s="108" t="n">
        <v>3779</v>
      </c>
      <c r="AR112" s="108" t="n">
        <v>8</v>
      </c>
      <c r="AS112" s="117" t="n">
        <v>1.180104147961932</v>
      </c>
      <c r="AT112" s="112" t="n">
        <v>1.570823710546574</v>
      </c>
      <c r="AU112" s="118" t="inlineStr">
        <is>
          <t>N</t>
        </is>
      </c>
      <c r="AV112" s="118" t="inlineStr">
        <is>
          <t>none</t>
        </is>
      </c>
      <c r="AW112" s="124" t="n"/>
      <c r="AX112" s="119" t="n">
        <v>109.99</v>
      </c>
      <c r="AY112" s="118" t="inlineStr">
        <is>
          <t>none</t>
        </is>
      </c>
      <c r="AZ112" s="118" t="inlineStr">
        <is>
          <t>Y</t>
        </is>
      </c>
      <c r="BA112" s="118" t="inlineStr">
        <is>
          <t>2026-10-13 12:11:16</t>
        </is>
      </c>
      <c r="BB112" s="120" t="inlineStr">
        <is>
          <t>None</t>
        </is>
      </c>
      <c r="BC112" s="125" t="n"/>
      <c r="BD112" s="121" t="n">
        <v>109.99</v>
      </c>
      <c r="BE112" s="121" t="n">
        <v>109.99</v>
      </c>
      <c r="BF112" s="110">
        <f>IF(AND(ISNUMBER(BD112),ISNUMBER(BE112),N(BD112)&gt;0),1-BE112/BD112,"")</f>
        <v/>
      </c>
      <c r="BG112" s="122" t="n">
        <v>287</v>
      </c>
      <c r="BH112" s="122" t="n">
        <v>598</v>
      </c>
      <c r="BI112" s="123">
        <f>IF(AND(ISNUMBER(BG112),ISNUMBER(BH112),N(BH112)&gt;0),BG112/BH112,"")</f>
        <v/>
      </c>
      <c r="BJ112" s="120" t="inlineStr">
        <is>
          <t>N</t>
        </is>
      </c>
      <c r="BK112" s="120" t="inlineStr">
        <is>
          <t>List Price $139.99/$149.99</t>
        </is>
      </c>
    </row>
    <row r="113" ht="62" customHeight="1">
      <c r="A113" s="12">
        <f>_xlfn.IMAGE("https://images-na.ssl-images-amazon.com/images/I/71oEhkRYQ+L.jpg")</f>
        <v/>
      </c>
      <c r="B113" s="105" t="inlineStr">
        <is>
          <t>Hotel Sheets Direct</t>
        </is>
      </c>
      <c r="C113" s="39" t="inlineStr">
        <is>
          <t>Hotel Sheets Direct 4 Piece Bed Sheet Set Queen Size, 100% Viscose Derived from Bamboo Sheets Set with 2 Pillowcases, Cooling &amp; Breathable Luxury Bedding, Moisture-Wicking &amp; Silky Soft Texture, White</t>
        </is>
      </c>
      <c r="D113" s="105" t="inlineStr">
        <is>
          <t>Aspirational</t>
        </is>
      </c>
      <c r="E113" s="128" t="inlineStr">
        <is>
          <t>Alternative material</t>
        </is>
      </c>
      <c r="F113" s="105" t="inlineStr">
        <is>
          <t>Bamboo viscose</t>
        </is>
      </c>
      <c r="G113" s="39" t="inlineStr">
        <is>
          <t>Sheet set in Bamboo viscose (title: Hotel Sheets Direct 4 Piece Bed Sheet Set Queen Size, 100% V); ours is Microfiber / polyester (different material from the Sleephoria cooling sheets: microfiber with some bamboo viscose). Shopper may cross-shop, but not like-for-like.</t>
        </is>
      </c>
      <c r="H113" s="107" t="inlineStr">
        <is>
          <t>B0G5N99X9R</t>
        </is>
      </c>
      <c r="I113" s="107" t="inlineStr">
        <is>
          <t>B01N9L2O9P</t>
        </is>
      </c>
      <c r="J113" s="105" t="inlineStr">
        <is>
          <t>Queen</t>
        </is>
      </c>
      <c r="K113" s="105" t="inlineStr">
        <is>
          <t>White</t>
        </is>
      </c>
      <c r="L113" s="108" t="n">
        <v>61</v>
      </c>
      <c r="M113" s="39" t="inlineStr">
        <is>
          <t>B01N9L2O9P (30%), B01N0UB2GO (20%), B072WD91XH (10%), B072WV76WK (6%), B07RJBYJ9L (5%)</t>
        </is>
      </c>
      <c r="N113" s="109" t="n">
        <v>79.98999999999999</v>
      </c>
      <c r="O113" s="109" t="n"/>
      <c r="P113" s="110">
        <f>IF(AND(ISNUMBER(O113),ISNUMBER(N113),N(N113)&gt;0),O113/N113-1,"")</f>
        <v/>
      </c>
      <c r="Q113" s="111">
        <f>IF(P113="","No List Price",IF(P113&lt;=0,"At/below price",IF(P113&lt;=0.12,"&lt;=12% STR zone",IF(P113&lt;=0.25,"12-25%","&gt;25% over"))))</f>
        <v/>
      </c>
      <c r="R113" s="109" t="n">
        <v>37.95</v>
      </c>
      <c r="S113" s="112">
        <f>IF(AND(ISNUMBER(N113),ISNUMBER(R113),N(R113)&gt;0),N113/R113-1,"")</f>
        <v/>
      </c>
      <c r="T113" s="39" t="inlineStr">
        <is>
          <t>Same size (Queen). Ours live: catalog price, 2026-10-13; 7 children</t>
        </is>
      </c>
      <c r="U113" s="108" t="n">
        <v>2984</v>
      </c>
      <c r="V113" s="108" t="n">
        <v>347</v>
      </c>
      <c r="W113" s="113">
        <f>IF(AND(ISNUMBER(N113),ISNUMBER(V113)),N113*V113*52/12,"")</f>
        <v/>
      </c>
      <c r="X113" s="114" t="n">
        <v>4.4</v>
      </c>
      <c r="Y113" s="108" t="n">
        <v>37179</v>
      </c>
      <c r="Z113" s="115" t="n">
        <v>46307</v>
      </c>
      <c r="AA113" s="115" t="n">
        <v>42729</v>
      </c>
      <c r="AB113" s="105" t="inlineStr">
        <is>
          <t>FBA</t>
        </is>
      </c>
      <c r="AC113" s="105" t="inlineStr">
        <is>
          <t>US</t>
        </is>
      </c>
      <c r="AD113" s="108" t="n">
        <v>451969</v>
      </c>
      <c r="AE113" s="108" t="n">
        <v>4094</v>
      </c>
      <c r="AF113" s="116" t="n">
        <v>0.6071584272372669</v>
      </c>
      <c r="AG113" s="116" t="n">
        <v>0.3928415727627336</v>
      </c>
      <c r="AH113" s="39" t="inlineStr">
        <is>
          <t>hotel</t>
        </is>
      </c>
      <c r="AI113" s="116" t="n">
        <v>0.9036371963563873</v>
      </c>
      <c r="AJ113" s="116" t="n">
        <v>0.4767871247806819</v>
      </c>
      <c r="AK113" s="116" t="n">
        <v>0.1264024745059949</v>
      </c>
      <c r="AL113" s="116" t="n">
        <v>0.3227168234989568</v>
      </c>
      <c r="AM113" s="108" t="n">
        <v>369</v>
      </c>
      <c r="AN113" s="108" t="n">
        <v>44</v>
      </c>
      <c r="AO113" s="108" t="n">
        <v>306</v>
      </c>
      <c r="AP113" s="108" t="n">
        <v>3725</v>
      </c>
      <c r="AQ113" s="108" t="n">
        <v>952</v>
      </c>
      <c r="AR113" s="108" t="n">
        <v>3</v>
      </c>
      <c r="AS113" s="117" t="n">
        <v>1.799620493358634</v>
      </c>
      <c r="AT113" s="112" t="n">
        <v>0.004829621679635077</v>
      </c>
      <c r="AU113" s="118" t="inlineStr">
        <is>
          <t>N</t>
        </is>
      </c>
      <c r="AV113" s="118" t="inlineStr">
        <is>
          <t>none</t>
        </is>
      </c>
      <c r="AW113" s="124" t="n"/>
      <c r="AX113" s="119" t="n">
        <v>79.98999999999999</v>
      </c>
      <c r="AY113" s="118" t="inlineStr">
        <is>
          <t>none</t>
        </is>
      </c>
      <c r="AZ113" s="118" t="inlineStr">
        <is>
          <t>Y</t>
        </is>
      </c>
      <c r="BA113" s="118" t="inlineStr">
        <is>
          <t>2026-10-13 12:10:54</t>
        </is>
      </c>
      <c r="BB113" s="120" t="inlineStr">
        <is>
          <t>Price cut only</t>
        </is>
      </c>
      <c r="BC113" s="120" t="inlineStr">
        <is>
          <t>11-20 to 12-01</t>
        </is>
      </c>
      <c r="BD113" s="121" t="n">
        <v>72.98999999999999</v>
      </c>
      <c r="BE113" s="121" t="n">
        <v>57.99</v>
      </c>
      <c r="BF113" s="110">
        <f>IF(AND(ISNUMBER(BD113),ISNUMBER(BE113),N(BD113)&gt;0),1-BE113/BD113,"")</f>
        <v/>
      </c>
      <c r="BG113" s="122" t="n">
        <v>3871</v>
      </c>
      <c r="BH113" s="122" t="n">
        <v>1703</v>
      </c>
      <c r="BI113" s="123">
        <f>IF(AND(ISNUMBER(BG113),ISNUMBER(BH113),N(BH113)&gt;0),BG113/BH113,"")</f>
        <v/>
      </c>
      <c r="BJ113" s="120" t="inlineStr">
        <is>
          <t>N</t>
        </is>
      </c>
      <c r="BK113" s="120" t="inlineStr">
        <is>
          <t>Lightning Deal 11-07 to 11-11; Coupon 20% (11-12 to 12-02); List Price $72.99</t>
        </is>
      </c>
    </row>
    <row r="114" ht="62" customHeight="1">
      <c r="A114" s="12">
        <f>_xlfn.IMAGE("https://images-na.ssl-images-amazon.com/images/I/61fbapIObwL.jpg")</f>
        <v/>
      </c>
      <c r="B114" s="105" t="inlineStr">
        <is>
          <t>BAMPURE</t>
        </is>
      </c>
      <c r="C114" s="39" t="inlineStr">
        <is>
          <t>BAMPURE 100% Rayon from Bamboo Sheets King Size - 4pc Cooling King Sheets</t>
        </is>
      </c>
      <c r="D114" s="105" t="inlineStr">
        <is>
          <t>Aspirational</t>
        </is>
      </c>
      <c r="E114" s="128" t="inlineStr">
        <is>
          <t>Alternative material</t>
        </is>
      </c>
      <c r="F114" s="105" t="inlineStr">
        <is>
          <t>Bamboo viscose</t>
        </is>
      </c>
      <c r="G114" s="39" t="inlineStr">
        <is>
          <t>Sheet set in Bamboo viscose (product page material: Viscose Derived from Bamboo); ours is Microfiber / polyester (different material from the Sleephoria cooling sheets: microfiber with some bamboo viscose). Shopper may cross-shop, but not like-for-like.</t>
        </is>
      </c>
      <c r="H114" s="107" t="inlineStr">
        <is>
          <t>B0HC778XB4</t>
        </is>
      </c>
      <c r="I114" s="107" t="inlineStr">
        <is>
          <t>B07XFP6BY2</t>
        </is>
      </c>
      <c r="J114" s="105" t="inlineStr">
        <is>
          <t>King</t>
        </is>
      </c>
      <c r="K114" s="105" t="inlineStr">
        <is>
          <t>White</t>
        </is>
      </c>
      <c r="L114" s="108" t="n">
        <v>40</v>
      </c>
      <c r="M114" s="39" t="inlineStr">
        <is>
          <t>B07XBJY2JR (65%), B07XFP6BY2 (21%)</t>
        </is>
      </c>
      <c r="N114" s="109" t="n">
        <v>67.98</v>
      </c>
      <c r="O114" s="109" t="n">
        <v>99.98999999999999</v>
      </c>
      <c r="P114" s="110">
        <f>IF(AND(ISNUMBER(O114),ISNUMBER(N114),N(N114)&gt;0),O114/N114-1,"")</f>
        <v/>
      </c>
      <c r="Q114" s="111">
        <f>IF(P114="","No List Price",IF(P114&lt;=0,"At/below price",IF(P114&lt;=0.12,"&lt;=12% STR zone",IF(P114&lt;=0.25,"12-25%","&gt;25% over"))))</f>
        <v/>
      </c>
      <c r="R114" s="109" t="n">
        <v>39.95</v>
      </c>
      <c r="S114" s="112">
        <f>IF(AND(ISNUMBER(N114),ISNUMBER(R114),N(R114)&gt;0),N114/R114-1,"")</f>
        <v/>
      </c>
      <c r="T114" s="39" t="inlineStr">
        <is>
          <t>Same size (King). Ours live: catalog price, 2026-10-13; 5 children</t>
        </is>
      </c>
      <c r="U114" s="108" t="n">
        <v>14479</v>
      </c>
      <c r="V114" s="108" t="n">
        <v>81</v>
      </c>
      <c r="W114" s="113">
        <f>IF(AND(ISNUMBER(N114),ISNUMBER(V114)),N114*V114*52/12,"")</f>
        <v/>
      </c>
      <c r="X114" s="114" t="n">
        <v>4.4</v>
      </c>
      <c r="Y114" s="108" t="n">
        <v>4095</v>
      </c>
      <c r="Z114" s="115" t="n">
        <v>46307</v>
      </c>
      <c r="AA114" s="115" t="n">
        <v>43776</v>
      </c>
      <c r="AB114" s="105" t="inlineStr">
        <is>
          <t>FBA</t>
        </is>
      </c>
      <c r="AC114" s="105" t="inlineStr">
        <is>
          <t>US</t>
        </is>
      </c>
      <c r="AD114" s="108" t="n">
        <v>67699</v>
      </c>
      <c r="AE114" s="108" t="n">
        <v>1687</v>
      </c>
      <c r="AF114" s="116" t="n">
        <v>0.8589487052984534</v>
      </c>
      <c r="AG114" s="116" t="n">
        <v>0.1410512947015465</v>
      </c>
      <c r="AH114" s="39" t="inlineStr">
        <is>
          <t>bamboo sheets</t>
        </is>
      </c>
      <c r="AI114" s="116" t="n">
        <v>0.9117121375500377</v>
      </c>
      <c r="AJ114" s="116" t="n"/>
      <c r="AK114" s="116" t="n"/>
      <c r="AL114" s="116" t="n"/>
      <c r="AM114" s="108" t="n">
        <v>323</v>
      </c>
      <c r="AN114" s="108" t="n">
        <v>93</v>
      </c>
      <c r="AO114" s="108" t="n">
        <v>183</v>
      </c>
      <c r="AP114" s="108" t="n">
        <v>1364</v>
      </c>
      <c r="AQ114" s="108" t="n">
        <v>301</v>
      </c>
      <c r="AR114" s="108" t="n">
        <v>1</v>
      </c>
      <c r="AS114" s="117" t="n">
        <v>1.016706443914081</v>
      </c>
      <c r="AT114" s="112" t="n">
        <v>-0.2868217054263565</v>
      </c>
      <c r="AU114" s="118" t="inlineStr">
        <is>
          <t>Y</t>
        </is>
      </c>
      <c r="AV114" s="118" t="inlineStr">
        <is>
          <t>List Price</t>
        </is>
      </c>
      <c r="AW114" s="119" t="n">
        <v>99.98999999999999</v>
      </c>
      <c r="AX114" s="119" t="n">
        <v>67.98</v>
      </c>
      <c r="AY114" s="118" t="inlineStr">
        <is>
          <t>Limited time deal</t>
        </is>
      </c>
      <c r="AZ114" s="118" t="inlineStr">
        <is>
          <t>Y</t>
        </is>
      </c>
      <c r="BA114" s="118" t="inlineStr">
        <is>
          <t>2026-10-13 12:10:12</t>
        </is>
      </c>
      <c r="BB114" s="120" t="inlineStr">
        <is>
          <t>Prime Exclusive Discount</t>
        </is>
      </c>
      <c r="BC114" s="120" t="inlineStr">
        <is>
          <t>11-22 to 12-01</t>
        </is>
      </c>
      <c r="BD114" s="121" t="n">
        <v>84.98999999999999</v>
      </c>
      <c r="BE114" s="121" t="n">
        <v>79.98999999999999</v>
      </c>
      <c r="BF114" s="110">
        <f>IF(AND(ISNUMBER(BD114),ISNUMBER(BE114),N(BD114)&gt;0),1-BE114/BD114,"")</f>
        <v/>
      </c>
      <c r="BG114" s="122" t="n">
        <v>31768</v>
      </c>
      <c r="BH114" s="122" t="n">
        <v>27833</v>
      </c>
      <c r="BI114" s="123">
        <f>IF(AND(ISNUMBER(BG114),ISNUMBER(BH114),N(BH114)&gt;0),BG114/BH114,"")</f>
        <v/>
      </c>
      <c r="BJ114" s="120" t="inlineStr">
        <is>
          <t>N</t>
        </is>
      </c>
      <c r="BK114" s="120" t="inlineStr">
        <is>
          <t>Coupon 5.00 USD (11-01 to 11-04); Buy Box RAISED in BFCM week (median $99.99 vs $84.99 before); List Price $99.99</t>
        </is>
      </c>
    </row>
    <row r="115" ht="62" customHeight="1">
      <c r="A115" s="12">
        <f>_xlfn.IMAGE("https://m.media-amazon.com/images/I/61A6QLdfwQL._AC_SL1500_.jpg")</f>
        <v/>
      </c>
      <c r="B115" s="105" t="inlineStr">
        <is>
          <t>BAMPURE</t>
        </is>
      </c>
      <c r="C115" s="39" t="inlineStr">
        <is>
          <t>Bamboo Sheets</t>
        </is>
      </c>
      <c r="D115" s="105" t="inlineStr">
        <is>
          <t>Aspirational</t>
        </is>
      </c>
      <c r="E115" s="128" t="inlineStr">
        <is>
          <t>Alternative material</t>
        </is>
      </c>
      <c r="F115" s="105" t="inlineStr">
        <is>
          <t>Bamboo viscose</t>
        </is>
      </c>
      <c r="G115" s="39" t="inlineStr">
        <is>
          <t>Sheet set in Bamboo viscose (product page material: Viscose derived from Bamboo); ours is Microfiber / polyester (different material from the Sleephoria cooling sheets: microfiber with some bamboo viscose). Shopper may cross-shop, but not like-for-like.</t>
        </is>
      </c>
      <c r="H115" s="107" t="inlineStr">
        <is>
          <t>B07XC2KVM7</t>
        </is>
      </c>
      <c r="I115" s="107" t="inlineStr">
        <is>
          <t>B07XC2KVM7</t>
        </is>
      </c>
      <c r="J115" s="105" t="inlineStr">
        <is>
          <t>Twin - 3 Pieces Set</t>
        </is>
      </c>
      <c r="K115" s="105" t="inlineStr">
        <is>
          <t>White</t>
        </is>
      </c>
      <c r="L115" s="108" t="n"/>
      <c r="M115" s="39" t="inlineStr"/>
      <c r="N115" s="109" t="n">
        <v>37.99</v>
      </c>
      <c r="O115" s="109" t="n"/>
      <c r="P115" s="110">
        <f>IF(AND(ISNUMBER(O115),ISNUMBER(N115),N(N115)&gt;0),O115/N115-1,"")</f>
        <v/>
      </c>
      <c r="Q115" s="111">
        <f>IF(P115="","No List Price",IF(P115&lt;=0,"At/below price",IF(P115&lt;=0.12,"&lt;=12% STR zone",IF(P115&lt;=0.25,"12-25%","&gt;25% over"))))</f>
        <v/>
      </c>
      <c r="R115" s="109" t="n">
        <v>33.95</v>
      </c>
      <c r="S115" s="112">
        <f>IF(AND(ISNUMBER(N115),ISNUMBER(R115),N(R115)&gt;0),N115/R115-1,"")</f>
        <v/>
      </c>
      <c r="T115" s="39" t="inlineStr">
        <is>
          <t>Same size (Twin). Ours live: catalog price, 2026-10-13; 9 children</t>
        </is>
      </c>
      <c r="U115" s="108" t="n">
        <v>2541068</v>
      </c>
      <c r="V115" s="108" t="n">
        <v>5</v>
      </c>
      <c r="W115" s="113">
        <f>IF(AND(ISNUMBER(N115),ISNUMBER(V115)),N115*V115*52/12,"")</f>
        <v/>
      </c>
      <c r="X115" s="114" t="n">
        <v>4.4</v>
      </c>
      <c r="Y115" s="108" t="n">
        <v>30</v>
      </c>
      <c r="Z115" s="115" t="n">
        <v>46307</v>
      </c>
      <c r="AA115" s="115" t="n"/>
      <c r="AB115" s="105" t="n"/>
      <c r="AC115" s="105" t="n"/>
      <c r="AD115" s="108" t="n"/>
      <c r="AE115" s="108" t="n"/>
      <c r="AF115" s="116" t="n"/>
      <c r="AG115" s="116" t="n"/>
      <c r="AH115" s="39" t="n"/>
      <c r="AI115" s="116" t="n"/>
      <c r="AJ115" s="116" t="n"/>
      <c r="AK115" s="116" t="n"/>
      <c r="AL115" s="116" t="n"/>
      <c r="AM115" s="108" t="n"/>
      <c r="AN115" s="108" t="n"/>
      <c r="AO115" s="108" t="n"/>
      <c r="AP115" s="108" t="n"/>
      <c r="AQ115" s="108" t="n"/>
      <c r="AR115" s="108" t="n"/>
      <c r="AS115" s="117" t="n"/>
      <c r="AT115" s="112" t="n"/>
      <c r="AU115" s="118" t="inlineStr">
        <is>
          <t>N</t>
        </is>
      </c>
      <c r="AV115" s="118" t="inlineStr">
        <is>
          <t>none</t>
        </is>
      </c>
      <c r="AW115" s="124" t="n"/>
      <c r="AX115" s="124" t="n"/>
      <c r="AY115" s="118" t="inlineStr">
        <is>
          <t>none</t>
        </is>
      </c>
      <c r="AZ115" s="118" t="inlineStr">
        <is>
          <t>N</t>
        </is>
      </c>
      <c r="BA115" s="118" t="inlineStr">
        <is>
          <t>2026-10-13 12:10:15</t>
        </is>
      </c>
      <c r="BB115" s="120" t="inlineStr">
        <is>
          <t>None</t>
        </is>
      </c>
      <c r="BC115" s="125" t="n"/>
      <c r="BD115" s="121" t="n">
        <v>69.98999999999999</v>
      </c>
      <c r="BE115" s="121" t="n">
        <v>69.98999999999999</v>
      </c>
      <c r="BF115" s="110">
        <f>IF(AND(ISNUMBER(BD115),ISNUMBER(BE115),N(BD115)&gt;0),1-BE115/BD115,"")</f>
        <v/>
      </c>
      <c r="BG115" s="122" t="n">
        <v>31768</v>
      </c>
      <c r="BH115" s="122" t="n">
        <v>27950</v>
      </c>
      <c r="BI115" s="123">
        <f>IF(AND(ISNUMBER(BG115),ISNUMBER(BH115),N(BH115)&gt;0),BG115/BH115,"")</f>
        <v/>
      </c>
      <c r="BJ115" s="120" t="inlineStr">
        <is>
          <t>N</t>
        </is>
      </c>
      <c r="BK115" s="120" t="inlineStr">
        <is>
          <t>List Price $69.99</t>
        </is>
      </c>
    </row>
    <row r="116" ht="62" customHeight="1">
      <c r="A116" s="12">
        <f>_xlfn.IMAGE("https://images-na.ssl-images-amazon.com/images/I/81svKInu7aL.jpg")</f>
        <v/>
      </c>
      <c r="B116" s="105" t="inlineStr">
        <is>
          <t>Bambaw</t>
        </is>
      </c>
      <c r="C116" s="39" t="inlineStr">
        <is>
          <t>Bambaw 100% Viscose Derived from Bamboo Sheets Queen Size Set – 4pcs Cooling Sheet Set, Super Soft Sheets Queen Size, Luxury Bed Sheets, Deep Pocket Fits Up to 16'' Mattresses (Charcoal)</t>
        </is>
      </c>
      <c r="D116" s="105" t="inlineStr">
        <is>
          <t>Beatable</t>
        </is>
      </c>
      <c r="E116" s="128" t="inlineStr">
        <is>
          <t>Alternative material</t>
        </is>
      </c>
      <c r="F116" s="105" t="inlineStr">
        <is>
          <t>Bamboo viscose</t>
        </is>
      </c>
      <c r="G116" s="39" t="inlineStr">
        <is>
          <t>Sheet set in Bamboo viscose (title: Bambaw 100% Viscose Derived from Bamboo Sheets Queen Size Se); ours is Microfiber / polyester (different material from the Sleephoria cooling sheets: microfiber with some bamboo viscose). Shopper may cross-shop, but not like-for-like.</t>
        </is>
      </c>
      <c r="H116" s="107" t="inlineStr">
        <is>
          <t>B07K6SYX8L</t>
        </is>
      </c>
      <c r="I116" s="107" t="inlineStr">
        <is>
          <t>B0DR99Q37Y</t>
        </is>
      </c>
      <c r="J116" s="105" t="inlineStr">
        <is>
          <t>Queen</t>
        </is>
      </c>
      <c r="K116" s="105" t="inlineStr">
        <is>
          <t>Charcoal</t>
        </is>
      </c>
      <c r="L116" s="108" t="n">
        <v>104</v>
      </c>
      <c r="M116" s="39" t="inlineStr">
        <is>
          <t>B0DR99Q37Y (55%), B0DR98VW37 (10%), B0F2J1742T (7%), B0DR98HVG3 (5%), B0H3BQSQ1X (5%)</t>
        </is>
      </c>
      <c r="N116" s="109" t="n">
        <v>89.98999999999999</v>
      </c>
      <c r="O116" s="109" t="n"/>
      <c r="P116" s="110">
        <f>IF(AND(ISNUMBER(O116),ISNUMBER(N116),N(N116)&gt;0),O116/N116-1,"")</f>
        <v/>
      </c>
      <c r="Q116" s="111">
        <f>IF(P116="","No List Price",IF(P116&lt;=0,"At/below price",IF(P116&lt;=0.12,"&lt;=12% STR zone",IF(P116&lt;=0.25,"12-25%","&gt;25% over"))))</f>
        <v/>
      </c>
      <c r="R116" s="109" t="n">
        <v>37.95</v>
      </c>
      <c r="S116" s="112">
        <f>IF(AND(ISNUMBER(N116),ISNUMBER(R116),N(R116)&gt;0),N116/R116-1,"")</f>
        <v/>
      </c>
      <c r="T116" s="39" t="inlineStr">
        <is>
          <t>Same size (Queen). Ours live: catalog price, 2026-10-13; 7 children</t>
        </is>
      </c>
      <c r="U116" s="108" t="n">
        <v>6971</v>
      </c>
      <c r="V116" s="108" t="n">
        <v>104</v>
      </c>
      <c r="W116" s="113">
        <f>IF(AND(ISNUMBER(N116),ISNUMBER(V116)),N116*V116*52/12,"")</f>
        <v/>
      </c>
      <c r="X116" s="114" t="n">
        <v>4.3</v>
      </c>
      <c r="Y116" s="108" t="n">
        <v>2766</v>
      </c>
      <c r="Z116" s="115" t="n">
        <v>46307</v>
      </c>
      <c r="AA116" s="115" t="n">
        <v>45649</v>
      </c>
      <c r="AB116" s="105" t="inlineStr">
        <is>
          <t>FBA</t>
        </is>
      </c>
      <c r="AC116" s="105" t="inlineStr">
        <is>
          <t>BE</t>
        </is>
      </c>
      <c r="AD116" s="108" t="n">
        <v>407949</v>
      </c>
      <c r="AE116" s="108" t="n">
        <v>2137</v>
      </c>
      <c r="AF116" s="116" t="n">
        <v>0.5037485506766772</v>
      </c>
      <c r="AG116" s="116" t="n">
        <v>0.4962515277645003</v>
      </c>
      <c r="AH116" s="39" t="inlineStr">
        <is>
          <t>bamboo sheets</t>
        </is>
      </c>
      <c r="AI116" s="116" t="n">
        <v>0.8267479513370544</v>
      </c>
      <c r="AJ116" s="116" t="n">
        <v>0.000431426477329274</v>
      </c>
      <c r="AK116" s="116" t="n">
        <v>0.3636508485129268</v>
      </c>
      <c r="AL116" s="116" t="n">
        <v>0.003414642516589083</v>
      </c>
      <c r="AM116" s="108" t="n">
        <v>347</v>
      </c>
      <c r="AN116" s="108" t="n">
        <v>19</v>
      </c>
      <c r="AO116" s="108" t="n">
        <v>308</v>
      </c>
      <c r="AP116" s="108" t="n">
        <v>1790</v>
      </c>
      <c r="AQ116" s="108" t="n">
        <v>580</v>
      </c>
      <c r="AR116" s="108" t="n">
        <v>9</v>
      </c>
      <c r="AS116" s="117" t="n">
        <v>1.374474053295933</v>
      </c>
      <c r="AT116" s="112" t="n">
        <v>1.381825760733639</v>
      </c>
      <c r="AU116" s="118" t="inlineStr">
        <is>
          <t>N</t>
        </is>
      </c>
      <c r="AV116" s="118" t="inlineStr">
        <is>
          <t>none</t>
        </is>
      </c>
      <c r="AW116" s="124" t="n"/>
      <c r="AX116" s="119" t="n">
        <v>89.98999999999999</v>
      </c>
      <c r="AY116" s="118" t="inlineStr">
        <is>
          <t>none</t>
        </is>
      </c>
      <c r="AZ116" s="118" t="inlineStr">
        <is>
          <t>Y</t>
        </is>
      </c>
      <c r="BA116" s="118" t="inlineStr">
        <is>
          <t>2026-10-13 12:10:28</t>
        </is>
      </c>
      <c r="BB116" s="120" t="inlineStr">
        <is>
          <t>None</t>
        </is>
      </c>
      <c r="BC116" s="125" t="n"/>
      <c r="BD116" s="121" t="n">
        <v>89.98999999999999</v>
      </c>
      <c r="BE116" s="121" t="n">
        <v>89.98999999999999</v>
      </c>
      <c r="BF116" s="110">
        <f>IF(AND(ISNUMBER(BD116),ISNUMBER(BE116),N(BD116)&gt;0),1-BE116/BD116,"")</f>
        <v/>
      </c>
      <c r="BG116" s="122" t="n">
        <v>12712</v>
      </c>
      <c r="BH116" s="122" t="n">
        <v>10881</v>
      </c>
      <c r="BI116" s="123">
        <f>IF(AND(ISNUMBER(BG116),ISNUMBER(BH116),N(BH116)&gt;0),BG116/BH116,"")</f>
        <v/>
      </c>
      <c r="BJ116" s="120" t="inlineStr">
        <is>
          <t>N</t>
        </is>
      </c>
      <c r="BK116" s="120" t="inlineStr">
        <is>
          <t>List Price $103.45</t>
        </is>
      </c>
    </row>
    <row r="117" ht="62" customHeight="1">
      <c r="A117" s="12">
        <f>_xlfn.IMAGE("https://images-na.ssl-images-amazon.com/images/I/81suQgVR0GL.jpg")</f>
        <v/>
      </c>
      <c r="B117" s="105" t="inlineStr">
        <is>
          <t>Bedsure</t>
        </is>
      </c>
      <c r="C117" s="39" t="inlineStr">
        <is>
          <t>Bedsure PureWoven Organically Grown Bamboo Viscose Queen Sheet Set, 4PCS</t>
        </is>
      </c>
      <c r="D117" s="105" t="inlineStr">
        <is>
          <t>Beatable</t>
        </is>
      </c>
      <c r="E117" s="128" t="inlineStr">
        <is>
          <t>Alternative material</t>
        </is>
      </c>
      <c r="F117" s="105" t="inlineStr">
        <is>
          <t>Bamboo viscose</t>
        </is>
      </c>
      <c r="G117" s="39" t="inlineStr">
        <is>
          <t>Sheet set in Bamboo viscose (product page material: Viscose Derived from Bamboo); ours is Microfiber / polyester (different material from the Sleephoria cooling sheets: microfiber with some bamboo viscose). Shopper may cross-shop, but not like-for-like.</t>
        </is>
      </c>
      <c r="H117" s="107" t="inlineStr">
        <is>
          <t>B0FB8XS4D1</t>
        </is>
      </c>
      <c r="I117" s="107" t="inlineStr">
        <is>
          <t>B0FB8XR43Q</t>
        </is>
      </c>
      <c r="J117" s="105" t="inlineStr">
        <is>
          <t>Queen</t>
        </is>
      </c>
      <c r="K117" s="105" t="inlineStr">
        <is>
          <t>01 - White</t>
        </is>
      </c>
      <c r="L117" s="108" t="n">
        <v>39</v>
      </c>
      <c r="M117" s="39" t="inlineStr">
        <is>
          <t>B0FB8XR43Q (31%), B0FB8ZTD7M (18%), B0GLN6VP9Y (11%), B0FB8YV6C7 (10%), B0FB8Z4GGW (10%)</t>
        </is>
      </c>
      <c r="N117" s="109" t="n">
        <v>89.98999999999999</v>
      </c>
      <c r="O117" s="109" t="n">
        <v>119.99</v>
      </c>
      <c r="P117" s="110">
        <f>IF(AND(ISNUMBER(O117),ISNUMBER(N117),N(N117)&gt;0),O117/N117-1,"")</f>
        <v/>
      </c>
      <c r="Q117" s="111">
        <f>IF(P117="","No List Price",IF(P117&lt;=0,"At/below price",IF(P117&lt;=0.12,"&lt;=12% STR zone",IF(P117&lt;=0.25,"12-25%","&gt;25% over"))))</f>
        <v/>
      </c>
      <c r="R117" s="109" t="n">
        <v>37.95</v>
      </c>
      <c r="S117" s="112">
        <f>IF(AND(ISNUMBER(N117),ISNUMBER(R117),N(R117)&gt;0),N117/R117-1,"")</f>
        <v/>
      </c>
      <c r="T117" s="39" t="inlineStr">
        <is>
          <t>Same size (Queen). Ours live: catalog price, 2026-10-13; 7 children</t>
        </is>
      </c>
      <c r="U117" s="108" t="n">
        <v>8938</v>
      </c>
      <c r="V117" s="108" t="n">
        <v>104</v>
      </c>
      <c r="W117" s="113">
        <f>IF(AND(ISNUMBER(N117),ISNUMBER(V117)),N117*V117*52/12,"")</f>
        <v/>
      </c>
      <c r="X117" s="114" t="n">
        <v>4.5</v>
      </c>
      <c r="Y117" s="108" t="n">
        <v>588</v>
      </c>
      <c r="Z117" s="115" t="n">
        <v>46307</v>
      </c>
      <c r="AA117" s="115" t="n">
        <v>45936</v>
      </c>
      <c r="AB117" s="105" t="inlineStr">
        <is>
          <t>FBA</t>
        </is>
      </c>
      <c r="AC117" s="105" t="inlineStr">
        <is>
          <t>US</t>
        </is>
      </c>
      <c r="AD117" s="108" t="n">
        <v>840292</v>
      </c>
      <c r="AE117" s="108" t="n">
        <v>3961</v>
      </c>
      <c r="AF117" s="116" t="n">
        <v>0.1404099194089678</v>
      </c>
      <c r="AG117" s="116" t="n">
        <v>0.8595901834124341</v>
      </c>
      <c r="AH117" s="39" t="inlineStr">
        <is>
          <t>bamboo sheets</t>
        </is>
      </c>
      <c r="AI117" s="116" t="n">
        <v>0.9284082199997143</v>
      </c>
      <c r="AJ117" s="116" t="n">
        <v>0.9843340172225845</v>
      </c>
      <c r="AK117" s="116" t="n">
        <v>0.5269953777972419</v>
      </c>
      <c r="AL117" s="116" t="n">
        <v>0.000478405125837209</v>
      </c>
      <c r="AM117" s="108" t="n">
        <v>350</v>
      </c>
      <c r="AN117" s="108" t="n">
        <v>22</v>
      </c>
      <c r="AO117" s="108" t="n">
        <v>314</v>
      </c>
      <c r="AP117" s="108" t="n">
        <v>3611</v>
      </c>
      <c r="AQ117" s="108" t="n">
        <v>2447</v>
      </c>
      <c r="AR117" s="108" t="n">
        <v>21</v>
      </c>
      <c r="AS117" s="117" t="n">
        <v>1.764832022873481</v>
      </c>
      <c r="AT117" s="112" t="n">
        <v>-0.09047044632086854</v>
      </c>
      <c r="AU117" s="118" t="inlineStr">
        <is>
          <t>Y</t>
        </is>
      </c>
      <c r="AV117" s="118" t="inlineStr">
        <is>
          <t>List Price</t>
        </is>
      </c>
      <c r="AW117" s="119" t="n">
        <v>119.99</v>
      </c>
      <c r="AX117" s="119" t="n">
        <v>89.98999999999999</v>
      </c>
      <c r="AY117" s="118" t="inlineStr">
        <is>
          <t>none</t>
        </is>
      </c>
      <c r="AZ117" s="118" t="inlineStr">
        <is>
          <t>Y</t>
        </is>
      </c>
      <c r="BA117" s="118" t="inlineStr">
        <is>
          <t>2026-10-13 12:10:38</t>
        </is>
      </c>
      <c r="BB117" s="120" t="inlineStr">
        <is>
          <t>Prime Exclusive Discount</t>
        </is>
      </c>
      <c r="BC117" s="120" t="inlineStr">
        <is>
          <t>11-10 to 12-05</t>
        </is>
      </c>
      <c r="BD117" s="121" t="n">
        <v>99.98999999999999</v>
      </c>
      <c r="BE117" s="121" t="n">
        <v>72.64</v>
      </c>
      <c r="BF117" s="110">
        <f>IF(AND(ISNUMBER(BD117),ISNUMBER(BE117),N(BD117)&gt;0),1-BE117/BD117,"")</f>
        <v/>
      </c>
      <c r="BG117" s="122" t="n">
        <v>53160</v>
      </c>
      <c r="BH117" s="122" t="n">
        <v>53782</v>
      </c>
      <c r="BI117" s="123">
        <f>IF(AND(ISNUMBER(BG117),ISNUMBER(BH117),N(BH117)&gt;0),BG117/BH117,"")</f>
        <v/>
      </c>
      <c r="BJ117" s="120" t="inlineStr">
        <is>
          <t>N</t>
        </is>
      </c>
      <c r="BK117" s="120" t="inlineStr">
        <is>
          <t>Prime Exclusive already running before BFCM week; List Price $114.99</t>
        </is>
      </c>
    </row>
    <row r="118" ht="62" customHeight="1">
      <c r="A118" s="12">
        <f>_xlfn.IMAGE("https://images-na.ssl-images-amazon.com/images/I/71sqxa1EquL.jpg")</f>
        <v/>
      </c>
      <c r="B118" s="105" t="inlineStr">
        <is>
          <t>SONORO KATE</t>
        </is>
      </c>
      <c r="C118" s="39" t="inlineStr">
        <is>
          <t>Bamboo Sheets</t>
        </is>
      </c>
      <c r="D118" s="105" t="inlineStr">
        <is>
          <t>Beatable</t>
        </is>
      </c>
      <c r="E118" s="128" t="inlineStr">
        <is>
          <t>Alternative material</t>
        </is>
      </c>
      <c r="F118" s="105" t="inlineStr">
        <is>
          <t>Bamboo viscose</t>
        </is>
      </c>
      <c r="G118" s="39" t="inlineStr">
        <is>
          <t>Sheet set in Bamboo viscose (product page material: Viscose Derived From Bamboo); ours is Microfiber / polyester (different material from the Sleephoria cooling sheets: microfiber with some bamboo viscose). Shopper may cross-shop, but not like-for-like.</t>
        </is>
      </c>
      <c r="H118" s="107" t="inlineStr">
        <is>
          <t>B0F4852T9V</t>
        </is>
      </c>
      <c r="I118" s="107" t="inlineStr">
        <is>
          <t>B0F4873G4H</t>
        </is>
      </c>
      <c r="J118" s="105" t="inlineStr">
        <is>
          <t>King</t>
        </is>
      </c>
      <c r="K118" s="105" t="inlineStr">
        <is>
          <t>Dark Grey</t>
        </is>
      </c>
      <c r="L118" s="108" t="n">
        <v>33</v>
      </c>
      <c r="M118" s="39" t="inlineStr">
        <is>
          <t>B0F486MGJ1 (46%), B0F4873G4H (45%)</t>
        </is>
      </c>
      <c r="N118" s="109" t="n">
        <v>79.98999999999999</v>
      </c>
      <c r="O118" s="109" t="n"/>
      <c r="P118" s="110">
        <f>IF(AND(ISNUMBER(O118),ISNUMBER(N118),N(N118)&gt;0),O118/N118-1,"")</f>
        <v/>
      </c>
      <c r="Q118" s="111">
        <f>IF(P118="","No List Price",IF(P118&lt;=0,"At/below price",IF(P118&lt;=0.12,"&lt;=12% STR zone",IF(P118&lt;=0.25,"12-25%","&gt;25% over"))))</f>
        <v/>
      </c>
      <c r="R118" s="109" t="n">
        <v>39.95</v>
      </c>
      <c r="S118" s="112">
        <f>IF(AND(ISNUMBER(N118),ISNUMBER(R118),N(R118)&gt;0),N118/R118-1,"")</f>
        <v/>
      </c>
      <c r="T118" s="39" t="inlineStr">
        <is>
          <t>Same size (King). Ours live: catalog price, 2026-10-13; 5 children</t>
        </is>
      </c>
      <c r="U118" s="108" t="n">
        <v>7961</v>
      </c>
      <c r="V118" s="108" t="n">
        <v>104</v>
      </c>
      <c r="W118" s="113">
        <f>IF(AND(ISNUMBER(N118),ISNUMBER(V118)),N118*V118*52/12,"")</f>
        <v/>
      </c>
      <c r="X118" s="114" t="n">
        <v>4.5</v>
      </c>
      <c r="Y118" s="108" t="n">
        <v>3776</v>
      </c>
      <c r="Z118" s="115" t="n">
        <v>46307</v>
      </c>
      <c r="AA118" s="115" t="n"/>
      <c r="AB118" s="105" t="n"/>
      <c r="AC118" s="105" t="n"/>
      <c r="AD118" s="108" t="n">
        <v>185157</v>
      </c>
      <c r="AE118" s="108" t="n">
        <v>1447</v>
      </c>
      <c r="AF118" s="116" t="n">
        <v>0.9776013545261586</v>
      </c>
      <c r="AG118" s="116" t="n">
        <v>0.02239928493116653</v>
      </c>
      <c r="AH118" s="39" t="inlineStr">
        <is>
          <t>bamboo sheets</t>
        </is>
      </c>
      <c r="AI118" s="116" t="n">
        <v>0.4342476924987983</v>
      </c>
      <c r="AJ118" s="116" t="n"/>
      <c r="AK118" s="116" t="n"/>
      <c r="AL118" s="116" t="n">
        <v>0.1639959601851402</v>
      </c>
      <c r="AM118" s="108" t="n">
        <v>298</v>
      </c>
      <c r="AN118" s="108" t="n">
        <v>31</v>
      </c>
      <c r="AO118" s="108" t="n">
        <v>247</v>
      </c>
      <c r="AP118" s="108" t="n">
        <v>1149</v>
      </c>
      <c r="AQ118" s="108" t="n">
        <v>122</v>
      </c>
      <c r="AR118" s="108" t="n">
        <v>0</v>
      </c>
      <c r="AS118" s="117" t="n">
        <v>1.314808539478143</v>
      </c>
      <c r="AT118" s="112" t="n">
        <v>0.6186540731995278</v>
      </c>
      <c r="AU118" s="118" t="inlineStr">
        <is>
          <t>N</t>
        </is>
      </c>
      <c r="AV118" s="118" t="inlineStr">
        <is>
          <t>none</t>
        </is>
      </c>
      <c r="AW118" s="124" t="n"/>
      <c r="AX118" s="119" t="n">
        <v>79.98999999999999</v>
      </c>
      <c r="AY118" s="118" t="inlineStr">
        <is>
          <t>coupon $5</t>
        </is>
      </c>
      <c r="AZ118" s="118" t="inlineStr">
        <is>
          <t>Y</t>
        </is>
      </c>
      <c r="BA118" s="118" t="inlineStr">
        <is>
          <t>2026-10-13 12:11:19</t>
        </is>
      </c>
      <c r="BB118" s="120" t="inlineStr">
        <is>
          <t>Prime Exclusive Discount</t>
        </is>
      </c>
      <c r="BC118" s="120" t="inlineStr">
        <is>
          <t>11-20 to 12-01</t>
        </is>
      </c>
      <c r="BD118" s="121" t="n">
        <v>79.98999999999999</v>
      </c>
      <c r="BE118" s="121" t="n">
        <v>63.99</v>
      </c>
      <c r="BF118" s="110">
        <f>IF(AND(ISNUMBER(BD118),ISNUMBER(BE118),N(BD118)&gt;0),1-BE118/BD118,"")</f>
        <v/>
      </c>
      <c r="BG118" s="122" t="n">
        <v>36662</v>
      </c>
      <c r="BH118" s="122" t="n">
        <v>23612</v>
      </c>
      <c r="BI118" s="123">
        <f>IF(AND(ISNUMBER(BG118),ISNUMBER(BH118),N(BH118)&gt;0),BG118/BH118,"")</f>
        <v/>
      </c>
      <c r="BJ118" s="120" t="inlineStr">
        <is>
          <t>N</t>
        </is>
      </c>
      <c r="BK118" s="120" t="inlineStr">
        <is>
          <t>Coupon 15% (11-06 to 11-19); List Price $79.99</t>
        </is>
      </c>
    </row>
    <row r="119" ht="62" customHeight="1">
      <c r="A119" s="12">
        <f>_xlfn.IMAGE("https://images-na.ssl-images-amazon.com/images/I/71Pl57-j67L.jpg")</f>
        <v/>
      </c>
      <c r="B119" s="105" t="inlineStr">
        <is>
          <t>BC BELLA COTERIE</t>
        </is>
      </c>
      <c r="C119" s="39" t="inlineStr">
        <is>
          <t>Bella Coterie Luxury Bamboo Viscose King Size Sheet Set</t>
        </is>
      </c>
      <c r="D119" s="105" t="inlineStr">
        <is>
          <t>Beatable</t>
        </is>
      </c>
      <c r="E119" s="128" t="inlineStr">
        <is>
          <t>Alternative material</t>
        </is>
      </c>
      <c r="F119" s="105" t="inlineStr">
        <is>
          <t>Bamboo viscose</t>
        </is>
      </c>
      <c r="G119" s="39" t="inlineStr">
        <is>
          <t>Sheet set in Bamboo viscose (product page material: Organically Grown | Viscose Made From Bamboo); ours is Microfiber / polyester (different material from the Sleephoria cooling sheets: microfiber with some bamboo viscose). Shopper may cross-shop, but not like-for-like.</t>
        </is>
      </c>
      <c r="H119" s="107" t="inlineStr">
        <is>
          <t>B0H29V113N</t>
        </is>
      </c>
      <c r="I119" s="107" t="inlineStr">
        <is>
          <t>B08L86VLZB</t>
        </is>
      </c>
      <c r="J119" s="105" t="inlineStr">
        <is>
          <t>King - 2 Pillowcases</t>
        </is>
      </c>
      <c r="K119" s="105" t="inlineStr">
        <is>
          <t>01 - White</t>
        </is>
      </c>
      <c r="L119" s="108" t="n">
        <v>258</v>
      </c>
      <c r="M119" s="39" t="inlineStr">
        <is>
          <t>B0C979FD5Z (12%), B09JTQMF5C (11%), B08L86VLZB (6%), B08L85SV5Z (5%), B09JV1NG9R (4%)</t>
        </is>
      </c>
      <c r="N119" s="109" t="n">
        <v>154.99</v>
      </c>
      <c r="O119" s="109" t="n"/>
      <c r="P119" s="110">
        <f>IF(AND(ISNUMBER(O119),ISNUMBER(N119),N(N119)&gt;0),O119/N119-1,"")</f>
        <v/>
      </c>
      <c r="Q119" s="111">
        <f>IF(P119="","No List Price",IF(P119&lt;=0,"At/below price",IF(P119&lt;=0.12,"&lt;=12% STR zone",IF(P119&lt;=0.25,"12-25%","&gt;25% over"))))</f>
        <v/>
      </c>
      <c r="R119" s="109" t="n">
        <v>39.95</v>
      </c>
      <c r="S119" s="112">
        <f>IF(AND(ISNUMBER(N119),ISNUMBER(R119),N(R119)&gt;0),N119/R119-1,"")</f>
        <v/>
      </c>
      <c r="T119" s="39" t="inlineStr">
        <is>
          <t>Same size (King). Ours live: catalog price, 2026-10-13; 5 children</t>
        </is>
      </c>
      <c r="U119" s="108" t="n">
        <v>1358</v>
      </c>
      <c r="V119" s="108" t="n">
        <v>92</v>
      </c>
      <c r="W119" s="113">
        <f>IF(AND(ISNUMBER(N119),ISNUMBER(V119)),N119*V119*52/12,"")</f>
        <v/>
      </c>
      <c r="X119" s="114" t="n">
        <v>4.4</v>
      </c>
      <c r="Y119" s="108" t="n">
        <v>5871</v>
      </c>
      <c r="Z119" s="115" t="n">
        <v>46307</v>
      </c>
      <c r="AA119" s="115" t="n">
        <v>44154</v>
      </c>
      <c r="AB119" s="105" t="inlineStr">
        <is>
          <t>FBA</t>
        </is>
      </c>
      <c r="AC119" s="105" t="inlineStr">
        <is>
          <t>US</t>
        </is>
      </c>
      <c r="AD119" s="108" t="n">
        <v>591713</v>
      </c>
      <c r="AE119" s="108" t="n">
        <v>5504</v>
      </c>
      <c r="AF119" s="116" t="n">
        <v>0.3622702587234016</v>
      </c>
      <c r="AG119" s="116" t="n">
        <v>0.6377298332130611</v>
      </c>
      <c r="AH119" s="39" t="inlineStr">
        <is>
          <t>bamboo sheets</t>
        </is>
      </c>
      <c r="AI119" s="116" t="n">
        <v>0.9808184035165697</v>
      </c>
      <c r="AJ119" s="116" t="n">
        <v>0.5730548424658576</v>
      </c>
      <c r="AK119" s="116" t="n">
        <v>0.5581810776508206</v>
      </c>
      <c r="AL119" s="116" t="n">
        <v>0.03836488297536136</v>
      </c>
      <c r="AM119" s="108" t="n">
        <v>379</v>
      </c>
      <c r="AN119" s="108" t="n">
        <v>46</v>
      </c>
      <c r="AO119" s="108" t="n">
        <v>305</v>
      </c>
      <c r="AP119" s="108" t="n">
        <v>5125</v>
      </c>
      <c r="AQ119" s="108" t="n">
        <v>2442</v>
      </c>
      <c r="AR119" s="108" t="n">
        <v>7</v>
      </c>
      <c r="AS119" s="117" t="n">
        <v>1.778087279480037</v>
      </c>
      <c r="AT119" s="112" t="n">
        <v>0.3772549019607843</v>
      </c>
      <c r="AU119" s="118" t="inlineStr">
        <is>
          <t>N</t>
        </is>
      </c>
      <c r="AV119" s="118" t="inlineStr">
        <is>
          <t>none</t>
        </is>
      </c>
      <c r="AW119" s="124" t="n"/>
      <c r="AX119" s="119" t="n">
        <v>169.99</v>
      </c>
      <c r="AY119" s="118" t="inlineStr">
        <is>
          <t>none</t>
        </is>
      </c>
      <c r="AZ119" s="118" t="inlineStr">
        <is>
          <t>Y</t>
        </is>
      </c>
      <c r="BA119" s="118" t="inlineStr">
        <is>
          <t>2026-10-13 12:14:18</t>
        </is>
      </c>
      <c r="BB119" s="120" t="inlineStr">
        <is>
          <t>Price cut only</t>
        </is>
      </c>
      <c r="BC119" s="120" t="inlineStr">
        <is>
          <t>11-20 to 12-01</t>
        </is>
      </c>
      <c r="BD119" s="121" t="n">
        <v>134.99</v>
      </c>
      <c r="BE119" s="121" t="n">
        <v>110.5</v>
      </c>
      <c r="BF119" s="110">
        <f>IF(AND(ISNUMBER(BD119),ISNUMBER(BE119),N(BD119)&gt;0),1-BE119/BD119,"")</f>
        <v/>
      </c>
      <c r="BG119" s="122" t="n">
        <v>3072</v>
      </c>
      <c r="BH119" s="122" t="n">
        <v>1155</v>
      </c>
      <c r="BI119" s="123">
        <f>IF(AND(ISNUMBER(BG119),ISNUMBER(BH119),N(BH119)&gt;0),BG119/BH119,"")</f>
        <v/>
      </c>
      <c r="BJ119" s="120" t="inlineStr">
        <is>
          <t>N</t>
        </is>
      </c>
      <c r="BK119" s="120" t="inlineStr">
        <is>
          <t>Coupon 20.00 USD (12-03 to 12-05); List Price $169.99</t>
        </is>
      </c>
    </row>
    <row r="120" ht="62" customHeight="1">
      <c r="A120" s="12">
        <f>_xlfn.IMAGE("https://m.media-amazon.com/images/I/71lWpVXtIFL._AC_SL1500_.jpg")</f>
        <v/>
      </c>
      <c r="B120" s="105" t="inlineStr">
        <is>
          <t>REST</t>
        </is>
      </c>
      <c r="C120" s="39" t="inlineStr">
        <is>
          <t>Cooling Sheets</t>
        </is>
      </c>
      <c r="D120" s="105" t="inlineStr">
        <is>
          <t>Beatable</t>
        </is>
      </c>
      <c r="E120" s="128" t="inlineStr">
        <is>
          <t>Alternative material</t>
        </is>
      </c>
      <c r="F120" s="105" t="inlineStr">
        <is>
          <t>Synthetic cooling knit</t>
        </is>
      </c>
      <c r="G120" s="39" t="inlineStr">
        <is>
          <t>Sheet set in Synthetic cooling knit (product page material: Antistatic, IONIC+ Silver Nylon, Nylon, Spandex, Skin Friend); ours is Microfiber / polyester (different material from the Sleephoria cooling sheets: microfiber with some bamboo viscose). Shopper may cross-shop, but not like-for-like.</t>
        </is>
      </c>
      <c r="H120" s="107" t="inlineStr">
        <is>
          <t>B0HC6866B7</t>
        </is>
      </c>
      <c r="I120" s="107" t="inlineStr">
        <is>
          <t>B0D9JHBBCZ</t>
        </is>
      </c>
      <c r="J120" s="105" t="inlineStr">
        <is>
          <t>Queen</t>
        </is>
      </c>
      <c r="K120" s="105" t="inlineStr">
        <is>
          <t>Midnight Blue</t>
        </is>
      </c>
      <c r="L120" s="108" t="n">
        <v>69</v>
      </c>
      <c r="M120" s="39" t="inlineStr">
        <is>
          <t>B0C56ZNQVQ (16%), B0BLYSGFRW (15%), B0BLYVMGYB (7%), B0BLYW9CJZ (7%), B0C56YLKZW (7%)</t>
        </is>
      </c>
      <c r="N120" s="109" t="n">
        <v>224.25</v>
      </c>
      <c r="O120" s="109" t="n">
        <v>299</v>
      </c>
      <c r="P120" s="110">
        <f>IF(AND(ISNUMBER(O120),ISNUMBER(N120),N(N120)&gt;0),O120/N120-1,"")</f>
        <v/>
      </c>
      <c r="Q120" s="111">
        <f>IF(P120="","No List Price",IF(P120&lt;=0,"At/below price",IF(P120&lt;=0.12,"&lt;=12% STR zone",IF(P120&lt;=0.25,"12-25%","&gt;25% over"))))</f>
        <v/>
      </c>
      <c r="R120" s="109" t="n">
        <v>37.95</v>
      </c>
      <c r="S120" s="112">
        <f>IF(AND(ISNUMBER(N120),ISNUMBER(R120),N(R120)&gt;0),N120/R120-1,"")</f>
        <v/>
      </c>
      <c r="T120" s="39" t="inlineStr">
        <is>
          <t>Same size (Queen). Ours live: catalog price, 2026-10-13; 7 children</t>
        </is>
      </c>
      <c r="U120" s="108" t="n">
        <v>5255</v>
      </c>
      <c r="V120" s="108" t="n">
        <v>81</v>
      </c>
      <c r="W120" s="113">
        <f>IF(AND(ISNUMBER(N120),ISNUMBER(V120)),N120*V120*52/12,"")</f>
        <v/>
      </c>
      <c r="X120" s="114" t="n">
        <v>4.3</v>
      </c>
      <c r="Y120" s="108" t="n">
        <v>1149</v>
      </c>
      <c r="Z120" s="115" t="n">
        <v>46307</v>
      </c>
      <c r="AA120" s="115" t="n"/>
      <c r="AB120" s="105" t="n"/>
      <c r="AC120" s="105" t="n"/>
      <c r="AD120" s="108" t="n">
        <v>522593</v>
      </c>
      <c r="AE120" s="108" t="n">
        <v>7281</v>
      </c>
      <c r="AF120" s="116" t="n">
        <v>0.2234137663535486</v>
      </c>
      <c r="AG120" s="116" t="n">
        <v>0.7765862336464519</v>
      </c>
      <c r="AH120" s="39" t="inlineStr">
        <is>
          <t>cooling sheets</t>
        </is>
      </c>
      <c r="AI120" s="116" t="n">
        <v>0.7800085343661319</v>
      </c>
      <c r="AJ120" s="116" t="n">
        <v>0.8614600654811679</v>
      </c>
      <c r="AK120" s="116" t="n">
        <v>0.4534561312531932</v>
      </c>
      <c r="AL120" s="116" t="n">
        <v>0.1182067115326841</v>
      </c>
      <c r="AM120" s="108" t="n">
        <v>279</v>
      </c>
      <c r="AN120" s="108" t="n">
        <v>51</v>
      </c>
      <c r="AO120" s="108" t="n">
        <v>200</v>
      </c>
      <c r="AP120" s="108" t="n">
        <v>7002</v>
      </c>
      <c r="AQ120" s="108" t="n">
        <v>3275</v>
      </c>
      <c r="AR120" s="108" t="n">
        <v>15</v>
      </c>
      <c r="AS120" s="117" t="n"/>
      <c r="AT120" s="112" t="n"/>
      <c r="AU120" s="118" t="inlineStr">
        <is>
          <t>Y</t>
        </is>
      </c>
      <c r="AV120" s="118" t="inlineStr">
        <is>
          <t>List Price</t>
        </is>
      </c>
      <c r="AW120" s="119" t="n">
        <v>299</v>
      </c>
      <c r="AX120" s="119" t="n">
        <v>224.25</v>
      </c>
      <c r="AY120" s="118" t="inlineStr">
        <is>
          <t>none</t>
        </is>
      </c>
      <c r="AZ120" s="118" t="inlineStr">
        <is>
          <t>Y</t>
        </is>
      </c>
      <c r="BA120" s="118" t="inlineStr">
        <is>
          <t>2026-10-13 12:12:07</t>
        </is>
      </c>
      <c r="BB120" s="120" t="inlineStr">
        <is>
          <t>Price cut only</t>
        </is>
      </c>
      <c r="BC120" s="120" t="inlineStr">
        <is>
          <t>11-20 to 12-01</t>
        </is>
      </c>
      <c r="BD120" s="121" t="n">
        <v>299</v>
      </c>
      <c r="BE120" s="121" t="n">
        <v>215.88</v>
      </c>
      <c r="BF120" s="110">
        <f>IF(AND(ISNUMBER(BD120),ISNUMBER(BE120),N(BD120)&gt;0),1-BE120/BD120,"")</f>
        <v/>
      </c>
      <c r="BG120" s="122" t="n">
        <v>30243</v>
      </c>
      <c r="BH120" s="122" t="n">
        <v>15706</v>
      </c>
      <c r="BI120" s="123">
        <f>IF(AND(ISNUMBER(BG120),ISNUMBER(BH120),N(BH120)&gt;0),BG120/BH120,"")</f>
        <v/>
      </c>
      <c r="BJ120" s="120" t="inlineStr">
        <is>
          <t>N</t>
        </is>
      </c>
      <c r="BK120" s="120" t="inlineStr">
        <is>
          <t>Lightning Deal 11-14 to 11-14; List Price $299.00</t>
        </is>
      </c>
    </row>
    <row r="121" ht="62" customHeight="1">
      <c r="A121" s="12">
        <f>_xlfn.IMAGE("https://images-na.ssl-images-amazon.com/images/I/71HeTCWM4hL.jpg")</f>
        <v/>
      </c>
      <c r="B121" s="105" t="inlineStr">
        <is>
          <t>SONORO KATE</t>
        </is>
      </c>
      <c r="C121" s="39" t="inlineStr">
        <is>
          <t>SONORO KATE 100% Viscose Derived from Bamboo_Sheets Queen Size,4PC</t>
        </is>
      </c>
      <c r="D121" s="105" t="inlineStr">
        <is>
          <t>Beatable</t>
        </is>
      </c>
      <c r="E121" s="128" t="inlineStr">
        <is>
          <t>Alternative material</t>
        </is>
      </c>
      <c r="F121" s="105" t="inlineStr">
        <is>
          <t>Bamboo viscose</t>
        </is>
      </c>
      <c r="G121" s="39" t="inlineStr">
        <is>
          <t>Sheet set in Bamboo viscose (product page material: Viscose Derived From Bamboo); ours is Microfiber / polyester (different material from the Sleephoria cooling sheets: microfiber with some bamboo viscose). Shopper may cross-shop, but not like-for-like.</t>
        </is>
      </c>
      <c r="H121" s="107" t="inlineStr">
        <is>
          <t>B0F29FQLFD</t>
        </is>
      </c>
      <c r="I121" s="107" t="inlineStr">
        <is>
          <t>B0F29F1JM5</t>
        </is>
      </c>
      <c r="J121" s="105" t="inlineStr">
        <is>
          <t>Queen</t>
        </is>
      </c>
      <c r="K121" s="105" t="inlineStr">
        <is>
          <t>Dark Grey</t>
        </is>
      </c>
      <c r="L121" s="108" t="n">
        <v>42</v>
      </c>
      <c r="M121" s="39" t="inlineStr">
        <is>
          <t>B0F29F1JM5 (71%), B0F29HFNNS (19%)</t>
        </is>
      </c>
      <c r="N121" s="109" t="n">
        <v>59.99</v>
      </c>
      <c r="O121" s="109" t="n"/>
      <c r="P121" s="110">
        <f>IF(AND(ISNUMBER(O121),ISNUMBER(N121),N(N121)&gt;0),O121/N121-1,"")</f>
        <v/>
      </c>
      <c r="Q121" s="111">
        <f>IF(P121="","No List Price",IF(P121&lt;=0,"At/below price",IF(P121&lt;=0.12,"&lt;=12% STR zone",IF(P121&lt;=0.25,"12-25%","&gt;25% over"))))</f>
        <v/>
      </c>
      <c r="R121" s="109" t="n">
        <v>37.95</v>
      </c>
      <c r="S121" s="112">
        <f>IF(AND(ISNUMBER(N121),ISNUMBER(R121),N(R121)&gt;0),N121/R121-1,"")</f>
        <v/>
      </c>
      <c r="T121" s="39" t="inlineStr">
        <is>
          <t>Same size (Queen). Ours live: catalog price, 2026-10-13; 7 children</t>
        </is>
      </c>
      <c r="U121" s="108" t="n">
        <v>23979</v>
      </c>
      <c r="V121" s="108" t="n">
        <v>81</v>
      </c>
      <c r="W121" s="113">
        <f>IF(AND(ISNUMBER(N121),ISNUMBER(V121)),N121*V121*52/12,"")</f>
        <v/>
      </c>
      <c r="X121" s="114" t="n">
        <v>4.5</v>
      </c>
      <c r="Y121" s="108" t="n">
        <v>3911</v>
      </c>
      <c r="Z121" s="115" t="n">
        <v>46307</v>
      </c>
      <c r="AA121" s="115" t="n">
        <v>45740</v>
      </c>
      <c r="AB121" s="105" t="inlineStr">
        <is>
          <t>FBA</t>
        </is>
      </c>
      <c r="AC121" s="105" t="inlineStr">
        <is>
          <t>CN</t>
        </is>
      </c>
      <c r="AD121" s="108" t="n">
        <v>114504</v>
      </c>
      <c r="AE121" s="108" t="n">
        <v>947</v>
      </c>
      <c r="AF121" s="116" t="n">
        <v>0.8792897182631171</v>
      </c>
      <c r="AG121" s="116" t="n">
        <v>0.1207102817368825</v>
      </c>
      <c r="AH121" s="39" t="inlineStr">
        <is>
          <t>bamboo sheets</t>
        </is>
      </c>
      <c r="AI121" s="116" t="n">
        <v>0.3106878362327953</v>
      </c>
      <c r="AJ121" s="116" t="n"/>
      <c r="AK121" s="116" t="n"/>
      <c r="AL121" s="116" t="n">
        <v>0.03587647593097185</v>
      </c>
      <c r="AM121" s="108" t="n">
        <v>299</v>
      </c>
      <c r="AN121" s="108" t="n">
        <v>32</v>
      </c>
      <c r="AO121" s="108" t="n">
        <v>249</v>
      </c>
      <c r="AP121" s="108" t="n">
        <v>648</v>
      </c>
      <c r="AQ121" s="108" t="n">
        <v>84</v>
      </c>
      <c r="AR121" s="108" t="n">
        <v>0</v>
      </c>
      <c r="AS121" s="117" t="n">
        <v>1.095271210013908</v>
      </c>
      <c r="AT121" s="112" t="n">
        <v>-0.1040240897892143</v>
      </c>
      <c r="AU121" s="118" t="inlineStr">
        <is>
          <t>N</t>
        </is>
      </c>
      <c r="AV121" s="118" t="inlineStr">
        <is>
          <t>none</t>
        </is>
      </c>
      <c r="AW121" s="124" t="n"/>
      <c r="AX121" s="119" t="n">
        <v>59.99</v>
      </c>
      <c r="AY121" s="118" t="inlineStr">
        <is>
          <t>coupon 15%</t>
        </is>
      </c>
      <c r="AZ121" s="118" t="inlineStr">
        <is>
          <t>Y</t>
        </is>
      </c>
      <c r="BA121" s="118" t="inlineStr">
        <is>
          <t>2026-10-13 12:11:22</t>
        </is>
      </c>
      <c r="BB121" s="120" t="inlineStr">
        <is>
          <t>Prime Exclusive Discount</t>
        </is>
      </c>
      <c r="BC121" s="120" t="inlineStr">
        <is>
          <t>11-20 to 12-01</t>
        </is>
      </c>
      <c r="BD121" s="121" t="n">
        <v>59.99</v>
      </c>
      <c r="BE121" s="121" t="n">
        <v>47.99</v>
      </c>
      <c r="BF121" s="110">
        <f>IF(AND(ISNUMBER(BD121),ISNUMBER(BE121),N(BD121)&gt;0),1-BE121/BD121,"")</f>
        <v/>
      </c>
      <c r="BG121" s="122" t="n">
        <v>22774</v>
      </c>
      <c r="BH121" s="122" t="n">
        <v>19002</v>
      </c>
      <c r="BI121" s="123">
        <f>IF(AND(ISNUMBER(BG121),ISNUMBER(BH121),N(BH121)&gt;0),BG121/BH121,"")</f>
        <v/>
      </c>
      <c r="BJ121" s="120" t="inlineStr">
        <is>
          <t>N</t>
        </is>
      </c>
      <c r="BK121" s="120" t="inlineStr">
        <is>
          <t>Coupon 10% (11-04 to 12-05); List Price $59.99</t>
        </is>
      </c>
    </row>
    <row r="122" ht="62" customHeight="1">
      <c r="A122" s="12">
        <f>_xlfn.IMAGE("https://m.media-amazon.com/images/I/81o+wGCszCL._AC_SL1500_.jpg")</f>
        <v/>
      </c>
      <c r="B122" s="105" t="inlineStr">
        <is>
          <t>Breescape</t>
        </is>
      </c>
      <c r="C122" s="39" t="inlineStr">
        <is>
          <t>Cooling Sheets</t>
        </is>
      </c>
      <c r="D122" s="105" t="inlineStr">
        <is>
          <t>Beatable</t>
        </is>
      </c>
      <c r="E122" s="128" t="inlineStr">
        <is>
          <t>Alternative material</t>
        </is>
      </c>
      <c r="F122" s="105" t="inlineStr">
        <is>
          <t>Synthetic cooling knit</t>
        </is>
      </c>
      <c r="G122" s="39" t="inlineStr">
        <is>
          <t>Sheet set in Synthetic cooling knit (product page material: BlendTek Fabric: 69% Nylon, 20% Polyester, 11% Spandex); ours is Microfiber / polyester (different material from the Sleephoria cooling sheets: microfiber with some bamboo viscose). Shopper may cross-shop, but not like-for-like.</t>
        </is>
      </c>
      <c r="H122" s="107" t="inlineStr">
        <is>
          <t>B0H41M1N4B</t>
        </is>
      </c>
      <c r="I122" s="107" t="inlineStr">
        <is>
          <t>B0DSPZJKTB</t>
        </is>
      </c>
      <c r="J122" s="105" t="inlineStr">
        <is>
          <t>King</t>
        </is>
      </c>
      <c r="K122" s="105" t="inlineStr">
        <is>
          <t>Gray</t>
        </is>
      </c>
      <c r="L122" s="108" t="n">
        <v>26</v>
      </c>
      <c r="M122" s="39" t="inlineStr">
        <is>
          <t>B0DSPZJKTB (49%), B0DSPZSVFL (26%), B0DSPZKCCN (6%)</t>
        </is>
      </c>
      <c r="N122" s="109" t="n">
        <v>149.99</v>
      </c>
      <c r="O122" s="109" t="n">
        <v>179.99</v>
      </c>
      <c r="P122" s="110">
        <f>IF(AND(ISNUMBER(O122),ISNUMBER(N122),N(N122)&gt;0),O122/N122-1,"")</f>
        <v/>
      </c>
      <c r="Q122" s="111">
        <f>IF(P122="","No List Price",IF(P122&lt;=0,"At/below price",IF(P122&lt;=0.12,"&lt;=12% STR zone",IF(P122&lt;=0.25,"12-25%","&gt;25% over"))))</f>
        <v/>
      </c>
      <c r="R122" s="109" t="n">
        <v>39.95</v>
      </c>
      <c r="S122" s="112">
        <f>IF(AND(ISNUMBER(N122),ISNUMBER(R122),N(R122)&gt;0),N122/R122-1,"")</f>
        <v/>
      </c>
      <c r="T122" s="39" t="inlineStr">
        <is>
          <t>Same size (King). Ours live: catalog price, 2026-10-13; 5 children</t>
        </is>
      </c>
      <c r="U122" s="108" t="n">
        <v>49910</v>
      </c>
      <c r="V122" s="108" t="n">
        <v>35</v>
      </c>
      <c r="W122" s="113">
        <f>IF(AND(ISNUMBER(N122),ISNUMBER(V122)),N122*V122*52/12,"")</f>
        <v/>
      </c>
      <c r="X122" s="114" t="n">
        <v>4.2</v>
      </c>
      <c r="Y122" s="108" t="n">
        <v>595</v>
      </c>
      <c r="Z122" s="115" t="n">
        <v>46307</v>
      </c>
      <c r="AA122" s="115" t="n"/>
      <c r="AB122" s="105" t="n"/>
      <c r="AC122" s="105" t="n"/>
      <c r="AD122" s="108" t="n">
        <v>107224</v>
      </c>
      <c r="AE122" s="108" t="n">
        <v>1884</v>
      </c>
      <c r="AF122" s="116" t="n">
        <v>0.5282540960978878</v>
      </c>
      <c r="AG122" s="116" t="n">
        <v>0.4717459934343065</v>
      </c>
      <c r="AH122" s="39" t="inlineStr">
        <is>
          <t>cooling sheets</t>
        </is>
      </c>
      <c r="AI122" s="116" t="n">
        <v>0.853279116615683</v>
      </c>
      <c r="AJ122" s="116" t="n">
        <v>0.6382059986570171</v>
      </c>
      <c r="AK122" s="116" t="n">
        <v>0.7425203312691189</v>
      </c>
      <c r="AL122" s="116" t="n">
        <v>0.09657352831455644</v>
      </c>
      <c r="AM122" s="108" t="n">
        <v>246</v>
      </c>
      <c r="AN122" s="108" t="n">
        <v>59</v>
      </c>
      <c r="AO122" s="108" t="n">
        <v>161</v>
      </c>
      <c r="AP122" s="108" t="n">
        <v>1638</v>
      </c>
      <c r="AQ122" s="108" t="n">
        <v>504</v>
      </c>
      <c r="AR122" s="108" t="n">
        <v>7</v>
      </c>
      <c r="AS122" s="117" t="n">
        <v>1.443271767810026</v>
      </c>
      <c r="AT122" s="112" t="n">
        <v>0.2381786339754817</v>
      </c>
      <c r="AU122" s="118" t="inlineStr">
        <is>
          <t>Y</t>
        </is>
      </c>
      <c r="AV122" s="118" t="inlineStr">
        <is>
          <t>List Price</t>
        </is>
      </c>
      <c r="AW122" s="119" t="n">
        <v>179.99</v>
      </c>
      <c r="AX122" s="119" t="n">
        <v>149.99</v>
      </c>
      <c r="AY122" s="118" t="inlineStr">
        <is>
          <t>none</t>
        </is>
      </c>
      <c r="AZ122" s="118" t="inlineStr">
        <is>
          <t>Y</t>
        </is>
      </c>
      <c r="BA122" s="118" t="inlineStr">
        <is>
          <t>2026-10-13 12:11:52</t>
        </is>
      </c>
      <c r="BB122" s="120" t="inlineStr">
        <is>
          <t>Price cut only</t>
        </is>
      </c>
      <c r="BC122" s="120" t="inlineStr">
        <is>
          <t>11-20 to 12-01</t>
        </is>
      </c>
      <c r="BD122" s="121" t="n">
        <v>125.99</v>
      </c>
      <c r="BE122" s="121" t="n">
        <v>119.69</v>
      </c>
      <c r="BF122" s="110">
        <f>IF(AND(ISNUMBER(BD122),ISNUMBER(BE122),N(BD122)&gt;0),1-BE122/BD122,"")</f>
        <v/>
      </c>
      <c r="BG122" s="122" t="n">
        <v>74970</v>
      </c>
      <c r="BH122" s="122" t="n">
        <v>53655</v>
      </c>
      <c r="BI122" s="123">
        <f>IF(AND(ISNUMBER(BG122),ISNUMBER(BH122),N(BH122)&gt;0),BG122/BH122,"")</f>
        <v/>
      </c>
      <c r="BJ122" s="120" t="inlineStr">
        <is>
          <t>N</t>
        </is>
      </c>
      <c r="BK122" s="120" t="inlineStr">
        <is>
          <t>Coupon 30% (11-01 to 11-02); List Price $179.99</t>
        </is>
      </c>
    </row>
    <row r="123" ht="62" customHeight="1">
      <c r="A123" s="12">
        <f>_xlfn.IMAGE("https://images-na.ssl-images-amazon.com/images/I/710aWpCd4AL.jpg")</f>
        <v/>
      </c>
      <c r="B123" s="105" t="inlineStr">
        <is>
          <t>DOZ by SIJO</t>
        </is>
      </c>
      <c r="C123" s="39" t="inlineStr">
        <is>
          <t>Bamboo Sheets</t>
        </is>
      </c>
      <c r="D123" s="105" t="inlineStr">
        <is>
          <t>Beatable</t>
        </is>
      </c>
      <c r="E123" s="128" t="inlineStr">
        <is>
          <t>Alternative material</t>
        </is>
      </c>
      <c r="F123" s="105" t="inlineStr">
        <is>
          <t>Bamboo viscose</t>
        </is>
      </c>
      <c r="G123" s="39" t="inlineStr">
        <is>
          <t>Sheet set in Bamboo viscose (product page material: Rayon); ours is Microfiber / polyester (different material from the Sleephoria cooling sheets: microfiber with some bamboo viscose). Shopper may cross-shop, but not like-for-like.</t>
        </is>
      </c>
      <c r="H123" s="107" t="inlineStr">
        <is>
          <t>B0DCZGYVZ9</t>
        </is>
      </c>
      <c r="I123" s="107" t="inlineStr">
        <is>
          <t>B0F24TRXCZ</t>
        </is>
      </c>
      <c r="J123" s="105" t="inlineStr">
        <is>
          <t>Queen</t>
        </is>
      </c>
      <c r="K123" s="105" t="inlineStr">
        <is>
          <t>Olive</t>
        </is>
      </c>
      <c r="L123" s="108" t="n">
        <v>131</v>
      </c>
      <c r="M123" s="39" t="inlineStr">
        <is>
          <t>B0B8JLLT45 (39%), B0B8JK78HR (6%), B0CS36MKM9 (5%), B0BRWD6PRK (4%), B0B9T44SJV (4%)</t>
        </is>
      </c>
      <c r="N123" s="109" t="n">
        <v>55</v>
      </c>
      <c r="O123" s="109" t="n"/>
      <c r="P123" s="110">
        <f>IF(AND(ISNUMBER(O123),ISNUMBER(N123),N(N123)&gt;0),O123/N123-1,"")</f>
        <v/>
      </c>
      <c r="Q123" s="111">
        <f>IF(P123="","No List Price",IF(P123&lt;=0,"At/below price",IF(P123&lt;=0.12,"&lt;=12% STR zone",IF(P123&lt;=0.25,"12-25%","&gt;25% over"))))</f>
        <v/>
      </c>
      <c r="R123" s="109" t="n">
        <v>37.95</v>
      </c>
      <c r="S123" s="112">
        <f>IF(AND(ISNUMBER(N123),ISNUMBER(R123),N(R123)&gt;0),N123/R123-1,"")</f>
        <v/>
      </c>
      <c r="T123" s="39" t="inlineStr">
        <is>
          <t>Same size (Queen). Ours live: catalog price, 2026-10-13; 7 children</t>
        </is>
      </c>
      <c r="U123" s="108" t="n">
        <v>4051</v>
      </c>
      <c r="V123" s="108" t="n">
        <v>35</v>
      </c>
      <c r="W123" s="113">
        <f>IF(AND(ISNUMBER(N123),ISNUMBER(V123)),N123*V123*52/12,"")</f>
        <v/>
      </c>
      <c r="X123" s="114" t="n">
        <v>4.4</v>
      </c>
      <c r="Y123" s="108" t="n">
        <v>1909</v>
      </c>
      <c r="Z123" s="115" t="n">
        <v>46307</v>
      </c>
      <c r="AA123" s="115" t="n"/>
      <c r="AB123" s="105" t="n"/>
      <c r="AC123" s="105" t="n"/>
      <c r="AD123" s="108" t="n">
        <v>171534</v>
      </c>
      <c r="AE123" s="108" t="n">
        <v>2682</v>
      </c>
      <c r="AF123" s="116" t="n">
        <v>0.5544749851341424</v>
      </c>
      <c r="AG123" s="116" t="n">
        <v>0.4455250335210511</v>
      </c>
      <c r="AH123" s="39" t="inlineStr">
        <is>
          <t>bamboo sheets</t>
        </is>
      </c>
      <c r="AI123" s="116" t="n">
        <v>0.8981426422750008</v>
      </c>
      <c r="AJ123" s="116" t="n">
        <v>0.06748516329124256</v>
      </c>
      <c r="AK123" s="116" t="n">
        <v>0.2462310678932456</v>
      </c>
      <c r="AL123" s="116" t="n">
        <v>0.0526193057936036</v>
      </c>
      <c r="AM123" s="108" t="n">
        <v>349</v>
      </c>
      <c r="AN123" s="108" t="n">
        <v>28</v>
      </c>
      <c r="AO123" s="108" t="n">
        <v>300</v>
      </c>
      <c r="AP123" s="108" t="n">
        <v>2333</v>
      </c>
      <c r="AQ123" s="108" t="n">
        <v>814</v>
      </c>
      <c r="AR123" s="108" t="n">
        <v>3</v>
      </c>
      <c r="AS123" s="117" t="n"/>
      <c r="AT123" s="112" t="n"/>
      <c r="AU123" s="118" t="inlineStr">
        <is>
          <t>N</t>
        </is>
      </c>
      <c r="AV123" s="118" t="inlineStr">
        <is>
          <t>none</t>
        </is>
      </c>
      <c r="AW123" s="124" t="n"/>
      <c r="AX123" s="119" t="n">
        <v>55</v>
      </c>
      <c r="AY123" s="118" t="inlineStr">
        <is>
          <t>none</t>
        </is>
      </c>
      <c r="AZ123" s="118" t="inlineStr">
        <is>
          <t>Y</t>
        </is>
      </c>
      <c r="BA123" s="118" t="inlineStr">
        <is>
          <t>2026-10-13 12:10:45</t>
        </is>
      </c>
      <c r="BB123" s="120" t="inlineStr">
        <is>
          <t>None</t>
        </is>
      </c>
      <c r="BC123" s="125" t="n"/>
      <c r="BD123" s="121" t="n">
        <v>55</v>
      </c>
      <c r="BE123" s="121" t="n">
        <v>55</v>
      </c>
      <c r="BF123" s="110">
        <f>IF(AND(ISNUMBER(BD123),ISNUMBER(BE123),N(BD123)&gt;0),1-BE123/BD123,"")</f>
        <v/>
      </c>
      <c r="BG123" s="122" t="n">
        <v>3634538</v>
      </c>
      <c r="BH123" s="122" t="n">
        <v>3088925</v>
      </c>
      <c r="BI123" s="123">
        <f>IF(AND(ISNUMBER(BG123),ISNUMBER(BH123),N(BH123)&gt;0),BG123/BH123,"")</f>
        <v/>
      </c>
      <c r="BJ123" s="120" t="inlineStr">
        <is>
          <t>N</t>
        </is>
      </c>
      <c r="BK123" s="120" t="inlineStr">
        <is>
          <t>List Price $55.00</t>
        </is>
      </c>
    </row>
    <row r="124" ht="62" customHeight="1">
      <c r="A124" s="12">
        <f>_xlfn.IMAGE("https://images-na.ssl-images-amazon.com/images/I/81EdgN1LRmL.jpg")</f>
        <v/>
      </c>
      <c r="B124" s="105" t="inlineStr">
        <is>
          <t>GOKOTTA</t>
        </is>
      </c>
      <c r="C124" s="39" t="inlineStr">
        <is>
          <t>GOKOTTA King Bamboo Rayon Sheets Set, Silky Soft Cooling Sheets Stay Put</t>
        </is>
      </c>
      <c r="D124" s="105" t="inlineStr">
        <is>
          <t>Beatable</t>
        </is>
      </c>
      <c r="E124" s="128" t="inlineStr">
        <is>
          <t>Alternative material</t>
        </is>
      </c>
      <c r="F124" s="105" t="inlineStr">
        <is>
          <t>Bamboo viscose</t>
        </is>
      </c>
      <c r="G124" s="39" t="inlineStr">
        <is>
          <t>Sheet set in Bamboo viscose (product page material: Bamboo Rayon); ours is Microfiber / polyester (different material from the Sleephoria cooling sheets: microfiber with some bamboo viscose). Shopper may cross-shop, but not like-for-like.</t>
        </is>
      </c>
      <c r="H124" s="107" t="inlineStr">
        <is>
          <t>B09WV7RN1V</t>
        </is>
      </c>
      <c r="I124" s="107" t="inlineStr">
        <is>
          <t>B0BR53P7DY</t>
        </is>
      </c>
      <c r="J124" s="105" t="inlineStr">
        <is>
          <t>King - 4 PCS</t>
        </is>
      </c>
      <c r="K124" s="105" t="inlineStr">
        <is>
          <t>00 Bright White</t>
        </is>
      </c>
      <c r="L124" s="108" t="n">
        <v>99</v>
      </c>
      <c r="M124" s="39" t="inlineStr">
        <is>
          <t>B0B6VQC7LD (30%), B0BR53P7DY (17%), B07TYC979L (10%), B0BL77QB6N (9%), B0FW3T96RQ (7%)</t>
        </is>
      </c>
      <c r="N124" s="109" t="n">
        <v>109</v>
      </c>
      <c r="O124" s="109" t="n"/>
      <c r="P124" s="110">
        <f>IF(AND(ISNUMBER(O124),ISNUMBER(N124),N(N124)&gt;0),O124/N124-1,"")</f>
        <v/>
      </c>
      <c r="Q124" s="111">
        <f>IF(P124="","No List Price",IF(P124&lt;=0,"At/below price",IF(P124&lt;=0.12,"&lt;=12% STR zone",IF(P124&lt;=0.25,"12-25%","&gt;25% over"))))</f>
        <v/>
      </c>
      <c r="R124" s="109" t="n">
        <v>39.95</v>
      </c>
      <c r="S124" s="112">
        <f>IF(AND(ISNUMBER(N124),ISNUMBER(R124),N(R124)&gt;0),N124/R124-1,"")</f>
        <v/>
      </c>
      <c r="T124" s="39" t="inlineStr">
        <is>
          <t>Same size (King). Ours live: catalog price, 2026-10-13; 5 children</t>
        </is>
      </c>
      <c r="U124" s="108" t="n">
        <v>16154</v>
      </c>
      <c r="V124" s="108" t="n">
        <v>35</v>
      </c>
      <c r="W124" s="113">
        <f>IF(AND(ISNUMBER(N124),ISNUMBER(V124)),N124*V124*52/12,"")</f>
        <v/>
      </c>
      <c r="X124" s="114" t="n">
        <v>4.4</v>
      </c>
      <c r="Y124" s="108" t="n">
        <v>3371</v>
      </c>
      <c r="Z124" s="115" t="n">
        <v>46307</v>
      </c>
      <c r="AA124" s="115" t="n">
        <v>44922</v>
      </c>
      <c r="AB124" s="105" t="inlineStr">
        <is>
          <t>FBA</t>
        </is>
      </c>
      <c r="AC124" s="105" t="inlineStr">
        <is>
          <t>TH</t>
        </is>
      </c>
      <c r="AD124" s="108" t="n">
        <v>76017</v>
      </c>
      <c r="AE124" s="108" t="n">
        <v>1577</v>
      </c>
      <c r="AF124" s="116" t="n">
        <v>0.8206756843863878</v>
      </c>
      <c r="AG124" s="116" t="n">
        <v>0.1793245681886948</v>
      </c>
      <c r="AH124" s="39" t="inlineStr">
        <is>
          <t>bamboo sheets</t>
        </is>
      </c>
      <c r="AI124" s="116" t="n">
        <v>0.9048633858215925</v>
      </c>
      <c r="AJ124" s="116" t="n">
        <v>0.08220529618374837</v>
      </c>
      <c r="AK124" s="116" t="n">
        <v>0.8497046713235198</v>
      </c>
      <c r="AL124" s="116" t="n">
        <v>0.03862293960561453</v>
      </c>
      <c r="AM124" s="108" t="n">
        <v>309</v>
      </c>
      <c r="AN124" s="108" t="n">
        <v>96</v>
      </c>
      <c r="AO124" s="108" t="n">
        <v>173</v>
      </c>
      <c r="AP124" s="108" t="n">
        <v>1268</v>
      </c>
      <c r="AQ124" s="108" t="n">
        <v>340</v>
      </c>
      <c r="AR124" s="108" t="n">
        <v>8</v>
      </c>
      <c r="AS124" s="117" t="n"/>
      <c r="AT124" s="112" t="n"/>
      <c r="AU124" s="118" t="inlineStr">
        <is>
          <t>N</t>
        </is>
      </c>
      <c r="AV124" s="118" t="inlineStr">
        <is>
          <t>none</t>
        </is>
      </c>
      <c r="AW124" s="124" t="n"/>
      <c r="AX124" s="119" t="n">
        <v>109</v>
      </c>
      <c r="AY124" s="118" t="inlineStr">
        <is>
          <t>none</t>
        </is>
      </c>
      <c r="AZ124" s="118" t="inlineStr">
        <is>
          <t>Y</t>
        </is>
      </c>
      <c r="BA124" s="118" t="inlineStr">
        <is>
          <t>2026-10-13 12:10:51</t>
        </is>
      </c>
      <c r="BB124" s="120" t="inlineStr">
        <is>
          <t>Price cut only</t>
        </is>
      </c>
      <c r="BC124" s="120" t="inlineStr">
        <is>
          <t>11-20 to 12-01</t>
        </is>
      </c>
      <c r="BD124" s="121" t="n">
        <v>105</v>
      </c>
      <c r="BE124" s="121" t="n">
        <v>84</v>
      </c>
      <c r="BF124" s="110">
        <f>IF(AND(ISNUMBER(BD124),ISNUMBER(BE124),N(BD124)&gt;0),1-BE124/BD124,"")</f>
        <v/>
      </c>
      <c r="BG124" s="122" t="n">
        <v>20103</v>
      </c>
      <c r="BH124" s="122" t="n">
        <v>13630</v>
      </c>
      <c r="BI124" s="123">
        <f>IF(AND(ISNUMBER(BG124),ISNUMBER(BH124),N(BH124)&gt;0),BG124/BH124,"")</f>
        <v/>
      </c>
      <c r="BJ124" s="120" t="inlineStr">
        <is>
          <t>N</t>
        </is>
      </c>
      <c r="BK124" s="120" t="inlineStr">
        <is>
          <t>Lightning Deal 11-09 to 11-09; Coupon 10.00 USD, 20.00 USD (11-02 to 11-18); List Price $105.00</t>
        </is>
      </c>
    </row>
    <row r="125" ht="62" customHeight="1">
      <c r="A125" s="12">
        <f>_xlfn.IMAGE("https://m.media-amazon.com/images/I/71Ryqe-IHkL._AC_SL1500_.jpg")</f>
        <v/>
      </c>
      <c r="B125" s="105" t="inlineStr">
        <is>
          <t>REST</t>
        </is>
      </c>
      <c r="C125" s="39" t="inlineStr">
        <is>
          <t>Cooling Sheets 4/6 Pcs</t>
        </is>
      </c>
      <c r="D125" s="105" t="inlineStr">
        <is>
          <t>Beatable</t>
        </is>
      </c>
      <c r="E125" s="128" t="inlineStr">
        <is>
          <t>Alternative material</t>
        </is>
      </c>
      <c r="F125" s="105" t="inlineStr">
        <is>
          <t>Synthetic cooling knit</t>
        </is>
      </c>
      <c r="G125" s="39" t="inlineStr">
        <is>
          <t>Sheet set in Synthetic cooling knit (product page material: IONIC+ Silver Nylon, Nylon, Spandex, Skin Friendly, Tear Res); ours is Microfiber / polyester (different material from the Sleephoria cooling sheets: microfiber with some bamboo viscose). Shopper may cross-shop, but not like-for-like.</t>
        </is>
      </c>
      <c r="H125" s="107" t="inlineStr">
        <is>
          <t>B0HC6866B7</t>
        </is>
      </c>
      <c r="I125" s="107" t="inlineStr">
        <is>
          <t>B0D25LDRPS</t>
        </is>
      </c>
      <c r="J125" s="105" t="inlineStr">
        <is>
          <t>King</t>
        </is>
      </c>
      <c r="K125" s="105" t="inlineStr">
        <is>
          <t>Midnight Blue</t>
        </is>
      </c>
      <c r="L125" s="108" t="n"/>
      <c r="M125" s="39" t="inlineStr"/>
      <c r="N125" s="109" t="n">
        <v>164.25</v>
      </c>
      <c r="O125" s="109" t="n">
        <v>219</v>
      </c>
      <c r="P125" s="110">
        <f>IF(AND(ISNUMBER(O125),ISNUMBER(N125),N(N125)&gt;0),O125/N125-1,"")</f>
        <v/>
      </c>
      <c r="Q125" s="111">
        <f>IF(P125="","No List Price",IF(P125&lt;=0,"At/below price",IF(P125&lt;=0.12,"&lt;=12% STR zone",IF(P125&lt;=0.25,"12-25%","&gt;25% over"))))</f>
        <v/>
      </c>
      <c r="R125" s="109" t="n">
        <v>39.95</v>
      </c>
      <c r="S125" s="112">
        <f>IF(AND(ISNUMBER(N125),ISNUMBER(R125),N(R125)&gt;0),N125/R125-1,"")</f>
        <v/>
      </c>
      <c r="T125" s="39" t="inlineStr">
        <is>
          <t>Same size (King). Ours live: catalog price, 2026-10-13; 5 children</t>
        </is>
      </c>
      <c r="U125" s="108" t="n">
        <v>5255</v>
      </c>
      <c r="V125" s="108" t="n">
        <v>35</v>
      </c>
      <c r="W125" s="113">
        <f>IF(AND(ISNUMBER(N125),ISNUMBER(V125)),N125*V125*52/12,"")</f>
        <v/>
      </c>
      <c r="X125" s="114" t="n">
        <v>4.3</v>
      </c>
      <c r="Y125" s="108" t="n">
        <v>1149</v>
      </c>
      <c r="Z125" s="115" t="n">
        <v>46307</v>
      </c>
      <c r="AA125" s="115" t="n"/>
      <c r="AB125" s="105" t="n"/>
      <c r="AC125" s="105" t="n"/>
      <c r="AD125" s="108" t="n"/>
      <c r="AE125" s="108" t="n"/>
      <c r="AF125" s="116" t="n"/>
      <c r="AG125" s="116" t="n"/>
      <c r="AH125" s="39" t="n"/>
      <c r="AI125" s="116" t="n"/>
      <c r="AJ125" s="116" t="n"/>
      <c r="AK125" s="116" t="n"/>
      <c r="AL125" s="116" t="n"/>
      <c r="AM125" s="108" t="n"/>
      <c r="AN125" s="108" t="n"/>
      <c r="AO125" s="108" t="n"/>
      <c r="AP125" s="108" t="n"/>
      <c r="AQ125" s="108" t="n"/>
      <c r="AR125" s="108" t="n"/>
      <c r="AS125" s="117" t="n"/>
      <c r="AT125" s="112" t="n"/>
      <c r="AU125" s="118" t="inlineStr">
        <is>
          <t>Y</t>
        </is>
      </c>
      <c r="AV125" s="118" t="inlineStr">
        <is>
          <t>List Price</t>
        </is>
      </c>
      <c r="AW125" s="119" t="n">
        <v>219</v>
      </c>
      <c r="AX125" s="119" t="n">
        <v>164.25</v>
      </c>
      <c r="AY125" s="118" t="inlineStr">
        <is>
          <t>none</t>
        </is>
      </c>
      <c r="AZ125" s="118" t="inlineStr">
        <is>
          <t>Y</t>
        </is>
      </c>
      <c r="BA125" s="118" t="inlineStr">
        <is>
          <t>2026-10-13 12:12:10</t>
        </is>
      </c>
      <c r="BB125" s="120" t="inlineStr">
        <is>
          <t>Price cut only</t>
        </is>
      </c>
      <c r="BC125" s="120" t="inlineStr">
        <is>
          <t>11-20 to 12-01</t>
        </is>
      </c>
      <c r="BD125" s="121" t="n">
        <v>219</v>
      </c>
      <c r="BE125" s="121" t="n">
        <v>158.12</v>
      </c>
      <c r="BF125" s="110">
        <f>IF(AND(ISNUMBER(BD125),ISNUMBER(BE125),N(BD125)&gt;0),1-BE125/BD125,"")</f>
        <v/>
      </c>
      <c r="BG125" s="122" t="n">
        <v>30250</v>
      </c>
      <c r="BH125" s="122" t="n">
        <v>15708</v>
      </c>
      <c r="BI125" s="123">
        <f>IF(AND(ISNUMBER(BG125),ISNUMBER(BH125),N(BH125)&gt;0),BG125/BH125,"")</f>
        <v/>
      </c>
      <c r="BJ125" s="120" t="inlineStr">
        <is>
          <t>N</t>
        </is>
      </c>
      <c r="BK125" s="120" t="inlineStr">
        <is>
          <t>Lightning Deal 11-14 to 11-14; List Price $219.00</t>
        </is>
      </c>
    </row>
    <row r="126" ht="62" customHeight="1">
      <c r="A126" s="12">
        <f>_xlfn.IMAGE("https://images-na.ssl-images-amazon.com/images/I/71NxE1i+4jL.jpg")</f>
        <v/>
      </c>
      <c r="B126" s="105" t="inlineStr">
        <is>
          <t>Shilucheng</t>
        </is>
      </c>
      <c r="C126" s="39" t="inlineStr">
        <is>
          <t>Shilucheng 100% Viscose Derived from Bamboo_Sheets, Extra Deep Pocket</t>
        </is>
      </c>
      <c r="D126" s="105" t="inlineStr">
        <is>
          <t>Beatable</t>
        </is>
      </c>
      <c r="E126" s="128" t="inlineStr">
        <is>
          <t>Alternative material</t>
        </is>
      </c>
      <c r="F126" s="105" t="inlineStr">
        <is>
          <t>Bamboo viscose</t>
        </is>
      </c>
      <c r="G126" s="39" t="inlineStr">
        <is>
          <t>Sheet set in Bamboo viscose (product page material: Rayon Derived from Bamboo); ours is Microfiber / polyester (different material from the Sleephoria cooling sheets: microfiber with some bamboo viscose). Shopper may cross-shop, but not like-for-like.</t>
        </is>
      </c>
      <c r="H126" s="107" t="inlineStr">
        <is>
          <t>B0HJVD7X1R</t>
        </is>
      </c>
      <c r="I126" s="107" t="inlineStr">
        <is>
          <t>B0F2TDDFGJ</t>
        </is>
      </c>
      <c r="J126" s="105" t="inlineStr">
        <is>
          <t>Queen</t>
        </is>
      </c>
      <c r="K126" s="105" t="inlineStr">
        <is>
          <t>Dark Grey</t>
        </is>
      </c>
      <c r="L126" s="108" t="n">
        <v>32</v>
      </c>
      <c r="M126" s="39" t="inlineStr">
        <is>
          <t>B0F2TDDFGJ (64%), B0F2TBWTZR (25%)</t>
        </is>
      </c>
      <c r="N126" s="109" t="n">
        <v>59.99</v>
      </c>
      <c r="O126" s="109" t="n">
        <v>74.98999999999999</v>
      </c>
      <c r="P126" s="110">
        <f>IF(AND(ISNUMBER(O126),ISNUMBER(N126),N(N126)&gt;0),O126/N126-1,"")</f>
        <v/>
      </c>
      <c r="Q126" s="111">
        <f>IF(P126="","No List Price",IF(P126&lt;=0,"At/below price",IF(P126&lt;=0.12,"&lt;=12% STR zone",IF(P126&lt;=0.25,"12-25%","&gt;25% over"))))</f>
        <v/>
      </c>
      <c r="R126" s="109" t="n">
        <v>37.95</v>
      </c>
      <c r="S126" s="112">
        <f>IF(AND(ISNUMBER(N126),ISNUMBER(R126),N(R126)&gt;0),N126/R126-1,"")</f>
        <v/>
      </c>
      <c r="T126" s="39" t="inlineStr">
        <is>
          <t>Same size (Queen). Ours live: catalog price, 2026-10-13; 7 children</t>
        </is>
      </c>
      <c r="U126" s="108" t="n">
        <v>39191</v>
      </c>
      <c r="V126" s="108" t="n">
        <v>18</v>
      </c>
      <c r="W126" s="113">
        <f>IF(AND(ISNUMBER(N126),ISNUMBER(V126)),N126*V126*52/12,"")</f>
        <v/>
      </c>
      <c r="X126" s="114" t="n">
        <v>4.5</v>
      </c>
      <c r="Y126" s="108" t="n">
        <v>1639</v>
      </c>
      <c r="Z126" s="115" t="n">
        <v>46307</v>
      </c>
      <c r="AA126" s="115" t="n">
        <v>45744</v>
      </c>
      <c r="AB126" s="105" t="inlineStr">
        <is>
          <t>FBA</t>
        </is>
      </c>
      <c r="AC126" s="105" t="inlineStr">
        <is>
          <t>CN</t>
        </is>
      </c>
      <c r="AD126" s="108" t="n">
        <v>41895</v>
      </c>
      <c r="AE126" s="108" t="n">
        <v>662</v>
      </c>
      <c r="AF126" s="116" t="n">
        <v>0.2973701849862752</v>
      </c>
      <c r="AG126" s="116" t="n">
        <v>0.7026304260651629</v>
      </c>
      <c r="AH126" s="39" t="inlineStr">
        <is>
          <t>queen sheet set</t>
        </is>
      </c>
      <c r="AI126" s="116" t="n">
        <v>0.8649719536937582</v>
      </c>
      <c r="AJ126" s="116" t="n"/>
      <c r="AK126" s="116" t="n"/>
      <c r="AL126" s="116" t="n"/>
      <c r="AM126" s="108" t="n">
        <v>222</v>
      </c>
      <c r="AN126" s="108" t="n">
        <v>68</v>
      </c>
      <c r="AO126" s="108" t="n">
        <v>138</v>
      </c>
      <c r="AP126" s="108" t="n">
        <v>440</v>
      </c>
      <c r="AQ126" s="108" t="n">
        <v>321</v>
      </c>
      <c r="AR126" s="108" t="n">
        <v>6</v>
      </c>
      <c r="AS126" s="117" t="n"/>
      <c r="AT126" s="112" t="n">
        <v>-0.9897959183673469</v>
      </c>
      <c r="AU126" s="118" t="inlineStr">
        <is>
          <t>Y</t>
        </is>
      </c>
      <c r="AV126" s="118" t="inlineStr">
        <is>
          <t>List Price</t>
        </is>
      </c>
      <c r="AW126" s="119" t="n">
        <v>74.98999999999999</v>
      </c>
      <c r="AX126" s="119" t="n">
        <v>59.99</v>
      </c>
      <c r="AY126" s="118" t="inlineStr">
        <is>
          <t>Limited time deal</t>
        </is>
      </c>
      <c r="AZ126" s="118" t="inlineStr">
        <is>
          <t>Y</t>
        </is>
      </c>
      <c r="BA126" s="118" t="inlineStr">
        <is>
          <t>2026-10-13 12:12:17</t>
        </is>
      </c>
      <c r="BB126" s="120" t="inlineStr">
        <is>
          <t>Prime Exclusive Discount</t>
        </is>
      </c>
      <c r="BC126" s="120" t="inlineStr">
        <is>
          <t>11-26 to 12-01</t>
        </is>
      </c>
      <c r="BD126" s="121" t="n">
        <v>74.98999999999999</v>
      </c>
      <c r="BE126" s="121" t="n">
        <v>56.99</v>
      </c>
      <c r="BF126" s="110">
        <f>IF(AND(ISNUMBER(BD126),ISNUMBER(BE126),N(BD126)&gt;0),1-BE126/BD126,"")</f>
        <v/>
      </c>
      <c r="BG126" s="122" t="n">
        <v>28107</v>
      </c>
      <c r="BH126" s="122" t="n">
        <v>38468</v>
      </c>
      <c r="BI126" s="123">
        <f>IF(AND(ISNUMBER(BG126),ISNUMBER(BH126),N(BH126)&gt;0),BG126/BH126,"")</f>
        <v/>
      </c>
      <c r="BJ126" s="120" t="inlineStr">
        <is>
          <t>N</t>
        </is>
      </c>
      <c r="BK126" s="120" t="inlineStr">
        <is>
          <t>Coupon 18.00 USD, 20% (11-01 to 11-12); List Price $74.99</t>
        </is>
      </c>
    </row>
    <row r="127" ht="62" customHeight="1">
      <c r="A127" s="12">
        <f>_xlfn.IMAGE("https://m.media-amazon.com/images/I/81BvQVXWCLL._AC_SL1500_.jpg")</f>
        <v/>
      </c>
      <c r="B127" s="105" t="inlineStr">
        <is>
          <t>BC BELLA COTERIE</t>
        </is>
      </c>
      <c r="C127" s="39" t="inlineStr">
        <is>
          <t>4 Piece Bamboo Sheet Set</t>
        </is>
      </c>
      <c r="D127" s="105" t="inlineStr">
        <is>
          <t>Beatable</t>
        </is>
      </c>
      <c r="E127" s="128" t="inlineStr">
        <is>
          <t>Alternative material</t>
        </is>
      </c>
      <c r="F127" s="105" t="inlineStr">
        <is>
          <t>Bamboo viscose</t>
        </is>
      </c>
      <c r="G127" s="39" t="inlineStr">
        <is>
          <t>Sheet set in Bamboo viscose (product page material: Organically Grown | Viscose Made From Bamboo); ours is Microfiber / polyester (different material from the Sleephoria cooling sheets: microfiber with some bamboo viscose). Shopper may cross-shop, but not like-for-like.</t>
        </is>
      </c>
      <c r="H127" s="107" t="inlineStr">
        <is>
          <t>B0H29V113N</t>
        </is>
      </c>
      <c r="I127" s="107" t="inlineStr">
        <is>
          <t>B0G674ZDTV</t>
        </is>
      </c>
      <c r="J127" s="105" t="inlineStr">
        <is>
          <t>Queen - 2 Pillowcases</t>
        </is>
      </c>
      <c r="K127" s="105" t="inlineStr">
        <is>
          <t>22 - Striped Dune</t>
        </is>
      </c>
      <c r="L127" s="108" t="n"/>
      <c r="M127" s="39" t="inlineStr"/>
      <c r="N127" s="109" t="n">
        <v>159.99</v>
      </c>
      <c r="O127" s="109" t="n"/>
      <c r="P127" s="110">
        <f>IF(AND(ISNUMBER(O127),ISNUMBER(N127),N(N127)&gt;0),O127/N127-1,"")</f>
        <v/>
      </c>
      <c r="Q127" s="111">
        <f>IF(P127="","No List Price",IF(P127&lt;=0,"At/below price",IF(P127&lt;=0.12,"&lt;=12% STR zone",IF(P127&lt;=0.25,"12-25%","&gt;25% over"))))</f>
        <v/>
      </c>
      <c r="R127" s="109" t="n">
        <v>37.95</v>
      </c>
      <c r="S127" s="112">
        <f>IF(AND(ISNUMBER(N127),ISNUMBER(R127),N(R127)&gt;0),N127/R127-1,"")</f>
        <v/>
      </c>
      <c r="T127" s="39" t="inlineStr">
        <is>
          <t>Same size (Queen). Ours live: catalog price, 2026-10-13; 7 children</t>
        </is>
      </c>
      <c r="U127" s="108" t="n">
        <v>1577</v>
      </c>
      <c r="V127" s="108" t="n">
        <v>5</v>
      </c>
      <c r="W127" s="113">
        <f>IF(AND(ISNUMBER(N127),ISNUMBER(V127)),N127*V127*52/12,"")</f>
        <v/>
      </c>
      <c r="X127" s="114" t="n">
        <v>4.4</v>
      </c>
      <c r="Y127" s="108" t="n">
        <v>5652</v>
      </c>
      <c r="Z127" s="115" t="n">
        <v>46223</v>
      </c>
      <c r="AA127" s="115" t="n"/>
      <c r="AB127" s="105" t="n"/>
      <c r="AC127" s="105" t="n"/>
      <c r="AD127" s="108" t="n"/>
      <c r="AE127" s="108" t="n"/>
      <c r="AF127" s="116" t="n"/>
      <c r="AG127" s="116" t="n"/>
      <c r="AH127" s="39" t="n"/>
      <c r="AI127" s="116" t="n"/>
      <c r="AJ127" s="116" t="n"/>
      <c r="AK127" s="116" t="n"/>
      <c r="AL127" s="116" t="n"/>
      <c r="AM127" s="108" t="n"/>
      <c r="AN127" s="108" t="n"/>
      <c r="AO127" s="108" t="n"/>
      <c r="AP127" s="108" t="n"/>
      <c r="AQ127" s="108" t="n"/>
      <c r="AR127" s="108" t="n"/>
      <c r="AS127" s="117" t="n"/>
      <c r="AT127" s="112" t="n"/>
      <c r="AU127" s="118" t="inlineStr">
        <is>
          <t>N</t>
        </is>
      </c>
      <c r="AV127" s="118" t="inlineStr">
        <is>
          <t>none</t>
        </is>
      </c>
      <c r="AW127" s="124" t="n"/>
      <c r="AX127" s="119" t="n">
        <v>159.99</v>
      </c>
      <c r="AY127" s="118" t="inlineStr">
        <is>
          <t>none</t>
        </is>
      </c>
      <c r="AZ127" s="118" t="inlineStr">
        <is>
          <t>Y</t>
        </is>
      </c>
      <c r="BA127" s="118" t="inlineStr">
        <is>
          <t>2026-10-13 12:10:21</t>
        </is>
      </c>
      <c r="BB127" s="120" t="inlineStr">
        <is>
          <t>Not live in 2025</t>
        </is>
      </c>
      <c r="BC127" s="125" t="n"/>
      <c r="BD127" s="124" t="n"/>
      <c r="BE127" s="124" t="n"/>
      <c r="BF127" s="110">
        <f>IF(AND(ISNUMBER(BD127),ISNUMBER(BE127),N(BD127)&gt;0),1-BE127/BD127,"")</f>
        <v/>
      </c>
      <c r="BG127" s="126" t="n"/>
      <c r="BH127" s="126" t="n"/>
      <c r="BI127" s="123">
        <f>IF(AND(ISNUMBER(BG127),ISNUMBER(BH127),N(BH127)&gt;0),BG127/BH127,"")</f>
        <v/>
      </c>
      <c r="BJ127" s="125" t="n"/>
      <c r="BK127" s="125" t="n"/>
    </row>
    <row r="128" ht="62" customHeight="1">
      <c r="A128" s="12">
        <f>_xlfn.IMAGE("https://m.media-amazon.com/images/I/613kYEKI4UL._AC_SL1500_.jpg")</f>
        <v/>
      </c>
      <c r="B128" s="105" t="inlineStr">
        <is>
          <t>DOWNCOOL</t>
        </is>
      </c>
      <c r="C128" s="39" t="inlineStr">
        <is>
          <t>Cooling Sheets</t>
        </is>
      </c>
      <c r="D128" s="105" t="inlineStr">
        <is>
          <t>Beatable</t>
        </is>
      </c>
      <c r="E128" s="128" t="inlineStr">
        <is>
          <t>Alternative material</t>
        </is>
      </c>
      <c r="F128" s="105" t="inlineStr">
        <is>
          <t>Synthetic cooling knit</t>
        </is>
      </c>
      <c r="G128" s="39" t="inlineStr">
        <is>
          <t>Sheet set in Synthetic cooling knit (product page material: Nylon); ours is Microfiber / polyester (different material from the Sleephoria cooling sheets: microfiber with some bamboo viscose). Shopper may cross-shop, but not like-for-like.</t>
        </is>
      </c>
      <c r="H128" s="107" t="inlineStr">
        <is>
          <t>B0F93XRVSZ</t>
        </is>
      </c>
      <c r="I128" s="107" t="inlineStr">
        <is>
          <t>B0F93XRVSZ</t>
        </is>
      </c>
      <c r="J128" s="105" t="inlineStr">
        <is>
          <t>Full</t>
        </is>
      </c>
      <c r="K128" s="105" t="inlineStr">
        <is>
          <t>White</t>
        </is>
      </c>
      <c r="L128" s="108" t="n"/>
      <c r="M128" s="39" t="inlineStr"/>
      <c r="N128" s="109" t="n">
        <v>139.99</v>
      </c>
      <c r="O128" s="109" t="n"/>
      <c r="P128" s="110">
        <f>IF(AND(ISNUMBER(O128),ISNUMBER(N128),N(N128)&gt;0),O128/N128-1,"")</f>
        <v/>
      </c>
      <c r="Q128" s="111">
        <f>IF(P128="","No List Price",IF(P128&lt;=0,"At/below price",IF(P128&lt;=0.12,"&lt;=12% STR zone",IF(P128&lt;=0.25,"12-25%","&gt;25% over"))))</f>
        <v/>
      </c>
      <c r="R128" s="109" t="n">
        <v>35.95</v>
      </c>
      <c r="S128" s="112">
        <f>IF(AND(ISNUMBER(N128),ISNUMBER(R128),N(R128)&gt;0),N128/R128-1,"")</f>
        <v/>
      </c>
      <c r="T128" s="39" t="inlineStr">
        <is>
          <t>Same size (Full). Ours live: catalog price, 2026-10-13; 7 children</t>
        </is>
      </c>
      <c r="U128" s="108" t="n">
        <v>2798999</v>
      </c>
      <c r="V128" s="108" t="n">
        <v>5</v>
      </c>
      <c r="W128" s="113">
        <f>IF(AND(ISNUMBER(N128),ISNUMBER(V128)),N128*V128*52/12,"")</f>
        <v/>
      </c>
      <c r="X128" s="114" t="n">
        <v>4.2</v>
      </c>
      <c r="Y128" s="108" t="n">
        <v>6</v>
      </c>
      <c r="Z128" s="115" t="n">
        <v>46279</v>
      </c>
      <c r="AA128" s="115" t="n"/>
      <c r="AB128" s="105" t="n"/>
      <c r="AC128" s="105" t="n"/>
      <c r="AD128" s="108" t="n"/>
      <c r="AE128" s="108" t="n"/>
      <c r="AF128" s="116" t="n"/>
      <c r="AG128" s="116" t="n"/>
      <c r="AH128" s="39" t="n"/>
      <c r="AI128" s="116" t="n"/>
      <c r="AJ128" s="116" t="n"/>
      <c r="AK128" s="116" t="n"/>
      <c r="AL128" s="116" t="n"/>
      <c r="AM128" s="108" t="n"/>
      <c r="AN128" s="108" t="n"/>
      <c r="AO128" s="108" t="n"/>
      <c r="AP128" s="108" t="n"/>
      <c r="AQ128" s="108" t="n"/>
      <c r="AR128" s="108" t="n"/>
      <c r="AS128" s="117" t="n"/>
      <c r="AT128" s="112" t="n"/>
      <c r="AU128" s="118" t="inlineStr">
        <is>
          <t>N</t>
        </is>
      </c>
      <c r="AV128" s="118" t="inlineStr">
        <is>
          <t>none</t>
        </is>
      </c>
      <c r="AW128" s="124" t="n"/>
      <c r="AX128" s="124" t="n"/>
      <c r="AY128" s="118" t="inlineStr">
        <is>
          <t>none</t>
        </is>
      </c>
      <c r="AZ128" s="118" t="inlineStr">
        <is>
          <t>N</t>
        </is>
      </c>
      <c r="BA128" s="118" t="inlineStr">
        <is>
          <t>2026-10-13 12:11:54</t>
        </is>
      </c>
      <c r="BB128" s="120" t="inlineStr">
        <is>
          <t>Prime Exclusive Discount</t>
        </is>
      </c>
      <c r="BC128" s="120" t="inlineStr">
        <is>
          <t>11-21 to 12-01</t>
        </is>
      </c>
      <c r="BD128" s="121" t="n">
        <v>35.99</v>
      </c>
      <c r="BE128" s="121" t="n">
        <v>29.99</v>
      </c>
      <c r="BF128" s="110">
        <f>IF(AND(ISNUMBER(BD128),ISNUMBER(BE128),N(BD128)&gt;0),1-BE128/BD128,"")</f>
        <v/>
      </c>
      <c r="BG128" s="122" t="n">
        <v>223574</v>
      </c>
      <c r="BH128" s="122" t="n">
        <v>226828</v>
      </c>
      <c r="BI128" s="123">
        <f>IF(AND(ISNUMBER(BG128),ISNUMBER(BH128),N(BH128)&gt;0),BG128/BH128,"")</f>
        <v/>
      </c>
      <c r="BJ128" s="120" t="inlineStr">
        <is>
          <t>N</t>
        </is>
      </c>
      <c r="BK128" s="120" t="inlineStr">
        <is>
          <t>Buy Box RAISED in BFCM week (median $69.99 vs $35.99 before); List Price $69.99</t>
        </is>
      </c>
    </row>
    <row r="129" ht="62" customHeight="1">
      <c r="A129" s="12">
        <f>_xlfn.IMAGE("https://m.media-amazon.com/images/I/71wuywu7aeL._AC_SL1500_.jpg")</f>
        <v/>
      </c>
      <c r="B129" s="105" t="inlineStr">
        <is>
          <t>Elegear</t>
        </is>
      </c>
      <c r="C129" s="39" t="inlineStr">
        <is>
          <t>Elegear Silver Infused Cooling Bed Sheets Queen, Arc-Chill® 3.0 Cool Tech, Silve</t>
        </is>
      </c>
      <c r="D129" s="105" t="inlineStr">
        <is>
          <t>Beatable</t>
        </is>
      </c>
      <c r="E129" s="128" t="inlineStr">
        <is>
          <t>Alternative material</t>
        </is>
      </c>
      <c r="F129" s="105" t="inlineStr">
        <is>
          <t>Synthetic cooling knit</t>
        </is>
      </c>
      <c r="G129" s="39" t="inlineStr">
        <is>
          <t>Sheet set in Synthetic cooling knit (product page material: Arc-Chill® 3.0 Fabric with Silver Ion Technology); ours is Microfiber / polyester (different material from the Sleephoria cooling sheets: microfiber with some bamboo viscose). Shopper may cross-shop, but not like-for-like.</t>
        </is>
      </c>
      <c r="H129" s="107" t="inlineStr">
        <is>
          <t>B0H7YWGBW3</t>
        </is>
      </c>
      <c r="I129" s="107" t="inlineStr">
        <is>
          <t>B0GCGXW1WT</t>
        </is>
      </c>
      <c r="J129" s="105" t="inlineStr">
        <is>
          <t>Queen (Flat Sheet: 90" x 102")</t>
        </is>
      </c>
      <c r="K129" s="105" t="inlineStr">
        <is>
          <t>White</t>
        </is>
      </c>
      <c r="L129" s="108" t="n">
        <v>8</v>
      </c>
      <c r="M129" s="39" t="inlineStr">
        <is>
          <t>B0GCHRGYZZ (25%), B0GCHG6VG6 (21%), B0GCH7FHV1 (18%), B0GCGXW1WT (11%), B0GCGXXC24 (10%)</t>
        </is>
      </c>
      <c r="N129" s="109" t="n">
        <v>67.98999999999999</v>
      </c>
      <c r="O129" s="109" t="n">
        <v>79.98999999999999</v>
      </c>
      <c r="P129" s="110">
        <f>IF(AND(ISNUMBER(O129),ISNUMBER(N129),N(N129)&gt;0),O129/N129-1,"")</f>
        <v/>
      </c>
      <c r="Q129" s="111">
        <f>IF(P129="","No List Price",IF(P129&lt;=0,"At/below price",IF(P129&lt;=0.12,"&lt;=12% STR zone",IF(P129&lt;=0.25,"12-25%","&gt;25% over"))))</f>
        <v/>
      </c>
      <c r="R129" s="109" t="n">
        <v>37.95</v>
      </c>
      <c r="S129" s="112">
        <f>IF(AND(ISNUMBER(N129),ISNUMBER(R129),N(R129)&gt;0),N129/R129-1,"")</f>
        <v/>
      </c>
      <c r="T129" s="39" t="inlineStr">
        <is>
          <t>Same size (Queen). Ours live: catalog price, 2026-10-13; 7 children</t>
        </is>
      </c>
      <c r="U129" s="108" t="n">
        <v>159865</v>
      </c>
      <c r="V129" s="108" t="n">
        <v>5</v>
      </c>
      <c r="W129" s="113">
        <f>IF(AND(ISNUMBER(N129),ISNUMBER(V129)),N129*V129*52/12,"")</f>
        <v/>
      </c>
      <c r="X129" s="114" t="n">
        <v>4.4</v>
      </c>
      <c r="Y129" s="108" t="n">
        <v>131</v>
      </c>
      <c r="Z129" s="115" t="n">
        <v>46307</v>
      </c>
      <c r="AA129" s="115" t="n"/>
      <c r="AB129" s="105" t="n"/>
      <c r="AC129" s="105" t="n"/>
      <c r="AD129" s="108" t="n">
        <v>15624</v>
      </c>
      <c r="AE129" s="108" t="n">
        <v>643</v>
      </c>
      <c r="AF129" s="116" t="n">
        <v>0.6086269521249359</v>
      </c>
      <c r="AG129" s="116" t="n">
        <v>0.3913732526881721</v>
      </c>
      <c r="AH129" s="39" t="inlineStr">
        <is>
          <t>miracle sheets</t>
        </is>
      </c>
      <c r="AI129" s="116" t="n">
        <v>0.5840373783922171</v>
      </c>
      <c r="AJ129" s="116" t="n">
        <v>0.7140296979006656</v>
      </c>
      <c r="AK129" s="116" t="n"/>
      <c r="AL129" s="116" t="n"/>
      <c r="AM129" s="108" t="n">
        <v>151</v>
      </c>
      <c r="AN129" s="108" t="n">
        <v>54</v>
      </c>
      <c r="AO129" s="108" t="n">
        <v>77</v>
      </c>
      <c r="AP129" s="108" t="n">
        <v>492</v>
      </c>
      <c r="AQ129" s="108" t="n">
        <v>151</v>
      </c>
      <c r="AR129" s="108" t="n">
        <v>1</v>
      </c>
      <c r="AS129" s="117" t="n">
        <v>0.4848484848484848</v>
      </c>
      <c r="AT129" s="112" t="n"/>
      <c r="AU129" s="118" t="inlineStr">
        <is>
          <t>Y</t>
        </is>
      </c>
      <c r="AV129" s="118" t="inlineStr">
        <is>
          <t>Typical price</t>
        </is>
      </c>
      <c r="AW129" s="119" t="n">
        <v>79.98999999999999</v>
      </c>
      <c r="AX129" s="119" t="n">
        <v>67.98999999999999</v>
      </c>
      <c r="AY129" s="118" t="inlineStr">
        <is>
          <t>Limited time deal</t>
        </is>
      </c>
      <c r="AZ129" s="118" t="inlineStr">
        <is>
          <t>Y</t>
        </is>
      </c>
      <c r="BA129" s="118" t="inlineStr">
        <is>
          <t>2026-10-13 12:12:01</t>
        </is>
      </c>
      <c r="BB129" s="120" t="inlineStr">
        <is>
          <t>Not live in 2025</t>
        </is>
      </c>
      <c r="BC129" s="125" t="n"/>
      <c r="BD129" s="124" t="n"/>
      <c r="BE129" s="124" t="n"/>
      <c r="BF129" s="110">
        <f>IF(AND(ISNUMBER(BD129),ISNUMBER(BE129),N(BD129)&gt;0),1-BE129/BD129,"")</f>
        <v/>
      </c>
      <c r="BG129" s="126" t="n"/>
      <c r="BH129" s="126" t="n"/>
      <c r="BI129" s="123">
        <f>IF(AND(ISNUMBER(BG129),ISNUMBER(BH129),N(BH129)&gt;0),BG129/BH129,"")</f>
        <v/>
      </c>
      <c r="BJ129" s="125" t="n"/>
      <c r="BK129" s="125" t="n"/>
    </row>
    <row r="130" ht="62" customHeight="1">
      <c r="A130" s="12">
        <f>_xlfn.IMAGE("https://images-na.ssl-images-amazon.com/images/I/71+O+E9PlaL.jpg")</f>
        <v/>
      </c>
      <c r="B130" s="105" t="inlineStr">
        <is>
          <t>Shilucheng</t>
        </is>
      </c>
      <c r="C130" s="39" t="inlineStr">
        <is>
          <t>Shilucheng 100% Viscose Derived from Bamboo_ Sheets King Size 4pcs</t>
        </is>
      </c>
      <c r="D130" s="105" t="inlineStr">
        <is>
          <t>Beatable</t>
        </is>
      </c>
      <c r="E130" s="128" t="inlineStr">
        <is>
          <t>Alternative material</t>
        </is>
      </c>
      <c r="F130" s="105" t="inlineStr">
        <is>
          <t>Bamboo viscose</t>
        </is>
      </c>
      <c r="G130" s="39" t="inlineStr">
        <is>
          <t>Sheet set in Bamboo viscose (product page material: Viscose Derived from Bamboo); ours is Microfiber / polyester (different material from the Sleephoria cooling sheets: microfiber with some bamboo viscose). Shopper may cross-shop, but not like-for-like.</t>
        </is>
      </c>
      <c r="H130" s="107" t="inlineStr">
        <is>
          <t>B0HK5V5KL1</t>
        </is>
      </c>
      <c r="I130" s="107" t="inlineStr">
        <is>
          <t>B09PYQ2VQL</t>
        </is>
      </c>
      <c r="J130" s="105" t="inlineStr">
        <is>
          <t>King</t>
        </is>
      </c>
      <c r="K130" s="105" t="inlineStr">
        <is>
          <t>01 - Dark Grey</t>
        </is>
      </c>
      <c r="L130" s="108" t="n">
        <v>79</v>
      </c>
      <c r="M130" s="39" t="inlineStr">
        <is>
          <t>B09PYKYCCF (38%), B09PXYT59Y (29%), B0DFHF8KC3 (20%)</t>
        </is>
      </c>
      <c r="N130" s="109" t="n">
        <v>54.9</v>
      </c>
      <c r="O130" s="109" t="n">
        <v>64.90000000000001</v>
      </c>
      <c r="P130" s="110">
        <f>IF(AND(ISNUMBER(O130),ISNUMBER(N130),N(N130)&gt;0),O130/N130-1,"")</f>
        <v/>
      </c>
      <c r="Q130" s="111">
        <f>IF(P130="","No List Price",IF(P130&lt;=0,"At/below price",IF(P130&lt;=0.12,"&lt;=12% STR zone",IF(P130&lt;=0.25,"12-25%","&gt;25% over"))))</f>
        <v/>
      </c>
      <c r="R130" s="109" t="n">
        <v>39.95</v>
      </c>
      <c r="S130" s="112">
        <f>IF(AND(ISNUMBER(N130),ISNUMBER(R130),N(R130)&gt;0),N130/R130-1,"")</f>
        <v/>
      </c>
      <c r="T130" s="39" t="inlineStr">
        <is>
          <t>Same size (King). Ours live: catalog price, 2026-10-13; 5 children</t>
        </is>
      </c>
      <c r="U130" s="108" t="n">
        <v>26044</v>
      </c>
      <c r="V130" s="108" t="n">
        <v>5</v>
      </c>
      <c r="W130" s="113">
        <f>IF(AND(ISNUMBER(N130),ISNUMBER(V130)),N130*V130*52/12,"")</f>
        <v/>
      </c>
      <c r="X130" s="114" t="n">
        <v>4.4</v>
      </c>
      <c r="Y130" s="108" t="n">
        <v>6629</v>
      </c>
      <c r="Z130" s="115" t="n">
        <v>46307</v>
      </c>
      <c r="AA130" s="115" t="n">
        <v>44654</v>
      </c>
      <c r="AB130" s="105" t="inlineStr">
        <is>
          <t>FBA</t>
        </is>
      </c>
      <c r="AC130" s="105" t="inlineStr">
        <is>
          <t>CN</t>
        </is>
      </c>
      <c r="AD130" s="108" t="n">
        <v>55207</v>
      </c>
      <c r="AE130" s="108" t="n">
        <v>914</v>
      </c>
      <c r="AF130" s="116" t="n">
        <v>0.5098780408281561</v>
      </c>
      <c r="AG130" s="116" t="n">
        <v>0.4901219591718439</v>
      </c>
      <c r="AH130" s="39" t="inlineStr">
        <is>
          <t>bamboo sheets</t>
        </is>
      </c>
      <c r="AI130" s="116" t="n">
        <v>0.9176553697900629</v>
      </c>
      <c r="AJ130" s="116" t="n"/>
      <c r="AK130" s="116" t="n"/>
      <c r="AL130" s="116" t="n"/>
      <c r="AM130" s="108" t="n">
        <v>246</v>
      </c>
      <c r="AN130" s="108" t="n">
        <v>52</v>
      </c>
      <c r="AO130" s="108" t="n">
        <v>175</v>
      </c>
      <c r="AP130" s="108" t="n">
        <v>668</v>
      </c>
      <c r="AQ130" s="108" t="n">
        <v>467</v>
      </c>
      <c r="AR130" s="108" t="n">
        <v>10</v>
      </c>
      <c r="AS130" s="117" t="n"/>
      <c r="AT130" s="112" t="n"/>
      <c r="AU130" s="118" t="inlineStr">
        <is>
          <t>Y</t>
        </is>
      </c>
      <c r="AV130" s="118" t="inlineStr">
        <is>
          <t>List Price</t>
        </is>
      </c>
      <c r="AW130" s="119" t="n">
        <v>64.90000000000001</v>
      </c>
      <c r="AX130" s="119" t="n">
        <v>54.9</v>
      </c>
      <c r="AY130" s="118" t="inlineStr">
        <is>
          <t>Limited time deal</t>
        </is>
      </c>
      <c r="AZ130" s="118" t="inlineStr">
        <is>
          <t>Y</t>
        </is>
      </c>
      <c r="BA130" s="118" t="inlineStr">
        <is>
          <t>2026-10-13 12:12:20</t>
        </is>
      </c>
      <c r="BB130" s="120" t="inlineStr">
        <is>
          <t>Prime Exclusive Discount</t>
        </is>
      </c>
      <c r="BC130" s="120" t="inlineStr">
        <is>
          <t>11-24 to 12-01</t>
        </is>
      </c>
      <c r="BD130" s="121" t="n">
        <v>64.90000000000001</v>
      </c>
      <c r="BE130" s="121" t="n">
        <v>55.12</v>
      </c>
      <c r="BF130" s="110">
        <f>IF(AND(ISNUMBER(BD130),ISNUMBER(BE130),N(BD130)&gt;0),1-BE130/BD130,"")</f>
        <v/>
      </c>
      <c r="BG130" s="122" t="n">
        <v>15950</v>
      </c>
      <c r="BH130" s="122" t="n">
        <v>18592</v>
      </c>
      <c r="BI130" s="123">
        <f>IF(AND(ISNUMBER(BG130),ISNUMBER(BH130),N(BH130)&gt;0),BG130/BH130,"")</f>
        <v/>
      </c>
      <c r="BJ130" s="120" t="inlineStr">
        <is>
          <t>N</t>
        </is>
      </c>
      <c r="BK130" s="120" t="inlineStr">
        <is>
          <t>Buy Box RAISED in BFCM week (median $68.90 vs $64.90 before); List Price $69.90</t>
        </is>
      </c>
    </row>
    <row r="131" ht="62" customHeight="1">
      <c r="A131" s="12">
        <f>_xlfn.IMAGE("https://images-na.ssl-images-amazon.com/images/I/61mi8zwd8GL.jpg")</f>
        <v/>
      </c>
      <c r="B131" s="105" t="inlineStr">
        <is>
          <t>Pillcase</t>
        </is>
      </c>
      <c r="C131" s="39" t="inlineStr">
        <is>
          <t>Pillcase Luxury Organic Tencel &amp; Viscose from Bamboo Cooling Sheet Set,Silky Soft Lyocell Sheets with Deep Pocket, Hypoallergenic &amp; Breathable Bedding with Pillowcases (White, King)</t>
        </is>
      </c>
      <c r="D131" s="105" t="inlineStr">
        <is>
          <t>Poor</t>
        </is>
      </c>
      <c r="E131" s="128" t="inlineStr">
        <is>
          <t>Alternative material</t>
        </is>
      </c>
      <c r="F131" s="105" t="inlineStr">
        <is>
          <t>Lyocell / eucalyptus</t>
        </is>
      </c>
      <c r="G131" s="39" t="inlineStr">
        <is>
          <t>Sheet set in Lyocell / eucalyptus (title: Pillcase Luxury Organic Tencel &amp; Viscose from Bamboo Cooling); ours is Microfiber / polyester (different material from the Sleephoria cooling sheets: microfiber with some bamboo viscose). Shopper may cross-shop, but not like-for-like.</t>
        </is>
      </c>
      <c r="H131" s="107" t="inlineStr">
        <is>
          <t>B0FLDYD61P</t>
        </is>
      </c>
      <c r="I131" s="107" t="inlineStr">
        <is>
          <t>B0FLDYD61P</t>
        </is>
      </c>
      <c r="J131" s="105" t="inlineStr">
        <is>
          <t>King</t>
        </is>
      </c>
      <c r="K131" s="105" t="inlineStr">
        <is>
          <t>White</t>
        </is>
      </c>
      <c r="L131" s="108" t="n">
        <v>1</v>
      </c>
      <c r="M131" s="39" t="inlineStr"/>
      <c r="N131" s="109" t="n">
        <v>109.99</v>
      </c>
      <c r="O131" s="109" t="n"/>
      <c r="P131" s="110">
        <f>IF(AND(ISNUMBER(O131),ISNUMBER(N131),N(N131)&gt;0),O131/N131-1,"")</f>
        <v/>
      </c>
      <c r="Q131" s="111">
        <f>IF(P131="","No List Price",IF(P131&lt;=0,"At/below price",IF(P131&lt;=0.12,"&lt;=12% STR zone",IF(P131&lt;=0.25,"12-25%","&gt;25% over"))))</f>
        <v/>
      </c>
      <c r="R131" s="109" t="n">
        <v>39.95</v>
      </c>
      <c r="S131" s="112">
        <f>IF(AND(ISNUMBER(N131),ISNUMBER(R131),N(R131)&gt;0),N131/R131-1,"")</f>
        <v/>
      </c>
      <c r="T131" s="39" t="inlineStr">
        <is>
          <t>Same size (King). Ours live: catalog price, 2026-10-13; 5 children</t>
        </is>
      </c>
      <c r="U131" s="108" t="n">
        <v>1401806</v>
      </c>
      <c r="V131" s="108" t="n">
        <v>5</v>
      </c>
      <c r="W131" s="113">
        <f>IF(AND(ISNUMBER(N131),ISNUMBER(V131)),N131*V131*52/12,"")</f>
        <v/>
      </c>
      <c r="X131" s="114" t="n">
        <v>4.5</v>
      </c>
      <c r="Y131" s="108" t="n">
        <v>35</v>
      </c>
      <c r="Z131" s="115" t="n">
        <v>46307</v>
      </c>
      <c r="AA131" s="115" t="n">
        <v>45875</v>
      </c>
      <c r="AB131" s="105" t="inlineStr">
        <is>
          <t>FBM</t>
        </is>
      </c>
      <c r="AC131" s="105" t="inlineStr">
        <is>
          <t>N/A</t>
        </is>
      </c>
      <c r="AD131" s="108" t="n"/>
      <c r="AE131" s="108" t="n"/>
      <c r="AF131" s="116" t="n"/>
      <c r="AG131" s="116" t="n"/>
      <c r="AH131" s="39" t="n"/>
      <c r="AI131" s="116" t="n"/>
      <c r="AJ131" s="116" t="n"/>
      <c r="AK131" s="116" t="n"/>
      <c r="AL131" s="116" t="n"/>
      <c r="AM131" s="108" t="n"/>
      <c r="AN131" s="108" t="n"/>
      <c r="AO131" s="108" t="n"/>
      <c r="AP131" s="108" t="n"/>
      <c r="AQ131" s="108" t="n"/>
      <c r="AR131" s="108" t="n"/>
      <c r="AS131" s="117" t="n"/>
      <c r="AT131" s="112" t="n"/>
      <c r="AU131" s="118" t="inlineStr">
        <is>
          <t>N</t>
        </is>
      </c>
      <c r="AV131" s="118" t="inlineStr">
        <is>
          <t>none</t>
        </is>
      </c>
      <c r="AW131" s="124" t="n"/>
      <c r="AX131" s="124" t="n"/>
      <c r="AY131" s="118" t="inlineStr">
        <is>
          <t>none</t>
        </is>
      </c>
      <c r="AZ131" s="118" t="inlineStr">
        <is>
          <t>N</t>
        </is>
      </c>
      <c r="BA131" s="118" t="inlineStr">
        <is>
          <t>2026-10-13 23:38:58</t>
        </is>
      </c>
      <c r="BB131" s="120" t="inlineStr">
        <is>
          <t>Coupon only</t>
        </is>
      </c>
      <c r="BC131" s="120" t="inlineStr">
        <is>
          <t>11-19 to 12-05</t>
        </is>
      </c>
      <c r="BD131" s="121" t="n">
        <v>94.52</v>
      </c>
      <c r="BE131" s="121" t="n">
        <v>94.52</v>
      </c>
      <c r="BF131" s="110">
        <f>IF(AND(ISNUMBER(BD131),ISNUMBER(BE131),N(BD131)&gt;0),1-BE131/BD131,"")</f>
        <v/>
      </c>
      <c r="BG131" s="122" t="n">
        <v>61832</v>
      </c>
      <c r="BH131" s="122" t="n">
        <v>24998</v>
      </c>
      <c r="BI131" s="123">
        <f>IF(AND(ISNUMBER(BG131),ISNUMBER(BH131),N(BH131)&gt;0),BG131/BH131,"")</f>
        <v/>
      </c>
      <c r="BJ131" s="120" t="inlineStr">
        <is>
          <t>N</t>
        </is>
      </c>
      <c r="BK131" s="120" t="inlineStr">
        <is>
          <t>Coupon 40%; List Price $199.00</t>
        </is>
      </c>
    </row>
    <row r="132" ht="62" customHeight="1">
      <c r="A132" s="12">
        <f>_xlfn.IMAGE("https://images-na.ssl-images-amazon.com/images/I/71gw0WpuNuL.jpg")</f>
        <v/>
      </c>
      <c r="B132" s="105" t="inlineStr">
        <is>
          <t>TWK</t>
        </is>
      </c>
      <c r="C132" s="39" t="inlineStr">
        <is>
          <t>TWK Luxury Sheet Set, Genuine 100% Organic Viscose Derived from Bamboo, Cooling &amp; Breathable, Silky Soft, Bedding Sheets &amp; Pillowcases (Mist Gray, King)</t>
        </is>
      </c>
      <c r="D132" s="105" t="inlineStr">
        <is>
          <t>Poor</t>
        </is>
      </c>
      <c r="E132" s="128" t="inlineStr">
        <is>
          <t>Alternative material</t>
        </is>
      </c>
      <c r="F132" s="105" t="inlineStr">
        <is>
          <t>Bamboo viscose</t>
        </is>
      </c>
      <c r="G132" s="39" t="inlineStr">
        <is>
          <t>Sheet set in Bamboo viscose (title: TWK Luxury Sheet Set, Genuine 100% Organic Viscose Derived f); ours is Microfiber / polyester (different material from the Sleephoria cooling sheets: microfiber with some bamboo viscose). Shopper may cross-shop, but not like-for-like.</t>
        </is>
      </c>
      <c r="H132" s="107" t="inlineStr">
        <is>
          <t>B0DYT2QWLC</t>
        </is>
      </c>
      <c r="I132" s="107" t="inlineStr">
        <is>
          <t>B0DYT2QWLC</t>
        </is>
      </c>
      <c r="J132" s="105" t="inlineStr">
        <is>
          <t>King</t>
        </is>
      </c>
      <c r="K132" s="105" t="inlineStr">
        <is>
          <t>Mist Gray</t>
        </is>
      </c>
      <c r="L132" s="108" t="n">
        <v>1</v>
      </c>
      <c r="M132" s="39" t="inlineStr"/>
      <c r="N132" s="109" t="n">
        <v>109.99</v>
      </c>
      <c r="O132" s="109" t="n"/>
      <c r="P132" s="110">
        <f>IF(AND(ISNUMBER(O132),ISNUMBER(N132),N(N132)&gt;0),O132/N132-1,"")</f>
        <v/>
      </c>
      <c r="Q132" s="111">
        <f>IF(P132="","No List Price",IF(P132&lt;=0,"At/below price",IF(P132&lt;=0.12,"&lt;=12% STR zone",IF(P132&lt;=0.25,"12-25%","&gt;25% over"))))</f>
        <v/>
      </c>
      <c r="R132" s="109" t="n">
        <v>39.95</v>
      </c>
      <c r="S132" s="112">
        <f>IF(AND(ISNUMBER(N132),ISNUMBER(R132),N(R132)&gt;0),N132/R132-1,"")</f>
        <v/>
      </c>
      <c r="T132" s="39" t="inlineStr">
        <is>
          <t>Same size (King). Ours live: catalog price, 2026-10-13; 5 children</t>
        </is>
      </c>
      <c r="U132" s="108" t="n">
        <v>1506045</v>
      </c>
      <c r="V132" s="108" t="n">
        <v>5</v>
      </c>
      <c r="W132" s="113">
        <f>IF(AND(ISNUMBER(N132),ISNUMBER(V132)),N132*V132*52/12,"")</f>
        <v/>
      </c>
      <c r="X132" s="114" t="n">
        <v>4.5</v>
      </c>
      <c r="Y132" s="108" t="n">
        <v>39</v>
      </c>
      <c r="Z132" s="115" t="n">
        <v>46307</v>
      </c>
      <c r="AA132" s="115" t="n">
        <v>45716</v>
      </c>
      <c r="AB132" s="105" t="inlineStr">
        <is>
          <t>FBM</t>
        </is>
      </c>
      <c r="AC132" s="105" t="inlineStr">
        <is>
          <t>N/A</t>
        </is>
      </c>
      <c r="AD132" s="108" t="n"/>
      <c r="AE132" s="108" t="n"/>
      <c r="AF132" s="116" t="n"/>
      <c r="AG132" s="116" t="n"/>
      <c r="AH132" s="39" t="n"/>
      <c r="AI132" s="116" t="n"/>
      <c r="AJ132" s="116" t="n"/>
      <c r="AK132" s="116" t="n"/>
      <c r="AL132" s="116" t="n"/>
      <c r="AM132" s="108" t="n"/>
      <c r="AN132" s="108" t="n"/>
      <c r="AO132" s="108" t="n"/>
      <c r="AP132" s="108" t="n"/>
      <c r="AQ132" s="108" t="n"/>
      <c r="AR132" s="108" t="n"/>
      <c r="AS132" s="117" t="n"/>
      <c r="AT132" s="112" t="n"/>
      <c r="AU132" s="118" t="inlineStr">
        <is>
          <t>N</t>
        </is>
      </c>
      <c r="AV132" s="118" t="inlineStr">
        <is>
          <t>none</t>
        </is>
      </c>
      <c r="AW132" s="124" t="n"/>
      <c r="AX132" s="124" t="n"/>
      <c r="AY132" s="118" t="inlineStr">
        <is>
          <t>none</t>
        </is>
      </c>
      <c r="AZ132" s="118" t="inlineStr">
        <is>
          <t>N</t>
        </is>
      </c>
      <c r="BA132" s="118" t="inlineStr">
        <is>
          <t>2026-10-13 23:37:00</t>
        </is>
      </c>
      <c r="BB132" s="120" t="inlineStr">
        <is>
          <t>Coupon only</t>
        </is>
      </c>
      <c r="BC132" s="120" t="inlineStr">
        <is>
          <t>11-20 to 12-05</t>
        </is>
      </c>
      <c r="BD132" s="121" t="n">
        <v>69</v>
      </c>
      <c r="BE132" s="121" t="n">
        <v>74</v>
      </c>
      <c r="BF132" s="110">
        <f>IF(AND(ISNUMBER(BD132),ISNUMBER(BE132),N(BD132)&gt;0),1-BE132/BD132,"")</f>
        <v/>
      </c>
      <c r="BG132" s="122" t="n">
        <v>46533</v>
      </c>
      <c r="BH132" s="122" t="n">
        <v>67944</v>
      </c>
      <c r="BI132" s="123">
        <f>IF(AND(ISNUMBER(BG132),ISNUMBER(BH132),N(BH132)&gt;0),BG132/BH132,"")</f>
        <v/>
      </c>
      <c r="BJ132" s="120" t="inlineStr">
        <is>
          <t>N</t>
        </is>
      </c>
      <c r="BK132" s="120" t="inlineStr">
        <is>
          <t>Coupon 30%; Buy Box RAISED in BFCM week (median $79.00 vs $69.00 before); List Price $69.00</t>
        </is>
      </c>
    </row>
    <row r="133" ht="62" customHeight="1">
      <c r="A133" s="12">
        <f>_xlfn.IMAGE("https://images-na.ssl-images-amazon.com/images/I/81L2xb5ly6L.jpg")</f>
        <v/>
      </c>
      <c r="B133" s="105" t="inlineStr">
        <is>
          <t>Bedsure</t>
        </is>
      </c>
      <c r="C133" s="39" t="inlineStr">
        <is>
          <t>Bedsure PureWoven 100% Rayon Derived from Bamboo, Queen Sheets, 4 Pieces</t>
        </is>
      </c>
      <c r="D133" s="105" t="inlineStr">
        <is>
          <t>Untiered</t>
        </is>
      </c>
      <c r="E133" s="128" t="inlineStr">
        <is>
          <t>Alternative material</t>
        </is>
      </c>
      <c r="F133" s="105" t="inlineStr">
        <is>
          <t>Bamboo viscose</t>
        </is>
      </c>
      <c r="G133" s="39" t="inlineStr">
        <is>
          <t>Sheet set in Bamboo viscose (product page material: Rayon Derived from Bamboo); ours is Microfiber / polyester (different material from the Sleephoria cooling sheets: microfiber with some bamboo viscose). Shopper may cross-shop, but not like-for-like.</t>
        </is>
      </c>
      <c r="H133" s="107" t="inlineStr">
        <is>
          <t>B0BZ8T5BJ6</t>
        </is>
      </c>
      <c r="I133" s="107" t="inlineStr">
        <is>
          <t>B07YK8VTJV</t>
        </is>
      </c>
      <c r="J133" s="105" t="inlineStr">
        <is>
          <t>Queen</t>
        </is>
      </c>
      <c r="K133" s="105" t="inlineStr">
        <is>
          <t>02 - White</t>
        </is>
      </c>
      <c r="L133" s="108" t="n">
        <v>131</v>
      </c>
      <c r="M133" s="39" t="inlineStr">
        <is>
          <t>B07YKCZHGK (29%), B07YK8VTJV (19%), B07YKCQBBL (14%), B07YKCB6GL (9%), B08CXWHQT2 (6%)</t>
        </is>
      </c>
      <c r="N133" s="109" t="n">
        <v>62.99</v>
      </c>
      <c r="O133" s="109" t="n">
        <v>69.98999999999999</v>
      </c>
      <c r="P133" s="110">
        <f>IF(AND(ISNUMBER(O133),ISNUMBER(N133),N(N133)&gt;0),O133/N133-1,"")</f>
        <v/>
      </c>
      <c r="Q133" s="111">
        <f>IF(P133="","No List Price",IF(P133&lt;=0,"At/below price",IF(P133&lt;=0.12,"&lt;=12% STR zone",IF(P133&lt;=0.25,"12-25%","&gt;25% over"))))</f>
        <v/>
      </c>
      <c r="R133" s="109" t="n">
        <v>37.95</v>
      </c>
      <c r="S133" s="112">
        <f>IF(AND(ISNUMBER(N133),ISNUMBER(R133),N(R133)&gt;0),N133/R133-1,"")</f>
        <v/>
      </c>
      <c r="T133" s="39" t="inlineStr">
        <is>
          <t>Same size (Queen). Ours live: catalog price, 2026-10-13; 7 children</t>
        </is>
      </c>
      <c r="U133" s="108" t="n">
        <v>256</v>
      </c>
      <c r="V133" s="108" t="n">
        <v>809</v>
      </c>
      <c r="W133" s="113">
        <f>IF(AND(ISNUMBER(N133),ISNUMBER(V133)),N133*V133*52/12,"")</f>
        <v/>
      </c>
      <c r="X133" s="114" t="n">
        <v>4.4</v>
      </c>
      <c r="Y133" s="108" t="n">
        <v>65061</v>
      </c>
      <c r="Z133" s="115" t="n">
        <v>46307</v>
      </c>
      <c r="AA133" s="115" t="n">
        <v>43348</v>
      </c>
      <c r="AB133" s="105" t="inlineStr">
        <is>
          <t>FBA</t>
        </is>
      </c>
      <c r="AC133" s="105" t="inlineStr">
        <is>
          <t>US</t>
        </is>
      </c>
      <c r="AD133" s="108" t="n">
        <v>2166046</v>
      </c>
      <c r="AE133" s="108" t="n">
        <v>6935</v>
      </c>
      <c r="AF133" s="116" t="n">
        <v>0.5902383405984899</v>
      </c>
      <c r="AG133" s="116" t="n">
        <v>0.4097618027040986</v>
      </c>
      <c r="AH133" s="39" t="inlineStr">
        <is>
          <t>bamboo sheets</t>
        </is>
      </c>
      <c r="AI133" s="116" t="n">
        <v>0.9388327856379781</v>
      </c>
      <c r="AJ133" s="116" t="n">
        <v>0.9371818511702891</v>
      </c>
      <c r="AK133" s="116" t="n">
        <v>0.6488394059959945</v>
      </c>
      <c r="AL133" s="116" t="n">
        <v>0.3206907886536112</v>
      </c>
      <c r="AM133" s="108" t="n">
        <v>380</v>
      </c>
      <c r="AN133" s="108" t="n">
        <v>10</v>
      </c>
      <c r="AO133" s="108" t="n">
        <v>358</v>
      </c>
      <c r="AP133" s="108" t="n">
        <v>6555</v>
      </c>
      <c r="AQ133" s="108" t="n">
        <v>3453</v>
      </c>
      <c r="AR133" s="108" t="n">
        <v>9</v>
      </c>
      <c r="AS133" s="117" t="n">
        <v>1.066623404715553</v>
      </c>
      <c r="AT133" s="112" t="n">
        <v>-0.05727665706051865</v>
      </c>
      <c r="AU133" s="118" t="inlineStr">
        <is>
          <t>Y</t>
        </is>
      </c>
      <c r="AV133" s="118" t="inlineStr">
        <is>
          <t>List Price</t>
        </is>
      </c>
      <c r="AW133" s="119" t="n">
        <v>69.98999999999999</v>
      </c>
      <c r="AX133" s="119" t="n">
        <v>62.99</v>
      </c>
      <c r="AY133" s="118" t="inlineStr">
        <is>
          <t>none</t>
        </is>
      </c>
      <c r="AZ133" s="118" t="inlineStr">
        <is>
          <t>Y</t>
        </is>
      </c>
      <c r="BA133" s="118" t="inlineStr">
        <is>
          <t>2026-10-13 12:10:35</t>
        </is>
      </c>
      <c r="BB133" s="120" t="inlineStr">
        <is>
          <t>Prime Exclusive Discount</t>
        </is>
      </c>
      <c r="BC133" s="120" t="inlineStr">
        <is>
          <t>11-23 to 12-01</t>
        </is>
      </c>
      <c r="BD133" s="121" t="n">
        <v>66.48999999999999</v>
      </c>
      <c r="BE133" s="121" t="n">
        <v>55.99</v>
      </c>
      <c r="BF133" s="110">
        <f>IF(AND(ISNUMBER(BD133),ISNUMBER(BE133),N(BD133)&gt;0),1-BE133/BD133,"")</f>
        <v/>
      </c>
      <c r="BG133" s="122" t="n">
        <v>156</v>
      </c>
      <c r="BH133" s="122" t="n">
        <v>228</v>
      </c>
      <c r="BI133" s="123">
        <f>IF(AND(ISNUMBER(BG133),ISNUMBER(BH133),N(BH133)&gt;0),BG133/BH133,"")</f>
        <v/>
      </c>
      <c r="BJ133" s="120" t="inlineStr">
        <is>
          <t>N</t>
        </is>
      </c>
      <c r="BK133" s="120" t="inlineStr">
        <is>
          <t>Buy Box RAISED in BFCM week (median $69.99 vs $66.49 before); List Price $78.99</t>
        </is>
      </c>
    </row>
    <row r="134" ht="62" customHeight="1">
      <c r="A134" s="12">
        <f>_xlfn.IMAGE("https://images-na.ssl-images-amazon.com/images/I/71rcYip7GcL.jpg")</f>
        <v/>
      </c>
      <c r="B134" s="105" t="inlineStr">
        <is>
          <t>KARISSA MAE</t>
        </is>
      </c>
      <c r="C134" s="39" t="inlineStr">
        <is>
          <t>Cooling Sheets</t>
        </is>
      </c>
      <c r="D134" s="105" t="inlineStr">
        <is>
          <t>Untiered</t>
        </is>
      </c>
      <c r="E134" s="128" t="inlineStr">
        <is>
          <t>Alternative material</t>
        </is>
      </c>
      <c r="F134" s="105" t="inlineStr">
        <is>
          <t>Bamboo viscose</t>
        </is>
      </c>
      <c r="G134" s="39" t="inlineStr">
        <is>
          <t>Sheet set in Bamboo viscose (product page material: Organically Grown Bamboo Viscose); ours is Microfiber / polyester (different material from the Sleephoria cooling sheets: microfiber with some bamboo viscose). Shopper may cross-shop, but not like-for-like.</t>
        </is>
      </c>
      <c r="H134" s="107" t="inlineStr">
        <is>
          <t>B0GT172Y8L</t>
        </is>
      </c>
      <c r="I134" s="107" t="inlineStr">
        <is>
          <t>B0G1CSCQTB</t>
        </is>
      </c>
      <c r="J134" s="105" t="inlineStr">
        <is>
          <t>King - 2 Pillowcases</t>
        </is>
      </c>
      <c r="K134" s="105" t="inlineStr">
        <is>
          <t>10 - Mocha</t>
        </is>
      </c>
      <c r="L134" s="108" t="n">
        <v>138</v>
      </c>
      <c r="M134" s="39" t="inlineStr">
        <is>
          <t>B0F9X7MV5B (14%), B0G1CSCQTB (10%), B0F9X8BNQB (7%), B0F9X6KTQW (6%), B0GH24C6XY (6%)</t>
        </is>
      </c>
      <c r="N134" s="109" t="n">
        <v>119.99</v>
      </c>
      <c r="O134" s="109" t="n"/>
      <c r="P134" s="110">
        <f>IF(AND(ISNUMBER(O134),ISNUMBER(N134),N(N134)&gt;0),O134/N134-1,"")</f>
        <v/>
      </c>
      <c r="Q134" s="111">
        <f>IF(P134="","No List Price",IF(P134&lt;=0,"At/below price",IF(P134&lt;=0.12,"&lt;=12% STR zone",IF(P134&lt;=0.25,"12-25%","&gt;25% over"))))</f>
        <v/>
      </c>
      <c r="R134" s="109" t="n">
        <v>39.95</v>
      </c>
      <c r="S134" s="112">
        <f>IF(AND(ISNUMBER(N134),ISNUMBER(R134),N(R134)&gt;0),N134/R134-1,"")</f>
        <v/>
      </c>
      <c r="T134" s="39" t="inlineStr">
        <is>
          <t>Same size (King). Ours live: catalog price, 2026-10-13; 5 children</t>
        </is>
      </c>
      <c r="U134" s="108" t="n">
        <v>15914</v>
      </c>
      <c r="V134" s="108" t="n">
        <v>35</v>
      </c>
      <c r="W134" s="113">
        <f>IF(AND(ISNUMBER(N134),ISNUMBER(V134)),N134*V134*52/12,"")</f>
        <v/>
      </c>
      <c r="X134" s="114" t="n">
        <v>4.3</v>
      </c>
      <c r="Y134" s="108" t="n">
        <v>474</v>
      </c>
      <c r="Z134" s="115" t="n">
        <v>46307</v>
      </c>
      <c r="AA134" s="115" t="n"/>
      <c r="AB134" s="105" t="n"/>
      <c r="AC134" s="105" t="n"/>
      <c r="AD134" s="108" t="n">
        <v>243610</v>
      </c>
      <c r="AE134" s="108" t="n">
        <v>3715</v>
      </c>
      <c r="AF134" s="116" t="n">
        <v>0.1385290000410493</v>
      </c>
      <c r="AG134" s="116" t="n">
        <v>0.8614710525019491</v>
      </c>
      <c r="AH134" s="39" t="inlineStr">
        <is>
          <t>bamboo sheets</t>
        </is>
      </c>
      <c r="AI134" s="116" t="n">
        <v>0.9938303025327367</v>
      </c>
      <c r="AJ134" s="116" t="n">
        <v>0.0306883953860679</v>
      </c>
      <c r="AK134" s="116" t="n">
        <v>0.01590657197980378</v>
      </c>
      <c r="AL134" s="116" t="n"/>
      <c r="AM134" s="108" t="n">
        <v>360</v>
      </c>
      <c r="AN134" s="108" t="n">
        <v>92</v>
      </c>
      <c r="AO134" s="108" t="n">
        <v>223</v>
      </c>
      <c r="AP134" s="108" t="n">
        <v>3355</v>
      </c>
      <c r="AQ134" s="108" t="n">
        <v>1750</v>
      </c>
      <c r="AR134" s="108" t="n">
        <v>12</v>
      </c>
      <c r="AS134" s="117" t="n">
        <v>2.102564102564103</v>
      </c>
      <c r="AT134" s="112" t="n">
        <v>-0.8771186440677966</v>
      </c>
      <c r="AU134" s="118" t="inlineStr">
        <is>
          <t>N</t>
        </is>
      </c>
      <c r="AV134" s="118" t="inlineStr">
        <is>
          <t>none</t>
        </is>
      </c>
      <c r="AW134" s="124" t="n"/>
      <c r="AX134" s="119" t="n">
        <v>119.99</v>
      </c>
      <c r="AY134" s="118" t="inlineStr">
        <is>
          <t>none</t>
        </is>
      </c>
      <c r="AZ134" s="118" t="inlineStr">
        <is>
          <t>Y</t>
        </is>
      </c>
      <c r="BA134" s="118" t="inlineStr">
        <is>
          <t>2026-10-13 12:10:57</t>
        </is>
      </c>
      <c r="BB134" s="125" t="n"/>
      <c r="BC134" s="125" t="n"/>
      <c r="BD134" s="124" t="n"/>
      <c r="BE134" s="124" t="n"/>
      <c r="BF134" s="110">
        <f>IF(AND(ISNUMBER(BD134),ISNUMBER(BE134),N(BD134)&gt;0),1-BE134/BD134,"")</f>
        <v/>
      </c>
      <c r="BG134" s="126" t="n"/>
      <c r="BH134" s="126" t="n"/>
      <c r="BI134" s="123">
        <f>IF(AND(ISNUMBER(BG134),ISNUMBER(BH134),N(BH134)&gt;0),BG134/BH134,"")</f>
        <v/>
      </c>
      <c r="BJ134" s="125" t="n"/>
      <c r="BK134" s="120" t="inlineStr">
        <is>
          <t>No Buy Box history in price history for BFCM 2025</t>
        </is>
      </c>
    </row>
    <row r="135"/>
    <row r="136" ht="22" customHeight="1">
      <c r="A136" s="65" t="inlineStr">
        <is>
          <t>5 ▼</t>
        </is>
      </c>
      <c r="B136" s="66" t="inlineStr">
        <is>
          <t>WHAT THIS MEANS FOR BFCM</t>
        </is>
      </c>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c r="AC136" s="67" t="n"/>
      <c r="AD136" s="67" t="n"/>
      <c r="AE136" s="67" t="n"/>
      <c r="AF136" s="67" t="n"/>
      <c r="AG136" s="67" t="n"/>
      <c r="AH136" s="67" t="n"/>
      <c r="AI136" s="67" t="n"/>
      <c r="AJ136" s="67" t="n"/>
      <c r="AK136" s="67" t="n"/>
      <c r="AL136" s="67" t="n"/>
      <c r="AM136" s="67" t="n"/>
      <c r="AN136" s="67" t="n"/>
      <c r="AO136" s="67" t="n"/>
      <c r="AP136" s="67" t="n"/>
      <c r="AQ136" s="67" t="n"/>
      <c r="AR136" s="67" t="n"/>
      <c r="AS136" s="67" t="n"/>
      <c r="AT136" s="67" t="n"/>
      <c r="AU136" s="67" t="n"/>
      <c r="AV136" s="67" t="n"/>
      <c r="AW136" s="67" t="n"/>
      <c r="AX136" s="67" t="n"/>
      <c r="AY136" s="67" t="n"/>
      <c r="AZ136" s="67" t="n"/>
      <c r="BA136" s="67" t="n"/>
      <c r="BB136" s="67" t="n"/>
      <c r="BC136" s="67" t="n"/>
      <c r="BD136" s="67" t="n"/>
      <c r="BE136" s="67" t="n"/>
      <c r="BF136" s="67" t="n"/>
      <c r="BG136" s="67" t="n"/>
      <c r="BH136" s="67" t="n"/>
      <c r="BI136" s="67" t="n"/>
      <c r="BJ136" s="67" t="n"/>
      <c r="BK136" s="67" t="n"/>
    </row>
    <row r="137" ht="30" customHeight="1">
      <c r="A137" s="129" t="inlineStr">
        <is>
          <t>• Who sells most: Pure Bamboo ~809/wk at $109.99; Bedsure ~809/wk at $62.99 (List $69.99, +11%); Hotel Sheets Direct ~347/wk at $79.99; Bambaw ~104/wk at $89.99; Bedsure ~104/wk at $89.99 (List $119.99, +33%). Tracked rivals ~2,960 units/wk; we sell ~22/wk (0.7% of the tracked set).</t>
        </is>
      </c>
    </row>
    <row r="138" ht="18" customHeight="1">
      <c r="A138" s="129" t="inlineStr">
        <is>
          <t>• Strikethrough: 10 of 28 rivals set a List Price above price; 1 within 12%: Bedsure +11%.</t>
        </is>
      </c>
    </row>
    <row r="139" ht="18" customHeight="1">
      <c r="A139" s="129" t="inlineStr">
        <is>
          <t>• Price: 3 of 28 rivals sit below our price today (same size where the title states one). Cheapest strong rivals: Bedlifes $22.49, David's Home $24.99, Shilucheng $37.90.</t>
        </is>
      </c>
    </row>
    <row r="140" ht="30" customHeight="1">
      <c r="A140" s="129" t="inlineStr">
        <is>
          <t>• Strikethrough on the page today (Oct 13 check): 10 of 27 checked rivals show one: OMERAI List Price $59.99 vs $42.99 (+40%), BAMPURE List Price $99.99 vs $67.98 (+47%) with deal, Bedsure List Price $119.99 vs $89.99 (+33%), REST List Price $299.00 vs $224.25 (+33%), Breescape List Price $179.99 vs $149.99 (+20%), REST List Price $219.00 vs $164.25 (+33%).</t>
        </is>
      </c>
    </row>
    <row r="141" ht="30" customHeight="1">
      <c r="A141" s="129" t="inlineStr">
        <is>
          <t>• Search: we lose most shared keywords to Pure Bamboo (we win 8, lose 359), Bedsure (we win 10, lose 358), Bedsure (we win 22, lose 314). Biggest ad gaps (they advertise where we don't or harder): Pure Bamboo 3,779 + 8 KWs, Bedsure 3,453 + 9 KWs, Bedsure 2,447 + 21 KWs.</t>
        </is>
      </c>
    </row>
    <row r="142" ht="30" customHeight="1">
      <c r="A142" s="129" t="inlineStr">
        <is>
          <t>• Brand ads: Pure Bamboo (SB 82%, SBV 88%), Bedsure (SB 98%, SBV 53%), BC BELLA COTERIE (SB 57%, SBV 56%), REST (SB 86%, SBV 45%), Breescape (SB 64%, SBV 74%) hold Sponsored Brands / video on most of their traffic - the plan has our SB, SBV and display live by Nov 1.</t>
        </is>
      </c>
    </row>
    <row r="143" ht="18" customHeight="1">
      <c r="A143" s="129" t="inlineStr">
        <is>
          <t>• Our BFCM 2025: 1.63x daily sales in BFCM week vs the 30 days before; TACoS 6.8% vs 5.1% before; December 1.81x.</t>
        </is>
      </c>
    </row>
    <row r="144" ht="30" customHeight="1">
      <c r="A144" s="129" t="inlineStr">
        <is>
          <t>• BFCM 2025, 23 rivals with price history history: Prime Exclusive Discount 10, Price cut only 6, None 4, Coupon only 3. Median depth vs their Nov 1-19 price 18%; median BSR lift 1.17x. 5 raised their Buy Box in BFCM week, so their deal looked deeper than it was.</t>
        </is>
      </c>
    </row>
    <row r="145" ht="18" customHeight="1">
      <c r="A145" s="129" t="inlineStr">
        <is>
          <t>• 2 rivals not in the price history pulls yet (yellow BFCM 2025 columns) - remaining P2 batches,.</t>
        </is>
      </c>
    </row>
  </sheetData>
  <autoFilter ref="B106:BK134"/>
  <mergeCells count="66">
    <mergeCell ref="A142:BK142"/>
    <mergeCell ref="L5:Q5"/>
    <mergeCell ref="A89:C89"/>
    <mergeCell ref="A98:BK98"/>
    <mergeCell ref="A138:BK138"/>
    <mergeCell ref="Q11:T11"/>
    <mergeCell ref="L8:Q8"/>
    <mergeCell ref="BB105:BK105"/>
    <mergeCell ref="L4:Q4"/>
    <mergeCell ref="D7:I7"/>
    <mergeCell ref="A13:D13"/>
    <mergeCell ref="A86:C86"/>
    <mergeCell ref="I13:L13"/>
    <mergeCell ref="D4:I4"/>
    <mergeCell ref="L10:Q10"/>
    <mergeCell ref="E12:H12"/>
    <mergeCell ref="Q13:T13"/>
    <mergeCell ref="A99:BK99"/>
    <mergeCell ref="A137:BK137"/>
    <mergeCell ref="D9:I9"/>
    <mergeCell ref="U12:X12"/>
    <mergeCell ref="L9:Q9"/>
    <mergeCell ref="Q12:T12"/>
    <mergeCell ref="A91:C91"/>
    <mergeCell ref="A11:D11"/>
    <mergeCell ref="I11:L11"/>
    <mergeCell ref="D8:I8"/>
    <mergeCell ref="L6:Q6"/>
    <mergeCell ref="A4:B9"/>
    <mergeCell ref="A145:BK145"/>
    <mergeCell ref="A101:BK101"/>
    <mergeCell ref="T6:Y6"/>
    <mergeCell ref="A105:K105"/>
    <mergeCell ref="A139:BK139"/>
    <mergeCell ref="A95:BK95"/>
    <mergeCell ref="A93:C93"/>
    <mergeCell ref="D5:I5"/>
    <mergeCell ref="AD105:AT105"/>
    <mergeCell ref="M11:P11"/>
    <mergeCell ref="A92:C92"/>
    <mergeCell ref="N105:Z105"/>
    <mergeCell ref="U11:X11"/>
    <mergeCell ref="A141:BK141"/>
    <mergeCell ref="A144:BK144"/>
    <mergeCell ref="A97:BK97"/>
    <mergeCell ref="AU105:BA105"/>
    <mergeCell ref="E13:H13"/>
    <mergeCell ref="A100:BK100"/>
    <mergeCell ref="AA105:AC105"/>
    <mergeCell ref="A96:BK96"/>
    <mergeCell ref="D10:I10"/>
    <mergeCell ref="L7:Q7"/>
    <mergeCell ref="T5:Y5"/>
    <mergeCell ref="A140:BK140"/>
    <mergeCell ref="A94:C94"/>
    <mergeCell ref="A12:D12"/>
    <mergeCell ref="M13:P13"/>
    <mergeCell ref="I12:L12"/>
    <mergeCell ref="U13:X13"/>
    <mergeCell ref="A88:C88"/>
    <mergeCell ref="M12:P12"/>
    <mergeCell ref="T4:Y4"/>
    <mergeCell ref="D6:I6"/>
    <mergeCell ref="A87:C87"/>
    <mergeCell ref="E11:H11"/>
    <mergeCell ref="A143:BK143"/>
  </mergeCells>
  <conditionalFormatting sqref="Q107:Q134">
    <cfRule type="expression" priority="1" dxfId="1">
      <formula>Q107="&lt;=12% STR zone"</formula>
    </cfRule>
  </conditionalFormatting>
  <conditionalFormatting sqref="Z107:Z134">
    <cfRule type="expression" priority="2" dxfId="0">
      <formula>AND(ISNUMBER(Z107),Z107&lt;DATE(2026,10,6))</formula>
    </cfRule>
  </conditionalFormatting>
  <conditionalFormatting sqref="T107:T134">
    <cfRule type="expression" priority="3" dxfId="0">
      <formula>ISNUMBER(SEARCH("STALE",T107))</formula>
    </cfRule>
  </conditionalFormatting>
  <conditionalFormatting sqref="S107:S134">
    <cfRule type="expression" priority="4" dxfId="0">
      <formula>AND(ISNUMBER(S107),S107&lt;0)</formula>
    </cfRule>
  </conditionalFormatting>
  <dataValidations count="3">
    <dataValidation sqref="AU107:AU134 BJ107:BJ134" showDropDown="0" showInputMessage="0" showErrorMessage="0" allowBlank="1" type="list">
      <formula1>"Y,N"</formula1>
    </dataValidation>
    <dataValidation sqref="AV107:AV134" showDropDown="0" showInputMessage="0" showErrorMessage="0" allowBlank="1" type="list">
      <formula1>"List Price,Typical price,Was price,None"</formula1>
    </dataValidation>
    <dataValidation sqref="BB107:BB134"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Cooling 4pc'!A3" display="1 Our product ↓"/>
    <hyperlink ref="D2" location="'US DC Cooling 4pc'!A15" display="2 Our variations ↓"/>
    <hyperlink ref="E2" location="'US DC Cooling 4pc'!A85" display="3 Our BFCM 2025 ↓"/>
    <hyperlink ref="F2" location="'US DC Cooling 4pc'!A103" display="4 COMPETITORS (28 mapped) ↓"/>
    <hyperlink ref="G2" location="'US DC Cooling 4pc'!A136" display="5 What it means ↓"/>
    <hyperlink xmlns:r="http://schemas.openxmlformats.org/officeDocument/2006/relationships" ref="H107" r:id="rId1"/>
    <hyperlink xmlns:r="http://schemas.openxmlformats.org/officeDocument/2006/relationships" ref="I107" r:id="rId2"/>
    <hyperlink xmlns:r="http://schemas.openxmlformats.org/officeDocument/2006/relationships" ref="H108" r:id="rId3"/>
    <hyperlink xmlns:r="http://schemas.openxmlformats.org/officeDocument/2006/relationships" ref="I108" r:id="rId4"/>
    <hyperlink xmlns:r="http://schemas.openxmlformats.org/officeDocument/2006/relationships" ref="H109" r:id="rId5"/>
    <hyperlink xmlns:r="http://schemas.openxmlformats.org/officeDocument/2006/relationships" ref="I109" r:id="rId6"/>
    <hyperlink xmlns:r="http://schemas.openxmlformats.org/officeDocument/2006/relationships" ref="H110" r:id="rId7"/>
    <hyperlink xmlns:r="http://schemas.openxmlformats.org/officeDocument/2006/relationships" ref="I110" r:id="rId8"/>
    <hyperlink xmlns:r="http://schemas.openxmlformats.org/officeDocument/2006/relationships" ref="H111" r:id="rId9"/>
    <hyperlink xmlns:r="http://schemas.openxmlformats.org/officeDocument/2006/relationships" ref="I111" r:id="rId10"/>
    <hyperlink xmlns:r="http://schemas.openxmlformats.org/officeDocument/2006/relationships" ref="H112" r:id="rId11"/>
    <hyperlink xmlns:r="http://schemas.openxmlformats.org/officeDocument/2006/relationships" ref="I112" r:id="rId12"/>
    <hyperlink xmlns:r="http://schemas.openxmlformats.org/officeDocument/2006/relationships" ref="H113" r:id="rId13"/>
    <hyperlink xmlns:r="http://schemas.openxmlformats.org/officeDocument/2006/relationships" ref="I113" r:id="rId14"/>
    <hyperlink xmlns:r="http://schemas.openxmlformats.org/officeDocument/2006/relationships" ref="H114" r:id="rId15"/>
    <hyperlink xmlns:r="http://schemas.openxmlformats.org/officeDocument/2006/relationships" ref="I114" r:id="rId16"/>
    <hyperlink xmlns:r="http://schemas.openxmlformats.org/officeDocument/2006/relationships" ref="H115" r:id="rId17"/>
    <hyperlink xmlns:r="http://schemas.openxmlformats.org/officeDocument/2006/relationships" ref="I115" r:id="rId18"/>
    <hyperlink xmlns:r="http://schemas.openxmlformats.org/officeDocument/2006/relationships" ref="H116" r:id="rId19"/>
    <hyperlink xmlns:r="http://schemas.openxmlformats.org/officeDocument/2006/relationships" ref="I116" r:id="rId20"/>
    <hyperlink xmlns:r="http://schemas.openxmlformats.org/officeDocument/2006/relationships" ref="H117" r:id="rId21"/>
    <hyperlink xmlns:r="http://schemas.openxmlformats.org/officeDocument/2006/relationships" ref="I117" r:id="rId22"/>
    <hyperlink xmlns:r="http://schemas.openxmlformats.org/officeDocument/2006/relationships" ref="H118" r:id="rId23"/>
    <hyperlink xmlns:r="http://schemas.openxmlformats.org/officeDocument/2006/relationships" ref="I118" r:id="rId24"/>
    <hyperlink xmlns:r="http://schemas.openxmlformats.org/officeDocument/2006/relationships" ref="H119" r:id="rId25"/>
    <hyperlink xmlns:r="http://schemas.openxmlformats.org/officeDocument/2006/relationships" ref="I119" r:id="rId26"/>
    <hyperlink xmlns:r="http://schemas.openxmlformats.org/officeDocument/2006/relationships" ref="H120" r:id="rId27"/>
    <hyperlink xmlns:r="http://schemas.openxmlformats.org/officeDocument/2006/relationships" ref="I120" r:id="rId28"/>
    <hyperlink xmlns:r="http://schemas.openxmlformats.org/officeDocument/2006/relationships" ref="H121" r:id="rId29"/>
    <hyperlink xmlns:r="http://schemas.openxmlformats.org/officeDocument/2006/relationships" ref="I121" r:id="rId30"/>
    <hyperlink xmlns:r="http://schemas.openxmlformats.org/officeDocument/2006/relationships" ref="H122" r:id="rId31"/>
    <hyperlink xmlns:r="http://schemas.openxmlformats.org/officeDocument/2006/relationships" ref="I122" r:id="rId32"/>
    <hyperlink xmlns:r="http://schemas.openxmlformats.org/officeDocument/2006/relationships" ref="H123" r:id="rId33"/>
    <hyperlink xmlns:r="http://schemas.openxmlformats.org/officeDocument/2006/relationships" ref="I123" r:id="rId34"/>
    <hyperlink xmlns:r="http://schemas.openxmlformats.org/officeDocument/2006/relationships" ref="H124" r:id="rId35"/>
    <hyperlink xmlns:r="http://schemas.openxmlformats.org/officeDocument/2006/relationships" ref="I124" r:id="rId36"/>
    <hyperlink xmlns:r="http://schemas.openxmlformats.org/officeDocument/2006/relationships" ref="H125" r:id="rId37"/>
    <hyperlink xmlns:r="http://schemas.openxmlformats.org/officeDocument/2006/relationships" ref="I125" r:id="rId38"/>
    <hyperlink xmlns:r="http://schemas.openxmlformats.org/officeDocument/2006/relationships" ref="H126" r:id="rId39"/>
    <hyperlink xmlns:r="http://schemas.openxmlformats.org/officeDocument/2006/relationships" ref="I126" r:id="rId40"/>
    <hyperlink xmlns:r="http://schemas.openxmlformats.org/officeDocument/2006/relationships" ref="H127" r:id="rId41"/>
    <hyperlink xmlns:r="http://schemas.openxmlformats.org/officeDocument/2006/relationships" ref="I127" r:id="rId42"/>
    <hyperlink xmlns:r="http://schemas.openxmlformats.org/officeDocument/2006/relationships" ref="H128" r:id="rId43"/>
    <hyperlink xmlns:r="http://schemas.openxmlformats.org/officeDocument/2006/relationships" ref="I128" r:id="rId44"/>
    <hyperlink xmlns:r="http://schemas.openxmlformats.org/officeDocument/2006/relationships" ref="H129" r:id="rId45"/>
    <hyperlink xmlns:r="http://schemas.openxmlformats.org/officeDocument/2006/relationships" ref="I129" r:id="rId46"/>
    <hyperlink xmlns:r="http://schemas.openxmlformats.org/officeDocument/2006/relationships" ref="H130" r:id="rId47"/>
    <hyperlink xmlns:r="http://schemas.openxmlformats.org/officeDocument/2006/relationships" ref="I130" r:id="rId48"/>
    <hyperlink xmlns:r="http://schemas.openxmlformats.org/officeDocument/2006/relationships" ref="H131" r:id="rId49"/>
    <hyperlink xmlns:r="http://schemas.openxmlformats.org/officeDocument/2006/relationships" ref="I131" r:id="rId50"/>
    <hyperlink xmlns:r="http://schemas.openxmlformats.org/officeDocument/2006/relationships" ref="H132" r:id="rId51"/>
    <hyperlink xmlns:r="http://schemas.openxmlformats.org/officeDocument/2006/relationships" ref="I132" r:id="rId52"/>
    <hyperlink xmlns:r="http://schemas.openxmlformats.org/officeDocument/2006/relationships" ref="H133" r:id="rId53"/>
    <hyperlink xmlns:r="http://schemas.openxmlformats.org/officeDocument/2006/relationships" ref="I133" r:id="rId54"/>
    <hyperlink xmlns:r="http://schemas.openxmlformats.org/officeDocument/2006/relationships" ref="H134" r:id="rId55"/>
    <hyperlink xmlns:r="http://schemas.openxmlformats.org/officeDocument/2006/relationships" ref="I134" r:id="rId56"/>
  </hyperlinks>
  <pageMargins left="0.75" right="0.75" top="1" bottom="1" header="0.5" footer="0.5"/>
  <drawing xmlns:r="http://schemas.openxmlformats.org/officeDocument/2006/relationships" r:id="rId57"/>
  <legacyDrawing xmlns:r="http://schemas.openxmlformats.org/officeDocument/2006/relationships" r:id="anysvml"/>
</worksheet>
</file>

<file path=xl/worksheets/sheet21.xml><?xml version="1.0" encoding="utf-8"?>
<worksheet xmlns="http://schemas.openxmlformats.org/spreadsheetml/2006/main">
  <sheetPr>
    <tabColor rgb="009DC3E6"/>
    <outlinePr summaryBelow="1" summaryRight="1"/>
    <pageSetUpPr/>
  </sheetPr>
  <dimension ref="A1:BK149"/>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Cooling Sheets 4 Piece · Amazon.com (US) · Cooling · BFCM role: Off-season (aged variations only)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(36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_xlfn.IMAGE("https://m.media-amazon.com/images/I/71IsX4lcKOL._AC_SL1500_.jpg")</f>
        <v/>
      </c>
      <c r="C4" s="13" t="inlineStr">
        <is>
          <t>Title</t>
        </is>
      </c>
      <c r="D4" s="14" t="inlineStr">
        <is>
          <t>SLEEPHORIA Cooling Sheets - BreezeWeave 4 PC King Size Cooling Bed Sheets for Hot Sleepers &amp; Deep, Cool Rest - Cloud Soft, Silky Smooth, 16 in Deep Pocket, Ultra Durable (Light Grey)</t>
        </is>
      </c>
      <c r="K4" s="13" t="inlineStr">
        <is>
          <t>Sizes</t>
        </is>
      </c>
      <c r="L4" s="68" t="inlineStr">
        <is>
          <t>Cal King, Full, King, Queen, Twin</t>
        </is>
      </c>
      <c r="S4" s="13" t="inlineStr">
        <is>
          <t>Break-even ACoS</t>
        </is>
      </c>
      <c r="T4" s="68" t="inlineStr">
        <is>
          <t>31%</t>
        </is>
      </c>
    </row>
    <row r="5" ht="22" customHeight="1">
      <c r="C5" s="13" t="inlineStr">
        <is>
          <t>Brand</t>
        </is>
      </c>
      <c r="D5" s="68" t="inlineStr">
        <is>
          <t>Sleephoria</t>
        </is>
      </c>
      <c r="K5" s="13" t="inlineStr">
        <is>
          <t>Colours</t>
        </is>
      </c>
      <c r="L5" s="68" t="inlineStr">
        <is>
          <t>Beige, Cool Grey, Cream, Graphite, Light Blue, Light Grey, Light Pink, Midnight Black, Navy Blue, Regal Purple, Sage Green, White, Black</t>
        </is>
      </c>
      <c r="S5" s="13" t="inlineStr">
        <is>
          <t>Units last 28 days</t>
        </is>
      </c>
      <c r="T5" s="68" t="inlineStr">
        <is>
          <t>332</t>
        </is>
      </c>
    </row>
    <row r="6" ht="22" customHeight="1">
      <c r="C6" s="13" t="inlineStr">
        <is>
          <t>Marketplace</t>
        </is>
      </c>
      <c r="D6" s="68" t="inlineStr">
        <is>
          <t>Amazon.com (US)</t>
        </is>
      </c>
      <c r="K6" s="13" t="inlineStr">
        <is>
          <t>Price now, best child</t>
        </is>
      </c>
      <c r="L6" s="68" t="inlineStr">
        <is>
          <t>$84.99 (catalog price, 2026-10-13)</t>
        </is>
      </c>
      <c r="S6" s="13" t="inlineStr">
        <is>
          <t>market data product ASIN</t>
        </is>
      </c>
      <c r="T6" s="68" t="inlineStr">
        <is>
          <t>B0F7LXFGLX (one of our child ASINs, not the Amazon parent)</t>
        </is>
      </c>
    </row>
    <row r="7" ht="22" customHeight="1">
      <c r="C7" s="13" t="inlineStr">
        <is>
          <t>Parent ASIN (Amazon)</t>
        </is>
      </c>
      <c r="D7" s="68" t="inlineStr">
        <is>
          <t>B0H8PNVWP1</t>
        </is>
      </c>
      <c r="K7" s="13" t="inlineStr">
        <is>
          <t>Rating / reviews now</t>
        </is>
      </c>
      <c r="L7" s="68" t="inlineStr">
        <is>
          <t>4.4 / 894 (catalog price, 2026-10-13)</t>
        </is>
      </c>
    </row>
    <row r="8" ht="22" customHeight="1">
      <c r="C8" s="13" t="inlineStr">
        <is>
          <t>Best-selling child ASIN</t>
        </is>
      </c>
      <c r="D8" s="68" t="inlineStr">
        <is>
          <t>B0F7LZQNHM</t>
        </is>
      </c>
      <c r="K8" s="13" t="inlineStr">
        <is>
          <t>Live prices held</t>
        </is>
      </c>
      <c r="L8" s="68" t="inlineStr">
        <is>
          <t>40 of 61 variations</t>
        </is>
      </c>
    </row>
    <row r="9" ht="22" customHeight="1">
      <c r="C9" s="13" t="inlineStr">
        <is>
          <t>Stage</t>
        </is>
      </c>
      <c r="D9" s="68" t="inlineStr">
        <is>
          <t>Re-Launch</t>
        </is>
      </c>
      <c r="K9" s="13" t="inlineStr">
        <is>
          <t>Blended price (market data)</t>
        </is>
      </c>
      <c r="L9" s="68" t="inlineStr">
        <is>
          <t>$66.37 - fee feed as of 2026-03-30, STALE</t>
        </is>
      </c>
    </row>
    <row r="10">
      <c r="C10" s="13" t="inlineStr">
        <is>
          <t>Total variations (SKUs)</t>
        </is>
      </c>
      <c r="D10" s="68" t="n">
        <v>61</v>
      </c>
      <c r="K10" s="13" t="inlineStr">
        <is>
          <t>Contribution / unit</t>
        </is>
      </c>
      <c r="L10" s="68" t="inlineStr">
        <is>
          <t>$20.45</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1.16x</t>
        </is>
      </c>
      <c r="E12" s="70" t="inlineStr">
        <is>
          <t>1.6%</t>
        </is>
      </c>
      <c r="I12" s="70" t="inlineStr">
        <is>
          <t>0.76x</t>
        </is>
      </c>
      <c r="M12" s="70" t="inlineStr">
        <is>
          <t>36</t>
        </is>
      </c>
      <c r="Q12" s="70" t="inlineStr">
        <is>
          <t>21</t>
        </is>
      </c>
      <c r="U12" s="70" t="inlineStr">
        <is>
          <t>1</t>
        </is>
      </c>
    </row>
    <row r="13">
      <c r="A13" s="71" t="inlineStr">
        <is>
          <t>daily sales, BFCM wk vs 30 days before (account data actual)</t>
        </is>
      </c>
      <c r="E13" s="71" t="inlineStr">
        <is>
          <t>vs 4.4%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(61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_xlfn.IMAGE("https://m.media-amazon.com/images/I/71l9fLZQ5oL.jpg")</f>
        <v/>
      </c>
      <c r="B18" s="39" t="inlineStr">
        <is>
          <t>B0F7M19VYV</t>
        </is>
      </c>
      <c r="C18" s="39" t="inlineStr">
        <is>
          <t>SL-COOLING-SHEET-KING-GRAPHITE</t>
        </is>
      </c>
      <c r="D18" s="39" t="inlineStr">
        <is>
          <t>SLEEPHORIA Cooling Sheets - BreezeWeave 4 PC King Size Cooling Bed Sheets for Hot Sleepers &amp; Deep, Cool Rest - Cloud Soft, Silky Smooth, 16 in Deep Pocket, Ultra Durable (Graphite)</t>
        </is>
      </c>
      <c r="E18" s="39" t="inlineStr">
        <is>
          <t>King</t>
        </is>
      </c>
      <c r="F18" s="39" t="inlineStr">
        <is>
          <t>Graphite</t>
        </is>
      </c>
      <c r="G18" s="40" t="n"/>
      <c r="H18" s="39" t="n"/>
      <c r="I18" s="74" t="n">
        <v>76.98999999999999</v>
      </c>
      <c r="J18" s="75" t="inlineStr">
        <is>
          <t>2026-03-30</t>
        </is>
      </c>
      <c r="K18" s="40" t="n">
        <v>26.61</v>
      </c>
      <c r="L18" s="76" t="n">
        <v>0.3456293025068191</v>
      </c>
      <c r="M18" s="77" t="n">
        <v>32</v>
      </c>
      <c r="N18" s="39" t="inlineStr">
        <is>
          <t>Active</t>
        </is>
      </c>
      <c r="O18" s="39" t="inlineStr">
        <is>
          <t>Yes (12%)</t>
        </is>
      </c>
      <c r="P18" s="78" t="n"/>
      <c r="Q18" s="77" t="n"/>
      <c r="R18" s="77" t="n"/>
      <c r="S18" s="77" t="n"/>
      <c r="T18" s="39" t="n"/>
    </row>
    <row r="19" ht="62" customHeight="1">
      <c r="A19" s="12">
        <f>_xlfn.IMAGE("https://m.media-amazon.com/images/I/71zzp2L9awL.jpg")</f>
        <v/>
      </c>
      <c r="B19" s="39" t="inlineStr">
        <is>
          <t>B0F7LY3K8C</t>
        </is>
      </c>
      <c r="C19" s="39" t="inlineStr">
        <is>
          <t>SL-COOLING-SHEET-QUEEN-GRAPHITE</t>
        </is>
      </c>
      <c r="D19" s="39" t="inlineStr">
        <is>
          <t>SLEEPHORIA Cooling Sheets - BreezeWeave 4 PC Queen Size Cooling Bed Sheets for Hot Sleepers &amp; Deep, Cool Rest - Cloud Soft, Silky Smooth, 16 in Deep Pocket, Ultra Durable (Graphite)</t>
        </is>
      </c>
      <c r="E19" s="39" t="inlineStr">
        <is>
          <t>Queen</t>
        </is>
      </c>
      <c r="F19" s="39" t="inlineStr">
        <is>
          <t>Graphite</t>
        </is>
      </c>
      <c r="G19" s="73" t="n">
        <v>79.98999999999999</v>
      </c>
      <c r="H19" s="39" t="inlineStr">
        <is>
          <t>catalog price, 2026-10-13</t>
        </is>
      </c>
      <c r="I19" s="74" t="n">
        <v>64.98999999999999</v>
      </c>
      <c r="J19" s="75" t="inlineStr">
        <is>
          <t>2026-03-30</t>
        </is>
      </c>
      <c r="K19" s="40" t="n">
        <v>20.55</v>
      </c>
      <c r="L19" s="76" t="n">
        <v>0.3162024926911832</v>
      </c>
      <c r="M19" s="77" t="n">
        <v>22</v>
      </c>
      <c r="N19" s="39" t="inlineStr">
        <is>
          <t>Active</t>
        </is>
      </c>
      <c r="O19" s="39" t="inlineStr">
        <is>
          <t>Yes (60%)</t>
        </is>
      </c>
      <c r="P19" s="78" t="n">
        <v>4.4</v>
      </c>
      <c r="Q19" s="77" t="n">
        <v>894</v>
      </c>
      <c r="R19" s="77" t="n">
        <v>98965</v>
      </c>
      <c r="S19" s="77" t="n">
        <v>194</v>
      </c>
      <c r="T19" s="39" t="n"/>
    </row>
    <row r="20" ht="62" customHeight="1">
      <c r="A20" s="12">
        <f>_xlfn.IMAGE("https://m.media-amazon.com/images/I/71IsX4lcKOL.jpg")</f>
        <v/>
      </c>
      <c r="B20" s="39" t="inlineStr">
        <is>
          <t>B0F7LZQNHM</t>
        </is>
      </c>
      <c r="C20" s="39" t="inlineStr">
        <is>
          <t>SL-COOLING-SHEET-KING-LIGHT-GREY</t>
        </is>
      </c>
      <c r="D20" s="39" t="inlineStr">
        <is>
          <t>SLEEPHORIA Cooling Sheets - BreezeWeave 4 PC King Size Cooling Bed Sheets for Hot Sleepers &amp; Deep, Cool Rest - Cloud Soft, Silky Smooth, 16 in Deep Pocket, Ultra Durable (Light Grey)</t>
        </is>
      </c>
      <c r="E20" s="39" t="inlineStr">
        <is>
          <t>King</t>
        </is>
      </c>
      <c r="F20" s="39" t="inlineStr">
        <is>
          <t>Light Grey</t>
        </is>
      </c>
      <c r="G20" s="73" t="n">
        <v>84.98999999999999</v>
      </c>
      <c r="H20" s="39" t="inlineStr">
        <is>
          <t>catalog price, 2026-10-13</t>
        </is>
      </c>
      <c r="I20" s="74" t="n">
        <v>69.98999999999999</v>
      </c>
      <c r="J20" s="75" t="inlineStr">
        <is>
          <t>2026-03-30</t>
        </is>
      </c>
      <c r="K20" s="40" t="n">
        <v>20.66</v>
      </c>
      <c r="L20" s="76" t="n">
        <v>0.2951850264323475</v>
      </c>
      <c r="M20" s="77" t="n">
        <v>19</v>
      </c>
      <c r="N20" s="39" t="inlineStr">
        <is>
          <t>Active</t>
        </is>
      </c>
      <c r="O20" s="39" t="n"/>
      <c r="P20" s="78" t="n">
        <v>4.4</v>
      </c>
      <c r="Q20" s="77" t="n">
        <v>894</v>
      </c>
      <c r="R20" s="77" t="n">
        <v>98970</v>
      </c>
      <c r="S20" s="77" t="n">
        <v>2</v>
      </c>
      <c r="T20" s="39" t="n"/>
    </row>
    <row r="21" ht="62" customHeight="1">
      <c r="A21" s="12">
        <f>_xlfn.IMAGE("https://m.media-amazon.com/images/I/71rPErVk7tL.jpg")</f>
        <v/>
      </c>
      <c r="B21" s="39" t="inlineStr">
        <is>
          <t>B0F7LYCX4N</t>
        </is>
      </c>
      <c r="C21" s="39" t="inlineStr">
        <is>
          <t>SL-COOLING-SHEET-KING-LIGHT-BLUE</t>
        </is>
      </c>
      <c r="D21" s="39" t="inlineStr">
        <is>
          <t>SLEEPHORIA Cooling Sheets - BreezeWeave 4 PC King Size Cooling Bed Sheets for Hot Sleepers &amp; Deep, Cool Rest - Cloud Soft, Silky Smooth, 16 in Deep Pocket, Ultra Durable (Light Blue)</t>
        </is>
      </c>
      <c r="E21" s="39" t="inlineStr">
        <is>
          <t>King</t>
        </is>
      </c>
      <c r="F21" s="39" t="inlineStr">
        <is>
          <t>Light Blue</t>
        </is>
      </c>
      <c r="G21" s="73" t="n">
        <v>84.98999999999999</v>
      </c>
      <c r="H21" s="39" t="inlineStr">
        <is>
          <t>catalog price, 2026-10-13</t>
        </is>
      </c>
      <c r="I21" s="74" t="n">
        <v>69.98999999999999</v>
      </c>
      <c r="J21" s="75" t="inlineStr">
        <is>
          <t>2026-03-28</t>
        </is>
      </c>
      <c r="K21" s="40" t="n">
        <v>20.58</v>
      </c>
      <c r="L21" s="76" t="n">
        <v>0.2940420060008573</v>
      </c>
      <c r="M21" s="77" t="n">
        <v>18</v>
      </c>
      <c r="N21" s="39" t="inlineStr">
        <is>
          <t>Active</t>
        </is>
      </c>
      <c r="O21" s="39" t="n"/>
      <c r="P21" s="78" t="n">
        <v>4.4</v>
      </c>
      <c r="Q21" s="77" t="n">
        <v>894</v>
      </c>
      <c r="R21" s="77" t="n">
        <v>98970</v>
      </c>
      <c r="S21" s="77" t="n">
        <v>2</v>
      </c>
      <c r="T21" s="39" t="n"/>
    </row>
    <row r="22" ht="62" customHeight="1">
      <c r="A22" s="12">
        <f>_xlfn.IMAGE("https://m.media-amazon.com/images/I/71wucpiYBHL.jpg")</f>
        <v/>
      </c>
      <c r="B22" s="39" t="inlineStr">
        <is>
          <t>B0F7LXS4FK</t>
        </is>
      </c>
      <c r="C22" s="39" t="inlineStr">
        <is>
          <t>SL-COOLING-SHEET-KING-CREAM</t>
        </is>
      </c>
      <c r="D22" s="39" t="inlineStr">
        <is>
          <t>SLEEPHORIA Cooling Sheets - BreezeWeave 4 PC King Size Cooling Bed Sheets for Hot Sleepers &amp; Deep, Cool Rest - Cloud Soft, Silky Smooth, 16 in Deep Pocket, Ultra Durable (Cream)</t>
        </is>
      </c>
      <c r="E22" s="39" t="inlineStr">
        <is>
          <t>King</t>
        </is>
      </c>
      <c r="F22" s="39" t="inlineStr">
        <is>
          <t>Cream</t>
        </is>
      </c>
      <c r="G22" s="73" t="n">
        <v>84.98999999999999</v>
      </c>
      <c r="H22" s="39" t="inlineStr">
        <is>
          <t>catalog price, 2026-10-13</t>
        </is>
      </c>
      <c r="I22" s="74" t="n">
        <v>76.98999999999999</v>
      </c>
      <c r="J22" s="75" t="inlineStr">
        <is>
          <t>2026-03-30</t>
        </is>
      </c>
      <c r="K22" s="40" t="n">
        <v>26.61</v>
      </c>
      <c r="L22" s="76" t="n">
        <v>0.3456293025068191</v>
      </c>
      <c r="M22" s="77" t="n">
        <v>16</v>
      </c>
      <c r="N22" s="39" t="inlineStr">
        <is>
          <t>Active</t>
        </is>
      </c>
      <c r="O22" s="39" t="n"/>
      <c r="P22" s="78" t="n">
        <v>4.4</v>
      </c>
      <c r="Q22" s="77" t="n">
        <v>894</v>
      </c>
      <c r="R22" s="77" t="n">
        <v>98970</v>
      </c>
      <c r="S22" s="77" t="n">
        <v>2</v>
      </c>
      <c r="T22" s="39" t="n"/>
    </row>
    <row r="23" ht="62" customHeight="1">
      <c r="A23" s="12">
        <f>_xlfn.IMAGE("https://m.media-amazon.com/images/I/71zzp2L9awL.jpg")</f>
        <v/>
      </c>
      <c r="B23" s="39" t="inlineStr">
        <is>
          <t>B0F7LY8QWF</t>
        </is>
      </c>
      <c r="C23" s="39" t="inlineStr">
        <is>
          <t>SL-COOLING-SHEET-CAL-KING-GRAPHITE</t>
        </is>
      </c>
      <c r="D23" s="39" t="inlineStr">
        <is>
          <t>SLEEPHORIA Cooling Sheets - BreezeWeave 4 PC California King Size Cooling Bed Sheets for Hot Sleepers &amp; Deep, Cool Rest - Cloud Soft, Silky Smooth, 16 in Deep Pocket, Ultra Durable (Graphite)</t>
        </is>
      </c>
      <c r="E23" s="39" t="inlineStr">
        <is>
          <t>Cal King</t>
        </is>
      </c>
      <c r="F23" s="39" t="inlineStr">
        <is>
          <t>Graphite</t>
        </is>
      </c>
      <c r="G23" s="73" t="n">
        <v>84.98999999999999</v>
      </c>
      <c r="H23" s="39" t="inlineStr">
        <is>
          <t>catalog price, 2026-10-13</t>
        </is>
      </c>
      <c r="I23" s="74" t="n">
        <v>69.98999999999999</v>
      </c>
      <c r="J23" s="75" t="inlineStr">
        <is>
          <t>2026-03-30</t>
        </is>
      </c>
      <c r="K23" s="40" t="n">
        <v>19.49999999999999</v>
      </c>
      <c r="L23" s="76" t="n">
        <v>0.2786112301757393</v>
      </c>
      <c r="M23" s="77" t="n">
        <v>15</v>
      </c>
      <c r="N23" s="39" t="inlineStr">
        <is>
          <t>Active</t>
        </is>
      </c>
      <c r="O23" s="39" t="n"/>
      <c r="P23" s="78" t="n">
        <v>4.4</v>
      </c>
      <c r="Q23" s="77" t="n">
        <v>894</v>
      </c>
      <c r="R23" s="77" t="n">
        <v>98965</v>
      </c>
      <c r="S23" s="77" t="n">
        <v>2</v>
      </c>
      <c r="T23" s="39" t="n"/>
    </row>
    <row r="24" ht="62" customHeight="1">
      <c r="A24" s="12">
        <f>_xlfn.IMAGE("https://m.media-amazon.com/images/I/710gZCg6zoL.jpg")</f>
        <v/>
      </c>
      <c r="B24" s="39" t="inlineStr">
        <is>
          <t>B0F7LX5ZQN</t>
        </is>
      </c>
      <c r="C24" s="39" t="inlineStr">
        <is>
          <t>SL-COOLING-SHEET-KING-WHITE</t>
        </is>
      </c>
      <c r="D24" s="39" t="inlineStr">
        <is>
          <t>SLEEPHORIA Cooling Sheets - BreezeWeave 4 PC King Size Cooling Bed Sheets for Hot Sleepers &amp; Deep, Cool Rest - Cloud Soft, Silky Smooth, 16 in Deep Pocket, Ultra Durable (White)</t>
        </is>
      </c>
      <c r="E24" s="39" t="inlineStr">
        <is>
          <t>King</t>
        </is>
      </c>
      <c r="F24" s="39" t="inlineStr">
        <is>
          <t>White</t>
        </is>
      </c>
      <c r="G24" s="73" t="n">
        <v>84.98999999999999</v>
      </c>
      <c r="H24" s="39" t="inlineStr">
        <is>
          <t>catalog price, 2026-10-13</t>
        </is>
      </c>
      <c r="I24" s="74" t="n">
        <v>76.98999999999999</v>
      </c>
      <c r="J24" s="75" t="inlineStr">
        <is>
          <t>2026-03-30</t>
        </is>
      </c>
      <c r="K24" s="40" t="n">
        <v>26.53</v>
      </c>
      <c r="L24" s="76" t="n">
        <v>0.3445902065203273</v>
      </c>
      <c r="M24" s="77" t="n">
        <v>15</v>
      </c>
      <c r="N24" s="39" t="inlineStr">
        <is>
          <t>Active</t>
        </is>
      </c>
      <c r="O24" s="39" t="n"/>
      <c r="P24" s="78" t="n">
        <v>4.4</v>
      </c>
      <c r="Q24" s="77" t="n">
        <v>894</v>
      </c>
      <c r="R24" s="77" t="n">
        <v>98970</v>
      </c>
      <c r="S24" s="77" t="n">
        <v>2</v>
      </c>
      <c r="T24" s="39" t="n"/>
    </row>
    <row r="25" ht="62" customHeight="1">
      <c r="A25" s="12">
        <f>_xlfn.IMAGE("https://m.media-amazon.com/images/I/71Yi7AA7VHL.jpg")</f>
        <v/>
      </c>
      <c r="B25" s="39" t="inlineStr">
        <is>
          <t>B0F7LY14LM</t>
        </is>
      </c>
      <c r="C25" s="39" t="inlineStr">
        <is>
          <t>SL-COOLING-SHEET-QUEEN-MIDNIGHT-BLACK</t>
        </is>
      </c>
      <c r="D25" s="39" t="inlineStr">
        <is>
          <t>SLEEPHORIA Cooling Sheets - BreezeWeave 4 PC Queen Size Cooling Bed Sheets for Hot Sleepers &amp; Deep, Cool Rest - Cloud Soft, Silky Smooth, 16 in Deep Pocket, Ultra Durable (Midnight Black)</t>
        </is>
      </c>
      <c r="E25" s="39" t="inlineStr">
        <is>
          <t>Queen</t>
        </is>
      </c>
      <c r="F25" s="39" t="inlineStr">
        <is>
          <t>Midnight Black</t>
        </is>
      </c>
      <c r="G25" s="73" t="n">
        <v>79.98999999999999</v>
      </c>
      <c r="H25" s="39" t="inlineStr">
        <is>
          <t>catalog price, 2026-10-13</t>
        </is>
      </c>
      <c r="I25" s="74" t="n">
        <v>64.98999999999999</v>
      </c>
      <c r="J25" s="75" t="inlineStr">
        <is>
          <t>2026-03-30</t>
        </is>
      </c>
      <c r="K25" s="40" t="n">
        <v>20.55</v>
      </c>
      <c r="L25" s="76" t="n">
        <v>0.3162024926911832</v>
      </c>
      <c r="M25" s="77" t="n">
        <v>14</v>
      </c>
      <c r="N25" s="39" t="inlineStr">
        <is>
          <t>Active</t>
        </is>
      </c>
      <c r="O25" s="39" t="n"/>
      <c r="P25" s="78" t="n">
        <v>4.4</v>
      </c>
      <c r="Q25" s="77" t="n">
        <v>894</v>
      </c>
      <c r="R25" s="77" t="n">
        <v>98965</v>
      </c>
      <c r="S25" s="77" t="n">
        <v>4</v>
      </c>
      <c r="T25" s="39" t="n"/>
    </row>
    <row r="26" ht="62" customHeight="1">
      <c r="A26" s="12">
        <f>_xlfn.IMAGE("https://m.media-amazon.com/images/I/71WtuLuQ2wL.jpg")</f>
        <v/>
      </c>
      <c r="B26" s="39" t="inlineStr">
        <is>
          <t>B0F7LY4DSG</t>
        </is>
      </c>
      <c r="C26" s="39" t="inlineStr">
        <is>
          <t>SL-COOLING-SHEET-QUEEN-REGAL-PURPLE</t>
        </is>
      </c>
      <c r="D26" s="39" t="inlineStr">
        <is>
          <t>SLEEPHORIA Cooling Sheets - BreezeWeave 4 PC Queen Size Cooling Bed Sheets for Hot Sleepers &amp; Deep, Cool Rest - Cloud Soft, Silky Smooth, 16 in Deep Pocket, Ultra Durable (Regal Purple)</t>
        </is>
      </c>
      <c r="E26" s="39" t="inlineStr">
        <is>
          <t>Queen</t>
        </is>
      </c>
      <c r="F26" s="39" t="inlineStr">
        <is>
          <t>Regal Purple</t>
        </is>
      </c>
      <c r="G26" s="73" t="n">
        <v>79.98999999999999</v>
      </c>
      <c r="H26" s="39" t="inlineStr">
        <is>
          <t>catalog price, 2026-10-13</t>
        </is>
      </c>
      <c r="I26" s="74" t="n">
        <v>64.98999999999999</v>
      </c>
      <c r="J26" s="75" t="inlineStr">
        <is>
          <t>2026-03-30</t>
        </is>
      </c>
      <c r="K26" s="40" t="n">
        <v>20.55</v>
      </c>
      <c r="L26" s="76" t="n">
        <v>0.3162024926911832</v>
      </c>
      <c r="M26" s="77" t="n">
        <v>13</v>
      </c>
      <c r="N26" s="39" t="inlineStr">
        <is>
          <t>Active</t>
        </is>
      </c>
      <c r="O26" s="39" t="inlineStr">
        <is>
          <t>Yes (4%)</t>
        </is>
      </c>
      <c r="P26" s="78" t="n">
        <v>4.4</v>
      </c>
      <c r="Q26" s="77" t="n">
        <v>894</v>
      </c>
      <c r="R26" s="77" t="n">
        <v>98970</v>
      </c>
      <c r="S26" s="77" t="n">
        <v>4</v>
      </c>
      <c r="T26" s="39" t="n"/>
    </row>
    <row r="27" ht="62" customHeight="1">
      <c r="A27" s="12">
        <f>_xlfn.IMAGE("https://m.media-amazon.com/images/I/71zC97UTBkL.jpg")</f>
        <v/>
      </c>
      <c r="B27" s="39" t="inlineStr">
        <is>
          <t>B0F7LZFZCH</t>
        </is>
      </c>
      <c r="C27" s="39" t="inlineStr">
        <is>
          <t>SL-COOLING-SHEET-QUEEN-SAGE-GREEN</t>
        </is>
      </c>
      <c r="D27" s="39" t="inlineStr">
        <is>
          <t>SLEEPHORIA Cooling Sheets - BreezeWeave 4 PC Queen Size Cooling Bed Sheets for Hot Sleepers &amp; Deep, Cool Rest - Cloud Soft, Silky Smooth, 16 in Deep Pocket, Ultra Durable (Sage Green)</t>
        </is>
      </c>
      <c r="E27" s="39" t="inlineStr">
        <is>
          <t>Queen</t>
        </is>
      </c>
      <c r="F27" s="39" t="inlineStr">
        <is>
          <t>Sage Green</t>
        </is>
      </c>
      <c r="G27" s="73" t="n">
        <v>86.39</v>
      </c>
      <c r="H27" s="39" t="inlineStr">
        <is>
          <t>catalog price, 2026-10-13</t>
        </is>
      </c>
      <c r="I27" s="74" t="n">
        <v>64.98999999999999</v>
      </c>
      <c r="J27" s="75" t="inlineStr">
        <is>
          <t>2026-03-30</t>
        </is>
      </c>
      <c r="K27" s="40" t="n">
        <v>20.55</v>
      </c>
      <c r="L27" s="76" t="n">
        <v>0.3162024926911832</v>
      </c>
      <c r="M27" s="77" t="n">
        <v>13</v>
      </c>
      <c r="N27" s="39" t="inlineStr">
        <is>
          <t>Active</t>
        </is>
      </c>
      <c r="O27" s="39" t="n"/>
      <c r="P27" s="78" t="n">
        <v>4.4</v>
      </c>
      <c r="Q27" s="77" t="n">
        <v>894</v>
      </c>
      <c r="R27" s="77" t="n">
        <v>98970</v>
      </c>
      <c r="S27" s="77" t="n">
        <v>3</v>
      </c>
      <c r="T27" s="39" t="n"/>
    </row>
    <row r="28" ht="62" customHeight="1">
      <c r="A28" s="12">
        <f>_xlfn.IMAGE("https://m.media-amazon.com/images/I/71WtuLuQ2wL.jpg")</f>
        <v/>
      </c>
      <c r="B28" s="39" t="inlineStr">
        <is>
          <t>B0F7LX84MY</t>
        </is>
      </c>
      <c r="C28" s="39" t="inlineStr">
        <is>
          <t>SL-COOLING-SHEET-KING-REGAL-PURPLE</t>
        </is>
      </c>
      <c r="D28" s="39" t="inlineStr">
        <is>
          <t>SLEEPHORIA Cooling Sheets - BreezeWeave 4 PC King Size Cooling Bed Sheets for Hot Sleepers &amp; Deep, Cool Rest - Cloud Soft, Silky Smooth, 16 in Deep Pocket, Ultra Durable (Regal Purple)</t>
        </is>
      </c>
      <c r="E28" s="39" t="inlineStr">
        <is>
          <t>King</t>
        </is>
      </c>
      <c r="F28" s="39" t="inlineStr">
        <is>
          <t>Regal Purple</t>
        </is>
      </c>
      <c r="G28" s="73" t="n">
        <v>84.98999999999999</v>
      </c>
      <c r="H28" s="39" t="inlineStr">
        <is>
          <t>catalog price, 2026-10-13</t>
        </is>
      </c>
      <c r="I28" s="74" t="n">
        <v>69.98999999999999</v>
      </c>
      <c r="J28" s="75" t="inlineStr">
        <is>
          <t>2026-03-30</t>
        </is>
      </c>
      <c r="K28" s="40" t="n">
        <v>20.58</v>
      </c>
      <c r="L28" s="76" t="n">
        <v>0.2940420060008573</v>
      </c>
      <c r="M28" s="77" t="n">
        <v>11</v>
      </c>
      <c r="N28" s="39" t="inlineStr">
        <is>
          <t>Active</t>
        </is>
      </c>
      <c r="O28" s="39" t="n"/>
      <c r="P28" s="78" t="n">
        <v>4.4</v>
      </c>
      <c r="Q28" s="77" t="n">
        <v>894</v>
      </c>
      <c r="R28" s="77" t="n">
        <v>98970</v>
      </c>
      <c r="S28" s="77" t="n">
        <v>2</v>
      </c>
      <c r="T28" s="39" t="n"/>
    </row>
    <row r="29" ht="62" customHeight="1">
      <c r="A29" s="12">
        <f>_xlfn.IMAGE("https://m.media-amazon.com/images/I/71IsX4lcKOL.jpg")</f>
        <v/>
      </c>
      <c r="B29" s="39" t="inlineStr">
        <is>
          <t>B0F7LYTDD7</t>
        </is>
      </c>
      <c r="C29" s="39" t="inlineStr">
        <is>
          <t>SL-COOLING-SHEET-QUEEN-LIGHT-GREY</t>
        </is>
      </c>
      <c r="D29" s="39" t="inlineStr">
        <is>
          <t>SLEEPHORIA Cooling Sheets - BreezeWeave 4 PC Queen Size Cooling Bed Sheets for Hot Sleepers &amp; Deep, Cool Rest - Cloud Soft, Silky Smooth, 16 in Deep Pocket, Ultra Durable (Light Grey)</t>
        </is>
      </c>
      <c r="E29" s="39" t="inlineStr">
        <is>
          <t>Queen</t>
        </is>
      </c>
      <c r="F29" s="39" t="inlineStr">
        <is>
          <t>Light Grey</t>
        </is>
      </c>
      <c r="G29" s="73" t="n">
        <v>79.98999999999999</v>
      </c>
      <c r="H29" s="39" t="inlineStr">
        <is>
          <t>catalog price, 2026-10-13</t>
        </is>
      </c>
      <c r="I29" s="74" t="n">
        <v>64.98999999999999</v>
      </c>
      <c r="J29" s="75" t="inlineStr">
        <is>
          <t>2026-03-28</t>
        </is>
      </c>
      <c r="K29" s="40" t="n">
        <v>20.55</v>
      </c>
      <c r="L29" s="76" t="n">
        <v>0.3162024926911832</v>
      </c>
      <c r="M29" s="77" t="n">
        <v>10</v>
      </c>
      <c r="N29" s="39" t="inlineStr">
        <is>
          <t>Active</t>
        </is>
      </c>
      <c r="O29" s="39" t="n"/>
      <c r="P29" s="78" t="n">
        <v>4.4</v>
      </c>
      <c r="Q29" s="77" t="n">
        <v>894</v>
      </c>
      <c r="R29" s="77" t="n">
        <v>98970</v>
      </c>
      <c r="S29" s="77" t="n">
        <v>4</v>
      </c>
      <c r="T29" s="39" t="n"/>
    </row>
    <row r="30" ht="62" customHeight="1">
      <c r="A30" s="12">
        <f>_xlfn.IMAGE("https://m.media-amazon.com/images/I/71l9fLZQ5oL.jpg")</f>
        <v/>
      </c>
      <c r="B30" s="39" t="inlineStr">
        <is>
          <t>B0F7LZ27F2</t>
        </is>
      </c>
      <c r="C30" s="39" t="inlineStr">
        <is>
          <t>SL-COOLING-SHEET-TWIN-GRAPHITE</t>
        </is>
      </c>
      <c r="D30" s="39" t="inlineStr">
        <is>
          <t>SLEEPHORIA Cooling Sheets - BreezeWeave 3 PC Twin Size Cooling Bed Sheets for Hot Sleepers &amp; Deep, Cool Rest - Cloud Soft, Silky Smooth, 16 in Deep Pocket, Ultra Durable (Graphite)</t>
        </is>
      </c>
      <c r="E30" s="39" t="inlineStr">
        <is>
          <t>Twin</t>
        </is>
      </c>
      <c r="F30" s="39" t="inlineStr">
        <is>
          <t>Graphite</t>
        </is>
      </c>
      <c r="G30" s="73" t="n">
        <v>59.99</v>
      </c>
      <c r="H30" s="39" t="inlineStr">
        <is>
          <t>catalog price, 2026-10-13</t>
        </is>
      </c>
      <c r="I30" s="74" t="n">
        <v>49.99</v>
      </c>
      <c r="J30" s="75" t="inlineStr">
        <is>
          <t>2026-03-30</t>
        </is>
      </c>
      <c r="K30" s="40" t="n">
        <v>13.45</v>
      </c>
      <c r="L30" s="76" t="n">
        <v>0.2690538107621524</v>
      </c>
      <c r="M30" s="77" t="n">
        <v>10</v>
      </c>
      <c r="N30" s="39" t="inlineStr">
        <is>
          <t>Active</t>
        </is>
      </c>
      <c r="O30" s="39" t="n"/>
      <c r="P30" s="78" t="n">
        <v>4.4</v>
      </c>
      <c r="Q30" s="77" t="n">
        <v>894</v>
      </c>
      <c r="R30" s="77" t="n">
        <v>98970</v>
      </c>
      <c r="S30" s="77" t="n">
        <v>9</v>
      </c>
      <c r="T30" s="39" t="n"/>
    </row>
    <row r="31" ht="62" customHeight="1">
      <c r="A31" s="12">
        <f>_xlfn.IMAGE("https://m.media-amazon.com/images/I/71rPErVk7tL.jpg")</f>
        <v/>
      </c>
      <c r="B31" s="39" t="inlineStr">
        <is>
          <t>B0F7LZR5DF</t>
        </is>
      </c>
      <c r="C31" s="39" t="inlineStr">
        <is>
          <t>SL-COOLING-SHEET-QUEEN-LIGHT-BLUE</t>
        </is>
      </c>
      <c r="D31" s="39" t="inlineStr">
        <is>
          <t>SLEEPHORIA Cooling Sheets - BreezeWeave 4 PC Queen Size Cooling Bed Sheets for Hot Sleepers &amp; Deep, Cool Rest - Cloud Soft, Silky Smooth, 16 in Deep Pocket, Ultra Durable (Light Blue)</t>
        </is>
      </c>
      <c r="E31" s="39" t="inlineStr">
        <is>
          <t>Queen</t>
        </is>
      </c>
      <c r="F31" s="39" t="inlineStr">
        <is>
          <t>Light Blue</t>
        </is>
      </c>
      <c r="G31" s="73" t="n">
        <v>79.98999999999999</v>
      </c>
      <c r="H31" s="39" t="inlineStr">
        <is>
          <t>catalog price, 2026-10-13</t>
        </is>
      </c>
      <c r="I31" s="74" t="n">
        <v>64.98999999999999</v>
      </c>
      <c r="J31" s="75" t="inlineStr">
        <is>
          <t>2026-03-30</t>
        </is>
      </c>
      <c r="K31" s="40" t="n">
        <v>20.31999999999999</v>
      </c>
      <c r="L31" s="76" t="n">
        <v>0.31266348669026</v>
      </c>
      <c r="M31" s="77" t="n">
        <v>8</v>
      </c>
      <c r="N31" s="39" t="inlineStr">
        <is>
          <t>Active</t>
        </is>
      </c>
      <c r="O31" s="39" t="n"/>
      <c r="P31" s="78" t="n">
        <v>4.4</v>
      </c>
      <c r="Q31" s="77" t="n">
        <v>894</v>
      </c>
      <c r="R31" s="77" t="n">
        <v>98965</v>
      </c>
      <c r="S31" s="77" t="n">
        <v>3</v>
      </c>
      <c r="T31" s="39" t="n"/>
    </row>
    <row r="32" ht="62" customHeight="1">
      <c r="A32" s="12">
        <f>_xlfn.IMAGE("https://m.media-amazon.com/images/I/71oSNn2drKL.jpg")</f>
        <v/>
      </c>
      <c r="B32" s="39" t="inlineStr">
        <is>
          <t>B0F7LYNN5W</t>
        </is>
      </c>
      <c r="C32" s="39" t="inlineStr">
        <is>
          <t>SL-COOLING-SHEET-QUEEN-NAVY-BLUE</t>
        </is>
      </c>
      <c r="D32" s="39" t="inlineStr">
        <is>
          <t>SLEEPHORIA Cooling Sheets - BreezeWeave 4 PC Queen Size Cooling Bed Sheets for Hot Sleepers &amp; Deep, Cool Rest - Cloud Soft, Silky Smooth, 16 in Deep Pocket, Ultra Durable (Navy Blue)</t>
        </is>
      </c>
      <c r="E32" s="39" t="inlineStr">
        <is>
          <t>Queen</t>
        </is>
      </c>
      <c r="F32" s="39" t="inlineStr">
        <is>
          <t>Navy Blue</t>
        </is>
      </c>
      <c r="G32" s="73" t="n">
        <v>79.98999999999999</v>
      </c>
      <c r="H32" s="39" t="inlineStr">
        <is>
          <t>catalog price, 2026-10-13</t>
        </is>
      </c>
      <c r="I32" s="74" t="n">
        <v>64.98999999999999</v>
      </c>
      <c r="J32" s="75" t="inlineStr">
        <is>
          <t>2026-03-30</t>
        </is>
      </c>
      <c r="K32" s="40" t="n">
        <v>20.46999999999999</v>
      </c>
      <c r="L32" s="76" t="n">
        <v>0.3149715340821664</v>
      </c>
      <c r="M32" s="77" t="n">
        <v>8</v>
      </c>
      <c r="N32" s="39" t="inlineStr">
        <is>
          <t>Active</t>
        </is>
      </c>
      <c r="O32" s="39" t="n"/>
      <c r="P32" s="78" t="n">
        <v>4.4</v>
      </c>
      <c r="Q32" s="77" t="n">
        <v>894</v>
      </c>
      <c r="R32" s="77" t="n">
        <v>98970</v>
      </c>
      <c r="S32" s="77" t="n">
        <v>4</v>
      </c>
      <c r="T32" s="39" t="n"/>
    </row>
    <row r="33" ht="62" customHeight="1">
      <c r="A33" s="12">
        <f>_xlfn.IMAGE("https://m.media-amazon.com/images/I/71BbWLCECZL.jpg")</f>
        <v/>
      </c>
      <c r="B33" s="39" t="inlineStr">
        <is>
          <t>B0F7LYVZMY</t>
        </is>
      </c>
      <c r="C33" s="39" t="inlineStr">
        <is>
          <t>SL-COOLING-SHEET-TWIN-NAVY-BLUE</t>
        </is>
      </c>
      <c r="D33" s="39" t="inlineStr">
        <is>
          <t>SLEEPHORIA Cooling Sheets - BreezeWeave 3 PC Twin Size Cooling Bed Sheets for Hot Sleepers &amp; Deep, Cool Rest - Cloud Soft, Silky Smooth, 16 in Deep Pocket, Ultra Durable (Navy Blue)</t>
        </is>
      </c>
      <c r="E33" s="39" t="inlineStr">
        <is>
          <t>Twin</t>
        </is>
      </c>
      <c r="F33" s="39" t="inlineStr">
        <is>
          <t>Navy Blue</t>
        </is>
      </c>
      <c r="G33" s="73" t="n">
        <v>59.99</v>
      </c>
      <c r="H33" s="39" t="inlineStr">
        <is>
          <t>catalog price, 2026-10-13</t>
        </is>
      </c>
      <c r="I33" s="74" t="n">
        <v>49.99</v>
      </c>
      <c r="J33" s="75" t="inlineStr">
        <is>
          <t>2026-03-30</t>
        </is>
      </c>
      <c r="K33" s="40" t="n">
        <v>13.45</v>
      </c>
      <c r="L33" s="76" t="n">
        <v>0.2690538107621524</v>
      </c>
      <c r="M33" s="77" t="n">
        <v>8</v>
      </c>
      <c r="N33" s="39" t="inlineStr">
        <is>
          <t>Active</t>
        </is>
      </c>
      <c r="O33" s="39" t="n"/>
      <c r="P33" s="78" t="n">
        <v>4.4</v>
      </c>
      <c r="Q33" s="77" t="n">
        <v>894</v>
      </c>
      <c r="R33" s="77" t="n">
        <v>98970</v>
      </c>
      <c r="S33" s="77" t="n">
        <v>9</v>
      </c>
      <c r="T33" s="39" t="n"/>
    </row>
    <row r="34" ht="62" customHeight="1">
      <c r="A34" s="12">
        <f>_xlfn.IMAGE("https://m.media-amazon.com/images/I/713ouXr9eCL.jpg")</f>
        <v/>
      </c>
      <c r="B34" s="39" t="inlineStr">
        <is>
          <t>B0F7LX6W9T</t>
        </is>
      </c>
      <c r="C34" s="39" t="inlineStr">
        <is>
          <t>SL-COOLING-SHEET-QUEEN-BEIGE</t>
        </is>
      </c>
      <c r="D34" s="39" t="inlineStr">
        <is>
          <t>SLEEPHORIA Cooling Sheets - BreezeWeave 4 PC Queen Size Cooling Bed Sheets for Hot Sleepers &amp; Deep, Cool Rest - Cloud Soft, Silky Smooth, 16 in Deep Pocket, Ultra Durable (Beige)</t>
        </is>
      </c>
      <c r="E34" s="39" t="inlineStr">
        <is>
          <t>Queen</t>
        </is>
      </c>
      <c r="F34" s="39" t="inlineStr">
        <is>
          <t>Beige</t>
        </is>
      </c>
      <c r="G34" s="73" t="n">
        <v>79.98999999999999</v>
      </c>
      <c r="H34" s="39" t="inlineStr">
        <is>
          <t>catalog price, 2026-10-13</t>
        </is>
      </c>
      <c r="I34" s="74" t="n">
        <v>64.98999999999999</v>
      </c>
      <c r="J34" s="75" t="inlineStr">
        <is>
          <t>2026-03-30</t>
        </is>
      </c>
      <c r="K34" s="40" t="n">
        <v>20.63</v>
      </c>
      <c r="L34" s="76" t="n">
        <v>0.3174334513002</v>
      </c>
      <c r="M34" s="77" t="n">
        <v>7</v>
      </c>
      <c r="N34" s="39" t="inlineStr">
        <is>
          <t>Active</t>
        </is>
      </c>
      <c r="O34" s="39" t="n"/>
      <c r="P34" s="78" t="n">
        <v>4.4</v>
      </c>
      <c r="Q34" s="77" t="n">
        <v>894</v>
      </c>
      <c r="R34" s="77" t="n">
        <v>98970</v>
      </c>
      <c r="S34" s="77" t="n">
        <v>3</v>
      </c>
      <c r="T34" s="39" t="n"/>
    </row>
    <row r="35" ht="62" customHeight="1">
      <c r="A35" s="12">
        <f>_xlfn.IMAGE("https://m.media-amazon.com/images/I/71wucpiYBHL.jpg")</f>
        <v/>
      </c>
      <c r="B35" s="39" t="inlineStr">
        <is>
          <t>B0F7LWK826</t>
        </is>
      </c>
      <c r="C35" s="39" t="inlineStr">
        <is>
          <t>SL-COOLING-SHEET-QUEEN-CREAM</t>
        </is>
      </c>
      <c r="D35" s="39" t="inlineStr">
        <is>
          <t>SLEEPHORIA Cooling Sheets - BreezeWeave 4 PC Queen Size Cooling Bed Sheets for Hot Sleepers &amp; Deep, Cool Rest - Cloud Soft, Silky Smooth, 16 in Deep Pocket, Ultra Durable (Cream)</t>
        </is>
      </c>
      <c r="E35" s="39" t="inlineStr">
        <is>
          <t>Queen</t>
        </is>
      </c>
      <c r="F35" s="39" t="inlineStr">
        <is>
          <t>Cream</t>
        </is>
      </c>
      <c r="G35" s="73" t="n">
        <v>79.98999999999999</v>
      </c>
      <c r="H35" s="39" t="inlineStr">
        <is>
          <t>catalog price, 2026-10-13</t>
        </is>
      </c>
      <c r="I35" s="74" t="n">
        <v>64.98999999999999</v>
      </c>
      <c r="J35" s="75" t="inlineStr">
        <is>
          <t>2026-03-30</t>
        </is>
      </c>
      <c r="K35" s="40" t="n">
        <v>20.55</v>
      </c>
      <c r="L35" s="76" t="n">
        <v>0.3162024926911832</v>
      </c>
      <c r="M35" s="77" t="n">
        <v>7</v>
      </c>
      <c r="N35" s="39" t="inlineStr">
        <is>
          <t>Active</t>
        </is>
      </c>
      <c r="O35" s="39" t="n"/>
      <c r="P35" s="78" t="n">
        <v>4.4</v>
      </c>
      <c r="Q35" s="77" t="n">
        <v>894</v>
      </c>
      <c r="R35" s="77" t="n">
        <v>98965</v>
      </c>
      <c r="S35" s="77" t="n">
        <v>4</v>
      </c>
      <c r="T35" s="39" t="n"/>
    </row>
    <row r="36" ht="62" customHeight="1">
      <c r="A36" s="12">
        <f>_xlfn.IMAGE("https://m.media-amazon.com/images/I/71zzp2L9awL.jpg")</f>
        <v/>
      </c>
      <c r="B36" s="39" t="inlineStr">
        <is>
          <t>B0F7LY3ZWB</t>
        </is>
      </c>
      <c r="C36" s="39" t="inlineStr">
        <is>
          <t>SL-COOLING-SHEET-FULL-GRAPHITE</t>
        </is>
      </c>
      <c r="D36" s="39" t="inlineStr">
        <is>
          <t>SLEEPHORIA Cooling Sheets - BreezeWeave 4 PC Full Size Cooling Bed Sheets for Hot Sleepers &amp; Deep, Cool Rest - Cloud Soft, Silky Smooth, 16 in Deep Pocket, Ultra Durable (Graphite)</t>
        </is>
      </c>
      <c r="E36" s="39" t="inlineStr">
        <is>
          <t>Full</t>
        </is>
      </c>
      <c r="F36" s="39" t="inlineStr">
        <is>
          <t>Graphite</t>
        </is>
      </c>
      <c r="G36" s="73" t="n">
        <v>64.98999999999999</v>
      </c>
      <c r="H36" s="39" t="inlineStr">
        <is>
          <t>catalog price, 2026-10-13</t>
        </is>
      </c>
      <c r="I36" s="74" t="n">
        <v>54.99</v>
      </c>
      <c r="J36" s="75" t="inlineStr">
        <is>
          <t>2026-03-30</t>
        </is>
      </c>
      <c r="K36" s="40" t="n">
        <v>13.3</v>
      </c>
      <c r="L36" s="76" t="n">
        <v>0.2418621567557738</v>
      </c>
      <c r="M36" s="77" t="n">
        <v>6</v>
      </c>
      <c r="N36" s="39" t="inlineStr">
        <is>
          <t>Active</t>
        </is>
      </c>
      <c r="O36" s="39" t="n"/>
      <c r="P36" s="78" t="n">
        <v>4.4</v>
      </c>
      <c r="Q36" s="77" t="n">
        <v>894</v>
      </c>
      <c r="R36" s="77" t="n">
        <v>98970</v>
      </c>
      <c r="S36" s="77" t="n">
        <v>7</v>
      </c>
      <c r="T36" s="39" t="n"/>
    </row>
    <row r="37" ht="62" customHeight="1">
      <c r="A37" s="12">
        <f>_xlfn.IMAGE("https://m.media-amazon.com/images/I/71rPErVk7tL.jpg")</f>
        <v/>
      </c>
      <c r="B37" s="39" t="inlineStr">
        <is>
          <t>B0F7LYF4RK</t>
        </is>
      </c>
      <c r="C37" s="39" t="inlineStr">
        <is>
          <t>SL-COOLING-SHEET-FULL-LIGHT-BLUE</t>
        </is>
      </c>
      <c r="D37" s="39" t="inlineStr">
        <is>
          <t>SLEEPHORIA Cooling Sheets - BreezeWeave 4 PC Full Size Cooling Bed Sheets for Hot Sleepers &amp; Deep, Cool Rest - Cloud Soft, Silky Smooth, 16 in Deep Pocket, Ultra Durable (Light Blue)</t>
        </is>
      </c>
      <c r="E37" s="39" t="inlineStr">
        <is>
          <t>Full</t>
        </is>
      </c>
      <c r="F37" s="39" t="inlineStr">
        <is>
          <t>Light Blue</t>
        </is>
      </c>
      <c r="G37" s="73" t="n">
        <v>64.98999999999999</v>
      </c>
      <c r="H37" s="39" t="inlineStr">
        <is>
          <t>catalog price, 2026-10-13</t>
        </is>
      </c>
      <c r="I37" s="74" t="n">
        <v>59.99</v>
      </c>
      <c r="J37" s="75" t="inlineStr">
        <is>
          <t>2026-03-30</t>
        </is>
      </c>
      <c r="K37" s="40" t="n">
        <v>17.47</v>
      </c>
      <c r="L37" s="76" t="n">
        <v>0.2912152025337557</v>
      </c>
      <c r="M37" s="77" t="n">
        <v>6</v>
      </c>
      <c r="N37" s="39" t="inlineStr">
        <is>
          <t>Active</t>
        </is>
      </c>
      <c r="O37" s="39" t="n"/>
      <c r="P37" s="78" t="n">
        <v>4.4</v>
      </c>
      <c r="Q37" s="77" t="n">
        <v>894</v>
      </c>
      <c r="R37" s="77" t="n">
        <v>98970</v>
      </c>
      <c r="S37" s="77" t="n">
        <v>7</v>
      </c>
      <c r="T37" s="39" t="n"/>
    </row>
    <row r="38" ht="62" customHeight="1">
      <c r="A38" s="12">
        <f>_xlfn.IMAGE("https://m.media-amazon.com/images/I/71cZAUJYwDL.jpg")</f>
        <v/>
      </c>
      <c r="B38" s="39" t="inlineStr">
        <is>
          <t>B0F7LX64VV</t>
        </is>
      </c>
      <c r="C38" s="39" t="inlineStr">
        <is>
          <t>SL-COOLING-SHEET-QUEEN-LIGHT-PINK</t>
        </is>
      </c>
      <c r="D38" s="39" t="inlineStr">
        <is>
          <t>SLEEPHORIA Cooling Sheets - BreezeWeave 4 PC Queen Size Cooling Bed Sheets for Hot Sleepers &amp; Deep, Cool Rest - Cloud Soft, Silky Smooth, 16 in Deep Pocket, Ultra Durable (Light Pink)</t>
        </is>
      </c>
      <c r="E38" s="39" t="inlineStr">
        <is>
          <t>Queen</t>
        </is>
      </c>
      <c r="F38" s="39" t="inlineStr">
        <is>
          <t>Light Pink</t>
        </is>
      </c>
      <c r="G38" s="73" t="n">
        <v>79.98999999999999</v>
      </c>
      <c r="H38" s="39" t="inlineStr">
        <is>
          <t>catalog price, 2026-10-13</t>
        </is>
      </c>
      <c r="I38" s="74" t="n">
        <v>64.98999999999999</v>
      </c>
      <c r="J38" s="75" t="inlineStr">
        <is>
          <t>2026-03-30</t>
        </is>
      </c>
      <c r="K38" s="40" t="n">
        <v>20.63</v>
      </c>
      <c r="L38" s="76" t="n">
        <v>0.3174334513002</v>
      </c>
      <c r="M38" s="77" t="n">
        <v>6</v>
      </c>
      <c r="N38" s="39" t="inlineStr">
        <is>
          <t>Active</t>
        </is>
      </c>
      <c r="O38" s="39" t="n"/>
      <c r="P38" s="78" t="n">
        <v>4.4</v>
      </c>
      <c r="Q38" s="77" t="n">
        <v>894</v>
      </c>
      <c r="R38" s="77" t="n">
        <v>98970</v>
      </c>
      <c r="S38" s="77" t="n">
        <v>4</v>
      </c>
      <c r="T38" s="39" t="n"/>
    </row>
    <row r="39" ht="62" customHeight="1">
      <c r="A39" s="12">
        <f>_xlfn.IMAGE("https://m.media-amazon.com/images/I/71E9a6e52xL.jpg")</f>
        <v/>
      </c>
      <c r="B39" s="39" t="inlineStr">
        <is>
          <t>B0F7LXWBL8</t>
        </is>
      </c>
      <c r="C39" s="39" t="inlineStr">
        <is>
          <t>SL-COOLING-SHEET-TWIN-COOL-GREY</t>
        </is>
      </c>
      <c r="D39" s="39" t="inlineStr">
        <is>
          <t>SLEEPHORIA Cooling Sheets - BreezeWeave 3 PC Twin Size Cooling Bed Sheets for Hot Sleepers &amp; Deep, Cool Rest - Cloud Soft, Silky Smooth, 16 in Deep Pocket, Ultra Durable (Cool Grey)</t>
        </is>
      </c>
      <c r="E39" s="39" t="inlineStr">
        <is>
          <t>Twin</t>
        </is>
      </c>
      <c r="F39" s="39" t="inlineStr">
        <is>
          <t>Cool Grey</t>
        </is>
      </c>
      <c r="G39" s="73" t="n">
        <v>59.99</v>
      </c>
      <c r="H39" s="39" t="inlineStr">
        <is>
          <t>catalog price, 2026-10-13</t>
        </is>
      </c>
      <c r="I39" s="74" t="n">
        <v>49.99</v>
      </c>
      <c r="J39" s="75" t="inlineStr">
        <is>
          <t>2026-03-30</t>
        </is>
      </c>
      <c r="K39" s="40" t="n">
        <v>13.53</v>
      </c>
      <c r="L39" s="76" t="n">
        <v>0.2706541308261653</v>
      </c>
      <c r="M39" s="77" t="n">
        <v>6</v>
      </c>
      <c r="N39" s="39" t="inlineStr">
        <is>
          <t>Active</t>
        </is>
      </c>
      <c r="O39" s="39" t="n"/>
      <c r="P39" s="78" t="n">
        <v>4.4</v>
      </c>
      <c r="Q39" s="77" t="n">
        <v>894</v>
      </c>
      <c r="R39" s="77" t="n">
        <v>98970</v>
      </c>
      <c r="S39" s="77" t="n">
        <v>9</v>
      </c>
      <c r="T39" s="39" t="n"/>
    </row>
    <row r="40" ht="62" customHeight="1">
      <c r="A40" s="12">
        <f>_xlfn.IMAGE("https://m.media-amazon.com/images/I/71oSNn2drKL.jpg")</f>
        <v/>
      </c>
      <c r="B40" s="39" t="inlineStr">
        <is>
          <t>B0F7LXFBGG</t>
        </is>
      </c>
      <c r="C40" s="39" t="inlineStr">
        <is>
          <t>SL-COOLING-SHEET-CAL-KING-NAVY-BLUE</t>
        </is>
      </c>
      <c r="D40" s="39" t="inlineStr">
        <is>
          <t>SLEEPHORIA Cooling Sheets - BreezeWeave 4 PC California King Size Cooling Bed Sheets for Hot Sleepers &amp; Deep, Cool Rest - Cloud Soft, Silky Smooth, 16 in Deep Pocket, Ultra Durable (Navy Blue)</t>
        </is>
      </c>
      <c r="E40" s="39" t="inlineStr">
        <is>
          <t>Cal King</t>
        </is>
      </c>
      <c r="F40" s="39" t="inlineStr">
        <is>
          <t>Navy Blue</t>
        </is>
      </c>
      <c r="G40" s="73" t="n">
        <v>84.98999999999999</v>
      </c>
      <c r="H40" s="39" t="inlineStr">
        <is>
          <t>catalog price, 2026-10-13</t>
        </is>
      </c>
      <c r="I40" s="74" t="n">
        <v>69.98999999999999</v>
      </c>
      <c r="J40" s="75" t="inlineStr">
        <is>
          <t>2026-03-30</t>
        </is>
      </c>
      <c r="K40" s="40" t="n">
        <v>19.73</v>
      </c>
      <c r="L40" s="76" t="n">
        <v>0.2818974139162737</v>
      </c>
      <c r="M40" s="77" t="n">
        <v>5</v>
      </c>
      <c r="N40" s="39" t="inlineStr">
        <is>
          <t>Active</t>
        </is>
      </c>
      <c r="O40" s="39" t="n"/>
      <c r="P40" s="78" t="n">
        <v>4.4</v>
      </c>
      <c r="Q40" s="77" t="n">
        <v>894</v>
      </c>
      <c r="R40" s="77" t="n">
        <v>98970</v>
      </c>
      <c r="S40" s="77" t="n">
        <v>2</v>
      </c>
      <c r="T40" s="39" t="n"/>
    </row>
    <row r="41" ht="62" customHeight="1">
      <c r="A41" s="12">
        <f>_xlfn.IMAGE("https://m.media-amazon.com/images/I/719OfuDoGSL.jpg")</f>
        <v/>
      </c>
      <c r="B41" s="39" t="inlineStr">
        <is>
          <t>B0F7LXB26C</t>
        </is>
      </c>
      <c r="C41" s="39" t="inlineStr">
        <is>
          <t>SL-COOLING-SHEET-FULL-COOL-GREY</t>
        </is>
      </c>
      <c r="D41" s="39" t="inlineStr">
        <is>
          <t>SLEEPHORIA Cooling Sheets - BreezeWeave 4 PC Full Size Cooling Bed Sheets for Hot Sleepers &amp; Deep, Cool Rest - Cloud Soft, Silky Smooth, 16 in Deep Pocket, Ultra Durable (Cool Grey)</t>
        </is>
      </c>
      <c r="E41" s="39" t="inlineStr">
        <is>
          <t>Full</t>
        </is>
      </c>
      <c r="F41" s="39" t="inlineStr">
        <is>
          <t>Cool Grey</t>
        </is>
      </c>
      <c r="G41" s="73" t="n">
        <v>64.98999999999999</v>
      </c>
      <c r="H41" s="39" t="inlineStr">
        <is>
          <t>catalog price, 2026-10-13</t>
        </is>
      </c>
      <c r="I41" s="74" t="n">
        <v>54.99</v>
      </c>
      <c r="J41" s="75" t="inlineStr">
        <is>
          <t>2026-03-30</t>
        </is>
      </c>
      <c r="K41" s="40" t="n">
        <v>13.22</v>
      </c>
      <c r="L41" s="76" t="n">
        <v>0.2404073467903255</v>
      </c>
      <c r="M41" s="77" t="n">
        <v>5</v>
      </c>
      <c r="N41" s="39" t="inlineStr">
        <is>
          <t>Active</t>
        </is>
      </c>
      <c r="O41" s="39" t="n"/>
      <c r="P41" s="78" t="n">
        <v>4.4</v>
      </c>
      <c r="Q41" s="77" t="n">
        <v>894</v>
      </c>
      <c r="R41" s="77" t="n">
        <v>98970</v>
      </c>
      <c r="S41" s="77" t="n">
        <v>7</v>
      </c>
      <c r="T41" s="39" t="n"/>
    </row>
    <row r="42" ht="62" customHeight="1">
      <c r="A42" s="12">
        <f>_xlfn.IMAGE("https://m.media-amazon.com/images/I/71IsX4lcKOL.jpg")</f>
        <v/>
      </c>
      <c r="B42" s="39" t="inlineStr">
        <is>
          <t>B0F7LWYY19</t>
        </is>
      </c>
      <c r="C42" s="39" t="inlineStr">
        <is>
          <t>SL-COOLING-SHEET-FULL-LIGHT-GREY</t>
        </is>
      </c>
      <c r="D42" s="39" t="inlineStr">
        <is>
          <t>SLEEPHORIA Cooling Sheets - BreezeWeave 4 PC Full Size Cooling Bed Sheets for Hot Sleepers &amp; Deep, Cool Rest - Cloud Soft, Silky Smooth, 16 in Deep Pocket, Ultra Durable (Light Grey)</t>
        </is>
      </c>
      <c r="E42" s="39" t="inlineStr">
        <is>
          <t>Full</t>
        </is>
      </c>
      <c r="F42" s="39" t="inlineStr">
        <is>
          <t>Light Grey</t>
        </is>
      </c>
      <c r="G42" s="40" t="n"/>
      <c r="H42" s="39" t="n"/>
      <c r="I42" s="74" t="n">
        <v>59.99</v>
      </c>
      <c r="J42" s="75" t="inlineStr">
        <is>
          <t>2026-03-30</t>
        </is>
      </c>
      <c r="K42" s="40" t="n">
        <v>17.35</v>
      </c>
      <c r="L42" s="76" t="n">
        <v>0.2892148691448574</v>
      </c>
      <c r="M42" s="77" t="n">
        <v>5</v>
      </c>
      <c r="N42" s="39" t="inlineStr">
        <is>
          <t>Inactive</t>
        </is>
      </c>
      <c r="O42" s="39" t="n"/>
      <c r="P42" s="78" t="n"/>
      <c r="Q42" s="77" t="n"/>
      <c r="R42" s="77" t="n"/>
      <c r="S42" s="77" t="n"/>
      <c r="T42" s="39" t="n"/>
    </row>
    <row r="43" ht="62" customHeight="1">
      <c r="A43" s="12">
        <f>_xlfn.IMAGE("https://m.media-amazon.com/images/I/710gZCg6zoL.jpg")</f>
        <v/>
      </c>
      <c r="B43" s="39" t="inlineStr">
        <is>
          <t>B0F7LYFZ5Y</t>
        </is>
      </c>
      <c r="C43" s="39" t="inlineStr">
        <is>
          <t>SL-COOLING-SHEET-FULL-WHITE</t>
        </is>
      </c>
      <c r="D43" s="39" t="inlineStr">
        <is>
          <t>SLEEPHORIA Cooling Sheets - BreezeWeave 4 PC Full Size Cooling Bed Sheets for Hot Sleepers &amp; Deep, Cool Rest - Cloud Soft, Silky Smooth, 16 in Deep Pocket, Ultra Durable (White)</t>
        </is>
      </c>
      <c r="E43" s="39" t="inlineStr">
        <is>
          <t>Full</t>
        </is>
      </c>
      <c r="F43" s="39" t="inlineStr">
        <is>
          <t>White</t>
        </is>
      </c>
      <c r="G43" s="73" t="n">
        <v>64.98999999999999</v>
      </c>
      <c r="H43" s="39" t="inlineStr">
        <is>
          <t>catalog price, 2026-10-13</t>
        </is>
      </c>
      <c r="I43" s="74" t="n">
        <v>59.99</v>
      </c>
      <c r="J43" s="75" t="inlineStr">
        <is>
          <t>2026-03-30</t>
        </is>
      </c>
      <c r="K43" s="40" t="n">
        <v>17.47</v>
      </c>
      <c r="L43" s="76" t="n">
        <v>0.2912152025337557</v>
      </c>
      <c r="M43" s="77" t="n">
        <v>5</v>
      </c>
      <c r="N43" s="39" t="inlineStr">
        <is>
          <t>Active</t>
        </is>
      </c>
      <c r="O43" s="39" t="n"/>
      <c r="P43" s="78" t="n">
        <v>4.4</v>
      </c>
      <c r="Q43" s="77" t="n">
        <v>894</v>
      </c>
      <c r="R43" s="77" t="n">
        <v>98970</v>
      </c>
      <c r="S43" s="77" t="n">
        <v>7</v>
      </c>
      <c r="T43" s="39" t="n"/>
    </row>
    <row r="44" ht="62" customHeight="1">
      <c r="A44" s="12">
        <f>_xlfn.IMAGE("https://m.media-amazon.com/images/I/710gZCg6zoL.jpg")</f>
        <v/>
      </c>
      <c r="B44" s="39" t="inlineStr">
        <is>
          <t>B0F7LW9GQN</t>
        </is>
      </c>
      <c r="C44" s="39" t="inlineStr">
        <is>
          <t>SL-COOLING-SHEET-QUEEN-WHITE</t>
        </is>
      </c>
      <c r="D44" s="39" t="inlineStr">
        <is>
          <t>SLEEPHORIA Cooling Sheets - BreezeWeave 4 PC Queen Size Cooling Bed Sheets for Hot Sleepers &amp; Deep, Cool Rest - Cloud Soft, Silky Smooth, 16 in Deep Pocket, Ultra Durable (White)</t>
        </is>
      </c>
      <c r="E44" s="39" t="inlineStr">
        <is>
          <t>Queen</t>
        </is>
      </c>
      <c r="F44" s="39" t="inlineStr">
        <is>
          <t>White</t>
        </is>
      </c>
      <c r="G44" s="73" t="n">
        <v>79.98999999999999</v>
      </c>
      <c r="H44" s="39" t="inlineStr">
        <is>
          <t>catalog price, 2026-10-13</t>
        </is>
      </c>
      <c r="I44" s="74" t="n">
        <v>64.98999999999999</v>
      </c>
      <c r="J44" s="75" t="inlineStr">
        <is>
          <t>2026-03-30</t>
        </is>
      </c>
      <c r="K44" s="40" t="n">
        <v>20.55</v>
      </c>
      <c r="L44" s="76" t="n">
        <v>0.3162024926911832</v>
      </c>
      <c r="M44" s="77" t="n">
        <v>5</v>
      </c>
      <c r="N44" s="39" t="inlineStr">
        <is>
          <t>Active</t>
        </is>
      </c>
      <c r="O44" s="39" t="inlineStr">
        <is>
          <t>Yes (7%)</t>
        </is>
      </c>
      <c r="P44" s="78" t="n">
        <v>4.4</v>
      </c>
      <c r="Q44" s="77" t="n">
        <v>894</v>
      </c>
      <c r="R44" s="77" t="n">
        <v>98970</v>
      </c>
      <c r="S44" s="77" t="n">
        <v>4</v>
      </c>
      <c r="T44" s="39" t="n"/>
    </row>
    <row r="45" ht="62" customHeight="1">
      <c r="A45" s="12">
        <f>_xlfn.IMAGE("https://m.media-amazon.com/images/I/710gZCg6zoL.jpg")</f>
        <v/>
      </c>
      <c r="B45" s="39" t="inlineStr">
        <is>
          <t>B0F7LX6LFL</t>
        </is>
      </c>
      <c r="C45" s="39" t="inlineStr">
        <is>
          <t>SL-COOLING-SHEET-CAL-KING-WHITE</t>
        </is>
      </c>
      <c r="D45" s="39" t="inlineStr">
        <is>
          <t>SLEEPHORIA Cooling Sheets - BreezeWeave 4 PC California King Size Cooling Bed Sheets for Hot Sleepers &amp; Deep, Cool Rest - Cloud Soft, Silky Smooth, 16 in Deep Pocket, Ultra Durable (White)</t>
        </is>
      </c>
      <c r="E45" s="39" t="inlineStr">
        <is>
          <t>Cal King</t>
        </is>
      </c>
      <c r="F45" s="39" t="inlineStr">
        <is>
          <t>White</t>
        </is>
      </c>
      <c r="G45" s="73" t="n">
        <v>84.98999999999999</v>
      </c>
      <c r="H45" s="39" t="inlineStr">
        <is>
          <t>catalog price, 2026-10-13</t>
        </is>
      </c>
      <c r="I45" s="74" t="n">
        <v>69.98999999999999</v>
      </c>
      <c r="J45" s="75" t="inlineStr">
        <is>
          <t>2026-03-30</t>
        </is>
      </c>
      <c r="K45" s="40" t="n">
        <v>19.65</v>
      </c>
      <c r="L45" s="76" t="n">
        <v>0.2807543934847835</v>
      </c>
      <c r="M45" s="77" t="n">
        <v>4</v>
      </c>
      <c r="N45" s="39" t="inlineStr">
        <is>
          <t>Active</t>
        </is>
      </c>
      <c r="O45" s="39" t="n"/>
      <c r="P45" s="78" t="n">
        <v>4.4</v>
      </c>
      <c r="Q45" s="77" t="n">
        <v>894</v>
      </c>
      <c r="R45" s="77" t="n">
        <v>98970</v>
      </c>
      <c r="S45" s="77" t="n">
        <v>2</v>
      </c>
      <c r="T45" s="39" t="n"/>
    </row>
    <row r="46" ht="62" customHeight="1">
      <c r="A46" s="12">
        <f>_xlfn.IMAGE("https://m.media-amazon.com/images/I/71WtuLuQ2wL.jpg")</f>
        <v/>
      </c>
      <c r="B46" s="39" t="inlineStr">
        <is>
          <t>B0F7LWG82H</t>
        </is>
      </c>
      <c r="C46" s="39" t="inlineStr">
        <is>
          <t>SL-COOLING-SHEET-FULL-REGAL-PURPLE</t>
        </is>
      </c>
      <c r="D46" s="39" t="inlineStr">
        <is>
          <t>SLEEPHORIA Cooling Sheets - BreezeWeave 4 PC Full Size Cooling Bed Sheets for Hot Sleepers &amp; Deep, Cool Rest - Cloud Soft, Silky Smooth, 16 in Deep Pocket, Ultra Durable (Regal Purple)</t>
        </is>
      </c>
      <c r="E46" s="39" t="inlineStr">
        <is>
          <t>Full</t>
        </is>
      </c>
      <c r="F46" s="39" t="inlineStr">
        <is>
          <t>Regal Purple</t>
        </is>
      </c>
      <c r="G46" s="73" t="n">
        <v>64.98999999999999</v>
      </c>
      <c r="H46" s="39" t="inlineStr">
        <is>
          <t>catalog price, 2026-10-13</t>
        </is>
      </c>
      <c r="I46" s="74" t="n">
        <v>59.99</v>
      </c>
      <c r="J46" s="75" t="inlineStr">
        <is>
          <t>2026-03-30</t>
        </is>
      </c>
      <c r="K46" s="40" t="n">
        <v>17.47</v>
      </c>
      <c r="L46" s="76" t="n">
        <v>0.2912152025337557</v>
      </c>
      <c r="M46" s="77" t="n">
        <v>4</v>
      </c>
      <c r="N46" s="39" t="inlineStr">
        <is>
          <t>Active</t>
        </is>
      </c>
      <c r="O46" s="39" t="n"/>
      <c r="P46" s="78" t="n">
        <v>4.4</v>
      </c>
      <c r="Q46" s="77" t="n">
        <v>894</v>
      </c>
      <c r="R46" s="77" t="n">
        <v>98970</v>
      </c>
      <c r="S46" s="77" t="n">
        <v>6</v>
      </c>
      <c r="T46" s="39" t="n"/>
    </row>
    <row r="47" ht="62" customHeight="1">
      <c r="A47" s="12">
        <f>_xlfn.IMAGE("https://m.media-amazon.com/images/I/719OfuDoGSL.jpg")</f>
        <v/>
      </c>
      <c r="B47" s="39" t="inlineStr">
        <is>
          <t>B0F7LWK8S4</t>
        </is>
      </c>
      <c r="C47" s="39" t="inlineStr">
        <is>
          <t>SL-COOLING-SHEET-CAL-KING-COOL-GREY</t>
        </is>
      </c>
      <c r="D47" s="39" t="inlineStr">
        <is>
          <t>SLEEPHORIA Cooling Sheets - BreezeWeave 4 PC California King Size Cooling Bed Sheets for Hot Sleepers &amp; Deep, Cool Rest - Cloud Soft, Silky Smooth, 16 in Deep Pocket, Ultra Durable (Cool Grey)</t>
        </is>
      </c>
      <c r="E47" s="39" t="inlineStr">
        <is>
          <t>Cal King</t>
        </is>
      </c>
      <c r="F47" s="39" t="inlineStr">
        <is>
          <t>Cool Grey</t>
        </is>
      </c>
      <c r="G47" s="73" t="n">
        <v>84.98999999999999</v>
      </c>
      <c r="H47" s="39" t="inlineStr">
        <is>
          <t>catalog price, 2026-10-13</t>
        </is>
      </c>
      <c r="I47" s="74" t="n">
        <v>76.98999999999999</v>
      </c>
      <c r="J47" s="75" t="inlineStr">
        <is>
          <t>2026-03-30</t>
        </is>
      </c>
      <c r="K47" s="40" t="n">
        <v>25.68</v>
      </c>
      <c r="L47" s="76" t="n">
        <v>0.3335498116638524</v>
      </c>
      <c r="M47" s="77" t="n">
        <v>3</v>
      </c>
      <c r="N47" s="39" t="inlineStr">
        <is>
          <t>Active</t>
        </is>
      </c>
      <c r="O47" s="39" t="n"/>
      <c r="P47" s="78" t="n">
        <v>4.4</v>
      </c>
      <c r="Q47" s="77" t="n">
        <v>894</v>
      </c>
      <c r="R47" s="77" t="n">
        <v>98970</v>
      </c>
      <c r="S47" s="77" t="n">
        <v>2</v>
      </c>
      <c r="T47" s="39" t="n"/>
    </row>
    <row r="48" ht="62" customHeight="1">
      <c r="A48" s="12">
        <f>_xlfn.IMAGE("https://m.media-amazon.com/images/I/71cZAUJYwDL.jpg")</f>
        <v/>
      </c>
      <c r="B48" s="39" t="inlineStr">
        <is>
          <t>B0F7LZNYY8</t>
        </is>
      </c>
      <c r="C48" s="39" t="inlineStr">
        <is>
          <t>SL-COOLING-SHEET-FULL-LIGHT-PINK</t>
        </is>
      </c>
      <c r="D48" s="39" t="inlineStr">
        <is>
          <t>SLEEPHORIA Cooling Sheets - BreezeWeave 4 PC Full Size Cooling Bed Sheets for Hot Sleepers &amp; Deep, Cool Rest - Cloud Soft, Silky Smooth, 16 in Deep Pocket, Ultra Durable (Light Pink)</t>
        </is>
      </c>
      <c r="E48" s="39" t="inlineStr">
        <is>
          <t>Full</t>
        </is>
      </c>
      <c r="F48" s="39" t="inlineStr">
        <is>
          <t>Light Pink</t>
        </is>
      </c>
      <c r="G48" s="73" t="n">
        <v>64.98999999999999</v>
      </c>
      <c r="H48" s="39" t="inlineStr">
        <is>
          <t>catalog price, 2026-10-13</t>
        </is>
      </c>
      <c r="I48" s="74" t="n">
        <v>54.99</v>
      </c>
      <c r="J48" s="75" t="inlineStr">
        <is>
          <t>2026-03-30</t>
        </is>
      </c>
      <c r="K48" s="40" t="n">
        <v>13.38000000000001</v>
      </c>
      <c r="L48" s="76" t="n">
        <v>0.2433169667212221</v>
      </c>
      <c r="M48" s="77" t="n">
        <v>3</v>
      </c>
      <c r="N48" s="39" t="inlineStr">
        <is>
          <t>Active</t>
        </is>
      </c>
      <c r="O48" s="39" t="n"/>
      <c r="P48" s="78" t="n">
        <v>4.4</v>
      </c>
      <c r="Q48" s="77" t="n">
        <v>894</v>
      </c>
      <c r="R48" s="77" t="n">
        <v>98970</v>
      </c>
      <c r="S48" s="77" t="n">
        <v>7</v>
      </c>
      <c r="T48" s="39" t="n"/>
    </row>
    <row r="49" ht="62" customHeight="1">
      <c r="A49" s="12">
        <f>_xlfn.IMAGE("https://m.media-amazon.com/images/I/71oSNn2drKL.jpg")</f>
        <v/>
      </c>
      <c r="B49" s="39" t="inlineStr">
        <is>
          <t>B0F7LZFKS7</t>
        </is>
      </c>
      <c r="C49" s="39" t="inlineStr">
        <is>
          <t>SL-COOLING-SHEET-FULL-NAVY-BLUE</t>
        </is>
      </c>
      <c r="D49" s="39" t="inlineStr">
        <is>
          <t>SLEEPHORIA Cooling Sheets - BreezeWeave 4 PC Full Size Cooling Bed Sheets for Hot Sleepers &amp; Deep, Cool Rest - Cloud Soft, Silky Smooth, 16 in Deep Pocket, Ultra Durable (Navy Blue)</t>
        </is>
      </c>
      <c r="E49" s="39" t="inlineStr">
        <is>
          <t>Full</t>
        </is>
      </c>
      <c r="F49" s="39" t="inlineStr">
        <is>
          <t>Navy Blue</t>
        </is>
      </c>
      <c r="G49" s="73" t="n">
        <v>64.98999999999999</v>
      </c>
      <c r="H49" s="39" t="inlineStr">
        <is>
          <t>catalog price, 2026-10-13</t>
        </is>
      </c>
      <c r="I49" s="74" t="n">
        <v>54.99</v>
      </c>
      <c r="J49" s="75" t="inlineStr">
        <is>
          <t>2026-03-30</t>
        </is>
      </c>
      <c r="K49" s="40" t="n">
        <v>13.3</v>
      </c>
      <c r="L49" s="76" t="n">
        <v>0.2418621567557738</v>
      </c>
      <c r="M49" s="77" t="n">
        <v>3</v>
      </c>
      <c r="N49" s="39" t="inlineStr">
        <is>
          <t>Active</t>
        </is>
      </c>
      <c r="O49" s="39" t="n"/>
      <c r="P49" s="78" t="n">
        <v>4.4</v>
      </c>
      <c r="Q49" s="77" t="n">
        <v>894</v>
      </c>
      <c r="R49" s="77" t="n">
        <v>98970</v>
      </c>
      <c r="S49" s="77" t="n">
        <v>7</v>
      </c>
      <c r="T49" s="39" t="n"/>
    </row>
    <row r="50" ht="62" customHeight="1">
      <c r="A50" s="12">
        <f>_xlfn.IMAGE("https://m.media-amazon.com/images/I/71zC97UTBkL.jpg")</f>
        <v/>
      </c>
      <c r="B50" s="39" t="inlineStr">
        <is>
          <t>B0F7LX9P4H</t>
        </is>
      </c>
      <c r="C50" s="39" t="inlineStr">
        <is>
          <t>SL-COOLING-SHEET-FULL-SAGE-GREEN</t>
        </is>
      </c>
      <c r="D50" s="39" t="inlineStr">
        <is>
          <t>SLEEPHORIA Cooling Sheets - BreezeWeave 4 PC Full Size Cooling Bed Sheets for Hot Sleepers &amp; Deep, Cool Rest - Cloud Soft, Silky Smooth, 16 in Deep Pocket, Ultra Durable (Sage Green)</t>
        </is>
      </c>
      <c r="E50" s="39" t="inlineStr">
        <is>
          <t>Full</t>
        </is>
      </c>
      <c r="F50" s="39" t="inlineStr">
        <is>
          <t>Sage Green</t>
        </is>
      </c>
      <c r="G50" s="73" t="n">
        <v>64.98999999999999</v>
      </c>
      <c r="H50" s="39" t="inlineStr">
        <is>
          <t>catalog price, 2026-10-13</t>
        </is>
      </c>
      <c r="I50" s="74" t="n">
        <v>59.99</v>
      </c>
      <c r="J50" s="75" t="inlineStr">
        <is>
          <t>2026-03-30</t>
        </is>
      </c>
      <c r="K50" s="40" t="n">
        <v>17.55</v>
      </c>
      <c r="L50" s="76" t="n">
        <v>0.2925487581263544</v>
      </c>
      <c r="M50" s="77" t="n">
        <v>3</v>
      </c>
      <c r="N50" s="39" t="inlineStr">
        <is>
          <t>Active</t>
        </is>
      </c>
      <c r="O50" s="39" t="n"/>
      <c r="P50" s="78" t="n">
        <v>4.4</v>
      </c>
      <c r="Q50" s="77" t="n">
        <v>894</v>
      </c>
      <c r="R50" s="77" t="n">
        <v>98970</v>
      </c>
      <c r="S50" s="77" t="n">
        <v>6</v>
      </c>
      <c r="T50" s="39" t="n"/>
    </row>
    <row r="51" ht="62" customHeight="1">
      <c r="A51" s="12">
        <f>_xlfn.IMAGE("https://m.media-amazon.com/images/I/71Yi7AA7VHL.jpg")</f>
        <v/>
      </c>
      <c r="B51" s="39" t="inlineStr">
        <is>
          <t>B0F7LYR7L2</t>
        </is>
      </c>
      <c r="C51" s="39" t="inlineStr">
        <is>
          <t>SL-COOLING-SHEET-CAL-KING-MIDNIGHT-BLACK</t>
        </is>
      </c>
      <c r="D51" s="39" t="inlineStr">
        <is>
          <t>SLEEPHORIA Cooling Sheets - BreezeWeave 4 PC California King Size Cooling Bed Sheets for Hot Sleepers &amp; Deep, Cool Rest - Cloud Soft, Silky Smooth, 16 in Deep Pocket, Ultra Durable (Midnight Black)</t>
        </is>
      </c>
      <c r="E51" s="39" t="inlineStr">
        <is>
          <t>Cal King</t>
        </is>
      </c>
      <c r="F51" s="39" t="inlineStr">
        <is>
          <t>Midnight Black</t>
        </is>
      </c>
      <c r="G51" s="73" t="n">
        <v>84.98999999999999</v>
      </c>
      <c r="H51" s="39" t="inlineStr">
        <is>
          <t>catalog price, 2026-10-13</t>
        </is>
      </c>
      <c r="I51" s="74" t="n">
        <v>69.98999999999999</v>
      </c>
      <c r="J51" s="75" t="inlineStr">
        <is>
          <t>2026-03-30</t>
        </is>
      </c>
      <c r="K51" s="40" t="n">
        <v>19.73</v>
      </c>
      <c r="L51" s="76" t="n">
        <v>0.2818974139162737</v>
      </c>
      <c r="M51" s="77" t="n">
        <v>2</v>
      </c>
      <c r="N51" s="39" t="inlineStr">
        <is>
          <t>Active</t>
        </is>
      </c>
      <c r="O51" s="39" t="n"/>
      <c r="P51" s="78" t="n">
        <v>4.4</v>
      </c>
      <c r="Q51" s="77" t="n">
        <v>894</v>
      </c>
      <c r="R51" s="77" t="n">
        <v>98970</v>
      </c>
      <c r="S51" s="77" t="n">
        <v>2</v>
      </c>
      <c r="T51" s="39" t="n"/>
    </row>
    <row r="52" ht="62" customHeight="1">
      <c r="A52" s="12">
        <f>_xlfn.IMAGE("https://m.media-amazon.com/images/I/71WtuLuQ2wL.jpg")</f>
        <v/>
      </c>
      <c r="B52" s="39" t="inlineStr">
        <is>
          <t>B0F7LXCSKW</t>
        </is>
      </c>
      <c r="C52" s="39" t="inlineStr">
        <is>
          <t>SL-COOLING-SHEET-CAL-KING-REGAL-PURPLE</t>
        </is>
      </c>
      <c r="D52" s="39" t="inlineStr">
        <is>
          <t>SLEEPHORIA Cooling Sheets - BreezeWeave 4 PC California King Size Cooling Bed Sheets for Hot Sleepers &amp; Deep, Cool Rest - Cloud Soft, Silky Smooth, 16 in Deep Pocket, Ultra Durable (Regal Purple)</t>
        </is>
      </c>
      <c r="E52" s="39" t="inlineStr">
        <is>
          <t>Cal King</t>
        </is>
      </c>
      <c r="F52" s="39" t="inlineStr">
        <is>
          <t>Regal Purple</t>
        </is>
      </c>
      <c r="G52" s="73" t="n">
        <v>84.98999999999999</v>
      </c>
      <c r="H52" s="39" t="inlineStr">
        <is>
          <t>catalog price, 2026-10-13</t>
        </is>
      </c>
      <c r="I52" s="74" t="n">
        <v>69.98999999999999</v>
      </c>
      <c r="J52" s="75" t="inlineStr">
        <is>
          <t>2026-03-30</t>
        </is>
      </c>
      <c r="K52" s="40" t="n">
        <v>19.73</v>
      </c>
      <c r="L52" s="76" t="n">
        <v>0.2818974139162737</v>
      </c>
      <c r="M52" s="77" t="n">
        <v>2</v>
      </c>
      <c r="N52" s="39" t="inlineStr">
        <is>
          <t>Active</t>
        </is>
      </c>
      <c r="O52" s="39" t="n"/>
      <c r="P52" s="78" t="n">
        <v>4.4</v>
      </c>
      <c r="Q52" s="77" t="n">
        <v>894</v>
      </c>
      <c r="R52" s="77" t="n">
        <v>98970</v>
      </c>
      <c r="S52" s="77" t="n">
        <v>2</v>
      </c>
      <c r="T52" s="39" t="n"/>
    </row>
    <row r="53" ht="62" customHeight="1">
      <c r="A53" s="12">
        <f>_xlfn.IMAGE("https://m.media-amazon.com/images/I/71Yi7AA7VHL.jpg")</f>
        <v/>
      </c>
      <c r="B53" s="39" t="inlineStr">
        <is>
          <t>B0F7LXNSQK</t>
        </is>
      </c>
      <c r="C53" s="39" t="inlineStr">
        <is>
          <t>SL-COOLING-SHEET-FULL-MIDNIGHT-BLACK</t>
        </is>
      </c>
      <c r="D53" s="39" t="inlineStr">
        <is>
          <t>SLEEPHORIA Cooling Sheets - BreezeWeave 4 PC Full Size Cooling Bed Sheets for Hot Sleepers &amp; Deep, Cool Rest - Cloud Soft, Silky Smooth, 16 in Deep Pocket, Ultra Durable (Midnight Black)</t>
        </is>
      </c>
      <c r="E53" s="39" t="inlineStr">
        <is>
          <t>Full</t>
        </is>
      </c>
      <c r="F53" s="39" t="inlineStr">
        <is>
          <t>Midnight Black</t>
        </is>
      </c>
      <c r="G53" s="40" t="n"/>
      <c r="H53" s="39" t="n"/>
      <c r="I53" s="74" t="n">
        <v>59.99</v>
      </c>
      <c r="J53" s="75" t="inlineStr">
        <is>
          <t>2026-03-30</t>
        </is>
      </c>
      <c r="K53" s="40" t="n">
        <v>17.47</v>
      </c>
      <c r="L53" s="76" t="n">
        <v>0.2912152025337557</v>
      </c>
      <c r="M53" s="77" t="n">
        <v>2</v>
      </c>
      <c r="N53" s="39" t="inlineStr">
        <is>
          <t>Inactive</t>
        </is>
      </c>
      <c r="O53" s="39" t="n"/>
      <c r="P53" s="78" t="n"/>
      <c r="Q53" s="77" t="n"/>
      <c r="R53" s="77" t="n"/>
      <c r="S53" s="77" t="n"/>
      <c r="T53" s="39" t="n"/>
    </row>
    <row r="54" ht="62" customHeight="1">
      <c r="A54" s="12">
        <f>_xlfn.IMAGE("https://m.media-amazon.com/images/I/71cZAUJYwDL.jpg")</f>
        <v/>
      </c>
      <c r="B54" s="39" t="inlineStr">
        <is>
          <t>B0F7LTXSLG</t>
        </is>
      </c>
      <c r="C54" s="39" t="inlineStr">
        <is>
          <t>SL-COOLING-SHEET-KING-LIGHT-PINK</t>
        </is>
      </c>
      <c r="D54" s="39" t="inlineStr">
        <is>
          <t>SLEEPHORIA Cooling Sheets - BreezeWeave 4 PC King Size Cooling Bed Sheets for Hot Sleepers &amp; Deep, Cool Rest - Cloud Soft, Silky Smooth, 16 in Deep Pocket, Ultra Durable (Light Pink)</t>
        </is>
      </c>
      <c r="E54" s="39" t="inlineStr">
        <is>
          <t>King</t>
        </is>
      </c>
      <c r="F54" s="39" t="inlineStr">
        <is>
          <t>Light Pink</t>
        </is>
      </c>
      <c r="G54" s="73" t="n">
        <v>84.98999999999999</v>
      </c>
      <c r="H54" s="39" t="inlineStr">
        <is>
          <t>catalog price, 2026-10-13</t>
        </is>
      </c>
      <c r="I54" s="74" t="n">
        <v>76.98999999999999</v>
      </c>
      <c r="J54" s="75" t="inlineStr">
        <is>
          <t>2026-03-30</t>
        </is>
      </c>
      <c r="K54" s="40" t="n">
        <v>26.69</v>
      </c>
      <c r="L54" s="76" t="n">
        <v>0.3466683984933108</v>
      </c>
      <c r="M54" s="77" t="n">
        <v>2</v>
      </c>
      <c r="N54" s="39" t="inlineStr">
        <is>
          <t>Active</t>
        </is>
      </c>
      <c r="O54" s="39" t="n"/>
      <c r="P54" s="78" t="n">
        <v>4.4</v>
      </c>
      <c r="Q54" s="77" t="n">
        <v>894</v>
      </c>
      <c r="R54" s="77" t="n">
        <v>98970</v>
      </c>
      <c r="S54" s="77" t="n">
        <v>2</v>
      </c>
      <c r="T54" s="39" t="n"/>
    </row>
    <row r="55" ht="62" customHeight="1">
      <c r="A55" s="12">
        <f>_xlfn.IMAGE("https://m.media-amazon.com/images/I/71SgOjvow-L.jpg")</f>
        <v/>
      </c>
      <c r="B55" s="39" t="inlineStr">
        <is>
          <t>B0F7LXS112</t>
        </is>
      </c>
      <c r="C55" s="39" t="inlineStr">
        <is>
          <t>SL-COOLING-SHEET-TWIN-LIGHT-BLUE</t>
        </is>
      </c>
      <c r="D55" s="39" t="inlineStr">
        <is>
          <t>SLEEPHORIA Cooling Sheets - BreezeWeave 3 PC Twin Size Cooling Bed Sheets for Hot Sleepers &amp; Deep, Cool Rest - Cloud Soft, Silky Smooth, 16 in Deep Pocket, Ultra Durable (Light Blue)</t>
        </is>
      </c>
      <c r="E55" s="39" t="inlineStr">
        <is>
          <t>Twin</t>
        </is>
      </c>
      <c r="F55" s="39" t="inlineStr">
        <is>
          <t>Light Blue</t>
        </is>
      </c>
      <c r="G55" s="73" t="n">
        <v>59.99</v>
      </c>
      <c r="H55" s="39" t="inlineStr">
        <is>
          <t>catalog price, 2026-10-13</t>
        </is>
      </c>
      <c r="I55" s="74" t="n">
        <v>49.99</v>
      </c>
      <c r="J55" s="75" t="inlineStr">
        <is>
          <t>2026-03-30</t>
        </is>
      </c>
      <c r="K55" s="40" t="n">
        <v>13.53</v>
      </c>
      <c r="L55" s="76" t="n">
        <v>0.2706541308261653</v>
      </c>
      <c r="M55" s="77" t="n">
        <v>2</v>
      </c>
      <c r="N55" s="39" t="inlineStr">
        <is>
          <t>Active</t>
        </is>
      </c>
      <c r="O55" s="39" t="n"/>
      <c r="P55" s="78" t="n">
        <v>4.4</v>
      </c>
      <c r="Q55" s="77" t="n">
        <v>894</v>
      </c>
      <c r="R55" s="77" t="n">
        <v>98965</v>
      </c>
      <c r="S55" s="77" t="n">
        <v>8</v>
      </c>
      <c r="T55" s="39" t="n"/>
    </row>
    <row r="56" ht="62" customHeight="1">
      <c r="A56" s="12">
        <f>_xlfn.IMAGE("https://m.media-amazon.com/images/I/71p+26tBP8L.jpg")</f>
        <v/>
      </c>
      <c r="B56" s="39" t="inlineStr">
        <is>
          <t>B0F7LYFSJS</t>
        </is>
      </c>
      <c r="C56" s="39" t="inlineStr">
        <is>
          <t>SL-COOLING-SHEET-TWIN-WHITE</t>
        </is>
      </c>
      <c r="D56" s="39" t="inlineStr">
        <is>
          <t>SLEEPHORIA Cooling Sheets - BreezeWeave 3 PC Twin Size Cooling Bed Sheets for Hot Sleepers &amp; Deep, Cool Rest - Cloud Soft, Silky Smooth, 16 in Deep Pocket, Ultra Durable (White)</t>
        </is>
      </c>
      <c r="E56" s="39" t="inlineStr">
        <is>
          <t>Twin</t>
        </is>
      </c>
      <c r="F56" s="39" t="inlineStr">
        <is>
          <t>White</t>
        </is>
      </c>
      <c r="G56" s="73" t="n">
        <v>59.99</v>
      </c>
      <c r="H56" s="39" t="inlineStr">
        <is>
          <t>catalog price, 2026-10-13</t>
        </is>
      </c>
      <c r="I56" s="74" t="n">
        <v>49.99</v>
      </c>
      <c r="J56" s="75" t="inlineStr">
        <is>
          <t>2026-03-30</t>
        </is>
      </c>
      <c r="K56" s="40" t="n">
        <v>13.37</v>
      </c>
      <c r="L56" s="76" t="n">
        <v>0.2674534906981397</v>
      </c>
      <c r="M56" s="77" t="n">
        <v>2</v>
      </c>
      <c r="N56" s="39" t="inlineStr">
        <is>
          <t>Active</t>
        </is>
      </c>
      <c r="O56" s="39" t="n"/>
      <c r="P56" s="78" t="n">
        <v>4.4</v>
      </c>
      <c r="Q56" s="77" t="n">
        <v>894</v>
      </c>
      <c r="R56" s="77" t="n">
        <v>98970</v>
      </c>
      <c r="S56" s="77" t="n">
        <v>9</v>
      </c>
      <c r="T56" s="39" t="n"/>
    </row>
    <row r="57" ht="62" customHeight="1">
      <c r="A57" s="12">
        <f>_xlfn.IMAGE("https://m.media-amazon.com/images/I/71f2mmi0EcL.jpg")</f>
        <v/>
      </c>
      <c r="B57" s="39" t="inlineStr">
        <is>
          <t>B0F7LXFGLX</t>
        </is>
      </c>
      <c r="C57" s="39" t="inlineStr">
        <is>
          <t>SL-COOLING-SHEET-CAL-KING-BEIGE</t>
        </is>
      </c>
      <c r="D57" s="39" t="inlineStr">
        <is>
          <t>SLEEPHORIA Cooling Sheets - BreezeWeave 4 PC California King Size Cooling Bed Sheets for Hot Sleepers &amp; Deep, Cool Rest - Cloud Soft, Silky Smooth, 16 in Deep Pocket, Ultra Durable (Beige)</t>
        </is>
      </c>
      <c r="E57" s="39" t="inlineStr">
        <is>
          <t>Cal King</t>
        </is>
      </c>
      <c r="F57" s="39" t="inlineStr">
        <is>
          <t>Beige</t>
        </is>
      </c>
      <c r="G57" s="40" t="n"/>
      <c r="H57" s="39" t="n"/>
      <c r="I57" s="74" t="n">
        <v>69.98999999999999</v>
      </c>
      <c r="J57" s="75" t="inlineStr">
        <is>
          <t>2026-03-30</t>
        </is>
      </c>
      <c r="K57" s="40" t="n">
        <v>19.73</v>
      </c>
      <c r="L57" s="76" t="n">
        <v>0.2818974139162737</v>
      </c>
      <c r="M57" s="77" t="n">
        <v>1</v>
      </c>
      <c r="N57" s="39" t="inlineStr">
        <is>
          <t>Inactive</t>
        </is>
      </c>
      <c r="O57" s="39" t="n"/>
      <c r="P57" s="78" t="n"/>
      <c r="Q57" s="77" t="n"/>
      <c r="R57" s="77" t="n"/>
      <c r="S57" s="77" t="n"/>
      <c r="T57" s="39" t="n"/>
    </row>
    <row r="58" ht="62" customHeight="1">
      <c r="A58" s="12">
        <f>_xlfn.IMAGE("https://m.media-amazon.com/images/I/713ouXr9eCL.jpg")</f>
        <v/>
      </c>
      <c r="B58" s="39" t="inlineStr">
        <is>
          <t>B0F7LYBQYF</t>
        </is>
      </c>
      <c r="C58" s="39" t="inlineStr">
        <is>
          <t>SL-COOLING-SHEET-FULL-BEIGE</t>
        </is>
      </c>
      <c r="D58" s="39" t="inlineStr">
        <is>
          <t>SLEEPHORIA Cooling Sheets - BreezeWeave 4 PC Full Size Cooling Bed Sheets for Hot Sleepers &amp; Deep, Cool Rest - Cloud Soft, Silky Smooth, 16 in Deep Pocket, Ultra Durable (Beige)</t>
        </is>
      </c>
      <c r="E58" s="39" t="inlineStr">
        <is>
          <t>Full</t>
        </is>
      </c>
      <c r="F58" s="39" t="inlineStr">
        <is>
          <t>Beige</t>
        </is>
      </c>
      <c r="G58" s="73" t="n">
        <v>64.98999999999999</v>
      </c>
      <c r="H58" s="39" t="inlineStr">
        <is>
          <t>catalog price, 2026-10-13</t>
        </is>
      </c>
      <c r="I58" s="74" t="n">
        <v>54.99</v>
      </c>
      <c r="J58" s="75" t="inlineStr">
        <is>
          <t>2026-03-30</t>
        </is>
      </c>
      <c r="K58" s="40" t="n">
        <v>13.3</v>
      </c>
      <c r="L58" s="76" t="n">
        <v>0.2418621567557738</v>
      </c>
      <c r="M58" s="77" t="n">
        <v>1</v>
      </c>
      <c r="N58" s="39" t="inlineStr">
        <is>
          <t>Active</t>
        </is>
      </c>
      <c r="O58" s="39" t="n"/>
      <c r="P58" s="78" t="n">
        <v>4.4</v>
      </c>
      <c r="Q58" s="77" t="n">
        <v>894</v>
      </c>
      <c r="R58" s="77" t="n">
        <v>98970</v>
      </c>
      <c r="S58" s="77" t="n">
        <v>6</v>
      </c>
      <c r="T58" s="39" t="n"/>
    </row>
    <row r="59" ht="62" customHeight="1">
      <c r="A59" s="12">
        <f>_xlfn.IMAGE("https://m.media-amazon.com/images/I/71BbWLCECZL.jpg")</f>
        <v/>
      </c>
      <c r="B59" s="39" t="inlineStr">
        <is>
          <t>B0F7M13J7X</t>
        </is>
      </c>
      <c r="C59" s="39" t="inlineStr">
        <is>
          <t>SL-COOLING-SHEET-KING-NAVY-BLUE</t>
        </is>
      </c>
      <c r="D59" s="39" t="inlineStr">
        <is>
          <t>SLEEPHORIA Cooling Sheets - BreezeWeave 4 PC King Size Cooling Bed Sheets for Hot Sleepers &amp; Deep, Cool Rest - Cloud Soft, Silky Smooth, 16 in Deep Pocket, Ultra Durable (Navy Blue)</t>
        </is>
      </c>
      <c r="E59" s="39" t="inlineStr">
        <is>
          <t>King</t>
        </is>
      </c>
      <c r="F59" s="39" t="inlineStr">
        <is>
          <t>Navy Blue</t>
        </is>
      </c>
      <c r="G59" s="40" t="n"/>
      <c r="H59" s="39" t="n"/>
      <c r="I59" s="74" t="n">
        <v>76.98999999999999</v>
      </c>
      <c r="J59" s="75" t="inlineStr">
        <is>
          <t>2026-03-30</t>
        </is>
      </c>
      <c r="K59" s="40" t="n">
        <v>26.61</v>
      </c>
      <c r="L59" s="76" t="n">
        <v>0.3456293025068191</v>
      </c>
      <c r="M59" s="77" t="n">
        <v>1</v>
      </c>
      <c r="N59" s="39" t="inlineStr">
        <is>
          <t>Inactive</t>
        </is>
      </c>
      <c r="O59" s="39" t="n"/>
      <c r="P59" s="78" t="n"/>
      <c r="Q59" s="77" t="n"/>
      <c r="R59" s="77" t="n"/>
      <c r="S59" s="77" t="n"/>
      <c r="T59" s="39" t="n"/>
    </row>
    <row r="60" ht="62" customHeight="1">
      <c r="A60" s="12">
        <f>_xlfn.IMAGE("https://m.media-amazon.com/images/I/7126uGXcNGL.jpg")</f>
        <v/>
      </c>
      <c r="B60" s="39" t="inlineStr">
        <is>
          <t>B0F7M1ZY15</t>
        </is>
      </c>
      <c r="C60" s="39" t="inlineStr">
        <is>
          <t>SL-COOLING-SHEET-TWIN-CREAM</t>
        </is>
      </c>
      <c r="D60" s="39" t="inlineStr">
        <is>
          <t>SLEEPHORIA Cooling Sheets - BreezeWeave 3 PC Twin Size Cooling Bed Sheets for Hot Sleepers &amp; Deep, Cool Rest - Cloud Soft, Silky Smooth, 16 in Deep Pocket, Ultra Durable (Cream)</t>
        </is>
      </c>
      <c r="E60" s="39" t="inlineStr">
        <is>
          <t>Twin</t>
        </is>
      </c>
      <c r="F60" s="39" t="inlineStr">
        <is>
          <t>Cream</t>
        </is>
      </c>
      <c r="G60" s="73" t="n">
        <v>59.99</v>
      </c>
      <c r="H60" s="39" t="inlineStr">
        <is>
          <t>catalog price, 2026-10-13</t>
        </is>
      </c>
      <c r="I60" s="74" t="n">
        <v>49.99</v>
      </c>
      <c r="J60" s="75" t="inlineStr">
        <is>
          <t>2026-03-30</t>
        </is>
      </c>
      <c r="K60" s="40" t="n">
        <v>13.37</v>
      </c>
      <c r="L60" s="76" t="n">
        <v>0.2674534906981397</v>
      </c>
      <c r="M60" s="77" t="n">
        <v>1</v>
      </c>
      <c r="N60" s="39" t="inlineStr">
        <is>
          <t>Active</t>
        </is>
      </c>
      <c r="O60" s="39" t="n"/>
      <c r="P60" s="78" t="n">
        <v>4.4</v>
      </c>
      <c r="Q60" s="77" t="n">
        <v>894</v>
      </c>
      <c r="R60" s="77" t="n">
        <v>98970</v>
      </c>
      <c r="S60" s="77" t="n">
        <v>9</v>
      </c>
      <c r="T60" s="39" t="n"/>
    </row>
    <row r="61" ht="62" customHeight="1">
      <c r="A61" s="12">
        <f>_xlfn.IMAGE("https://m.media-amazon.com/images/I/71cZAUJYwDL.jpg")</f>
        <v/>
      </c>
      <c r="B61" s="39" t="inlineStr">
        <is>
          <t>B0F7LZ3ZJQ</t>
        </is>
      </c>
      <c r="C61" s="39" t="inlineStr">
        <is>
          <t>SL-COOLING-SHEET-TWIN-LIGHT-PINK</t>
        </is>
      </c>
      <c r="D61" s="39" t="inlineStr">
        <is>
          <t>SLEEPHORIA Cooling Sheets - BreezeWeave 3 PC Twin Size Cooling Bed Sheets for Hot Sleepers &amp; Deep, Cool Rest - Cloud Soft, Silky Smooth, 16 in Deep Pocket, Ultra Durable (Light Pink)</t>
        </is>
      </c>
      <c r="E61" s="39" t="inlineStr">
        <is>
          <t>Twin</t>
        </is>
      </c>
      <c r="F61" s="39" t="inlineStr">
        <is>
          <t>Light Pink</t>
        </is>
      </c>
      <c r="G61" s="40" t="n"/>
      <c r="H61" s="39" t="n"/>
      <c r="I61" s="74" t="n">
        <v>49.99</v>
      </c>
      <c r="J61" s="75" t="inlineStr">
        <is>
          <t>2026-03-30</t>
        </is>
      </c>
      <c r="K61" s="40" t="n">
        <v>13.53</v>
      </c>
      <c r="L61" s="76" t="n">
        <v>0.2706541308261653</v>
      </c>
      <c r="M61" s="77" t="n">
        <v>1</v>
      </c>
      <c r="N61" s="39" t="inlineStr">
        <is>
          <t>Inactive</t>
        </is>
      </c>
      <c r="O61" s="39" t="n"/>
      <c r="P61" s="78" t="n"/>
      <c r="Q61" s="77" t="n"/>
      <c r="R61" s="77" t="n"/>
      <c r="S61" s="77" t="n"/>
      <c r="T61" s="39" t="n"/>
    </row>
    <row r="62" ht="62" customHeight="1">
      <c r="A62" s="12">
        <f>_xlfn.IMAGE("https://m.media-amazon.com/images/I/7126uGXcNGL.jpg")</f>
        <v/>
      </c>
      <c r="B62" s="39" t="inlineStr">
        <is>
          <t>B0F7LWTN5R</t>
        </is>
      </c>
      <c r="C62" s="39" t="inlineStr">
        <is>
          <t>SL-COOLING-SHEET-CAL-KING-CREAM</t>
        </is>
      </c>
      <c r="D62" s="39" t="inlineStr">
        <is>
          <t>SLEEPHORIA Cooling Sheets - BreezeWeave 4 PC California King Size Cooling Bed Sheets for Hot Sleepers &amp; Deep, Cool Rest - Cloud Soft, Silky Smooth, 16 in Deep Pocket, Ultra Durable (Cream)</t>
        </is>
      </c>
      <c r="E62" s="39" t="inlineStr">
        <is>
          <t>Cal King</t>
        </is>
      </c>
      <c r="F62" s="39" t="inlineStr">
        <is>
          <t>Cream</t>
        </is>
      </c>
      <c r="G62" s="40" t="n"/>
      <c r="H62" s="39" t="n"/>
      <c r="I62" s="74" t="n">
        <v>69.98999999999999</v>
      </c>
      <c r="J62" s="75" t="inlineStr">
        <is>
          <t>2026-03-30</t>
        </is>
      </c>
      <c r="K62" s="40" t="n">
        <v>19.73</v>
      </c>
      <c r="L62" s="76" t="n">
        <v>0.2818974139162737</v>
      </c>
      <c r="M62" s="77" t="n"/>
      <c r="N62" s="39" t="inlineStr">
        <is>
          <t>Inactive</t>
        </is>
      </c>
      <c r="O62" s="39" t="n"/>
      <c r="P62" s="78" t="n"/>
      <c r="Q62" s="77" t="n"/>
      <c r="R62" s="77" t="n"/>
      <c r="S62" s="77" t="n"/>
      <c r="T62" s="39" t="n"/>
    </row>
    <row r="63" ht="62" customHeight="1">
      <c r="A63" s="12">
        <f>_xlfn.IMAGE("https://m.media-amazon.com/images/I/71SgOjvow-L.jpg")</f>
        <v/>
      </c>
      <c r="B63" s="39" t="inlineStr">
        <is>
          <t>B0F7LX3RH5</t>
        </is>
      </c>
      <c r="C63" s="39" t="inlineStr">
        <is>
          <t>SL-COOLING-SHEET-CAL-KING-LIGHT-BLUE</t>
        </is>
      </c>
      <c r="D63" s="39" t="inlineStr">
        <is>
          <t>SLEEPHORIA Cooling Sheets - BreezeWeave 4 PC California King Size Cooling Bed Sheets for Hot Sleepers &amp; Deep, Cool Rest - Cloud Soft, Silky Smooth, 16 in Deep Pocket, Ultra Durable (Light Blue)</t>
        </is>
      </c>
      <c r="E63" s="39" t="inlineStr">
        <is>
          <t>Cal King</t>
        </is>
      </c>
      <c r="F63" s="39" t="inlineStr">
        <is>
          <t>Light Blue</t>
        </is>
      </c>
      <c r="G63" s="40" t="n"/>
      <c r="H63" s="39" t="n"/>
      <c r="I63" s="74" t="n">
        <v>69.98999999999999</v>
      </c>
      <c r="J63" s="75" t="inlineStr">
        <is>
          <t>2026-03-30</t>
        </is>
      </c>
      <c r="K63" s="40" t="n">
        <v>19.57999999999999</v>
      </c>
      <c r="L63" s="76" t="n">
        <v>0.2797542506072295</v>
      </c>
      <c r="M63" s="77" t="n"/>
      <c r="N63" s="39" t="inlineStr">
        <is>
          <t>Inactive</t>
        </is>
      </c>
      <c r="O63" s="39" t="n"/>
      <c r="P63" s="78" t="n"/>
      <c r="Q63" s="77" t="n"/>
      <c r="R63" s="77" t="n"/>
      <c r="S63" s="77" t="n"/>
      <c r="T63" s="39" t="n"/>
    </row>
    <row r="64" ht="62" customHeight="1">
      <c r="A64" s="12">
        <f>_xlfn.IMAGE("https://m.media-amazon.com/images/I/71IsX4lcKOL.jpg")</f>
        <v/>
      </c>
      <c r="B64" s="39" t="inlineStr">
        <is>
          <t>B0F7M1847R</t>
        </is>
      </c>
      <c r="C64" s="39" t="inlineStr">
        <is>
          <t>SL-COOLING-SHEET-CAL-KING-LIGHT-GREY</t>
        </is>
      </c>
      <c r="D64" s="39" t="inlineStr">
        <is>
          <t>SLEEPHORIA Cooling Sheets - BreezeWeave 4 PC California King Size Cooling Bed Sheets for Hot Sleepers &amp; Deep, Cool Rest - Cloud Soft, Silky Smooth, 16 in Deep Pocket, Ultra Durable (Light Grey)</t>
        </is>
      </c>
      <c r="E64" s="39" t="inlineStr">
        <is>
          <t>Cal King</t>
        </is>
      </c>
      <c r="F64" s="39" t="inlineStr">
        <is>
          <t>Light Grey</t>
        </is>
      </c>
      <c r="G64" s="40" t="n"/>
      <c r="H64" s="39" t="n"/>
      <c r="I64" s="74" t="n">
        <v>69.98999999999999</v>
      </c>
      <c r="J64" s="75" t="inlineStr">
        <is>
          <t>2026-03-04</t>
        </is>
      </c>
      <c r="K64" s="40" t="n">
        <v>19.73</v>
      </c>
      <c r="L64" s="76" t="n">
        <v>0.2818974139162737</v>
      </c>
      <c r="M64" s="77" t="n"/>
      <c r="N64" s="39" t="inlineStr">
        <is>
          <t>Inactive</t>
        </is>
      </c>
      <c r="O64" s="39" t="n"/>
      <c r="P64" s="78" t="n"/>
      <c r="Q64" s="77" t="n"/>
      <c r="R64" s="77" t="n"/>
      <c r="S64" s="77" t="n"/>
      <c r="T64" s="39" t="n"/>
    </row>
    <row r="65" ht="62" customHeight="1">
      <c r="A65" s="12">
        <f>_xlfn.IMAGE("https://m.media-amazon.com/images/I/71cZAUJYwDL.jpg")</f>
        <v/>
      </c>
      <c r="B65" s="39" t="inlineStr">
        <is>
          <t>B0F7LZLX1T</t>
        </is>
      </c>
      <c r="C65" s="39" t="inlineStr">
        <is>
          <t>SL-COOLING-SHEET-CAL-KING-LIGHT-PINK</t>
        </is>
      </c>
      <c r="D65" s="39" t="inlineStr">
        <is>
          <t>SLEEPHORIA Cooling Sheets - BreezeWeave 4 PC California King Size Cooling Bed Sheets for Hot Sleepers &amp; Deep, Cool Rest - Cloud Soft, Silky Smooth, 16 in Deep Pocket, Ultra Durable (Light Pink)</t>
        </is>
      </c>
      <c r="E65" s="39" t="inlineStr">
        <is>
          <t>Cal King</t>
        </is>
      </c>
      <c r="F65" s="39" t="inlineStr">
        <is>
          <t>Light Pink</t>
        </is>
      </c>
      <c r="G65" s="40" t="n"/>
      <c r="H65" s="39" t="n"/>
      <c r="I65" s="74" t="n">
        <v>69.98999999999999</v>
      </c>
      <c r="J65" s="75" t="inlineStr">
        <is>
          <t>2026-03-30</t>
        </is>
      </c>
      <c r="K65" s="40" t="n">
        <v>19.88999999999999</v>
      </c>
      <c r="L65" s="76" t="n">
        <v>0.2841834547792541</v>
      </c>
      <c r="M65" s="77" t="n"/>
      <c r="N65" s="39" t="inlineStr">
        <is>
          <t>Inactive</t>
        </is>
      </c>
      <c r="O65" s="39" t="n"/>
      <c r="P65" s="78" t="n"/>
      <c r="Q65" s="77" t="n"/>
      <c r="R65" s="77" t="n"/>
      <c r="S65" s="77" t="n"/>
      <c r="T65" s="39" t="n"/>
    </row>
    <row r="66" ht="62" customHeight="1">
      <c r="A66" s="12">
        <f>_xlfn.IMAGE("https://m.media-amazon.com/images/I/71zC97UTBkL.jpg")</f>
        <v/>
      </c>
      <c r="B66" s="39" t="inlineStr">
        <is>
          <t>B0F7LWSXSC</t>
        </is>
      </c>
      <c r="C66" s="39" t="inlineStr">
        <is>
          <t>SL-COOLING-SHEET-CAL-KING-SAGE-GREEN</t>
        </is>
      </c>
      <c r="D66" s="39" t="inlineStr">
        <is>
          <t>SLEEPHORIA Cooling Sheets - BreezeWeave 4 PC California King Size Cooling Bed Sheets for Hot Sleepers &amp; Deep, Cool Rest - Cloud Soft, Silky Smooth, 16 in Deep Pocket, Ultra Durable (Sage Green)</t>
        </is>
      </c>
      <c r="E66" s="39" t="inlineStr">
        <is>
          <t>Cal King</t>
        </is>
      </c>
      <c r="F66" s="39" t="inlineStr">
        <is>
          <t>Sage Green</t>
        </is>
      </c>
      <c r="G66" s="40" t="n"/>
      <c r="H66" s="39" t="n"/>
      <c r="I66" s="74" t="n">
        <v>69.98999999999999</v>
      </c>
      <c r="J66" s="75" t="inlineStr">
        <is>
          <t>2026-03-30</t>
        </is>
      </c>
      <c r="K66" s="40" t="n">
        <v>19.73</v>
      </c>
      <c r="L66" s="76" t="n">
        <v>0.2818974139162737</v>
      </c>
      <c r="M66" s="77" t="n"/>
      <c r="N66" s="39" t="inlineStr">
        <is>
          <t>Inactive</t>
        </is>
      </c>
      <c r="O66" s="39" t="n"/>
      <c r="P66" s="78" t="n"/>
      <c r="Q66" s="77" t="n"/>
      <c r="R66" s="77" t="n"/>
      <c r="S66" s="77" t="n"/>
      <c r="T66" s="39" t="n"/>
    </row>
    <row r="67" ht="62" customHeight="1">
      <c r="A67" s="12">
        <f>_xlfn.IMAGE("https://m.media-amazon.com/images/I/71wucpiYBHL.jpg")</f>
        <v/>
      </c>
      <c r="B67" s="39" t="inlineStr">
        <is>
          <t>B0F7LX3RH7</t>
        </is>
      </c>
      <c r="C67" s="39" t="inlineStr">
        <is>
          <t>SL-COOLING-SHEET-FULL-CREAM</t>
        </is>
      </c>
      <c r="D67" s="39" t="inlineStr">
        <is>
          <t>SLEEPHORIA Cooling Sheets - BreezeWeave 4 PC Full Size Cooling Bed Sheets for Hot Sleepers &amp; Deep, Cool Rest - Cloud Soft, Silky Smooth, 16 in Deep Pocket, Ultra Durable (Cream)</t>
        </is>
      </c>
      <c r="E67" s="39" t="inlineStr">
        <is>
          <t>Full</t>
        </is>
      </c>
      <c r="F67" s="39" t="inlineStr">
        <is>
          <t>Cream</t>
        </is>
      </c>
      <c r="G67" s="73" t="n">
        <v>64.98999999999999</v>
      </c>
      <c r="H67" s="39" t="inlineStr">
        <is>
          <t>catalog price, 2026-10-13</t>
        </is>
      </c>
      <c r="I67" s="74" t="n">
        <v>59.99</v>
      </c>
      <c r="J67" s="75" t="inlineStr">
        <is>
          <t>2026-03-30</t>
        </is>
      </c>
      <c r="K67" s="40" t="n">
        <v>17.32</v>
      </c>
      <c r="L67" s="76" t="n">
        <v>0.288714785797633</v>
      </c>
      <c r="M67" s="77" t="n">
        <v>0</v>
      </c>
      <c r="N67" s="39" t="inlineStr">
        <is>
          <t>Active</t>
        </is>
      </c>
      <c r="O67" s="39" t="n"/>
      <c r="P67" s="78" t="n">
        <v>4.4</v>
      </c>
      <c r="Q67" s="77" t="n">
        <v>894</v>
      </c>
      <c r="R67" s="77" t="n">
        <v>98970</v>
      </c>
      <c r="S67" s="77" t="n">
        <v>7</v>
      </c>
      <c r="T67" s="39" t="n"/>
    </row>
    <row r="68" ht="62" customHeight="1">
      <c r="A68" s="12">
        <f>_xlfn.IMAGE("https://m.media-amazon.com/images/I/71f2mmi0EcL.jpg")</f>
        <v/>
      </c>
      <c r="B68" s="39" t="inlineStr">
        <is>
          <t>B0F7LZMK4N</t>
        </is>
      </c>
      <c r="C68" s="39" t="inlineStr">
        <is>
          <t>SL-COOLING-SHEET-KING-BEIGE</t>
        </is>
      </c>
      <c r="D68" s="39" t="inlineStr">
        <is>
          <t>SLEEPHORIA Cooling Sheets - BreezeWeave 4 PC King Size Cooling Bed Sheets for Hot Sleepers &amp; Deep, Cool Rest - Cloud Soft, Silky Smooth, 16 in Deep Pocket, Ultra Durable (Beige)</t>
        </is>
      </c>
      <c r="E68" s="39" t="inlineStr">
        <is>
          <t>King</t>
        </is>
      </c>
      <c r="F68" s="39" t="inlineStr">
        <is>
          <t>Beige</t>
        </is>
      </c>
      <c r="G68" s="40" t="n"/>
      <c r="H68" s="39" t="n"/>
      <c r="I68" s="74" t="n">
        <v>76.98999999999999</v>
      </c>
      <c r="J68" s="75" t="inlineStr">
        <is>
          <t>2026-03-24</t>
        </is>
      </c>
      <c r="K68" s="40" t="n">
        <v>26.61</v>
      </c>
      <c r="L68" s="76" t="n">
        <v>0.3456293025068191</v>
      </c>
      <c r="M68" s="77" t="n"/>
      <c r="N68" s="39" t="inlineStr">
        <is>
          <t>Inactive</t>
        </is>
      </c>
      <c r="O68" s="39" t="n"/>
      <c r="P68" s="78" t="n"/>
      <c r="Q68" s="77" t="n"/>
      <c r="R68" s="77" t="n"/>
      <c r="S68" s="77" t="n"/>
      <c r="T68" s="39" t="n"/>
    </row>
    <row r="69" ht="62" customHeight="1">
      <c r="A69" s="12">
        <f>_xlfn.IMAGE("https://m.media-amazon.com/images/I/71Yi7AA7VHL.jpg")</f>
        <v/>
      </c>
      <c r="B69" s="39" t="inlineStr">
        <is>
          <t>B0H9YXJS4Y</t>
        </is>
      </c>
      <c r="C69" s="39" t="inlineStr">
        <is>
          <t>SL-COOLING-SHEET-KING-MIDNIGHT-BLACK-4PC</t>
        </is>
      </c>
      <c r="D69" s="39" t="inlineStr">
        <is>
          <t>SLEEPHORIA Cooling Sheets - BreezeWeave 4 PC King Size Cooling Bed Sheets for Hot Sleepers &amp; Deep, Cool Rest - Cloud Soft, Silky Smooth, 16 in Deep Pocket, Ultra Durable (Black)</t>
        </is>
      </c>
      <c r="E69" s="39" t="inlineStr">
        <is>
          <t>King</t>
        </is>
      </c>
      <c r="F69" s="39" t="inlineStr">
        <is>
          <t>Black</t>
        </is>
      </c>
      <c r="G69" s="40" t="n"/>
      <c r="H69" s="39" t="n"/>
      <c r="I69" s="40" t="n"/>
      <c r="J69" s="39" t="n"/>
      <c r="K69" s="40" t="n"/>
      <c r="L69" s="76" t="n"/>
      <c r="M69" s="77" t="n"/>
      <c r="N69" s="39" t="inlineStr">
        <is>
          <t>Inactive</t>
        </is>
      </c>
      <c r="O69" s="39" t="n"/>
      <c r="P69" s="78" t="n"/>
      <c r="Q69" s="77" t="n"/>
      <c r="R69" s="77" t="n"/>
      <c r="S69" s="77" t="n"/>
      <c r="T69" s="39" t="n"/>
    </row>
    <row r="70" ht="62" customHeight="1">
      <c r="A70" s="12">
        <f>_xlfn.IMAGE("https://m.media-amazon.com/images/I/71E9a6e52xL.jpg")</f>
        <v/>
      </c>
      <c r="B70" s="39" t="inlineStr">
        <is>
          <t>B0HKNJ736G</t>
        </is>
      </c>
      <c r="C70" s="39" t="inlineStr">
        <is>
          <t>SL-COOLING-SHEET-4PCS-KING-COOL-GREY</t>
        </is>
      </c>
      <c r="D70" s="39" t="inlineStr">
        <is>
          <t>SLEEPHORIA Cooling Sheets - BreezeWeave 4 PC King Size Cooling Bed Sheets for Hot Sleepers &amp; Deep, Cool Rest - Cloud Soft, Silky Smooth, 16 in Deep Pocket, Ultra Durable (Cool Grey)</t>
        </is>
      </c>
      <c r="E70" s="39" t="inlineStr">
        <is>
          <t>King</t>
        </is>
      </c>
      <c r="F70" s="39" t="inlineStr">
        <is>
          <t>Cool Grey</t>
        </is>
      </c>
      <c r="G70" s="40" t="n"/>
      <c r="H70" s="39" t="n"/>
      <c r="I70" s="40" t="n"/>
      <c r="J70" s="39" t="n"/>
      <c r="K70" s="40" t="n"/>
      <c r="L70" s="76" t="n"/>
      <c r="M70" s="77" t="n"/>
      <c r="N70" s="39" t="inlineStr">
        <is>
          <t>Inactive</t>
        </is>
      </c>
      <c r="O70" s="39" t="n"/>
      <c r="P70" s="78" t="n"/>
      <c r="Q70" s="77" t="n"/>
      <c r="R70" s="77" t="n"/>
      <c r="S70" s="77" t="n"/>
      <c r="T70" s="39" t="n"/>
    </row>
    <row r="71" ht="62" customHeight="1">
      <c r="A71" s="12">
        <f>_xlfn.IMAGE("https://m.media-amazon.com/images/I/71zC97UTBkL.jpg")</f>
        <v/>
      </c>
      <c r="B71" s="39" t="inlineStr">
        <is>
          <t>B0F7LZCWQW</t>
        </is>
      </c>
      <c r="C71" s="39" t="inlineStr">
        <is>
          <t>SL-COOLING-SHEET-KING-SAGE-GREEN</t>
        </is>
      </c>
      <c r="D71" s="39" t="inlineStr">
        <is>
          <t>SLEEPHORIA Cooling Sheets - BreezeWeave 4 PC King Size Cooling Bed Sheets for Hot Sleepers &amp; Deep, Cool Rest - Cloud Soft, Silky Smooth, 16 in Deep Pocket, Ultra Durable (Sage Green)</t>
        </is>
      </c>
      <c r="E71" s="39" t="inlineStr">
        <is>
          <t>King</t>
        </is>
      </c>
      <c r="F71" s="39" t="inlineStr">
        <is>
          <t>Sage Green</t>
        </is>
      </c>
      <c r="G71" s="40" t="n"/>
      <c r="H71" s="39" t="n"/>
      <c r="I71" s="74" t="n">
        <v>76.98999999999999</v>
      </c>
      <c r="J71" s="75" t="inlineStr">
        <is>
          <t>2026-03-30</t>
        </is>
      </c>
      <c r="K71" s="40" t="n">
        <v>26.53</v>
      </c>
      <c r="L71" s="76" t="n">
        <v>0.3445902065203273</v>
      </c>
      <c r="M71" s="77" t="n">
        <v>0</v>
      </c>
      <c r="N71" s="39" t="inlineStr">
        <is>
          <t>Inactive</t>
        </is>
      </c>
      <c r="O71" s="39" t="n"/>
      <c r="P71" s="78" t="n"/>
      <c r="Q71" s="77" t="n"/>
      <c r="R71" s="77" t="n"/>
      <c r="S71" s="77" t="n"/>
      <c r="T71" s="39" t="n"/>
    </row>
    <row r="72" ht="62" customHeight="1">
      <c r="A72" s="12">
        <f>_xlfn.IMAGE("https://m.media-amazon.com/images/I/81JDVBgWOSL.jpg")</f>
        <v/>
      </c>
      <c r="B72" s="39" t="inlineStr">
        <is>
          <t>B0HK541FW9</t>
        </is>
      </c>
      <c r="C72" s="39" t="inlineStr">
        <is>
          <t>SATIN-WHITE-6PCS-KING</t>
        </is>
      </c>
      <c r="D72" s="39" t="inlineStr">
        <is>
          <t>DECOLURE Satin Sheets King Size | Softer Than Silk | Luxury 6 Pc Bed Set</t>
        </is>
      </c>
      <c r="E72" s="39" t="inlineStr">
        <is>
          <t>King</t>
        </is>
      </c>
      <c r="F72" s="39" t="inlineStr">
        <is>
          <t>White</t>
        </is>
      </c>
      <c r="G72" s="40" t="n"/>
      <c r="H72" s="39" t="n"/>
      <c r="I72" s="40" t="n"/>
      <c r="J72" s="39" t="n"/>
      <c r="K72" s="40" t="n"/>
      <c r="L72" s="76" t="n"/>
      <c r="M72" s="77" t="n"/>
      <c r="N72" s="39" t="inlineStr">
        <is>
          <t>Inactive</t>
        </is>
      </c>
      <c r="O72" s="39" t="n"/>
      <c r="P72" s="78" t="n"/>
      <c r="Q72" s="77" t="n"/>
      <c r="R72" s="77" t="n"/>
      <c r="S72" s="77" t="n"/>
      <c r="T72" s="39" t="n"/>
    </row>
    <row r="73" ht="62" customHeight="1">
      <c r="A73" s="12">
        <f>_xlfn.IMAGE("https://m.media-amazon.com/images/I/71E9a6e52xL.jpg")</f>
        <v/>
      </c>
      <c r="B73" s="39" t="inlineStr">
        <is>
          <t>B0HKN34G76</t>
        </is>
      </c>
      <c r="C73" s="39" t="inlineStr">
        <is>
          <t>SL-COOLING-SHEET-4PCS-QUEEN-COOL-GREY</t>
        </is>
      </c>
      <c r="D73" s="39" t="inlineStr">
        <is>
          <t>SLEEPHORIA Cooling Sheets - BreezeWeave 4 PC Queen Size Cooling Bed Sheets for Hot Sleepers &amp; Deep, Cool Rest - Cloud Soft, Silky Smooth, 16 in Deep Pocket, Ultra Durable (Cool Grey)</t>
        </is>
      </c>
      <c r="E73" s="39" t="inlineStr">
        <is>
          <t>Queen</t>
        </is>
      </c>
      <c r="F73" s="39" t="inlineStr">
        <is>
          <t>Cool Grey</t>
        </is>
      </c>
      <c r="G73" s="40" t="n"/>
      <c r="H73" s="39" t="n"/>
      <c r="I73" s="40" t="n"/>
      <c r="J73" s="39" t="n"/>
      <c r="K73" s="40" t="n"/>
      <c r="L73" s="76" t="n"/>
      <c r="M73" s="77" t="n"/>
      <c r="N73" s="39" t="inlineStr">
        <is>
          <t>Inactive</t>
        </is>
      </c>
      <c r="O73" s="39" t="n"/>
      <c r="P73" s="78" t="n"/>
      <c r="Q73" s="77" t="n"/>
      <c r="R73" s="77" t="n"/>
      <c r="S73" s="77" t="n"/>
      <c r="T73" s="39" t="n"/>
    </row>
    <row r="74" ht="62" customHeight="1">
      <c r="A74" s="12">
        <f>_xlfn.IMAGE("https://m.media-amazon.com/images/I/71f2mmi0EcL.jpg")</f>
        <v/>
      </c>
      <c r="B74" s="39" t="inlineStr">
        <is>
          <t>B0F7LX6353</t>
        </is>
      </c>
      <c r="C74" s="39" t="inlineStr">
        <is>
          <t>SL-COOLING-SHEET-TWIN-BEIGE</t>
        </is>
      </c>
      <c r="D74" s="39" t="inlineStr">
        <is>
          <t>SLEEPHORIA Cooling Sheets - BreezeWeave 3 PC Twin Size Cooling Bed Sheets for Hot Sleepers &amp; Deep, Cool Rest - Cloud Soft, Silky Smooth, 16 in Deep Pocket, Ultra Durable (Beige)</t>
        </is>
      </c>
      <c r="E74" s="39" t="inlineStr">
        <is>
          <t>Twin</t>
        </is>
      </c>
      <c r="F74" s="39" t="inlineStr">
        <is>
          <t>Beige</t>
        </is>
      </c>
      <c r="G74" s="73" t="n">
        <v>59.99</v>
      </c>
      <c r="H74" s="39" t="inlineStr">
        <is>
          <t>catalog price, 2026-10-13</t>
        </is>
      </c>
      <c r="I74" s="74" t="n">
        <v>49.99</v>
      </c>
      <c r="J74" s="75" t="inlineStr">
        <is>
          <t>2026-03-30</t>
        </is>
      </c>
      <c r="K74" s="40" t="n">
        <v>14.07</v>
      </c>
      <c r="L74" s="76" t="n">
        <v>0.2814562912582517</v>
      </c>
      <c r="M74" s="77" t="n">
        <v>0</v>
      </c>
      <c r="N74" s="39" t="inlineStr">
        <is>
          <t>Active</t>
        </is>
      </c>
      <c r="O74" s="39" t="n"/>
      <c r="P74" s="78" t="n">
        <v>4.4</v>
      </c>
      <c r="Q74" s="77" t="n">
        <v>894</v>
      </c>
      <c r="R74" s="77" t="n">
        <v>98970</v>
      </c>
      <c r="S74" s="77" t="n">
        <v>9</v>
      </c>
      <c r="T74" s="39" t="n"/>
    </row>
    <row r="75" ht="62" customHeight="1">
      <c r="A75" s="12">
        <f>_xlfn.IMAGE("https://m.media-amazon.com/images/I/71IsX4lcKOL.jpg")</f>
        <v/>
      </c>
      <c r="B75" s="39" t="inlineStr">
        <is>
          <t>B0F7LZ3ZQJ</t>
        </is>
      </c>
      <c r="C75" s="39" t="inlineStr">
        <is>
          <t>SL-COOLING-SHEET-TWIN-LIGHT-GREY</t>
        </is>
      </c>
      <c r="D75" s="39" t="inlineStr">
        <is>
          <t>SLEEPHORIA Cooling Sheets - BreezeWeave 3 PC Twin Size Cooling Bed Sheets for Hot Sleepers &amp; Deep, Cool Rest - Cloud Soft, Silky Smooth, 16 in Deep Pocket, Ultra Durable (Light Grey)</t>
        </is>
      </c>
      <c r="E75" s="39" t="inlineStr">
        <is>
          <t>Twin</t>
        </is>
      </c>
      <c r="F75" s="39" t="inlineStr">
        <is>
          <t>Light Grey</t>
        </is>
      </c>
      <c r="G75" s="40" t="n"/>
      <c r="H75" s="39" t="n"/>
      <c r="I75" s="74" t="n">
        <v>56.99</v>
      </c>
      <c r="J75" s="75" t="inlineStr">
        <is>
          <t>2026-03-30</t>
        </is>
      </c>
      <c r="K75" s="40" t="n">
        <v>19.06</v>
      </c>
      <c r="L75" s="76" t="n">
        <v>0.3344446394104228</v>
      </c>
      <c r="M75" s="77" t="n">
        <v>0</v>
      </c>
      <c r="N75" s="39" t="inlineStr">
        <is>
          <t>Inactive</t>
        </is>
      </c>
      <c r="O75" s="39" t="n"/>
      <c r="P75" s="78" t="n"/>
      <c r="Q75" s="77" t="n"/>
      <c r="R75" s="77" t="n"/>
      <c r="S75" s="77" t="n"/>
      <c r="T75" s="39" t="n"/>
    </row>
    <row r="76" ht="62" customHeight="1">
      <c r="A76" s="12">
        <f>_xlfn.IMAGE("https://m.media-amazon.com/images/I/71Yi7AA7VHL.jpg")</f>
        <v/>
      </c>
      <c r="B76" s="39" t="inlineStr">
        <is>
          <t>B0F7LXP5ZF</t>
        </is>
      </c>
      <c r="C76" s="39" t="inlineStr">
        <is>
          <t>SL-COOLING-SHEET-TWIN-MIDNIGHT-BLACK</t>
        </is>
      </c>
      <c r="D76" s="39" t="inlineStr">
        <is>
          <t>SLEEPHORIA Cooling Sheets - BreezeWeave 3 PC Twin Size Cooling Bed Sheets for Hot Sleepers &amp; Deep, Cool Rest - Cloud Soft, Silky Smooth, 16 in Deep Pocket, Ultra Durable (Midnight Black)</t>
        </is>
      </c>
      <c r="E76" s="39" t="inlineStr">
        <is>
          <t>Twin</t>
        </is>
      </c>
      <c r="F76" s="39" t="inlineStr">
        <is>
          <t>Midnight Black</t>
        </is>
      </c>
      <c r="G76" s="40" t="n"/>
      <c r="H76" s="39" t="n"/>
      <c r="I76" s="74" t="n">
        <v>49.99</v>
      </c>
      <c r="J76" s="75" t="inlineStr">
        <is>
          <t>2026-03-30</t>
        </is>
      </c>
      <c r="K76" s="40" t="n">
        <v>13.53</v>
      </c>
      <c r="L76" s="76" t="n">
        <v>0.2706541308261653</v>
      </c>
      <c r="M76" s="77" t="n"/>
      <c r="N76" s="39" t="inlineStr">
        <is>
          <t>Inactive</t>
        </is>
      </c>
      <c r="O76" s="39" t="n"/>
      <c r="P76" s="78" t="n"/>
      <c r="Q76" s="77" t="n"/>
      <c r="R76" s="77" t="n"/>
      <c r="S76" s="77" t="n"/>
      <c r="T76" s="39" t="n"/>
    </row>
    <row r="77" ht="62" customHeight="1">
      <c r="A77" s="12">
        <f>_xlfn.IMAGE("https://m.media-amazon.com/images/I/71WtuLuQ2wL.jpg")</f>
        <v/>
      </c>
      <c r="B77" s="39" t="inlineStr">
        <is>
          <t>B0F7LXNNGZ</t>
        </is>
      </c>
      <c r="C77" s="39" t="inlineStr">
        <is>
          <t>SL-COOLING-SHEET-TWIN-REGAL-PURPLE</t>
        </is>
      </c>
      <c r="D77" s="39" t="inlineStr">
        <is>
          <t>SLEEPHORIA Cooling Sheets - BreezeWeave 3 PC Twin Size Cooling Bed Sheets for Hot Sleepers &amp; Deep, Cool Rest - Cloud Soft, Silky Smooth, 16 in Deep Pocket, Ultra Durable (Regal Purple)</t>
        </is>
      </c>
      <c r="E77" s="39" t="inlineStr">
        <is>
          <t>Twin</t>
        </is>
      </c>
      <c r="F77" s="39" t="inlineStr">
        <is>
          <t>Regal Purple</t>
        </is>
      </c>
      <c r="G77" s="40" t="n"/>
      <c r="H77" s="39" t="n"/>
      <c r="I77" s="74" t="n">
        <v>49.99</v>
      </c>
      <c r="J77" s="75" t="inlineStr">
        <is>
          <t>2026-03-30</t>
        </is>
      </c>
      <c r="K77" s="40" t="n">
        <v>13.53</v>
      </c>
      <c r="L77" s="76" t="n">
        <v>0.2706541308261653</v>
      </c>
      <c r="M77" s="77" t="n"/>
      <c r="N77" s="39" t="inlineStr">
        <is>
          <t>Inactive</t>
        </is>
      </c>
      <c r="O77" s="39" t="n"/>
      <c r="P77" s="78" t="n"/>
      <c r="Q77" s="77" t="n"/>
      <c r="R77" s="77" t="n"/>
      <c r="S77" s="77" t="n"/>
      <c r="T77" s="39" t="n"/>
    </row>
    <row r="78" ht="62" customHeight="1">
      <c r="A78" s="12">
        <f>_xlfn.IMAGE("https://m.media-amazon.com/images/I/71zC97UTBkL.jpg")</f>
        <v/>
      </c>
      <c r="B78" s="39" t="inlineStr">
        <is>
          <t>B0F7LWY93Q</t>
        </is>
      </c>
      <c r="C78" s="39" t="inlineStr">
        <is>
          <t>SL-COOLING-SHEET-TWIN-SAGE-GREEN</t>
        </is>
      </c>
      <c r="D78" s="39" t="inlineStr">
        <is>
          <t>SLEEPHORIA Cooling Sheets - BreezeWeave 3 PC Twin Size Cooling Bed Sheets for Hot Sleepers &amp; Deep, Cool Rest - Cloud Soft, Silky Smooth, 16 in Deep Pocket, Ultra Durable (Sage Green)</t>
        </is>
      </c>
      <c r="E78" s="39" t="inlineStr">
        <is>
          <t>Twin</t>
        </is>
      </c>
      <c r="F78" s="39" t="inlineStr">
        <is>
          <t>Sage Green</t>
        </is>
      </c>
      <c r="G78" s="40" t="n"/>
      <c r="H78" s="39" t="n"/>
      <c r="I78" s="74" t="n">
        <v>49.99</v>
      </c>
      <c r="J78" s="75" t="inlineStr">
        <is>
          <t>2026-03-30</t>
        </is>
      </c>
      <c r="K78" s="40" t="n">
        <v>13.53</v>
      </c>
      <c r="L78" s="76" t="n">
        <v>0.2706541308261653</v>
      </c>
      <c r="M78" s="77" t="n"/>
      <c r="N78" s="39" t="inlineStr">
        <is>
          <t>Inactive</t>
        </is>
      </c>
      <c r="O78" s="39" t="n"/>
      <c r="P78" s="78" t="n"/>
      <c r="Q78" s="77" t="n"/>
      <c r="R78" s="77" t="n"/>
      <c r="S78" s="77" t="n"/>
      <c r="T78" s="39" t="n"/>
    </row>
    <row r="79"/>
    <row r="80" ht="22" customHeight="1">
      <c r="A80" s="65" t="inlineStr">
        <is>
          <t>3 ▼</t>
        </is>
      </c>
      <c r="B80" s="66" t="inlineStr">
        <is>
          <t>OUR BFCM 2025 RESULT &amp; EVENT VISIBILITY</t>
        </is>
      </c>
      <c r="C80" s="67" t="n"/>
      <c r="D80" s="67" t="n"/>
      <c r="E80" s="67" t="n"/>
      <c r="F80" s="67" t="n"/>
      <c r="G80" s="67" t="n"/>
      <c r="H80" s="67" t="n"/>
      <c r="I80" s="67" t="n"/>
      <c r="J80" s="67" t="n"/>
      <c r="K80" s="67" t="n"/>
      <c r="L80" s="67" t="n"/>
      <c r="M80" s="67" t="n"/>
      <c r="N80" s="67" t="n"/>
      <c r="O80" s="67" t="n"/>
      <c r="P80" s="67" t="n"/>
      <c r="Q80" s="67" t="n"/>
      <c r="R80" s="67" t="n"/>
      <c r="S80" s="67" t="n"/>
      <c r="T80" s="67" t="n"/>
      <c r="U80" s="67" t="n"/>
      <c r="V80" s="67" t="n"/>
      <c r="W80" s="67" t="n"/>
      <c r="X80" s="67" t="n"/>
      <c r="Y80" s="67" t="n"/>
      <c r="Z80" s="67" t="n"/>
      <c r="AA80" s="67" t="n"/>
      <c r="AB80" s="67" t="n"/>
      <c r="AC80" s="67" t="n"/>
      <c r="AD80" s="67" t="n"/>
      <c r="AE80" s="67" t="n"/>
      <c r="AF80" s="67" t="n"/>
      <c r="AG80" s="67" t="n"/>
      <c r="AH80" s="67" t="n"/>
      <c r="AI80" s="67" t="n"/>
      <c r="AJ80" s="67" t="n"/>
      <c r="AK80" s="67" t="n"/>
      <c r="AL80" s="67" t="n"/>
      <c r="AM80" s="67" t="n"/>
      <c r="AN80" s="67" t="n"/>
      <c r="AO80" s="67" t="n"/>
      <c r="AP80" s="67" t="n"/>
      <c r="AQ80" s="67" t="n"/>
      <c r="AR80" s="67" t="n"/>
      <c r="AS80" s="67" t="n"/>
      <c r="AT80" s="67" t="n"/>
      <c r="AU80" s="67" t="n"/>
      <c r="AV80" s="67" t="n"/>
      <c r="AW80" s="67" t="n"/>
      <c r="AX80" s="67" t="n"/>
      <c r="AY80" s="67" t="n"/>
      <c r="AZ80" s="67" t="n"/>
      <c r="BA80" s="67" t="n"/>
      <c r="BB80" s="67" t="n"/>
      <c r="BC80" s="67" t="n"/>
      <c r="BD80" s="67" t="n"/>
      <c r="BE80" s="67" t="n"/>
      <c r="BF80" s="67" t="n"/>
      <c r="BG80" s="67" t="n"/>
      <c r="BH80" s="67" t="n"/>
      <c r="BI80" s="67" t="n"/>
      <c r="BJ80" s="67" t="n"/>
      <c r="BK80" s="67" t="n"/>
    </row>
    <row r="81">
      <c r="A81" s="80" t="inlineStr">
        <is>
          <t>Window</t>
        </is>
      </c>
      <c r="B81" s="81" t="n"/>
      <c r="C81" s="82" t="n"/>
      <c r="D81" s="80" t="inlineStr">
        <is>
          <t>Ad spend</t>
        </is>
      </c>
      <c r="E81" s="80" t="inlineStr">
        <is>
          <t>Ad sales</t>
        </is>
      </c>
      <c r="F81" s="80" t="inlineStr">
        <is>
          <t>ACoS</t>
        </is>
      </c>
      <c r="G81" s="80" t="inlineStr">
        <is>
          <t>TACoS</t>
        </is>
      </c>
      <c r="H81" s="80" t="inlineStr">
        <is>
          <t>Total sales (derived)</t>
        </is>
      </c>
      <c r="J81" s="80" t="inlineStr">
        <is>
          <t>Ad orders</t>
        </is>
      </c>
      <c r="K81" s="80" t="inlineStr">
        <is>
          <t>CVR</t>
        </is>
      </c>
    </row>
    <row r="82">
      <c r="A82" s="83" t="inlineStr">
        <is>
          <t>Pre-event Oct 21 - Nov 19, 2025 (30d)</t>
        </is>
      </c>
      <c r="B82" s="81" t="n"/>
      <c r="C82" s="82" t="n"/>
      <c r="D82" s="84" t="n">
        <v>2846.91</v>
      </c>
      <c r="E82" s="84" t="n">
        <v>6611.829999999999</v>
      </c>
      <c r="F82" s="85" t="n">
        <v>43.1</v>
      </c>
      <c r="G82" s="85" t="n">
        <v>4.392370333421844</v>
      </c>
      <c r="H82" s="84" t="n">
        <v>64814.89</v>
      </c>
      <c r="J82" s="86" t="n">
        <v>112</v>
      </c>
      <c r="K82" s="87" t="n">
        <v>15.47</v>
      </c>
    </row>
    <row r="83">
      <c r="A83" s="83" t="inlineStr">
        <is>
          <t>BFCM week Nov 20 - Dec 1, 2025 (12d)</t>
        </is>
      </c>
      <c r="B83" s="81" t="n"/>
      <c r="C83" s="82" t="n"/>
      <c r="D83" s="84" t="n">
        <v>476.5599999999999</v>
      </c>
      <c r="E83" s="84" t="n">
        <v>2310.61</v>
      </c>
      <c r="F83" s="85" t="n">
        <v>20.6</v>
      </c>
      <c r="G83" s="85" t="n">
        <v>1.606180979144857</v>
      </c>
      <c r="H83" s="84" t="n">
        <v>29670.38</v>
      </c>
      <c r="J83" s="86" t="n">
        <v>39</v>
      </c>
      <c r="K83" s="87" t="n">
        <v>20</v>
      </c>
    </row>
    <row r="84">
      <c r="A84" s="83" t="inlineStr">
        <is>
          <t>December 2 - 31, 2025 (30d)</t>
        </is>
      </c>
      <c r="B84" s="81" t="n"/>
      <c r="C84" s="82" t="n"/>
      <c r="D84" s="84" t="n">
        <v>1429.12</v>
      </c>
      <c r="E84" s="84" t="n">
        <v>5645.759999999999</v>
      </c>
      <c r="F84" s="85" t="n">
        <v>25.3</v>
      </c>
      <c r="G84" s="85" t="n">
        <v>2.896073727967422</v>
      </c>
      <c r="H84" s="84" t="n">
        <v>49346.81</v>
      </c>
      <c r="J84" s="86" t="n">
        <v>102</v>
      </c>
      <c r="K84" s="87" t="n">
        <v>14.27</v>
      </c>
    </row>
    <row r="85"/>
    <row r="86">
      <c r="A86" s="80" t="inlineStr">
        <is>
          <t>Actual sales (account data)</t>
        </is>
      </c>
      <c r="B86" s="81" t="n"/>
      <c r="C86" s="82" t="n"/>
      <c r="D86" s="80" t="inlineStr">
        <is>
          <t>Sales</t>
        </is>
      </c>
      <c r="E86" s="80" t="inlineStr">
        <is>
          <t>Units</t>
        </is>
      </c>
      <c r="F86" s="80" t="inlineStr">
        <is>
          <t>Organic units</t>
        </is>
      </c>
      <c r="G86" s="80" t="inlineStr">
        <is>
          <t>Ad units</t>
        </is>
      </c>
      <c r="H86" s="80" t="inlineStr">
        <is>
          <t>Ad cost</t>
        </is>
      </c>
      <c r="J86" s="80" t="inlineStr">
        <is>
          <t>TACoS (actual)</t>
        </is>
      </c>
      <c r="K86" s="80" t="inlineStr">
        <is>
          <t>Sessions</t>
        </is>
      </c>
      <c r="L86" s="80" t="inlineStr">
        <is>
          <t>Unit session %</t>
        </is>
      </c>
      <c r="M86" s="80" t="inlineStr">
        <is>
          <t>Avg price</t>
        </is>
      </c>
      <c r="N86" s="80" t="inlineStr">
        <is>
          <t>Refunds</t>
        </is>
      </c>
    </row>
    <row r="87">
      <c r="A87" s="83" t="inlineStr">
        <is>
          <t>Pre-event Oct 21 - Nov 19, 2025 (30d)</t>
        </is>
      </c>
      <c r="B87" s="81" t="n"/>
      <c r="C87" s="82" t="n"/>
      <c r="D87" s="84" t="n">
        <v>76193.21000000001</v>
      </c>
      <c r="E87" s="86" t="n">
        <v>1179</v>
      </c>
      <c r="F87" s="86" t="n">
        <v>1101</v>
      </c>
      <c r="G87" s="86" t="n">
        <v>78</v>
      </c>
      <c r="H87" s="84" t="n">
        <v>13837.96</v>
      </c>
      <c r="J87" s="88" t="n">
        <v>0.1816167083654829</v>
      </c>
      <c r="K87" s="86" t="n">
        <v>20660</v>
      </c>
      <c r="L87" s="88" t="n">
        <v>0.05706679574056147</v>
      </c>
      <c r="M87" s="89" t="n">
        <v>64.62528413910094</v>
      </c>
      <c r="N87" s="86" t="n">
        <v>63</v>
      </c>
    </row>
    <row r="88">
      <c r="A88" s="83" t="inlineStr">
        <is>
          <t>BFCM week Nov 20 - Dec 1, 2025 (12d)</t>
        </is>
      </c>
      <c r="B88" s="81" t="n"/>
      <c r="C88" s="82" t="n"/>
      <c r="D88" s="84" t="n">
        <v>35309.54</v>
      </c>
      <c r="E88" s="86" t="n">
        <v>547</v>
      </c>
      <c r="F88" s="86" t="n">
        <v>529</v>
      </c>
      <c r="G88" s="86" t="n">
        <v>18</v>
      </c>
      <c r="H88" s="84" t="n">
        <v>2503.28</v>
      </c>
      <c r="J88" s="88" t="n">
        <v>0.07089528778907911</v>
      </c>
      <c r="K88" s="86" t="n">
        <v>7571</v>
      </c>
      <c r="L88" s="88" t="n">
        <v>0.07224937260599656</v>
      </c>
      <c r="M88" s="89" t="n">
        <v>64.55126142595978</v>
      </c>
      <c r="N88" s="86" t="n">
        <v>21</v>
      </c>
    </row>
    <row r="89">
      <c r="A89" s="83" t="inlineStr">
        <is>
          <t>December 2 - 31, 2025 (30d)</t>
        </is>
      </c>
      <c r="B89" s="81" t="n"/>
      <c r="C89" s="82" t="n"/>
      <c r="D89" s="84" t="n">
        <v>57985.49999999999</v>
      </c>
      <c r="E89" s="86" t="n">
        <v>912</v>
      </c>
      <c r="F89" s="86" t="n">
        <v>847</v>
      </c>
      <c r="G89" s="86" t="n">
        <v>65</v>
      </c>
      <c r="H89" s="84" t="n">
        <v>6154.26</v>
      </c>
      <c r="J89" s="88" t="n">
        <v>0.1061344646506454</v>
      </c>
      <c r="K89" s="86" t="n">
        <v>14467</v>
      </c>
      <c r="L89" s="88" t="n">
        <v>0.06304002211930601</v>
      </c>
      <c r="M89" s="89" t="n">
        <v>63.58059210526315</v>
      </c>
      <c r="N89" s="86" t="n">
        <v>47</v>
      </c>
    </row>
    <row r="90">
      <c r="A90" s="90" t="inlineStr">
        <is>
          <t>account data, Amazon parent B0H8PNVWP1 plus any of this product's child ASINs account data lists on their own, UTC days. Lift above uses these actual sales (1.16x; the ad-spend estimate was 1.14x).</t>
        </is>
      </c>
    </row>
    <row r="91" ht="18" customHeight="1">
      <c r="A91" s="91" t="inlineStr">
        <is>
          <t>Deals Nov 1 - Dec 5, 2025: no record returned by the deal records promotions feed. Unknown, not proof that no deal ran.</t>
        </is>
      </c>
    </row>
    <row r="92" ht="18" customHeight="1">
      <c r="A92" s="92" t="inlineStr">
        <is>
          <t>BFCM 2026 plan: Best Deal 11/19-11/30. Deal price and depth not yet given; not yet visible in Amazon's deal feed.</t>
        </is>
      </c>
    </row>
    <row r="93" ht="30" customHeight="1">
      <c r="A93" s="94" t="inlineStr">
        <is>
          <t>BFCM 2026 stock (account data, Oct 15): 3,570 units at Amazon + 2,742 already sent (no ETA in account data); selling 23.7 a day; need about 1,134 to Nov 30 with a 1.16x BFCM lift (own BFCM 2025 lift (account data)). Variations: 41 covered, 8 need the inbound in time, 3 short even with inbound (62 units), 7 out of stock now. Detail: BFCM Stock tab.</t>
        </is>
      </c>
    </row>
    <row r="94" ht="18" customHeight="1">
      <c r="A94" s="95" t="inlineStr">
        <is>
          <t>ASSUMED 2026 deal prices, until the team's final: B0F7LZQNHM today $84.99; $72.24 at 15% off (Nov 19-26) and $67.99 at 20% off (Nov 27-30, Black Friday to Cyber Monday). Rule: team rule agreed Oct 15, 2026. Evidence: our BFCM 2025 deal on B0F7LZQNHM (US, price history): $69.99 before, $69.99 during, 0% off; US competitors' median price cut in BFCM 2025: 21% (7 rivals). Amazon may use a lower reference price than today's (it sets it the day before the deal), which would lower the deal price.</t>
        </is>
      </c>
    </row>
    <row r="95" ht="30" customHeight="1">
      <c r="A95" s="91" t="inlineStr">
        <is>
          <t>Our hero child B0F7LZQNHM in price history (market data, US): price $69.99 before (median Nov 1-19) → $69.99 in BFCM week (median Nov 20 - Dec 1), no cut; lowest $69.99; Best Seller Rank 33,935 → 46,117 (1.36x worse). Price is price history's lowest new offer (price history holds no Buy Box series for our own ASINs; we are the only seller).</t>
        </is>
      </c>
    </row>
    <row r="96" ht="40" customHeight="1">
      <c r="A96" s="91" t="inlineStr">
        <is>
          <t>Stock in BFCM week 2025 (FBA inventory snapshots, child-ASIN level, revision 2): 10 of 54 variations hit zero FBA stock on at least one observed day; weighted by today's sales mix that is ~14.4% of variation-days lost. Most important: B0F7LZQNHM 4/9 days; B0F7LXS4FK 6/9 days; B0F7LX5ZQN 9/9 days; B0F7LZ27F2 3/5 days. Days with no snapshot (Nov 26-27 and Dec 1, Cyber Monday), inferred from sales that day and the readings either side: 93 of 168 variation-days in stock, 14 out of stock, 61 unknown. Inferred, not a stock reading.</t>
        </is>
      </c>
    </row>
    <row r="97">
      <c r="A97" s="90" t="inlineStr">
        <is>
          <t>No market data visibility history for our best child ASIN.</t>
        </is>
      </c>
    </row>
    <row r="98"/>
    <row r="99" ht="22" customHeight="1">
      <c r="A99" s="65" t="inlineStr">
        <is>
          <t>4 ▼</t>
        </is>
      </c>
      <c r="B99" s="66" t="inlineStr">
        <is>
          <t>COMPETITOR LANDSCAPE (36 mapped)</t>
        </is>
      </c>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c r="AC99" s="67" t="n"/>
      <c r="AD99" s="67" t="n"/>
      <c r="AE99" s="67" t="n"/>
      <c r="AF99" s="67" t="n"/>
      <c r="AG99" s="67" t="n"/>
      <c r="AH99" s="67" t="n"/>
      <c r="AI99" s="67" t="n"/>
      <c r="AJ99" s="67" t="n"/>
      <c r="AK99" s="67" t="n"/>
      <c r="AL99" s="67" t="n"/>
      <c r="AM99" s="67" t="n"/>
      <c r="AN99" s="67" t="n"/>
      <c r="AO99" s="67" t="n"/>
      <c r="AP99" s="67" t="n"/>
      <c r="AQ99" s="67" t="n"/>
      <c r="AR99" s="67" t="n"/>
      <c r="AS99" s="67" t="n"/>
      <c r="AT99" s="67" t="n"/>
      <c r="AU99" s="67" t="n"/>
      <c r="AV99" s="67" t="n"/>
      <c r="AW99" s="67" t="n"/>
      <c r="AX99" s="67" t="n"/>
      <c r="AY99" s="67" t="n"/>
      <c r="AZ99" s="67" t="n"/>
      <c r="BA99" s="67" t="n"/>
      <c r="BB99" s="67" t="n"/>
      <c r="BC99" s="67" t="n"/>
      <c r="BD99" s="67" t="n"/>
      <c r="BE99" s="67" t="n"/>
      <c r="BF99" s="67" t="n"/>
      <c r="BG99" s="67" t="n"/>
      <c r="BH99" s="67" t="n"/>
      <c r="BI99" s="67" t="n"/>
      <c r="BJ99" s="67" t="n"/>
      <c r="BK99" s="67" t="n"/>
    </row>
    <row r="100" ht="20" customHeight="1">
      <c r="A100" s="96" t="inlineStr">
        <is>
          <t>▼▼▼</t>
        </is>
      </c>
      <c r="B100" s="97" t="inlineStr">
        <is>
          <t>COMPETITOR DATA BELOW: one row per competitor (8 direct first, then alternative material). Scroll right for listing, search, strikethrough now and BFCM 2025 history (deal type, price, discount, rank change).</t>
        </is>
      </c>
      <c r="C100" s="98" t="n"/>
      <c r="D100" s="98" t="n"/>
      <c r="E100" s="98" t="n"/>
      <c r="F100" s="98" t="n"/>
      <c r="G100" s="98" t="n"/>
      <c r="H100" s="98" t="n"/>
      <c r="I100" s="98" t="n"/>
      <c r="J100" s="98" t="n"/>
      <c r="K100" s="98" t="n"/>
      <c r="L100" s="98" t="n"/>
      <c r="M100" s="98" t="n"/>
      <c r="N100" s="98" t="n"/>
      <c r="O100" s="98" t="n"/>
      <c r="P100" s="98" t="n"/>
      <c r="Q100" s="98" t="n"/>
      <c r="R100" s="98" t="n"/>
      <c r="S100" s="98" t="n"/>
      <c r="T100" s="98" t="n"/>
      <c r="U100" s="98" t="n"/>
      <c r="V100" s="98" t="n"/>
      <c r="W100" s="98" t="n"/>
      <c r="X100" s="98" t="n"/>
      <c r="Y100" s="98" t="n"/>
      <c r="Z100" s="98" t="n"/>
      <c r="AA100" s="98" t="n"/>
      <c r="AB100" s="98" t="n"/>
      <c r="AC100" s="98" t="n"/>
      <c r="AD100" s="98" t="n"/>
      <c r="AE100" s="98" t="n"/>
      <c r="AF100" s="98" t="n"/>
      <c r="AG100" s="98" t="n"/>
      <c r="AH100" s="98" t="n"/>
      <c r="AI100" s="98" t="n"/>
      <c r="AJ100" s="98" t="n"/>
      <c r="AK100" s="98" t="n"/>
      <c r="AL100" s="98" t="n"/>
      <c r="AM100" s="98" t="n"/>
      <c r="AN100" s="98" t="n"/>
      <c r="AO100" s="98" t="n"/>
      <c r="AP100" s="98" t="n"/>
      <c r="AQ100" s="98" t="n"/>
      <c r="AR100" s="98" t="n"/>
      <c r="AS100" s="98" t="n"/>
      <c r="AT100" s="98" t="n"/>
      <c r="AU100" s="98" t="n"/>
      <c r="AV100" s="98" t="n"/>
      <c r="AW100" s="98" t="n"/>
      <c r="AX100" s="98" t="n"/>
      <c r="AY100" s="98" t="n"/>
      <c r="AZ100" s="98" t="n"/>
      <c r="BA100" s="98" t="n"/>
      <c r="BB100" s="98" t="n"/>
      <c r="BC100" s="98" t="n"/>
      <c r="BD100" s="98" t="n"/>
      <c r="BE100" s="98" t="n"/>
      <c r="BF100" s="98" t="n"/>
      <c r="BG100" s="98" t="n"/>
      <c r="BH100" s="98" t="n"/>
      <c r="BI100" s="98" t="n"/>
      <c r="BJ100" s="98" t="n"/>
      <c r="BK100" s="98" t="n"/>
    </row>
    <row r="101">
      <c r="A101" s="99" t="inlineStr">
        <is>
          <t>COMPETITOR</t>
        </is>
      </c>
      <c r="L101" s="100" t="inlineStr">
        <is>
          <t>LISTING - catalog data</t>
        </is>
      </c>
      <c r="M101" s="101" t="inlineStr">
        <is>
          <t>SEARCH STRATEGY - market data search data</t>
        </is>
      </c>
      <c r="N101" s="102" t="inlineStr">
        <is>
          <t>PRICE &amp; SALES - market data snapshot (date per row)</t>
        </is>
      </c>
      <c r="AA101" s="100" t="inlineStr">
        <is>
          <t>LISTING - catalog data</t>
        </is>
      </c>
      <c r="AD101" s="101" t="inlineStr">
        <is>
          <t>SEARCH STRATEGY - market data search data</t>
        </is>
      </c>
      <c r="AU101" s="103" t="inlineStr">
        <is>
          <t>STR NOW - Amazon page check (Oct 13, P1 + P2)</t>
        </is>
      </c>
      <c r="BB101" s="104" t="inlineStr">
        <is>
          <t>BFCM 2025 - price history (P1 filled; yellow = not pulled yet)</t>
        </is>
      </c>
    </row>
    <row r="102" ht="48" customHeight="1">
      <c r="A102" s="26" t="inlineStr">
        <is>
          <t>Image</t>
        </is>
      </c>
      <c r="B102" s="26" t="inlineStr">
        <is>
          <t>Brand</t>
        </is>
      </c>
      <c r="C102" s="26" t="inlineStr">
        <is>
          <t>Product title</t>
        </is>
      </c>
      <c r="D102" s="26" t="inlineStr">
        <is>
          <t>Tier</t>
        </is>
      </c>
      <c r="E102" s="26" t="inlineStr">
        <is>
          <t>Competitor type</t>
        </is>
      </c>
      <c r="F102" s="26" t="inlineStr">
        <is>
          <t>Material</t>
        </is>
      </c>
      <c r="G102" s="26" t="inlineStr">
        <is>
          <t>Why this type</t>
        </is>
      </c>
      <c r="H102" s="26" t="inlineStr">
        <is>
          <t>Parent ASIN</t>
        </is>
      </c>
      <c r="I102" s="26" t="inlineStr">
        <is>
          <t>Tracked child ASIN</t>
        </is>
      </c>
      <c r="J102" s="26" t="inlineStr">
        <is>
          <t>Size</t>
        </is>
      </c>
      <c r="K102" s="26" t="inlineStr">
        <is>
          <t>Colour</t>
        </is>
      </c>
      <c r="L102" s="26" t="inlineStr">
        <is>
          <t>Variations</t>
        </is>
      </c>
      <c r="M102" s="26" t="inlineStr">
        <is>
          <t>Hero child ASINs (share of their visibility)</t>
        </is>
      </c>
      <c r="N102" s="26" t="inlineStr">
        <is>
          <t>Price ($)</t>
        </is>
      </c>
      <c r="O102" s="26" t="inlineStr">
        <is>
          <t>List Price ($)</t>
        </is>
      </c>
      <c r="P102" s="26" t="inlineStr">
        <is>
          <t>List Price % over</t>
        </is>
      </c>
      <c r="Q102" s="26" t="inlineStr">
        <is>
          <t>STR band</t>
        </is>
      </c>
      <c r="R102" s="26" t="inlineStr">
        <is>
          <t>Our price, same size ($)</t>
        </is>
      </c>
      <c r="S102" s="26" t="inlineStr">
        <is>
          <t>Their price vs ours</t>
        </is>
      </c>
      <c r="T102" s="26" t="inlineStr">
        <is>
          <t>Comparison basis</t>
        </is>
      </c>
      <c r="U102" s="26" t="inlineStr">
        <is>
          <t>BSR</t>
        </is>
      </c>
      <c r="V102" s="26" t="inlineStr">
        <is>
          <t>Est weekly units</t>
        </is>
      </c>
      <c r="W102" s="26" t="inlineStr">
        <is>
          <t>Est monthly revenue ($)</t>
        </is>
      </c>
      <c r="X102" s="26" t="inlineStr">
        <is>
          <t>Rating</t>
        </is>
      </c>
      <c r="Y102" s="26" t="inlineStr">
        <is>
          <t>Reviews</t>
        </is>
      </c>
      <c r="Z102" s="26" t="inlineStr">
        <is>
          <t>Snapshot date</t>
        </is>
      </c>
      <c r="AA102" s="26" t="inlineStr">
        <is>
          <t>Listed</t>
        </is>
      </c>
      <c r="AB102" s="26" t="inlineStr">
        <is>
          <t>Fulfil.</t>
        </is>
      </c>
      <c r="AC102" s="26" t="inlineStr">
        <is>
          <t>Seller country</t>
        </is>
      </c>
      <c r="AD102" s="26" t="inlineStr">
        <is>
          <t>search data 7d traffic</t>
        </is>
      </c>
      <c r="AE102" s="26" t="inlineStr">
        <is>
          <t>Keywords ranked</t>
        </is>
      </c>
      <c r="AF102" s="26" t="inlineStr">
        <is>
          <t>Organic share of traffic</t>
        </is>
      </c>
      <c r="AG102" s="26" t="inlineStr">
        <is>
          <t>Ad share of traffic</t>
        </is>
      </c>
      <c r="AH102" s="26" t="inlineStr">
        <is>
          <t>Top keyword</t>
        </is>
      </c>
      <c r="AI102" s="26" t="inlineStr">
        <is>
          <t>SP reach</t>
        </is>
      </c>
      <c r="AJ102" s="26" t="inlineStr">
        <is>
          <t>SB reach</t>
        </is>
      </c>
      <c r="AK102" s="26" t="inlineStr">
        <is>
          <t>SB video reach</t>
        </is>
      </c>
      <c r="AL102" s="26" t="inlineStr">
        <is>
          <t>Amazon's Choice reach</t>
        </is>
      </c>
      <c r="AM102" s="26" t="inlineStr">
        <is>
          <t>Shared keywords</t>
        </is>
      </c>
      <c r="AN102" s="26" t="inlineStr">
        <is>
          <t>We win</t>
        </is>
      </c>
      <c r="AO102" s="26" t="inlineStr">
        <is>
          <t>We lose</t>
        </is>
      </c>
      <c r="AP102" s="26" t="inlineStr">
        <is>
          <t>Their keywords we miss</t>
        </is>
      </c>
      <c r="AQ102" s="26" t="inlineStr">
        <is>
          <t>KWs they advertise, we don't</t>
        </is>
      </c>
      <c r="AR102" s="26" t="inlineStr">
        <is>
          <t>KWs they out-advertise us</t>
        </is>
      </c>
      <c r="AS102" s="26" t="inlineStr">
        <is>
          <t>Prime Day 2026 organic vis lift</t>
        </is>
      </c>
      <c r="AT102" s="26" t="inlineStr">
        <is>
          <t>Organic trend (Aug-Sep vs Q2)</t>
        </is>
      </c>
      <c r="AU102" s="26" t="inlineStr">
        <is>
          <t>STR showing now? (Y/N)</t>
        </is>
      </c>
      <c r="AV102" s="26" t="inlineStr">
        <is>
          <t>STR label</t>
        </is>
      </c>
      <c r="AW102" s="26" t="inlineStr">
        <is>
          <t>Strikethrough price ($)</t>
        </is>
      </c>
      <c r="AX102" s="26" t="inlineStr">
        <is>
          <t>Page price at check ($)</t>
        </is>
      </c>
      <c r="AY102" s="26" t="inlineStr">
        <is>
          <t>Deal / coupon now</t>
        </is>
      </c>
      <c r="AZ102" s="26" t="inlineStr">
        <is>
          <t>Orderable now (Y/N)</t>
        </is>
      </c>
      <c r="BA102" s="26" t="inlineStr">
        <is>
          <t>Checked (ET)</t>
        </is>
      </c>
      <c r="BB102" s="26" t="inlineStr">
        <is>
          <t>BFCM 2025 deal type</t>
        </is>
      </c>
      <c r="BC102" s="26" t="inlineStr">
        <is>
          <t>BFCM 2025 deal dates</t>
        </is>
      </c>
      <c r="BD102" s="26" t="inlineStr">
        <is>
          <t>Pre-event price ($)</t>
        </is>
      </c>
      <c r="BE102" s="26" t="inlineStr">
        <is>
          <t>BFCM 2025 low ($)</t>
        </is>
      </c>
      <c r="BF102" s="26" t="inlineStr">
        <is>
          <t>BFCM 2025 discount</t>
        </is>
      </c>
      <c r="BG102" s="26" t="inlineStr">
        <is>
          <t>BSR pre-event</t>
        </is>
      </c>
      <c r="BH102" s="26" t="inlineStr">
        <is>
          <t>BSR BFCM wk</t>
        </is>
      </c>
      <c r="BI102" s="26" t="inlineStr">
        <is>
          <t>BSR lift (x)</t>
        </is>
      </c>
      <c r="BJ102" s="26" t="inlineStr">
        <is>
          <t>OOS in BFCM? (Y/N)</t>
        </is>
      </c>
      <c r="BK102" s="26" t="inlineStr">
        <is>
          <t>Notes</t>
        </is>
      </c>
    </row>
    <row r="103" ht="62" customHeight="1">
      <c r="A103" s="12">
        <f>_xlfn.IMAGE("https://m.media-amazon.com/images/I/71lWpVXtIFL._AC_SL1500_.jpg")</f>
        <v/>
      </c>
      <c r="B103" s="105" t="inlineStr">
        <is>
          <t>REST</t>
        </is>
      </c>
      <c r="C103" s="39" t="inlineStr">
        <is>
          <t>Cooling Sheets</t>
        </is>
      </c>
      <c r="D103" s="105" t="inlineStr">
        <is>
          <t>Beatable</t>
        </is>
      </c>
      <c r="E103" s="106" t="inlineStr">
        <is>
          <t>Direct</t>
        </is>
      </c>
      <c r="F103" s="105" t="inlineStr">
        <is>
          <t>Synthetic cooling knit</t>
        </is>
      </c>
      <c r="G103" s="39" t="inlineStr">
        <is>
          <t>Same product (sheet set) in the same material family: Synthetic cooling knit (product page material: Antistatic, IONIC+ Silver Nylon, Nylon, Spandex, Skin Friend); ours: BreezeWeave cooling fabric, nylon-spandex like CooLoom (confirmed Oct 15, 2026).</t>
        </is>
      </c>
      <c r="H103" s="107" t="inlineStr">
        <is>
          <t>B0HC6866B7</t>
        </is>
      </c>
      <c r="I103" s="107" t="inlineStr">
        <is>
          <t>B0D9JHBBCZ</t>
        </is>
      </c>
      <c r="J103" s="105" t="inlineStr">
        <is>
          <t>Queen</t>
        </is>
      </c>
      <c r="K103" s="105" t="inlineStr">
        <is>
          <t>Midnight Blue</t>
        </is>
      </c>
      <c r="L103" s="108" t="n">
        <v>69</v>
      </c>
      <c r="M103" s="39" t="inlineStr">
        <is>
          <t>B0C56ZNQVQ (16%), B0BLYSGFRW (15%), B0BLYVMGYB (7%), B0BLYW9CJZ (7%), B0C56YLKZW (7%)</t>
        </is>
      </c>
      <c r="N103" s="109" t="n">
        <v>224.25</v>
      </c>
      <c r="O103" s="109" t="n">
        <v>299</v>
      </c>
      <c r="P103" s="110">
        <f>IF(AND(ISNUMBER(O103),ISNUMBER(N103),N(N103)&gt;0),O103/N103-1,"")</f>
        <v/>
      </c>
      <c r="Q103" s="111">
        <f>IF(P103="","No List Price",IF(P103&lt;=0,"At/below price",IF(P103&lt;=0.12,"&lt;=12% STR zone",IF(P103&lt;=0.25,"12-25%","&gt;25% over"))))</f>
        <v/>
      </c>
      <c r="R103" s="109" t="n">
        <v>79.98999999999999</v>
      </c>
      <c r="S103" s="112">
        <f>IF(AND(ISNUMBER(N103),ISNUMBER(R103),N(R103)&gt;0),N103/R103-1,"")</f>
        <v/>
      </c>
      <c r="T103" s="39" t="inlineStr">
        <is>
          <t>Same size (Queen). Ours live: catalog price, 2026-10-13; 11 children</t>
        </is>
      </c>
      <c r="U103" s="108" t="n">
        <v>5255</v>
      </c>
      <c r="V103" s="108" t="n">
        <v>81</v>
      </c>
      <c r="W103" s="113">
        <f>IF(AND(ISNUMBER(N103),ISNUMBER(V103)),N103*V103*52/12,"")</f>
        <v/>
      </c>
      <c r="X103" s="114" t="n">
        <v>4.3</v>
      </c>
      <c r="Y103" s="108" t="n">
        <v>1149</v>
      </c>
      <c r="Z103" s="115" t="n">
        <v>46307</v>
      </c>
      <c r="AA103" s="115" t="n"/>
      <c r="AB103" s="105" t="n"/>
      <c r="AC103" s="105" t="n"/>
      <c r="AD103" s="108" t="n">
        <v>522593</v>
      </c>
      <c r="AE103" s="108" t="n">
        <v>7281</v>
      </c>
      <c r="AF103" s="116" t="n">
        <v>0.2234137663535486</v>
      </c>
      <c r="AG103" s="116" t="n">
        <v>0.7765862336464519</v>
      </c>
      <c r="AH103" s="39" t="inlineStr">
        <is>
          <t>cooling sheets</t>
        </is>
      </c>
      <c r="AI103" s="116" t="n">
        <v>0.7800085343661319</v>
      </c>
      <c r="AJ103" s="116" t="n">
        <v>0.8614600654811679</v>
      </c>
      <c r="AK103" s="116" t="n">
        <v>0.4534561312531932</v>
      </c>
      <c r="AL103" s="116" t="n">
        <v>0.1182067115326841</v>
      </c>
      <c r="AM103" s="108" t="n">
        <v>285</v>
      </c>
      <c r="AN103" s="108" t="n">
        <v>31</v>
      </c>
      <c r="AO103" s="108" t="n">
        <v>217</v>
      </c>
      <c r="AP103" s="108" t="n">
        <v>6996</v>
      </c>
      <c r="AQ103" s="108" t="n">
        <v>3266</v>
      </c>
      <c r="AR103" s="108" t="n">
        <v>28</v>
      </c>
      <c r="AS103" s="117" t="n"/>
      <c r="AT103" s="112" t="n"/>
      <c r="AU103" s="118" t="inlineStr">
        <is>
          <t>Y</t>
        </is>
      </c>
      <c r="AV103" s="118" t="inlineStr">
        <is>
          <t>List Price</t>
        </is>
      </c>
      <c r="AW103" s="119" t="n">
        <v>299</v>
      </c>
      <c r="AX103" s="119" t="n">
        <v>224.25</v>
      </c>
      <c r="AY103" s="118" t="inlineStr">
        <is>
          <t>none</t>
        </is>
      </c>
      <c r="AZ103" s="118" t="inlineStr">
        <is>
          <t>Y</t>
        </is>
      </c>
      <c r="BA103" s="118" t="inlineStr">
        <is>
          <t>2026-10-13 12:12:07</t>
        </is>
      </c>
      <c r="BB103" s="120" t="inlineStr">
        <is>
          <t>Price cut only</t>
        </is>
      </c>
      <c r="BC103" s="120" t="inlineStr">
        <is>
          <t>11-20 to 12-01</t>
        </is>
      </c>
      <c r="BD103" s="121" t="n">
        <v>299</v>
      </c>
      <c r="BE103" s="121" t="n">
        <v>215.88</v>
      </c>
      <c r="BF103" s="110">
        <f>IF(AND(ISNUMBER(BD103),ISNUMBER(BE103),N(BD103)&gt;0),1-BE103/BD103,"")</f>
        <v/>
      </c>
      <c r="BG103" s="122" t="n">
        <v>30243</v>
      </c>
      <c r="BH103" s="122" t="n">
        <v>15706</v>
      </c>
      <c r="BI103" s="123">
        <f>IF(AND(ISNUMBER(BG103),ISNUMBER(BH103),N(BH103)&gt;0),BG103/BH103,"")</f>
        <v/>
      </c>
      <c r="BJ103" s="120" t="inlineStr">
        <is>
          <t>N</t>
        </is>
      </c>
      <c r="BK103" s="120" t="inlineStr">
        <is>
          <t>Lightning Deal 11-14 to 11-14; List Price $299.00</t>
        </is>
      </c>
    </row>
    <row r="104" ht="62" customHeight="1">
      <c r="A104" s="12">
        <f>_xlfn.IMAGE("https://m.media-amazon.com/images/I/81o+wGCszCL._AC_SL1500_.jpg")</f>
        <v/>
      </c>
      <c r="B104" s="105" t="inlineStr">
        <is>
          <t>Breescape</t>
        </is>
      </c>
      <c r="C104" s="39" t="inlineStr">
        <is>
          <t>Cooling Sheets</t>
        </is>
      </c>
      <c r="D104" s="105" t="inlineStr">
        <is>
          <t>Beatable</t>
        </is>
      </c>
      <c r="E104" s="106" t="inlineStr">
        <is>
          <t>Direct</t>
        </is>
      </c>
      <c r="F104" s="105" t="inlineStr">
        <is>
          <t>Synthetic cooling knit</t>
        </is>
      </c>
      <c r="G104" s="39" t="inlineStr">
        <is>
          <t>Same product (sheet set) in the same material family: Synthetic cooling knit (product page material: BlendTek Fabric: 69% Nylon, 20% Polyester, 11% Spandex); ours: BreezeWeave cooling fabric, nylon-spandex like CooLoom (confirmed Oct 15, 2026).</t>
        </is>
      </c>
      <c r="H104" s="107" t="inlineStr">
        <is>
          <t>B0H41M1N4B</t>
        </is>
      </c>
      <c r="I104" s="107" t="inlineStr">
        <is>
          <t>B0DSPZJKTB</t>
        </is>
      </c>
      <c r="J104" s="105" t="inlineStr">
        <is>
          <t>King</t>
        </is>
      </c>
      <c r="K104" s="105" t="inlineStr">
        <is>
          <t>Gray</t>
        </is>
      </c>
      <c r="L104" s="108" t="n">
        <v>26</v>
      </c>
      <c r="M104" s="39" t="inlineStr">
        <is>
          <t>B0DSPZJKTB (49%), B0DSPZSVFL (26%), B0DSPZKCCN (6%)</t>
        </is>
      </c>
      <c r="N104" s="109" t="n">
        <v>149.99</v>
      </c>
      <c r="O104" s="109" t="n">
        <v>179.99</v>
      </c>
      <c r="P104" s="110">
        <f>IF(AND(ISNUMBER(O104),ISNUMBER(N104),N(N104)&gt;0),O104/N104-1,"")</f>
        <v/>
      </c>
      <c r="Q104" s="111">
        <f>IF(P104="","No List Price",IF(P104&lt;=0,"At/below price",IF(P104&lt;=0.12,"&lt;=12% STR zone",IF(P104&lt;=0.25,"12-25%","&gt;25% over"))))</f>
        <v/>
      </c>
      <c r="R104" s="109" t="n">
        <v>84.98999999999999</v>
      </c>
      <c r="S104" s="112">
        <f>IF(AND(ISNUMBER(N104),ISNUMBER(R104),N(R104)&gt;0),N104/R104-1,"")</f>
        <v/>
      </c>
      <c r="T104" s="39" t="inlineStr">
        <is>
          <t>Same size (King). Ours live: catalog price, 2026-10-13; 6 children</t>
        </is>
      </c>
      <c r="U104" s="108" t="n">
        <v>49910</v>
      </c>
      <c r="V104" s="108" t="n">
        <v>35</v>
      </c>
      <c r="W104" s="113">
        <f>IF(AND(ISNUMBER(N104),ISNUMBER(V104)),N104*V104*52/12,"")</f>
        <v/>
      </c>
      <c r="X104" s="114" t="n">
        <v>4.2</v>
      </c>
      <c r="Y104" s="108" t="n">
        <v>595</v>
      </c>
      <c r="Z104" s="115" t="n">
        <v>46307</v>
      </c>
      <c r="AA104" s="115" t="n"/>
      <c r="AB104" s="105" t="n"/>
      <c r="AC104" s="105" t="n"/>
      <c r="AD104" s="108" t="n">
        <v>107224</v>
      </c>
      <c r="AE104" s="108" t="n">
        <v>1884</v>
      </c>
      <c r="AF104" s="116" t="n">
        <v>0.5282540960978878</v>
      </c>
      <c r="AG104" s="116" t="n">
        <v>0.4717459934343065</v>
      </c>
      <c r="AH104" s="39" t="inlineStr">
        <is>
          <t>cooling sheets</t>
        </is>
      </c>
      <c r="AI104" s="116" t="n">
        <v>0.853279116615683</v>
      </c>
      <c r="AJ104" s="116" t="n">
        <v>0.6382059986570171</v>
      </c>
      <c r="AK104" s="116" t="n">
        <v>0.7425203312691189</v>
      </c>
      <c r="AL104" s="116" t="n">
        <v>0.09657352831455644</v>
      </c>
      <c r="AM104" s="108" t="n">
        <v>246</v>
      </c>
      <c r="AN104" s="108" t="n">
        <v>48</v>
      </c>
      <c r="AO104" s="108" t="n">
        <v>160</v>
      </c>
      <c r="AP104" s="108" t="n">
        <v>1638</v>
      </c>
      <c r="AQ104" s="108" t="n">
        <v>500</v>
      </c>
      <c r="AR104" s="108" t="n">
        <v>23</v>
      </c>
      <c r="AS104" s="117" t="n">
        <v>1.443271767810026</v>
      </c>
      <c r="AT104" s="112" t="n">
        <v>0.2381786339754817</v>
      </c>
      <c r="AU104" s="118" t="inlineStr">
        <is>
          <t>Y</t>
        </is>
      </c>
      <c r="AV104" s="118" t="inlineStr">
        <is>
          <t>List Price</t>
        </is>
      </c>
      <c r="AW104" s="119" t="n">
        <v>179.99</v>
      </c>
      <c r="AX104" s="119" t="n">
        <v>149.99</v>
      </c>
      <c r="AY104" s="118" t="inlineStr">
        <is>
          <t>none</t>
        </is>
      </c>
      <c r="AZ104" s="118" t="inlineStr">
        <is>
          <t>Y</t>
        </is>
      </c>
      <c r="BA104" s="118" t="inlineStr">
        <is>
          <t>2026-10-13 12:11:52</t>
        </is>
      </c>
      <c r="BB104" s="120" t="inlineStr">
        <is>
          <t>Price cut only</t>
        </is>
      </c>
      <c r="BC104" s="120" t="inlineStr">
        <is>
          <t>11-20 to 12-01</t>
        </is>
      </c>
      <c r="BD104" s="121" t="n">
        <v>125.99</v>
      </c>
      <c r="BE104" s="121" t="n">
        <v>119.69</v>
      </c>
      <c r="BF104" s="110">
        <f>IF(AND(ISNUMBER(BD104),ISNUMBER(BE104),N(BD104)&gt;0),1-BE104/BD104,"")</f>
        <v/>
      </c>
      <c r="BG104" s="122" t="n">
        <v>74970</v>
      </c>
      <c r="BH104" s="122" t="n">
        <v>53655</v>
      </c>
      <c r="BI104" s="123">
        <f>IF(AND(ISNUMBER(BG104),ISNUMBER(BH104),N(BH104)&gt;0),BG104/BH104,"")</f>
        <v/>
      </c>
      <c r="BJ104" s="120" t="inlineStr">
        <is>
          <t>N</t>
        </is>
      </c>
      <c r="BK104" s="120" t="inlineStr">
        <is>
          <t>Coupon 30% (11-01 to 11-02); List Price $179.99</t>
        </is>
      </c>
    </row>
    <row r="105" ht="62" customHeight="1">
      <c r="A105" s="12">
        <f>_xlfn.IMAGE("https://m.media-amazon.com/images/I/71Ryqe-IHkL._AC_SL1500_.jpg")</f>
        <v/>
      </c>
      <c r="B105" s="105" t="inlineStr">
        <is>
          <t>REST</t>
        </is>
      </c>
      <c r="C105" s="39" t="inlineStr">
        <is>
          <t>Cooling Sheets 4/6 Pcs</t>
        </is>
      </c>
      <c r="D105" s="105" t="inlineStr">
        <is>
          <t>Beatable</t>
        </is>
      </c>
      <c r="E105" s="106" t="inlineStr">
        <is>
          <t>Direct</t>
        </is>
      </c>
      <c r="F105" s="105" t="inlineStr">
        <is>
          <t>Synthetic cooling knit</t>
        </is>
      </c>
      <c r="G105" s="39" t="inlineStr">
        <is>
          <t>Same product (sheet set) in the same material family: Synthetic cooling knit (product page material: IONIC+ Silver Nylon, Nylon, Spandex, Skin Friendly, Tear Res); ours: BreezeWeave cooling fabric, nylon-spandex like CooLoom (confirmed Oct 15, 2026).</t>
        </is>
      </c>
      <c r="H105" s="107" t="inlineStr">
        <is>
          <t>B0HC6866B7</t>
        </is>
      </c>
      <c r="I105" s="107" t="inlineStr">
        <is>
          <t>B0D25LDRPS</t>
        </is>
      </c>
      <c r="J105" s="105" t="inlineStr">
        <is>
          <t>King</t>
        </is>
      </c>
      <c r="K105" s="105" t="inlineStr">
        <is>
          <t>Midnight Blue</t>
        </is>
      </c>
      <c r="L105" s="108" t="n"/>
      <c r="M105" s="39" t="inlineStr"/>
      <c r="N105" s="109" t="n">
        <v>164.25</v>
      </c>
      <c r="O105" s="109" t="n">
        <v>219</v>
      </c>
      <c r="P105" s="110">
        <f>IF(AND(ISNUMBER(O105),ISNUMBER(N105),N(N105)&gt;0),O105/N105-1,"")</f>
        <v/>
      </c>
      <c r="Q105" s="111">
        <f>IF(P105="","No List Price",IF(P105&lt;=0,"At/below price",IF(P105&lt;=0.12,"&lt;=12% STR zone",IF(P105&lt;=0.25,"12-25%","&gt;25% over"))))</f>
        <v/>
      </c>
      <c r="R105" s="109" t="n">
        <v>84.98999999999999</v>
      </c>
      <c r="S105" s="112">
        <f>IF(AND(ISNUMBER(N105),ISNUMBER(R105),N(R105)&gt;0),N105/R105-1,"")</f>
        <v/>
      </c>
      <c r="T105" s="39" t="inlineStr">
        <is>
          <t>Same size (King). Ours live: catalog price, 2026-10-13; 6 children</t>
        </is>
      </c>
      <c r="U105" s="108" t="n">
        <v>5255</v>
      </c>
      <c r="V105" s="108" t="n">
        <v>35</v>
      </c>
      <c r="W105" s="113">
        <f>IF(AND(ISNUMBER(N105),ISNUMBER(V105)),N105*V105*52/12,"")</f>
        <v/>
      </c>
      <c r="X105" s="114" t="n">
        <v>4.3</v>
      </c>
      <c r="Y105" s="108" t="n">
        <v>1149</v>
      </c>
      <c r="Z105" s="115" t="n">
        <v>46307</v>
      </c>
      <c r="AA105" s="115" t="n"/>
      <c r="AB105" s="105" t="n"/>
      <c r="AC105" s="105" t="n"/>
      <c r="AD105" s="108" t="n"/>
      <c r="AE105" s="108" t="n"/>
      <c r="AF105" s="116" t="n"/>
      <c r="AG105" s="116" t="n"/>
      <c r="AH105" s="39" t="n"/>
      <c r="AI105" s="116" t="n"/>
      <c r="AJ105" s="116" t="n"/>
      <c r="AK105" s="116" t="n"/>
      <c r="AL105" s="116" t="n"/>
      <c r="AM105" s="108" t="n"/>
      <c r="AN105" s="108" t="n"/>
      <c r="AO105" s="108" t="n"/>
      <c r="AP105" s="108" t="n"/>
      <c r="AQ105" s="108" t="n"/>
      <c r="AR105" s="108" t="n"/>
      <c r="AS105" s="117" t="n"/>
      <c r="AT105" s="112" t="n"/>
      <c r="AU105" s="118" t="inlineStr">
        <is>
          <t>Y</t>
        </is>
      </c>
      <c r="AV105" s="118" t="inlineStr">
        <is>
          <t>List Price</t>
        </is>
      </c>
      <c r="AW105" s="119" t="n">
        <v>219</v>
      </c>
      <c r="AX105" s="119" t="n">
        <v>164.25</v>
      </c>
      <c r="AY105" s="118" t="inlineStr">
        <is>
          <t>none</t>
        </is>
      </c>
      <c r="AZ105" s="118" t="inlineStr">
        <is>
          <t>Y</t>
        </is>
      </c>
      <c r="BA105" s="118" t="inlineStr">
        <is>
          <t>2026-10-13 12:12:10</t>
        </is>
      </c>
      <c r="BB105" s="120" t="inlineStr">
        <is>
          <t>Price cut only</t>
        </is>
      </c>
      <c r="BC105" s="120" t="inlineStr">
        <is>
          <t>11-20 to 12-01</t>
        </is>
      </c>
      <c r="BD105" s="121" t="n">
        <v>219</v>
      </c>
      <c r="BE105" s="121" t="n">
        <v>158.12</v>
      </c>
      <c r="BF105" s="110">
        <f>IF(AND(ISNUMBER(BD105),ISNUMBER(BE105),N(BD105)&gt;0),1-BE105/BD105,"")</f>
        <v/>
      </c>
      <c r="BG105" s="122" t="n">
        <v>30250</v>
      </c>
      <c r="BH105" s="122" t="n">
        <v>15708</v>
      </c>
      <c r="BI105" s="123">
        <f>IF(AND(ISNUMBER(BG105),ISNUMBER(BH105),N(BH105)&gt;0),BG105/BH105,"")</f>
        <v/>
      </c>
      <c r="BJ105" s="120" t="inlineStr">
        <is>
          <t>N</t>
        </is>
      </c>
      <c r="BK105" s="120" t="inlineStr">
        <is>
          <t>Lightning Deal 11-14 to 11-14; List Price $219.00</t>
        </is>
      </c>
    </row>
    <row r="106" ht="62" customHeight="1">
      <c r="A106" s="12">
        <f>_xlfn.IMAGE("https://m.media-amazon.com/images/I/61rLGUnuOnL._AC_SL1500_.jpg")</f>
        <v/>
      </c>
      <c r="B106" s="105" t="inlineStr">
        <is>
          <t>SHEEX</t>
        </is>
      </c>
      <c r="C106" s="39" t="inlineStr">
        <is>
          <t>SHEEX - Original Performance Sheets Set (Queen) Graphite - Cooling Sheets - Mois</t>
        </is>
      </c>
      <c r="D106" s="105" t="inlineStr">
        <is>
          <t>Beatable</t>
        </is>
      </c>
      <c r="E106" s="106" t="inlineStr">
        <is>
          <t>Direct</t>
        </is>
      </c>
      <c r="F106" s="105" t="inlineStr">
        <is>
          <t>Synthetic cooling knit</t>
        </is>
      </c>
      <c r="G106" s="39" t="inlineStr">
        <is>
          <t>Same product (sheet set) in the same material family: Synthetic cooling knit (product page material: 87% Polyester/ 13% Spandex); ours: BreezeWeave cooling fabric, nylon-spandex like CooLoom (confirmed Oct 15, 2026).</t>
        </is>
      </c>
      <c r="H106" s="107" t="inlineStr">
        <is>
          <t>B081KX96XD</t>
        </is>
      </c>
      <c r="I106" s="107" t="inlineStr">
        <is>
          <t>B00EWJHJU4</t>
        </is>
      </c>
      <c r="J106" s="105" t="inlineStr">
        <is>
          <t>Queen</t>
        </is>
      </c>
      <c r="K106" s="105" t="inlineStr">
        <is>
          <t>Graphite</t>
        </is>
      </c>
      <c r="L106" s="108" t="n"/>
      <c r="M106" s="39" t="inlineStr"/>
      <c r="N106" s="109" t="n">
        <v>224.25</v>
      </c>
      <c r="O106" s="109" t="n"/>
      <c r="P106" s="110">
        <f>IF(AND(ISNUMBER(O106),ISNUMBER(N106),N(N106)&gt;0),O106/N106-1,"")</f>
        <v/>
      </c>
      <c r="Q106" s="111">
        <f>IF(P106="","No List Price",IF(P106&lt;=0,"At/below price",IF(P106&lt;=0.12,"&lt;=12% STR zone",IF(P106&lt;=0.25,"12-25%","&gt;25% over"))))</f>
        <v/>
      </c>
      <c r="R106" s="109" t="n">
        <v>79.98999999999999</v>
      </c>
      <c r="S106" s="112">
        <f>IF(AND(ISNUMBER(N106),ISNUMBER(R106),N(R106)&gt;0),N106/R106-1,"")</f>
        <v/>
      </c>
      <c r="T106" s="39" t="inlineStr">
        <is>
          <t>Same size (Queen). Ours live: catalog price, 2026-10-13; 11 children</t>
        </is>
      </c>
      <c r="U106" s="108" t="n">
        <v>74243</v>
      </c>
      <c r="V106" s="108" t="n">
        <v>5</v>
      </c>
      <c r="W106" s="113">
        <f>IF(AND(ISNUMBER(N106),ISNUMBER(V106)),N106*V106*52/12,"")</f>
        <v/>
      </c>
      <c r="X106" s="114" t="n">
        <v>4.4</v>
      </c>
      <c r="Y106" s="108" t="n">
        <v>3256</v>
      </c>
      <c r="Z106" s="115" t="n">
        <v>46307</v>
      </c>
      <c r="AA106" s="115" t="n"/>
      <c r="AB106" s="105" t="n"/>
      <c r="AC106" s="105" t="n"/>
      <c r="AD106" s="108" t="n"/>
      <c r="AE106" s="108" t="n"/>
      <c r="AF106" s="116" t="n"/>
      <c r="AG106" s="116" t="n"/>
      <c r="AH106" s="39" t="n"/>
      <c r="AI106" s="116" t="n"/>
      <c r="AJ106" s="116" t="n"/>
      <c r="AK106" s="116" t="n"/>
      <c r="AL106" s="116" t="n"/>
      <c r="AM106" s="108" t="n"/>
      <c r="AN106" s="108" t="n"/>
      <c r="AO106" s="108" t="n"/>
      <c r="AP106" s="108" t="n"/>
      <c r="AQ106" s="108" t="n"/>
      <c r="AR106" s="108" t="n"/>
      <c r="AS106" s="117" t="n"/>
      <c r="AT106" s="112" t="n"/>
      <c r="AU106" s="118" t="inlineStr">
        <is>
          <t>N</t>
        </is>
      </c>
      <c r="AV106" s="118" t="inlineStr">
        <is>
          <t>none</t>
        </is>
      </c>
      <c r="AW106" s="124" t="n"/>
      <c r="AX106" s="119" t="n">
        <v>224.25</v>
      </c>
      <c r="AY106" s="118" t="inlineStr">
        <is>
          <t>none</t>
        </is>
      </c>
      <c r="AZ106" s="118" t="inlineStr">
        <is>
          <t>Y</t>
        </is>
      </c>
      <c r="BA106" s="118" t="inlineStr">
        <is>
          <t>2026-10-13 12:12:14</t>
        </is>
      </c>
      <c r="BB106" s="120" t="inlineStr">
        <is>
          <t>None</t>
        </is>
      </c>
      <c r="BC106" s="125" t="n"/>
      <c r="BD106" s="121" t="n">
        <v>299</v>
      </c>
      <c r="BE106" s="121" t="n">
        <v>299</v>
      </c>
      <c r="BF106" s="110">
        <f>IF(AND(ISNUMBER(BD106),ISNUMBER(BE106),N(BD106)&gt;0),1-BE106/BD106,"")</f>
        <v/>
      </c>
      <c r="BG106" s="122" t="n">
        <v>116210</v>
      </c>
      <c r="BH106" s="122" t="n">
        <v>48170</v>
      </c>
      <c r="BI106" s="123">
        <f>IF(AND(ISNUMBER(BG106),ISNUMBER(BH106),N(BH106)&gt;0),BG106/BH106,"")</f>
        <v/>
      </c>
      <c r="BJ106" s="120" t="inlineStr">
        <is>
          <t>N</t>
        </is>
      </c>
      <c r="BK106" s="120" t="inlineStr">
        <is>
          <t>Coupon 25%, 30% (11-14 to 11-18); List Price $299.00</t>
        </is>
      </c>
    </row>
    <row r="107" ht="62" customHeight="1">
      <c r="A107" s="12">
        <f>_xlfn.IMAGE("https://m.media-amazon.com/images/I/6134+o8tDxL._AC_SL1500_.jpg")</f>
        <v/>
      </c>
      <c r="B107" s="105" t="inlineStr">
        <is>
          <t>CGK Unlimited</t>
        </is>
      </c>
      <c r="C107" s="39" t="inlineStr">
        <is>
          <t>Cooling Sheets Set Twin XL Size - 3 Piece Summer Bed Sheets for Hot Sleepers &amp; N</t>
        </is>
      </c>
      <c r="D107" s="105" t="inlineStr">
        <is>
          <t>Poor</t>
        </is>
      </c>
      <c r="E107" s="106" t="inlineStr">
        <is>
          <t>Direct</t>
        </is>
      </c>
      <c r="F107" s="105" t="inlineStr">
        <is>
          <t>Synthetic cooling knit</t>
        </is>
      </c>
      <c r="G107" s="39" t="inlineStr">
        <is>
          <t>Same product (sheet set) in the same material family: Synthetic cooling knit (product page material: Nylon, Spandex); ours: BreezeWeave cooling fabric, nylon-spandex like CooLoom (confirmed Oct 15, 2026).</t>
        </is>
      </c>
      <c r="H107" s="107" t="inlineStr">
        <is>
          <t>B0FT4VV426</t>
        </is>
      </c>
      <c r="I107" s="107" t="inlineStr">
        <is>
          <t>B0FT4TC7NV</t>
        </is>
      </c>
      <c r="J107" s="105" t="inlineStr">
        <is>
          <t>Twin</t>
        </is>
      </c>
      <c r="K107" s="105" t="inlineStr">
        <is>
          <t>06 - Sky Blue</t>
        </is>
      </c>
      <c r="L107" s="108" t="n"/>
      <c r="M107" s="39" t="inlineStr"/>
      <c r="N107" s="109" t="n">
        <v>57.99</v>
      </c>
      <c r="O107" s="109" t="n"/>
      <c r="P107" s="110">
        <f>IF(AND(ISNUMBER(O107),ISNUMBER(N107),N(N107)&gt;0),O107/N107-1,"")</f>
        <v/>
      </c>
      <c r="Q107" s="111">
        <f>IF(P107="","No List Price",IF(P107&lt;=0,"At/below price",IF(P107&lt;=0.12,"&lt;=12% STR zone",IF(P107&lt;=0.25,"12-25%","&gt;25% over"))))</f>
        <v/>
      </c>
      <c r="R107" s="109" t="n">
        <v>59.99</v>
      </c>
      <c r="S107" s="112">
        <f>IF(AND(ISNUMBER(N107),ISNUMBER(R107),N(R107)&gt;0),N107/R107-1,"")</f>
        <v/>
      </c>
      <c r="T107" s="39" t="inlineStr">
        <is>
          <t>Same size (Twin). Ours live: catalog price, 2026-10-13; 7 children</t>
        </is>
      </c>
      <c r="U107" s="108" t="n">
        <v>381427</v>
      </c>
      <c r="V107" s="108" t="n">
        <v>5</v>
      </c>
      <c r="W107" s="113">
        <f>IF(AND(ISNUMBER(N107),ISNUMBER(V107)),N107*V107*52/12,"")</f>
        <v/>
      </c>
      <c r="X107" s="114" t="n">
        <v>4.1</v>
      </c>
      <c r="Y107" s="108" t="n">
        <v>118</v>
      </c>
      <c r="Z107" s="115" t="n">
        <v>46307</v>
      </c>
      <c r="AA107" s="115" t="n"/>
      <c r="AB107" s="105" t="n"/>
      <c r="AC107" s="105" t="n"/>
      <c r="AD107" s="108" t="n"/>
      <c r="AE107" s="108" t="n"/>
      <c r="AF107" s="116" t="n"/>
      <c r="AG107" s="116" t="n"/>
      <c r="AH107" s="39" t="n"/>
      <c r="AI107" s="116" t="n"/>
      <c r="AJ107" s="116" t="n"/>
      <c r="AK107" s="116" t="n"/>
      <c r="AL107" s="116" t="n"/>
      <c r="AM107" s="108" t="n"/>
      <c r="AN107" s="108" t="n"/>
      <c r="AO107" s="108" t="n"/>
      <c r="AP107" s="108" t="n"/>
      <c r="AQ107" s="108" t="n"/>
      <c r="AR107" s="108" t="n"/>
      <c r="AS107" s="117" t="n"/>
      <c r="AT107" s="112" t="n"/>
      <c r="AU107" s="118" t="inlineStr">
        <is>
          <t>N</t>
        </is>
      </c>
      <c r="AV107" s="118" t="inlineStr">
        <is>
          <t>none</t>
        </is>
      </c>
      <c r="AW107" s="124" t="n"/>
      <c r="AX107" s="119" t="n">
        <v>57.99</v>
      </c>
      <c r="AY107" s="118" t="inlineStr">
        <is>
          <t>none</t>
        </is>
      </c>
      <c r="AZ107" s="118" t="inlineStr">
        <is>
          <t>Y</t>
        </is>
      </c>
      <c r="BA107" s="118" t="inlineStr">
        <is>
          <t>2026-10-13 23:37:53</t>
        </is>
      </c>
      <c r="BB107" s="120" t="inlineStr">
        <is>
          <t>Not live in 2025</t>
        </is>
      </c>
      <c r="BC107" s="125" t="n"/>
      <c r="BD107" s="124" t="n"/>
      <c r="BE107" s="124" t="n"/>
      <c r="BF107" s="110">
        <f>IF(AND(ISNUMBER(BD107),ISNUMBER(BE107),N(BD107)&gt;0),1-BE107/BD107,"")</f>
        <v/>
      </c>
      <c r="BG107" s="126" t="n"/>
      <c r="BH107" s="126" t="n"/>
      <c r="BI107" s="123">
        <f>IF(AND(ISNUMBER(BG107),ISNUMBER(BH107),N(BH107)&gt;0),BG107/BH107,"")</f>
        <v/>
      </c>
      <c r="BJ107" s="125" t="n"/>
      <c r="BK107" s="125" t="n"/>
    </row>
    <row r="108" ht="62" customHeight="1">
      <c r="A108" s="12">
        <f>_xlfn.IMAGE("https://m.media-amazon.com/images/I/613kYEKI4UL._AC_SL1500_.jpg")</f>
        <v/>
      </c>
      <c r="B108" s="105" t="inlineStr">
        <is>
          <t>DOWNCOOL</t>
        </is>
      </c>
      <c r="C108" s="39" t="inlineStr">
        <is>
          <t>Cooling Sheets</t>
        </is>
      </c>
      <c r="D108" s="105" t="inlineStr">
        <is>
          <t>Poor</t>
        </is>
      </c>
      <c r="E108" s="106" t="inlineStr">
        <is>
          <t>Direct</t>
        </is>
      </c>
      <c r="F108" s="105" t="inlineStr">
        <is>
          <t>Synthetic cooling knit</t>
        </is>
      </c>
      <c r="G108" s="39" t="inlineStr">
        <is>
          <t>Same product (sheet set) in the same material family: Synthetic cooling knit (product page material: Nylon); ours: BreezeWeave cooling fabric, nylon-spandex like CooLoom (confirmed Oct 15, 2026).</t>
        </is>
      </c>
      <c r="H108" s="107" t="inlineStr">
        <is>
          <t>B0F93XRVSZ</t>
        </is>
      </c>
      <c r="I108" s="107" t="inlineStr">
        <is>
          <t>B0F93XRVSZ</t>
        </is>
      </c>
      <c r="J108" s="105" t="inlineStr">
        <is>
          <t>Full</t>
        </is>
      </c>
      <c r="K108" s="105" t="inlineStr">
        <is>
          <t>White</t>
        </is>
      </c>
      <c r="L108" s="108" t="n"/>
      <c r="M108" s="39" t="inlineStr"/>
      <c r="N108" s="109" t="n">
        <v>139.99</v>
      </c>
      <c r="O108" s="109" t="n"/>
      <c r="P108" s="110">
        <f>IF(AND(ISNUMBER(O108),ISNUMBER(N108),N(N108)&gt;0),O108/N108-1,"")</f>
        <v/>
      </c>
      <c r="Q108" s="111">
        <f>IF(P108="","No List Price",IF(P108&lt;=0,"At/below price",IF(P108&lt;=0.12,"&lt;=12% STR zone",IF(P108&lt;=0.25,"12-25%","&gt;25% over"))))</f>
        <v/>
      </c>
      <c r="R108" s="109" t="n">
        <v>64.98999999999999</v>
      </c>
      <c r="S108" s="112">
        <f>IF(AND(ISNUMBER(N108),ISNUMBER(R108),N(R108)&gt;0),N108/R108-1,"")</f>
        <v/>
      </c>
      <c r="T108" s="39" t="inlineStr">
        <is>
          <t>Same size (Full). Ours live: catalog price, 2026-10-13; 10 children</t>
        </is>
      </c>
      <c r="U108" s="108" t="n">
        <v>2798999</v>
      </c>
      <c r="V108" s="108" t="n">
        <v>5</v>
      </c>
      <c r="W108" s="113">
        <f>IF(AND(ISNUMBER(N108),ISNUMBER(V108)),N108*V108*52/12,"")</f>
        <v/>
      </c>
      <c r="X108" s="114" t="n">
        <v>4.2</v>
      </c>
      <c r="Y108" s="108" t="n">
        <v>6</v>
      </c>
      <c r="Z108" s="115" t="n">
        <v>46279</v>
      </c>
      <c r="AA108" s="115" t="n"/>
      <c r="AB108" s="105" t="n"/>
      <c r="AC108" s="105" t="n"/>
      <c r="AD108" s="108" t="n"/>
      <c r="AE108" s="108" t="n"/>
      <c r="AF108" s="116" t="n"/>
      <c r="AG108" s="116" t="n"/>
      <c r="AH108" s="39" t="n"/>
      <c r="AI108" s="116" t="n"/>
      <c r="AJ108" s="116" t="n"/>
      <c r="AK108" s="116" t="n"/>
      <c r="AL108" s="116" t="n"/>
      <c r="AM108" s="108" t="n"/>
      <c r="AN108" s="108" t="n"/>
      <c r="AO108" s="108" t="n"/>
      <c r="AP108" s="108" t="n"/>
      <c r="AQ108" s="108" t="n"/>
      <c r="AR108" s="108" t="n"/>
      <c r="AS108" s="117" t="n"/>
      <c r="AT108" s="112" t="n"/>
      <c r="AU108" s="118" t="inlineStr">
        <is>
          <t>N</t>
        </is>
      </c>
      <c r="AV108" s="118" t="inlineStr">
        <is>
          <t>none</t>
        </is>
      </c>
      <c r="AW108" s="124" t="n"/>
      <c r="AX108" s="124" t="n"/>
      <c r="AY108" s="118" t="inlineStr">
        <is>
          <t>none</t>
        </is>
      </c>
      <c r="AZ108" s="118" t="inlineStr">
        <is>
          <t>N</t>
        </is>
      </c>
      <c r="BA108" s="118" t="inlineStr">
        <is>
          <t>2026-10-13 12:11:54</t>
        </is>
      </c>
      <c r="BB108" s="120" t="inlineStr">
        <is>
          <t>Prime Exclusive Discount</t>
        </is>
      </c>
      <c r="BC108" s="120" t="inlineStr">
        <is>
          <t>11-21 to 12-01</t>
        </is>
      </c>
      <c r="BD108" s="121" t="n">
        <v>35.99</v>
      </c>
      <c r="BE108" s="121" t="n">
        <v>29.99</v>
      </c>
      <c r="BF108" s="110">
        <f>IF(AND(ISNUMBER(BD108),ISNUMBER(BE108),N(BD108)&gt;0),1-BE108/BD108,"")</f>
        <v/>
      </c>
      <c r="BG108" s="122" t="n">
        <v>223574</v>
      </c>
      <c r="BH108" s="122" t="n">
        <v>226828</v>
      </c>
      <c r="BI108" s="123">
        <f>IF(AND(ISNUMBER(BG108),ISNUMBER(BH108),N(BH108)&gt;0),BG108/BH108,"")</f>
        <v/>
      </c>
      <c r="BJ108" s="120" t="inlineStr">
        <is>
          <t>N</t>
        </is>
      </c>
      <c r="BK108" s="120" t="inlineStr">
        <is>
          <t>Buy Box RAISED in BFCM week (median $69.99 vs $35.99 before); List Price $69.99</t>
        </is>
      </c>
    </row>
    <row r="109" ht="62" customHeight="1">
      <c r="A109" s="12">
        <f>_xlfn.IMAGE("https://m.media-amazon.com/images/I/71wuywu7aeL._AC_SL1500_.jpg")</f>
        <v/>
      </c>
      <c r="B109" s="105" t="inlineStr">
        <is>
          <t>Elegear</t>
        </is>
      </c>
      <c r="C109" s="39" t="inlineStr">
        <is>
          <t>Elegear Silver Infused Cooling Bed Sheets Queen, Arc-Chill® 3.0 Cool Tech, Silve</t>
        </is>
      </c>
      <c r="D109" s="105" t="inlineStr">
        <is>
          <t>Poor</t>
        </is>
      </c>
      <c r="E109" s="106" t="inlineStr">
        <is>
          <t>Direct</t>
        </is>
      </c>
      <c r="F109" s="105" t="inlineStr">
        <is>
          <t>Synthetic cooling knit</t>
        </is>
      </c>
      <c r="G109" s="39" t="inlineStr">
        <is>
          <t>Same product (sheet set) in the same material family: Synthetic cooling knit (product page material: Arc-Chill® 3.0 Fabric with Silver Ion Technology); ours: BreezeWeave cooling fabric, nylon-spandex like CooLoom (confirmed Oct 15, 2026).</t>
        </is>
      </c>
      <c r="H109" s="107" t="inlineStr">
        <is>
          <t>B0H7YWGBW3</t>
        </is>
      </c>
      <c r="I109" s="107" t="inlineStr">
        <is>
          <t>B0GCGXW1WT</t>
        </is>
      </c>
      <c r="J109" s="105" t="inlineStr">
        <is>
          <t>Queen (Flat Sheet: 90" x 102")</t>
        </is>
      </c>
      <c r="K109" s="105" t="inlineStr">
        <is>
          <t>White</t>
        </is>
      </c>
      <c r="L109" s="108" t="n">
        <v>8</v>
      </c>
      <c r="M109" s="39" t="inlineStr">
        <is>
          <t>B0GCHRGYZZ (25%), B0GCHG6VG6 (21%), B0GCH7FHV1 (18%), B0GCGXW1WT (11%), B0GCGXXC24 (10%)</t>
        </is>
      </c>
      <c r="N109" s="109" t="n">
        <v>67.98999999999999</v>
      </c>
      <c r="O109" s="109" t="n">
        <v>79.98999999999999</v>
      </c>
      <c r="P109" s="110">
        <f>IF(AND(ISNUMBER(O109),ISNUMBER(N109),N(N109)&gt;0),O109/N109-1,"")</f>
        <v/>
      </c>
      <c r="Q109" s="111">
        <f>IF(P109="","No List Price",IF(P109&lt;=0,"At/below price",IF(P109&lt;=0.12,"&lt;=12% STR zone",IF(P109&lt;=0.25,"12-25%","&gt;25% over"))))</f>
        <v/>
      </c>
      <c r="R109" s="109" t="n">
        <v>79.98999999999999</v>
      </c>
      <c r="S109" s="112">
        <f>IF(AND(ISNUMBER(N109),ISNUMBER(R109),N(R109)&gt;0),N109/R109-1,"")</f>
        <v/>
      </c>
      <c r="T109" s="39" t="inlineStr">
        <is>
          <t>Same size (Queen). Ours live: catalog price, 2026-10-13; 11 children</t>
        </is>
      </c>
      <c r="U109" s="108" t="n">
        <v>159865</v>
      </c>
      <c r="V109" s="108" t="n">
        <v>5</v>
      </c>
      <c r="W109" s="113">
        <f>IF(AND(ISNUMBER(N109),ISNUMBER(V109)),N109*V109*52/12,"")</f>
        <v/>
      </c>
      <c r="X109" s="114" t="n">
        <v>4.4</v>
      </c>
      <c r="Y109" s="108" t="n">
        <v>131</v>
      </c>
      <c r="Z109" s="115" t="n">
        <v>46307</v>
      </c>
      <c r="AA109" s="115" t="n"/>
      <c r="AB109" s="105" t="n"/>
      <c r="AC109" s="105" t="n"/>
      <c r="AD109" s="108" t="n">
        <v>15624</v>
      </c>
      <c r="AE109" s="108" t="n">
        <v>643</v>
      </c>
      <c r="AF109" s="116" t="n">
        <v>0.6086269521249359</v>
      </c>
      <c r="AG109" s="116" t="n">
        <v>0.3913732526881721</v>
      </c>
      <c r="AH109" s="39" t="inlineStr">
        <is>
          <t>miracle sheets</t>
        </is>
      </c>
      <c r="AI109" s="116" t="n">
        <v>0.5840373783922171</v>
      </c>
      <c r="AJ109" s="116" t="n">
        <v>0.7140296979006656</v>
      </c>
      <c r="AK109" s="116" t="n"/>
      <c r="AL109" s="116" t="n"/>
      <c r="AM109" s="108" t="n">
        <v>187</v>
      </c>
      <c r="AN109" s="108" t="n">
        <v>98</v>
      </c>
      <c r="AO109" s="108" t="n">
        <v>58</v>
      </c>
      <c r="AP109" s="108" t="n">
        <v>456</v>
      </c>
      <c r="AQ109" s="108" t="n">
        <v>146</v>
      </c>
      <c r="AR109" s="108" t="n">
        <v>12</v>
      </c>
      <c r="AS109" s="117" t="n">
        <v>0.4848484848484848</v>
      </c>
      <c r="AT109" s="112" t="n"/>
      <c r="AU109" s="118" t="inlineStr">
        <is>
          <t>Y</t>
        </is>
      </c>
      <c r="AV109" s="118" t="inlineStr">
        <is>
          <t>Typical price</t>
        </is>
      </c>
      <c r="AW109" s="119" t="n">
        <v>79.98999999999999</v>
      </c>
      <c r="AX109" s="119" t="n">
        <v>67.98999999999999</v>
      </c>
      <c r="AY109" s="118" t="inlineStr">
        <is>
          <t>Limited time deal</t>
        </is>
      </c>
      <c r="AZ109" s="118" t="inlineStr">
        <is>
          <t>Y</t>
        </is>
      </c>
      <c r="BA109" s="118" t="inlineStr">
        <is>
          <t>2026-10-13 12:12:01</t>
        </is>
      </c>
      <c r="BB109" s="120" t="inlineStr">
        <is>
          <t>Not live in 2025</t>
        </is>
      </c>
      <c r="BC109" s="125" t="n"/>
      <c r="BD109" s="124" t="n"/>
      <c r="BE109" s="124" t="n"/>
      <c r="BF109" s="110">
        <f>IF(AND(ISNUMBER(BD109),ISNUMBER(BE109),N(BD109)&gt;0),1-BE109/BD109,"")</f>
        <v/>
      </c>
      <c r="BG109" s="126" t="n"/>
      <c r="BH109" s="126" t="n"/>
      <c r="BI109" s="123">
        <f>IF(AND(ISNUMBER(BG109),ISNUMBER(BH109),N(BH109)&gt;0),BG109/BH109,"")</f>
        <v/>
      </c>
      <c r="BJ109" s="125" t="n"/>
      <c r="BK109" s="125" t="n"/>
    </row>
    <row r="110" ht="62" customHeight="1">
      <c r="A110" s="12">
        <f>_xlfn.IMAGE("https://images-na.ssl-images-amazon.com/images/I/716hu1FzoSL.jpg")</f>
        <v/>
      </c>
      <c r="B110" s="105" t="inlineStr">
        <is>
          <t>Degrees of Comfort</t>
        </is>
      </c>
      <c r="C110" s="39" t="inlineStr">
        <is>
          <t>Coolmax® Cooling Sheets for Hot Sleepers, Queen Size, Grey</t>
        </is>
      </c>
      <c r="D110" s="105" t="inlineStr">
        <is>
          <t>Untiered</t>
        </is>
      </c>
      <c r="E110" s="106" t="inlineStr">
        <is>
          <t>Direct</t>
        </is>
      </c>
      <c r="F110" s="105" t="inlineStr">
        <is>
          <t>Synthetic cooling knit</t>
        </is>
      </c>
      <c r="G110" s="39" t="inlineStr">
        <is>
          <t>Same product (sheet set) in the same material family: Synthetic cooling knit (title: Coolmax® Cooling Sheets for Hot Sleepers, Queen Size, Grey); ours: BreezeWeave cooling fabric, nylon-spandex like CooLoom (confirmed Oct 15, 2026).</t>
        </is>
      </c>
      <c r="H110" s="107" t="inlineStr">
        <is>
          <t>B0DXT68BBR</t>
        </is>
      </c>
      <c r="I110" s="107" t="inlineStr">
        <is>
          <t>B08YS6WZRR</t>
        </is>
      </c>
      <c r="J110" s="105" t="inlineStr">
        <is>
          <t>Queen</t>
        </is>
      </c>
      <c r="K110" s="105" t="inlineStr">
        <is>
          <t>Grey</t>
        </is>
      </c>
      <c r="L110" s="108" t="n">
        <v>31</v>
      </c>
      <c r="M110" s="39" t="inlineStr"/>
      <c r="N110" s="109" t="n">
        <v>24.99</v>
      </c>
      <c r="O110" s="109" t="n">
        <v>29.99</v>
      </c>
      <c r="P110" s="110">
        <f>IF(AND(ISNUMBER(O110),ISNUMBER(N110),N(N110)&gt;0),O110/N110-1,"")</f>
        <v/>
      </c>
      <c r="Q110" s="111">
        <f>IF(P110="","No List Price",IF(P110&lt;=0,"At/below price",IF(P110&lt;=0.12,"&lt;=12% STR zone",IF(P110&lt;=0.25,"12-25%","&gt;25% over"))))</f>
        <v/>
      </c>
      <c r="R110" s="109" t="n">
        <v>79.98999999999999</v>
      </c>
      <c r="S110" s="112">
        <f>IF(AND(ISNUMBER(N110),ISNUMBER(R110),N(R110)&gt;0),N110/R110-1,"")</f>
        <v/>
      </c>
      <c r="T110" s="39" t="inlineStr">
        <is>
          <t>Same size (Queen). Ours live: catalog price, 2026-10-13; 11 children</t>
        </is>
      </c>
      <c r="U110" s="108" t="n">
        <v>39599</v>
      </c>
      <c r="V110" s="108" t="n">
        <v>35</v>
      </c>
      <c r="W110" s="113">
        <f>IF(AND(ISNUMBER(N110),ISNUMBER(V110)),N110*V110*52/12,"")</f>
        <v/>
      </c>
      <c r="X110" s="114" t="n">
        <v>4.1</v>
      </c>
      <c r="Y110" s="108" t="n">
        <v>7328</v>
      </c>
      <c r="Z110" s="115" t="n">
        <v>46307</v>
      </c>
      <c r="AA110" s="115" t="n">
        <v>44267</v>
      </c>
      <c r="AB110" s="105" t="inlineStr">
        <is>
          <t>FBA</t>
        </is>
      </c>
      <c r="AC110" s="105" t="inlineStr">
        <is>
          <t>US</t>
        </is>
      </c>
      <c r="AD110" s="108" t="n"/>
      <c r="AE110" s="108" t="n"/>
      <c r="AF110" s="116" t="n"/>
      <c r="AG110" s="116" t="n"/>
      <c r="AH110" s="39" t="n"/>
      <c r="AI110" s="116" t="n"/>
      <c r="AJ110" s="116" t="n"/>
      <c r="AK110" s="116" t="n"/>
      <c r="AL110" s="116" t="n"/>
      <c r="AM110" s="108" t="n"/>
      <c r="AN110" s="108" t="n"/>
      <c r="AO110" s="108" t="n"/>
      <c r="AP110" s="108" t="n"/>
      <c r="AQ110" s="108" t="n"/>
      <c r="AR110" s="108" t="n"/>
      <c r="AS110" s="117" t="n"/>
      <c r="AT110" s="112" t="n"/>
      <c r="AU110" s="118" t="inlineStr">
        <is>
          <t>Y</t>
        </is>
      </c>
      <c r="AV110" s="118" t="inlineStr">
        <is>
          <t>Typical price</t>
        </is>
      </c>
      <c r="AW110" s="119" t="n">
        <v>29.99</v>
      </c>
      <c r="AX110" s="119" t="n">
        <v>24.99</v>
      </c>
      <c r="AY110" s="118" t="inlineStr">
        <is>
          <t>none</t>
        </is>
      </c>
      <c r="AZ110" s="118" t="inlineStr">
        <is>
          <t>Y</t>
        </is>
      </c>
      <c r="BA110" s="118" t="inlineStr">
        <is>
          <t>2026-10-13 23:38:21</t>
        </is>
      </c>
      <c r="BB110" s="120" t="inlineStr">
        <is>
          <t>Prime Exclusive Discount</t>
        </is>
      </c>
      <c r="BC110" s="120" t="inlineStr">
        <is>
          <t>11-01 to 12-01</t>
        </is>
      </c>
      <c r="BD110" s="121" t="n">
        <v>33.24</v>
      </c>
      <c r="BE110" s="121" t="n">
        <v>28.49</v>
      </c>
      <c r="BF110" s="110">
        <f>IF(AND(ISNUMBER(BD110),ISNUMBER(BE110),N(BD110)&gt;0),1-BE110/BD110,"")</f>
        <v/>
      </c>
      <c r="BG110" s="122" t="n">
        <v>47851</v>
      </c>
      <c r="BH110" s="122" t="n">
        <v>53371</v>
      </c>
      <c r="BI110" s="123">
        <f>IF(AND(ISNUMBER(BG110),ISNUMBER(BH110),N(BH110)&gt;0),BG110/BH110,"")</f>
        <v/>
      </c>
      <c r="BJ110" s="120" t="inlineStr">
        <is>
          <t>N</t>
        </is>
      </c>
      <c r="BK110" s="120" t="inlineStr">
        <is>
          <t>Prime Exclusive already running before BFCM week; Buy Box RAISED in BFCM week (median $37.99 vs $34.99 before); List Price $39.99</t>
        </is>
      </c>
    </row>
    <row r="111" ht="62" customHeight="1">
      <c r="A111" s="12">
        <f>_xlfn.IMAGE("https://m.media-amazon.com/images/I/61lUaTQjkAL._AC_SL1500_.jpg")</f>
        <v/>
      </c>
      <c r="B111" s="105" t="inlineStr">
        <is>
          <t>Bedsure</t>
        </is>
      </c>
      <c r="C111" s="39" t="inlineStr">
        <is>
          <t>Cooling Sheets</t>
        </is>
      </c>
      <c r="D111" s="105" t="inlineStr">
        <is>
          <t>Poor</t>
        </is>
      </c>
      <c r="E111" s="127" t="inlineStr">
        <is>
          <t>Material not verified</t>
        </is>
      </c>
      <c r="F111" s="105" t="n"/>
      <c r="G111" s="39" t="inlineStr">
        <is>
          <t>Sheet set like ours, but the material is not stated (material not stated on the page or in the title); verify before treating as direct.</t>
        </is>
      </c>
      <c r="H111" s="107" t="inlineStr">
        <is>
          <t>B0CPDTJ5NN</t>
        </is>
      </c>
      <c r="I111" s="107" t="inlineStr">
        <is>
          <t>B0CPDR5DDM</t>
        </is>
      </c>
      <c r="J111" s="105" t="inlineStr">
        <is>
          <t>Queen</t>
        </is>
      </c>
      <c r="K111" s="105" t="inlineStr">
        <is>
          <t>01 - Grey</t>
        </is>
      </c>
      <c r="L111" s="108" t="n">
        <v>1</v>
      </c>
      <c r="M111" s="39" t="inlineStr">
        <is>
          <t>B0DGWZTTRL (100%)</t>
        </is>
      </c>
      <c r="N111" s="109" t="n">
        <v>149.99</v>
      </c>
      <c r="O111" s="109" t="n"/>
      <c r="P111" s="110">
        <f>IF(AND(ISNUMBER(O111),ISNUMBER(N111),N(N111)&gt;0),O111/N111-1,"")</f>
        <v/>
      </c>
      <c r="Q111" s="111">
        <f>IF(P111="","No List Price",IF(P111&lt;=0,"At/below price",IF(P111&lt;=0.12,"&lt;=12% STR zone",IF(P111&lt;=0.25,"12-25%","&gt;25% over"))))</f>
        <v/>
      </c>
      <c r="R111" s="109" t="n">
        <v>79.98999999999999</v>
      </c>
      <c r="S111" s="112">
        <f>IF(AND(ISNUMBER(N111),ISNUMBER(R111),N(R111)&gt;0),N111/R111-1,"")</f>
        <v/>
      </c>
      <c r="T111" s="39" t="inlineStr">
        <is>
          <t>Same size (Queen). Ours live: catalog price, 2026-10-13; 11 children</t>
        </is>
      </c>
      <c r="U111" s="108" t="n">
        <v>463922</v>
      </c>
      <c r="V111" s="108" t="n">
        <v>5</v>
      </c>
      <c r="W111" s="113">
        <f>IF(AND(ISNUMBER(N111),ISNUMBER(V111)),N111*V111*52/12,"")</f>
        <v/>
      </c>
      <c r="X111" s="114" t="n">
        <v>4.2</v>
      </c>
      <c r="Y111" s="108" t="n">
        <v>512</v>
      </c>
      <c r="Z111" s="115" t="n">
        <v>46307</v>
      </c>
      <c r="AA111" s="115" t="n"/>
      <c r="AB111" s="105" t="n"/>
      <c r="AC111" s="105" t="n"/>
      <c r="AD111" s="108" t="n">
        <v>170</v>
      </c>
      <c r="AE111" s="108" t="n">
        <v>22</v>
      </c>
      <c r="AF111" s="116" t="n">
        <v>1</v>
      </c>
      <c r="AG111" s="116" t="n">
        <v>0</v>
      </c>
      <c r="AH111" s="39" t="inlineStr">
        <is>
          <t>bedsure cooling sheets</t>
        </is>
      </c>
      <c r="AI111" s="116" t="n"/>
      <c r="AJ111" s="116" t="n"/>
      <c r="AK111" s="116" t="n"/>
      <c r="AL111" s="116" t="n"/>
      <c r="AM111" s="108" t="n">
        <v>14</v>
      </c>
      <c r="AN111" s="108" t="n">
        <v>12</v>
      </c>
      <c r="AO111" s="108" t="n">
        <v>1</v>
      </c>
      <c r="AP111" s="108" t="n">
        <v>8</v>
      </c>
      <c r="AQ111" s="108" t="n">
        <v>0</v>
      </c>
      <c r="AR111" s="108" t="n">
        <v>0</v>
      </c>
      <c r="AS111" s="117" t="n"/>
      <c r="AT111" s="112" t="n"/>
      <c r="AU111" s="118" t="inlineStr">
        <is>
          <t>N</t>
        </is>
      </c>
      <c r="AV111" s="118" t="inlineStr">
        <is>
          <t>none</t>
        </is>
      </c>
      <c r="AW111" s="124" t="n"/>
      <c r="AX111" s="124" t="n"/>
      <c r="AY111" s="118" t="inlineStr">
        <is>
          <t>none</t>
        </is>
      </c>
      <c r="AZ111" s="118" t="inlineStr">
        <is>
          <t>N</t>
        </is>
      </c>
      <c r="BA111" s="118" t="inlineStr">
        <is>
          <t>2026-10-13 12:11:48</t>
        </is>
      </c>
      <c r="BB111" s="125" t="n"/>
      <c r="BC111" s="125" t="n"/>
      <c r="BD111" s="124" t="n"/>
      <c r="BE111" s="124" t="n"/>
      <c r="BF111" s="110">
        <f>IF(AND(ISNUMBER(BD111),ISNUMBER(BE111),N(BD111)&gt;0),1-BE111/BD111,"")</f>
        <v/>
      </c>
      <c r="BG111" s="126" t="n"/>
      <c r="BH111" s="126" t="n"/>
      <c r="BI111" s="123">
        <f>IF(AND(ISNUMBER(BG111),ISNUMBER(BH111),N(BH111)&gt;0),BG111/BH111,"")</f>
        <v/>
      </c>
      <c r="BJ111" s="120" t="inlineStr">
        <is>
          <t>Y</t>
        </is>
      </c>
      <c r="BK111" s="120" t="inlineStr">
        <is>
          <t>No Buy Box history in price history for BFCM 2025; List Price $82.99</t>
        </is>
      </c>
    </row>
    <row r="112" ht="62" customHeight="1">
      <c r="A112" s="12">
        <f>_xlfn.IMAGE("https://images-na.ssl-images-amazon.com/images/I/81fpVjndH2L.jpg")</f>
        <v/>
      </c>
      <c r="B112" s="105" t="inlineStr">
        <is>
          <t>Shilucheng</t>
        </is>
      </c>
      <c r="C112" s="39" t="inlineStr">
        <is>
          <t>Shilucheng 4 Piece Queen Sheet Sets, Cooling Sheets, Dark Grey</t>
        </is>
      </c>
      <c r="D112" s="105" t="inlineStr">
        <is>
          <t>Untiered</t>
        </is>
      </c>
      <c r="E112" s="127" t="inlineStr">
        <is>
          <t>Material not verified</t>
        </is>
      </c>
      <c r="F112" s="105" t="n"/>
      <c r="G112" s="39" t="inlineStr">
        <is>
          <t>Sheet set like ours, but the material is not stated (material not stated on the page or in the title); verify before treating as direct.</t>
        </is>
      </c>
      <c r="H112" s="107" t="inlineStr">
        <is>
          <t>B0HJSVWNRS</t>
        </is>
      </c>
      <c r="I112" s="107" t="inlineStr">
        <is>
          <t>B0FWY1TGFK</t>
        </is>
      </c>
      <c r="J112" s="105" t="inlineStr">
        <is>
          <t>Queen</t>
        </is>
      </c>
      <c r="K112" s="105" t="inlineStr">
        <is>
          <t>Grey</t>
        </is>
      </c>
      <c r="L112" s="108" t="n">
        <v>49</v>
      </c>
      <c r="M112" s="39" t="inlineStr">
        <is>
          <t>B0FWY1TGFK (67%), B098JT1RF2 (22%)</t>
        </is>
      </c>
      <c r="N112" s="109" t="n">
        <v>34.99</v>
      </c>
      <c r="O112" s="109" t="n"/>
      <c r="P112" s="110">
        <f>IF(AND(ISNUMBER(O112),ISNUMBER(N112),N(N112)&gt;0),O112/N112-1,"")</f>
        <v/>
      </c>
      <c r="Q112" s="111">
        <f>IF(P112="","No List Price",IF(P112&lt;=0,"At/below price",IF(P112&lt;=0.12,"&lt;=12% STR zone",IF(P112&lt;=0.25,"12-25%","&gt;25% over"))))</f>
        <v/>
      </c>
      <c r="R112" s="109" t="n">
        <v>79.98999999999999</v>
      </c>
      <c r="S112" s="112">
        <f>IF(AND(ISNUMBER(N112),ISNUMBER(R112),N(R112)&gt;0),N112/R112-1,"")</f>
        <v/>
      </c>
      <c r="T112" s="39" t="inlineStr">
        <is>
          <t>Same size (Queen). Ours live: catalog price, 2026-10-13; 11 children</t>
        </is>
      </c>
      <c r="U112" s="108" t="n">
        <v>5396</v>
      </c>
      <c r="V112" s="108" t="n">
        <v>173</v>
      </c>
      <c r="W112" s="113">
        <f>IF(AND(ISNUMBER(N112),ISNUMBER(V112)),N112*V112*52/12,"")</f>
        <v/>
      </c>
      <c r="X112" s="114" t="n">
        <v>4.3</v>
      </c>
      <c r="Y112" s="108" t="n">
        <v>24352</v>
      </c>
      <c r="Z112" s="115" t="n">
        <v>46307</v>
      </c>
      <c r="AA112" s="115" t="n"/>
      <c r="AB112" s="105" t="n"/>
      <c r="AC112" s="105" t="n"/>
      <c r="AD112" s="108" t="n">
        <v>135323</v>
      </c>
      <c r="AE112" s="108" t="n">
        <v>1187</v>
      </c>
      <c r="AF112" s="116" t="n">
        <v>0.7652350080917514</v>
      </c>
      <c r="AG112" s="116" t="n">
        <v>0.234765015555375</v>
      </c>
      <c r="AH112" s="39" t="inlineStr">
        <is>
          <t>bamboo sheets</t>
        </is>
      </c>
      <c r="AI112" s="116" t="n">
        <v>0.4715236877692632</v>
      </c>
      <c r="AJ112" s="116" t="n"/>
      <c r="AK112" s="116" t="n"/>
      <c r="AL112" s="116" t="n">
        <v>0.03684517783377549</v>
      </c>
      <c r="AM112" s="108" t="n">
        <v>190</v>
      </c>
      <c r="AN112" s="108" t="n">
        <v>48</v>
      </c>
      <c r="AO112" s="108" t="n">
        <v>134</v>
      </c>
      <c r="AP112" s="108" t="n">
        <v>997</v>
      </c>
      <c r="AQ112" s="108" t="n">
        <v>445</v>
      </c>
      <c r="AR112" s="108" t="n">
        <v>5</v>
      </c>
      <c r="AS112" s="117" t="n"/>
      <c r="AT112" s="112" t="n">
        <v>-0.9497907949790795</v>
      </c>
      <c r="AU112" s="118" t="inlineStr">
        <is>
          <t>N</t>
        </is>
      </c>
      <c r="AV112" s="118" t="inlineStr">
        <is>
          <t>none</t>
        </is>
      </c>
      <c r="AW112" s="124" t="n"/>
      <c r="AX112" s="119" t="n">
        <v>34.99</v>
      </c>
      <c r="AY112" s="118" t="inlineStr">
        <is>
          <t>coupon 15%</t>
        </is>
      </c>
      <c r="AZ112" s="118" t="inlineStr">
        <is>
          <t>Y</t>
        </is>
      </c>
      <c r="BA112" s="118" t="inlineStr">
        <is>
          <t>2026-10-13 12:11:26</t>
        </is>
      </c>
      <c r="BB112" s="120" t="inlineStr">
        <is>
          <t>Coupon only</t>
        </is>
      </c>
      <c r="BC112" s="120" t="inlineStr">
        <is>
          <t>11-09 to 11-21</t>
        </is>
      </c>
      <c r="BD112" s="121" t="n">
        <v>34.9</v>
      </c>
      <c r="BE112" s="121" t="n">
        <v>28.18</v>
      </c>
      <c r="BF112" s="110">
        <f>IF(AND(ISNUMBER(BD112),ISNUMBER(BE112),N(BD112)&gt;0),1-BE112/BD112,"")</f>
        <v/>
      </c>
      <c r="BG112" s="122" t="n">
        <v>4671</v>
      </c>
      <c r="BH112" s="122" t="n">
        <v>3278</v>
      </c>
      <c r="BI112" s="123">
        <f>IF(AND(ISNUMBER(BG112),ISNUMBER(BH112),N(BH112)&gt;0),BG112/BH112,"")</f>
        <v/>
      </c>
      <c r="BJ112" s="120" t="inlineStr">
        <is>
          <t>N</t>
        </is>
      </c>
      <c r="BK112" s="120" t="inlineStr">
        <is>
          <t>Coupon 15%; List Price $34.90</t>
        </is>
      </c>
    </row>
    <row r="113" ht="62" customHeight="1">
      <c r="A113" s="45" t="inlineStr">
        <is>
          <t>COMING SOON</t>
        </is>
      </c>
      <c r="B113" s="105" t="inlineStr">
        <is>
          <t>David's Home</t>
        </is>
      </c>
      <c r="C113" s="39" t="inlineStr">
        <is>
          <t>Cooling Sheets</t>
        </is>
      </c>
      <c r="D113" s="105" t="inlineStr">
        <is>
          <t>Untiered</t>
        </is>
      </c>
      <c r="E113" s="127" t="inlineStr">
        <is>
          <t>Material not verified</t>
        </is>
      </c>
      <c r="F113" s="105" t="n"/>
      <c r="G113" s="39" t="inlineStr">
        <is>
          <t>Sheet set like ours, but the material is not stated (material not stated on the page or in the title); verify before treating as direct.</t>
        </is>
      </c>
      <c r="H113" s="107" t="inlineStr">
        <is>
          <t>B0D1SRR2H4</t>
        </is>
      </c>
      <c r="I113" s="107" t="inlineStr">
        <is>
          <t>B0D1RBXBNG</t>
        </is>
      </c>
      <c r="J113" s="105" t="n"/>
      <c r="K113" s="105" t="n"/>
      <c r="L113" s="108" t="n"/>
      <c r="M113" s="39" t="inlineStr"/>
      <c r="N113" s="109" t="n">
        <v>24.99</v>
      </c>
      <c r="O113" s="109" t="n"/>
      <c r="P113" s="110">
        <f>IF(AND(ISNUMBER(O113),ISNUMBER(N113),N(N113)&gt;0),O113/N113-1,"")</f>
        <v/>
      </c>
      <c r="Q113" s="111">
        <f>IF(P113="","No List Price",IF(P113&lt;=0,"At/below price",IF(P113&lt;=0.12,"&lt;=12% STR zone",IF(P113&lt;=0.25,"12-25%","&gt;25% over"))))</f>
        <v/>
      </c>
      <c r="R113" s="109" t="n">
        <v>79.98999999999999</v>
      </c>
      <c r="S113" s="112">
        <f>IF(AND(ISNUMBER(N113),ISNUMBER(R113),N(R113)&gt;0),N113/R113-1,"")</f>
        <v/>
      </c>
      <c r="T113" s="39" t="inlineStr">
        <is>
          <t>Size not stated - vs our Queen. Ours live: catalog price, 2026-10-13; 11 children</t>
        </is>
      </c>
      <c r="U113" s="108" t="n">
        <v>758020</v>
      </c>
      <c r="V113" s="108" t="n"/>
      <c r="W113" s="113">
        <f>IF(AND(ISNUMBER(N113),ISNUMBER(V113)),N113*V113*52/12,"")</f>
        <v/>
      </c>
      <c r="X113" s="114" t="n">
        <v>4.3</v>
      </c>
      <c r="Y113" s="108" t="n">
        <v>169</v>
      </c>
      <c r="Z113" s="115" t="n">
        <v>46307</v>
      </c>
      <c r="AA113" s="115" t="n"/>
      <c r="AB113" s="105" t="n"/>
      <c r="AC113" s="105" t="n"/>
      <c r="AD113" s="108" t="n"/>
      <c r="AE113" s="108" t="n"/>
      <c r="AF113" s="116" t="n"/>
      <c r="AG113" s="116" t="n"/>
      <c r="AH113" s="39" t="n"/>
      <c r="AI113" s="116" t="n"/>
      <c r="AJ113" s="116" t="n"/>
      <c r="AK113" s="116" t="n"/>
      <c r="AL113" s="116" t="n"/>
      <c r="AM113" s="108" t="n"/>
      <c r="AN113" s="108" t="n"/>
      <c r="AO113" s="108" t="n"/>
      <c r="AP113" s="108" t="n"/>
      <c r="AQ113" s="108" t="n"/>
      <c r="AR113" s="108" t="n"/>
      <c r="AS113" s="117" t="n"/>
      <c r="AT113" s="112" t="n"/>
      <c r="AU113" s="118" t="inlineStr">
        <is>
          <t>unknown</t>
        </is>
      </c>
      <c r="AV113" s="125" t="n"/>
      <c r="AW113" s="124" t="n"/>
      <c r="AX113" s="124" t="n"/>
      <c r="AY113" s="125" t="n"/>
      <c r="AZ113" s="125" t="n"/>
      <c r="BA113" s="118" t="inlineStr">
        <is>
          <t>2026-10-13 12:11:57</t>
        </is>
      </c>
      <c r="BB113" s="120" t="inlineStr">
        <is>
          <t>Prime Exclusive Discount</t>
        </is>
      </c>
      <c r="BC113" s="120" t="inlineStr">
        <is>
          <t>11-24 to 11-27</t>
        </is>
      </c>
      <c r="BD113" s="121" t="n">
        <v>39.99</v>
      </c>
      <c r="BE113" s="121" t="n">
        <v>10</v>
      </c>
      <c r="BF113" s="110">
        <f>IF(AND(ISNUMBER(BD113),ISNUMBER(BE113),N(BD113)&gt;0),1-BE113/BD113,"")</f>
        <v/>
      </c>
      <c r="BG113" s="122" t="n">
        <v>437868</v>
      </c>
      <c r="BH113" s="122" t="n">
        <v>446244</v>
      </c>
      <c r="BI113" s="123">
        <f>IF(AND(ISNUMBER(BG113),ISNUMBER(BH113),N(BH113)&gt;0),BG113/BH113,"")</f>
        <v/>
      </c>
      <c r="BJ113" s="120" t="inlineStr">
        <is>
          <t>Y</t>
        </is>
      </c>
      <c r="BK113" s="120" t="inlineStr">
        <is>
          <t>Coupon 20%, 40% (11-01 to 11-20); List Price $67.99</t>
        </is>
      </c>
    </row>
    <row r="114" ht="62" customHeight="1">
      <c r="A114" s="12">
        <f>_xlfn.IMAGE("https://images-na.ssl-images-amazon.com/images/I/91dfner9BkL.jpg")</f>
        <v/>
      </c>
      <c r="B114" s="105" t="inlineStr">
        <is>
          <t>Pure Bamboo</t>
        </is>
      </c>
      <c r="C114" s="39" t="inlineStr">
        <is>
          <t>Pure Bamboo King Sheets, Genuine 100% Organic Viscose Derived from Bamboo Bed Sheet Set, Luxuriously Soft &amp; Cooling, Double Stitching, 2 Year Quality Promise (King, Ivory)</t>
        </is>
      </c>
      <c r="D114" s="105" t="inlineStr">
        <is>
          <t>Aspirational</t>
        </is>
      </c>
      <c r="E114" s="128" t="inlineStr">
        <is>
          <t>Alternative material</t>
        </is>
      </c>
      <c r="F114" s="105" t="inlineStr">
        <is>
          <t>Bamboo viscose</t>
        </is>
      </c>
      <c r="G114" s="39" t="inlineStr">
        <is>
          <t>Sheet set in Bamboo viscose (title: Pure Bamboo King Sheets, Genuine 100% Organic Viscose Derive); ours is Synthetic cooling knit (BreezeWeave cooling fabric, nylon-spandex like CooLoom (confirmed Oct 15, 2026)). Shopper may cross-shop, but not like-for-like.</t>
        </is>
      </c>
      <c r="H114" s="107" t="inlineStr">
        <is>
          <t>B0CZQ52MTQ</t>
        </is>
      </c>
      <c r="I114" s="107" t="inlineStr">
        <is>
          <t>B07DZTQ4JC</t>
        </is>
      </c>
      <c r="J114" s="105" t="inlineStr">
        <is>
          <t>King</t>
        </is>
      </c>
      <c r="K114" s="105" t="inlineStr">
        <is>
          <t>Ivory</t>
        </is>
      </c>
      <c r="L114" s="108" t="n">
        <v>181</v>
      </c>
      <c r="M114" s="39" t="inlineStr">
        <is>
          <t>B07MZ4GKZH (30%), B079RXWGSD (12%), B07DZTQ4JC (11%), B074CHDX7V (10%), B07DZMB498 (5%)</t>
        </is>
      </c>
      <c r="N114" s="109" t="n">
        <v>109.99</v>
      </c>
      <c r="O114" s="109" t="n"/>
      <c r="P114" s="110">
        <f>IF(AND(ISNUMBER(O114),ISNUMBER(N114),N(N114)&gt;0),O114/N114-1,"")</f>
        <v/>
      </c>
      <c r="Q114" s="111">
        <f>IF(P114="","No List Price",IF(P114&lt;=0,"At/below price",IF(P114&lt;=0.12,"&lt;=12% STR zone",IF(P114&lt;=0.25,"12-25%","&gt;25% over"))))</f>
        <v/>
      </c>
      <c r="R114" s="109" t="n">
        <v>84.98999999999999</v>
      </c>
      <c r="S114" s="112">
        <f>IF(AND(ISNUMBER(N114),ISNUMBER(R114),N(R114)&gt;0),N114/R114-1,"")</f>
        <v/>
      </c>
      <c r="T114" s="39" t="inlineStr">
        <is>
          <t>Same size (King). Ours live: catalog price, 2026-10-13; 6 children</t>
        </is>
      </c>
      <c r="U114" s="108" t="n">
        <v>304</v>
      </c>
      <c r="V114" s="108" t="n">
        <v>809</v>
      </c>
      <c r="W114" s="113">
        <f>IF(AND(ISNUMBER(N114),ISNUMBER(V114)),N114*V114*52/12,"")</f>
        <v/>
      </c>
      <c r="X114" s="114" t="n">
        <v>4.5</v>
      </c>
      <c r="Y114" s="108" t="n">
        <v>21927</v>
      </c>
      <c r="Z114" s="115" t="n">
        <v>46307</v>
      </c>
      <c r="AA114" s="115" t="n">
        <v>43281</v>
      </c>
      <c r="AB114" s="105" t="inlineStr">
        <is>
          <t>FBA</t>
        </is>
      </c>
      <c r="AC114" s="105" t="inlineStr">
        <is>
          <t>US</t>
        </is>
      </c>
      <c r="AD114" s="108" t="n">
        <v>2565055</v>
      </c>
      <c r="AE114" s="108" t="n">
        <v>8283</v>
      </c>
      <c r="AF114" s="116" t="n">
        <v>0.4648594811807159</v>
      </c>
      <c r="AG114" s="116" t="n">
        <v>0.5351407059497737</v>
      </c>
      <c r="AH114" s="39" t="inlineStr">
        <is>
          <t>bamboo sheets</t>
        </is>
      </c>
      <c r="AI114" s="116" t="n">
        <v>0.8806310196077667</v>
      </c>
      <c r="AJ114" s="116" t="n">
        <v>0.8210506207469236</v>
      </c>
      <c r="AK114" s="116" t="n">
        <v>0.8831019217911507</v>
      </c>
      <c r="AL114" s="116" t="n">
        <v>0.2663467255088098</v>
      </c>
      <c r="AM114" s="108" t="n">
        <v>303</v>
      </c>
      <c r="AN114" s="108" t="n">
        <v>13</v>
      </c>
      <c r="AO114" s="108" t="n">
        <v>266</v>
      </c>
      <c r="AP114" s="108" t="n">
        <v>7980</v>
      </c>
      <c r="AQ114" s="108" t="n">
        <v>3772</v>
      </c>
      <c r="AR114" s="108" t="n">
        <v>33</v>
      </c>
      <c r="AS114" s="117" t="n">
        <v>1.180104147961932</v>
      </c>
      <c r="AT114" s="112" t="n">
        <v>1.570823710546574</v>
      </c>
      <c r="AU114" s="118" t="inlineStr">
        <is>
          <t>N</t>
        </is>
      </c>
      <c r="AV114" s="118" t="inlineStr">
        <is>
          <t>none</t>
        </is>
      </c>
      <c r="AW114" s="124" t="n"/>
      <c r="AX114" s="119" t="n">
        <v>109.99</v>
      </c>
      <c r="AY114" s="118" t="inlineStr">
        <is>
          <t>none</t>
        </is>
      </c>
      <c r="AZ114" s="118" t="inlineStr">
        <is>
          <t>Y</t>
        </is>
      </c>
      <c r="BA114" s="118" t="inlineStr">
        <is>
          <t>2026-10-13 12:11:16</t>
        </is>
      </c>
      <c r="BB114" s="120" t="inlineStr">
        <is>
          <t>None</t>
        </is>
      </c>
      <c r="BC114" s="125" t="n"/>
      <c r="BD114" s="121" t="n">
        <v>109.99</v>
      </c>
      <c r="BE114" s="121" t="n">
        <v>109.99</v>
      </c>
      <c r="BF114" s="110">
        <f>IF(AND(ISNUMBER(BD114),ISNUMBER(BE114),N(BD114)&gt;0),1-BE114/BD114,"")</f>
        <v/>
      </c>
      <c r="BG114" s="122" t="n">
        <v>287</v>
      </c>
      <c r="BH114" s="122" t="n">
        <v>598</v>
      </c>
      <c r="BI114" s="123">
        <f>IF(AND(ISNUMBER(BG114),ISNUMBER(BH114),N(BH114)&gt;0),BG114/BH114,"")</f>
        <v/>
      </c>
      <c r="BJ114" s="120" t="inlineStr">
        <is>
          <t>N</t>
        </is>
      </c>
      <c r="BK114" s="120" t="inlineStr">
        <is>
          <t>List Price $139.99/$149.99</t>
        </is>
      </c>
    </row>
    <row r="115" ht="62" customHeight="1">
      <c r="A115" s="12">
        <f>_xlfn.IMAGE("https://images-na.ssl-images-amazon.com/images/I/71oEhkRYQ+L.jpg")</f>
        <v/>
      </c>
      <c r="B115" s="105" t="inlineStr">
        <is>
          <t>Hotel Sheets Direct</t>
        </is>
      </c>
      <c r="C115" s="39" t="inlineStr">
        <is>
          <t>Hotel Sheets Direct 4 Piece Bed Sheet Set Queen Size, 100% Viscose Derived from Bamboo Sheets Set with 2 Pillowcases, Cooling &amp; Breathable Luxury Bedding, Moisture-Wicking &amp; Silky Soft Texture, White</t>
        </is>
      </c>
      <c r="D115" s="105" t="inlineStr">
        <is>
          <t>Aspirational</t>
        </is>
      </c>
      <c r="E115" s="128" t="inlineStr">
        <is>
          <t>Alternative material</t>
        </is>
      </c>
      <c r="F115" s="105" t="inlineStr">
        <is>
          <t>Bamboo viscose</t>
        </is>
      </c>
      <c r="G115" s="39" t="inlineStr">
        <is>
          <t>Sheet set in Bamboo viscose (title: Hotel Sheets Direct 4 Piece Bed Sheet Set Queen Size, 100% V); ours is Synthetic cooling knit (BreezeWeave cooling fabric, nylon-spandex like CooLoom (confirmed Oct 15, 2026)). Shopper may cross-shop, but not like-for-like.</t>
        </is>
      </c>
      <c r="H115" s="107" t="inlineStr">
        <is>
          <t>B0G5N99X9R</t>
        </is>
      </c>
      <c r="I115" s="107" t="inlineStr">
        <is>
          <t>B01N9L2O9P</t>
        </is>
      </c>
      <c r="J115" s="105" t="inlineStr">
        <is>
          <t>Queen</t>
        </is>
      </c>
      <c r="K115" s="105" t="inlineStr">
        <is>
          <t>White</t>
        </is>
      </c>
      <c r="L115" s="108" t="n">
        <v>61</v>
      </c>
      <c r="M115" s="39" t="inlineStr">
        <is>
          <t>B01N9L2O9P (30%), B01N0UB2GO (20%), B072WD91XH (10%), B072WV76WK (6%), B07RJBYJ9L (5%)</t>
        </is>
      </c>
      <c r="N115" s="109" t="n">
        <v>79.98999999999999</v>
      </c>
      <c r="O115" s="109" t="n"/>
      <c r="P115" s="110">
        <f>IF(AND(ISNUMBER(O115),ISNUMBER(N115),N(N115)&gt;0),O115/N115-1,"")</f>
        <v/>
      </c>
      <c r="Q115" s="111">
        <f>IF(P115="","No List Price",IF(P115&lt;=0,"At/below price",IF(P115&lt;=0.12,"&lt;=12% STR zone",IF(P115&lt;=0.25,"12-25%","&gt;25% over"))))</f>
        <v/>
      </c>
      <c r="R115" s="109" t="n">
        <v>79.98999999999999</v>
      </c>
      <c r="S115" s="112">
        <f>IF(AND(ISNUMBER(N115),ISNUMBER(R115),N(R115)&gt;0),N115/R115-1,"")</f>
        <v/>
      </c>
      <c r="T115" s="39" t="inlineStr">
        <is>
          <t>Same size (Queen). Ours live: catalog price, 2026-10-13; 11 children</t>
        </is>
      </c>
      <c r="U115" s="108" t="n">
        <v>2984</v>
      </c>
      <c r="V115" s="108" t="n">
        <v>347</v>
      </c>
      <c r="W115" s="113">
        <f>IF(AND(ISNUMBER(N115),ISNUMBER(V115)),N115*V115*52/12,"")</f>
        <v/>
      </c>
      <c r="X115" s="114" t="n">
        <v>4.4</v>
      </c>
      <c r="Y115" s="108" t="n">
        <v>37179</v>
      </c>
      <c r="Z115" s="115" t="n">
        <v>46307</v>
      </c>
      <c r="AA115" s="115" t="n">
        <v>42729</v>
      </c>
      <c r="AB115" s="105" t="inlineStr">
        <is>
          <t>FBA</t>
        </is>
      </c>
      <c r="AC115" s="105" t="inlineStr">
        <is>
          <t>US</t>
        </is>
      </c>
      <c r="AD115" s="108" t="n">
        <v>451969</v>
      </c>
      <c r="AE115" s="108" t="n">
        <v>4094</v>
      </c>
      <c r="AF115" s="116" t="n">
        <v>0.6071584272372669</v>
      </c>
      <c r="AG115" s="116" t="n">
        <v>0.3928415727627336</v>
      </c>
      <c r="AH115" s="39" t="inlineStr">
        <is>
          <t>hotel</t>
        </is>
      </c>
      <c r="AI115" s="116" t="n">
        <v>0.9036371963563873</v>
      </c>
      <c r="AJ115" s="116" t="n">
        <v>0.4767871247806819</v>
      </c>
      <c r="AK115" s="116" t="n">
        <v>0.1264024745059949</v>
      </c>
      <c r="AL115" s="116" t="n">
        <v>0.3227168234989568</v>
      </c>
      <c r="AM115" s="108" t="n">
        <v>276</v>
      </c>
      <c r="AN115" s="108" t="n">
        <v>84</v>
      </c>
      <c r="AO115" s="108" t="n">
        <v>157</v>
      </c>
      <c r="AP115" s="108" t="n">
        <v>3818</v>
      </c>
      <c r="AQ115" s="108" t="n">
        <v>945</v>
      </c>
      <c r="AR115" s="108" t="n">
        <v>12</v>
      </c>
      <c r="AS115" s="117" t="n">
        <v>1.799620493358634</v>
      </c>
      <c r="AT115" s="112" t="n">
        <v>0.004829621679635077</v>
      </c>
      <c r="AU115" s="118" t="inlineStr">
        <is>
          <t>N</t>
        </is>
      </c>
      <c r="AV115" s="118" t="inlineStr">
        <is>
          <t>none</t>
        </is>
      </c>
      <c r="AW115" s="124" t="n"/>
      <c r="AX115" s="119" t="n">
        <v>79.98999999999999</v>
      </c>
      <c r="AY115" s="118" t="inlineStr">
        <is>
          <t>none</t>
        </is>
      </c>
      <c r="AZ115" s="118" t="inlineStr">
        <is>
          <t>Y</t>
        </is>
      </c>
      <c r="BA115" s="118" t="inlineStr">
        <is>
          <t>2026-10-13 12:10:54</t>
        </is>
      </c>
      <c r="BB115" s="120" t="inlineStr">
        <is>
          <t>Price cut only</t>
        </is>
      </c>
      <c r="BC115" s="120" t="inlineStr">
        <is>
          <t>11-20 to 12-01</t>
        </is>
      </c>
      <c r="BD115" s="121" t="n">
        <v>72.98999999999999</v>
      </c>
      <c r="BE115" s="121" t="n">
        <v>57.99</v>
      </c>
      <c r="BF115" s="110">
        <f>IF(AND(ISNUMBER(BD115),ISNUMBER(BE115),N(BD115)&gt;0),1-BE115/BD115,"")</f>
        <v/>
      </c>
      <c r="BG115" s="122" t="n">
        <v>3871</v>
      </c>
      <c r="BH115" s="122" t="n">
        <v>1703</v>
      </c>
      <c r="BI115" s="123">
        <f>IF(AND(ISNUMBER(BG115),ISNUMBER(BH115),N(BH115)&gt;0),BG115/BH115,"")</f>
        <v/>
      </c>
      <c r="BJ115" s="120" t="inlineStr">
        <is>
          <t>N</t>
        </is>
      </c>
      <c r="BK115" s="120" t="inlineStr">
        <is>
          <t>Lightning Deal 11-07 to 11-11; Coupon 20% (11-12 to 12-02); List Price $72.99</t>
        </is>
      </c>
    </row>
    <row r="116" ht="62" customHeight="1">
      <c r="A116" s="12">
        <f>_xlfn.IMAGE("https://images-na.ssl-images-amazon.com/images/I/81L2xb5ly6L.jpg")</f>
        <v/>
      </c>
      <c r="B116" s="105" t="inlineStr">
        <is>
          <t>Bedsure</t>
        </is>
      </c>
      <c r="C116" s="39" t="inlineStr">
        <is>
          <t>Bedsure PureWoven 100% Rayon Derived from Bamboo, Queen Sheets, 4 Pieces</t>
        </is>
      </c>
      <c r="D116" s="105" t="inlineStr">
        <is>
          <t>Beatable</t>
        </is>
      </c>
      <c r="E116" s="128" t="inlineStr">
        <is>
          <t>Alternative material</t>
        </is>
      </c>
      <c r="F116" s="105" t="inlineStr">
        <is>
          <t>Bamboo viscose</t>
        </is>
      </c>
      <c r="G116" s="39" t="inlineStr">
        <is>
          <t>Sheet set in Bamboo viscose (product page material: Rayon Derived from Bamboo); ours is Synthetic cooling knit (BreezeWeave cooling fabric, nylon-spandex like CooLoom (confirmed Oct 15, 2026)). Shopper may cross-shop, but not like-for-like.</t>
        </is>
      </c>
      <c r="H116" s="107" t="inlineStr">
        <is>
          <t>B0BZ8T5BJ6</t>
        </is>
      </c>
      <c r="I116" s="107" t="inlineStr">
        <is>
          <t>B07YK8VTJV</t>
        </is>
      </c>
      <c r="J116" s="105" t="inlineStr">
        <is>
          <t>Queen</t>
        </is>
      </c>
      <c r="K116" s="105" t="inlineStr">
        <is>
          <t>02 - White</t>
        </is>
      </c>
      <c r="L116" s="108" t="n">
        <v>131</v>
      </c>
      <c r="M116" s="39" t="inlineStr">
        <is>
          <t>B07YKCZHGK (29%), B07YK8VTJV (19%), B07YKCQBBL (14%), B07YKCB6GL (9%), B08CXWHQT2 (6%)</t>
        </is>
      </c>
      <c r="N116" s="109" t="n">
        <v>62.99</v>
      </c>
      <c r="O116" s="109" t="n">
        <v>69.98999999999999</v>
      </c>
      <c r="P116" s="110">
        <f>IF(AND(ISNUMBER(O116),ISNUMBER(N116),N(N116)&gt;0),O116/N116-1,"")</f>
        <v/>
      </c>
      <c r="Q116" s="111">
        <f>IF(P116="","No List Price",IF(P116&lt;=0,"At/below price",IF(P116&lt;=0.12,"&lt;=12% STR zone",IF(P116&lt;=0.25,"12-25%","&gt;25% over"))))</f>
        <v/>
      </c>
      <c r="R116" s="109" t="n">
        <v>79.98999999999999</v>
      </c>
      <c r="S116" s="112">
        <f>IF(AND(ISNUMBER(N116),ISNUMBER(R116),N(R116)&gt;0),N116/R116-1,"")</f>
        <v/>
      </c>
      <c r="T116" s="39" t="inlineStr">
        <is>
          <t>Same size (Queen). Ours live: catalog price, 2026-10-13; 11 children</t>
        </is>
      </c>
      <c r="U116" s="108" t="n">
        <v>256</v>
      </c>
      <c r="V116" s="108" t="n">
        <v>809</v>
      </c>
      <c r="W116" s="113">
        <f>IF(AND(ISNUMBER(N116),ISNUMBER(V116)),N116*V116*52/12,"")</f>
        <v/>
      </c>
      <c r="X116" s="114" t="n">
        <v>4.4</v>
      </c>
      <c r="Y116" s="108" t="n">
        <v>65061</v>
      </c>
      <c r="Z116" s="115" t="n">
        <v>46307</v>
      </c>
      <c r="AA116" s="115" t="n">
        <v>43348</v>
      </c>
      <c r="AB116" s="105" t="inlineStr">
        <is>
          <t>FBA</t>
        </is>
      </c>
      <c r="AC116" s="105" t="inlineStr">
        <is>
          <t>US</t>
        </is>
      </c>
      <c r="AD116" s="108" t="n">
        <v>2166046</v>
      </c>
      <c r="AE116" s="108" t="n">
        <v>6935</v>
      </c>
      <c r="AF116" s="116" t="n">
        <v>0.5902383405984899</v>
      </c>
      <c r="AG116" s="116" t="n">
        <v>0.4097618027040986</v>
      </c>
      <c r="AH116" s="39" t="inlineStr">
        <is>
          <t>bamboo sheets</t>
        </is>
      </c>
      <c r="AI116" s="116" t="n">
        <v>0.9388327856379781</v>
      </c>
      <c r="AJ116" s="116" t="n">
        <v>0.9371818511702891</v>
      </c>
      <c r="AK116" s="116" t="n">
        <v>0.6488394059959945</v>
      </c>
      <c r="AL116" s="116" t="n">
        <v>0.3206907886536112</v>
      </c>
      <c r="AM116" s="108" t="n">
        <v>298</v>
      </c>
      <c r="AN116" s="108" t="n">
        <v>9</v>
      </c>
      <c r="AO116" s="108" t="n">
        <v>268</v>
      </c>
      <c r="AP116" s="108" t="n">
        <v>6637</v>
      </c>
      <c r="AQ116" s="108" t="n">
        <v>3446</v>
      </c>
      <c r="AR116" s="108" t="n">
        <v>30</v>
      </c>
      <c r="AS116" s="117" t="n">
        <v>1.066623404715553</v>
      </c>
      <c r="AT116" s="112" t="n">
        <v>-0.05727665706051865</v>
      </c>
      <c r="AU116" s="118" t="inlineStr">
        <is>
          <t>Y</t>
        </is>
      </c>
      <c r="AV116" s="118" t="inlineStr">
        <is>
          <t>List Price</t>
        </is>
      </c>
      <c r="AW116" s="119" t="n">
        <v>69.98999999999999</v>
      </c>
      <c r="AX116" s="119" t="n">
        <v>62.99</v>
      </c>
      <c r="AY116" s="118" t="inlineStr">
        <is>
          <t>none</t>
        </is>
      </c>
      <c r="AZ116" s="118" t="inlineStr">
        <is>
          <t>Y</t>
        </is>
      </c>
      <c r="BA116" s="118" t="inlineStr">
        <is>
          <t>2026-10-13 12:10:35</t>
        </is>
      </c>
      <c r="BB116" s="120" t="inlineStr">
        <is>
          <t>Prime Exclusive Discount</t>
        </is>
      </c>
      <c r="BC116" s="120" t="inlineStr">
        <is>
          <t>11-23 to 12-01</t>
        </is>
      </c>
      <c r="BD116" s="121" t="n">
        <v>66.48999999999999</v>
      </c>
      <c r="BE116" s="121" t="n">
        <v>55.99</v>
      </c>
      <c r="BF116" s="110">
        <f>IF(AND(ISNUMBER(BD116),ISNUMBER(BE116),N(BD116)&gt;0),1-BE116/BD116,"")</f>
        <v/>
      </c>
      <c r="BG116" s="122" t="n">
        <v>156</v>
      </c>
      <c r="BH116" s="122" t="n">
        <v>228</v>
      </c>
      <c r="BI116" s="123">
        <f>IF(AND(ISNUMBER(BG116),ISNUMBER(BH116),N(BH116)&gt;0),BG116/BH116,"")</f>
        <v/>
      </c>
      <c r="BJ116" s="120" t="inlineStr">
        <is>
          <t>N</t>
        </is>
      </c>
      <c r="BK116" s="120" t="inlineStr">
        <is>
          <t>Buy Box RAISED in BFCM week (median $69.99 vs $66.49 before); List Price $78.99</t>
        </is>
      </c>
    </row>
    <row r="117" ht="62" customHeight="1">
      <c r="A117" s="12">
        <f>_xlfn.IMAGE("https://images-na.ssl-images-amazon.com/images/I/61-LBYlR5KL.jpg")</f>
        <v/>
      </c>
      <c r="B117" s="105" t="inlineStr">
        <is>
          <t>KRIMANO</t>
        </is>
      </c>
      <c r="C117" s="39" t="inlineStr">
        <is>
          <t>KRIMANO Bamboo Viscose Sheet Set King Size, Cooling Sheets Bed Set</t>
        </is>
      </c>
      <c r="D117" s="105" t="inlineStr">
        <is>
          <t>Beatable</t>
        </is>
      </c>
      <c r="E117" s="128" t="inlineStr">
        <is>
          <t>Alternative material</t>
        </is>
      </c>
      <c r="F117" s="105" t="inlineStr">
        <is>
          <t>Bamboo viscose</t>
        </is>
      </c>
      <c r="G117" s="39" t="inlineStr">
        <is>
          <t>Sheet set in Bamboo viscose (product page material: Viscose Derived from Bamboo); ours is Synthetic cooling knit (BreezeWeave cooling fabric, nylon-spandex like CooLoom (confirmed Oct 15, 2026)). Shopper may cross-shop, but not like-for-like.</t>
        </is>
      </c>
      <c r="H117" s="107" t="inlineStr">
        <is>
          <t>B0FT7L9RSX</t>
        </is>
      </c>
      <c r="I117" s="107" t="inlineStr">
        <is>
          <t>B0FT7LZ2CD</t>
        </is>
      </c>
      <c r="J117" s="105" t="inlineStr">
        <is>
          <t>King</t>
        </is>
      </c>
      <c r="K117" s="105" t="inlineStr">
        <is>
          <t>1.navy Blue</t>
        </is>
      </c>
      <c r="L117" s="108" t="n">
        <v>43</v>
      </c>
      <c r="M117" s="39" t="inlineStr">
        <is>
          <t>B0FT7LV7PP (47%), B0FT7LZ2CD (42%)</t>
        </is>
      </c>
      <c r="N117" s="109" t="n">
        <v>79.98999999999999</v>
      </c>
      <c r="O117" s="109" t="n"/>
      <c r="P117" s="110">
        <f>IF(AND(ISNUMBER(O117),ISNUMBER(N117),N(N117)&gt;0),O117/N117-1,"")</f>
        <v/>
      </c>
      <c r="Q117" s="111">
        <f>IF(P117="","No List Price",IF(P117&lt;=0,"At/below price",IF(P117&lt;=0.12,"&lt;=12% STR zone",IF(P117&lt;=0.25,"12-25%","&gt;25% over"))))</f>
        <v/>
      </c>
      <c r="R117" s="109" t="n">
        <v>84.98999999999999</v>
      </c>
      <c r="S117" s="112">
        <f>IF(AND(ISNUMBER(N117),ISNUMBER(R117),N(R117)&gt;0),N117/R117-1,"")</f>
        <v/>
      </c>
      <c r="T117" s="39" t="inlineStr">
        <is>
          <t>Same size (King). Ours live: catalog price, 2026-10-13; 6 children</t>
        </is>
      </c>
      <c r="U117" s="108" t="n">
        <v>5664</v>
      </c>
      <c r="V117" s="108" t="n">
        <v>185</v>
      </c>
      <c r="W117" s="113">
        <f>IF(AND(ISNUMBER(N117),ISNUMBER(V117)),N117*V117*52/12,"")</f>
        <v/>
      </c>
      <c r="X117" s="114" t="n">
        <v>4.5</v>
      </c>
      <c r="Y117" s="108" t="n">
        <v>263</v>
      </c>
      <c r="Z117" s="115" t="n">
        <v>46307</v>
      </c>
      <c r="AA117" s="115" t="n">
        <v>45944</v>
      </c>
      <c r="AB117" s="105" t="inlineStr">
        <is>
          <t>FBA</t>
        </is>
      </c>
      <c r="AC117" s="105" t="inlineStr">
        <is>
          <t>HK</t>
        </is>
      </c>
      <c r="AD117" s="108" t="n">
        <v>334819</v>
      </c>
      <c r="AE117" s="108" t="n">
        <v>2638</v>
      </c>
      <c r="AF117" s="116" t="n">
        <v>0.6137371774003271</v>
      </c>
      <c r="AG117" s="116" t="n">
        <v>0.3862628512718813</v>
      </c>
      <c r="AH117" s="39" t="inlineStr">
        <is>
          <t>bamboo sheets</t>
        </is>
      </c>
      <c r="AI117" s="116" t="n">
        <v>0.9348573408319122</v>
      </c>
      <c r="AJ117" s="116" t="n">
        <v>0.3304382367786775</v>
      </c>
      <c r="AK117" s="116" t="n"/>
      <c r="AL117" s="116" t="n">
        <v>0.007908750698138397</v>
      </c>
      <c r="AM117" s="108" t="n">
        <v>259</v>
      </c>
      <c r="AN117" s="108" t="n">
        <v>73</v>
      </c>
      <c r="AO117" s="108" t="n">
        <v>122</v>
      </c>
      <c r="AP117" s="108" t="n">
        <v>2379</v>
      </c>
      <c r="AQ117" s="108" t="n">
        <v>502</v>
      </c>
      <c r="AR117" s="108" t="n">
        <v>5</v>
      </c>
      <c r="AS117" s="117" t="n">
        <v>1.312468450277638</v>
      </c>
      <c r="AT117" s="112" t="n">
        <v>0.2565502183406114</v>
      </c>
      <c r="AU117" s="118" t="inlineStr">
        <is>
          <t>N</t>
        </is>
      </c>
      <c r="AV117" s="118" t="inlineStr">
        <is>
          <t>none</t>
        </is>
      </c>
      <c r="AW117" s="124" t="n"/>
      <c r="AX117" s="119" t="n">
        <v>84.98999999999999</v>
      </c>
      <c r="AY117" s="118" t="inlineStr">
        <is>
          <t>none</t>
        </is>
      </c>
      <c r="AZ117" s="118" t="inlineStr">
        <is>
          <t>Y</t>
        </is>
      </c>
      <c r="BA117" s="118" t="inlineStr">
        <is>
          <t>2026-10-13 12:11:00</t>
        </is>
      </c>
      <c r="BB117" s="120" t="inlineStr">
        <is>
          <t>None</t>
        </is>
      </c>
      <c r="BC117" s="125" t="n"/>
      <c r="BD117" s="121" t="n">
        <v>72.98999999999999</v>
      </c>
      <c r="BE117" s="121" t="n">
        <v>72.98999999999999</v>
      </c>
      <c r="BF117" s="110">
        <f>IF(AND(ISNUMBER(BD117),ISNUMBER(BE117),N(BD117)&gt;0),1-BE117/BD117,"")</f>
        <v/>
      </c>
      <c r="BG117" s="122" t="n">
        <v>1190634</v>
      </c>
      <c r="BH117" s="122" t="n">
        <v>628461</v>
      </c>
      <c r="BI117" s="123">
        <f>IF(AND(ISNUMBER(BG117),ISNUMBER(BH117),N(BH117)&gt;0),BG117/BH117,"")</f>
        <v/>
      </c>
      <c r="BJ117" s="120" t="inlineStr">
        <is>
          <t>N</t>
        </is>
      </c>
      <c r="BK117" s="120" t="inlineStr">
        <is>
          <t>List Price $94.89</t>
        </is>
      </c>
    </row>
    <row r="118" ht="62" customHeight="1">
      <c r="A118" s="12">
        <f>_xlfn.IMAGE("https://images-na.ssl-images-amazon.com/images/I/81svKInu7aL.jpg")</f>
        <v/>
      </c>
      <c r="B118" s="105" t="inlineStr">
        <is>
          <t>Bambaw</t>
        </is>
      </c>
      <c r="C118" s="39" t="inlineStr">
        <is>
          <t>Bambaw 100% Viscose Derived from Bamboo Sheets Queen Size Set – 4pcs Cooling Sheet Set, Super Soft Sheets Queen Size, Luxury Bed Sheets, Deep Pocket Fits Up to 16'' Mattresses (Charcoal)</t>
        </is>
      </c>
      <c r="D118" s="105" t="inlineStr">
        <is>
          <t>Beatable</t>
        </is>
      </c>
      <c r="E118" s="128" t="inlineStr">
        <is>
          <t>Alternative material</t>
        </is>
      </c>
      <c r="F118" s="105" t="inlineStr">
        <is>
          <t>Bamboo viscose</t>
        </is>
      </c>
      <c r="G118" s="39" t="inlineStr">
        <is>
          <t>Sheet set in Bamboo viscose (title: Bambaw 100% Viscose Derived from Bamboo Sheets Queen Size Se); ours is Synthetic cooling knit (BreezeWeave cooling fabric, nylon-spandex like CooLoom (confirmed Oct 15, 2026)). Shopper may cross-shop, but not like-for-like.</t>
        </is>
      </c>
      <c r="H118" s="107" t="inlineStr">
        <is>
          <t>B07K6SYX8L</t>
        </is>
      </c>
      <c r="I118" s="107" t="inlineStr">
        <is>
          <t>B0DR99Q37Y</t>
        </is>
      </c>
      <c r="J118" s="105" t="inlineStr">
        <is>
          <t>Queen</t>
        </is>
      </c>
      <c r="K118" s="105" t="inlineStr">
        <is>
          <t>Charcoal</t>
        </is>
      </c>
      <c r="L118" s="108" t="n">
        <v>104</v>
      </c>
      <c r="M118" s="39" t="inlineStr">
        <is>
          <t>B0DR99Q37Y (55%), B0DR98VW37 (10%), B0F2J1742T (7%), B0DR98HVG3 (5%), B0H3BQSQ1X (5%)</t>
        </is>
      </c>
      <c r="N118" s="109" t="n">
        <v>89.98999999999999</v>
      </c>
      <c r="O118" s="109" t="n"/>
      <c r="P118" s="110">
        <f>IF(AND(ISNUMBER(O118),ISNUMBER(N118),N(N118)&gt;0),O118/N118-1,"")</f>
        <v/>
      </c>
      <c r="Q118" s="111">
        <f>IF(P118="","No List Price",IF(P118&lt;=0,"At/below price",IF(P118&lt;=0.12,"&lt;=12% STR zone",IF(P118&lt;=0.25,"12-25%","&gt;25% over"))))</f>
        <v/>
      </c>
      <c r="R118" s="109" t="n">
        <v>79.98999999999999</v>
      </c>
      <c r="S118" s="112">
        <f>IF(AND(ISNUMBER(N118),ISNUMBER(R118),N(R118)&gt;0),N118/R118-1,"")</f>
        <v/>
      </c>
      <c r="T118" s="39" t="inlineStr">
        <is>
          <t>Same size (Queen). Ours live: catalog price, 2026-10-13; 11 children</t>
        </is>
      </c>
      <c r="U118" s="108" t="n">
        <v>6971</v>
      </c>
      <c r="V118" s="108" t="n">
        <v>104</v>
      </c>
      <c r="W118" s="113">
        <f>IF(AND(ISNUMBER(N118),ISNUMBER(V118)),N118*V118*52/12,"")</f>
        <v/>
      </c>
      <c r="X118" s="114" t="n">
        <v>4.3</v>
      </c>
      <c r="Y118" s="108" t="n">
        <v>2766</v>
      </c>
      <c r="Z118" s="115" t="n">
        <v>46307</v>
      </c>
      <c r="AA118" s="115" t="n">
        <v>45649</v>
      </c>
      <c r="AB118" s="105" t="inlineStr">
        <is>
          <t>FBA</t>
        </is>
      </c>
      <c r="AC118" s="105" t="inlineStr">
        <is>
          <t>BE</t>
        </is>
      </c>
      <c r="AD118" s="108" t="n">
        <v>407949</v>
      </c>
      <c r="AE118" s="108" t="n">
        <v>2137</v>
      </c>
      <c r="AF118" s="116" t="n">
        <v>0.5037485506766772</v>
      </c>
      <c r="AG118" s="116" t="n">
        <v>0.4962515277645003</v>
      </c>
      <c r="AH118" s="39" t="inlineStr">
        <is>
          <t>bamboo sheets</t>
        </is>
      </c>
      <c r="AI118" s="116" t="n">
        <v>0.8267479513370544</v>
      </c>
      <c r="AJ118" s="116" t="n">
        <v>0.000431426477329274</v>
      </c>
      <c r="AK118" s="116" t="n">
        <v>0.3636508485129268</v>
      </c>
      <c r="AL118" s="116" t="n">
        <v>0.003414642516589083</v>
      </c>
      <c r="AM118" s="108" t="n">
        <v>261</v>
      </c>
      <c r="AN118" s="108" t="n">
        <v>30</v>
      </c>
      <c r="AO118" s="108" t="n">
        <v>209</v>
      </c>
      <c r="AP118" s="108" t="n">
        <v>1876</v>
      </c>
      <c r="AQ118" s="108" t="n">
        <v>578</v>
      </c>
      <c r="AR118" s="108" t="n">
        <v>29</v>
      </c>
      <c r="AS118" s="117" t="n">
        <v>1.374474053295933</v>
      </c>
      <c r="AT118" s="112" t="n">
        <v>1.381825760733639</v>
      </c>
      <c r="AU118" s="118" t="inlineStr">
        <is>
          <t>N</t>
        </is>
      </c>
      <c r="AV118" s="118" t="inlineStr">
        <is>
          <t>none</t>
        </is>
      </c>
      <c r="AW118" s="124" t="n"/>
      <c r="AX118" s="119" t="n">
        <v>89.98999999999999</v>
      </c>
      <c r="AY118" s="118" t="inlineStr">
        <is>
          <t>none</t>
        </is>
      </c>
      <c r="AZ118" s="118" t="inlineStr">
        <is>
          <t>Y</t>
        </is>
      </c>
      <c r="BA118" s="118" t="inlineStr">
        <is>
          <t>2026-10-13 12:10:28</t>
        </is>
      </c>
      <c r="BB118" s="120" t="inlineStr">
        <is>
          <t>None</t>
        </is>
      </c>
      <c r="BC118" s="125" t="n"/>
      <c r="BD118" s="121" t="n">
        <v>89.98999999999999</v>
      </c>
      <c r="BE118" s="121" t="n">
        <v>89.98999999999999</v>
      </c>
      <c r="BF118" s="110">
        <f>IF(AND(ISNUMBER(BD118),ISNUMBER(BE118),N(BD118)&gt;0),1-BE118/BD118,"")</f>
        <v/>
      </c>
      <c r="BG118" s="122" t="n">
        <v>12712</v>
      </c>
      <c r="BH118" s="122" t="n">
        <v>10881</v>
      </c>
      <c r="BI118" s="123">
        <f>IF(AND(ISNUMBER(BG118),ISNUMBER(BH118),N(BH118)&gt;0),BG118/BH118,"")</f>
        <v/>
      </c>
      <c r="BJ118" s="120" t="inlineStr">
        <is>
          <t>N</t>
        </is>
      </c>
      <c r="BK118" s="120" t="inlineStr">
        <is>
          <t>List Price $103.45</t>
        </is>
      </c>
    </row>
    <row r="119" ht="62" customHeight="1">
      <c r="A119" s="12">
        <f>_xlfn.IMAGE("https://images-na.ssl-images-amazon.com/images/I/71sqxa1EquL.jpg")</f>
        <v/>
      </c>
      <c r="B119" s="105" t="inlineStr">
        <is>
          <t>SONORO KATE</t>
        </is>
      </c>
      <c r="C119" s="39" t="inlineStr">
        <is>
          <t>Bamboo Sheets</t>
        </is>
      </c>
      <c r="D119" s="105" t="inlineStr">
        <is>
          <t>Beatable</t>
        </is>
      </c>
      <c r="E119" s="128" t="inlineStr">
        <is>
          <t>Alternative material</t>
        </is>
      </c>
      <c r="F119" s="105" t="inlineStr">
        <is>
          <t>Bamboo viscose</t>
        </is>
      </c>
      <c r="G119" s="39" t="inlineStr">
        <is>
          <t>Sheet set in Bamboo viscose (product page material: Viscose Derived From Bamboo); ours is Synthetic cooling knit (BreezeWeave cooling fabric, nylon-spandex like CooLoom (confirmed Oct 15, 2026)). Shopper may cross-shop, but not like-for-like.</t>
        </is>
      </c>
      <c r="H119" s="107" t="inlineStr">
        <is>
          <t>B0F4852T9V</t>
        </is>
      </c>
      <c r="I119" s="107" t="inlineStr">
        <is>
          <t>B0F4873G4H</t>
        </is>
      </c>
      <c r="J119" s="105" t="inlineStr">
        <is>
          <t>King</t>
        </is>
      </c>
      <c r="K119" s="105" t="inlineStr">
        <is>
          <t>Dark Grey</t>
        </is>
      </c>
      <c r="L119" s="108" t="n">
        <v>33</v>
      </c>
      <c r="M119" s="39" t="inlineStr">
        <is>
          <t>B0F486MGJ1 (46%), B0F4873G4H (45%)</t>
        </is>
      </c>
      <c r="N119" s="109" t="n">
        <v>79.98999999999999</v>
      </c>
      <c r="O119" s="109" t="n"/>
      <c r="P119" s="110">
        <f>IF(AND(ISNUMBER(O119),ISNUMBER(N119),N(N119)&gt;0),O119/N119-1,"")</f>
        <v/>
      </c>
      <c r="Q119" s="111">
        <f>IF(P119="","No List Price",IF(P119&lt;=0,"At/below price",IF(P119&lt;=0.12,"&lt;=12% STR zone",IF(P119&lt;=0.25,"12-25%","&gt;25% over"))))</f>
        <v/>
      </c>
      <c r="R119" s="109" t="n">
        <v>84.98999999999999</v>
      </c>
      <c r="S119" s="112">
        <f>IF(AND(ISNUMBER(N119),ISNUMBER(R119),N(R119)&gt;0),N119/R119-1,"")</f>
        <v/>
      </c>
      <c r="T119" s="39" t="inlineStr">
        <is>
          <t>Same size (King). Ours live: catalog price, 2026-10-13; 6 children</t>
        </is>
      </c>
      <c r="U119" s="108" t="n">
        <v>7961</v>
      </c>
      <c r="V119" s="108" t="n">
        <v>104</v>
      </c>
      <c r="W119" s="113">
        <f>IF(AND(ISNUMBER(N119),ISNUMBER(V119)),N119*V119*52/12,"")</f>
        <v/>
      </c>
      <c r="X119" s="114" t="n">
        <v>4.5</v>
      </c>
      <c r="Y119" s="108" t="n">
        <v>3776</v>
      </c>
      <c r="Z119" s="115" t="n">
        <v>46307</v>
      </c>
      <c r="AA119" s="115" t="n"/>
      <c r="AB119" s="105" t="n"/>
      <c r="AC119" s="105" t="n"/>
      <c r="AD119" s="108" t="n">
        <v>185157</v>
      </c>
      <c r="AE119" s="108" t="n">
        <v>1447</v>
      </c>
      <c r="AF119" s="116" t="n">
        <v>0.9776013545261586</v>
      </c>
      <c r="AG119" s="116" t="n">
        <v>0.02239928493116653</v>
      </c>
      <c r="AH119" s="39" t="inlineStr">
        <is>
          <t>bamboo sheets</t>
        </is>
      </c>
      <c r="AI119" s="116" t="n">
        <v>0.4342476924987983</v>
      </c>
      <c r="AJ119" s="116" t="n"/>
      <c r="AK119" s="116" t="n"/>
      <c r="AL119" s="116" t="n">
        <v>0.1639959601851402</v>
      </c>
      <c r="AM119" s="108" t="n">
        <v>200</v>
      </c>
      <c r="AN119" s="108" t="n">
        <v>47</v>
      </c>
      <c r="AO119" s="108" t="n">
        <v>135</v>
      </c>
      <c r="AP119" s="108" t="n">
        <v>1247</v>
      </c>
      <c r="AQ119" s="108" t="n">
        <v>122</v>
      </c>
      <c r="AR119" s="108" t="n">
        <v>1</v>
      </c>
      <c r="AS119" s="117" t="n">
        <v>1.314808539478143</v>
      </c>
      <c r="AT119" s="112" t="n">
        <v>0.6186540731995278</v>
      </c>
      <c r="AU119" s="118" t="inlineStr">
        <is>
          <t>N</t>
        </is>
      </c>
      <c r="AV119" s="118" t="inlineStr">
        <is>
          <t>none</t>
        </is>
      </c>
      <c r="AW119" s="124" t="n"/>
      <c r="AX119" s="119" t="n">
        <v>79.98999999999999</v>
      </c>
      <c r="AY119" s="118" t="inlineStr">
        <is>
          <t>coupon $5</t>
        </is>
      </c>
      <c r="AZ119" s="118" t="inlineStr">
        <is>
          <t>Y</t>
        </is>
      </c>
      <c r="BA119" s="118" t="inlineStr">
        <is>
          <t>2026-10-13 12:11:19</t>
        </is>
      </c>
      <c r="BB119" s="120" t="inlineStr">
        <is>
          <t>Prime Exclusive Discount</t>
        </is>
      </c>
      <c r="BC119" s="120" t="inlineStr">
        <is>
          <t>11-20 to 12-01</t>
        </is>
      </c>
      <c r="BD119" s="121" t="n">
        <v>79.98999999999999</v>
      </c>
      <c r="BE119" s="121" t="n">
        <v>63.99</v>
      </c>
      <c r="BF119" s="110">
        <f>IF(AND(ISNUMBER(BD119),ISNUMBER(BE119),N(BD119)&gt;0),1-BE119/BD119,"")</f>
        <v/>
      </c>
      <c r="BG119" s="122" t="n">
        <v>36662</v>
      </c>
      <c r="BH119" s="122" t="n">
        <v>23612</v>
      </c>
      <c r="BI119" s="123">
        <f>IF(AND(ISNUMBER(BG119),ISNUMBER(BH119),N(BH119)&gt;0),BG119/BH119,"")</f>
        <v/>
      </c>
      <c r="BJ119" s="120" t="inlineStr">
        <is>
          <t>N</t>
        </is>
      </c>
      <c r="BK119" s="120" t="inlineStr">
        <is>
          <t>Coupon 15% (11-06 to 11-19); List Price $79.99</t>
        </is>
      </c>
    </row>
    <row r="120" ht="62" customHeight="1">
      <c r="A120" s="12">
        <f>_xlfn.IMAGE("https://images-na.ssl-images-amazon.com/images/I/71Pl57-j67L.jpg")</f>
        <v/>
      </c>
      <c r="B120" s="105" t="inlineStr">
        <is>
          <t>BC BELLA COTERIE</t>
        </is>
      </c>
      <c r="C120" s="39" t="inlineStr">
        <is>
          <t>Bella Coterie Luxury Bamboo Viscose King Size Sheet Set</t>
        </is>
      </c>
      <c r="D120" s="105" t="inlineStr">
        <is>
          <t>Beatable</t>
        </is>
      </c>
      <c r="E120" s="128" t="inlineStr">
        <is>
          <t>Alternative material</t>
        </is>
      </c>
      <c r="F120" s="105" t="inlineStr">
        <is>
          <t>Bamboo viscose</t>
        </is>
      </c>
      <c r="G120" s="39" t="inlineStr">
        <is>
          <t>Sheet set in Bamboo viscose (product page material: Organically Grown | Viscose Made From Bamboo); ours is Synthetic cooling knit (BreezeWeave cooling fabric, nylon-spandex like CooLoom (confirmed Oct 15, 2026)). Shopper may cross-shop, but not like-for-like.</t>
        </is>
      </c>
      <c r="H120" s="107" t="inlineStr">
        <is>
          <t>B0H29V113N</t>
        </is>
      </c>
      <c r="I120" s="107" t="inlineStr">
        <is>
          <t>B08L86VLZB</t>
        </is>
      </c>
      <c r="J120" s="105" t="inlineStr">
        <is>
          <t>King - 2 Pillowcases</t>
        </is>
      </c>
      <c r="K120" s="105" t="inlineStr">
        <is>
          <t>01 - White</t>
        </is>
      </c>
      <c r="L120" s="108" t="n">
        <v>258</v>
      </c>
      <c r="M120" s="39" t="inlineStr">
        <is>
          <t>B0C979FD5Z (12%), B09JTQMF5C (11%), B08L86VLZB (6%), B08L85SV5Z (5%), B09JV1NG9R (4%)</t>
        </is>
      </c>
      <c r="N120" s="109" t="n">
        <v>154.99</v>
      </c>
      <c r="O120" s="109" t="n"/>
      <c r="P120" s="110">
        <f>IF(AND(ISNUMBER(O120),ISNUMBER(N120),N(N120)&gt;0),O120/N120-1,"")</f>
        <v/>
      </c>
      <c r="Q120" s="111">
        <f>IF(P120="","No List Price",IF(P120&lt;=0,"At/below price",IF(P120&lt;=0.12,"&lt;=12% STR zone",IF(P120&lt;=0.25,"12-25%","&gt;25% over"))))</f>
        <v/>
      </c>
      <c r="R120" s="109" t="n">
        <v>84.98999999999999</v>
      </c>
      <c r="S120" s="112">
        <f>IF(AND(ISNUMBER(N120),ISNUMBER(R120),N(R120)&gt;0),N120/R120-1,"")</f>
        <v/>
      </c>
      <c r="T120" s="39" t="inlineStr">
        <is>
          <t>Same size (King). Ours live: catalog price, 2026-10-13; 6 children</t>
        </is>
      </c>
      <c r="U120" s="108" t="n">
        <v>1358</v>
      </c>
      <c r="V120" s="108" t="n">
        <v>92</v>
      </c>
      <c r="W120" s="113">
        <f>IF(AND(ISNUMBER(N120),ISNUMBER(V120)),N120*V120*52/12,"")</f>
        <v/>
      </c>
      <c r="X120" s="114" t="n">
        <v>4.4</v>
      </c>
      <c r="Y120" s="108" t="n">
        <v>5871</v>
      </c>
      <c r="Z120" s="115" t="n">
        <v>46307</v>
      </c>
      <c r="AA120" s="115" t="n">
        <v>44154</v>
      </c>
      <c r="AB120" s="105" t="inlineStr">
        <is>
          <t>FBA</t>
        </is>
      </c>
      <c r="AC120" s="105" t="inlineStr">
        <is>
          <t>US</t>
        </is>
      </c>
      <c r="AD120" s="108" t="n">
        <v>591713</v>
      </c>
      <c r="AE120" s="108" t="n">
        <v>5504</v>
      </c>
      <c r="AF120" s="116" t="n">
        <v>0.3622702587234016</v>
      </c>
      <c r="AG120" s="116" t="n">
        <v>0.6377298332130611</v>
      </c>
      <c r="AH120" s="39" t="inlineStr">
        <is>
          <t>bamboo sheets</t>
        </is>
      </c>
      <c r="AI120" s="116" t="n">
        <v>0.9808184035165697</v>
      </c>
      <c r="AJ120" s="116" t="n">
        <v>0.5730548424658576</v>
      </c>
      <c r="AK120" s="116" t="n">
        <v>0.5581810776508206</v>
      </c>
      <c r="AL120" s="116" t="n">
        <v>0.03836488297536136</v>
      </c>
      <c r="AM120" s="108" t="n">
        <v>292</v>
      </c>
      <c r="AN120" s="108" t="n">
        <v>87</v>
      </c>
      <c r="AO120" s="108" t="n">
        <v>167</v>
      </c>
      <c r="AP120" s="108" t="n">
        <v>5212</v>
      </c>
      <c r="AQ120" s="108" t="n">
        <v>2444</v>
      </c>
      <c r="AR120" s="108" t="n">
        <v>20</v>
      </c>
      <c r="AS120" s="117" t="n">
        <v>1.778087279480037</v>
      </c>
      <c r="AT120" s="112" t="n">
        <v>0.3772549019607843</v>
      </c>
      <c r="AU120" s="118" t="inlineStr">
        <is>
          <t>N</t>
        </is>
      </c>
      <c r="AV120" s="118" t="inlineStr">
        <is>
          <t>none</t>
        </is>
      </c>
      <c r="AW120" s="124" t="n"/>
      <c r="AX120" s="119" t="n">
        <v>169.99</v>
      </c>
      <c r="AY120" s="118" t="inlineStr">
        <is>
          <t>none</t>
        </is>
      </c>
      <c r="AZ120" s="118" t="inlineStr">
        <is>
          <t>Y</t>
        </is>
      </c>
      <c r="BA120" s="118" t="inlineStr">
        <is>
          <t>2026-10-13 12:14:18</t>
        </is>
      </c>
      <c r="BB120" s="120" t="inlineStr">
        <is>
          <t>Price cut only</t>
        </is>
      </c>
      <c r="BC120" s="120" t="inlineStr">
        <is>
          <t>11-20 to 12-01</t>
        </is>
      </c>
      <c r="BD120" s="121" t="n">
        <v>134.99</v>
      </c>
      <c r="BE120" s="121" t="n">
        <v>110.5</v>
      </c>
      <c r="BF120" s="110">
        <f>IF(AND(ISNUMBER(BD120),ISNUMBER(BE120),N(BD120)&gt;0),1-BE120/BD120,"")</f>
        <v/>
      </c>
      <c r="BG120" s="122" t="n">
        <v>3072</v>
      </c>
      <c r="BH120" s="122" t="n">
        <v>1155</v>
      </c>
      <c r="BI120" s="123">
        <f>IF(AND(ISNUMBER(BG120),ISNUMBER(BH120),N(BH120)&gt;0),BG120/BH120,"")</f>
        <v/>
      </c>
      <c r="BJ120" s="120" t="inlineStr">
        <is>
          <t>N</t>
        </is>
      </c>
      <c r="BK120" s="120" t="inlineStr">
        <is>
          <t>Coupon 20.00 USD (12-03 to 12-05); List Price $169.99</t>
        </is>
      </c>
    </row>
    <row r="121" ht="62" customHeight="1">
      <c r="A121" s="12">
        <f>_xlfn.IMAGE("https://images-na.ssl-images-amazon.com/images/I/71HeTCWM4hL.jpg")</f>
        <v/>
      </c>
      <c r="B121" s="105" t="inlineStr">
        <is>
          <t>SONORO KATE</t>
        </is>
      </c>
      <c r="C121" s="39" t="inlineStr">
        <is>
          <t>SONORO KATE 100% Viscose Derived from Bamboo_Sheets Queen Size,4PC</t>
        </is>
      </c>
      <c r="D121" s="105" t="inlineStr">
        <is>
          <t>Beatable</t>
        </is>
      </c>
      <c r="E121" s="128" t="inlineStr">
        <is>
          <t>Alternative material</t>
        </is>
      </c>
      <c r="F121" s="105" t="inlineStr">
        <is>
          <t>Bamboo viscose</t>
        </is>
      </c>
      <c r="G121" s="39" t="inlineStr">
        <is>
          <t>Sheet set in Bamboo viscose (product page material: Viscose Derived From Bamboo); ours is Synthetic cooling knit (BreezeWeave cooling fabric, nylon-spandex like CooLoom (confirmed Oct 15, 2026)). Shopper may cross-shop, but not like-for-like.</t>
        </is>
      </c>
      <c r="H121" s="107" t="inlineStr">
        <is>
          <t>B0F29FQLFD</t>
        </is>
      </c>
      <c r="I121" s="107" t="inlineStr">
        <is>
          <t>B0F29F1JM5</t>
        </is>
      </c>
      <c r="J121" s="105" t="inlineStr">
        <is>
          <t>Queen</t>
        </is>
      </c>
      <c r="K121" s="105" t="inlineStr">
        <is>
          <t>Dark Grey</t>
        </is>
      </c>
      <c r="L121" s="108" t="n">
        <v>42</v>
      </c>
      <c r="M121" s="39" t="inlineStr">
        <is>
          <t>B0F29F1JM5 (71%), B0F29HFNNS (19%)</t>
        </is>
      </c>
      <c r="N121" s="109" t="n">
        <v>59.99</v>
      </c>
      <c r="O121" s="109" t="n"/>
      <c r="P121" s="110">
        <f>IF(AND(ISNUMBER(O121),ISNUMBER(N121),N(N121)&gt;0),O121/N121-1,"")</f>
        <v/>
      </c>
      <c r="Q121" s="111">
        <f>IF(P121="","No List Price",IF(P121&lt;=0,"At/below price",IF(P121&lt;=0.12,"&lt;=12% STR zone",IF(P121&lt;=0.25,"12-25%","&gt;25% over"))))</f>
        <v/>
      </c>
      <c r="R121" s="109" t="n">
        <v>79.98999999999999</v>
      </c>
      <c r="S121" s="112">
        <f>IF(AND(ISNUMBER(N121),ISNUMBER(R121),N(R121)&gt;0),N121/R121-1,"")</f>
        <v/>
      </c>
      <c r="T121" s="39" t="inlineStr">
        <is>
          <t>Same size (Queen). Ours live: catalog price, 2026-10-13; 11 children</t>
        </is>
      </c>
      <c r="U121" s="108" t="n">
        <v>23979</v>
      </c>
      <c r="V121" s="108" t="n">
        <v>81</v>
      </c>
      <c r="W121" s="113">
        <f>IF(AND(ISNUMBER(N121),ISNUMBER(V121)),N121*V121*52/12,"")</f>
        <v/>
      </c>
      <c r="X121" s="114" t="n">
        <v>4.5</v>
      </c>
      <c r="Y121" s="108" t="n">
        <v>3911</v>
      </c>
      <c r="Z121" s="115" t="n">
        <v>46307</v>
      </c>
      <c r="AA121" s="115" t="n">
        <v>45740</v>
      </c>
      <c r="AB121" s="105" t="inlineStr">
        <is>
          <t>FBA</t>
        </is>
      </c>
      <c r="AC121" s="105" t="inlineStr">
        <is>
          <t>CN</t>
        </is>
      </c>
      <c r="AD121" s="108" t="n">
        <v>114504</v>
      </c>
      <c r="AE121" s="108" t="n">
        <v>947</v>
      </c>
      <c r="AF121" s="116" t="n">
        <v>0.8792897182631171</v>
      </c>
      <c r="AG121" s="116" t="n">
        <v>0.1207102817368825</v>
      </c>
      <c r="AH121" s="39" t="inlineStr">
        <is>
          <t>bamboo sheets</t>
        </is>
      </c>
      <c r="AI121" s="116" t="n">
        <v>0.3106878362327953</v>
      </c>
      <c r="AJ121" s="116" t="n"/>
      <c r="AK121" s="116" t="n"/>
      <c r="AL121" s="116" t="n">
        <v>0.03587647593097185</v>
      </c>
      <c r="AM121" s="108" t="n">
        <v>205</v>
      </c>
      <c r="AN121" s="108" t="n">
        <v>53</v>
      </c>
      <c r="AO121" s="108" t="n">
        <v>138</v>
      </c>
      <c r="AP121" s="108" t="n">
        <v>742</v>
      </c>
      <c r="AQ121" s="108" t="n">
        <v>85</v>
      </c>
      <c r="AR121" s="108" t="n">
        <v>2</v>
      </c>
      <c r="AS121" s="117" t="n">
        <v>1.095271210013908</v>
      </c>
      <c r="AT121" s="112" t="n">
        <v>-0.1040240897892143</v>
      </c>
      <c r="AU121" s="118" t="inlineStr">
        <is>
          <t>N</t>
        </is>
      </c>
      <c r="AV121" s="118" t="inlineStr">
        <is>
          <t>none</t>
        </is>
      </c>
      <c r="AW121" s="124" t="n"/>
      <c r="AX121" s="119" t="n">
        <v>59.99</v>
      </c>
      <c r="AY121" s="118" t="inlineStr">
        <is>
          <t>coupon 15%</t>
        </is>
      </c>
      <c r="AZ121" s="118" t="inlineStr">
        <is>
          <t>Y</t>
        </is>
      </c>
      <c r="BA121" s="118" t="inlineStr">
        <is>
          <t>2026-10-13 12:11:22</t>
        </is>
      </c>
      <c r="BB121" s="120" t="inlineStr">
        <is>
          <t>Prime Exclusive Discount</t>
        </is>
      </c>
      <c r="BC121" s="120" t="inlineStr">
        <is>
          <t>11-20 to 12-01</t>
        </is>
      </c>
      <c r="BD121" s="121" t="n">
        <v>59.99</v>
      </c>
      <c r="BE121" s="121" t="n">
        <v>47.99</v>
      </c>
      <c r="BF121" s="110">
        <f>IF(AND(ISNUMBER(BD121),ISNUMBER(BE121),N(BD121)&gt;0),1-BE121/BD121,"")</f>
        <v/>
      </c>
      <c r="BG121" s="122" t="n">
        <v>22774</v>
      </c>
      <c r="BH121" s="122" t="n">
        <v>19002</v>
      </c>
      <c r="BI121" s="123">
        <f>IF(AND(ISNUMBER(BG121),ISNUMBER(BH121),N(BH121)&gt;0),BG121/BH121,"")</f>
        <v/>
      </c>
      <c r="BJ121" s="120" t="inlineStr">
        <is>
          <t>N</t>
        </is>
      </c>
      <c r="BK121" s="120" t="inlineStr">
        <is>
          <t>Coupon 10% (11-04 to 12-05); List Price $59.99</t>
        </is>
      </c>
    </row>
    <row r="122" ht="62" customHeight="1">
      <c r="A122" s="12">
        <f>_xlfn.IMAGE("https://images-na.ssl-images-amazon.com/images/I/710aWpCd4AL.jpg")</f>
        <v/>
      </c>
      <c r="B122" s="105" t="inlineStr">
        <is>
          <t>DOZ by SIJO</t>
        </is>
      </c>
      <c r="C122" s="39" t="inlineStr">
        <is>
          <t>Bamboo Sheets</t>
        </is>
      </c>
      <c r="D122" s="105" t="inlineStr">
        <is>
          <t>Beatable</t>
        </is>
      </c>
      <c r="E122" s="128" t="inlineStr">
        <is>
          <t>Alternative material</t>
        </is>
      </c>
      <c r="F122" s="105" t="inlineStr">
        <is>
          <t>Bamboo viscose</t>
        </is>
      </c>
      <c r="G122" s="39" t="inlineStr">
        <is>
          <t>Sheet set in Bamboo viscose (product page material: Rayon); ours is Synthetic cooling knit (BreezeWeave cooling fabric, nylon-spandex like CooLoom (confirmed Oct 15, 2026)). Shopper may cross-shop, but not like-for-like.</t>
        </is>
      </c>
      <c r="H122" s="107" t="inlineStr">
        <is>
          <t>B0DCZGYVZ9</t>
        </is>
      </c>
      <c r="I122" s="107" t="inlineStr">
        <is>
          <t>B0F24TRXCZ</t>
        </is>
      </c>
      <c r="J122" s="105" t="inlineStr">
        <is>
          <t>Queen</t>
        </is>
      </c>
      <c r="K122" s="105" t="inlineStr">
        <is>
          <t>Olive</t>
        </is>
      </c>
      <c r="L122" s="108" t="n">
        <v>131</v>
      </c>
      <c r="M122" s="39" t="inlineStr">
        <is>
          <t>B0B8JLLT45 (39%), B0B8JK78HR (6%), B0CS36MKM9 (5%), B0BRWD6PRK (4%), B0B9T44SJV (4%)</t>
        </is>
      </c>
      <c r="N122" s="109" t="n">
        <v>55</v>
      </c>
      <c r="O122" s="109" t="n"/>
      <c r="P122" s="110">
        <f>IF(AND(ISNUMBER(O122),ISNUMBER(N122),N(N122)&gt;0),O122/N122-1,"")</f>
        <v/>
      </c>
      <c r="Q122" s="111">
        <f>IF(P122="","No List Price",IF(P122&lt;=0,"At/below price",IF(P122&lt;=0.12,"&lt;=12% STR zone",IF(P122&lt;=0.25,"12-25%","&gt;25% over"))))</f>
        <v/>
      </c>
      <c r="R122" s="109" t="n">
        <v>79.98999999999999</v>
      </c>
      <c r="S122" s="112">
        <f>IF(AND(ISNUMBER(N122),ISNUMBER(R122),N(R122)&gt;0),N122/R122-1,"")</f>
        <v/>
      </c>
      <c r="T122" s="39" t="inlineStr">
        <is>
          <t>Same size (Queen). Ours live: catalog price, 2026-10-13; 11 children</t>
        </is>
      </c>
      <c r="U122" s="108" t="n">
        <v>4051</v>
      </c>
      <c r="V122" s="108" t="n">
        <v>35</v>
      </c>
      <c r="W122" s="113">
        <f>IF(AND(ISNUMBER(N122),ISNUMBER(V122)),N122*V122*52/12,"")</f>
        <v/>
      </c>
      <c r="X122" s="114" t="n">
        <v>4.4</v>
      </c>
      <c r="Y122" s="108" t="n">
        <v>1909</v>
      </c>
      <c r="Z122" s="115" t="n">
        <v>46307</v>
      </c>
      <c r="AA122" s="115" t="n"/>
      <c r="AB122" s="105" t="n"/>
      <c r="AC122" s="105" t="n"/>
      <c r="AD122" s="108" t="n">
        <v>171534</v>
      </c>
      <c r="AE122" s="108" t="n">
        <v>2682</v>
      </c>
      <c r="AF122" s="116" t="n">
        <v>0.5544749851341424</v>
      </c>
      <c r="AG122" s="116" t="n">
        <v>0.4455250335210511</v>
      </c>
      <c r="AH122" s="39" t="inlineStr">
        <is>
          <t>bamboo sheets</t>
        </is>
      </c>
      <c r="AI122" s="116" t="n">
        <v>0.8981426422750008</v>
      </c>
      <c r="AJ122" s="116" t="n">
        <v>0.06748516329124256</v>
      </c>
      <c r="AK122" s="116" t="n">
        <v>0.2462310678932456</v>
      </c>
      <c r="AL122" s="116" t="n">
        <v>0.0526193057936036</v>
      </c>
      <c r="AM122" s="108" t="n">
        <v>255</v>
      </c>
      <c r="AN122" s="108" t="n">
        <v>71</v>
      </c>
      <c r="AO122" s="108" t="n">
        <v>152</v>
      </c>
      <c r="AP122" s="108" t="n">
        <v>2427</v>
      </c>
      <c r="AQ122" s="108" t="n">
        <v>812</v>
      </c>
      <c r="AR122" s="108" t="n">
        <v>14</v>
      </c>
      <c r="AS122" s="117" t="n"/>
      <c r="AT122" s="112" t="n"/>
      <c r="AU122" s="118" t="inlineStr">
        <is>
          <t>N</t>
        </is>
      </c>
      <c r="AV122" s="118" t="inlineStr">
        <is>
          <t>none</t>
        </is>
      </c>
      <c r="AW122" s="124" t="n"/>
      <c r="AX122" s="119" t="n">
        <v>55</v>
      </c>
      <c r="AY122" s="118" t="inlineStr">
        <is>
          <t>none</t>
        </is>
      </c>
      <c r="AZ122" s="118" t="inlineStr">
        <is>
          <t>Y</t>
        </is>
      </c>
      <c r="BA122" s="118" t="inlineStr">
        <is>
          <t>2026-10-13 12:10:45</t>
        </is>
      </c>
      <c r="BB122" s="120" t="inlineStr">
        <is>
          <t>None</t>
        </is>
      </c>
      <c r="BC122" s="125" t="n"/>
      <c r="BD122" s="121" t="n">
        <v>55</v>
      </c>
      <c r="BE122" s="121" t="n">
        <v>55</v>
      </c>
      <c r="BF122" s="110">
        <f>IF(AND(ISNUMBER(BD122),ISNUMBER(BE122),N(BD122)&gt;0),1-BE122/BD122,"")</f>
        <v/>
      </c>
      <c r="BG122" s="122" t="n">
        <v>3634538</v>
      </c>
      <c r="BH122" s="122" t="n">
        <v>3088925</v>
      </c>
      <c r="BI122" s="123">
        <f>IF(AND(ISNUMBER(BG122),ISNUMBER(BH122),N(BH122)&gt;0),BG122/BH122,"")</f>
        <v/>
      </c>
      <c r="BJ122" s="120" t="inlineStr">
        <is>
          <t>N</t>
        </is>
      </c>
      <c r="BK122" s="120" t="inlineStr">
        <is>
          <t>List Price $55.00</t>
        </is>
      </c>
    </row>
    <row r="123" ht="62" customHeight="1">
      <c r="A123" s="12">
        <f>_xlfn.IMAGE("https://images-na.ssl-images-amazon.com/images/I/71zrq2AtnUL.jpg")</f>
        <v/>
      </c>
      <c r="B123" s="105" t="inlineStr">
        <is>
          <t>Kickoff Home</t>
        </is>
      </c>
      <c r="C123" s="39" t="inlineStr">
        <is>
          <t>Bamboo Sheets</t>
        </is>
      </c>
      <c r="D123" s="105" t="inlineStr">
        <is>
          <t>Poor</t>
        </is>
      </c>
      <c r="E123" s="128" t="inlineStr">
        <is>
          <t>Alternative material</t>
        </is>
      </c>
      <c r="F123" s="105" t="inlineStr">
        <is>
          <t>Bamboo viscose</t>
        </is>
      </c>
      <c r="G123" s="39" t="inlineStr">
        <is>
          <t>Sheet set in Bamboo viscose (product page material: Viscose from Bamboo); ours is Synthetic cooling knit (BreezeWeave cooling fabric, nylon-spandex like CooLoom (confirmed Oct 15, 2026)). Shopper may cross-shop, but not like-for-like.</t>
        </is>
      </c>
      <c r="H123" s="107" t="inlineStr">
        <is>
          <t>B0D4KS4MVX</t>
        </is>
      </c>
      <c r="I123" s="107" t="inlineStr">
        <is>
          <t>B0CHN5ZPFH</t>
        </is>
      </c>
      <c r="J123" s="105" t="inlineStr">
        <is>
          <t>King</t>
        </is>
      </c>
      <c r="K123" s="105" t="inlineStr">
        <is>
          <t>Sage Green</t>
        </is>
      </c>
      <c r="L123" s="108" t="n">
        <v>106</v>
      </c>
      <c r="M123" s="39" t="inlineStr">
        <is>
          <t>B0CHN5ZPFH (27%), B0CHN6N986 (11%), B0G84K7MZQ (9%), B0G84MQQX4 (8%), B0CHN4BSZP (5%)</t>
        </is>
      </c>
      <c r="N123" s="109" t="n">
        <v>86.98999999999999</v>
      </c>
      <c r="O123" s="109" t="n">
        <v>84.98999999999999</v>
      </c>
      <c r="P123" s="110">
        <f>IF(AND(ISNUMBER(O123),ISNUMBER(N123),N(N123)&gt;0),O123/N123-1,"")</f>
        <v/>
      </c>
      <c r="Q123" s="111">
        <f>IF(P123="","No List Price",IF(P123&lt;=0,"At/below price",IF(P123&lt;=0.12,"&lt;=12% STR zone",IF(P123&lt;=0.25,"12-25%","&gt;25% over"))))</f>
        <v/>
      </c>
      <c r="R123" s="109" t="n">
        <v>84.98999999999999</v>
      </c>
      <c r="S123" s="112">
        <f>IF(AND(ISNUMBER(N123),ISNUMBER(R123),N(R123)&gt;0),N123/R123-1,"")</f>
        <v/>
      </c>
      <c r="T123" s="39" t="inlineStr">
        <is>
          <t>Same size (King). Ours live: catalog price, 2026-10-13; 6 children</t>
        </is>
      </c>
      <c r="U123" s="108" t="n">
        <v>23579</v>
      </c>
      <c r="V123" s="108" t="n">
        <v>18</v>
      </c>
      <c r="W123" s="113">
        <f>IF(AND(ISNUMBER(N123),ISNUMBER(V123)),N123*V123*52/12,"")</f>
        <v/>
      </c>
      <c r="X123" s="114" t="n">
        <v>4.6</v>
      </c>
      <c r="Y123" s="108" t="n">
        <v>688</v>
      </c>
      <c r="Z123" s="115" t="n">
        <v>46307</v>
      </c>
      <c r="AA123" s="115" t="n"/>
      <c r="AB123" s="105" t="n"/>
      <c r="AC123" s="105" t="n"/>
      <c r="AD123" s="108" t="n">
        <v>58169</v>
      </c>
      <c r="AE123" s="108" t="n">
        <v>1164</v>
      </c>
      <c r="AF123" s="116" t="n">
        <v>0.8765498702057799</v>
      </c>
      <c r="AG123" s="116" t="n">
        <v>0.12345023981846</v>
      </c>
      <c r="AH123" s="39" t="inlineStr">
        <is>
          <t>bamboo sheets</t>
        </is>
      </c>
      <c r="AI123" s="116" t="n">
        <v>0.6749987106534409</v>
      </c>
      <c r="AJ123" s="116" t="n"/>
      <c r="AK123" s="116" t="n">
        <v>0.08715982739947395</v>
      </c>
      <c r="AL123" s="116" t="n">
        <v>0.0003782083240213859</v>
      </c>
      <c r="AM123" s="108" t="n">
        <v>213</v>
      </c>
      <c r="AN123" s="108" t="n">
        <v>88</v>
      </c>
      <c r="AO123" s="108" t="n">
        <v>86</v>
      </c>
      <c r="AP123" s="108" t="n">
        <v>951</v>
      </c>
      <c r="AQ123" s="108" t="n">
        <v>121</v>
      </c>
      <c r="AR123" s="108" t="n">
        <v>2</v>
      </c>
      <c r="AS123" s="117" t="n"/>
      <c r="AT123" s="112" t="n"/>
      <c r="AU123" s="118" t="inlineStr">
        <is>
          <t>N</t>
        </is>
      </c>
      <c r="AV123" s="118" t="inlineStr">
        <is>
          <t>none</t>
        </is>
      </c>
      <c r="AW123" s="124" t="n"/>
      <c r="AX123" s="119" t="n">
        <v>86.98999999999999</v>
      </c>
      <c r="AY123" s="118" t="inlineStr">
        <is>
          <t>none</t>
        </is>
      </c>
      <c r="AZ123" s="118" t="inlineStr">
        <is>
          <t>Y</t>
        </is>
      </c>
      <c r="BA123" s="118" t="inlineStr">
        <is>
          <t>2026-10-13 23:36:30</t>
        </is>
      </c>
      <c r="BB123" s="120" t="inlineStr">
        <is>
          <t>Price cut only</t>
        </is>
      </c>
      <c r="BC123" s="120" t="inlineStr">
        <is>
          <t>11-21 to 12-01</t>
        </is>
      </c>
      <c r="BD123" s="121" t="n">
        <v>118.99</v>
      </c>
      <c r="BE123" s="121" t="n">
        <v>79.13</v>
      </c>
      <c r="BF123" s="110">
        <f>IF(AND(ISNUMBER(BD123),ISNUMBER(BE123),N(BD123)&gt;0),1-BE123/BD123,"")</f>
        <v/>
      </c>
      <c r="BG123" s="122" t="n">
        <v>70541</v>
      </c>
      <c r="BH123" s="122" t="n">
        <v>28546</v>
      </c>
      <c r="BI123" s="123">
        <f>IF(AND(ISNUMBER(BG123),ISNUMBER(BH123),N(BH123)&gt;0),BG123/BH123,"")</f>
        <v/>
      </c>
      <c r="BJ123" s="120" t="inlineStr">
        <is>
          <t>N</t>
        </is>
      </c>
      <c r="BK123" s="120" t="inlineStr">
        <is>
          <t>Coupon 25% (11-01 to 11-05); List Price $124.99</t>
        </is>
      </c>
    </row>
    <row r="124" ht="62" customHeight="1">
      <c r="A124" s="12">
        <f>_xlfn.IMAGE("https://images-na.ssl-images-amazon.com/images/I/71AudKmD2JL.jpg")</f>
        <v/>
      </c>
      <c r="B124" s="105" t="inlineStr">
        <is>
          <t>Love's cabin</t>
        </is>
      </c>
      <c r="C124" s="39" t="inlineStr">
        <is>
          <t>Love's cabin 4 Piece Queen Sheet Set, 100% Rayon Derived from Bamboo, Cooling &amp; Breathable, Soft Silky Deep Pocket up to 16", Hotel Luxury Bedding for Hot Sleepers, Beige</t>
        </is>
      </c>
      <c r="D124" s="105" t="inlineStr">
        <is>
          <t>Untiered</t>
        </is>
      </c>
      <c r="E124" s="128" t="inlineStr">
        <is>
          <t>Alternative material</t>
        </is>
      </c>
      <c r="F124" s="105" t="inlineStr">
        <is>
          <t>Bamboo viscose</t>
        </is>
      </c>
      <c r="G124" s="39" t="inlineStr">
        <is>
          <t>Sheet set in Bamboo viscose (title: Love's cabin 4 Piece Queen Sheet Set, 100% Rayon Derived fro); ours is Synthetic cooling knit (BreezeWeave cooling fabric, nylon-spandex like CooLoom (confirmed Oct 15, 2026)). Shopper may cross-shop, but not like-for-like.</t>
        </is>
      </c>
      <c r="H124" s="107" t="inlineStr">
        <is>
          <t>B0DN1GGFL7</t>
        </is>
      </c>
      <c r="I124" s="107" t="inlineStr">
        <is>
          <t>B0DN1DVKH5</t>
        </is>
      </c>
      <c r="J124" s="105" t="inlineStr">
        <is>
          <t>Queen</t>
        </is>
      </c>
      <c r="K124" s="105" t="inlineStr">
        <is>
          <t>Beige</t>
        </is>
      </c>
      <c r="L124" s="108" t="n">
        <v>176</v>
      </c>
      <c r="M124" s="39" t="inlineStr">
        <is>
          <t>B0DN1DVKH5 (43%), B0DN1H6C88 (10%), B0DN1D4YKB (9%), B0DN1H5PQ6 (8%), B0DN1DRRDN (7%)</t>
        </is>
      </c>
      <c r="N124" s="109" t="n">
        <v>37.99</v>
      </c>
      <c r="O124" s="109" t="n">
        <v>44.99</v>
      </c>
      <c r="P124" s="110">
        <f>IF(AND(ISNUMBER(O124),ISNUMBER(N124),N(N124)&gt;0),O124/N124-1,"")</f>
        <v/>
      </c>
      <c r="Q124" s="111">
        <f>IF(P124="","No List Price",IF(P124&lt;=0,"At/below price",IF(P124&lt;=0.12,"&lt;=12% STR zone",IF(P124&lt;=0.25,"12-25%","&gt;25% over"))))</f>
        <v/>
      </c>
      <c r="R124" s="109" t="n">
        <v>79.98999999999999</v>
      </c>
      <c r="S124" s="112">
        <f>IF(AND(ISNUMBER(N124),ISNUMBER(R124),N(R124)&gt;0),N124/R124-1,"")</f>
        <v/>
      </c>
      <c r="T124" s="39" t="inlineStr">
        <is>
          <t>Same size (Queen). Ours live: catalog price, 2026-10-13; 11 children</t>
        </is>
      </c>
      <c r="U124" s="108" t="n">
        <v>501</v>
      </c>
      <c r="V124" s="108" t="n">
        <v>924</v>
      </c>
      <c r="W124" s="113">
        <f>IF(AND(ISNUMBER(N124),ISNUMBER(V124)),N124*V124*52/12,"")</f>
        <v/>
      </c>
      <c r="X124" s="114" t="n">
        <v>4.4</v>
      </c>
      <c r="Y124" s="108" t="n">
        <v>1900</v>
      </c>
      <c r="Z124" s="115" t="n">
        <v>46307</v>
      </c>
      <c r="AA124" s="115" t="n">
        <v>45694</v>
      </c>
      <c r="AB124" s="105" t="inlineStr">
        <is>
          <t>FBA</t>
        </is>
      </c>
      <c r="AC124" s="105" t="inlineStr">
        <is>
          <t>CN</t>
        </is>
      </c>
      <c r="AD124" s="108" t="n">
        <v>906346</v>
      </c>
      <c r="AE124" s="108" t="n">
        <v>4326</v>
      </c>
      <c r="AF124" s="116" t="n">
        <v>0.9184238707954808</v>
      </c>
      <c r="AG124" s="116" t="n">
        <v>0.08157613626584115</v>
      </c>
      <c r="AH124" s="39" t="inlineStr">
        <is>
          <t>bamboo sheets</t>
        </is>
      </c>
      <c r="AI124" s="116" t="n">
        <v>0.888575665364</v>
      </c>
      <c r="AJ124" s="116" t="n">
        <v>0.05086247415446198</v>
      </c>
      <c r="AK124" s="116" t="n"/>
      <c r="AL124" s="116" t="n">
        <v>0.4089034430559632</v>
      </c>
      <c r="AM124" s="108" t="n">
        <v>283</v>
      </c>
      <c r="AN124" s="108" t="n">
        <v>23</v>
      </c>
      <c r="AO124" s="108" t="n">
        <v>239</v>
      </c>
      <c r="AP124" s="108" t="n">
        <v>4043</v>
      </c>
      <c r="AQ124" s="108" t="n">
        <v>1222</v>
      </c>
      <c r="AR124" s="108" t="n">
        <v>2</v>
      </c>
      <c r="AS124" s="117" t="n">
        <v>0.8953669259384511</v>
      </c>
      <c r="AT124" s="112" t="n">
        <v>0.5388519228600428</v>
      </c>
      <c r="AU124" s="118" t="inlineStr">
        <is>
          <t>Y</t>
        </is>
      </c>
      <c r="AV124" s="118" t="inlineStr">
        <is>
          <t>List Price</t>
        </is>
      </c>
      <c r="AW124" s="119" t="n">
        <v>44.99</v>
      </c>
      <c r="AX124" s="119" t="n">
        <v>37.99</v>
      </c>
      <c r="AY124" s="118" t="inlineStr">
        <is>
          <t>none</t>
        </is>
      </c>
      <c r="AZ124" s="118" t="inlineStr">
        <is>
          <t>Y</t>
        </is>
      </c>
      <c r="BA124" s="118" t="inlineStr">
        <is>
          <t>2026-10-13 12:11:04</t>
        </is>
      </c>
      <c r="BB124" s="120" t="inlineStr">
        <is>
          <t>Prime Exclusive Discount</t>
        </is>
      </c>
      <c r="BC124" s="120" t="inlineStr">
        <is>
          <t>11-03 to 12-05</t>
        </is>
      </c>
      <c r="BD124" s="121" t="n">
        <v>36.99</v>
      </c>
      <c r="BE124" s="121" t="n">
        <v>29.99</v>
      </c>
      <c r="BF124" s="110">
        <f>IF(AND(ISNUMBER(BD124),ISNUMBER(BE124),N(BD124)&gt;0),1-BE124/BD124,"")</f>
        <v/>
      </c>
      <c r="BG124" s="122" t="n">
        <v>32899</v>
      </c>
      <c r="BH124" s="122" t="n">
        <v>33089</v>
      </c>
      <c r="BI124" s="123">
        <f>IF(AND(ISNUMBER(BG124),ISNUMBER(BH124),N(BH124)&gt;0),BG124/BH124,"")</f>
        <v/>
      </c>
      <c r="BJ124" s="120" t="inlineStr">
        <is>
          <t>N</t>
        </is>
      </c>
      <c r="BK124" s="120" t="inlineStr">
        <is>
          <t>Prime Exclusive already running before BFCM week; List Price $49.99</t>
        </is>
      </c>
    </row>
    <row r="125" ht="62" customHeight="1">
      <c r="A125" s="12">
        <f>_xlfn.IMAGE("https://m.media-amazon.com/images/I/81V9M033qOL._AC_SL1500_.jpg")</f>
        <v/>
      </c>
      <c r="B125" s="105" t="inlineStr">
        <is>
          <t>TRUE BAMBOO</t>
        </is>
      </c>
      <c r="C125" s="39" t="inlineStr">
        <is>
          <t>TRUE BAMBOO Sheets Set King Size - Silky Soft &amp; Cooling - Dark Gray</t>
        </is>
      </c>
      <c r="D125" s="105" t="inlineStr">
        <is>
          <t>Untiered</t>
        </is>
      </c>
      <c r="E125" s="128" t="inlineStr">
        <is>
          <t>Alternative material</t>
        </is>
      </c>
      <c r="F125" s="105" t="inlineStr">
        <is>
          <t>Bamboo viscose</t>
        </is>
      </c>
      <c r="G125" s="39" t="inlineStr">
        <is>
          <t>Sheet set in Bamboo viscose (product page material: Rayon); ours is Synthetic cooling knit (BreezeWeave cooling fabric, nylon-spandex like CooLoom (confirmed Oct 15, 2026)). Shopper may cross-shop, but not like-for-like.</t>
        </is>
      </c>
      <c r="H125" s="107" t="inlineStr">
        <is>
          <t>B0HHQ97HBL</t>
        </is>
      </c>
      <c r="I125" s="107" t="inlineStr">
        <is>
          <t>B0HD7R5L1D</t>
        </is>
      </c>
      <c r="J125" s="105" t="inlineStr">
        <is>
          <t>Queen</t>
        </is>
      </c>
      <c r="K125" s="105" t="inlineStr">
        <is>
          <t>Dark Gray</t>
        </is>
      </c>
      <c r="L125" s="108" t="n">
        <v>30</v>
      </c>
      <c r="M125" s="39" t="inlineStr">
        <is>
          <t>B0HD7R5L1D (45%), B0H5WYMXJK (28%), B0H7BYKYCD (9%)</t>
        </is>
      </c>
      <c r="N125" s="109" t="n">
        <v>79.98999999999999</v>
      </c>
      <c r="O125" s="109" t="n">
        <v>129.99</v>
      </c>
      <c r="P125" s="110">
        <f>IF(AND(ISNUMBER(O125),ISNUMBER(N125),N(N125)&gt;0),O125/N125-1,"")</f>
        <v/>
      </c>
      <c r="Q125" s="111">
        <f>IF(P125="","No List Price",IF(P125&lt;=0,"At/below price",IF(P125&lt;=0.12,"&lt;=12% STR zone",IF(P125&lt;=0.25,"12-25%","&gt;25% over"))))</f>
        <v/>
      </c>
      <c r="R125" s="109" t="n">
        <v>79.98999999999999</v>
      </c>
      <c r="S125" s="112">
        <f>IF(AND(ISNUMBER(N125),ISNUMBER(R125),N(R125)&gt;0),N125/R125-1,"")</f>
        <v/>
      </c>
      <c r="T125" s="39" t="inlineStr">
        <is>
          <t>Same size (Queen). Ours live: catalog price, 2026-10-13; 11 children</t>
        </is>
      </c>
      <c r="U125" s="108" t="n">
        <v>5934</v>
      </c>
      <c r="V125" s="108" t="n">
        <v>185</v>
      </c>
      <c r="W125" s="113">
        <f>IF(AND(ISNUMBER(N125),ISNUMBER(V125)),N125*V125*52/12,"")</f>
        <v/>
      </c>
      <c r="X125" s="114" t="n">
        <v>4.6</v>
      </c>
      <c r="Y125" s="108" t="n">
        <v>167</v>
      </c>
      <c r="Z125" s="115" t="n">
        <v>46307</v>
      </c>
      <c r="AA125" s="115" t="n"/>
      <c r="AB125" s="105" t="n"/>
      <c r="AC125" s="105" t="n"/>
      <c r="AD125" s="108" t="n">
        <v>557658</v>
      </c>
      <c r="AE125" s="108" t="n">
        <v>2189</v>
      </c>
      <c r="AF125" s="116" t="n">
        <v>0.518044597943542</v>
      </c>
      <c r="AG125" s="116" t="n">
        <v>0.4819554422244464</v>
      </c>
      <c r="AH125" s="39" t="inlineStr">
        <is>
          <t>king size sheets set</t>
        </is>
      </c>
      <c r="AI125" s="116" t="n">
        <v>0.9807695756180311</v>
      </c>
      <c r="AJ125" s="116" t="n">
        <v>0.2157666526795993</v>
      </c>
      <c r="AK125" s="116" t="n"/>
      <c r="AL125" s="116" t="n"/>
      <c r="AM125" s="108" t="n">
        <v>249</v>
      </c>
      <c r="AN125" s="108" t="n">
        <v>60</v>
      </c>
      <c r="AO125" s="108" t="n">
        <v>134</v>
      </c>
      <c r="AP125" s="108" t="n">
        <v>1940</v>
      </c>
      <c r="AQ125" s="108" t="n">
        <v>974</v>
      </c>
      <c r="AR125" s="108" t="n">
        <v>17</v>
      </c>
      <c r="AS125" s="117" t="n"/>
      <c r="AT125" s="112" t="n"/>
      <c r="AU125" s="118" t="inlineStr">
        <is>
          <t>Y</t>
        </is>
      </c>
      <c r="AV125" s="118" t="inlineStr">
        <is>
          <t>List Price</t>
        </is>
      </c>
      <c r="AW125" s="119" t="n">
        <v>129.99</v>
      </c>
      <c r="AX125" s="119" t="n">
        <v>79.98999999999999</v>
      </c>
      <c r="AY125" s="118" t="inlineStr">
        <is>
          <t>none</t>
        </is>
      </c>
      <c r="AZ125" s="118" t="inlineStr">
        <is>
          <t>Y</t>
        </is>
      </c>
      <c r="BA125" s="118" t="inlineStr">
        <is>
          <t>2026-10-13 12:11:32</t>
        </is>
      </c>
      <c r="BB125" s="120" t="inlineStr">
        <is>
          <t>Not live in 2025</t>
        </is>
      </c>
      <c r="BC125" s="125" t="n"/>
      <c r="BD125" s="124" t="n"/>
      <c r="BE125" s="124" t="n"/>
      <c r="BF125" s="110">
        <f>IF(AND(ISNUMBER(BD125),ISNUMBER(BE125),N(BD125)&gt;0),1-BE125/BD125,"")</f>
        <v/>
      </c>
      <c r="BG125" s="126" t="n"/>
      <c r="BH125" s="126" t="n"/>
      <c r="BI125" s="123">
        <f>IF(AND(ISNUMBER(BG125),ISNUMBER(BH125),N(BH125)&gt;0),BG125/BH125,"")</f>
        <v/>
      </c>
      <c r="BJ125" s="125" t="n"/>
      <c r="BK125" s="125" t="n"/>
    </row>
    <row r="126" ht="62" customHeight="1">
      <c r="A126" s="12">
        <f>_xlfn.IMAGE("https://m.media-amazon.com/images/I/71F+539t2YL._AC_SL1500_.jpg")</f>
        <v/>
      </c>
      <c r="B126" s="105" t="inlineStr">
        <is>
          <t>BEDELITE</t>
        </is>
      </c>
      <c r="C126" s="39" t="inlineStr">
        <is>
          <t>BEDELITE Bamboo Viscose Sheet Set, Queen Size, 4 Pieces, White</t>
        </is>
      </c>
      <c r="D126" s="105" t="inlineStr">
        <is>
          <t>Untiered</t>
        </is>
      </c>
      <c r="E126" s="128" t="inlineStr">
        <is>
          <t>Alternative material</t>
        </is>
      </c>
      <c r="F126" s="105" t="inlineStr">
        <is>
          <t>Bamboo viscose</t>
        </is>
      </c>
      <c r="G126" s="39" t="inlineStr">
        <is>
          <t>Sheet set in Bamboo viscose (product page material: Viscose Derived from Bamboo); ours is Synthetic cooling knit (BreezeWeave cooling fabric, nylon-spandex like CooLoom (confirmed Oct 15, 2026)). Shopper may cross-shop, but not like-for-like.</t>
        </is>
      </c>
      <c r="H126" s="107" t="inlineStr">
        <is>
          <t>B0GT98GVQN</t>
        </is>
      </c>
      <c r="I126" s="107" t="inlineStr">
        <is>
          <t>B0GT8Z4X5D</t>
        </is>
      </c>
      <c r="J126" s="105" t="inlineStr">
        <is>
          <t>Queen</t>
        </is>
      </c>
      <c r="K126" s="105" t="inlineStr">
        <is>
          <t>White</t>
        </is>
      </c>
      <c r="L126" s="108" t="n">
        <v>8</v>
      </c>
      <c r="M126" s="39" t="inlineStr">
        <is>
          <t>B0GT8Z4X5D (87%)</t>
        </is>
      </c>
      <c r="N126" s="109" t="n">
        <v>84.98</v>
      </c>
      <c r="O126" s="109" t="n">
        <v>99.89</v>
      </c>
      <c r="P126" s="110">
        <f>IF(AND(ISNUMBER(O126),ISNUMBER(N126),N(N126)&gt;0),O126/N126-1,"")</f>
        <v/>
      </c>
      <c r="Q126" s="111">
        <f>IF(P126="","No List Price",IF(P126&lt;=0,"At/below price",IF(P126&lt;=0.12,"&lt;=12% STR zone",IF(P126&lt;=0.25,"12-25%","&gt;25% over"))))</f>
        <v/>
      </c>
      <c r="R126" s="109" t="n">
        <v>79.98999999999999</v>
      </c>
      <c r="S126" s="112">
        <f>IF(AND(ISNUMBER(N126),ISNUMBER(R126),N(R126)&gt;0),N126/R126-1,"")</f>
        <v/>
      </c>
      <c r="T126" s="39" t="inlineStr">
        <is>
          <t>Same size (Queen). Ours live: catalog price, 2026-10-13; 11 children</t>
        </is>
      </c>
      <c r="U126" s="108" t="n">
        <v>65907</v>
      </c>
      <c r="V126" s="108" t="n">
        <v>81</v>
      </c>
      <c r="W126" s="113">
        <f>IF(AND(ISNUMBER(N126),ISNUMBER(V126)),N126*V126*52/12,"")</f>
        <v/>
      </c>
      <c r="X126" s="114" t="n">
        <v>4.5</v>
      </c>
      <c r="Y126" s="108" t="n">
        <v>113</v>
      </c>
      <c r="Z126" s="115" t="n">
        <v>46307</v>
      </c>
      <c r="AA126" s="115" t="n"/>
      <c r="AB126" s="105" t="n"/>
      <c r="AC126" s="105" t="n"/>
      <c r="AD126" s="108" t="n">
        <v>212120</v>
      </c>
      <c r="AE126" s="108" t="n">
        <v>1732</v>
      </c>
      <c r="AF126" s="116" t="n">
        <v>0.1115827267584386</v>
      </c>
      <c r="AG126" s="116" t="n">
        <v>0.8884172883273614</v>
      </c>
      <c r="AH126" s="39" t="inlineStr">
        <is>
          <t>queen sheets</t>
        </is>
      </c>
      <c r="AI126" s="116" t="n">
        <v>0.8331840467659816</v>
      </c>
      <c r="AJ126" s="116" t="n">
        <v>0.2347161983782765</v>
      </c>
      <c r="AK126" s="116" t="n">
        <v>0.2670893833679049</v>
      </c>
      <c r="AL126" s="116" t="n"/>
      <c r="AM126" s="108" t="n">
        <v>190</v>
      </c>
      <c r="AN126" s="108" t="n">
        <v>69</v>
      </c>
      <c r="AO126" s="108" t="n">
        <v>98</v>
      </c>
      <c r="AP126" s="108" t="n">
        <v>1542</v>
      </c>
      <c r="AQ126" s="108" t="n">
        <v>1159</v>
      </c>
      <c r="AR126" s="108" t="n">
        <v>16</v>
      </c>
      <c r="AS126" s="117" t="n">
        <v>0.8073654390934845</v>
      </c>
      <c r="AT126" s="112" t="n">
        <v>0.4972677595628416</v>
      </c>
      <c r="AU126" s="118" t="inlineStr">
        <is>
          <t>Y</t>
        </is>
      </c>
      <c r="AV126" s="118" t="inlineStr">
        <is>
          <t>List Price</t>
        </is>
      </c>
      <c r="AW126" s="119" t="n">
        <v>99.89</v>
      </c>
      <c r="AX126" s="119" t="n">
        <v>84.98</v>
      </c>
      <c r="AY126" s="118" t="inlineStr">
        <is>
          <t>Limited time deal</t>
        </is>
      </c>
      <c r="AZ126" s="118" t="inlineStr">
        <is>
          <t>Y</t>
        </is>
      </c>
      <c r="BA126" s="118" t="inlineStr">
        <is>
          <t>2026-10-13 12:10:25</t>
        </is>
      </c>
      <c r="BB126" s="120" t="inlineStr">
        <is>
          <t>Not live in 2025</t>
        </is>
      </c>
      <c r="BC126" s="125" t="n"/>
      <c r="BD126" s="124" t="n"/>
      <c r="BE126" s="124" t="n"/>
      <c r="BF126" s="110">
        <f>IF(AND(ISNUMBER(BD126),ISNUMBER(BE126),N(BD126)&gt;0),1-BE126/BD126,"")</f>
        <v/>
      </c>
      <c r="BG126" s="126" t="n"/>
      <c r="BH126" s="126" t="n"/>
      <c r="BI126" s="123">
        <f>IF(AND(ISNUMBER(BG126),ISNUMBER(BH126),N(BH126)&gt;0),BG126/BH126,"")</f>
        <v/>
      </c>
      <c r="BJ126" s="125" t="n"/>
      <c r="BK126" s="125" t="n"/>
    </row>
    <row r="127" ht="62" customHeight="1">
      <c r="A127" s="12">
        <f>_xlfn.IMAGE("https://m.media-amazon.com/images/I/71fKTruZ7YL._AC_SL1500_.jpg")</f>
        <v/>
      </c>
      <c r="B127" s="105" t="inlineStr">
        <is>
          <t>Davmabcjy</t>
        </is>
      </c>
      <c r="C127" s="39" t="inlineStr">
        <is>
          <t>100% Organically Grown Bamboo Viscose King Sheet Set with Pockets on Side</t>
        </is>
      </c>
      <c r="D127" s="105" t="inlineStr">
        <is>
          <t>Untiered</t>
        </is>
      </c>
      <c r="E127" s="128" t="inlineStr">
        <is>
          <t>Alternative material</t>
        </is>
      </c>
      <c r="F127" s="105" t="inlineStr">
        <is>
          <t>Bamboo viscose</t>
        </is>
      </c>
      <c r="G127" s="39" t="inlineStr">
        <is>
          <t>Sheet set in Bamboo viscose (product page material: Rayon Derived from Bamboo); ours is Synthetic cooling knit (BreezeWeave cooling fabric, nylon-spandex like CooLoom (confirmed Oct 15, 2026)). Shopper may cross-shop, but not like-for-like.</t>
        </is>
      </c>
      <c r="H127" s="107" t="inlineStr">
        <is>
          <t>B0HJZNMQ5G</t>
        </is>
      </c>
      <c r="I127" s="107" t="inlineStr">
        <is>
          <t>B0GXJYQR7H</t>
        </is>
      </c>
      <c r="J127" s="105" t="inlineStr">
        <is>
          <t>King (Deep Fits 16" )</t>
        </is>
      </c>
      <c r="K127" s="105" t="inlineStr">
        <is>
          <t>Dark Grey-side Pockets</t>
        </is>
      </c>
      <c r="L127" s="108" t="n">
        <v>7</v>
      </c>
      <c r="M127" s="39" t="inlineStr">
        <is>
          <t>B0GXJYQR7H (55%), B0GXJPP4YQ (31%)</t>
        </is>
      </c>
      <c r="N127" s="109" t="n">
        <v>59.99</v>
      </c>
      <c r="O127" s="109" t="n"/>
      <c r="P127" s="110">
        <f>IF(AND(ISNUMBER(O127),ISNUMBER(N127),N(N127)&gt;0),O127/N127-1,"")</f>
        <v/>
      </c>
      <c r="Q127" s="111">
        <f>IF(P127="","No List Price",IF(P127&lt;=0,"At/below price",IF(P127&lt;=0.12,"&lt;=12% STR zone",IF(P127&lt;=0.25,"12-25%","&gt;25% over"))))</f>
        <v/>
      </c>
      <c r="R127" s="109" t="n">
        <v>84.98999999999999</v>
      </c>
      <c r="S127" s="112">
        <f>IF(AND(ISNUMBER(N127),ISNUMBER(R127),N(R127)&gt;0),N127/R127-1,"")</f>
        <v/>
      </c>
      <c r="T127" s="39" t="inlineStr">
        <is>
          <t>Same size (King). Ours live: catalog price, 2026-10-13; 6 children</t>
        </is>
      </c>
      <c r="U127" s="108" t="n">
        <v>205508</v>
      </c>
      <c r="V127" s="108" t="n">
        <v>35</v>
      </c>
      <c r="W127" s="113">
        <f>IF(AND(ISNUMBER(N127),ISNUMBER(V127)),N127*V127*52/12,"")</f>
        <v/>
      </c>
      <c r="X127" s="114" t="n">
        <v>4.2</v>
      </c>
      <c r="Y127" s="108" t="n">
        <v>81</v>
      </c>
      <c r="Z127" s="115" t="n">
        <v>46307</v>
      </c>
      <c r="AA127" s="115" t="n"/>
      <c r="AB127" s="105" t="n"/>
      <c r="AC127" s="105" t="n"/>
      <c r="AD127" s="108" t="n">
        <v>75425</v>
      </c>
      <c r="AE127" s="108" t="n">
        <v>1329</v>
      </c>
      <c r="AF127" s="116" t="n">
        <v>0.8470417779250914</v>
      </c>
      <c r="AG127" s="116" t="n">
        <v>0.1529598766987073</v>
      </c>
      <c r="AH127" s="39" t="inlineStr">
        <is>
          <t>bamboo sheets</t>
        </is>
      </c>
      <c r="AI127" s="116" t="n">
        <v>0.4214782896917468</v>
      </c>
      <c r="AJ127" s="116" t="n"/>
      <c r="AK127" s="116" t="n"/>
      <c r="AL127" s="116" t="n">
        <v>0.01059330460722572</v>
      </c>
      <c r="AM127" s="108" t="n">
        <v>162</v>
      </c>
      <c r="AN127" s="108" t="n">
        <v>54</v>
      </c>
      <c r="AO127" s="108" t="n">
        <v>87</v>
      </c>
      <c r="AP127" s="108" t="n">
        <v>1167</v>
      </c>
      <c r="AQ127" s="108" t="n">
        <v>370</v>
      </c>
      <c r="AR127" s="108" t="n">
        <v>0</v>
      </c>
      <c r="AS127" s="117" t="n"/>
      <c r="AT127" s="112" t="n"/>
      <c r="AU127" s="118" t="inlineStr">
        <is>
          <t>N</t>
        </is>
      </c>
      <c r="AV127" s="118" t="inlineStr">
        <is>
          <t>none</t>
        </is>
      </c>
      <c r="AW127" s="124" t="n"/>
      <c r="AX127" s="119" t="n">
        <v>59.99</v>
      </c>
      <c r="AY127" s="118" t="inlineStr">
        <is>
          <t>none</t>
        </is>
      </c>
      <c r="AZ127" s="118" t="inlineStr">
        <is>
          <t>Y</t>
        </is>
      </c>
      <c r="BA127" s="118" t="inlineStr">
        <is>
          <t>2026-10-13 12:10:48</t>
        </is>
      </c>
      <c r="BB127" s="120" t="inlineStr">
        <is>
          <t>Not live in 2025</t>
        </is>
      </c>
      <c r="BC127" s="125" t="n"/>
      <c r="BD127" s="124" t="n"/>
      <c r="BE127" s="124" t="n"/>
      <c r="BF127" s="110">
        <f>IF(AND(ISNUMBER(BD127),ISNUMBER(BE127),N(BD127)&gt;0),1-BE127/BD127,"")</f>
        <v/>
      </c>
      <c r="BG127" s="126" t="n"/>
      <c r="BH127" s="126" t="n"/>
      <c r="BI127" s="123">
        <f>IF(AND(ISNUMBER(BG127),ISNUMBER(BH127),N(BH127)&gt;0),BG127/BH127,"")</f>
        <v/>
      </c>
      <c r="BJ127" s="125" t="n"/>
      <c r="BK127" s="125" t="n"/>
    </row>
    <row r="128" ht="62" customHeight="1">
      <c r="A128" s="12">
        <f>_xlfn.IMAGE("https://images-na.ssl-images-amazon.com/images/I/71rcYip7GcL.jpg")</f>
        <v/>
      </c>
      <c r="B128" s="105" t="inlineStr">
        <is>
          <t>KARISSA MAE</t>
        </is>
      </c>
      <c r="C128" s="39" t="inlineStr">
        <is>
          <t>Cooling Sheets</t>
        </is>
      </c>
      <c r="D128" s="105" t="inlineStr">
        <is>
          <t>Untiered</t>
        </is>
      </c>
      <c r="E128" s="128" t="inlineStr">
        <is>
          <t>Alternative material</t>
        </is>
      </c>
      <c r="F128" s="105" t="inlineStr">
        <is>
          <t>Bamboo viscose</t>
        </is>
      </c>
      <c r="G128" s="39" t="inlineStr">
        <is>
          <t>Sheet set in Bamboo viscose (product page material: Organically Grown Bamboo Viscose); ours is Synthetic cooling knit (BreezeWeave cooling fabric, nylon-spandex like CooLoom (confirmed Oct 15, 2026)). Shopper may cross-shop, but not like-for-like.</t>
        </is>
      </c>
      <c r="H128" s="107" t="inlineStr">
        <is>
          <t>B0GT172Y8L</t>
        </is>
      </c>
      <c r="I128" s="107" t="inlineStr">
        <is>
          <t>B0G1CSCQTB</t>
        </is>
      </c>
      <c r="J128" s="105" t="inlineStr">
        <is>
          <t>King - 2 Pillowcases</t>
        </is>
      </c>
      <c r="K128" s="105" t="inlineStr">
        <is>
          <t>10 - Mocha</t>
        </is>
      </c>
      <c r="L128" s="108" t="n">
        <v>138</v>
      </c>
      <c r="M128" s="39" t="inlineStr">
        <is>
          <t>B0F9X7MV5B (14%), B0G1CSCQTB (10%), B0F9X8BNQB (7%), B0F9X6KTQW (6%), B0GH24C6XY (6%)</t>
        </is>
      </c>
      <c r="N128" s="109" t="n">
        <v>119.99</v>
      </c>
      <c r="O128" s="109" t="n"/>
      <c r="P128" s="110">
        <f>IF(AND(ISNUMBER(O128),ISNUMBER(N128),N(N128)&gt;0),O128/N128-1,"")</f>
        <v/>
      </c>
      <c r="Q128" s="111">
        <f>IF(P128="","No List Price",IF(P128&lt;=0,"At/below price",IF(P128&lt;=0.12,"&lt;=12% STR zone",IF(P128&lt;=0.25,"12-25%","&gt;25% over"))))</f>
        <v/>
      </c>
      <c r="R128" s="109" t="n">
        <v>84.98999999999999</v>
      </c>
      <c r="S128" s="112">
        <f>IF(AND(ISNUMBER(N128),ISNUMBER(R128),N(R128)&gt;0),N128/R128-1,"")</f>
        <v/>
      </c>
      <c r="T128" s="39" t="inlineStr">
        <is>
          <t>Same size (King). Ours live: catalog price, 2026-10-13; 6 children</t>
        </is>
      </c>
      <c r="U128" s="108" t="n">
        <v>15914</v>
      </c>
      <c r="V128" s="108" t="n">
        <v>35</v>
      </c>
      <c r="W128" s="113">
        <f>IF(AND(ISNUMBER(N128),ISNUMBER(V128)),N128*V128*52/12,"")</f>
        <v/>
      </c>
      <c r="X128" s="114" t="n">
        <v>4.3</v>
      </c>
      <c r="Y128" s="108" t="n">
        <v>474</v>
      </c>
      <c r="Z128" s="115" t="n">
        <v>46307</v>
      </c>
      <c r="AA128" s="115" t="n"/>
      <c r="AB128" s="105" t="n"/>
      <c r="AC128" s="105" t="n"/>
      <c r="AD128" s="108" t="n">
        <v>243610</v>
      </c>
      <c r="AE128" s="108" t="n">
        <v>3715</v>
      </c>
      <c r="AF128" s="116" t="n">
        <v>0.1385290000410493</v>
      </c>
      <c r="AG128" s="116" t="n">
        <v>0.8614710525019491</v>
      </c>
      <c r="AH128" s="39" t="inlineStr">
        <is>
          <t>bamboo sheets</t>
        </is>
      </c>
      <c r="AI128" s="116" t="n">
        <v>0.9938303025327367</v>
      </c>
      <c r="AJ128" s="116" t="n">
        <v>0.0306883953860679</v>
      </c>
      <c r="AK128" s="116" t="n">
        <v>0.01590657197980378</v>
      </c>
      <c r="AL128" s="116" t="n"/>
      <c r="AM128" s="108" t="n">
        <v>264</v>
      </c>
      <c r="AN128" s="108" t="n">
        <v>114</v>
      </c>
      <c r="AO128" s="108" t="n">
        <v>101</v>
      </c>
      <c r="AP128" s="108" t="n">
        <v>3451</v>
      </c>
      <c r="AQ128" s="108" t="n">
        <v>1751</v>
      </c>
      <c r="AR128" s="108" t="n">
        <v>23</v>
      </c>
      <c r="AS128" s="117" t="n">
        <v>2.102564102564103</v>
      </c>
      <c r="AT128" s="112" t="n">
        <v>-0.8771186440677966</v>
      </c>
      <c r="AU128" s="118" t="inlineStr">
        <is>
          <t>N</t>
        </is>
      </c>
      <c r="AV128" s="118" t="inlineStr">
        <is>
          <t>none</t>
        </is>
      </c>
      <c r="AW128" s="124" t="n"/>
      <c r="AX128" s="119" t="n">
        <v>119.99</v>
      </c>
      <c r="AY128" s="118" t="inlineStr">
        <is>
          <t>none</t>
        </is>
      </c>
      <c r="AZ128" s="118" t="inlineStr">
        <is>
          <t>Y</t>
        </is>
      </c>
      <c r="BA128" s="118" t="inlineStr">
        <is>
          <t>2026-10-13 12:10:57</t>
        </is>
      </c>
      <c r="BB128" s="125" t="n"/>
      <c r="BC128" s="125" t="n"/>
      <c r="BD128" s="124" t="n"/>
      <c r="BE128" s="124" t="n"/>
      <c r="BF128" s="110">
        <f>IF(AND(ISNUMBER(BD128),ISNUMBER(BE128),N(BD128)&gt;0),1-BE128/BD128,"")</f>
        <v/>
      </c>
      <c r="BG128" s="126" t="n"/>
      <c r="BH128" s="126" t="n"/>
      <c r="BI128" s="123">
        <f>IF(AND(ISNUMBER(BG128),ISNUMBER(BH128),N(BH128)&gt;0),BG128/BH128,"")</f>
        <v/>
      </c>
      <c r="BJ128" s="125" t="n"/>
      <c r="BK128" s="120" t="inlineStr">
        <is>
          <t>No Buy Box history in price history for BFCM 2025</t>
        </is>
      </c>
    </row>
    <row r="129" ht="62" customHeight="1">
      <c r="A129" s="12">
        <f>_xlfn.IMAGE("https://m.media-amazon.com/images/I/71vDRpdS5DL._AC_SL1500_.jpg")</f>
        <v/>
      </c>
      <c r="B129" s="105" t="inlineStr">
        <is>
          <t>Pillcase</t>
        </is>
      </c>
      <c r="C129" s="39" t="inlineStr">
        <is>
          <t>100% Real Bamboo Viscose &amp; Lyocell Tencel Sheets Set Queen Size | Breathable &amp; C</t>
        </is>
      </c>
      <c r="D129" s="105" t="inlineStr">
        <is>
          <t>Untiered</t>
        </is>
      </c>
      <c r="E129" s="128" t="inlineStr">
        <is>
          <t>Alternative material</t>
        </is>
      </c>
      <c r="F129" s="105" t="inlineStr">
        <is>
          <t>Microfiber / polyester</t>
        </is>
      </c>
      <c r="G129" s="39" t="inlineStr">
        <is>
          <t>Sheet set in Microfiber / polyester (product page material: Microfiber); ours is Synthetic cooling knit (BreezeWeave cooling fabric, nylon-spandex like CooLoom (confirmed Oct 15, 2026)). Shopper may cross-shop, but not like-for-like.</t>
        </is>
      </c>
      <c r="H129" s="107" t="inlineStr">
        <is>
          <t>B0H1GGHHVN</t>
        </is>
      </c>
      <c r="I129" s="107" t="inlineStr">
        <is>
          <t>B0HFZQRXXQ</t>
        </is>
      </c>
      <c r="J129" s="105" t="inlineStr">
        <is>
          <t>Queen</t>
        </is>
      </c>
      <c r="K129" s="105" t="inlineStr">
        <is>
          <t>French Blue</t>
        </is>
      </c>
      <c r="L129" s="108" t="n">
        <v>20</v>
      </c>
      <c r="M129" s="39" t="inlineStr">
        <is>
          <t>B0H9K6WK34 (27%), B0H1GVML4Z (24%), B0HFXGSDF1 (22%), B0HBX793L8 (12%)</t>
        </is>
      </c>
      <c r="N129" s="109" t="n">
        <v>79</v>
      </c>
      <c r="O129" s="109" t="n">
        <v>109</v>
      </c>
      <c r="P129" s="110">
        <f>IF(AND(ISNUMBER(O129),ISNUMBER(N129),N(N129)&gt;0),O129/N129-1,"")</f>
        <v/>
      </c>
      <c r="Q129" s="111">
        <f>IF(P129="","No List Price",IF(P129&lt;=0,"At/below price",IF(P129&lt;=0.12,"&lt;=12% STR zone",IF(P129&lt;=0.25,"12-25%","&gt;25% over"))))</f>
        <v/>
      </c>
      <c r="R129" s="109" t="n">
        <v>79.98999999999999</v>
      </c>
      <c r="S129" s="112">
        <f>IF(AND(ISNUMBER(N129),ISNUMBER(R129),N(R129)&gt;0),N129/R129-1,"")</f>
        <v/>
      </c>
      <c r="T129" s="39" t="inlineStr">
        <is>
          <t>Same size (Queen). Ours live: catalog price, 2026-10-13; 11 children</t>
        </is>
      </c>
      <c r="U129" s="108" t="n">
        <v>28003</v>
      </c>
      <c r="V129" s="108" t="n">
        <v>35</v>
      </c>
      <c r="W129" s="113">
        <f>IF(AND(ISNUMBER(N129),ISNUMBER(V129)),N129*V129*52/12,"")</f>
        <v/>
      </c>
      <c r="X129" s="114" t="n">
        <v>4.8</v>
      </c>
      <c r="Y129" s="108" t="n">
        <v>279</v>
      </c>
      <c r="Z129" s="115" t="n">
        <v>46307</v>
      </c>
      <c r="AA129" s="115" t="n"/>
      <c r="AB129" s="105" t="n"/>
      <c r="AC129" s="105" t="n"/>
      <c r="AD129" s="108" t="n">
        <v>216953</v>
      </c>
      <c r="AE129" s="108" t="n">
        <v>1218</v>
      </c>
      <c r="AF129" s="116" t="n">
        <v>0.9703615419007803</v>
      </c>
      <c r="AG129" s="116" t="n">
        <v>0.02963845809921965</v>
      </c>
      <c r="AH129" s="39" t="inlineStr">
        <is>
          <t>king size sheets set</t>
        </is>
      </c>
      <c r="AI129" s="116" t="n">
        <v>0.1820394278945209</v>
      </c>
      <c r="AJ129" s="116" t="n"/>
      <c r="AK129" s="116" t="n"/>
      <c r="AL129" s="116" t="n">
        <v>0.01302125345120833</v>
      </c>
      <c r="AM129" s="108" t="n">
        <v>202</v>
      </c>
      <c r="AN129" s="108" t="n">
        <v>42</v>
      </c>
      <c r="AO129" s="108" t="n">
        <v>138</v>
      </c>
      <c r="AP129" s="108" t="n">
        <v>1016</v>
      </c>
      <c r="AQ129" s="108" t="n">
        <v>23</v>
      </c>
      <c r="AR129" s="108" t="n">
        <v>0</v>
      </c>
      <c r="AS129" s="117" t="n"/>
      <c r="AT129" s="112" t="n"/>
      <c r="AU129" s="118" t="inlineStr">
        <is>
          <t>Y</t>
        </is>
      </c>
      <c r="AV129" s="118" t="inlineStr">
        <is>
          <t>List Price</t>
        </is>
      </c>
      <c r="AW129" s="119" t="n">
        <v>109</v>
      </c>
      <c r="AX129" s="119" t="n">
        <v>79</v>
      </c>
      <c r="AY129" s="118" t="inlineStr">
        <is>
          <t>none</t>
        </is>
      </c>
      <c r="AZ129" s="118" t="inlineStr">
        <is>
          <t>Y</t>
        </is>
      </c>
      <c r="BA129" s="118" t="inlineStr">
        <is>
          <t>2026-10-13 12:11:07</t>
        </is>
      </c>
      <c r="BB129" s="120" t="inlineStr">
        <is>
          <t>Not live in 2025</t>
        </is>
      </c>
      <c r="BC129" s="125" t="n"/>
      <c r="BD129" s="124" t="n"/>
      <c r="BE129" s="124" t="n"/>
      <c r="BF129" s="110">
        <f>IF(AND(ISNUMBER(BD129),ISNUMBER(BE129),N(BD129)&gt;0),1-BE129/BD129,"")</f>
        <v/>
      </c>
      <c r="BG129" s="126" t="n"/>
      <c r="BH129" s="126" t="n"/>
      <c r="BI129" s="123">
        <f>IF(AND(ISNUMBER(BG129),ISNUMBER(BH129),N(BH129)&gt;0),BG129/BH129,"")</f>
        <v/>
      </c>
      <c r="BJ129" s="125" t="n"/>
      <c r="BK129" s="125" t="n"/>
    </row>
    <row r="130" ht="62" customHeight="1">
      <c r="A130" s="12">
        <f>_xlfn.IMAGE("https://m.media-amazon.com/images/I/71MnWA4xzHL._AC_SL1500_.jpg")</f>
        <v/>
      </c>
      <c r="B130" s="105" t="inlineStr">
        <is>
          <t>California Design Den</t>
        </is>
      </c>
      <c r="C130" s="39" t="inlineStr">
        <is>
          <t>California Design Den 100% Viscose from Bamboo Sheets Queen, Dark Olive</t>
        </is>
      </c>
      <c r="D130" s="105" t="inlineStr">
        <is>
          <t>Untiered</t>
        </is>
      </c>
      <c r="E130" s="128" t="inlineStr">
        <is>
          <t>Alternative material</t>
        </is>
      </c>
      <c r="F130" s="105" t="inlineStr">
        <is>
          <t>Bamboo viscose</t>
        </is>
      </c>
      <c r="G130" s="39" t="inlineStr">
        <is>
          <t>Sheet set in Bamboo viscose (product page material: Viscose Derived from Bamboo); ours is Synthetic cooling knit (BreezeWeave cooling fabric, nylon-spandex like CooLoom (confirmed Oct 15, 2026)). Shopper may cross-shop, but not like-for-like.</t>
        </is>
      </c>
      <c r="H130" s="107" t="inlineStr">
        <is>
          <t>B0HFBJPD56</t>
        </is>
      </c>
      <c r="I130" s="107" t="inlineStr">
        <is>
          <t>B0GWHPJ9SD</t>
        </is>
      </c>
      <c r="J130" s="105" t="inlineStr">
        <is>
          <t>Queen</t>
        </is>
      </c>
      <c r="K130" s="105" t="inlineStr">
        <is>
          <t>Bright White</t>
        </is>
      </c>
      <c r="L130" s="108" t="n">
        <v>81</v>
      </c>
      <c r="M130" s="39" t="inlineStr">
        <is>
          <t>B0GWHFGLVL (32%), B0GWHPJ9SD (10%), B0GWHMSZYL (8%), B0GWHGS5BM (5%), B0GWHCHY3Q (5%)</t>
        </is>
      </c>
      <c r="N130" s="109" t="n">
        <v>89.98999999999999</v>
      </c>
      <c r="O130" s="109" t="n"/>
      <c r="P130" s="110">
        <f>IF(AND(ISNUMBER(O130),ISNUMBER(N130),N(N130)&gt;0),O130/N130-1,"")</f>
        <v/>
      </c>
      <c r="Q130" s="111">
        <f>IF(P130="","No List Price",IF(P130&lt;=0,"At/below price",IF(P130&lt;=0.12,"&lt;=12% STR zone",IF(P130&lt;=0.25,"12-25%","&gt;25% over"))))</f>
        <v/>
      </c>
      <c r="R130" s="109" t="n">
        <v>79.98999999999999</v>
      </c>
      <c r="S130" s="112">
        <f>IF(AND(ISNUMBER(N130),ISNUMBER(R130),N(R130)&gt;0),N130/R130-1,"")</f>
        <v/>
      </c>
      <c r="T130" s="39" t="inlineStr">
        <is>
          <t>Same size (Queen). Ours live: catalog price, 2026-10-13; 11 children</t>
        </is>
      </c>
      <c r="U130" s="108" t="n">
        <v>21237</v>
      </c>
      <c r="V130" s="108" t="n">
        <v>18</v>
      </c>
      <c r="W130" s="113">
        <f>IF(AND(ISNUMBER(N130),ISNUMBER(V130)),N130*V130*52/12,"")</f>
        <v/>
      </c>
      <c r="X130" s="114" t="n">
        <v>4.6</v>
      </c>
      <c r="Y130" s="108" t="n">
        <v>76</v>
      </c>
      <c r="Z130" s="115" t="n">
        <v>46307</v>
      </c>
      <c r="AA130" s="115" t="n"/>
      <c r="AB130" s="105" t="n"/>
      <c r="AC130" s="105" t="n"/>
      <c r="AD130" s="108" t="n">
        <v>103642</v>
      </c>
      <c r="AE130" s="108" t="n">
        <v>2019</v>
      </c>
      <c r="AF130" s="116" t="n">
        <v>0.8956907055054905</v>
      </c>
      <c r="AG130" s="116" t="n">
        <v>0.1043093871210513</v>
      </c>
      <c r="AH130" s="39" t="inlineStr">
        <is>
          <t>bamboo sheets</t>
        </is>
      </c>
      <c r="AI130" s="116" t="n">
        <v>0.6944674938731402</v>
      </c>
      <c r="AJ130" s="116" t="n"/>
      <c r="AK130" s="116" t="n"/>
      <c r="AL130" s="116" t="n"/>
      <c r="AM130" s="108" t="n">
        <v>208</v>
      </c>
      <c r="AN130" s="108" t="n">
        <v>70</v>
      </c>
      <c r="AO130" s="108" t="n">
        <v>112</v>
      </c>
      <c r="AP130" s="108" t="n">
        <v>1811</v>
      </c>
      <c r="AQ130" s="108" t="n">
        <v>290</v>
      </c>
      <c r="AR130" s="108" t="n">
        <v>8</v>
      </c>
      <c r="AS130" s="117" t="n"/>
      <c r="AT130" s="112" t="n"/>
      <c r="AU130" s="118" t="inlineStr">
        <is>
          <t>N</t>
        </is>
      </c>
      <c r="AV130" s="118" t="inlineStr">
        <is>
          <t>none</t>
        </is>
      </c>
      <c r="AW130" s="124" t="n"/>
      <c r="AX130" s="119" t="n">
        <v>89.98999999999999</v>
      </c>
      <c r="AY130" s="118" t="inlineStr">
        <is>
          <t>none</t>
        </is>
      </c>
      <c r="AZ130" s="118" t="inlineStr">
        <is>
          <t>Y</t>
        </is>
      </c>
      <c r="BA130" s="118" t="inlineStr">
        <is>
          <t>2026-10-13 12:10:41</t>
        </is>
      </c>
      <c r="BB130" s="120" t="inlineStr">
        <is>
          <t>Not live in 2025</t>
        </is>
      </c>
      <c r="BC130" s="125" t="n"/>
      <c r="BD130" s="124" t="n"/>
      <c r="BE130" s="124" t="n"/>
      <c r="BF130" s="110">
        <f>IF(AND(ISNUMBER(BD130),ISNUMBER(BE130),N(BD130)&gt;0),1-BE130/BD130,"")</f>
        <v/>
      </c>
      <c r="BG130" s="126" t="n"/>
      <c r="BH130" s="126" t="n"/>
      <c r="BI130" s="123">
        <f>IF(AND(ISNUMBER(BG130),ISNUMBER(BH130),N(BH130)&gt;0),BG130/BH130,"")</f>
        <v/>
      </c>
      <c r="BJ130" s="125" t="n"/>
      <c r="BK130" s="125" t="n"/>
    </row>
    <row r="131" ht="62" customHeight="1">
      <c r="A131" s="12">
        <f>_xlfn.IMAGE("https://m.media-amazon.com/images/I/71F9T6wfwRL._AC_SL1500_.jpg")</f>
        <v/>
      </c>
      <c r="B131" s="105" t="inlineStr">
        <is>
          <t>Pillcase</t>
        </is>
      </c>
      <c r="C131" s="39" t="inlineStr">
        <is>
          <t>100% Real Bamboo Viscose &amp; Lyocell Tencel Sheets Set Queen Size | Breathable &amp; C</t>
        </is>
      </c>
      <c r="D131" s="105" t="inlineStr">
        <is>
          <t>Untiered</t>
        </is>
      </c>
      <c r="E131" s="128" t="inlineStr">
        <is>
          <t>Alternative material</t>
        </is>
      </c>
      <c r="F131" s="105" t="inlineStr">
        <is>
          <t>Microfiber / polyester</t>
        </is>
      </c>
      <c r="G131" s="39" t="inlineStr">
        <is>
          <t>Sheet set in Microfiber / polyester (product page material: Microfiber); ours is Synthetic cooling knit (BreezeWeave cooling fabric, nylon-spandex like CooLoom (confirmed Oct 15, 2026)). Shopper may cross-shop, but not like-for-like.</t>
        </is>
      </c>
      <c r="H131" s="107" t="inlineStr">
        <is>
          <t>B0HK71WHZW</t>
        </is>
      </c>
      <c r="I131" s="107" t="inlineStr">
        <is>
          <t>B0H1BWY4MD</t>
        </is>
      </c>
      <c r="J131" s="105" t="inlineStr">
        <is>
          <t>Queen</t>
        </is>
      </c>
      <c r="K131" s="105" t="inlineStr">
        <is>
          <t>Charcoal</t>
        </is>
      </c>
      <c r="L131" s="108" t="n">
        <v>22</v>
      </c>
      <c r="M131" s="39" t="inlineStr">
        <is>
          <t>B0HBXCGQM1 (57%), B0HF8HHN46 (7%), B0HBXK2Y4B (5%), B0H1BWY4MD (5%), B0H28FT5DH (4%)</t>
        </is>
      </c>
      <c r="N131" s="109" t="n">
        <v>79</v>
      </c>
      <c r="O131" s="109" t="n"/>
      <c r="P131" s="110">
        <f>IF(AND(ISNUMBER(O131),ISNUMBER(N131),N(N131)&gt;0),O131/N131-1,"")</f>
        <v/>
      </c>
      <c r="Q131" s="111">
        <f>IF(P131="","No List Price",IF(P131&lt;=0,"At/below price",IF(P131&lt;=0.12,"&lt;=12% STR zone",IF(P131&lt;=0.25,"12-25%","&gt;25% over"))))</f>
        <v/>
      </c>
      <c r="R131" s="109" t="n">
        <v>79.98999999999999</v>
      </c>
      <c r="S131" s="112">
        <f>IF(AND(ISNUMBER(N131),ISNUMBER(R131),N(R131)&gt;0),N131/R131-1,"")</f>
        <v/>
      </c>
      <c r="T131" s="39" t="inlineStr">
        <is>
          <t>Same size (Queen). Ours live: catalog price, 2026-10-13; 11 children</t>
        </is>
      </c>
      <c r="U131" s="108" t="n">
        <v>38116</v>
      </c>
      <c r="V131" s="108" t="n">
        <v>18</v>
      </c>
      <c r="W131" s="113">
        <f>IF(AND(ISNUMBER(N131),ISNUMBER(V131)),N131*V131*52/12,"")</f>
        <v/>
      </c>
      <c r="X131" s="114" t="n">
        <v>4.9</v>
      </c>
      <c r="Y131" s="108" t="n">
        <v>201</v>
      </c>
      <c r="Z131" s="115" t="n">
        <v>46307</v>
      </c>
      <c r="AA131" s="115" t="n"/>
      <c r="AB131" s="105" t="n"/>
      <c r="AC131" s="105" t="n"/>
      <c r="AD131" s="108" t="n">
        <v>116001</v>
      </c>
      <c r="AE131" s="108" t="n">
        <v>1002</v>
      </c>
      <c r="AF131" s="116" t="n">
        <v>0.8987684407893036</v>
      </c>
      <c r="AG131" s="116" t="n">
        <v>0.1012329385091508</v>
      </c>
      <c r="AH131" s="39" t="inlineStr">
        <is>
          <t>bamboo sheets</t>
        </is>
      </c>
      <c r="AI131" s="116" t="n">
        <v>0.5789691468176998</v>
      </c>
      <c r="AJ131" s="116" t="n"/>
      <c r="AK131" s="116" t="n"/>
      <c r="AL131" s="116" t="n">
        <v>0.01296540547064249</v>
      </c>
      <c r="AM131" s="108" t="n">
        <v>197</v>
      </c>
      <c r="AN131" s="108" t="n">
        <v>70</v>
      </c>
      <c r="AO131" s="108" t="n">
        <v>112</v>
      </c>
      <c r="AP131" s="108" t="n">
        <v>805</v>
      </c>
      <c r="AQ131" s="108" t="n">
        <v>90</v>
      </c>
      <c r="AR131" s="108" t="n">
        <v>6</v>
      </c>
      <c r="AS131" s="117" t="n"/>
      <c r="AT131" s="112" t="n"/>
      <c r="AU131" s="118" t="inlineStr">
        <is>
          <t>Y</t>
        </is>
      </c>
      <c r="AV131" s="118" t="inlineStr">
        <is>
          <t>List Price</t>
        </is>
      </c>
      <c r="AW131" s="119" t="n">
        <v>99</v>
      </c>
      <c r="AX131" s="119" t="n">
        <v>79</v>
      </c>
      <c r="AY131" s="118" t="inlineStr">
        <is>
          <t>none</t>
        </is>
      </c>
      <c r="AZ131" s="118" t="inlineStr">
        <is>
          <t>Y</t>
        </is>
      </c>
      <c r="BA131" s="118" t="inlineStr">
        <is>
          <t>2026-10-13 12:11:10</t>
        </is>
      </c>
      <c r="BB131" s="120" t="inlineStr">
        <is>
          <t>Not live in 2025</t>
        </is>
      </c>
      <c r="BC131" s="125" t="n"/>
      <c r="BD131" s="124" t="n"/>
      <c r="BE131" s="124" t="n"/>
      <c r="BF131" s="110">
        <f>IF(AND(ISNUMBER(BD131),ISNUMBER(BE131),N(BD131)&gt;0),1-BE131/BD131,"")</f>
        <v/>
      </c>
      <c r="BG131" s="126" t="n"/>
      <c r="BH131" s="126" t="n"/>
      <c r="BI131" s="123">
        <f>IF(AND(ISNUMBER(BG131),ISNUMBER(BH131),N(BH131)&gt;0),BG131/BH131,"")</f>
        <v/>
      </c>
      <c r="BJ131" s="125" t="n"/>
      <c r="BK131" s="125" t="n"/>
    </row>
    <row r="132" ht="62" customHeight="1">
      <c r="A132" s="12">
        <f>_xlfn.IMAGE("https://images-na.ssl-images-amazon.com/images/I/71NxE1i+4jL.jpg")</f>
        <v/>
      </c>
      <c r="B132" s="105" t="inlineStr">
        <is>
          <t>Shilucheng</t>
        </is>
      </c>
      <c r="C132" s="39" t="inlineStr">
        <is>
          <t>Shilucheng 100% Viscose Derived from Bamboo_Sheets, Extra Deep Pocket</t>
        </is>
      </c>
      <c r="D132" s="105" t="inlineStr">
        <is>
          <t>Untiered</t>
        </is>
      </c>
      <c r="E132" s="128" t="inlineStr">
        <is>
          <t>Alternative material</t>
        </is>
      </c>
      <c r="F132" s="105" t="inlineStr">
        <is>
          <t>Bamboo viscose</t>
        </is>
      </c>
      <c r="G132" s="39" t="inlineStr">
        <is>
          <t>Sheet set in Bamboo viscose (product page material: Rayon Derived from Bamboo); ours is Synthetic cooling knit (BreezeWeave cooling fabric, nylon-spandex like CooLoom (confirmed Oct 15, 2026)). Shopper may cross-shop, but not like-for-like.</t>
        </is>
      </c>
      <c r="H132" s="107" t="inlineStr">
        <is>
          <t>B0HJVD7X1R</t>
        </is>
      </c>
      <c r="I132" s="107" t="inlineStr">
        <is>
          <t>B0F2TDDFGJ</t>
        </is>
      </c>
      <c r="J132" s="105" t="inlineStr">
        <is>
          <t>Queen</t>
        </is>
      </c>
      <c r="K132" s="105" t="inlineStr">
        <is>
          <t>Dark Grey</t>
        </is>
      </c>
      <c r="L132" s="108" t="n">
        <v>32</v>
      </c>
      <c r="M132" s="39" t="inlineStr">
        <is>
          <t>B0F2TDDFGJ (64%), B0F2TBWTZR (25%)</t>
        </is>
      </c>
      <c r="N132" s="109" t="n">
        <v>59.99</v>
      </c>
      <c r="O132" s="109" t="n">
        <v>74.98999999999999</v>
      </c>
      <c r="P132" s="110">
        <f>IF(AND(ISNUMBER(O132),ISNUMBER(N132),N(N132)&gt;0),O132/N132-1,"")</f>
        <v/>
      </c>
      <c r="Q132" s="111">
        <f>IF(P132="","No List Price",IF(P132&lt;=0,"At/below price",IF(P132&lt;=0.12,"&lt;=12% STR zone",IF(P132&lt;=0.25,"12-25%","&gt;25% over"))))</f>
        <v/>
      </c>
      <c r="R132" s="109" t="n">
        <v>79.98999999999999</v>
      </c>
      <c r="S132" s="112">
        <f>IF(AND(ISNUMBER(N132),ISNUMBER(R132),N(R132)&gt;0),N132/R132-1,"")</f>
        <v/>
      </c>
      <c r="T132" s="39" t="inlineStr">
        <is>
          <t>Same size (Queen). Ours live: catalog price, 2026-10-13; 11 children</t>
        </is>
      </c>
      <c r="U132" s="108" t="n">
        <v>39191</v>
      </c>
      <c r="V132" s="108" t="n">
        <v>18</v>
      </c>
      <c r="W132" s="113">
        <f>IF(AND(ISNUMBER(N132),ISNUMBER(V132)),N132*V132*52/12,"")</f>
        <v/>
      </c>
      <c r="X132" s="114" t="n">
        <v>4.5</v>
      </c>
      <c r="Y132" s="108" t="n">
        <v>1639</v>
      </c>
      <c r="Z132" s="115" t="n">
        <v>46307</v>
      </c>
      <c r="AA132" s="115" t="n">
        <v>45744</v>
      </c>
      <c r="AB132" s="105" t="inlineStr">
        <is>
          <t>FBA</t>
        </is>
      </c>
      <c r="AC132" s="105" t="inlineStr">
        <is>
          <t>CN</t>
        </is>
      </c>
      <c r="AD132" s="108" t="n">
        <v>41895</v>
      </c>
      <c r="AE132" s="108" t="n">
        <v>662</v>
      </c>
      <c r="AF132" s="116" t="n">
        <v>0.2973701849862752</v>
      </c>
      <c r="AG132" s="116" t="n">
        <v>0.7026304260651629</v>
      </c>
      <c r="AH132" s="39" t="inlineStr">
        <is>
          <t>queen sheet set</t>
        </is>
      </c>
      <c r="AI132" s="116" t="n">
        <v>0.8649719536937582</v>
      </c>
      <c r="AJ132" s="116" t="n"/>
      <c r="AK132" s="116" t="n"/>
      <c r="AL132" s="116" t="n"/>
      <c r="AM132" s="108" t="n">
        <v>132</v>
      </c>
      <c r="AN132" s="108" t="n">
        <v>54</v>
      </c>
      <c r="AO132" s="108" t="n">
        <v>67</v>
      </c>
      <c r="AP132" s="108" t="n">
        <v>530</v>
      </c>
      <c r="AQ132" s="108" t="n">
        <v>321</v>
      </c>
      <c r="AR132" s="108" t="n">
        <v>10</v>
      </c>
      <c r="AS132" s="117" t="n"/>
      <c r="AT132" s="112" t="n">
        <v>-0.9897959183673469</v>
      </c>
      <c r="AU132" s="118" t="inlineStr">
        <is>
          <t>Y</t>
        </is>
      </c>
      <c r="AV132" s="118" t="inlineStr">
        <is>
          <t>List Price</t>
        </is>
      </c>
      <c r="AW132" s="119" t="n">
        <v>74.98999999999999</v>
      </c>
      <c r="AX132" s="119" t="n">
        <v>59.99</v>
      </c>
      <c r="AY132" s="118" t="inlineStr">
        <is>
          <t>Limited time deal</t>
        </is>
      </c>
      <c r="AZ132" s="118" t="inlineStr">
        <is>
          <t>Y</t>
        </is>
      </c>
      <c r="BA132" s="118" t="inlineStr">
        <is>
          <t>2026-10-13 12:12:17</t>
        </is>
      </c>
      <c r="BB132" s="120" t="inlineStr">
        <is>
          <t>Prime Exclusive Discount</t>
        </is>
      </c>
      <c r="BC132" s="120" t="inlineStr">
        <is>
          <t>11-26 to 12-01</t>
        </is>
      </c>
      <c r="BD132" s="121" t="n">
        <v>74.98999999999999</v>
      </c>
      <c r="BE132" s="121" t="n">
        <v>56.99</v>
      </c>
      <c r="BF132" s="110">
        <f>IF(AND(ISNUMBER(BD132),ISNUMBER(BE132),N(BD132)&gt;0),1-BE132/BD132,"")</f>
        <v/>
      </c>
      <c r="BG132" s="122" t="n">
        <v>28107</v>
      </c>
      <c r="BH132" s="122" t="n">
        <v>38468</v>
      </c>
      <c r="BI132" s="123">
        <f>IF(AND(ISNUMBER(BG132),ISNUMBER(BH132),N(BH132)&gt;0),BG132/BH132,"")</f>
        <v/>
      </c>
      <c r="BJ132" s="120" t="inlineStr">
        <is>
          <t>N</t>
        </is>
      </c>
      <c r="BK132" s="120" t="inlineStr">
        <is>
          <t>Coupon 18.00 USD, 20% (11-01 to 11-12); List Price $74.99</t>
        </is>
      </c>
    </row>
    <row r="133" ht="62" customHeight="1">
      <c r="A133" s="12">
        <f>_xlfn.IMAGE("https://images-na.ssl-images-amazon.com/images/I/71X+0TBtodL.jpg")</f>
        <v/>
      </c>
      <c r="B133" s="105" t="inlineStr">
        <is>
          <t>TWK</t>
        </is>
      </c>
      <c r="C133" s="39" t="inlineStr">
        <is>
          <t>TWK Real 100% Viscose Derived from Bamboo Sheets Set Queen Size, Cooling &amp; Silky</t>
        </is>
      </c>
      <c r="D133" s="105" t="inlineStr">
        <is>
          <t>Untiered</t>
        </is>
      </c>
      <c r="E133" s="128" t="inlineStr">
        <is>
          <t>Alternative material</t>
        </is>
      </c>
      <c r="F133" s="105" t="inlineStr">
        <is>
          <t>Bamboo viscose</t>
        </is>
      </c>
      <c r="G133" s="39" t="inlineStr">
        <is>
          <t>Sheet set in Bamboo viscose (product page material: Genuine 100% Viscose Derived from Bamboo); ours is Synthetic cooling knit (BreezeWeave cooling fabric, nylon-spandex like CooLoom (confirmed Oct 15, 2026)). Shopper may cross-shop, but not like-for-like.</t>
        </is>
      </c>
      <c r="H133" s="107" t="inlineStr">
        <is>
          <t>B0HHQG3RSW</t>
        </is>
      </c>
      <c r="I133" s="107" t="inlineStr">
        <is>
          <t>B0G1N8QS55</t>
        </is>
      </c>
      <c r="J133" s="105" t="inlineStr">
        <is>
          <t>Queen</t>
        </is>
      </c>
      <c r="K133" s="105" t="inlineStr">
        <is>
          <t>Sand</t>
        </is>
      </c>
      <c r="L133" s="108" t="n">
        <v>13</v>
      </c>
      <c r="M133" s="39" t="inlineStr">
        <is>
          <t>B0G1N23HZ1 (41%), B0H35S6VLR (32%), B0G1N8QS55 (18%)</t>
        </is>
      </c>
      <c r="N133" s="109" t="n">
        <v>65</v>
      </c>
      <c r="O133" s="109" t="n">
        <v>79</v>
      </c>
      <c r="P133" s="110">
        <f>IF(AND(ISNUMBER(O133),ISNUMBER(N133),N(N133)&gt;0),O133/N133-1,"")</f>
        <v/>
      </c>
      <c r="Q133" s="111">
        <f>IF(P133="","No List Price",IF(P133&lt;=0,"At/below price",IF(P133&lt;=0.12,"&lt;=12% STR zone",IF(P133&lt;=0.25,"12-25%","&gt;25% over"))))</f>
        <v/>
      </c>
      <c r="R133" s="109" t="n">
        <v>79.98999999999999</v>
      </c>
      <c r="S133" s="112">
        <f>IF(AND(ISNUMBER(N133),ISNUMBER(R133),N(R133)&gt;0),N133/R133-1,"")</f>
        <v/>
      </c>
      <c r="T133" s="39" t="inlineStr">
        <is>
          <t>Same size (Queen). Ours live: catalog price, 2026-10-13; 11 children</t>
        </is>
      </c>
      <c r="U133" s="108" t="n">
        <v>196488</v>
      </c>
      <c r="V133" s="108" t="n">
        <v>18</v>
      </c>
      <c r="W133" s="113">
        <f>IF(AND(ISNUMBER(N133),ISNUMBER(V133)),N133*V133*52/12,"")</f>
        <v/>
      </c>
      <c r="X133" s="114" t="n">
        <v>4.9</v>
      </c>
      <c r="Y133" s="108" t="n">
        <v>121</v>
      </c>
      <c r="Z133" s="115" t="n">
        <v>46307</v>
      </c>
      <c r="AA133" s="115" t="n"/>
      <c r="AB133" s="105" t="n"/>
      <c r="AC133" s="105" t="n"/>
      <c r="AD133" s="108" t="n">
        <v>82471</v>
      </c>
      <c r="AE133" s="108" t="n">
        <v>905</v>
      </c>
      <c r="AF133" s="116" t="n">
        <v>0.8861114561482216</v>
      </c>
      <c r="AG133" s="116" t="n">
        <v>0.1138885438517783</v>
      </c>
      <c r="AH133" s="39" t="inlineStr">
        <is>
          <t>bamboo sheets</t>
        </is>
      </c>
      <c r="AI133" s="116" t="n">
        <v>0.5572868038462004</v>
      </c>
      <c r="AJ133" s="116" t="n"/>
      <c r="AK133" s="116" t="n"/>
      <c r="AL133" s="116" t="n"/>
      <c r="AM133" s="108" t="n">
        <v>208</v>
      </c>
      <c r="AN133" s="108" t="n">
        <v>58</v>
      </c>
      <c r="AO133" s="108" t="n">
        <v>132</v>
      </c>
      <c r="AP133" s="108" t="n">
        <v>697</v>
      </c>
      <c r="AQ133" s="108" t="n">
        <v>85</v>
      </c>
      <c r="AR133" s="108" t="n">
        <v>3</v>
      </c>
      <c r="AS133" s="117" t="n"/>
      <c r="AT133" s="112" t="n"/>
      <c r="AU133" s="118" t="inlineStr">
        <is>
          <t>Y</t>
        </is>
      </c>
      <c r="AV133" s="118" t="inlineStr">
        <is>
          <t>Typical price</t>
        </is>
      </c>
      <c r="AW133" s="119" t="n">
        <v>79</v>
      </c>
      <c r="AX133" s="119" t="n">
        <v>65</v>
      </c>
      <c r="AY133" s="118" t="inlineStr">
        <is>
          <t>none</t>
        </is>
      </c>
      <c r="AZ133" s="118" t="inlineStr">
        <is>
          <t>Y</t>
        </is>
      </c>
      <c r="BA133" s="118" t="inlineStr">
        <is>
          <t>2026-10-13 12:11:35</t>
        </is>
      </c>
      <c r="BB133" s="120" t="inlineStr">
        <is>
          <t>Not live in 2025</t>
        </is>
      </c>
      <c r="BC133" s="125" t="n"/>
      <c r="BD133" s="124" t="n"/>
      <c r="BE133" s="124" t="n"/>
      <c r="BF133" s="110">
        <f>IF(AND(ISNUMBER(BD133),ISNUMBER(BE133),N(BD133)&gt;0),1-BE133/BD133,"")</f>
        <v/>
      </c>
      <c r="BG133" s="126" t="n"/>
      <c r="BH133" s="126" t="n"/>
      <c r="BI133" s="123">
        <f>IF(AND(ISNUMBER(BG133),ISNUMBER(BH133),N(BH133)&gt;0),BG133/BH133,"")</f>
        <v/>
      </c>
      <c r="BJ133" s="125" t="n"/>
      <c r="BK133" s="125" t="n"/>
    </row>
    <row r="134" ht="62" customHeight="1">
      <c r="A134" s="12">
        <f>_xlfn.IMAGE("https://m.media-amazon.com/images/I/818EX2hLSoL._AC_SL1500_.jpg")</f>
        <v/>
      </c>
      <c r="B134" s="105" t="inlineStr">
        <is>
          <t>OMERAI</t>
        </is>
      </c>
      <c r="C134" s="39" t="inlineStr">
        <is>
          <t>Cooling Sheets</t>
        </is>
      </c>
      <c r="D134" s="105" t="inlineStr">
        <is>
          <t>Untiered</t>
        </is>
      </c>
      <c r="E134" s="128" t="inlineStr">
        <is>
          <t>Alternative material</t>
        </is>
      </c>
      <c r="F134" s="105" t="inlineStr">
        <is>
          <t>Microfiber / polyester</t>
        </is>
      </c>
      <c r="G134" s="39" t="inlineStr">
        <is>
          <t>Sheet set in Microfiber / polyester (product page material: Microfiber); ours is Synthetic cooling knit (BreezeWeave cooling fabric, nylon-spandex like CooLoom (confirmed Oct 15, 2026)). Shopper may cross-shop, but not like-for-like.</t>
        </is>
      </c>
      <c r="H134" s="107" t="inlineStr">
        <is>
          <t>B0HDC7BMTC</t>
        </is>
      </c>
      <c r="I134" s="107" t="inlineStr">
        <is>
          <t>B0FX8K1CG9</t>
        </is>
      </c>
      <c r="J134" s="105" t="inlineStr">
        <is>
          <t>King 4 PC</t>
        </is>
      </c>
      <c r="K134" s="105" t="inlineStr">
        <is>
          <t>Blue</t>
        </is>
      </c>
      <c r="L134" s="108" t="n">
        <v>10</v>
      </c>
      <c r="M134" s="39" t="inlineStr">
        <is>
          <t>B0BM9K24ST (46%), B0BM9GLKYV (43%)</t>
        </is>
      </c>
      <c r="N134" s="109" t="n">
        <v>42.99</v>
      </c>
      <c r="O134" s="109" t="n">
        <v>59.99</v>
      </c>
      <c r="P134" s="110">
        <f>IF(AND(ISNUMBER(O134),ISNUMBER(N134),N(N134)&gt;0),O134/N134-1,"")</f>
        <v/>
      </c>
      <c r="Q134" s="111">
        <f>IF(P134="","No List Price",IF(P134&lt;=0,"At/below price",IF(P134&lt;=0.12,"&lt;=12% STR zone",IF(P134&lt;=0.25,"12-25%","&gt;25% over"))))</f>
        <v/>
      </c>
      <c r="R134" s="109" t="n">
        <v>84.98999999999999</v>
      </c>
      <c r="S134" s="112">
        <f>IF(AND(ISNUMBER(N134),ISNUMBER(R134),N(R134)&gt;0),N134/R134-1,"")</f>
        <v/>
      </c>
      <c r="T134" s="39" t="inlineStr">
        <is>
          <t>Same size (King). Ours live: catalog price, 2026-10-13; 6 children</t>
        </is>
      </c>
      <c r="U134" s="108" t="n">
        <v>115669</v>
      </c>
      <c r="V134" s="108" t="n">
        <v>5</v>
      </c>
      <c r="W134" s="113">
        <f>IF(AND(ISNUMBER(N134),ISNUMBER(V134)),N134*V134*52/12,"")</f>
        <v/>
      </c>
      <c r="X134" s="114" t="n">
        <v>4.7</v>
      </c>
      <c r="Y134" s="108" t="n">
        <v>4</v>
      </c>
      <c r="Z134" s="115" t="n">
        <v>46307</v>
      </c>
      <c r="AA134" s="115" t="n"/>
      <c r="AB134" s="105" t="n"/>
      <c r="AC134" s="105" t="n"/>
      <c r="AD134" s="108" t="n">
        <v>13712</v>
      </c>
      <c r="AE134" s="108" t="n">
        <v>332</v>
      </c>
      <c r="AF134" s="116" t="n">
        <v>0.8852072199533255</v>
      </c>
      <c r="AG134" s="116" t="n">
        <v>0.1147927800466745</v>
      </c>
      <c r="AH134" s="39" t="inlineStr">
        <is>
          <t>cooling sheets queen</t>
        </is>
      </c>
      <c r="AI134" s="116" t="n">
        <v>0.8668319719953326</v>
      </c>
      <c r="AJ134" s="116" t="n"/>
      <c r="AK134" s="116" t="n"/>
      <c r="AL134" s="116" t="n"/>
      <c r="AM134" s="108" t="n">
        <v>164</v>
      </c>
      <c r="AN134" s="108" t="n">
        <v>77</v>
      </c>
      <c r="AO134" s="108" t="n">
        <v>75</v>
      </c>
      <c r="AP134" s="108" t="n">
        <v>168</v>
      </c>
      <c r="AQ134" s="108" t="n">
        <v>51</v>
      </c>
      <c r="AR134" s="108" t="n">
        <v>3</v>
      </c>
      <c r="AS134" s="117" t="n"/>
      <c r="AT134" s="112" t="n"/>
      <c r="AU134" s="118" t="inlineStr">
        <is>
          <t>Y</t>
        </is>
      </c>
      <c r="AV134" s="118" t="inlineStr">
        <is>
          <t>List Price</t>
        </is>
      </c>
      <c r="AW134" s="119" t="n">
        <v>59.99</v>
      </c>
      <c r="AX134" s="119" t="n">
        <v>42.99</v>
      </c>
      <c r="AY134" s="118" t="inlineStr">
        <is>
          <t>coupon 20%</t>
        </is>
      </c>
      <c r="AZ134" s="118" t="inlineStr">
        <is>
          <t>Y</t>
        </is>
      </c>
      <c r="BA134" s="118" t="inlineStr">
        <is>
          <t>2026-10-13 12:12:04</t>
        </is>
      </c>
      <c r="BB134" s="120" t="inlineStr">
        <is>
          <t>Not live in 2025</t>
        </is>
      </c>
      <c r="BC134" s="125" t="n"/>
      <c r="BD134" s="124" t="n"/>
      <c r="BE134" s="124" t="n"/>
      <c r="BF134" s="110">
        <f>IF(AND(ISNUMBER(BD134),ISNUMBER(BE134),N(BD134)&gt;0),1-BE134/BD134,"")</f>
        <v/>
      </c>
      <c r="BG134" s="126" t="n"/>
      <c r="BH134" s="126" t="n"/>
      <c r="BI134" s="123">
        <f>IF(AND(ISNUMBER(BG134),ISNUMBER(BH134),N(BH134)&gt;0),BG134/BH134,"")</f>
        <v/>
      </c>
      <c r="BJ134" s="125" t="n"/>
      <c r="BK134" s="125" t="n"/>
    </row>
    <row r="135" ht="62" customHeight="1">
      <c r="A135" s="12">
        <f>_xlfn.IMAGE("https://m.media-amazon.com/images/I/61mi8zwd8GL._AC_SL1500_.jpg")</f>
        <v/>
      </c>
      <c r="B135" s="105" t="inlineStr">
        <is>
          <t>Pillcase</t>
        </is>
      </c>
      <c r="C135" s="39" t="inlineStr">
        <is>
          <t>Cooling Hotel Bedding Sheet Set - 4pcs Bamboo Viscose &amp; Tencel Blend, Moisture-W</t>
        </is>
      </c>
      <c r="D135" s="105" t="inlineStr">
        <is>
          <t>Untiered</t>
        </is>
      </c>
      <c r="E135" s="128" t="inlineStr">
        <is>
          <t>Alternative material</t>
        </is>
      </c>
      <c r="F135" s="105" t="inlineStr">
        <is>
          <t>Microfiber / polyester</t>
        </is>
      </c>
      <c r="G135" s="39" t="inlineStr">
        <is>
          <t>Sheet set in Microfiber / polyester (product page material: Microfiber); ours is Synthetic cooling knit (BreezeWeave cooling fabric, nylon-spandex like CooLoom (confirmed Oct 15, 2026)). Shopper may cross-shop, but not like-for-like.</t>
        </is>
      </c>
      <c r="H135" s="107" t="inlineStr">
        <is>
          <t>B0HJYG8V9Q</t>
        </is>
      </c>
      <c r="I135" s="107" t="inlineStr">
        <is>
          <t>B0HJYG8V9Q</t>
        </is>
      </c>
      <c r="J135" s="105" t="inlineStr">
        <is>
          <t>King</t>
        </is>
      </c>
      <c r="K135" s="105" t="inlineStr">
        <is>
          <t>Pearl White</t>
        </is>
      </c>
      <c r="L135" s="108" t="n">
        <v>1</v>
      </c>
      <c r="M135" s="39" t="inlineStr">
        <is>
          <t>B0HJYG8V9Q (100%)</t>
        </is>
      </c>
      <c r="N135" s="109" t="n">
        <v>79.98999999999999</v>
      </c>
      <c r="O135" s="109" t="n"/>
      <c r="P135" s="110">
        <f>IF(AND(ISNUMBER(O135),ISNUMBER(N135),N(N135)&gt;0),O135/N135-1,"")</f>
        <v/>
      </c>
      <c r="Q135" s="111">
        <f>IF(P135="","No List Price",IF(P135&lt;=0,"At/below price",IF(P135&lt;=0.12,"&lt;=12% STR zone",IF(P135&lt;=0.25,"12-25%","&gt;25% over"))))</f>
        <v/>
      </c>
      <c r="R135" s="109" t="n">
        <v>84.98999999999999</v>
      </c>
      <c r="S135" s="112">
        <f>IF(AND(ISNUMBER(N135),ISNUMBER(R135),N(R135)&gt;0),N135/R135-1,"")</f>
        <v/>
      </c>
      <c r="T135" s="39" t="inlineStr">
        <is>
          <t>Same size (King). Ours live: catalog price, 2026-10-13; 6 children</t>
        </is>
      </c>
      <c r="U135" s="108" t="n">
        <v>762451</v>
      </c>
      <c r="V135" s="108" t="n">
        <v>5</v>
      </c>
      <c r="W135" s="113">
        <f>IF(AND(ISNUMBER(N135),ISNUMBER(V135)),N135*V135*52/12,"")</f>
        <v/>
      </c>
      <c r="X135" s="114" t="n">
        <v>4</v>
      </c>
      <c r="Y135" s="108" t="n"/>
      <c r="Z135" s="115" t="n">
        <v>46307</v>
      </c>
      <c r="AA135" s="115" t="n"/>
      <c r="AB135" s="105" t="n"/>
      <c r="AC135" s="105" t="n"/>
      <c r="AD135" s="108" t="n">
        <v>57075</v>
      </c>
      <c r="AE135" s="108" t="n">
        <v>90</v>
      </c>
      <c r="AF135" s="116" t="n">
        <v>0.9991762628120894</v>
      </c>
      <c r="AG135" s="116" t="n">
        <v>0.0008237371879106438</v>
      </c>
      <c r="AH135" s="39" t="inlineStr">
        <is>
          <t>king size sheets set</t>
        </is>
      </c>
      <c r="AI135" s="116" t="n">
        <v>0.1639071397284275</v>
      </c>
      <c r="AJ135" s="116" t="n"/>
      <c r="AK135" s="116" t="n"/>
      <c r="AL135" s="116" t="n"/>
      <c r="AM135" s="108" t="n">
        <v>22</v>
      </c>
      <c r="AN135" s="108" t="n">
        <v>10</v>
      </c>
      <c r="AO135" s="108" t="n">
        <v>11</v>
      </c>
      <c r="AP135" s="108" t="n">
        <v>68</v>
      </c>
      <c r="AQ135" s="108" t="n">
        <v>0</v>
      </c>
      <c r="AR135" s="108" t="n">
        <v>0</v>
      </c>
      <c r="AS135" s="117" t="n"/>
      <c r="AT135" s="112" t="n"/>
      <c r="AU135" s="118" t="inlineStr">
        <is>
          <t>N</t>
        </is>
      </c>
      <c r="AV135" s="118" t="inlineStr">
        <is>
          <t>none</t>
        </is>
      </c>
      <c r="AW135" s="124" t="n"/>
      <c r="AX135" s="124" t="n"/>
      <c r="AY135" s="118" t="inlineStr">
        <is>
          <t>none</t>
        </is>
      </c>
      <c r="AZ135" s="118" t="inlineStr">
        <is>
          <t>N</t>
        </is>
      </c>
      <c r="BA135" s="118" t="inlineStr">
        <is>
          <t>2026-10-13 12:11:13</t>
        </is>
      </c>
      <c r="BB135" s="120" t="inlineStr">
        <is>
          <t>Not live in 2025</t>
        </is>
      </c>
      <c r="BC135" s="125" t="n"/>
      <c r="BD135" s="124" t="n"/>
      <c r="BE135" s="124" t="n"/>
      <c r="BF135" s="110">
        <f>IF(AND(ISNUMBER(BD135),ISNUMBER(BE135),N(BD135)&gt;0),1-BE135/BD135,"")</f>
        <v/>
      </c>
      <c r="BG135" s="126" t="n"/>
      <c r="BH135" s="126" t="n"/>
      <c r="BI135" s="123">
        <f>IF(AND(ISNUMBER(BG135),ISNUMBER(BH135),N(BH135)&gt;0),BG135/BH135,"")</f>
        <v/>
      </c>
      <c r="BJ135" s="125" t="n"/>
      <c r="BK135" s="125" t="n"/>
    </row>
    <row r="136" ht="62" customHeight="1">
      <c r="A136" s="12">
        <f>_xlfn.IMAGE("https://images-na.ssl-images-amazon.com/images/I/71+O+E9PlaL.jpg")</f>
        <v/>
      </c>
      <c r="B136" s="105" t="inlineStr">
        <is>
          <t>Shilucheng</t>
        </is>
      </c>
      <c r="C136" s="39" t="inlineStr">
        <is>
          <t>Shilucheng 100% Viscose Derived from Bamboo_ Sheets King Size 4pcs</t>
        </is>
      </c>
      <c r="D136" s="105" t="inlineStr">
        <is>
          <t>Untiered</t>
        </is>
      </c>
      <c r="E136" s="128" t="inlineStr">
        <is>
          <t>Alternative material</t>
        </is>
      </c>
      <c r="F136" s="105" t="inlineStr">
        <is>
          <t>Bamboo viscose</t>
        </is>
      </c>
      <c r="G136" s="39" t="inlineStr">
        <is>
          <t>Sheet set in Bamboo viscose (product page material: Viscose Derived from Bamboo); ours is Synthetic cooling knit (BreezeWeave cooling fabric, nylon-spandex like CooLoom (confirmed Oct 15, 2026)). Shopper may cross-shop, but not like-for-like.</t>
        </is>
      </c>
      <c r="H136" s="107" t="inlineStr">
        <is>
          <t>B0HK5V5KL1</t>
        </is>
      </c>
      <c r="I136" s="107" t="inlineStr">
        <is>
          <t>B09PYQ2VQL</t>
        </is>
      </c>
      <c r="J136" s="105" t="inlineStr">
        <is>
          <t>King</t>
        </is>
      </c>
      <c r="K136" s="105" t="inlineStr">
        <is>
          <t>01 - Dark Grey</t>
        </is>
      </c>
      <c r="L136" s="108" t="n">
        <v>79</v>
      </c>
      <c r="M136" s="39" t="inlineStr">
        <is>
          <t>B09PYKYCCF (38%), B09PXYT59Y (29%), B0DFHF8KC3 (20%)</t>
        </is>
      </c>
      <c r="N136" s="109" t="n">
        <v>54.9</v>
      </c>
      <c r="O136" s="109" t="n">
        <v>64.90000000000001</v>
      </c>
      <c r="P136" s="110">
        <f>IF(AND(ISNUMBER(O136),ISNUMBER(N136),N(N136)&gt;0),O136/N136-1,"")</f>
        <v/>
      </c>
      <c r="Q136" s="111">
        <f>IF(P136="","No List Price",IF(P136&lt;=0,"At/below price",IF(P136&lt;=0.12,"&lt;=12% STR zone",IF(P136&lt;=0.25,"12-25%","&gt;25% over"))))</f>
        <v/>
      </c>
      <c r="R136" s="109" t="n">
        <v>84.98999999999999</v>
      </c>
      <c r="S136" s="112">
        <f>IF(AND(ISNUMBER(N136),ISNUMBER(R136),N(R136)&gt;0),N136/R136-1,"")</f>
        <v/>
      </c>
      <c r="T136" s="39" t="inlineStr">
        <is>
          <t>Same size (King). Ours live: catalog price, 2026-10-13; 6 children</t>
        </is>
      </c>
      <c r="U136" s="108" t="n">
        <v>26044</v>
      </c>
      <c r="V136" s="108" t="n">
        <v>5</v>
      </c>
      <c r="W136" s="113">
        <f>IF(AND(ISNUMBER(N136),ISNUMBER(V136)),N136*V136*52/12,"")</f>
        <v/>
      </c>
      <c r="X136" s="114" t="n">
        <v>4.4</v>
      </c>
      <c r="Y136" s="108" t="n">
        <v>6629</v>
      </c>
      <c r="Z136" s="115" t="n">
        <v>46307</v>
      </c>
      <c r="AA136" s="115" t="n">
        <v>44654</v>
      </c>
      <c r="AB136" s="105" t="inlineStr">
        <is>
          <t>FBA</t>
        </is>
      </c>
      <c r="AC136" s="105" t="inlineStr">
        <is>
          <t>CN</t>
        </is>
      </c>
      <c r="AD136" s="108" t="n">
        <v>55207</v>
      </c>
      <c r="AE136" s="108" t="n">
        <v>914</v>
      </c>
      <c r="AF136" s="116" t="n">
        <v>0.5098780408281561</v>
      </c>
      <c r="AG136" s="116" t="n">
        <v>0.4901219591718439</v>
      </c>
      <c r="AH136" s="39" t="inlineStr">
        <is>
          <t>bamboo sheets</t>
        </is>
      </c>
      <c r="AI136" s="116" t="n">
        <v>0.9176553697900629</v>
      </c>
      <c r="AJ136" s="116" t="n"/>
      <c r="AK136" s="116" t="n"/>
      <c r="AL136" s="116" t="n"/>
      <c r="AM136" s="108" t="n">
        <v>154</v>
      </c>
      <c r="AN136" s="108" t="n">
        <v>68</v>
      </c>
      <c r="AO136" s="108" t="n">
        <v>72</v>
      </c>
      <c r="AP136" s="108" t="n">
        <v>760</v>
      </c>
      <c r="AQ136" s="108" t="n">
        <v>470</v>
      </c>
      <c r="AR136" s="108" t="n">
        <v>18</v>
      </c>
      <c r="AS136" s="117" t="n"/>
      <c r="AT136" s="112" t="n"/>
      <c r="AU136" s="118" t="inlineStr">
        <is>
          <t>Y</t>
        </is>
      </c>
      <c r="AV136" s="118" t="inlineStr">
        <is>
          <t>List Price</t>
        </is>
      </c>
      <c r="AW136" s="119" t="n">
        <v>64.90000000000001</v>
      </c>
      <c r="AX136" s="119" t="n">
        <v>54.9</v>
      </c>
      <c r="AY136" s="118" t="inlineStr">
        <is>
          <t>Limited time deal</t>
        </is>
      </c>
      <c r="AZ136" s="118" t="inlineStr">
        <is>
          <t>Y</t>
        </is>
      </c>
      <c r="BA136" s="118" t="inlineStr">
        <is>
          <t>2026-10-13 12:12:20</t>
        </is>
      </c>
      <c r="BB136" s="120" t="inlineStr">
        <is>
          <t>Prime Exclusive Discount</t>
        </is>
      </c>
      <c r="BC136" s="120" t="inlineStr">
        <is>
          <t>11-24 to 12-01</t>
        </is>
      </c>
      <c r="BD136" s="121" t="n">
        <v>64.90000000000001</v>
      </c>
      <c r="BE136" s="121" t="n">
        <v>55.12</v>
      </c>
      <c r="BF136" s="110">
        <f>IF(AND(ISNUMBER(BD136),ISNUMBER(BE136),N(BD136)&gt;0),1-BE136/BD136,"")</f>
        <v/>
      </c>
      <c r="BG136" s="122" t="n">
        <v>15950</v>
      </c>
      <c r="BH136" s="122" t="n">
        <v>18592</v>
      </c>
      <c r="BI136" s="123">
        <f>IF(AND(ISNUMBER(BG136),ISNUMBER(BH136),N(BH136)&gt;0),BG136/BH136,"")</f>
        <v/>
      </c>
      <c r="BJ136" s="120" t="inlineStr">
        <is>
          <t>N</t>
        </is>
      </c>
      <c r="BK136" s="120" t="inlineStr">
        <is>
          <t>Buy Box RAISED in BFCM week (median $68.90 vs $64.90 before); List Price $69.90</t>
        </is>
      </c>
    </row>
    <row r="137" ht="62" customHeight="1">
      <c r="A137" s="12">
        <f>_xlfn.IMAGE("https://m.media-amazon.com/images/I/81j0ZgsAvbL._AC_SL1500_.jpg")</f>
        <v/>
      </c>
      <c r="B137" s="105" t="inlineStr">
        <is>
          <t>Brookstone</t>
        </is>
      </c>
      <c r="C137" s="39" t="inlineStr">
        <is>
          <t>Cooling Fitted Sheet</t>
        </is>
      </c>
      <c r="D137" s="105" t="inlineStr">
        <is>
          <t>Poor</t>
        </is>
      </c>
      <c r="E137" s="133" t="inlineStr">
        <is>
          <t>Different product type</t>
        </is>
      </c>
      <c r="F137" s="105" t="inlineStr">
        <is>
          <t>Synthetic cooling knit</t>
        </is>
      </c>
      <c r="G137" s="39" t="inlineStr">
        <is>
          <t>Sells a fitted sheet; ours is a sheet set.</t>
        </is>
      </c>
      <c r="H137" s="107" t="inlineStr">
        <is>
          <t>B0CXB579TZ</t>
        </is>
      </c>
      <c r="I137" s="107" t="inlineStr">
        <is>
          <t>B0CTKM53QJ</t>
        </is>
      </c>
      <c r="J137" s="105" t="inlineStr">
        <is>
          <t>Twin</t>
        </is>
      </c>
      <c r="K137" s="105" t="inlineStr">
        <is>
          <t>Gray</t>
        </is>
      </c>
      <c r="L137" s="108" t="n"/>
      <c r="M137" s="39" t="inlineStr"/>
      <c r="N137" s="109" t="n">
        <v>49.99</v>
      </c>
      <c r="O137" s="109" t="n"/>
      <c r="P137" s="110">
        <f>IF(AND(ISNUMBER(O137),ISNUMBER(N137),N(N137)&gt;0),O137/N137-1,"")</f>
        <v/>
      </c>
      <c r="Q137" s="111">
        <f>IF(P137="","No List Price",IF(P137&lt;=0,"At/below price",IF(P137&lt;=0.12,"&lt;=12% STR zone",IF(P137&lt;=0.25,"12-25%","&gt;25% over"))))</f>
        <v/>
      </c>
      <c r="R137" s="109" t="n">
        <v>59.99</v>
      </c>
      <c r="S137" s="112">
        <f>IF(AND(ISNUMBER(N137),ISNUMBER(R137),N(R137)&gt;0),N137/R137-1,"")</f>
        <v/>
      </c>
      <c r="T137" s="39" t="inlineStr">
        <is>
          <t>Same size (Twin). Ours live: catalog price, 2026-10-13; 7 children</t>
        </is>
      </c>
      <c r="U137" s="108" t="n">
        <v>501090</v>
      </c>
      <c r="V137" s="108" t="n">
        <v>5</v>
      </c>
      <c r="W137" s="113">
        <f>IF(AND(ISNUMBER(N137),ISNUMBER(V137)),N137*V137*52/12,"")</f>
        <v/>
      </c>
      <c r="X137" s="114" t="n">
        <v>4.1</v>
      </c>
      <c r="Y137" s="108" t="n">
        <v>184</v>
      </c>
      <c r="Z137" s="115" t="n">
        <v>46307</v>
      </c>
      <c r="AA137" s="115" t="n"/>
      <c r="AB137" s="105" t="n"/>
      <c r="AC137" s="105" t="n"/>
      <c r="AD137" s="108" t="n"/>
      <c r="AE137" s="108" t="n"/>
      <c r="AF137" s="116" t="n"/>
      <c r="AG137" s="116" t="n"/>
      <c r="AH137" s="39" t="n"/>
      <c r="AI137" s="116" t="n"/>
      <c r="AJ137" s="116" t="n"/>
      <c r="AK137" s="116" t="n"/>
      <c r="AL137" s="116" t="n"/>
      <c r="AM137" s="108" t="n"/>
      <c r="AN137" s="108" t="n"/>
      <c r="AO137" s="108" t="n"/>
      <c r="AP137" s="108" t="n"/>
      <c r="AQ137" s="108" t="n"/>
      <c r="AR137" s="108" t="n"/>
      <c r="AS137" s="117" t="n"/>
      <c r="AT137" s="112" t="n"/>
      <c r="AU137" s="118" t="inlineStr">
        <is>
          <t>N</t>
        </is>
      </c>
      <c r="AV137" s="118" t="inlineStr">
        <is>
          <t>none</t>
        </is>
      </c>
      <c r="AW137" s="124" t="n"/>
      <c r="AX137" s="119" t="n">
        <v>49.99</v>
      </c>
      <c r="AY137" s="118" t="inlineStr">
        <is>
          <t>none</t>
        </is>
      </c>
      <c r="AZ137" s="118" t="inlineStr">
        <is>
          <t>Y</t>
        </is>
      </c>
      <c r="BA137" s="118" t="inlineStr">
        <is>
          <t>2026-10-13 23:37:50</t>
        </is>
      </c>
      <c r="BB137" s="120" t="inlineStr">
        <is>
          <t>Prime Exclusive Discount</t>
        </is>
      </c>
      <c r="BC137" s="120" t="inlineStr">
        <is>
          <t>11-28 to 12-01</t>
        </is>
      </c>
      <c r="BD137" s="121" t="n">
        <v>49.99</v>
      </c>
      <c r="BE137" s="121" t="n">
        <v>39.99</v>
      </c>
      <c r="BF137" s="110">
        <f>IF(AND(ISNUMBER(BD137),ISNUMBER(BE137),N(BD137)&gt;0),1-BE137/BD137,"")</f>
        <v/>
      </c>
      <c r="BG137" s="122" t="n">
        <v>453218</v>
      </c>
      <c r="BH137" s="122" t="n">
        <v>431081</v>
      </c>
      <c r="BI137" s="123">
        <f>IF(AND(ISNUMBER(BG137),ISNUMBER(BH137),N(BH137)&gt;0),BG137/BH137,"")</f>
        <v/>
      </c>
      <c r="BJ137" s="120" t="inlineStr">
        <is>
          <t>N</t>
        </is>
      </c>
      <c r="BK137" s="120" t="inlineStr">
        <is>
          <t>Coupon 10% (11-11 to 11-27); List Price $49.99</t>
        </is>
      </c>
    </row>
    <row r="138" ht="62" customHeight="1">
      <c r="A138" s="12">
        <f>_xlfn.IMAGE("https://m.media-amazon.com/images/I/71RjhAXQgpL._AC_SL1500_.jpg")</f>
        <v/>
      </c>
      <c r="B138" s="105" t="inlineStr">
        <is>
          <t>Comfort Spaces</t>
        </is>
      </c>
      <c r="C138" s="39" t="inlineStr">
        <is>
          <t>Comfort Spaces Coolmax Moisture Wicking Fitted Sheet ONLY Super Soft, Fade Resis</t>
        </is>
      </c>
      <c r="D138" s="105" t="inlineStr">
        <is>
          <t>Untiered</t>
        </is>
      </c>
      <c r="E138" s="133" t="inlineStr">
        <is>
          <t>Different product type</t>
        </is>
      </c>
      <c r="F138" s="105" t="inlineStr">
        <is>
          <t>Synthetic cooling knit</t>
        </is>
      </c>
      <c r="G138" s="39" t="inlineStr">
        <is>
          <t>Sells a fitted sheet; ours is a sheet set.</t>
        </is>
      </c>
      <c r="H138" s="107" t="inlineStr">
        <is>
          <t>B0DCGL5646</t>
        </is>
      </c>
      <c r="I138" s="107" t="inlineStr">
        <is>
          <t>B09GV8SK79</t>
        </is>
      </c>
      <c r="J138" s="105" t="inlineStr">
        <is>
          <t>Queen Deep Pocket</t>
        </is>
      </c>
      <c r="K138" s="105" t="inlineStr">
        <is>
          <t>Grey</t>
        </is>
      </c>
      <c r="L138" s="108" t="n"/>
      <c r="M138" s="39" t="inlineStr"/>
      <c r="N138" s="109" t="n">
        <v>16.1</v>
      </c>
      <c r="O138" s="109" t="n"/>
      <c r="P138" s="110">
        <f>IF(AND(ISNUMBER(O138),ISNUMBER(N138),N(N138)&gt;0),O138/N138-1,"")</f>
        <v/>
      </c>
      <c r="Q138" s="111">
        <f>IF(P138="","No List Price",IF(P138&lt;=0,"At/below price",IF(P138&lt;=0.12,"&lt;=12% STR zone",IF(P138&lt;=0.25,"12-25%","&gt;25% over"))))</f>
        <v/>
      </c>
      <c r="R138" s="109" t="n">
        <v>79.98999999999999</v>
      </c>
      <c r="S138" s="112">
        <f>IF(AND(ISNUMBER(N138),ISNUMBER(R138),N(R138)&gt;0),N138/R138-1,"")</f>
        <v/>
      </c>
      <c r="T138" s="39" t="inlineStr">
        <is>
          <t>Same size (Queen). Ours live: catalog price, 2026-10-13; 11 children</t>
        </is>
      </c>
      <c r="U138" s="108" t="n">
        <v>6671</v>
      </c>
      <c r="V138" s="108" t="n">
        <v>185</v>
      </c>
      <c r="W138" s="113">
        <f>IF(AND(ISNUMBER(N138),ISNUMBER(V138)),N138*V138*52/12,"")</f>
        <v/>
      </c>
      <c r="X138" s="114" t="n">
        <v>4.2</v>
      </c>
      <c r="Y138" s="108" t="n">
        <v>1336</v>
      </c>
      <c r="Z138" s="115" t="n">
        <v>46307</v>
      </c>
      <c r="AA138" s="115" t="n"/>
      <c r="AB138" s="105" t="n"/>
      <c r="AC138" s="105" t="n"/>
      <c r="AD138" s="108" t="n"/>
      <c r="AE138" s="108" t="n"/>
      <c r="AF138" s="116" t="n"/>
      <c r="AG138" s="116" t="n"/>
      <c r="AH138" s="39" t="n"/>
      <c r="AI138" s="116" t="n"/>
      <c r="AJ138" s="116" t="n"/>
      <c r="AK138" s="116" t="n"/>
      <c r="AL138" s="116" t="n"/>
      <c r="AM138" s="108" t="n"/>
      <c r="AN138" s="108" t="n"/>
      <c r="AO138" s="108" t="n"/>
      <c r="AP138" s="108" t="n"/>
      <c r="AQ138" s="108" t="n"/>
      <c r="AR138" s="108" t="n"/>
      <c r="AS138" s="117" t="n"/>
      <c r="AT138" s="112" t="n"/>
      <c r="AU138" s="118" t="inlineStr">
        <is>
          <t>N</t>
        </is>
      </c>
      <c r="AV138" s="118" t="inlineStr">
        <is>
          <t>none</t>
        </is>
      </c>
      <c r="AW138" s="124" t="n"/>
      <c r="AX138" s="119" t="n">
        <v>16.01</v>
      </c>
      <c r="AY138" s="118" t="inlineStr">
        <is>
          <t>none</t>
        </is>
      </c>
      <c r="AZ138" s="118" t="inlineStr">
        <is>
          <t>Y</t>
        </is>
      </c>
      <c r="BA138" s="118" t="inlineStr">
        <is>
          <t>2026-10-13 23:37:59</t>
        </is>
      </c>
      <c r="BB138" s="120" t="inlineStr">
        <is>
          <t>Price cut only</t>
        </is>
      </c>
      <c r="BC138" s="120" t="inlineStr">
        <is>
          <t>12-01 to 12-01</t>
        </is>
      </c>
      <c r="BD138" s="121" t="n">
        <v>19.57</v>
      </c>
      <c r="BE138" s="121" t="n">
        <v>17.6</v>
      </c>
      <c r="BF138" s="110">
        <f>IF(AND(ISNUMBER(BD138),ISNUMBER(BE138),N(BD138)&gt;0),1-BE138/BD138,"")</f>
        <v/>
      </c>
      <c r="BG138" s="122" t="n">
        <v>35490</v>
      </c>
      <c r="BH138" s="122" t="n">
        <v>50123</v>
      </c>
      <c r="BI138" s="123">
        <f>IF(AND(ISNUMBER(BG138),ISNUMBER(BH138),N(BH138)&gt;0),BG138/BH138,"")</f>
        <v/>
      </c>
      <c r="BJ138" s="120" t="inlineStr">
        <is>
          <t>N</t>
        </is>
      </c>
      <c r="BK138" s="120" t="inlineStr">
        <is>
          <t>Buy Box RAISED in BFCM week (median $24.33 vs $19.57 before); List Price $16.99</t>
        </is>
      </c>
    </row>
    <row r="139"/>
    <row r="140" ht="22" customHeight="1">
      <c r="A140" s="65" t="inlineStr">
        <is>
          <t>5 ▼</t>
        </is>
      </c>
      <c r="B140" s="66" t="inlineStr">
        <is>
          <t>WHAT THIS MEANS FOR BFCM</t>
        </is>
      </c>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c r="AC140" s="67" t="n"/>
      <c r="AD140" s="67" t="n"/>
      <c r="AE140" s="67" t="n"/>
      <c r="AF140" s="67" t="n"/>
      <c r="AG140" s="67" t="n"/>
      <c r="AH140" s="67" t="n"/>
      <c r="AI140" s="67" t="n"/>
      <c r="AJ140" s="67" t="n"/>
      <c r="AK140" s="67" t="n"/>
      <c r="AL140" s="67" t="n"/>
      <c r="AM140" s="67" t="n"/>
      <c r="AN140" s="67" t="n"/>
      <c r="AO140" s="67" t="n"/>
      <c r="AP140" s="67" t="n"/>
      <c r="AQ140" s="67" t="n"/>
      <c r="AR140" s="67" t="n"/>
      <c r="AS140" s="67" t="n"/>
      <c r="AT140" s="67" t="n"/>
      <c r="AU140" s="67" t="n"/>
      <c r="AV140" s="67" t="n"/>
      <c r="AW140" s="67" t="n"/>
      <c r="AX140" s="67" t="n"/>
      <c r="AY140" s="67" t="n"/>
      <c r="AZ140" s="67" t="n"/>
      <c r="BA140" s="67" t="n"/>
      <c r="BB140" s="67" t="n"/>
      <c r="BC140" s="67" t="n"/>
      <c r="BD140" s="67" t="n"/>
      <c r="BE140" s="67" t="n"/>
      <c r="BF140" s="67" t="n"/>
      <c r="BG140" s="67" t="n"/>
      <c r="BH140" s="67" t="n"/>
      <c r="BI140" s="67" t="n"/>
      <c r="BJ140" s="67" t="n"/>
      <c r="BK140" s="67" t="n"/>
    </row>
    <row r="141" ht="30" customHeight="1">
      <c r="A141" s="129" t="inlineStr">
        <is>
          <t>• Who sells most: Love's cabin ~924/wk at $37.99 (List $44.99, +18%); Pure Bamboo ~809/wk at $109.99; Bedsure ~809/wk at $62.99 (List $69.99, +11%); Hotel Sheets Direct ~347/wk at $79.99; KRIMANO ~185/wk at $79.99. Tracked rivals ~4,540 units/wk; we sell ~83/wk (1.8% of the tracked set).</t>
        </is>
      </c>
    </row>
    <row r="142" ht="18" customHeight="1">
      <c r="A142" s="129" t="inlineStr">
        <is>
          <t>• Strikethrough: 14 of 36 rivals set a List Price above price; 1 within 12%: Bedsure +11%.</t>
        </is>
      </c>
    </row>
    <row r="143" ht="30" customHeight="1">
      <c r="A143" s="129" t="inlineStr">
        <is>
          <t>• Price: 21 of 36 rivals sit below our price today (same size where the title states one). Cheapest strong rivals: DOZ by SIJO $55.00, SONORO KATE $59.99, Bedsure $62.99, KRIMANO $79.99.</t>
        </is>
      </c>
    </row>
    <row r="144" ht="30" customHeight="1">
      <c r="A144" s="129" t="inlineStr">
        <is>
          <t>• Strikethrough on the page today (Oct 13 check): 15 of 35 checked rivals show one: REST List Price $299.00 vs $224.25 (+33%), Breescape List Price $179.99 vs $149.99 (+20%), REST List Price $219.00 vs $164.25 (+33%), Elegear Typical price $79.99 vs $67.99 (+18%) with deal, Degrees of Comfort Typical price $29.99 vs $24.99 (+20%), Bedsure List Price $69.99 vs $62.99 (+11%).</t>
        </is>
      </c>
    </row>
    <row r="145" ht="30" customHeight="1">
      <c r="A145" s="129" t="inlineStr">
        <is>
          <t>• Search: we lose most shared keywords to Bedsure (we win 9, lose 268), Pure Bamboo (we win 13, lose 266), Love's cabin (we win 23, lose 239). Biggest ad gaps (they advertise where we don't or harder): Pure Bamboo 3,772 + 33 KWs, Bedsure 3,446 + 30 KWs, REST 3,266 + 28 KWs.</t>
        </is>
      </c>
    </row>
    <row r="146" ht="30" customHeight="1">
      <c r="A146" s="129" t="inlineStr">
        <is>
          <t>• Brand ads: REST (SB 86%, SBV 45%), Breescape (SB 64%, SBV 74%), Elegear (SB 71%, SBV 0%), Pure Bamboo (SB 82%, SBV 88%), Bedsure (SB 94%, SBV 65%) hold Sponsored Brands / video on most of their traffic - the plan has our SB, SBV and display live by Nov 1.</t>
        </is>
      </c>
    </row>
    <row r="147" ht="18" customHeight="1">
      <c r="A147" s="129" t="inlineStr">
        <is>
          <t>• Our BFCM 2025: 1.16x daily sales in BFCM week vs the 30 days before; TACoS 1.6% vs 4.4% before; December 0.76x.</t>
        </is>
      </c>
    </row>
    <row r="148" ht="30" customHeight="1">
      <c r="A148" s="129" t="inlineStr">
        <is>
          <t>• BFCM 2025, 23 rivals with price history history: Prime Exclusive Discount 10, Price cut only 7, None 5, Coupon only 1. Median depth vs their Nov 1-19 price 18%; median BSR lift 1.18x. 5 raised their Buy Box in BFCM week, so their deal looked deeper than it was.</t>
        </is>
      </c>
    </row>
    <row r="149" ht="18" customHeight="1">
      <c r="A149" s="129" t="inlineStr">
        <is>
          <t>• 2 rivals not in the price history pulls yet (yellow BFCM 2025 columns) - remaining P2 batches,.</t>
        </is>
      </c>
    </row>
  </sheetData>
  <autoFilter ref="B102:BK138"/>
  <mergeCells count="67">
    <mergeCell ref="A92:BK92"/>
    <mergeCell ref="AU101:BA101"/>
    <mergeCell ref="A148:BK148"/>
    <mergeCell ref="AA101:AC101"/>
    <mergeCell ref="A142:BK142"/>
    <mergeCell ref="A84:C84"/>
    <mergeCell ref="L5:Q5"/>
    <mergeCell ref="A89:C89"/>
    <mergeCell ref="Q11:T11"/>
    <mergeCell ref="A94:BK94"/>
    <mergeCell ref="L8:Q8"/>
    <mergeCell ref="A146:BK146"/>
    <mergeCell ref="L4:Q4"/>
    <mergeCell ref="D7:I7"/>
    <mergeCell ref="A13:D13"/>
    <mergeCell ref="A86:C86"/>
    <mergeCell ref="I13:L13"/>
    <mergeCell ref="D4:I4"/>
    <mergeCell ref="L10:Q10"/>
    <mergeCell ref="E12:H12"/>
    <mergeCell ref="Q13:T13"/>
    <mergeCell ref="BB101:BK101"/>
    <mergeCell ref="D9:I9"/>
    <mergeCell ref="A90:BK90"/>
    <mergeCell ref="N101:Z101"/>
    <mergeCell ref="U12:X12"/>
    <mergeCell ref="L9:Q9"/>
    <mergeCell ref="Q12:T12"/>
    <mergeCell ref="A11:D11"/>
    <mergeCell ref="I11:L11"/>
    <mergeCell ref="A81:C81"/>
    <mergeCell ref="D8:I8"/>
    <mergeCell ref="L6:Q6"/>
    <mergeCell ref="A4:B9"/>
    <mergeCell ref="A145:BK145"/>
    <mergeCell ref="A149:BK149"/>
    <mergeCell ref="T6:Y6"/>
    <mergeCell ref="A101:K101"/>
    <mergeCell ref="A95:BK95"/>
    <mergeCell ref="D5:I5"/>
    <mergeCell ref="AD101:AT101"/>
    <mergeCell ref="M11:P11"/>
    <mergeCell ref="U11:X11"/>
    <mergeCell ref="A83:C83"/>
    <mergeCell ref="A141:BK141"/>
    <mergeCell ref="A144:BK144"/>
    <mergeCell ref="A91:BK91"/>
    <mergeCell ref="A97:BK97"/>
    <mergeCell ref="E13:H13"/>
    <mergeCell ref="A82:C82"/>
    <mergeCell ref="A96:BK96"/>
    <mergeCell ref="D10:I10"/>
    <mergeCell ref="L7:Q7"/>
    <mergeCell ref="T5:Y5"/>
    <mergeCell ref="A147:BK147"/>
    <mergeCell ref="A12:D12"/>
    <mergeCell ref="M13:P13"/>
    <mergeCell ref="I12:L12"/>
    <mergeCell ref="U13:X13"/>
    <mergeCell ref="A88:C88"/>
    <mergeCell ref="A93:BK93"/>
    <mergeCell ref="M12:P12"/>
    <mergeCell ref="T4:Y4"/>
    <mergeCell ref="D6:I6"/>
    <mergeCell ref="A87:C87"/>
    <mergeCell ref="E11:H11"/>
    <mergeCell ref="A143:BK143"/>
  </mergeCells>
  <conditionalFormatting sqref="Q103:Q138">
    <cfRule type="expression" priority="1" dxfId="1">
      <formula>Q103="&lt;=12% STR zone"</formula>
    </cfRule>
  </conditionalFormatting>
  <conditionalFormatting sqref="Z103:Z138">
    <cfRule type="expression" priority="2" dxfId="0">
      <formula>AND(ISNUMBER(Z103),Z103&lt;DATE(2026,10,6))</formula>
    </cfRule>
  </conditionalFormatting>
  <conditionalFormatting sqref="T103:T138">
    <cfRule type="expression" priority="3" dxfId="0">
      <formula>ISNUMBER(SEARCH("STALE",T103))</formula>
    </cfRule>
  </conditionalFormatting>
  <conditionalFormatting sqref="S103:S138">
    <cfRule type="expression" priority="4" dxfId="0">
      <formula>AND(ISNUMBER(S103),S103&lt;0)</formula>
    </cfRule>
  </conditionalFormatting>
  <dataValidations count="3">
    <dataValidation sqref="AU103:AU138 BJ103:BJ138" showDropDown="0" showInputMessage="0" showErrorMessage="0" allowBlank="1" type="list">
      <formula1>"Y,N"</formula1>
    </dataValidation>
    <dataValidation sqref="AV103:AV138" showDropDown="0" showInputMessage="0" showErrorMessage="0" allowBlank="1" type="list">
      <formula1>"List Price,Typical price,Was price,None"</formula1>
    </dataValidation>
    <dataValidation sqref="BB103:BB138"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Cooling 4pc'!A3" display="1 Our product ↓"/>
    <hyperlink ref="D2" location="'US SL Cooling 4pc'!A15" display="2 Our variations ↓"/>
    <hyperlink ref="E2" location="'US SL Cooling 4pc'!A80" display="3 Our BFCM 2025 ↓"/>
    <hyperlink ref="F2" location="'US SL Cooling 4pc'!A99" display="4 COMPETITORS (36 mapped) ↓"/>
    <hyperlink ref="G2" location="'US SL Cooling 4pc'!A140" display="5 What it means ↓"/>
    <hyperlink xmlns:r="http://schemas.openxmlformats.org/officeDocument/2006/relationships" ref="H103" r:id="rId1"/>
    <hyperlink xmlns:r="http://schemas.openxmlformats.org/officeDocument/2006/relationships" ref="I103" r:id="rId2"/>
    <hyperlink xmlns:r="http://schemas.openxmlformats.org/officeDocument/2006/relationships" ref="H104" r:id="rId3"/>
    <hyperlink xmlns:r="http://schemas.openxmlformats.org/officeDocument/2006/relationships" ref="I104" r:id="rId4"/>
    <hyperlink xmlns:r="http://schemas.openxmlformats.org/officeDocument/2006/relationships" ref="H105" r:id="rId5"/>
    <hyperlink xmlns:r="http://schemas.openxmlformats.org/officeDocument/2006/relationships" ref="I105" r:id="rId6"/>
    <hyperlink xmlns:r="http://schemas.openxmlformats.org/officeDocument/2006/relationships" ref="H106" r:id="rId7"/>
    <hyperlink xmlns:r="http://schemas.openxmlformats.org/officeDocument/2006/relationships" ref="I106" r:id="rId8"/>
    <hyperlink xmlns:r="http://schemas.openxmlformats.org/officeDocument/2006/relationships" ref="H107" r:id="rId9"/>
    <hyperlink xmlns:r="http://schemas.openxmlformats.org/officeDocument/2006/relationships" ref="I107" r:id="rId10"/>
    <hyperlink xmlns:r="http://schemas.openxmlformats.org/officeDocument/2006/relationships" ref="H108" r:id="rId11"/>
    <hyperlink xmlns:r="http://schemas.openxmlformats.org/officeDocument/2006/relationships" ref="I108" r:id="rId12"/>
    <hyperlink xmlns:r="http://schemas.openxmlformats.org/officeDocument/2006/relationships" ref="H109" r:id="rId13"/>
    <hyperlink xmlns:r="http://schemas.openxmlformats.org/officeDocument/2006/relationships" ref="I109" r:id="rId14"/>
    <hyperlink xmlns:r="http://schemas.openxmlformats.org/officeDocument/2006/relationships" ref="H110" r:id="rId15"/>
    <hyperlink xmlns:r="http://schemas.openxmlformats.org/officeDocument/2006/relationships" ref="I110" r:id="rId16"/>
    <hyperlink xmlns:r="http://schemas.openxmlformats.org/officeDocument/2006/relationships" ref="H111" r:id="rId17"/>
    <hyperlink xmlns:r="http://schemas.openxmlformats.org/officeDocument/2006/relationships" ref="I111" r:id="rId18"/>
    <hyperlink xmlns:r="http://schemas.openxmlformats.org/officeDocument/2006/relationships" ref="H112" r:id="rId19"/>
    <hyperlink xmlns:r="http://schemas.openxmlformats.org/officeDocument/2006/relationships" ref="I112" r:id="rId20"/>
    <hyperlink xmlns:r="http://schemas.openxmlformats.org/officeDocument/2006/relationships" ref="H113" r:id="rId21"/>
    <hyperlink xmlns:r="http://schemas.openxmlformats.org/officeDocument/2006/relationships" ref="I113" r:id="rId22"/>
    <hyperlink xmlns:r="http://schemas.openxmlformats.org/officeDocument/2006/relationships" ref="H114" r:id="rId23"/>
    <hyperlink xmlns:r="http://schemas.openxmlformats.org/officeDocument/2006/relationships" ref="I114" r:id="rId24"/>
    <hyperlink xmlns:r="http://schemas.openxmlformats.org/officeDocument/2006/relationships" ref="H115" r:id="rId25"/>
    <hyperlink xmlns:r="http://schemas.openxmlformats.org/officeDocument/2006/relationships" ref="I115" r:id="rId26"/>
    <hyperlink xmlns:r="http://schemas.openxmlformats.org/officeDocument/2006/relationships" ref="H116" r:id="rId27"/>
    <hyperlink xmlns:r="http://schemas.openxmlformats.org/officeDocument/2006/relationships" ref="I116" r:id="rId28"/>
    <hyperlink xmlns:r="http://schemas.openxmlformats.org/officeDocument/2006/relationships" ref="H117" r:id="rId29"/>
    <hyperlink xmlns:r="http://schemas.openxmlformats.org/officeDocument/2006/relationships" ref="I117" r:id="rId30"/>
    <hyperlink xmlns:r="http://schemas.openxmlformats.org/officeDocument/2006/relationships" ref="H118" r:id="rId31"/>
    <hyperlink xmlns:r="http://schemas.openxmlformats.org/officeDocument/2006/relationships" ref="I118" r:id="rId32"/>
    <hyperlink xmlns:r="http://schemas.openxmlformats.org/officeDocument/2006/relationships" ref="H119" r:id="rId33"/>
    <hyperlink xmlns:r="http://schemas.openxmlformats.org/officeDocument/2006/relationships" ref="I119" r:id="rId34"/>
    <hyperlink xmlns:r="http://schemas.openxmlformats.org/officeDocument/2006/relationships" ref="H120" r:id="rId35"/>
    <hyperlink xmlns:r="http://schemas.openxmlformats.org/officeDocument/2006/relationships" ref="I120" r:id="rId36"/>
    <hyperlink xmlns:r="http://schemas.openxmlformats.org/officeDocument/2006/relationships" ref="H121" r:id="rId37"/>
    <hyperlink xmlns:r="http://schemas.openxmlformats.org/officeDocument/2006/relationships" ref="I121" r:id="rId38"/>
    <hyperlink xmlns:r="http://schemas.openxmlformats.org/officeDocument/2006/relationships" ref="H122" r:id="rId39"/>
    <hyperlink xmlns:r="http://schemas.openxmlformats.org/officeDocument/2006/relationships" ref="I122" r:id="rId40"/>
    <hyperlink xmlns:r="http://schemas.openxmlformats.org/officeDocument/2006/relationships" ref="H123" r:id="rId41"/>
    <hyperlink xmlns:r="http://schemas.openxmlformats.org/officeDocument/2006/relationships" ref="I123" r:id="rId42"/>
    <hyperlink xmlns:r="http://schemas.openxmlformats.org/officeDocument/2006/relationships" ref="H124" r:id="rId43"/>
    <hyperlink xmlns:r="http://schemas.openxmlformats.org/officeDocument/2006/relationships" ref="I124" r:id="rId44"/>
    <hyperlink xmlns:r="http://schemas.openxmlformats.org/officeDocument/2006/relationships" ref="H125" r:id="rId45"/>
    <hyperlink xmlns:r="http://schemas.openxmlformats.org/officeDocument/2006/relationships" ref="I125" r:id="rId46"/>
    <hyperlink xmlns:r="http://schemas.openxmlformats.org/officeDocument/2006/relationships" ref="H126" r:id="rId47"/>
    <hyperlink xmlns:r="http://schemas.openxmlformats.org/officeDocument/2006/relationships" ref="I126" r:id="rId48"/>
    <hyperlink xmlns:r="http://schemas.openxmlformats.org/officeDocument/2006/relationships" ref="H127" r:id="rId49"/>
    <hyperlink xmlns:r="http://schemas.openxmlformats.org/officeDocument/2006/relationships" ref="I127" r:id="rId50"/>
    <hyperlink xmlns:r="http://schemas.openxmlformats.org/officeDocument/2006/relationships" ref="H128" r:id="rId51"/>
    <hyperlink xmlns:r="http://schemas.openxmlformats.org/officeDocument/2006/relationships" ref="I128" r:id="rId52"/>
    <hyperlink xmlns:r="http://schemas.openxmlformats.org/officeDocument/2006/relationships" ref="H129" r:id="rId53"/>
    <hyperlink xmlns:r="http://schemas.openxmlformats.org/officeDocument/2006/relationships" ref="I129" r:id="rId54"/>
    <hyperlink xmlns:r="http://schemas.openxmlformats.org/officeDocument/2006/relationships" ref="H130" r:id="rId55"/>
    <hyperlink xmlns:r="http://schemas.openxmlformats.org/officeDocument/2006/relationships" ref="I130" r:id="rId56"/>
    <hyperlink xmlns:r="http://schemas.openxmlformats.org/officeDocument/2006/relationships" ref="H131" r:id="rId57"/>
    <hyperlink xmlns:r="http://schemas.openxmlformats.org/officeDocument/2006/relationships" ref="I131" r:id="rId58"/>
    <hyperlink xmlns:r="http://schemas.openxmlformats.org/officeDocument/2006/relationships" ref="H132" r:id="rId59"/>
    <hyperlink xmlns:r="http://schemas.openxmlformats.org/officeDocument/2006/relationships" ref="I132" r:id="rId60"/>
    <hyperlink xmlns:r="http://schemas.openxmlformats.org/officeDocument/2006/relationships" ref="H133" r:id="rId61"/>
    <hyperlink xmlns:r="http://schemas.openxmlformats.org/officeDocument/2006/relationships" ref="I133" r:id="rId62"/>
    <hyperlink xmlns:r="http://schemas.openxmlformats.org/officeDocument/2006/relationships" ref="H134" r:id="rId63"/>
    <hyperlink xmlns:r="http://schemas.openxmlformats.org/officeDocument/2006/relationships" ref="I134" r:id="rId64"/>
    <hyperlink xmlns:r="http://schemas.openxmlformats.org/officeDocument/2006/relationships" ref="H135" r:id="rId65"/>
    <hyperlink xmlns:r="http://schemas.openxmlformats.org/officeDocument/2006/relationships" ref="I135" r:id="rId66"/>
    <hyperlink xmlns:r="http://schemas.openxmlformats.org/officeDocument/2006/relationships" ref="H136" r:id="rId67"/>
    <hyperlink xmlns:r="http://schemas.openxmlformats.org/officeDocument/2006/relationships" ref="I136" r:id="rId68"/>
    <hyperlink xmlns:r="http://schemas.openxmlformats.org/officeDocument/2006/relationships" ref="H137" r:id="rId69"/>
    <hyperlink xmlns:r="http://schemas.openxmlformats.org/officeDocument/2006/relationships" ref="I137" r:id="rId70"/>
    <hyperlink xmlns:r="http://schemas.openxmlformats.org/officeDocument/2006/relationships" ref="H138" r:id="rId71"/>
    <hyperlink xmlns:r="http://schemas.openxmlformats.org/officeDocument/2006/relationships" ref="I138" r:id="rId72"/>
  </hyperlinks>
  <pageMargins left="0.75" right="0.75" top="1" bottom="1" header="0.5" footer="0.5"/>
  <drawing xmlns:r="http://schemas.openxmlformats.org/officeDocument/2006/relationships" r:id="rId73"/>
  <legacyDrawing xmlns:r="http://schemas.openxmlformats.org/officeDocument/2006/relationships" r:id="anysvml"/>
</worksheet>
</file>

<file path=xl/worksheets/sheet22.xml><?xml version="1.0" encoding="utf-8"?>
<worksheet xmlns="http://schemas.openxmlformats.org/spreadsheetml/2006/main">
  <sheetPr>
    <tabColor rgb="009DC3E6"/>
    <outlinePr summaryBelow="1" summaryRight="1"/>
    <pageSetUpPr/>
  </sheetPr>
  <dimension ref="A1:BK106"/>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Cooling Sheets 6 Piece · Amazon.com (US) · Cooling · BFCM role: Off-season (aged variations only) · Scope: Not launched</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(7 mapped) ↓</t>
        </is>
      </c>
      <c r="G2" s="23" t="inlineStr">
        <is>
          <t>5 What it means ↓</t>
        </is>
      </c>
      <c r="J2" s="131" t="inlineStr">
        <is>
          <t>NOT LAUNCHED YET (confirmed Oct 14, 2026): no live price, rating or sales expected; excluded from the gap counts on Data Check.</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45" t="inlineStr">
        <is>
          <t>COMING SOON</t>
        </is>
      </c>
      <c r="C4" s="13" t="inlineStr">
        <is>
          <t>Title</t>
        </is>
      </c>
      <c r="D4" s="14" t="inlineStr">
        <is>
          <t>SLEEPHORIA Cooling Sheets - BreezeWeave 6 PC California King Size Cooling Bed Sheets for Hot Sleepers &amp; Deep, Cool Rest - Cloud Soft, Silky Smooth, 16 in Deep Pocket, Ultra Durable (Beige)</t>
        </is>
      </c>
      <c r="K4" s="13" t="inlineStr">
        <is>
          <t>Sizes</t>
        </is>
      </c>
      <c r="L4" s="68" t="inlineStr">
        <is>
          <t>California King, Full, King, Queen, Twin</t>
        </is>
      </c>
      <c r="S4" s="13" t="inlineStr">
        <is>
          <t>Break-even ACoS</t>
        </is>
      </c>
      <c r="T4" s="68" t="inlineStr">
        <is>
          <t>n/a</t>
        </is>
      </c>
    </row>
    <row r="5" ht="22" customHeight="1">
      <c r="C5" s="13" t="inlineStr">
        <is>
          <t>Brand</t>
        </is>
      </c>
      <c r="D5" s="68" t="inlineStr">
        <is>
          <t>Sleephoria</t>
        </is>
      </c>
      <c r="K5" s="13" t="inlineStr">
        <is>
          <t>Colours</t>
        </is>
      </c>
      <c r="L5" s="68" t="inlineStr">
        <is>
          <t>Beige, Cool Grey, Cream, Graphite, Light Blue, Light Grey, Light Pink, Midnight Black, Navy Blue, Regal Purple, Sage Green, White</t>
        </is>
      </c>
      <c r="S5" s="13" t="inlineStr">
        <is>
          <t>Units last 28 days</t>
        </is>
      </c>
      <c r="T5" s="68" t="inlineStr">
        <is>
          <t>0</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B0H7JVGTZW (one of our child ASINs, not the Amazon parent)</t>
        </is>
      </c>
    </row>
    <row r="7" ht="22" customHeight="1">
      <c r="C7" s="13" t="inlineStr">
        <is>
          <t>Parent ASIN (Amazon)</t>
        </is>
      </c>
      <c r="D7" s="68" t="inlineStr">
        <is>
          <t>B0H7JVGTZW</t>
        </is>
      </c>
      <c r="K7" s="13" t="inlineStr">
        <is>
          <t>Rating / reviews now</t>
        </is>
      </c>
      <c r="L7" s="68" t="inlineStr">
        <is>
          <t>Not checked yet</t>
        </is>
      </c>
    </row>
    <row r="8" ht="22" customHeight="1">
      <c r="C8" s="13" t="inlineStr">
        <is>
          <t>Best-selling child ASIN</t>
        </is>
      </c>
      <c r="D8" s="68" t="n"/>
      <c r="K8" s="13" t="inlineStr">
        <is>
          <t>Live prices held</t>
        </is>
      </c>
      <c r="L8" s="68" t="inlineStr">
        <is>
          <t>0 of 60 variations</t>
        </is>
      </c>
    </row>
    <row r="9" ht="22" customHeight="1">
      <c r="C9" s="13" t="inlineStr">
        <is>
          <t>Stage</t>
        </is>
      </c>
      <c r="D9" s="68" t="inlineStr">
        <is>
          <t>Production</t>
        </is>
      </c>
      <c r="K9" s="13" t="inlineStr">
        <is>
          <t>Blended price (market data)</t>
        </is>
      </c>
      <c r="L9" s="68" t="n"/>
    </row>
    <row r="10">
      <c r="C10" s="13" t="inlineStr">
        <is>
          <t>Total variations (SKUs)</t>
        </is>
      </c>
      <c r="D10" s="68" t="n">
        <v>60</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7</t>
        </is>
      </c>
      <c r="Q12" s="70" t="inlineStr">
        <is>
          <t>0</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(60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45" t="inlineStr">
        <is>
          <t>COMING SOON</t>
        </is>
      </c>
      <c r="B18" s="39" t="inlineStr">
        <is>
          <t>B0H7JVGTZW</t>
        </is>
      </c>
      <c r="C18" s="39" t="inlineStr">
        <is>
          <t>SL-COOLING-SHEET-CAL-KING-BEIGE-6PC</t>
        </is>
      </c>
      <c r="D18" s="39" t="inlineStr">
        <is>
          <t>SLEEPHORIA Cooling Sheets - BreezeWeave 6 PC California King Size Cooling Bed Sheets for Hot Sleepers &amp; Deep, Cool Rest - Cloud Soft, Silky Smooth, 16 in Deep Pocket, Ultra Durable (Beige)</t>
        </is>
      </c>
      <c r="E18" s="39" t="inlineStr">
        <is>
          <t>California King</t>
        </is>
      </c>
      <c r="F18" s="39" t="inlineStr">
        <is>
          <t>Beige</t>
        </is>
      </c>
      <c r="G18" s="40" t="n"/>
      <c r="H18" s="39" t="n"/>
      <c r="I18" s="40" t="n"/>
      <c r="J18" s="39" t="n"/>
      <c r="K18" s="40" t="n"/>
      <c r="L18" s="76" t="n"/>
      <c r="M18" s="77" t="n"/>
      <c r="N18" s="39" t="inlineStr">
        <is>
          <t>Inactive</t>
        </is>
      </c>
      <c r="O18" s="39" t="n"/>
      <c r="P18" s="78" t="n"/>
      <c r="Q18" s="77" t="n"/>
      <c r="R18" s="77" t="n"/>
      <c r="S18" s="77" t="n"/>
      <c r="T18" s="39" t="n"/>
    </row>
    <row r="19" ht="62" customHeight="1">
      <c r="A19" s="45" t="inlineStr">
        <is>
          <t>COMING SOON</t>
        </is>
      </c>
      <c r="B19" s="39" t="inlineStr">
        <is>
          <t>B0H7K68PP2</t>
        </is>
      </c>
      <c r="C19" s="39" t="inlineStr">
        <is>
          <t>SL-COOLING-SHEET-CAL-KING-COOL-GREY-6PC</t>
        </is>
      </c>
      <c r="D19" s="39" t="inlineStr">
        <is>
          <t>SLEEPHORIA Cooling Sheets - BreezeWeave 6 PC California King Size Cooling Bed Sheets for Hot Sleepers &amp; Deep, Cool Rest - Cloud Soft, Silky Smooth, 16 in Deep Pocket, Ultra Durable (Cool Grey)</t>
        </is>
      </c>
      <c r="E19" s="39" t="inlineStr">
        <is>
          <t>California King</t>
        </is>
      </c>
      <c r="F19" s="39" t="inlineStr">
        <is>
          <t>Cool Grey</t>
        </is>
      </c>
      <c r="G19" s="40" t="n"/>
      <c r="H19" s="39" t="n"/>
      <c r="I19" s="40" t="n"/>
      <c r="J19" s="39" t="n"/>
      <c r="K19" s="40" t="n"/>
      <c r="L19" s="76" t="n"/>
      <c r="M19" s="77" t="n"/>
      <c r="N19" s="39" t="inlineStr">
        <is>
          <t>Inactive</t>
        </is>
      </c>
      <c r="O19" s="39" t="n"/>
      <c r="P19" s="78" t="n"/>
      <c r="Q19" s="77" t="n"/>
      <c r="R19" s="77" t="n"/>
      <c r="S19" s="77" t="n"/>
      <c r="T19" s="39" t="n"/>
    </row>
    <row r="20" ht="62" customHeight="1">
      <c r="A20" s="45" t="inlineStr">
        <is>
          <t>COMING SOON</t>
        </is>
      </c>
      <c r="B20" s="39" t="inlineStr">
        <is>
          <t>B0H7JYG3W9</t>
        </is>
      </c>
      <c r="C20" s="39" t="inlineStr">
        <is>
          <t>SL-COOLING-SHEET-CAL-KING-CREAM-6PC</t>
        </is>
      </c>
      <c r="D20" s="39" t="inlineStr">
        <is>
          <t>SLEEPHORIA Cooling Sheets - BreezeWeave 6 PC California King Size Cooling Bed Sheets for Hot Sleepers &amp; Deep, Cool Rest - Cloud Soft, Silky Smooth, 16 in Deep Pocket, Ultra Durable (Cream)</t>
        </is>
      </c>
      <c r="E20" s="39" t="inlineStr">
        <is>
          <t>California King</t>
        </is>
      </c>
      <c r="F20" s="39" t="inlineStr">
        <is>
          <t>Cream</t>
        </is>
      </c>
      <c r="G20" s="40" t="n"/>
      <c r="H20" s="39" t="n"/>
      <c r="I20" s="40" t="n"/>
      <c r="J20" s="39" t="n"/>
      <c r="K20" s="40" t="n"/>
      <c r="L20" s="76" t="n"/>
      <c r="M20" s="77" t="n"/>
      <c r="N20" s="39" t="inlineStr">
        <is>
          <t>Inactive</t>
        </is>
      </c>
      <c r="O20" s="39" t="n"/>
      <c r="P20" s="78" t="n"/>
      <c r="Q20" s="77" t="n"/>
      <c r="R20" s="77" t="n"/>
      <c r="S20" s="77" t="n"/>
      <c r="T20" s="39" t="n"/>
    </row>
    <row r="21" ht="62" customHeight="1">
      <c r="A21" s="45" t="inlineStr">
        <is>
          <t>COMING SOON</t>
        </is>
      </c>
      <c r="B21" s="39" t="inlineStr">
        <is>
          <t>B0H7K1SFS3</t>
        </is>
      </c>
      <c r="C21" s="39" t="inlineStr">
        <is>
          <t>SL-COOLING-SHEET-CAL-KING-GRAPHITE-6PC</t>
        </is>
      </c>
      <c r="D21" s="39" t="inlineStr">
        <is>
          <t>SLEEPHORIA Cooling Sheets - BreezeWeave 6 PC California King Size Cooling Bed Sheets for Hot Sleepers &amp; Deep, Cool Rest - Cloud Soft, Silky Smooth, 16 in Deep Pocket, Ultra Durable (Graphite)</t>
        </is>
      </c>
      <c r="E21" s="39" t="inlineStr">
        <is>
          <t>California King</t>
        </is>
      </c>
      <c r="F21" s="39" t="inlineStr">
        <is>
          <t>Graphite</t>
        </is>
      </c>
      <c r="G21" s="40" t="n"/>
      <c r="H21" s="39" t="n"/>
      <c r="I21" s="40" t="n"/>
      <c r="J21" s="39" t="n"/>
      <c r="K21" s="40" t="n"/>
      <c r="L21" s="76" t="n"/>
      <c r="M21" s="77" t="n"/>
      <c r="N21" s="39" t="inlineStr">
        <is>
          <t>Inactive</t>
        </is>
      </c>
      <c r="O21" s="39" t="n"/>
      <c r="P21" s="78" t="n"/>
      <c r="Q21" s="77" t="n"/>
      <c r="R21" s="77" t="n"/>
      <c r="S21" s="77" t="n"/>
      <c r="T21" s="39" t="n"/>
    </row>
    <row r="22" ht="62" customHeight="1">
      <c r="A22" s="45" t="inlineStr">
        <is>
          <t>COMING SOON</t>
        </is>
      </c>
      <c r="B22" s="39" t="inlineStr">
        <is>
          <t>B0H7K6W3KN</t>
        </is>
      </c>
      <c r="C22" s="39" t="inlineStr">
        <is>
          <t>SL-COOLING-SHEET-CAL-KING-LIGHT-BLUE-6PC</t>
        </is>
      </c>
      <c r="D22" s="39" t="inlineStr">
        <is>
          <t>SLEEPHORIA Cooling Sheets - BreezeWeave 6 PC California King Size Cooling Bed Sheets for Hot Sleepers &amp; Deep, Cool Rest - Cloud Soft, Silky Smooth, 16 in Deep Pocket, Ultra Durable (Light Blue)</t>
        </is>
      </c>
      <c r="E22" s="39" t="inlineStr">
        <is>
          <t>California King</t>
        </is>
      </c>
      <c r="F22" s="39" t="inlineStr">
        <is>
          <t>Light Blue</t>
        </is>
      </c>
      <c r="G22" s="40" t="n"/>
      <c r="H22" s="39" t="n"/>
      <c r="I22" s="40" t="n"/>
      <c r="J22" s="39" t="n"/>
      <c r="K22" s="40" t="n"/>
      <c r="L22" s="76" t="n"/>
      <c r="M22" s="77" t="n"/>
      <c r="N22" s="39" t="inlineStr">
        <is>
          <t>Inactive</t>
        </is>
      </c>
      <c r="O22" s="39" t="n"/>
      <c r="P22" s="78" t="n"/>
      <c r="Q22" s="77" t="n"/>
      <c r="R22" s="77" t="n"/>
      <c r="S22" s="77" t="n"/>
      <c r="T22" s="39" t="n"/>
    </row>
    <row r="23" ht="62" customHeight="1">
      <c r="A23" s="45" t="inlineStr">
        <is>
          <t>COMING SOON</t>
        </is>
      </c>
      <c r="B23" s="39" t="inlineStr">
        <is>
          <t>B0H7JYXHV8</t>
        </is>
      </c>
      <c r="C23" s="39" t="inlineStr">
        <is>
          <t>SL-COOLING-SHEET-CAL-KING-LIGHT-GREY-6PC</t>
        </is>
      </c>
      <c r="D23" s="39" t="inlineStr">
        <is>
          <t>SLEEPHORIA Cooling Sheets - BreezeWeave 6 PC California King Size Cooling Bed Sheets for Hot Sleepers &amp; Deep, Cool Rest - Cloud Soft, Silky Smooth, 16 in Deep Pocket, Ultra Durable (Light Grey)</t>
        </is>
      </c>
      <c r="E23" s="39" t="inlineStr">
        <is>
          <t>California King</t>
        </is>
      </c>
      <c r="F23" s="39" t="inlineStr">
        <is>
          <t>Light Grey</t>
        </is>
      </c>
      <c r="G23" s="40" t="n"/>
      <c r="H23" s="39" t="n"/>
      <c r="I23" s="40" t="n"/>
      <c r="J23" s="39" t="n"/>
      <c r="K23" s="40" t="n"/>
      <c r="L23" s="76" t="n"/>
      <c r="M23" s="77" t="n"/>
      <c r="N23" s="39" t="inlineStr">
        <is>
          <t>Inactive</t>
        </is>
      </c>
      <c r="O23" s="39" t="n"/>
      <c r="P23" s="78" t="n"/>
      <c r="Q23" s="77" t="n"/>
      <c r="R23" s="77" t="n"/>
      <c r="S23" s="77" t="n"/>
      <c r="T23" s="39" t="n"/>
    </row>
    <row r="24" ht="62" customHeight="1">
      <c r="A24" s="45" t="inlineStr">
        <is>
          <t>COMING SOON</t>
        </is>
      </c>
      <c r="B24" s="39" t="inlineStr">
        <is>
          <t>B0H7K5JVV1</t>
        </is>
      </c>
      <c r="C24" s="39" t="inlineStr">
        <is>
          <t>SL-COOLING-SHEET-CAL-KING-LIGHT-PINK-6PC</t>
        </is>
      </c>
      <c r="D24" s="39" t="inlineStr">
        <is>
          <t>SLEEPHORIA Cooling Sheets - BreezeWeave 6 PC California King Size Cooling Bed Sheets for Hot Sleepers &amp; Deep, Cool Rest - Cloud Soft, Silky Smooth, 16 in Deep Pocket, Ultra Durable (Light Pink)</t>
        </is>
      </c>
      <c r="E24" s="39" t="inlineStr">
        <is>
          <t>California King</t>
        </is>
      </c>
      <c r="F24" s="39" t="inlineStr">
        <is>
          <t>Light Pink</t>
        </is>
      </c>
      <c r="G24" s="40" t="n"/>
      <c r="H24" s="39" t="n"/>
      <c r="I24" s="40" t="n"/>
      <c r="J24" s="39" t="n"/>
      <c r="K24" s="40" t="n"/>
      <c r="L24" s="76" t="n"/>
      <c r="M24" s="77" t="n"/>
      <c r="N24" s="39" t="inlineStr">
        <is>
          <t>Inactive</t>
        </is>
      </c>
      <c r="O24" s="39" t="n"/>
      <c r="P24" s="78" t="n"/>
      <c r="Q24" s="77" t="n"/>
      <c r="R24" s="77" t="n"/>
      <c r="S24" s="77" t="n"/>
      <c r="T24" s="39" t="n"/>
    </row>
    <row r="25" ht="62" customHeight="1">
      <c r="A25" s="45" t="inlineStr">
        <is>
          <t>COMING SOON</t>
        </is>
      </c>
      <c r="B25" s="39" t="inlineStr">
        <is>
          <t>B0H7JTY43D</t>
        </is>
      </c>
      <c r="C25" s="39" t="inlineStr">
        <is>
          <t>SL-COOLING-SHEET-CAL-KING-MIDBLK-6PC</t>
        </is>
      </c>
      <c r="D25" s="39" t="inlineStr">
        <is>
          <t>SLEEPHORIA Cooling Sheets - BreezeWeave 6 PC California King Size Cooling Bed Sheets for Hot Sleepers &amp; Deep, Cool Rest - Cloud Soft, Silky Smooth, 16 in Deep Pocket, Ultra Durable (Midnight Black)</t>
        </is>
      </c>
      <c r="E25" s="39" t="inlineStr">
        <is>
          <t>California King</t>
        </is>
      </c>
      <c r="F25" s="39" t="inlineStr">
        <is>
          <t>Midnight Black</t>
        </is>
      </c>
      <c r="G25" s="40" t="n"/>
      <c r="H25" s="39" t="n"/>
      <c r="I25" s="40" t="n"/>
      <c r="J25" s="39" t="n"/>
      <c r="K25" s="40" t="n"/>
      <c r="L25" s="76" t="n"/>
      <c r="M25" s="77" t="n"/>
      <c r="N25" s="39" t="inlineStr">
        <is>
          <t>Inactive</t>
        </is>
      </c>
      <c r="O25" s="39" t="n"/>
      <c r="P25" s="78" t="n"/>
      <c r="Q25" s="77" t="n"/>
      <c r="R25" s="77" t="n"/>
      <c r="S25" s="77" t="n"/>
      <c r="T25" s="39" t="n"/>
    </row>
    <row r="26" ht="62" customHeight="1">
      <c r="A26" s="45" t="inlineStr">
        <is>
          <t>COMING SOON</t>
        </is>
      </c>
      <c r="B26" s="39" t="inlineStr">
        <is>
          <t>B0H7KB96YG</t>
        </is>
      </c>
      <c r="C26" s="39" t="inlineStr">
        <is>
          <t>SL-COOLING-SHEET-CAL-KING-NAVY-BLUE-6PC</t>
        </is>
      </c>
      <c r="D26" s="39" t="inlineStr">
        <is>
          <t>SLEEPHORIA Cooling Sheets - BreezeWeave 6 PC California King Size Cooling Bed Sheets for Hot Sleepers &amp; Deep, Cool Rest - Cloud Soft, Silky Smooth, 16 in Deep Pocket, Ultra Durable (Navy Blue)</t>
        </is>
      </c>
      <c r="E26" s="39" t="inlineStr">
        <is>
          <t>California King</t>
        </is>
      </c>
      <c r="F26" s="39" t="inlineStr">
        <is>
          <t>Navy Blue</t>
        </is>
      </c>
      <c r="G26" s="40" t="n"/>
      <c r="H26" s="39" t="n"/>
      <c r="I26" s="40" t="n"/>
      <c r="J26" s="39" t="n"/>
      <c r="K26" s="40" t="n"/>
      <c r="L26" s="76" t="n"/>
      <c r="M26" s="77" t="n"/>
      <c r="N26" s="39" t="inlineStr">
        <is>
          <t>Inactive</t>
        </is>
      </c>
      <c r="O26" s="39" t="n"/>
      <c r="P26" s="78" t="n"/>
      <c r="Q26" s="77" t="n"/>
      <c r="R26" s="77" t="n"/>
      <c r="S26" s="77" t="n"/>
      <c r="T26" s="39" t="n"/>
    </row>
    <row r="27" ht="62" customHeight="1">
      <c r="A27" s="45" t="inlineStr">
        <is>
          <t>COMING SOON</t>
        </is>
      </c>
      <c r="B27" s="39" t="inlineStr">
        <is>
          <t>B0H7K289YR</t>
        </is>
      </c>
      <c r="C27" s="39" t="inlineStr">
        <is>
          <t>SL-COOLING-SHEET-CAL-KING-RGLPRP-6PC</t>
        </is>
      </c>
      <c r="D27" s="39" t="inlineStr">
        <is>
          <t>SLEEPHORIA Cooling Sheets - BreezeWeave 6 PC California King Size Cooling Bed Sheets for Hot Sleepers &amp; Deep, Cool Rest - Cloud Soft, Silky Smooth, 16 in Deep Pocket, Ultra Durable (Regal Purple)</t>
        </is>
      </c>
      <c r="E27" s="39" t="inlineStr">
        <is>
          <t>California King</t>
        </is>
      </c>
      <c r="F27" s="39" t="inlineStr">
        <is>
          <t>Regal Purple</t>
        </is>
      </c>
      <c r="G27" s="40" t="n"/>
      <c r="H27" s="39" t="n"/>
      <c r="I27" s="40" t="n"/>
      <c r="J27" s="39" t="n"/>
      <c r="K27" s="40" t="n"/>
      <c r="L27" s="76" t="n"/>
      <c r="M27" s="77" t="n"/>
      <c r="N27" s="39" t="inlineStr">
        <is>
          <t>Inactive</t>
        </is>
      </c>
      <c r="O27" s="39" t="n"/>
      <c r="P27" s="78" t="n"/>
      <c r="Q27" s="77" t="n"/>
      <c r="R27" s="77" t="n"/>
      <c r="S27" s="77" t="n"/>
      <c r="T27" s="39" t="n"/>
    </row>
    <row r="28" ht="62" customHeight="1">
      <c r="A28" s="45" t="inlineStr">
        <is>
          <t>COMING SOON</t>
        </is>
      </c>
      <c r="B28" s="39" t="inlineStr">
        <is>
          <t>B0H7K7ZP27</t>
        </is>
      </c>
      <c r="C28" s="39" t="inlineStr">
        <is>
          <t>SL-COOLING-SHEET-CAL-KING-SAGE-GREEN-6PC</t>
        </is>
      </c>
      <c r="D28" s="39" t="inlineStr">
        <is>
          <t>SLEEPHORIA Cooling Sheets - BreezeWeave 6 PC California King Size Cooling Bed Sheets for Hot Sleepers &amp; Deep, Cool Rest - Cloud Soft, Silky Smooth, 16 in Deep Pocket, Ultra Durable (Sage Green)</t>
        </is>
      </c>
      <c r="E28" s="39" t="inlineStr">
        <is>
          <t>California King</t>
        </is>
      </c>
      <c r="F28" s="39" t="inlineStr">
        <is>
          <t>Sage Green</t>
        </is>
      </c>
      <c r="G28" s="40" t="n"/>
      <c r="H28" s="39" t="n"/>
      <c r="I28" s="40" t="n"/>
      <c r="J28" s="39" t="n"/>
      <c r="K28" s="40" t="n"/>
      <c r="L28" s="76" t="n"/>
      <c r="M28" s="77" t="n"/>
      <c r="N28" s="39" t="inlineStr">
        <is>
          <t>Inactive</t>
        </is>
      </c>
      <c r="O28" s="39" t="n"/>
      <c r="P28" s="78" t="n"/>
      <c r="Q28" s="77" t="n"/>
      <c r="R28" s="77" t="n"/>
      <c r="S28" s="77" t="n"/>
      <c r="T28" s="39" t="n"/>
    </row>
    <row r="29" ht="62" customHeight="1">
      <c r="A29" s="45" t="inlineStr">
        <is>
          <t>COMING SOON</t>
        </is>
      </c>
      <c r="B29" s="39" t="inlineStr">
        <is>
          <t>B0H7KBP4JQ</t>
        </is>
      </c>
      <c r="C29" s="39" t="inlineStr">
        <is>
          <t>SL-COOLING-SHEET-CAL-KING-WHITE-6PC</t>
        </is>
      </c>
      <c r="D29" s="39" t="inlineStr">
        <is>
          <t>SLEEPHORIA Cooling Sheets - BreezeWeave 6 PC California King Size Cooling Bed Sheets for Hot Sleepers &amp; Deep, Cool Rest - Cloud Soft, Silky Smooth, 16 in Deep Pocket, Ultra Durable (White)</t>
        </is>
      </c>
      <c r="E29" s="39" t="inlineStr">
        <is>
          <t>California King</t>
        </is>
      </c>
      <c r="F29" s="39" t="inlineStr">
        <is>
          <t>White</t>
        </is>
      </c>
      <c r="G29" s="40" t="n"/>
      <c r="H29" s="39" t="n"/>
      <c r="I29" s="40" t="n"/>
      <c r="J29" s="39" t="n"/>
      <c r="K29" s="40" t="n"/>
      <c r="L29" s="76" t="n"/>
      <c r="M29" s="77" t="n"/>
      <c r="N29" s="39" t="inlineStr">
        <is>
          <t>Inactive</t>
        </is>
      </c>
      <c r="O29" s="39" t="n"/>
      <c r="P29" s="78" t="n"/>
      <c r="Q29" s="77" t="n"/>
      <c r="R29" s="77" t="n"/>
      <c r="S29" s="77" t="n"/>
      <c r="T29" s="39" t="n"/>
    </row>
    <row r="30" ht="62" customHeight="1">
      <c r="A30" s="45" t="inlineStr">
        <is>
          <t>COMING SOON</t>
        </is>
      </c>
      <c r="B30" s="39" t="inlineStr">
        <is>
          <t>B0H7K47STJ</t>
        </is>
      </c>
      <c r="C30" s="39" t="inlineStr">
        <is>
          <t>SL-COOLING-SHEET-FULL-BEIGE-6PC</t>
        </is>
      </c>
      <c r="D30" s="39" t="inlineStr">
        <is>
          <t>SLEEPHORIA Cooling Sheets - BreezeWeave 6 PC Full Size Cooling Bed Sheets for Hot Sleepers &amp; Deep, Cool Rest - Cloud Soft, Silky Smooth, 16 in Deep Pocket, Ultra Durable (Beige)</t>
        </is>
      </c>
      <c r="E30" s="39" t="inlineStr">
        <is>
          <t>Full</t>
        </is>
      </c>
      <c r="F30" s="39" t="inlineStr">
        <is>
          <t>Beige</t>
        </is>
      </c>
      <c r="G30" s="40" t="n"/>
      <c r="H30" s="39" t="n"/>
      <c r="I30" s="40" t="n"/>
      <c r="J30" s="39" t="n"/>
      <c r="K30" s="40" t="n"/>
      <c r="L30" s="76" t="n"/>
      <c r="M30" s="77" t="n"/>
      <c r="N30" s="39" t="inlineStr">
        <is>
          <t>Inactive</t>
        </is>
      </c>
      <c r="O30" s="39" t="n"/>
      <c r="P30" s="78" t="n"/>
      <c r="Q30" s="77" t="n"/>
      <c r="R30" s="77" t="n"/>
      <c r="S30" s="77" t="n"/>
      <c r="T30" s="39" t="n"/>
    </row>
    <row r="31" ht="62" customHeight="1">
      <c r="A31" s="45" t="inlineStr">
        <is>
          <t>COMING SOON</t>
        </is>
      </c>
      <c r="B31" s="39" t="inlineStr">
        <is>
          <t>B0H7K536XY</t>
        </is>
      </c>
      <c r="C31" s="39" t="inlineStr">
        <is>
          <t>SL-COOLING-SHEET-FULL-COOL-GREY-6PC</t>
        </is>
      </c>
      <c r="D31" s="39" t="inlineStr">
        <is>
          <t>SLEEPHORIA Cooling Sheets - BreezeWeave 6 PC Full Size Cooling Bed Sheets for Hot Sleepers &amp; Deep, Cool Rest - Cloud Soft, Silky Smooth, 16 in Deep Pocket, Ultra Durable (Cool Grey)</t>
        </is>
      </c>
      <c r="E31" s="39" t="inlineStr">
        <is>
          <t>Full</t>
        </is>
      </c>
      <c r="F31" s="39" t="inlineStr">
        <is>
          <t>Cool Grey</t>
        </is>
      </c>
      <c r="G31" s="40" t="n"/>
      <c r="H31" s="39" t="n"/>
      <c r="I31" s="40" t="n"/>
      <c r="J31" s="39" t="n"/>
      <c r="K31" s="40" t="n"/>
      <c r="L31" s="76" t="n"/>
      <c r="M31" s="77" t="n"/>
      <c r="N31" s="39" t="inlineStr">
        <is>
          <t>Inactive</t>
        </is>
      </c>
      <c r="O31" s="39" t="n"/>
      <c r="P31" s="78" t="n"/>
      <c r="Q31" s="77" t="n"/>
      <c r="R31" s="77" t="n"/>
      <c r="S31" s="77" t="n"/>
      <c r="T31" s="39" t="n"/>
    </row>
    <row r="32" ht="62" customHeight="1">
      <c r="A32" s="45" t="inlineStr">
        <is>
          <t>COMING SOON</t>
        </is>
      </c>
      <c r="B32" s="39" t="inlineStr">
        <is>
          <t>B0H7K4RZMP</t>
        </is>
      </c>
      <c r="C32" s="39" t="inlineStr">
        <is>
          <t>SL-COOLING-SHEET-FULL-CREAM-6PC</t>
        </is>
      </c>
      <c r="D32" s="39" t="inlineStr">
        <is>
          <t>SLEEPHORIA Cooling Sheets - BreezeWeave 6 PC Full Size Cooling Bed Sheets for Hot Sleepers &amp; Deep, Cool Rest - Cloud Soft, Silky Smooth, 16 in Deep Pocket, Ultra Durable (Cream)</t>
        </is>
      </c>
      <c r="E32" s="39" t="inlineStr">
        <is>
          <t>Full</t>
        </is>
      </c>
      <c r="F32" s="39" t="inlineStr">
        <is>
          <t>Cream</t>
        </is>
      </c>
      <c r="G32" s="40" t="n"/>
      <c r="H32" s="39" t="n"/>
      <c r="I32" s="40" t="n"/>
      <c r="J32" s="39" t="n"/>
      <c r="K32" s="40" t="n"/>
      <c r="L32" s="76" t="n"/>
      <c r="M32" s="77" t="n"/>
      <c r="N32" s="39" t="inlineStr">
        <is>
          <t>Inactive</t>
        </is>
      </c>
      <c r="O32" s="39" t="n"/>
      <c r="P32" s="78" t="n"/>
      <c r="Q32" s="77" t="n"/>
      <c r="R32" s="77" t="n"/>
      <c r="S32" s="77" t="n"/>
      <c r="T32" s="39" t="n"/>
    </row>
    <row r="33" ht="62" customHeight="1">
      <c r="A33" s="45" t="inlineStr">
        <is>
          <t>COMING SOON</t>
        </is>
      </c>
      <c r="B33" s="39" t="inlineStr">
        <is>
          <t>B0H7K6PFHL</t>
        </is>
      </c>
      <c r="C33" s="39" t="inlineStr">
        <is>
          <t>SL-COOLING-SHEET-FULL-GRAPHITE-6PC</t>
        </is>
      </c>
      <c r="D33" s="39" t="inlineStr">
        <is>
          <t>SLEEPHORIA Cooling Sheets - BreezeWeave 6 PC Full Size Cooling Bed Sheets for Hot Sleepers &amp; Deep, Cool Rest - Cloud Soft, Silky Smooth, 16 in Deep Pocket, Ultra Durable (Graphite)</t>
        </is>
      </c>
      <c r="E33" s="39" t="inlineStr">
        <is>
          <t>Full</t>
        </is>
      </c>
      <c r="F33" s="39" t="inlineStr">
        <is>
          <t>Graphite</t>
        </is>
      </c>
      <c r="G33" s="40" t="n"/>
      <c r="H33" s="39" t="n"/>
      <c r="I33" s="40" t="n"/>
      <c r="J33" s="39" t="n"/>
      <c r="K33" s="40" t="n"/>
      <c r="L33" s="76" t="n"/>
      <c r="M33" s="77" t="n"/>
      <c r="N33" s="39" t="inlineStr">
        <is>
          <t>Inactive</t>
        </is>
      </c>
      <c r="O33" s="39" t="n"/>
      <c r="P33" s="78" t="n"/>
      <c r="Q33" s="77" t="n"/>
      <c r="R33" s="77" t="n"/>
      <c r="S33" s="77" t="n"/>
      <c r="T33" s="39" t="n"/>
    </row>
    <row r="34" ht="62" customHeight="1">
      <c r="A34" s="45" t="inlineStr">
        <is>
          <t>COMING SOON</t>
        </is>
      </c>
      <c r="B34" s="39" t="inlineStr">
        <is>
          <t>B0H7KFNB32</t>
        </is>
      </c>
      <c r="C34" s="39" t="inlineStr">
        <is>
          <t>SL-COOLING-SHEET-FULL-LIGHT-BLUE-6PC</t>
        </is>
      </c>
      <c r="D34" s="39" t="inlineStr">
        <is>
          <t>SLEEPHORIA Cooling Sheets - BreezeWeave 6 PC Full Size Cooling Bed Sheets for Hot Sleepers &amp; Deep, Cool Rest - Cloud Soft, Silky Smooth, 16 in Deep Pocket, Ultra Durable (Light Blue)</t>
        </is>
      </c>
      <c r="E34" s="39" t="inlineStr">
        <is>
          <t>Full</t>
        </is>
      </c>
      <c r="F34" s="39" t="inlineStr">
        <is>
          <t>Light Blue</t>
        </is>
      </c>
      <c r="G34" s="40" t="n"/>
      <c r="H34" s="39" t="n"/>
      <c r="I34" s="40" t="n"/>
      <c r="J34" s="39" t="n"/>
      <c r="K34" s="40" t="n"/>
      <c r="L34" s="76" t="n"/>
      <c r="M34" s="77" t="n"/>
      <c r="N34" s="39" t="inlineStr">
        <is>
          <t>Inactive</t>
        </is>
      </c>
      <c r="O34" s="39" t="n"/>
      <c r="P34" s="78" t="n"/>
      <c r="Q34" s="77" t="n"/>
      <c r="R34" s="77" t="n"/>
      <c r="S34" s="77" t="n"/>
      <c r="T34" s="39" t="n"/>
    </row>
    <row r="35" ht="62" customHeight="1">
      <c r="A35" s="45" t="inlineStr">
        <is>
          <t>COMING SOON</t>
        </is>
      </c>
      <c r="B35" s="39" t="inlineStr">
        <is>
          <t>B0H7K7CTWY</t>
        </is>
      </c>
      <c r="C35" s="39" t="inlineStr">
        <is>
          <t>SL-COOLING-SHEET-FULL-LIGHT-GREY-6PC</t>
        </is>
      </c>
      <c r="D35" s="39" t="inlineStr">
        <is>
          <t>SLEEPHORIA Cooling Sheets - BreezeWeave 6 PC Full Size Cooling Bed Sheets for Hot Sleepers &amp; Deep, Cool Rest - Cloud Soft, Silky Smooth, 16 in Deep Pocket, Ultra Durable (Light Grey)</t>
        </is>
      </c>
      <c r="E35" s="39" t="inlineStr">
        <is>
          <t>Full</t>
        </is>
      </c>
      <c r="F35" s="39" t="inlineStr">
        <is>
          <t>Light Grey</t>
        </is>
      </c>
      <c r="G35" s="40" t="n"/>
      <c r="H35" s="39" t="n"/>
      <c r="I35" s="40" t="n"/>
      <c r="J35" s="39" t="n"/>
      <c r="K35" s="40" t="n"/>
      <c r="L35" s="76" t="n"/>
      <c r="M35" s="77" t="n"/>
      <c r="N35" s="39" t="inlineStr">
        <is>
          <t>Inactive</t>
        </is>
      </c>
      <c r="O35" s="39" t="n"/>
      <c r="P35" s="78" t="n"/>
      <c r="Q35" s="77" t="n"/>
      <c r="R35" s="77" t="n"/>
      <c r="S35" s="77" t="n"/>
      <c r="T35" s="39" t="n"/>
    </row>
    <row r="36" ht="62" customHeight="1">
      <c r="A36" s="45" t="inlineStr">
        <is>
          <t>COMING SOON</t>
        </is>
      </c>
      <c r="B36" s="39" t="inlineStr">
        <is>
          <t>B0H7K25Y1F</t>
        </is>
      </c>
      <c r="C36" s="39" t="inlineStr">
        <is>
          <t>SL-COOLING-SHEET-FULL-LIGHT-PINK-6PC</t>
        </is>
      </c>
      <c r="D36" s="39" t="inlineStr">
        <is>
          <t>SLEEPHORIA Cooling Sheets - BreezeWeave 6 PC Full Size Cooling Bed Sheets for Hot Sleepers &amp; Deep, Cool Rest - Cloud Soft, Silky Smooth, 16 in Deep Pocket, Ultra Durable (Light Pink)</t>
        </is>
      </c>
      <c r="E36" s="39" t="inlineStr">
        <is>
          <t>Full</t>
        </is>
      </c>
      <c r="F36" s="39" t="inlineStr">
        <is>
          <t>Light Pink</t>
        </is>
      </c>
      <c r="G36" s="40" t="n"/>
      <c r="H36" s="39" t="n"/>
      <c r="I36" s="40" t="n"/>
      <c r="J36" s="39" t="n"/>
      <c r="K36" s="40" t="n"/>
      <c r="L36" s="76" t="n"/>
      <c r="M36" s="77" t="n"/>
      <c r="N36" s="39" t="inlineStr">
        <is>
          <t>Inactive</t>
        </is>
      </c>
      <c r="O36" s="39" t="n"/>
      <c r="P36" s="78" t="n"/>
      <c r="Q36" s="77" t="n"/>
      <c r="R36" s="77" t="n"/>
      <c r="S36" s="77" t="n"/>
      <c r="T36" s="39" t="n"/>
    </row>
    <row r="37" ht="62" customHeight="1">
      <c r="A37" s="45" t="inlineStr">
        <is>
          <t>COMING SOON</t>
        </is>
      </c>
      <c r="B37" s="39" t="inlineStr">
        <is>
          <t>B0H7K68PP4</t>
        </is>
      </c>
      <c r="C37" s="39" t="inlineStr">
        <is>
          <t>SL-COOLING-SHEET-FULL-MIDBLK-6PC</t>
        </is>
      </c>
      <c r="D37" s="39" t="inlineStr">
        <is>
          <t>SLEEPHORIA Cooling Sheets - BreezeWeave 6 PC Full Size Cooling Bed Sheets for Hot Sleepers &amp; Deep, Cool Rest - Cloud Soft, Silky Smooth, 16 in Deep Pocket, Ultra Durable (Midnight Black)</t>
        </is>
      </c>
      <c r="E37" s="39" t="inlineStr">
        <is>
          <t>Full</t>
        </is>
      </c>
      <c r="F37" s="39" t="inlineStr">
        <is>
          <t>Midnight Black</t>
        </is>
      </c>
      <c r="G37" s="40" t="n"/>
      <c r="H37" s="39" t="n"/>
      <c r="I37" s="40" t="n"/>
      <c r="J37" s="39" t="n"/>
      <c r="K37" s="40" t="n"/>
      <c r="L37" s="76" t="n"/>
      <c r="M37" s="77" t="n"/>
      <c r="N37" s="39" t="inlineStr">
        <is>
          <t>Inactive</t>
        </is>
      </c>
      <c r="O37" s="39" t="n"/>
      <c r="P37" s="78" t="n"/>
      <c r="Q37" s="77" t="n"/>
      <c r="R37" s="77" t="n"/>
      <c r="S37" s="77" t="n"/>
      <c r="T37" s="39" t="n"/>
    </row>
    <row r="38" ht="62" customHeight="1">
      <c r="A38" s="45" t="inlineStr">
        <is>
          <t>COMING SOON</t>
        </is>
      </c>
      <c r="B38" s="39" t="inlineStr">
        <is>
          <t>B0H7KFSDNM</t>
        </is>
      </c>
      <c r="C38" s="39" t="inlineStr">
        <is>
          <t>SL-COOLING-SHEET-FULL-NAVY-BLUE-6PC</t>
        </is>
      </c>
      <c r="D38" s="39" t="inlineStr">
        <is>
          <t>SLEEPHORIA Cooling Sheets - BreezeWeave 6 PC Full Size Cooling Bed Sheets for Hot Sleepers &amp; Deep, Cool Rest - Cloud Soft, Silky Smooth, 16 in Deep Pocket, Ultra Durable (Navy Blue)</t>
        </is>
      </c>
      <c r="E38" s="39" t="inlineStr">
        <is>
          <t>Full</t>
        </is>
      </c>
      <c r="F38" s="39" t="inlineStr">
        <is>
          <t>Navy Blue</t>
        </is>
      </c>
      <c r="G38" s="40" t="n"/>
      <c r="H38" s="39" t="n"/>
      <c r="I38" s="40" t="n"/>
      <c r="J38" s="39" t="n"/>
      <c r="K38" s="40" t="n"/>
      <c r="L38" s="76" t="n"/>
      <c r="M38" s="77" t="n"/>
      <c r="N38" s="39" t="inlineStr">
        <is>
          <t>Inactive</t>
        </is>
      </c>
      <c r="O38" s="39" t="n"/>
      <c r="P38" s="78" t="n"/>
      <c r="Q38" s="77" t="n"/>
      <c r="R38" s="77" t="n"/>
      <c r="S38" s="77" t="n"/>
      <c r="T38" s="39" t="n"/>
    </row>
    <row r="39" ht="62" customHeight="1">
      <c r="A39" s="45" t="inlineStr">
        <is>
          <t>COMING SOON</t>
        </is>
      </c>
      <c r="B39" s="39" t="inlineStr">
        <is>
          <t>B0H7K5J8Y6</t>
        </is>
      </c>
      <c r="C39" s="39" t="inlineStr">
        <is>
          <t>SL-COOLING-SHEET-FULL-RGLPRP-6PC</t>
        </is>
      </c>
      <c r="D39" s="39" t="inlineStr">
        <is>
          <t>SLEEPHORIA Cooling Sheets - BreezeWeave 6 PC Full Size Cooling Bed Sheets for Hot Sleepers &amp; Deep, Cool Rest - Cloud Soft, Silky Smooth, 16 in Deep Pocket, Ultra Durable (Regal Purple)</t>
        </is>
      </c>
      <c r="E39" s="39" t="inlineStr">
        <is>
          <t>Full</t>
        </is>
      </c>
      <c r="F39" s="39" t="inlineStr">
        <is>
          <t>Regal Purple</t>
        </is>
      </c>
      <c r="G39" s="40" t="n"/>
      <c r="H39" s="39" t="n"/>
      <c r="I39" s="40" t="n"/>
      <c r="J39" s="39" t="n"/>
      <c r="K39" s="40" t="n"/>
      <c r="L39" s="76" t="n"/>
      <c r="M39" s="77" t="n"/>
      <c r="N39" s="39" t="inlineStr">
        <is>
          <t>Inactive</t>
        </is>
      </c>
      <c r="O39" s="39" t="n"/>
      <c r="P39" s="78" t="n"/>
      <c r="Q39" s="77" t="n"/>
      <c r="R39" s="77" t="n"/>
      <c r="S39" s="77" t="n"/>
      <c r="T39" s="39" t="n"/>
    </row>
    <row r="40" ht="62" customHeight="1">
      <c r="A40" s="45" t="inlineStr">
        <is>
          <t>COMING SOON</t>
        </is>
      </c>
      <c r="B40" s="39" t="inlineStr">
        <is>
          <t>B0H7K1RXPG</t>
        </is>
      </c>
      <c r="C40" s="39" t="inlineStr">
        <is>
          <t>SL-COOLING-SHEET-FULL-SAGE-GREEN-6PC</t>
        </is>
      </c>
      <c r="D40" s="39" t="inlineStr">
        <is>
          <t>SLEEPHORIA Cooling Sheets - BreezeWeave 6 PC Full Size Cooling Bed Sheets for Hot Sleepers &amp; Deep, Cool Rest - Cloud Soft, Silky Smooth, 16 in Deep Pocket, Ultra Durable (Sage Green)</t>
        </is>
      </c>
      <c r="E40" s="39" t="inlineStr">
        <is>
          <t>Full</t>
        </is>
      </c>
      <c r="F40" s="39" t="inlineStr">
        <is>
          <t>Sage Green</t>
        </is>
      </c>
      <c r="G40" s="40" t="n"/>
      <c r="H40" s="39" t="n"/>
      <c r="I40" s="40" t="n"/>
      <c r="J40" s="39" t="n"/>
      <c r="K40" s="40" t="n"/>
      <c r="L40" s="76" t="n"/>
      <c r="M40" s="77" t="n"/>
      <c r="N40" s="39" t="inlineStr">
        <is>
          <t>Inactive</t>
        </is>
      </c>
      <c r="O40" s="39" t="n"/>
      <c r="P40" s="78" t="n"/>
      <c r="Q40" s="77" t="n"/>
      <c r="R40" s="77" t="n"/>
      <c r="S40" s="77" t="n"/>
      <c r="T40" s="39" t="n"/>
    </row>
    <row r="41" ht="62" customHeight="1">
      <c r="A41" s="45" t="inlineStr">
        <is>
          <t>COMING SOON</t>
        </is>
      </c>
      <c r="B41" s="39" t="inlineStr">
        <is>
          <t>B0H7K8JV6Z</t>
        </is>
      </c>
      <c r="C41" s="39" t="inlineStr">
        <is>
          <t>SL-COOLING-SHEET-FULL-WHITE-6PC</t>
        </is>
      </c>
      <c r="D41" s="39" t="inlineStr">
        <is>
          <t>SLEEPHORIA Cooling Sheets - BreezeWeave 6 PC Full Size Cooling Bed Sheets for Hot Sleepers &amp; Deep, Cool Rest - Cloud Soft, Silky Smooth, 16 in Deep Pocket, Ultra Durable (White)</t>
        </is>
      </c>
      <c r="E41" s="39" t="inlineStr">
        <is>
          <t>Full</t>
        </is>
      </c>
      <c r="F41" s="39" t="inlineStr">
        <is>
          <t>White</t>
        </is>
      </c>
      <c r="G41" s="40" t="n"/>
      <c r="H41" s="39" t="n"/>
      <c r="I41" s="40" t="n"/>
      <c r="J41" s="39" t="n"/>
      <c r="K41" s="40" t="n"/>
      <c r="L41" s="76" t="n"/>
      <c r="M41" s="77" t="n"/>
      <c r="N41" s="39" t="inlineStr">
        <is>
          <t>Inactive</t>
        </is>
      </c>
      <c r="O41" s="39" t="n"/>
      <c r="P41" s="78" t="n"/>
      <c r="Q41" s="77" t="n"/>
      <c r="R41" s="77" t="n"/>
      <c r="S41" s="77" t="n"/>
      <c r="T41" s="39" t="n"/>
    </row>
    <row r="42" ht="62" customHeight="1">
      <c r="A42" s="45" t="inlineStr">
        <is>
          <t>COMING SOON</t>
        </is>
      </c>
      <c r="B42" s="39" t="inlineStr">
        <is>
          <t>B0H7K6BRH8</t>
        </is>
      </c>
      <c r="C42" s="39" t="inlineStr">
        <is>
          <t>SL-COOLING-SHEET-KING-BEIGE-6PC</t>
        </is>
      </c>
      <c r="D42" s="39" t="inlineStr">
        <is>
          <t>SLEEPHORIA Cooling Sheets - BreezeWeave 6 PC King Size Cooling Bed Sheets for Hot Sleepers &amp; Deep, Cool Rest - Cloud Soft, Silky Smooth, 16 in Deep Pocket, Ultra Durable (Beige)</t>
        </is>
      </c>
      <c r="E42" s="39" t="inlineStr">
        <is>
          <t>King</t>
        </is>
      </c>
      <c r="F42" s="39" t="inlineStr">
        <is>
          <t>Beige</t>
        </is>
      </c>
      <c r="G42" s="40" t="n"/>
      <c r="H42" s="39" t="n"/>
      <c r="I42" s="40" t="n"/>
      <c r="J42" s="39" t="n"/>
      <c r="K42" s="40" t="n"/>
      <c r="L42" s="76" t="n"/>
      <c r="M42" s="77" t="n"/>
      <c r="N42" s="39" t="inlineStr">
        <is>
          <t>Inactive</t>
        </is>
      </c>
      <c r="O42" s="39" t="n"/>
      <c r="P42" s="78" t="n"/>
      <c r="Q42" s="77" t="n"/>
      <c r="R42" s="77" t="n"/>
      <c r="S42" s="77" t="n"/>
      <c r="T42" s="39" t="n"/>
    </row>
    <row r="43" ht="62" customHeight="1">
      <c r="A43" s="45" t="inlineStr">
        <is>
          <t>COMING SOON</t>
        </is>
      </c>
      <c r="B43" s="39" t="inlineStr">
        <is>
          <t>B0H7K1PKQM</t>
        </is>
      </c>
      <c r="C43" s="39" t="inlineStr">
        <is>
          <t>SL-COOLING-SHEET-KING-COOL-GREY-6PC</t>
        </is>
      </c>
      <c r="D43" s="39" t="inlineStr">
        <is>
          <t>SLEEPHORIA Cooling Sheets - BreezeWeave 6 PC King Size Cooling Bed Sheets for Hot Sleepers &amp; Deep, Cool Rest - Cloud Soft, Silky Smooth, 16 in Deep Pocket, Ultra Durable (Cool Grey)</t>
        </is>
      </c>
      <c r="E43" s="39" t="inlineStr">
        <is>
          <t>King</t>
        </is>
      </c>
      <c r="F43" s="39" t="inlineStr">
        <is>
          <t>Cool Grey</t>
        </is>
      </c>
      <c r="G43" s="40" t="n"/>
      <c r="H43" s="39" t="n"/>
      <c r="I43" s="40" t="n"/>
      <c r="J43" s="39" t="n"/>
      <c r="K43" s="40" t="n"/>
      <c r="L43" s="76" t="n"/>
      <c r="M43" s="77" t="n"/>
      <c r="N43" s="39" t="inlineStr">
        <is>
          <t>Inactive</t>
        </is>
      </c>
      <c r="O43" s="39" t="n"/>
      <c r="P43" s="78" t="n"/>
      <c r="Q43" s="77" t="n"/>
      <c r="R43" s="77" t="n"/>
      <c r="S43" s="77" t="n"/>
      <c r="T43" s="39" t="n"/>
    </row>
    <row r="44" ht="62" customHeight="1">
      <c r="A44" s="45" t="inlineStr">
        <is>
          <t>COMING SOON</t>
        </is>
      </c>
      <c r="B44" s="39" t="inlineStr">
        <is>
          <t>B0H7K644SS</t>
        </is>
      </c>
      <c r="C44" s="39" t="inlineStr">
        <is>
          <t>SL-COOLING-SHEET-KING-CREAM-6PC</t>
        </is>
      </c>
      <c r="D44" s="39" t="inlineStr">
        <is>
          <t>SLEEPHORIA Cooling Sheets - BreezeWeave 6 PC King Size Cooling Bed Sheets for Hot Sleepers &amp; Deep, Cool Rest - Cloud Soft, Silky Smooth, 16 in Deep Pocket, Ultra Durable (Cream)</t>
        </is>
      </c>
      <c r="E44" s="39" t="inlineStr">
        <is>
          <t>King</t>
        </is>
      </c>
      <c r="F44" s="39" t="inlineStr">
        <is>
          <t>Cream</t>
        </is>
      </c>
      <c r="G44" s="40" t="n"/>
      <c r="H44" s="39" t="n"/>
      <c r="I44" s="40" t="n"/>
      <c r="J44" s="39" t="n"/>
      <c r="K44" s="40" t="n"/>
      <c r="L44" s="76" t="n"/>
      <c r="M44" s="77" t="n"/>
      <c r="N44" s="39" t="inlineStr">
        <is>
          <t>Inactive</t>
        </is>
      </c>
      <c r="O44" s="39" t="n"/>
      <c r="P44" s="78" t="n"/>
      <c r="Q44" s="77" t="n"/>
      <c r="R44" s="77" t="n"/>
      <c r="S44" s="77" t="n"/>
      <c r="T44" s="39" t="n"/>
    </row>
    <row r="45" ht="62" customHeight="1">
      <c r="A45" s="45" t="inlineStr">
        <is>
          <t>COMING SOON</t>
        </is>
      </c>
      <c r="B45" s="39" t="inlineStr">
        <is>
          <t>B0H7K1PWNY</t>
        </is>
      </c>
      <c r="C45" s="39" t="inlineStr">
        <is>
          <t>SL-COOLING-SHEET-KING-GRAPHITE-6PC</t>
        </is>
      </c>
      <c r="D45" s="39" t="inlineStr">
        <is>
          <t>SLEEPHORIA Cooling Sheets - BreezeWeave 6 PC King Size Cooling Bed Sheets for Hot Sleepers &amp; Deep, Cool Rest - Cloud Soft, Silky Smooth, 16 in Deep Pocket, Ultra Durable (Graphite)</t>
        </is>
      </c>
      <c r="E45" s="39" t="inlineStr">
        <is>
          <t>King</t>
        </is>
      </c>
      <c r="F45" s="39" t="inlineStr">
        <is>
          <t>Graphite</t>
        </is>
      </c>
      <c r="G45" s="40" t="n"/>
      <c r="H45" s="39" t="n"/>
      <c r="I45" s="40" t="n"/>
      <c r="J45" s="39" t="n"/>
      <c r="K45" s="40" t="n"/>
      <c r="L45" s="76" t="n"/>
      <c r="M45" s="77" t="n"/>
      <c r="N45" s="39" t="inlineStr">
        <is>
          <t>Inactive</t>
        </is>
      </c>
      <c r="O45" s="39" t="n"/>
      <c r="P45" s="78" t="n"/>
      <c r="Q45" s="77" t="n"/>
      <c r="R45" s="77" t="n"/>
      <c r="S45" s="77" t="n"/>
      <c r="T45" s="39" t="n"/>
    </row>
    <row r="46" ht="62" customHeight="1">
      <c r="A46" s="45" t="inlineStr">
        <is>
          <t>COMING SOON</t>
        </is>
      </c>
      <c r="B46" s="39" t="inlineStr">
        <is>
          <t>B0H7K82H9V</t>
        </is>
      </c>
      <c r="C46" s="39" t="inlineStr">
        <is>
          <t>SL-COOLING-SHEET-KING-LIGHT-BLUE-6PC</t>
        </is>
      </c>
      <c r="D46" s="39" t="inlineStr">
        <is>
          <t>SLEEPHORIA Cooling Sheets - BreezeWeave 6 PC King Size Cooling Bed Sheets for Hot Sleepers &amp; Deep, Cool Rest - Cloud Soft, Silky Smooth, 16 in Deep Pocket, Ultra Durable (Light Blue)</t>
        </is>
      </c>
      <c r="E46" s="39" t="inlineStr">
        <is>
          <t>King</t>
        </is>
      </c>
      <c r="F46" s="39" t="inlineStr">
        <is>
          <t>Light Blue</t>
        </is>
      </c>
      <c r="G46" s="40" t="n"/>
      <c r="H46" s="39" t="n"/>
      <c r="I46" s="40" t="n"/>
      <c r="J46" s="39" t="n"/>
      <c r="K46" s="40" t="n"/>
      <c r="L46" s="76" t="n"/>
      <c r="M46" s="77" t="n"/>
      <c r="N46" s="39" t="inlineStr">
        <is>
          <t>Inactive</t>
        </is>
      </c>
      <c r="O46" s="39" t="n"/>
      <c r="P46" s="78" t="n"/>
      <c r="Q46" s="77" t="n"/>
      <c r="R46" s="77" t="n"/>
      <c r="S46" s="77" t="n"/>
      <c r="T46" s="39" t="n"/>
    </row>
    <row r="47" ht="62" customHeight="1">
      <c r="A47" s="45" t="inlineStr">
        <is>
          <t>COMING SOON</t>
        </is>
      </c>
      <c r="B47" s="39" t="inlineStr">
        <is>
          <t>B0H7JXPV8F</t>
        </is>
      </c>
      <c r="C47" s="39" t="inlineStr">
        <is>
          <t>SL-COOLING-SHEET-KING-LIGHT-GREY-6PC</t>
        </is>
      </c>
      <c r="D47" s="39" t="inlineStr">
        <is>
          <t>SLEEPHORIA Cooling Sheets - BreezeWeave 6 PC King Size Cooling Bed Sheets for Hot Sleepers &amp; Deep, Cool Rest - Cloud Soft, Silky Smooth, 16 in Deep Pocket, Ultra Durable (Light Grey)</t>
        </is>
      </c>
      <c r="E47" s="39" t="inlineStr">
        <is>
          <t>King</t>
        </is>
      </c>
      <c r="F47" s="39" t="inlineStr">
        <is>
          <t>Light Grey</t>
        </is>
      </c>
      <c r="G47" s="40" t="n"/>
      <c r="H47" s="39" t="n"/>
      <c r="I47" s="40" t="n"/>
      <c r="J47" s="39" t="n"/>
      <c r="K47" s="40" t="n"/>
      <c r="L47" s="76" t="n"/>
      <c r="M47" s="77" t="n"/>
      <c r="N47" s="39" t="inlineStr">
        <is>
          <t>Inactive</t>
        </is>
      </c>
      <c r="O47" s="39" t="n"/>
      <c r="P47" s="78" t="n"/>
      <c r="Q47" s="77" t="n"/>
      <c r="R47" s="77" t="n"/>
      <c r="S47" s="77" t="n"/>
      <c r="T47" s="39" t="n"/>
    </row>
    <row r="48" ht="62" customHeight="1">
      <c r="A48" s="45" t="inlineStr">
        <is>
          <t>COMING SOON</t>
        </is>
      </c>
      <c r="B48" s="39" t="inlineStr">
        <is>
          <t>B0H7KCWMWL</t>
        </is>
      </c>
      <c r="C48" s="39" t="inlineStr">
        <is>
          <t>SL-COOLING-SHEET-KING-LIGHT-PINK-6PC</t>
        </is>
      </c>
      <c r="D48" s="39" t="inlineStr">
        <is>
          <t>SLEEPHORIA Cooling Sheets - BreezeWeave 6 PC King Size Cooling Bed Sheets for Hot Sleepers &amp; Deep, Cool Rest - Cloud Soft, Silky Smooth, 16 in Deep Pocket, Ultra Durable (Light Pink)</t>
        </is>
      </c>
      <c r="E48" s="39" t="inlineStr">
        <is>
          <t>King</t>
        </is>
      </c>
      <c r="F48" s="39" t="inlineStr">
        <is>
          <t>Light Pink</t>
        </is>
      </c>
      <c r="G48" s="40" t="n"/>
      <c r="H48" s="39" t="n"/>
      <c r="I48" s="40" t="n"/>
      <c r="J48" s="39" t="n"/>
      <c r="K48" s="40" t="n"/>
      <c r="L48" s="76" t="n"/>
      <c r="M48" s="77" t="n"/>
      <c r="N48" s="39" t="inlineStr">
        <is>
          <t>Inactive</t>
        </is>
      </c>
      <c r="O48" s="39" t="n"/>
      <c r="P48" s="78" t="n"/>
      <c r="Q48" s="77" t="n"/>
      <c r="R48" s="77" t="n"/>
      <c r="S48" s="77" t="n"/>
      <c r="T48" s="39" t="n"/>
    </row>
    <row r="49" ht="62" customHeight="1">
      <c r="A49" s="45" t="inlineStr">
        <is>
          <t>COMING SOON</t>
        </is>
      </c>
      <c r="B49" s="39" t="inlineStr">
        <is>
          <t>B0H7K47L8Q</t>
        </is>
      </c>
      <c r="C49" s="39" t="inlineStr">
        <is>
          <t>SL-COOLING-SHEET-KING-MIDBLK-6PC</t>
        </is>
      </c>
      <c r="D49" s="39" t="inlineStr">
        <is>
          <t>SLEEPHORIA Cooling Sheets - BreezeWeave 6 PC King Size Cooling Bed Sheets for Hot Sleepers &amp; Deep, Cool Rest - Cloud Soft, Silky Smooth, 16 in Deep Pocket, Ultra Durable (Midnight Black)</t>
        </is>
      </c>
      <c r="E49" s="39" t="inlineStr">
        <is>
          <t>King</t>
        </is>
      </c>
      <c r="F49" s="39" t="inlineStr">
        <is>
          <t>Midnight Black</t>
        </is>
      </c>
      <c r="G49" s="40" t="n"/>
      <c r="H49" s="39" t="n"/>
      <c r="I49" s="40" t="n"/>
      <c r="J49" s="39" t="n"/>
      <c r="K49" s="40" t="n"/>
      <c r="L49" s="76" t="n"/>
      <c r="M49" s="77" t="n"/>
      <c r="N49" s="39" t="inlineStr">
        <is>
          <t>Inactive</t>
        </is>
      </c>
      <c r="O49" s="39" t="n"/>
      <c r="P49" s="78" t="n"/>
      <c r="Q49" s="77" t="n"/>
      <c r="R49" s="77" t="n"/>
      <c r="S49" s="77" t="n"/>
      <c r="T49" s="39" t="n"/>
    </row>
    <row r="50" ht="62" customHeight="1">
      <c r="A50" s="45" t="inlineStr">
        <is>
          <t>COMING SOON</t>
        </is>
      </c>
      <c r="B50" s="39" t="inlineStr">
        <is>
          <t>B0H7K67LGY</t>
        </is>
      </c>
      <c r="C50" s="39" t="inlineStr">
        <is>
          <t>SL-COOLING-SHEET-KING-NAVY-BLUE-6PC</t>
        </is>
      </c>
      <c r="D50" s="39" t="inlineStr">
        <is>
          <t>SLEEPHORIA Cooling Sheets - BreezeWeave 6 PC King Size Cooling Bed Sheets for Hot Sleepers &amp; Deep, Cool Rest - Cloud Soft, Silky Smooth, 16 in Deep Pocket, Ultra Durable (Navy Blue)</t>
        </is>
      </c>
      <c r="E50" s="39" t="inlineStr">
        <is>
          <t>King</t>
        </is>
      </c>
      <c r="F50" s="39" t="inlineStr">
        <is>
          <t>Navy Blue</t>
        </is>
      </c>
      <c r="G50" s="40" t="n"/>
      <c r="H50" s="39" t="n"/>
      <c r="I50" s="40" t="n"/>
      <c r="J50" s="39" t="n"/>
      <c r="K50" s="40" t="n"/>
      <c r="L50" s="76" t="n"/>
      <c r="M50" s="77" t="n"/>
      <c r="N50" s="39" t="inlineStr">
        <is>
          <t>Inactive</t>
        </is>
      </c>
      <c r="O50" s="39" t="n"/>
      <c r="P50" s="78" t="n"/>
      <c r="Q50" s="77" t="n"/>
      <c r="R50" s="77" t="n"/>
      <c r="S50" s="77" t="n"/>
      <c r="T50" s="39" t="n"/>
    </row>
    <row r="51" ht="62" customHeight="1">
      <c r="A51" s="45" t="inlineStr">
        <is>
          <t>COMING SOON</t>
        </is>
      </c>
      <c r="B51" s="39" t="inlineStr">
        <is>
          <t>B0H7K5261S</t>
        </is>
      </c>
      <c r="C51" s="39" t="inlineStr">
        <is>
          <t>SL-COOLING-SHEET-KING-RGLPRP-6PC</t>
        </is>
      </c>
      <c r="D51" s="39" t="inlineStr">
        <is>
          <t>SLEEPHORIA Cooling Sheets - BreezeWeave 6 PC King Size Cooling Bed Sheets for Hot Sleepers &amp; Deep, Cool Rest - Cloud Soft, Silky Smooth, 16 in Deep Pocket, Ultra Durable (Regal Purple)</t>
        </is>
      </c>
      <c r="E51" s="39" t="inlineStr">
        <is>
          <t>King</t>
        </is>
      </c>
      <c r="F51" s="39" t="inlineStr">
        <is>
          <t>Regal Purple</t>
        </is>
      </c>
      <c r="G51" s="40" t="n"/>
      <c r="H51" s="39" t="n"/>
      <c r="I51" s="40" t="n"/>
      <c r="J51" s="39" t="n"/>
      <c r="K51" s="40" t="n"/>
      <c r="L51" s="76" t="n"/>
      <c r="M51" s="77" t="n"/>
      <c r="N51" s="39" t="inlineStr">
        <is>
          <t>Inactive</t>
        </is>
      </c>
      <c r="O51" s="39" t="n"/>
      <c r="P51" s="78" t="n"/>
      <c r="Q51" s="77" t="n"/>
      <c r="R51" s="77" t="n"/>
      <c r="S51" s="77" t="n"/>
      <c r="T51" s="39" t="n"/>
    </row>
    <row r="52" ht="62" customHeight="1">
      <c r="A52" s="45" t="inlineStr">
        <is>
          <t>COMING SOON</t>
        </is>
      </c>
      <c r="B52" s="39" t="inlineStr">
        <is>
          <t>B0H7KBKJN6</t>
        </is>
      </c>
      <c r="C52" s="39" t="inlineStr">
        <is>
          <t>SL-COOLING-SHEET-KING-SAGE-GREEN-6PC</t>
        </is>
      </c>
      <c r="D52" s="39" t="inlineStr">
        <is>
          <t>SLEEPHORIA Cooling Sheets - BreezeWeave 6 PC King Size Cooling Bed Sheets for Hot Sleepers &amp; Deep, Cool Rest - Cloud Soft, Silky Smooth, 16 in Deep Pocket, Ultra Durable (Sage Green)</t>
        </is>
      </c>
      <c r="E52" s="39" t="inlineStr">
        <is>
          <t>King</t>
        </is>
      </c>
      <c r="F52" s="39" t="inlineStr">
        <is>
          <t>Sage Green</t>
        </is>
      </c>
      <c r="G52" s="40" t="n"/>
      <c r="H52" s="39" t="n"/>
      <c r="I52" s="40" t="n"/>
      <c r="J52" s="39" t="n"/>
      <c r="K52" s="40" t="n"/>
      <c r="L52" s="76" t="n"/>
      <c r="M52" s="77" t="n"/>
      <c r="N52" s="39" t="inlineStr">
        <is>
          <t>Inactive</t>
        </is>
      </c>
      <c r="O52" s="39" t="n"/>
      <c r="P52" s="78" t="n"/>
      <c r="Q52" s="77" t="n"/>
      <c r="R52" s="77" t="n"/>
      <c r="S52" s="77" t="n"/>
      <c r="T52" s="39" t="n"/>
    </row>
    <row r="53" ht="62" customHeight="1">
      <c r="A53" s="45" t="inlineStr">
        <is>
          <t>COMING SOON</t>
        </is>
      </c>
      <c r="B53" s="39" t="inlineStr">
        <is>
          <t>B0H7K6W3KT</t>
        </is>
      </c>
      <c r="C53" s="39" t="inlineStr">
        <is>
          <t>SL-COOLING-SHEET-KING-WHITE-6PC</t>
        </is>
      </c>
      <c r="D53" s="39" t="inlineStr">
        <is>
          <t>SLEEPHORIA Cooling Sheets - BreezeWeave 6 PC King Size Cooling Bed Sheets for Hot Sleepers &amp; Deep, Cool Rest - Cloud Soft, Silky Smooth, 16 in Deep Pocket, Ultra Durable (White)</t>
        </is>
      </c>
      <c r="E53" s="39" t="inlineStr">
        <is>
          <t>King</t>
        </is>
      </c>
      <c r="F53" s="39" t="inlineStr">
        <is>
          <t>White</t>
        </is>
      </c>
      <c r="G53" s="40" t="n"/>
      <c r="H53" s="39" t="n"/>
      <c r="I53" s="40" t="n"/>
      <c r="J53" s="39" t="n"/>
      <c r="K53" s="40" t="n"/>
      <c r="L53" s="76" t="n"/>
      <c r="M53" s="77" t="n"/>
      <c r="N53" s="39" t="inlineStr">
        <is>
          <t>Inactive</t>
        </is>
      </c>
      <c r="O53" s="39" t="n"/>
      <c r="P53" s="78" t="n"/>
      <c r="Q53" s="77" t="n"/>
      <c r="R53" s="77" t="n"/>
      <c r="S53" s="77" t="n"/>
      <c r="T53" s="39" t="n"/>
    </row>
    <row r="54" ht="62" customHeight="1">
      <c r="A54" s="45" t="inlineStr">
        <is>
          <t>COMING SOON</t>
        </is>
      </c>
      <c r="B54" s="39" t="inlineStr">
        <is>
          <t>B0H7K7N6Q7</t>
        </is>
      </c>
      <c r="C54" s="39" t="inlineStr">
        <is>
          <t>SL-COOLING-SHEET-QUEEN-BEIGE-6PC</t>
        </is>
      </c>
      <c r="D54" s="39" t="inlineStr">
        <is>
          <t>SLEEPHORIA Cooling Sheets - BreezeWeave 6 PC Queen Size Cooling Bed Sheets for Hot Sleepers &amp; Deep, Cool Rest - Cloud Soft, Silky Smooth, 16 in Deep Pocket, Ultra Durable (Beige)</t>
        </is>
      </c>
      <c r="E54" s="39" t="inlineStr">
        <is>
          <t>Queen</t>
        </is>
      </c>
      <c r="F54" s="39" t="inlineStr">
        <is>
          <t>Beige</t>
        </is>
      </c>
      <c r="G54" s="40" t="n"/>
      <c r="H54" s="39" t="n"/>
      <c r="I54" s="40" t="n"/>
      <c r="J54" s="39" t="n"/>
      <c r="K54" s="40" t="n"/>
      <c r="L54" s="76" t="n"/>
      <c r="M54" s="77" t="n"/>
      <c r="N54" s="39" t="inlineStr">
        <is>
          <t>Inactive</t>
        </is>
      </c>
      <c r="O54" s="39" t="n"/>
      <c r="P54" s="78" t="n"/>
      <c r="Q54" s="77" t="n"/>
      <c r="R54" s="77" t="n"/>
      <c r="S54" s="77" t="n"/>
      <c r="T54" s="39" t="n"/>
    </row>
    <row r="55" ht="62" customHeight="1">
      <c r="A55" s="45" t="inlineStr">
        <is>
          <t>COMING SOON</t>
        </is>
      </c>
      <c r="B55" s="39" t="inlineStr">
        <is>
          <t>B0H7KJ97CC</t>
        </is>
      </c>
      <c r="C55" s="39" t="inlineStr">
        <is>
          <t>SL-COOLING-SHEET-QUEEN-COOL-GREY-6PC</t>
        </is>
      </c>
      <c r="D55" s="39" t="inlineStr">
        <is>
          <t>SLEEPHORIA Cooling Sheets - BreezeWeave 6 PC Queen Size Cooling Bed Sheets for Hot Sleepers &amp; Deep, Cool Rest - Cloud Soft, Silky Smooth, 16 in Deep Pocket, Ultra Durable (Cool Grey)</t>
        </is>
      </c>
      <c r="E55" s="39" t="inlineStr">
        <is>
          <t>Queen</t>
        </is>
      </c>
      <c r="F55" s="39" t="inlineStr">
        <is>
          <t>Cool Grey</t>
        </is>
      </c>
      <c r="G55" s="40" t="n"/>
      <c r="H55" s="39" t="n"/>
      <c r="I55" s="40" t="n"/>
      <c r="J55" s="39" t="n"/>
      <c r="K55" s="40" t="n"/>
      <c r="L55" s="76" t="n"/>
      <c r="M55" s="77" t="n"/>
      <c r="N55" s="39" t="inlineStr">
        <is>
          <t>Inactive</t>
        </is>
      </c>
      <c r="O55" s="39" t="n"/>
      <c r="P55" s="78" t="n"/>
      <c r="Q55" s="77" t="n"/>
      <c r="R55" s="77" t="n"/>
      <c r="S55" s="77" t="n"/>
      <c r="T55" s="39" t="n"/>
    </row>
    <row r="56" ht="62" customHeight="1">
      <c r="A56" s="45" t="inlineStr">
        <is>
          <t>COMING SOON</t>
        </is>
      </c>
      <c r="B56" s="39" t="inlineStr">
        <is>
          <t>B0H7K6B25S</t>
        </is>
      </c>
      <c r="C56" s="39" t="inlineStr">
        <is>
          <t>SL-COOLING-SHEET-QUEEN-CREAM-6PC</t>
        </is>
      </c>
      <c r="D56" s="39" t="inlineStr">
        <is>
          <t>SLEEPHORIA Cooling Sheets - BreezeWeave 6 PC Queen Size Cooling Bed Sheets for Hot Sleepers &amp; Deep, Cool Rest - Cloud Soft, Silky Smooth, 16 in Deep Pocket, Ultra Durable (Cream)</t>
        </is>
      </c>
      <c r="E56" s="39" t="inlineStr">
        <is>
          <t>Queen</t>
        </is>
      </c>
      <c r="F56" s="39" t="inlineStr">
        <is>
          <t>Cream</t>
        </is>
      </c>
      <c r="G56" s="40" t="n"/>
      <c r="H56" s="39" t="n"/>
      <c r="I56" s="40" t="n"/>
      <c r="J56" s="39" t="n"/>
      <c r="K56" s="40" t="n"/>
      <c r="L56" s="76" t="n"/>
      <c r="M56" s="77" t="n"/>
      <c r="N56" s="39" t="inlineStr">
        <is>
          <t>Inactive</t>
        </is>
      </c>
      <c r="O56" s="39" t="n"/>
      <c r="P56" s="78" t="n"/>
      <c r="Q56" s="77" t="n"/>
      <c r="R56" s="77" t="n"/>
      <c r="S56" s="77" t="n"/>
      <c r="T56" s="39" t="n"/>
    </row>
    <row r="57" ht="62" customHeight="1">
      <c r="A57" s="45" t="inlineStr">
        <is>
          <t>COMING SOON</t>
        </is>
      </c>
      <c r="B57" s="39" t="inlineStr">
        <is>
          <t>B0H7K6RQ5H</t>
        </is>
      </c>
      <c r="C57" s="39" t="inlineStr">
        <is>
          <t>SL-COOLING-SHEET-QUEEN-GRAPHITE-6PC</t>
        </is>
      </c>
      <c r="D57" s="39" t="inlineStr">
        <is>
          <t>SLEEPHORIA Cooling Sheets - BreezeWeave 6 PC Queen Size Cooling Bed Sheets for Hot Sleepers &amp; Deep, Cool Rest - Cloud Soft, Silky Smooth, 16 in Deep Pocket, Ultra Durable (Graphite)</t>
        </is>
      </c>
      <c r="E57" s="39" t="inlineStr">
        <is>
          <t>Queen</t>
        </is>
      </c>
      <c r="F57" s="39" t="inlineStr">
        <is>
          <t>Graphite</t>
        </is>
      </c>
      <c r="G57" s="40" t="n"/>
      <c r="H57" s="39" t="n"/>
      <c r="I57" s="40" t="n"/>
      <c r="J57" s="39" t="n"/>
      <c r="K57" s="40" t="n"/>
      <c r="L57" s="76" t="n"/>
      <c r="M57" s="77" t="n"/>
      <c r="N57" s="39" t="inlineStr">
        <is>
          <t>Inactive</t>
        </is>
      </c>
      <c r="O57" s="39" t="n"/>
      <c r="P57" s="78" t="n"/>
      <c r="Q57" s="77" t="n"/>
      <c r="R57" s="77" t="n"/>
      <c r="S57" s="77" t="n"/>
      <c r="T57" s="39" t="n"/>
    </row>
    <row r="58" ht="62" customHeight="1">
      <c r="A58" s="45" t="inlineStr">
        <is>
          <t>COMING SOON</t>
        </is>
      </c>
      <c r="B58" s="39" t="inlineStr">
        <is>
          <t>B0H7KBJB2S</t>
        </is>
      </c>
      <c r="C58" s="39" t="inlineStr">
        <is>
          <t>SL-COOLING-SHEET-QUEEN-LIGHT-BLUE-6PC</t>
        </is>
      </c>
      <c r="D58" s="39" t="inlineStr">
        <is>
          <t>SLEEPHORIA Cooling Sheets - BreezeWeave 6 PC Queen Size Cooling Bed Sheets for Hot Sleepers &amp; Deep, Cool Rest - Cloud Soft, Silky Smooth, 16 in Deep Pocket, Ultra Durable (Light Blue)</t>
        </is>
      </c>
      <c r="E58" s="39" t="inlineStr">
        <is>
          <t>Queen</t>
        </is>
      </c>
      <c r="F58" s="39" t="inlineStr">
        <is>
          <t>Light Blue</t>
        </is>
      </c>
      <c r="G58" s="40" t="n"/>
      <c r="H58" s="39" t="n"/>
      <c r="I58" s="40" t="n"/>
      <c r="J58" s="39" t="n"/>
      <c r="K58" s="40" t="n"/>
      <c r="L58" s="76" t="n"/>
      <c r="M58" s="77" t="n"/>
      <c r="N58" s="39" t="inlineStr">
        <is>
          <t>Inactive</t>
        </is>
      </c>
      <c r="O58" s="39" t="n"/>
      <c r="P58" s="78" t="n"/>
      <c r="Q58" s="77" t="n"/>
      <c r="R58" s="77" t="n"/>
      <c r="S58" s="77" t="n"/>
      <c r="T58" s="39" t="n"/>
    </row>
    <row r="59" ht="62" customHeight="1">
      <c r="A59" s="45" t="inlineStr">
        <is>
          <t>COMING SOON</t>
        </is>
      </c>
      <c r="B59" s="39" t="inlineStr">
        <is>
          <t>B0H7KHZWNX</t>
        </is>
      </c>
      <c r="C59" s="39" t="inlineStr">
        <is>
          <t>SL-COOLING-SHEET-QUEEN-LIGHT-GREY-6PC</t>
        </is>
      </c>
      <c r="D59" s="39" t="inlineStr">
        <is>
          <t>SLEEPHORIA Cooling Sheets - BreezeWeave 6 PC Queen Size Cooling Bed Sheets for Hot Sleepers &amp; Deep, Cool Rest - Cloud Soft, Silky Smooth, 16 in Deep Pocket, Ultra Durable (Light Grey)</t>
        </is>
      </c>
      <c r="E59" s="39" t="inlineStr">
        <is>
          <t>Queen</t>
        </is>
      </c>
      <c r="F59" s="39" t="inlineStr">
        <is>
          <t>Light Grey</t>
        </is>
      </c>
      <c r="G59" s="40" t="n"/>
      <c r="H59" s="39" t="n"/>
      <c r="I59" s="40" t="n"/>
      <c r="J59" s="39" t="n"/>
      <c r="K59" s="40" t="n"/>
      <c r="L59" s="76" t="n"/>
      <c r="M59" s="77" t="n"/>
      <c r="N59" s="39" t="inlineStr">
        <is>
          <t>Inactive</t>
        </is>
      </c>
      <c r="O59" s="39" t="n"/>
      <c r="P59" s="78" t="n"/>
      <c r="Q59" s="77" t="n"/>
      <c r="R59" s="77" t="n"/>
      <c r="S59" s="77" t="n"/>
      <c r="T59" s="39" t="n"/>
    </row>
    <row r="60" ht="62" customHeight="1">
      <c r="A60" s="45" t="inlineStr">
        <is>
          <t>COMING SOON</t>
        </is>
      </c>
      <c r="B60" s="39" t="inlineStr">
        <is>
          <t>B0H7K78S7W</t>
        </is>
      </c>
      <c r="C60" s="39" t="inlineStr">
        <is>
          <t>SL-COOLING-SHEET-QUEEN-LIGHT-PINK-6PC</t>
        </is>
      </c>
      <c r="D60" s="39" t="inlineStr">
        <is>
          <t>SLEEPHORIA Cooling Sheets - BreezeWeave 6 PC Queen Size Cooling Bed Sheets for Hot Sleepers &amp; Deep, Cool Rest - Cloud Soft, Silky Smooth, 16 in Deep Pocket, Ultra Durable (Light Pink)</t>
        </is>
      </c>
      <c r="E60" s="39" t="inlineStr">
        <is>
          <t>Queen</t>
        </is>
      </c>
      <c r="F60" s="39" t="inlineStr">
        <is>
          <t>Light Pink</t>
        </is>
      </c>
      <c r="G60" s="40" t="n"/>
      <c r="H60" s="39" t="n"/>
      <c r="I60" s="40" t="n"/>
      <c r="J60" s="39" t="n"/>
      <c r="K60" s="40" t="n"/>
      <c r="L60" s="76" t="n"/>
      <c r="M60" s="77" t="n"/>
      <c r="N60" s="39" t="inlineStr">
        <is>
          <t>Inactive</t>
        </is>
      </c>
      <c r="O60" s="39" t="n"/>
      <c r="P60" s="78" t="n"/>
      <c r="Q60" s="77" t="n"/>
      <c r="R60" s="77" t="n"/>
      <c r="S60" s="77" t="n"/>
      <c r="T60" s="39" t="n"/>
    </row>
    <row r="61" ht="62" customHeight="1">
      <c r="A61" s="45" t="inlineStr">
        <is>
          <t>COMING SOON</t>
        </is>
      </c>
      <c r="B61" s="39" t="inlineStr">
        <is>
          <t>B0H7K4FPC9</t>
        </is>
      </c>
      <c r="C61" s="39" t="inlineStr">
        <is>
          <t>SL-COOLING-SHEET-QUEEN-MIDBLK-6PC</t>
        </is>
      </c>
      <c r="D61" s="39" t="inlineStr">
        <is>
          <t>SLEEPHORIA Cooling Sheets - BreezeWeave 6 PC Queen Size Cooling Bed Sheets for Hot Sleepers &amp; Deep, Cool Rest - Cloud Soft, Silky Smooth, 16 in Deep Pocket, Ultra Durable (Midnight Black)</t>
        </is>
      </c>
      <c r="E61" s="39" t="inlineStr">
        <is>
          <t>Queen</t>
        </is>
      </c>
      <c r="F61" s="39" t="inlineStr">
        <is>
          <t>Midnight Black</t>
        </is>
      </c>
      <c r="G61" s="40" t="n"/>
      <c r="H61" s="39" t="n"/>
      <c r="I61" s="40" t="n"/>
      <c r="J61" s="39" t="n"/>
      <c r="K61" s="40" t="n"/>
      <c r="L61" s="76" t="n"/>
      <c r="M61" s="77" t="n"/>
      <c r="N61" s="39" t="inlineStr">
        <is>
          <t>Inactive</t>
        </is>
      </c>
      <c r="O61" s="39" t="n"/>
      <c r="P61" s="78" t="n"/>
      <c r="Q61" s="77" t="n"/>
      <c r="R61" s="77" t="n"/>
      <c r="S61" s="77" t="n"/>
      <c r="T61" s="39" t="n"/>
    </row>
    <row r="62" ht="62" customHeight="1">
      <c r="A62" s="45" t="inlineStr">
        <is>
          <t>COMING SOON</t>
        </is>
      </c>
      <c r="B62" s="39" t="inlineStr">
        <is>
          <t>B0H7K8QW4Y</t>
        </is>
      </c>
      <c r="C62" s="39" t="inlineStr">
        <is>
          <t>SL-COOLING-SHEET-QUEEN-NAVY-BLUE-6PC</t>
        </is>
      </c>
      <c r="D62" s="39" t="inlineStr">
        <is>
          <t>SLEEPHORIA Cooling Sheets - BreezeWeave 6 PC Queen Size Cooling Bed Sheets for Hot Sleepers &amp; Deep, Cool Rest - Cloud Soft, Silky Smooth, 16 in Deep Pocket, Ultra Durable (Navy Blue)</t>
        </is>
      </c>
      <c r="E62" s="39" t="inlineStr">
        <is>
          <t>Queen</t>
        </is>
      </c>
      <c r="F62" s="39" t="inlineStr">
        <is>
          <t>Navy Blue</t>
        </is>
      </c>
      <c r="G62" s="40" t="n"/>
      <c r="H62" s="39" t="n"/>
      <c r="I62" s="40" t="n"/>
      <c r="J62" s="39" t="n"/>
      <c r="K62" s="40" t="n"/>
      <c r="L62" s="76" t="n"/>
      <c r="M62" s="77" t="n"/>
      <c r="N62" s="39" t="inlineStr">
        <is>
          <t>Inactive</t>
        </is>
      </c>
      <c r="O62" s="39" t="n"/>
      <c r="P62" s="78" t="n"/>
      <c r="Q62" s="77" t="n"/>
      <c r="R62" s="77" t="n"/>
      <c r="S62" s="77" t="n"/>
      <c r="T62" s="39" t="n"/>
    </row>
    <row r="63" ht="62" customHeight="1">
      <c r="A63" s="45" t="inlineStr">
        <is>
          <t>COMING SOON</t>
        </is>
      </c>
      <c r="B63" s="39" t="inlineStr">
        <is>
          <t>B0H7K3FTJM</t>
        </is>
      </c>
      <c r="C63" s="39" t="inlineStr">
        <is>
          <t>SL-COOLING-SHEET-QUEEN-RGLPRP-6PC</t>
        </is>
      </c>
      <c r="D63" s="39" t="inlineStr">
        <is>
          <t>SLEEPHORIA Cooling Sheets - BreezeWeave 6 PC Queen Size Cooling Bed Sheets for Hot Sleepers &amp; Deep, Cool Rest - Cloud Soft, Silky Smooth, 16 in Deep Pocket, Ultra Durable (Regal Purple)</t>
        </is>
      </c>
      <c r="E63" s="39" t="inlineStr">
        <is>
          <t>Queen</t>
        </is>
      </c>
      <c r="F63" s="39" t="inlineStr">
        <is>
          <t>Regal Purple</t>
        </is>
      </c>
      <c r="G63" s="40" t="n"/>
      <c r="H63" s="39" t="n"/>
      <c r="I63" s="40" t="n"/>
      <c r="J63" s="39" t="n"/>
      <c r="K63" s="40" t="n"/>
      <c r="L63" s="76" t="n"/>
      <c r="M63" s="77" t="n"/>
      <c r="N63" s="39" t="inlineStr">
        <is>
          <t>Inactive</t>
        </is>
      </c>
      <c r="O63" s="39" t="n"/>
      <c r="P63" s="78" t="n"/>
      <c r="Q63" s="77" t="n"/>
      <c r="R63" s="77" t="n"/>
      <c r="S63" s="77" t="n"/>
      <c r="T63" s="39" t="n"/>
    </row>
    <row r="64" ht="62" customHeight="1">
      <c r="A64" s="45" t="inlineStr">
        <is>
          <t>COMING SOON</t>
        </is>
      </c>
      <c r="B64" s="39" t="inlineStr">
        <is>
          <t>B0H7JYD928</t>
        </is>
      </c>
      <c r="C64" s="39" t="inlineStr">
        <is>
          <t>SL-COOLING-SHEET-QUEEN-SAGE-GREEN-6PC</t>
        </is>
      </c>
      <c r="D64" s="39" t="inlineStr">
        <is>
          <t>SLEEPHORIA Cooling Sheets - BreezeWeave 6 PC Queen Size Cooling Bed Sheets for Hot Sleepers &amp; Deep, Cool Rest - Cloud Soft, Silky Smooth, 16 in Deep Pocket, Ultra Durable (Sage Green)</t>
        </is>
      </c>
      <c r="E64" s="39" t="inlineStr">
        <is>
          <t>Queen</t>
        </is>
      </c>
      <c r="F64" s="39" t="inlineStr">
        <is>
          <t>Sage Green</t>
        </is>
      </c>
      <c r="G64" s="40" t="n"/>
      <c r="H64" s="39" t="n"/>
      <c r="I64" s="40" t="n"/>
      <c r="J64" s="39" t="n"/>
      <c r="K64" s="40" t="n"/>
      <c r="L64" s="76" t="n"/>
      <c r="M64" s="77" t="n"/>
      <c r="N64" s="39" t="inlineStr">
        <is>
          <t>Inactive</t>
        </is>
      </c>
      <c r="O64" s="39" t="n"/>
      <c r="P64" s="78" t="n"/>
      <c r="Q64" s="77" t="n"/>
      <c r="R64" s="77" t="n"/>
      <c r="S64" s="77" t="n"/>
      <c r="T64" s="39" t="n"/>
    </row>
    <row r="65" ht="62" customHeight="1">
      <c r="A65" s="45" t="inlineStr">
        <is>
          <t>COMING SOON</t>
        </is>
      </c>
      <c r="B65" s="39" t="inlineStr">
        <is>
          <t>B0H7KDR81N</t>
        </is>
      </c>
      <c r="C65" s="39" t="inlineStr">
        <is>
          <t>SL-COOLING-SHEET-QUEEN-WHITE-6PC</t>
        </is>
      </c>
      <c r="D65" s="39" t="inlineStr">
        <is>
          <t>SLEEPHORIA Cooling Sheets - BreezeWeave 6 PC Queen Size Cooling Bed Sheets for Hot Sleepers &amp; Deep, Cool Rest - Cloud Soft, Silky Smooth, 16 in Deep Pocket, Ultra Durable (White)</t>
        </is>
      </c>
      <c r="E65" s="39" t="inlineStr">
        <is>
          <t>Queen</t>
        </is>
      </c>
      <c r="F65" s="39" t="inlineStr">
        <is>
          <t>White</t>
        </is>
      </c>
      <c r="G65" s="40" t="n"/>
      <c r="H65" s="39" t="n"/>
      <c r="I65" s="40" t="n"/>
      <c r="J65" s="39" t="n"/>
      <c r="K65" s="40" t="n"/>
      <c r="L65" s="76" t="n"/>
      <c r="M65" s="77" t="n"/>
      <c r="N65" s="39" t="inlineStr">
        <is>
          <t>Inactive</t>
        </is>
      </c>
      <c r="O65" s="39" t="n"/>
      <c r="P65" s="78" t="n"/>
      <c r="Q65" s="77" t="n"/>
      <c r="R65" s="77" t="n"/>
      <c r="S65" s="77" t="n"/>
      <c r="T65" s="39" t="n"/>
    </row>
    <row r="66" ht="62" customHeight="1">
      <c r="A66" s="45" t="inlineStr">
        <is>
          <t>COMING SOON</t>
        </is>
      </c>
      <c r="B66" s="39" t="inlineStr">
        <is>
          <t>B0H7K3QL1J</t>
        </is>
      </c>
      <c r="C66" s="39" t="inlineStr">
        <is>
          <t>SL-COOLING-SHEET-TWIN-BEIGE-4PC</t>
        </is>
      </c>
      <c r="D66" s="39" t="inlineStr">
        <is>
          <t>SLEEPHORIA Cooling Sheets - BreezeWeave 4 PC Twin Size Cooling Bed Sheets for Hot Sleepers &amp; Deep, Cool Rest - Cloud Soft, Silky Smooth, 16 in Deep Pocket, Ultra Durable (Beige)</t>
        </is>
      </c>
      <c r="E66" s="39" t="inlineStr">
        <is>
          <t>Twin</t>
        </is>
      </c>
      <c r="F66" s="39" t="inlineStr">
        <is>
          <t>Beige</t>
        </is>
      </c>
      <c r="G66" s="40" t="n"/>
      <c r="H66" s="39" t="n"/>
      <c r="I66" s="40" t="n"/>
      <c r="J66" s="39" t="n"/>
      <c r="K66" s="40" t="n"/>
      <c r="L66" s="76" t="n"/>
      <c r="M66" s="77" t="n"/>
      <c r="N66" s="39" t="inlineStr">
        <is>
          <t>Inactive</t>
        </is>
      </c>
      <c r="O66" s="39" t="n"/>
      <c r="P66" s="78" t="n"/>
      <c r="Q66" s="77" t="n"/>
      <c r="R66" s="77" t="n"/>
      <c r="S66" s="77" t="n"/>
      <c r="T66" s="39" t="n"/>
    </row>
    <row r="67" ht="62" customHeight="1">
      <c r="A67" s="45" t="inlineStr">
        <is>
          <t>COMING SOON</t>
        </is>
      </c>
      <c r="B67" s="39" t="inlineStr">
        <is>
          <t>B0H7K5LMD2</t>
        </is>
      </c>
      <c r="C67" s="39" t="inlineStr">
        <is>
          <t>SL-COOLING-SHEET-TWIN-COOL-GREY-4PC</t>
        </is>
      </c>
      <c r="D67" s="39" t="inlineStr">
        <is>
          <t>SLEEPHORIA Cooling Sheets - BreezeWeave 4 PC Twin Size Cooling Bed Sheets for Hot Sleepers &amp; Deep, Cool Rest - Cloud Soft, Silky Smooth, 16 in Deep Pocket, Ultra Durable (Cool Grey)</t>
        </is>
      </c>
      <c r="E67" s="39" t="inlineStr">
        <is>
          <t>Twin</t>
        </is>
      </c>
      <c r="F67" s="39" t="inlineStr">
        <is>
          <t>Cool Grey</t>
        </is>
      </c>
      <c r="G67" s="40" t="n"/>
      <c r="H67" s="39" t="n"/>
      <c r="I67" s="40" t="n"/>
      <c r="J67" s="39" t="n"/>
      <c r="K67" s="40" t="n"/>
      <c r="L67" s="76" t="n"/>
      <c r="M67" s="77" t="n"/>
      <c r="N67" s="39" t="inlineStr">
        <is>
          <t>Inactive</t>
        </is>
      </c>
      <c r="O67" s="39" t="n"/>
      <c r="P67" s="78" t="n"/>
      <c r="Q67" s="77" t="n"/>
      <c r="R67" s="77" t="n"/>
      <c r="S67" s="77" t="n"/>
      <c r="T67" s="39" t="n"/>
    </row>
    <row r="68" ht="62" customHeight="1">
      <c r="A68" s="45" t="inlineStr">
        <is>
          <t>COMING SOON</t>
        </is>
      </c>
      <c r="B68" s="39" t="inlineStr">
        <is>
          <t>B0H7K2D1GZ</t>
        </is>
      </c>
      <c r="C68" s="39" t="inlineStr">
        <is>
          <t>SL-COOLING-SHEET-TWIN-CREAM-4PC</t>
        </is>
      </c>
      <c r="D68" s="39" t="inlineStr">
        <is>
          <t>SLEEPHORIA Cooling Sheets - BreezeWeave 4 PC Twin Size Cooling Bed Sheets for Hot Sleepers &amp; Deep, Cool Rest - Cloud Soft, Silky Smooth, 16 in Deep Pocket, Ultra Durable (Cream)</t>
        </is>
      </c>
      <c r="E68" s="39" t="inlineStr">
        <is>
          <t>Twin</t>
        </is>
      </c>
      <c r="F68" s="39" t="inlineStr">
        <is>
          <t>Cream</t>
        </is>
      </c>
      <c r="G68" s="40" t="n"/>
      <c r="H68" s="39" t="n"/>
      <c r="I68" s="40" t="n"/>
      <c r="J68" s="39" t="n"/>
      <c r="K68" s="40" t="n"/>
      <c r="L68" s="76" t="n"/>
      <c r="M68" s="77" t="n"/>
      <c r="N68" s="39" t="inlineStr">
        <is>
          <t>Inactive</t>
        </is>
      </c>
      <c r="O68" s="39" t="n"/>
      <c r="P68" s="78" t="n"/>
      <c r="Q68" s="77" t="n"/>
      <c r="R68" s="77" t="n"/>
      <c r="S68" s="77" t="n"/>
      <c r="T68" s="39" t="n"/>
    </row>
    <row r="69" ht="62" customHeight="1">
      <c r="A69" s="45" t="inlineStr">
        <is>
          <t>COMING SOON</t>
        </is>
      </c>
      <c r="B69" s="39" t="inlineStr">
        <is>
          <t>B0H7K11Y35</t>
        </is>
      </c>
      <c r="C69" s="39" t="inlineStr">
        <is>
          <t>SL-COOLING-SHEET-TWIN-GRAPHITE-4PC</t>
        </is>
      </c>
      <c r="D69" s="39" t="inlineStr">
        <is>
          <t>SLEEPHORIA Cooling Sheets - BreezeWeave 4 PC Twin Size Cooling Bed Sheets for Hot Sleepers &amp; Deep, Cool Rest - Cloud Soft, Silky Smooth, 16 in Deep Pocket, Ultra Durable (Graphite)</t>
        </is>
      </c>
      <c r="E69" s="39" t="inlineStr">
        <is>
          <t>Twin</t>
        </is>
      </c>
      <c r="F69" s="39" t="inlineStr">
        <is>
          <t>Graphite</t>
        </is>
      </c>
      <c r="G69" s="40" t="n"/>
      <c r="H69" s="39" t="n"/>
      <c r="I69" s="40" t="n"/>
      <c r="J69" s="39" t="n"/>
      <c r="K69" s="40" t="n"/>
      <c r="L69" s="76" t="n"/>
      <c r="M69" s="77" t="n"/>
      <c r="N69" s="39" t="inlineStr">
        <is>
          <t>Inactive</t>
        </is>
      </c>
      <c r="O69" s="39" t="n"/>
      <c r="P69" s="78" t="n"/>
      <c r="Q69" s="77" t="n"/>
      <c r="R69" s="77" t="n"/>
      <c r="S69" s="77" t="n"/>
      <c r="T69" s="39" t="n"/>
    </row>
    <row r="70" ht="62" customHeight="1">
      <c r="A70" s="45" t="inlineStr">
        <is>
          <t>COMING SOON</t>
        </is>
      </c>
      <c r="B70" s="39" t="inlineStr">
        <is>
          <t>B0H7KF6W72</t>
        </is>
      </c>
      <c r="C70" s="39" t="inlineStr">
        <is>
          <t>SL-COOLING-SHEET-TWIN-LIGHT-BLUE-4PC</t>
        </is>
      </c>
      <c r="D70" s="39" t="inlineStr">
        <is>
          <t>SLEEPHORIA Cooling Sheets - BreezeWeave 4 PC Twin Size Cooling Bed Sheets for Hot Sleepers &amp; Deep, Cool Rest - Cloud Soft, Silky Smooth, 16 in Deep Pocket, Ultra Durable (Light Blue)</t>
        </is>
      </c>
      <c r="E70" s="39" t="inlineStr">
        <is>
          <t>Twin</t>
        </is>
      </c>
      <c r="F70" s="39" t="inlineStr">
        <is>
          <t>Light Blue</t>
        </is>
      </c>
      <c r="G70" s="40" t="n"/>
      <c r="H70" s="39" t="n"/>
      <c r="I70" s="40" t="n"/>
      <c r="J70" s="39" t="n"/>
      <c r="K70" s="40" t="n"/>
      <c r="L70" s="76" t="n"/>
      <c r="M70" s="77" t="n"/>
      <c r="N70" s="39" t="inlineStr">
        <is>
          <t>Inactive</t>
        </is>
      </c>
      <c r="O70" s="39" t="n"/>
      <c r="P70" s="78" t="n"/>
      <c r="Q70" s="77" t="n"/>
      <c r="R70" s="77" t="n"/>
      <c r="S70" s="77" t="n"/>
      <c r="T70" s="39" t="n"/>
    </row>
    <row r="71" ht="62" customHeight="1">
      <c r="A71" s="45" t="inlineStr">
        <is>
          <t>COMING SOON</t>
        </is>
      </c>
      <c r="B71" s="39" t="inlineStr">
        <is>
          <t>B0H7KBK84M</t>
        </is>
      </c>
      <c r="C71" s="39" t="inlineStr">
        <is>
          <t>SL-COOLING-SHEET-TWIN-LIGHT-GREY-4PC</t>
        </is>
      </c>
      <c r="D71" s="39" t="inlineStr">
        <is>
          <t>SLEEPHORIA Cooling Sheets - BreezeWeave 4 PC Twin Size Cooling Bed Sheets for Hot Sleepers &amp; Deep, Cool Rest - Cloud Soft, Silky Smooth, 16 in Deep Pocket, Ultra Durable (Light Grey)</t>
        </is>
      </c>
      <c r="E71" s="39" t="inlineStr">
        <is>
          <t>Twin</t>
        </is>
      </c>
      <c r="F71" s="39" t="inlineStr">
        <is>
          <t>Light Grey</t>
        </is>
      </c>
      <c r="G71" s="40" t="n"/>
      <c r="H71" s="39" t="n"/>
      <c r="I71" s="40" t="n"/>
      <c r="J71" s="39" t="n"/>
      <c r="K71" s="40" t="n"/>
      <c r="L71" s="76" t="n"/>
      <c r="M71" s="77" t="n"/>
      <c r="N71" s="39" t="inlineStr">
        <is>
          <t>Inactive</t>
        </is>
      </c>
      <c r="O71" s="39" t="n"/>
      <c r="P71" s="78" t="n"/>
      <c r="Q71" s="77" t="n"/>
      <c r="R71" s="77" t="n"/>
      <c r="S71" s="77" t="n"/>
      <c r="T71" s="39" t="n"/>
    </row>
    <row r="72" ht="62" customHeight="1">
      <c r="A72" s="45" t="inlineStr">
        <is>
          <t>COMING SOON</t>
        </is>
      </c>
      <c r="B72" s="39" t="inlineStr">
        <is>
          <t>B0H7K4M6Y6</t>
        </is>
      </c>
      <c r="C72" s="39" t="inlineStr">
        <is>
          <t>SL-COOLING-SHEET-TWIN-LIGHT-PINK-4PC</t>
        </is>
      </c>
      <c r="D72" s="39" t="inlineStr">
        <is>
          <t>SLEEPHORIA Cooling Sheets - BreezeWeave 4 PC Twin Size Cooling Bed Sheets for Hot Sleepers &amp; Deep, Cool Rest - Cloud Soft, Silky Smooth, 16 in Deep Pocket, Ultra Durable (Light Pink)</t>
        </is>
      </c>
      <c r="E72" s="39" t="inlineStr">
        <is>
          <t>Twin</t>
        </is>
      </c>
      <c r="F72" s="39" t="inlineStr">
        <is>
          <t>Light Pink</t>
        </is>
      </c>
      <c r="G72" s="40" t="n"/>
      <c r="H72" s="39" t="n"/>
      <c r="I72" s="40" t="n"/>
      <c r="J72" s="39" t="n"/>
      <c r="K72" s="40" t="n"/>
      <c r="L72" s="76" t="n"/>
      <c r="M72" s="77" t="n"/>
      <c r="N72" s="39" t="inlineStr">
        <is>
          <t>Inactive</t>
        </is>
      </c>
      <c r="O72" s="39" t="n"/>
      <c r="P72" s="78" t="n"/>
      <c r="Q72" s="77" t="n"/>
      <c r="R72" s="77" t="n"/>
      <c r="S72" s="77" t="n"/>
      <c r="T72" s="39" t="n"/>
    </row>
    <row r="73" ht="62" customHeight="1">
      <c r="A73" s="45" t="inlineStr">
        <is>
          <t>COMING SOON</t>
        </is>
      </c>
      <c r="B73" s="39" t="inlineStr">
        <is>
          <t>B0H7KBG1ZZ</t>
        </is>
      </c>
      <c r="C73" s="39" t="inlineStr">
        <is>
          <t>SL-COOLING-SHEET-TWIN-MIDBLK-4PC</t>
        </is>
      </c>
      <c r="D73" s="39" t="inlineStr">
        <is>
          <t>SLEEPHORIA Cooling Sheets - BreezeWeave 4 PC Twin Size Cooling Bed Sheets for Hot Sleepers &amp; Deep, Cool Rest - Cloud Soft, Silky Smooth, 16 in Deep Pocket, Ultra Durable (Midnight Black)</t>
        </is>
      </c>
      <c r="E73" s="39" t="inlineStr">
        <is>
          <t>Twin</t>
        </is>
      </c>
      <c r="F73" s="39" t="inlineStr">
        <is>
          <t>Midnight Black</t>
        </is>
      </c>
      <c r="G73" s="40" t="n"/>
      <c r="H73" s="39" t="n"/>
      <c r="I73" s="40" t="n"/>
      <c r="J73" s="39" t="n"/>
      <c r="K73" s="40" t="n"/>
      <c r="L73" s="76" t="n"/>
      <c r="M73" s="77" t="n"/>
      <c r="N73" s="39" t="inlineStr">
        <is>
          <t>Inactive</t>
        </is>
      </c>
      <c r="O73" s="39" t="n"/>
      <c r="P73" s="78" t="n"/>
      <c r="Q73" s="77" t="n"/>
      <c r="R73" s="77" t="n"/>
      <c r="S73" s="77" t="n"/>
      <c r="T73" s="39" t="n"/>
    </row>
    <row r="74" ht="62" customHeight="1">
      <c r="A74" s="45" t="inlineStr">
        <is>
          <t>COMING SOON</t>
        </is>
      </c>
      <c r="B74" s="39" t="inlineStr">
        <is>
          <t>B0H7K572FP</t>
        </is>
      </c>
      <c r="C74" s="39" t="inlineStr">
        <is>
          <t>SL-COOLING-SHEET-TWIN-NAVY-BLUE-4PC</t>
        </is>
      </c>
      <c r="D74" s="39" t="inlineStr">
        <is>
          <t>SLEEPHORIA Cooling Sheets - BreezeWeave 4 PC Twin Size Cooling Bed Sheets for Hot Sleepers &amp; Deep, Cool Rest - Cloud Soft, Silky Smooth, 16 in Deep Pocket, Ultra Durable (Navy Blue)</t>
        </is>
      </c>
      <c r="E74" s="39" t="inlineStr">
        <is>
          <t>Twin</t>
        </is>
      </c>
      <c r="F74" s="39" t="inlineStr">
        <is>
          <t>Navy Blue</t>
        </is>
      </c>
      <c r="G74" s="40" t="n"/>
      <c r="H74" s="39" t="n"/>
      <c r="I74" s="40" t="n"/>
      <c r="J74" s="39" t="n"/>
      <c r="K74" s="40" t="n"/>
      <c r="L74" s="76" t="n"/>
      <c r="M74" s="77" t="n"/>
      <c r="N74" s="39" t="inlineStr">
        <is>
          <t>Inactive</t>
        </is>
      </c>
      <c r="O74" s="39" t="n"/>
      <c r="P74" s="78" t="n"/>
      <c r="Q74" s="77" t="n"/>
      <c r="R74" s="77" t="n"/>
      <c r="S74" s="77" t="n"/>
      <c r="T74" s="39" t="n"/>
    </row>
    <row r="75" ht="62" customHeight="1">
      <c r="A75" s="45" t="inlineStr">
        <is>
          <t>COMING SOON</t>
        </is>
      </c>
      <c r="B75" s="39" t="inlineStr">
        <is>
          <t>B0H7K69MS2</t>
        </is>
      </c>
      <c r="C75" s="39" t="inlineStr">
        <is>
          <t>SL-COOLING-SHEET-TWIN-RGLPRP-4PC</t>
        </is>
      </c>
      <c r="D75" s="39" t="inlineStr">
        <is>
          <t>SLEEPHORIA Cooling Sheets - BreezeWeave 4 PC Twin Size Cooling Bed Sheets for Hot Sleepers &amp; Deep, Cool Rest - Cloud Soft, Silky Smooth, 16 in Deep Pocket, Ultra Durable (Regal Purple)</t>
        </is>
      </c>
      <c r="E75" s="39" t="inlineStr">
        <is>
          <t>Twin</t>
        </is>
      </c>
      <c r="F75" s="39" t="inlineStr">
        <is>
          <t>Regal Purple</t>
        </is>
      </c>
      <c r="G75" s="40" t="n"/>
      <c r="H75" s="39" t="n"/>
      <c r="I75" s="40" t="n"/>
      <c r="J75" s="39" t="n"/>
      <c r="K75" s="40" t="n"/>
      <c r="L75" s="76" t="n"/>
      <c r="M75" s="77" t="n"/>
      <c r="N75" s="39" t="inlineStr">
        <is>
          <t>Inactive</t>
        </is>
      </c>
      <c r="O75" s="39" t="n"/>
      <c r="P75" s="78" t="n"/>
      <c r="Q75" s="77" t="n"/>
      <c r="R75" s="77" t="n"/>
      <c r="S75" s="77" t="n"/>
      <c r="T75" s="39" t="n"/>
    </row>
    <row r="76" ht="62" customHeight="1">
      <c r="A76" s="45" t="inlineStr">
        <is>
          <t>COMING SOON</t>
        </is>
      </c>
      <c r="B76" s="39" t="inlineStr">
        <is>
          <t>B0H7JPZNT3</t>
        </is>
      </c>
      <c r="C76" s="39" t="inlineStr">
        <is>
          <t>SL-COOLING-SHEET-TWIN-SAGE-GREEN-4PC</t>
        </is>
      </c>
      <c r="D76" s="39" t="inlineStr">
        <is>
          <t>SLEEPHORIA Cooling Sheets - BreezeWeave 4 PC Twin Size Cooling Bed Sheets for Hot Sleepers &amp; Deep, Cool Rest - Cloud Soft, Silky Smooth, 16 in Deep Pocket, Ultra Durable (Sage Green)</t>
        </is>
      </c>
      <c r="E76" s="39" t="inlineStr">
        <is>
          <t>Twin</t>
        </is>
      </c>
      <c r="F76" s="39" t="inlineStr">
        <is>
          <t>Sage Green</t>
        </is>
      </c>
      <c r="G76" s="40" t="n"/>
      <c r="H76" s="39" t="n"/>
      <c r="I76" s="40" t="n"/>
      <c r="J76" s="39" t="n"/>
      <c r="K76" s="40" t="n"/>
      <c r="L76" s="76" t="n"/>
      <c r="M76" s="77" t="n"/>
      <c r="N76" s="39" t="inlineStr">
        <is>
          <t>Inactive</t>
        </is>
      </c>
      <c r="O76" s="39" t="n"/>
      <c r="P76" s="78" t="n"/>
      <c r="Q76" s="77" t="n"/>
      <c r="R76" s="77" t="n"/>
      <c r="S76" s="77" t="n"/>
      <c r="T76" s="39" t="n"/>
    </row>
    <row r="77" ht="62" customHeight="1">
      <c r="A77" s="45" t="inlineStr">
        <is>
          <t>COMING SOON</t>
        </is>
      </c>
      <c r="B77" s="39" t="inlineStr">
        <is>
          <t>B0H7K8NK9T</t>
        </is>
      </c>
      <c r="C77" s="39" t="inlineStr">
        <is>
          <t>SL-COOLING-SHEET-TWIN-WHITE-4PC</t>
        </is>
      </c>
      <c r="D77" s="39" t="inlineStr">
        <is>
          <t>SLEEPHORIA Cooling Sheets - BreezeWeave 4 PC Twin Size Cooling Bed Sheets for Hot Sleepers &amp; Deep, Cool Rest - Cloud Soft, Silky Smooth, 16 in Deep Pocket, Ultra Durable (White)</t>
        </is>
      </c>
      <c r="E77" s="39" t="inlineStr">
        <is>
          <t>Twin</t>
        </is>
      </c>
      <c r="F77" s="39" t="inlineStr">
        <is>
          <t>White</t>
        </is>
      </c>
      <c r="G77" s="40" t="n"/>
      <c r="H77" s="39" t="n"/>
      <c r="I77" s="40" t="n"/>
      <c r="J77" s="39" t="n"/>
      <c r="K77" s="40" t="n"/>
      <c r="L77" s="76" t="n"/>
      <c r="M77" s="77" t="n"/>
      <c r="N77" s="39" t="inlineStr">
        <is>
          <t>Inactive</t>
        </is>
      </c>
      <c r="O77" s="39" t="n"/>
      <c r="P77" s="78" t="n"/>
      <c r="Q77" s="77" t="n"/>
      <c r="R77" s="77" t="n"/>
      <c r="S77" s="77" t="n"/>
      <c r="T77" s="39" t="n"/>
    </row>
    <row r="78"/>
    <row r="79" ht="22" customHeight="1">
      <c r="A79" s="65" t="inlineStr">
        <is>
          <t>3 ▼</t>
        </is>
      </c>
      <c r="B79" s="66" t="inlineStr">
        <is>
          <t>OUR BFCM 2025 RESULT &amp; EVENT VISIBILITY</t>
        </is>
      </c>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c r="AC79" s="67" t="n"/>
      <c r="AD79" s="67" t="n"/>
      <c r="AE79" s="67" t="n"/>
      <c r="AF79" s="67" t="n"/>
      <c r="AG79" s="67" t="n"/>
      <c r="AH79" s="67" t="n"/>
      <c r="AI79" s="67" t="n"/>
      <c r="AJ79" s="67" t="n"/>
      <c r="AK79" s="67" t="n"/>
      <c r="AL79" s="67" t="n"/>
      <c r="AM79" s="67" t="n"/>
      <c r="AN79" s="67" t="n"/>
      <c r="AO79" s="67" t="n"/>
      <c r="AP79" s="67" t="n"/>
      <c r="AQ79" s="67" t="n"/>
      <c r="AR79" s="67" t="n"/>
      <c r="AS79" s="67" t="n"/>
      <c r="AT79" s="67" t="n"/>
      <c r="AU79" s="67" t="n"/>
      <c r="AV79" s="67" t="n"/>
      <c r="AW79" s="67" t="n"/>
      <c r="AX79" s="67" t="n"/>
      <c r="AY79" s="67" t="n"/>
      <c r="AZ79" s="67" t="n"/>
      <c r="BA79" s="67" t="n"/>
      <c r="BB79" s="67" t="n"/>
      <c r="BC79" s="67" t="n"/>
      <c r="BD79" s="67" t="n"/>
      <c r="BE79" s="67" t="n"/>
      <c r="BF79" s="67" t="n"/>
      <c r="BG79" s="67" t="n"/>
      <c r="BH79" s="67" t="n"/>
      <c r="BI79" s="67" t="n"/>
      <c r="BJ79" s="67" t="n"/>
      <c r="BK79" s="67" t="n"/>
    </row>
    <row r="80">
      <c r="A80" s="80" t="inlineStr">
        <is>
          <t>Window</t>
        </is>
      </c>
      <c r="B80" s="81" t="n"/>
      <c r="C80" s="82" t="n"/>
      <c r="D80" s="80" t="inlineStr">
        <is>
          <t>Ad spend</t>
        </is>
      </c>
      <c r="E80" s="80" t="inlineStr">
        <is>
          <t>Ad sales</t>
        </is>
      </c>
      <c r="F80" s="80" t="inlineStr">
        <is>
          <t>ACoS</t>
        </is>
      </c>
      <c r="G80" s="80" t="inlineStr">
        <is>
          <t>TACoS</t>
        </is>
      </c>
      <c r="H80" s="80" t="inlineStr">
        <is>
          <t>Total sales (derived)</t>
        </is>
      </c>
      <c r="J80" s="80" t="inlineStr">
        <is>
          <t>Ad orders</t>
        </is>
      </c>
      <c r="K80" s="80" t="inlineStr">
        <is>
          <t>CVR</t>
        </is>
      </c>
    </row>
    <row r="81">
      <c r="A81" s="83" t="inlineStr">
        <is>
          <t>Pre-event Oct 21 - Nov 19, 2025 (30d)</t>
        </is>
      </c>
      <c r="B81" s="81" t="n"/>
      <c r="C81" s="82" t="n"/>
      <c r="D81" s="84" t="n"/>
      <c r="E81" s="84" t="n"/>
      <c r="F81" s="85" t="n"/>
      <c r="G81" s="85" t="n"/>
      <c r="H81" s="84" t="n"/>
      <c r="J81" s="86" t="n"/>
      <c r="K81" s="87" t="n"/>
    </row>
    <row r="82">
      <c r="A82" s="83" t="inlineStr">
        <is>
          <t>BFCM week Nov 20 - Dec 1, 2025 (12d)</t>
        </is>
      </c>
      <c r="B82" s="81" t="n"/>
      <c r="C82" s="82" t="n"/>
      <c r="D82" s="84" t="n"/>
      <c r="E82" s="84" t="n"/>
      <c r="F82" s="85" t="n"/>
      <c r="G82" s="85" t="n"/>
      <c r="H82" s="84" t="n"/>
      <c r="J82" s="86" t="n"/>
      <c r="K82" s="87" t="n"/>
    </row>
    <row r="83">
      <c r="A83" s="83" t="inlineStr">
        <is>
          <t>December 2 - 31, 2025 (30d)</t>
        </is>
      </c>
      <c r="B83" s="81" t="n"/>
      <c r="C83" s="82" t="n"/>
      <c r="D83" s="84" t="n"/>
      <c r="E83" s="84" t="n"/>
      <c r="F83" s="85" t="n"/>
      <c r="G83" s="85" t="n"/>
      <c r="H83" s="84" t="n"/>
      <c r="J83" s="86" t="n"/>
      <c r="K83" s="87" t="n"/>
    </row>
    <row r="84" ht="18" customHeight="1">
      <c r="A84" s="94" t="inlineStr">
        <is>
          <t>BFCM 2026 plan: NOT IN A DEAL. the team confirmed that products without a planned deal are not in any BFCM 2026 deal; they sell at their regular price.</t>
        </is>
      </c>
    </row>
    <row r="85">
      <c r="A85" s="90" t="inlineStr">
        <is>
          <t>No market data visibility history for our best child ASIN.</t>
        </is>
      </c>
    </row>
    <row r="86">
      <c r="A86" s="132" t="inlineStr">
        <is>
          <t>No BFCM 2025 PPC data for this product (not advertised or launched after BFCM 2025).</t>
        </is>
      </c>
    </row>
    <row r="87"/>
    <row r="88" ht="22" customHeight="1">
      <c r="A88" s="65" t="inlineStr">
        <is>
          <t>4 ▼</t>
        </is>
      </c>
      <c r="B88" s="66" t="inlineStr">
        <is>
          <t>COMPETITOR LANDSCAPE (7 mapped)</t>
        </is>
      </c>
      <c r="C88" s="67" t="n"/>
      <c r="D88" s="67" t="n"/>
      <c r="E88" s="67" t="n"/>
      <c r="F88" s="67" t="n"/>
      <c r="G88" s="67" t="n"/>
      <c r="H88" s="67" t="n"/>
      <c r="I88" s="67" t="n"/>
      <c r="J88" s="67" t="n"/>
      <c r="K88" s="67" t="n"/>
      <c r="L88" s="67" t="n"/>
      <c r="M88" s="67" t="n"/>
      <c r="N88" s="67" t="n"/>
      <c r="O88" s="67" t="n"/>
      <c r="P88" s="67" t="n"/>
      <c r="Q88" s="67" t="n"/>
      <c r="R88" s="67" t="n"/>
      <c r="S88" s="67" t="n"/>
      <c r="T88" s="67" t="n"/>
      <c r="U88" s="67" t="n"/>
      <c r="V88" s="67" t="n"/>
      <c r="W88" s="67" t="n"/>
      <c r="X88" s="67" t="n"/>
      <c r="Y88" s="67" t="n"/>
      <c r="Z88" s="67" t="n"/>
      <c r="AA88" s="67" t="n"/>
      <c r="AB88" s="67" t="n"/>
      <c r="AC88" s="67" t="n"/>
      <c r="AD88" s="67" t="n"/>
      <c r="AE88" s="67" t="n"/>
      <c r="AF88" s="67" t="n"/>
      <c r="AG88" s="67" t="n"/>
      <c r="AH88" s="67" t="n"/>
      <c r="AI88" s="67" t="n"/>
      <c r="AJ88" s="67" t="n"/>
      <c r="AK88" s="67" t="n"/>
      <c r="AL88" s="67" t="n"/>
      <c r="AM88" s="67" t="n"/>
      <c r="AN88" s="67" t="n"/>
      <c r="AO88" s="67" t="n"/>
      <c r="AP88" s="67" t="n"/>
      <c r="AQ88" s="67" t="n"/>
      <c r="AR88" s="67" t="n"/>
      <c r="AS88" s="67" t="n"/>
      <c r="AT88" s="67" t="n"/>
      <c r="AU88" s="67" t="n"/>
      <c r="AV88" s="67" t="n"/>
      <c r="AW88" s="67" t="n"/>
      <c r="AX88" s="67" t="n"/>
      <c r="AY88" s="67" t="n"/>
      <c r="AZ88" s="67" t="n"/>
      <c r="BA88" s="67" t="n"/>
      <c r="BB88" s="67" t="n"/>
      <c r="BC88" s="67" t="n"/>
      <c r="BD88" s="67" t="n"/>
      <c r="BE88" s="67" t="n"/>
      <c r="BF88" s="67" t="n"/>
      <c r="BG88" s="67" t="n"/>
      <c r="BH88" s="67" t="n"/>
      <c r="BI88" s="67" t="n"/>
      <c r="BJ88" s="67" t="n"/>
      <c r="BK88" s="67" t="n"/>
    </row>
    <row r="89" ht="20" customHeight="1">
      <c r="A89" s="96" t="inlineStr">
        <is>
          <t>▼▼▼</t>
        </is>
      </c>
      <c r="B89" s="97" t="inlineStr">
        <is>
          <t>COMPETITOR DATA BELOW: one row per competitor (3 direct first, then alternative material). Scroll right for listing, search, strikethrough now and BFCM 2025 history (deal type, price, discount, rank change).</t>
        </is>
      </c>
      <c r="C89" s="98" t="n"/>
      <c r="D89" s="98" t="n"/>
      <c r="E89" s="98" t="n"/>
      <c r="F89" s="98" t="n"/>
      <c r="G89" s="98" t="n"/>
      <c r="H89" s="98" t="n"/>
      <c r="I89" s="98" t="n"/>
      <c r="J89" s="98" t="n"/>
      <c r="K89" s="98" t="n"/>
      <c r="L89" s="98" t="n"/>
      <c r="M89" s="98" t="n"/>
      <c r="N89" s="98" t="n"/>
      <c r="O89" s="98" t="n"/>
      <c r="P89" s="98" t="n"/>
      <c r="Q89" s="98" t="n"/>
      <c r="R89" s="98" t="n"/>
      <c r="S89" s="98" t="n"/>
      <c r="T89" s="98" t="n"/>
      <c r="U89" s="98" t="n"/>
      <c r="V89" s="98" t="n"/>
      <c r="W89" s="98" t="n"/>
      <c r="X89" s="98" t="n"/>
      <c r="Y89" s="98" t="n"/>
      <c r="Z89" s="98" t="n"/>
      <c r="AA89" s="98" t="n"/>
      <c r="AB89" s="98" t="n"/>
      <c r="AC89" s="98" t="n"/>
      <c r="AD89" s="98" t="n"/>
      <c r="AE89" s="98" t="n"/>
      <c r="AF89" s="98" t="n"/>
      <c r="AG89" s="98" t="n"/>
      <c r="AH89" s="98" t="n"/>
      <c r="AI89" s="98" t="n"/>
      <c r="AJ89" s="98" t="n"/>
      <c r="AK89" s="98" t="n"/>
      <c r="AL89" s="98" t="n"/>
      <c r="AM89" s="98" t="n"/>
      <c r="AN89" s="98" t="n"/>
      <c r="AO89" s="98" t="n"/>
      <c r="AP89" s="98" t="n"/>
      <c r="AQ89" s="98" t="n"/>
      <c r="AR89" s="98" t="n"/>
      <c r="AS89" s="98" t="n"/>
      <c r="AT89" s="98" t="n"/>
      <c r="AU89" s="98" t="n"/>
      <c r="AV89" s="98" t="n"/>
      <c r="AW89" s="98" t="n"/>
      <c r="AX89" s="98" t="n"/>
      <c r="AY89" s="98" t="n"/>
      <c r="AZ89" s="98" t="n"/>
      <c r="BA89" s="98" t="n"/>
      <c r="BB89" s="98" t="n"/>
      <c r="BC89" s="98" t="n"/>
      <c r="BD89" s="98" t="n"/>
      <c r="BE89" s="98" t="n"/>
      <c r="BF89" s="98" t="n"/>
      <c r="BG89" s="98" t="n"/>
      <c r="BH89" s="98" t="n"/>
      <c r="BI89" s="98" t="n"/>
      <c r="BJ89" s="98" t="n"/>
      <c r="BK89" s="98" t="n"/>
    </row>
    <row r="90">
      <c r="A90" s="99" t="inlineStr">
        <is>
          <t>COMPETITOR</t>
        </is>
      </c>
      <c r="L90" s="100" t="inlineStr">
        <is>
          <t>LISTING - catalog data</t>
        </is>
      </c>
      <c r="M90" s="101" t="inlineStr">
        <is>
          <t>SEARCH STRATEGY - market data search data</t>
        </is>
      </c>
      <c r="N90" s="102" t="inlineStr">
        <is>
          <t>PRICE &amp; SALES - market data snapshot (date per row)</t>
        </is>
      </c>
      <c r="AA90" s="100" t="inlineStr">
        <is>
          <t>LISTING - catalog data</t>
        </is>
      </c>
      <c r="AD90" s="101" t="inlineStr">
        <is>
          <t>SEARCH STRATEGY - market data search data</t>
        </is>
      </c>
      <c r="AU90" s="103" t="inlineStr">
        <is>
          <t>STR NOW - Amazon page check (Oct 13, P1 + P2)</t>
        </is>
      </c>
      <c r="BB90" s="104" t="inlineStr">
        <is>
          <t>BFCM 2025 - price history (P1 filled; yellow = not pulled yet)</t>
        </is>
      </c>
    </row>
    <row r="91" ht="48" customHeight="1">
      <c r="A91" s="26" t="inlineStr">
        <is>
          <t>Image</t>
        </is>
      </c>
      <c r="B91" s="26" t="inlineStr">
        <is>
          <t>Brand</t>
        </is>
      </c>
      <c r="C91" s="26" t="inlineStr">
        <is>
          <t>Product title</t>
        </is>
      </c>
      <c r="D91" s="26" t="inlineStr">
        <is>
          <t>Tier</t>
        </is>
      </c>
      <c r="E91" s="26" t="inlineStr">
        <is>
          <t>Competitor type</t>
        </is>
      </c>
      <c r="F91" s="26" t="inlineStr">
        <is>
          <t>Material</t>
        </is>
      </c>
      <c r="G91" s="26" t="inlineStr">
        <is>
          <t>Why this type</t>
        </is>
      </c>
      <c r="H91" s="26" t="inlineStr">
        <is>
          <t>Parent ASIN</t>
        </is>
      </c>
      <c r="I91" s="26" t="inlineStr">
        <is>
          <t>Tracked child ASIN</t>
        </is>
      </c>
      <c r="J91" s="26" t="inlineStr">
        <is>
          <t>Size</t>
        </is>
      </c>
      <c r="K91" s="26" t="inlineStr">
        <is>
          <t>Colour</t>
        </is>
      </c>
      <c r="L91" s="26" t="inlineStr">
        <is>
          <t>Variations</t>
        </is>
      </c>
      <c r="M91" s="26" t="inlineStr">
        <is>
          <t>Hero child ASINs (share of their visibility)</t>
        </is>
      </c>
      <c r="N91" s="26" t="inlineStr">
        <is>
          <t>Price ($)</t>
        </is>
      </c>
      <c r="O91" s="26" t="inlineStr">
        <is>
          <t>List Price ($)</t>
        </is>
      </c>
      <c r="P91" s="26" t="inlineStr">
        <is>
          <t>List Price % over</t>
        </is>
      </c>
      <c r="Q91" s="26" t="inlineStr">
        <is>
          <t>STR band</t>
        </is>
      </c>
      <c r="R91" s="26" t="inlineStr">
        <is>
          <t>Our price, same size ($)</t>
        </is>
      </c>
      <c r="S91" s="26" t="inlineStr">
        <is>
          <t>Their price vs ours</t>
        </is>
      </c>
      <c r="T91" s="26" t="inlineStr">
        <is>
          <t>Comparison basis</t>
        </is>
      </c>
      <c r="U91" s="26" t="inlineStr">
        <is>
          <t>BSR</t>
        </is>
      </c>
      <c r="V91" s="26" t="inlineStr">
        <is>
          <t>Est weekly units</t>
        </is>
      </c>
      <c r="W91" s="26" t="inlineStr">
        <is>
          <t>Est monthly revenue ($)</t>
        </is>
      </c>
      <c r="X91" s="26" t="inlineStr">
        <is>
          <t>Rating</t>
        </is>
      </c>
      <c r="Y91" s="26" t="inlineStr">
        <is>
          <t>Reviews</t>
        </is>
      </c>
      <c r="Z91" s="26" t="inlineStr">
        <is>
          <t>Snapshot date</t>
        </is>
      </c>
      <c r="AA91" s="26" t="inlineStr">
        <is>
          <t>Listed</t>
        </is>
      </c>
      <c r="AB91" s="26" t="inlineStr">
        <is>
          <t>Fulfil.</t>
        </is>
      </c>
      <c r="AC91" s="26" t="inlineStr">
        <is>
          <t>Seller country</t>
        </is>
      </c>
      <c r="AD91" s="26" t="inlineStr">
        <is>
          <t>search data 7d traffic</t>
        </is>
      </c>
      <c r="AE91" s="26" t="inlineStr">
        <is>
          <t>Keywords ranked</t>
        </is>
      </c>
      <c r="AF91" s="26" t="inlineStr">
        <is>
          <t>Organic share of traffic</t>
        </is>
      </c>
      <c r="AG91" s="26" t="inlineStr">
        <is>
          <t>Ad share of traffic</t>
        </is>
      </c>
      <c r="AH91" s="26" t="inlineStr">
        <is>
          <t>Top keyword</t>
        </is>
      </c>
      <c r="AI91" s="26" t="inlineStr">
        <is>
          <t>SP reach</t>
        </is>
      </c>
      <c r="AJ91" s="26" t="inlineStr">
        <is>
          <t>SB reach</t>
        </is>
      </c>
      <c r="AK91" s="26" t="inlineStr">
        <is>
          <t>SB video reach</t>
        </is>
      </c>
      <c r="AL91" s="26" t="inlineStr">
        <is>
          <t>Amazon's Choice reach</t>
        </is>
      </c>
      <c r="AM91" s="26" t="inlineStr">
        <is>
          <t>Shared keywords</t>
        </is>
      </c>
      <c r="AN91" s="26" t="inlineStr">
        <is>
          <t>We win</t>
        </is>
      </c>
      <c r="AO91" s="26" t="inlineStr">
        <is>
          <t>We lose</t>
        </is>
      </c>
      <c r="AP91" s="26" t="inlineStr">
        <is>
          <t>Their keywords we miss</t>
        </is>
      </c>
      <c r="AQ91" s="26" t="inlineStr">
        <is>
          <t>KWs they advertise, we don't</t>
        </is>
      </c>
      <c r="AR91" s="26" t="inlineStr">
        <is>
          <t>KWs they out-advertise us</t>
        </is>
      </c>
      <c r="AS91" s="26" t="inlineStr">
        <is>
          <t>Prime Day 2026 organic vis lift</t>
        </is>
      </c>
      <c r="AT91" s="26" t="inlineStr">
        <is>
          <t>Organic trend (Aug-Sep vs Q2)</t>
        </is>
      </c>
      <c r="AU91" s="26" t="inlineStr">
        <is>
          <t>STR showing now? (Y/N)</t>
        </is>
      </c>
      <c r="AV91" s="26" t="inlineStr">
        <is>
          <t>STR label</t>
        </is>
      </c>
      <c r="AW91" s="26" t="inlineStr">
        <is>
          <t>Strikethrough price ($)</t>
        </is>
      </c>
      <c r="AX91" s="26" t="inlineStr">
        <is>
          <t>Page price at check ($)</t>
        </is>
      </c>
      <c r="AY91" s="26" t="inlineStr">
        <is>
          <t>Deal / coupon now</t>
        </is>
      </c>
      <c r="AZ91" s="26" t="inlineStr">
        <is>
          <t>Orderable now (Y/N)</t>
        </is>
      </c>
      <c r="BA91" s="26" t="inlineStr">
        <is>
          <t>Checked (ET)</t>
        </is>
      </c>
      <c r="BB91" s="26" t="inlineStr">
        <is>
          <t>BFCM 2025 deal type</t>
        </is>
      </c>
      <c r="BC91" s="26" t="inlineStr">
        <is>
          <t>BFCM 2025 deal dates</t>
        </is>
      </c>
      <c r="BD91" s="26" t="inlineStr">
        <is>
          <t>Pre-event price ($)</t>
        </is>
      </c>
      <c r="BE91" s="26" t="inlineStr">
        <is>
          <t>BFCM 2025 low ($)</t>
        </is>
      </c>
      <c r="BF91" s="26" t="inlineStr">
        <is>
          <t>BFCM 2025 discount</t>
        </is>
      </c>
      <c r="BG91" s="26" t="inlineStr">
        <is>
          <t>BSR pre-event</t>
        </is>
      </c>
      <c r="BH91" s="26" t="inlineStr">
        <is>
          <t>BSR BFCM wk</t>
        </is>
      </c>
      <c r="BI91" s="26" t="inlineStr">
        <is>
          <t>BSR lift (x)</t>
        </is>
      </c>
      <c r="BJ91" s="26" t="inlineStr">
        <is>
          <t>OOS in BFCM? (Y/N)</t>
        </is>
      </c>
      <c r="BK91" s="26" t="inlineStr">
        <is>
          <t>Notes</t>
        </is>
      </c>
    </row>
    <row r="92" ht="62" customHeight="1">
      <c r="A92" s="12">
        <f>_xlfn.IMAGE("https://m.media-amazon.com/images/I/71lWpVXtIFL._AC_SL1500_.jpg")</f>
        <v/>
      </c>
      <c r="B92" s="105" t="inlineStr">
        <is>
          <t>REST</t>
        </is>
      </c>
      <c r="C92" s="39" t="inlineStr">
        <is>
          <t>Cooling Sheets</t>
        </is>
      </c>
      <c r="D92" s="105" t="inlineStr">
        <is>
          <t>Untiered</t>
        </is>
      </c>
      <c r="E92" s="106" t="inlineStr">
        <is>
          <t>Direct</t>
        </is>
      </c>
      <c r="F92" s="105" t="inlineStr">
        <is>
          <t>Synthetic cooling knit</t>
        </is>
      </c>
      <c r="G92" s="39" t="inlineStr">
        <is>
          <t>Same product (sheet set) in the same material family: Synthetic cooling knit (product page material: Antistatic, IONIC+ Silver Nylon, Nylon, Spandex, Skin Friend); ours: BreezeWeave cooling fabric, nylon-spandex like CooLoom (confirmed Oct 15, 2026).</t>
        </is>
      </c>
      <c r="H92" s="107" t="inlineStr">
        <is>
          <t>B0HC6866B7</t>
        </is>
      </c>
      <c r="I92" s="107" t="inlineStr">
        <is>
          <t>B0D9JHBBCZ</t>
        </is>
      </c>
      <c r="J92" s="105" t="inlineStr">
        <is>
          <t>Queen</t>
        </is>
      </c>
      <c r="K92" s="105" t="inlineStr">
        <is>
          <t>Midnight Blue</t>
        </is>
      </c>
      <c r="L92" s="108" t="n">
        <v>69</v>
      </c>
      <c r="M92" s="39" t="inlineStr">
        <is>
          <t>B0C56ZNQVQ (16%), B0BLYSGFRW (15%), B0BLYVMGYB (7%), B0BLYW9CJZ (7%), B0C56YLKZW (7%)</t>
        </is>
      </c>
      <c r="N92" s="109" t="n">
        <v>224.25</v>
      </c>
      <c r="O92" s="109" t="n">
        <v>299</v>
      </c>
      <c r="P92" s="110">
        <f>IF(AND(ISNUMBER(O92),ISNUMBER(N92),N(N92)&gt;0),O92/N92-1,"")</f>
        <v/>
      </c>
      <c r="Q92" s="111">
        <f>IF(P92="","No List Price",IF(P92&lt;=0,"At/below price",IF(P92&lt;=0.12,"&lt;=12% STR zone",IF(P92&lt;=0.25,"12-25%","&gt;25% over"))))</f>
        <v/>
      </c>
      <c r="R92" s="109" t="n"/>
      <c r="S92" s="112">
        <f>IF(AND(ISNUMBER(N92),ISNUMBER(R92),N(R92)&gt;0),N92/R92-1,"")</f>
        <v/>
      </c>
      <c r="T92" s="39" t="inlineStr">
        <is>
          <t>No price for us</t>
        </is>
      </c>
      <c r="U92" s="108" t="n">
        <v>5255</v>
      </c>
      <c r="V92" s="108" t="n">
        <v>81</v>
      </c>
      <c r="W92" s="113">
        <f>IF(AND(ISNUMBER(N92),ISNUMBER(V92)),N92*V92*52/12,"")</f>
        <v/>
      </c>
      <c r="X92" s="114" t="n">
        <v>4.3</v>
      </c>
      <c r="Y92" s="108" t="n">
        <v>1149</v>
      </c>
      <c r="Z92" s="115" t="n">
        <v>46307</v>
      </c>
      <c r="AA92" s="115" t="n"/>
      <c r="AB92" s="105" t="n"/>
      <c r="AC92" s="105" t="n"/>
      <c r="AD92" s="108" t="n">
        <v>522593</v>
      </c>
      <c r="AE92" s="108" t="n">
        <v>7281</v>
      </c>
      <c r="AF92" s="116" t="n">
        <v>0.2234137663535486</v>
      </c>
      <c r="AG92" s="116" t="n">
        <v>0.7765862336464519</v>
      </c>
      <c r="AH92" s="39" t="inlineStr">
        <is>
          <t>cooling sheets</t>
        </is>
      </c>
      <c r="AI92" s="116" t="n">
        <v>0.7800085343661319</v>
      </c>
      <c r="AJ92" s="116" t="n">
        <v>0.8614600654811679</v>
      </c>
      <c r="AK92" s="116" t="n">
        <v>0.4534561312531932</v>
      </c>
      <c r="AL92" s="116" t="n">
        <v>0.1182067115326841</v>
      </c>
      <c r="AM92" s="108" t="n"/>
      <c r="AN92" s="108" t="n"/>
      <c r="AO92" s="108" t="n"/>
      <c r="AP92" s="108" t="n"/>
      <c r="AQ92" s="108" t="n"/>
      <c r="AR92" s="108" t="n"/>
      <c r="AS92" s="117" t="n"/>
      <c r="AT92" s="112" t="n"/>
      <c r="AU92" s="118" t="inlineStr">
        <is>
          <t>Y</t>
        </is>
      </c>
      <c r="AV92" s="118" t="inlineStr">
        <is>
          <t>List Price</t>
        </is>
      </c>
      <c r="AW92" s="119" t="n">
        <v>299</v>
      </c>
      <c r="AX92" s="119" t="n">
        <v>224.25</v>
      </c>
      <c r="AY92" s="118" t="inlineStr">
        <is>
          <t>none</t>
        </is>
      </c>
      <c r="AZ92" s="118" t="inlineStr">
        <is>
          <t>Y</t>
        </is>
      </c>
      <c r="BA92" s="118" t="inlineStr">
        <is>
          <t>2026-10-13 12:12:07</t>
        </is>
      </c>
      <c r="BB92" s="120" t="inlineStr">
        <is>
          <t>Price cut only</t>
        </is>
      </c>
      <c r="BC92" s="120" t="inlineStr">
        <is>
          <t>11-20 to 12-01</t>
        </is>
      </c>
      <c r="BD92" s="121" t="n">
        <v>299</v>
      </c>
      <c r="BE92" s="121" t="n">
        <v>215.88</v>
      </c>
      <c r="BF92" s="110">
        <f>IF(AND(ISNUMBER(BD92),ISNUMBER(BE92),N(BD92)&gt;0),1-BE92/BD92,"")</f>
        <v/>
      </c>
      <c r="BG92" s="122" t="n">
        <v>30243</v>
      </c>
      <c r="BH92" s="122" t="n">
        <v>15706</v>
      </c>
      <c r="BI92" s="123">
        <f>IF(AND(ISNUMBER(BG92),ISNUMBER(BH92),N(BH92)&gt;0),BG92/BH92,"")</f>
        <v/>
      </c>
      <c r="BJ92" s="120" t="inlineStr">
        <is>
          <t>N</t>
        </is>
      </c>
      <c r="BK92" s="120" t="inlineStr">
        <is>
          <t>Lightning Deal 11-14 to 11-14; List Price $299.00</t>
        </is>
      </c>
    </row>
    <row r="93" ht="62" customHeight="1">
      <c r="A93" s="12">
        <f>_xlfn.IMAGE("https://m.media-amazon.com/images/I/81o+wGCszCL._AC_SL1500_.jpg")</f>
        <v/>
      </c>
      <c r="B93" s="105" t="inlineStr">
        <is>
          <t>Breescape</t>
        </is>
      </c>
      <c r="C93" s="39" t="inlineStr">
        <is>
          <t>Cooling Sheets</t>
        </is>
      </c>
      <c r="D93" s="105" t="inlineStr">
        <is>
          <t>Untiered</t>
        </is>
      </c>
      <c r="E93" s="106" t="inlineStr">
        <is>
          <t>Direct</t>
        </is>
      </c>
      <c r="F93" s="105" t="inlineStr">
        <is>
          <t>Synthetic cooling knit</t>
        </is>
      </c>
      <c r="G93" s="39" t="inlineStr">
        <is>
          <t>Same product (sheet set) in the same material family: Synthetic cooling knit (product page material: BlendTek Fabric: 69% Nylon, 20% Polyester, 11% Spandex); ours: BreezeWeave cooling fabric, nylon-spandex like CooLoom (confirmed Oct 15, 2026).</t>
        </is>
      </c>
      <c r="H93" s="107" t="inlineStr">
        <is>
          <t>B0H41M1N4B</t>
        </is>
      </c>
      <c r="I93" s="107" t="inlineStr">
        <is>
          <t>B0DSPZJKTB</t>
        </is>
      </c>
      <c r="J93" s="105" t="inlineStr">
        <is>
          <t>King</t>
        </is>
      </c>
      <c r="K93" s="105" t="inlineStr">
        <is>
          <t>Gray</t>
        </is>
      </c>
      <c r="L93" s="108" t="n">
        <v>26</v>
      </c>
      <c r="M93" s="39" t="inlineStr">
        <is>
          <t>B0DSPZJKTB (49%), B0DSPZSVFL (26%), B0DSPZKCCN (6%)</t>
        </is>
      </c>
      <c r="N93" s="109" t="n">
        <v>149.99</v>
      </c>
      <c r="O93" s="109" t="n">
        <v>179.99</v>
      </c>
      <c r="P93" s="110">
        <f>IF(AND(ISNUMBER(O93),ISNUMBER(N93),N(N93)&gt;0),O93/N93-1,"")</f>
        <v/>
      </c>
      <c r="Q93" s="111">
        <f>IF(P93="","No List Price",IF(P93&lt;=0,"At/below price",IF(P93&lt;=0.12,"&lt;=12% STR zone",IF(P93&lt;=0.25,"12-25%","&gt;25% over"))))</f>
        <v/>
      </c>
      <c r="R93" s="109" t="n"/>
      <c r="S93" s="112">
        <f>IF(AND(ISNUMBER(N93),ISNUMBER(R93),N(R93)&gt;0),N93/R93-1,"")</f>
        <v/>
      </c>
      <c r="T93" s="39" t="inlineStr">
        <is>
          <t>No price for us</t>
        </is>
      </c>
      <c r="U93" s="108" t="n">
        <v>49910</v>
      </c>
      <c r="V93" s="108" t="n">
        <v>35</v>
      </c>
      <c r="W93" s="113">
        <f>IF(AND(ISNUMBER(N93),ISNUMBER(V93)),N93*V93*52/12,"")</f>
        <v/>
      </c>
      <c r="X93" s="114" t="n">
        <v>4.2</v>
      </c>
      <c r="Y93" s="108" t="n">
        <v>595</v>
      </c>
      <c r="Z93" s="115" t="n">
        <v>46307</v>
      </c>
      <c r="AA93" s="115" t="n"/>
      <c r="AB93" s="105" t="n"/>
      <c r="AC93" s="105" t="n"/>
      <c r="AD93" s="108" t="n">
        <v>107224</v>
      </c>
      <c r="AE93" s="108" t="n">
        <v>1884</v>
      </c>
      <c r="AF93" s="116" t="n">
        <v>0.5282540960978878</v>
      </c>
      <c r="AG93" s="116" t="n">
        <v>0.4717459934343065</v>
      </c>
      <c r="AH93" s="39" t="inlineStr">
        <is>
          <t>cooling sheets</t>
        </is>
      </c>
      <c r="AI93" s="116" t="n">
        <v>0.853279116615683</v>
      </c>
      <c r="AJ93" s="116" t="n">
        <v>0.6382059986570171</v>
      </c>
      <c r="AK93" s="116" t="n">
        <v>0.7425203312691189</v>
      </c>
      <c r="AL93" s="116" t="n">
        <v>0.09657352831455644</v>
      </c>
      <c r="AM93" s="108" t="n"/>
      <c r="AN93" s="108" t="n"/>
      <c r="AO93" s="108" t="n"/>
      <c r="AP93" s="108" t="n"/>
      <c r="AQ93" s="108" t="n"/>
      <c r="AR93" s="108" t="n"/>
      <c r="AS93" s="117" t="n">
        <v>1.443271767810026</v>
      </c>
      <c r="AT93" s="112" t="n">
        <v>0.2381786339754817</v>
      </c>
      <c r="AU93" s="118" t="inlineStr">
        <is>
          <t>Y</t>
        </is>
      </c>
      <c r="AV93" s="118" t="inlineStr">
        <is>
          <t>List Price</t>
        </is>
      </c>
      <c r="AW93" s="119" t="n">
        <v>179.99</v>
      </c>
      <c r="AX93" s="119" t="n">
        <v>149.99</v>
      </c>
      <c r="AY93" s="118" t="inlineStr">
        <is>
          <t>none</t>
        </is>
      </c>
      <c r="AZ93" s="118" t="inlineStr">
        <is>
          <t>Y</t>
        </is>
      </c>
      <c r="BA93" s="118" t="inlineStr">
        <is>
          <t>2026-10-13 12:11:52</t>
        </is>
      </c>
      <c r="BB93" s="120" t="inlineStr">
        <is>
          <t>Price cut only</t>
        </is>
      </c>
      <c r="BC93" s="120" t="inlineStr">
        <is>
          <t>11-20 to 12-01</t>
        </is>
      </c>
      <c r="BD93" s="121" t="n">
        <v>125.99</v>
      </c>
      <c r="BE93" s="121" t="n">
        <v>119.69</v>
      </c>
      <c r="BF93" s="110">
        <f>IF(AND(ISNUMBER(BD93),ISNUMBER(BE93),N(BD93)&gt;0),1-BE93/BD93,"")</f>
        <v/>
      </c>
      <c r="BG93" s="122" t="n">
        <v>74970</v>
      </c>
      <c r="BH93" s="122" t="n">
        <v>53655</v>
      </c>
      <c r="BI93" s="123">
        <f>IF(AND(ISNUMBER(BG93),ISNUMBER(BH93),N(BH93)&gt;0),BG93/BH93,"")</f>
        <v/>
      </c>
      <c r="BJ93" s="120" t="inlineStr">
        <is>
          <t>N</t>
        </is>
      </c>
      <c r="BK93" s="120" t="inlineStr">
        <is>
          <t>Coupon 30% (11-01 to 11-02); List Price $179.99</t>
        </is>
      </c>
    </row>
    <row r="94" ht="62" customHeight="1">
      <c r="A94" s="12">
        <f>_xlfn.IMAGE("https://m.media-amazon.com/images/I/613kYEKI4UL._AC_SL1500_.jpg")</f>
        <v/>
      </c>
      <c r="B94" s="105" t="inlineStr">
        <is>
          <t>DOWNCOOL</t>
        </is>
      </c>
      <c r="C94" s="39" t="inlineStr">
        <is>
          <t>Cooling Sheets</t>
        </is>
      </c>
      <c r="D94" s="105" t="inlineStr">
        <is>
          <t>Untiered</t>
        </is>
      </c>
      <c r="E94" s="106" t="inlineStr">
        <is>
          <t>Direct</t>
        </is>
      </c>
      <c r="F94" s="105" t="inlineStr">
        <is>
          <t>Synthetic cooling knit</t>
        </is>
      </c>
      <c r="G94" s="39" t="inlineStr">
        <is>
          <t>Same product (sheet set) in the same material family: Synthetic cooling knit (product page material: Nylon); ours: BreezeWeave cooling fabric, nylon-spandex like CooLoom (confirmed Oct 15, 2026).</t>
        </is>
      </c>
      <c r="H94" s="107" t="inlineStr">
        <is>
          <t>B0F93XRVSZ</t>
        </is>
      </c>
      <c r="I94" s="107" t="inlineStr">
        <is>
          <t>B0F93XRVSZ</t>
        </is>
      </c>
      <c r="J94" s="105" t="inlineStr">
        <is>
          <t>Full</t>
        </is>
      </c>
      <c r="K94" s="105" t="inlineStr">
        <is>
          <t>White</t>
        </is>
      </c>
      <c r="L94" s="108" t="n"/>
      <c r="M94" s="39" t="inlineStr"/>
      <c r="N94" s="109" t="n">
        <v>139.99</v>
      </c>
      <c r="O94" s="109" t="n"/>
      <c r="P94" s="110">
        <f>IF(AND(ISNUMBER(O94),ISNUMBER(N94),N(N94)&gt;0),O94/N94-1,"")</f>
        <v/>
      </c>
      <c r="Q94" s="111">
        <f>IF(P94="","No List Price",IF(P94&lt;=0,"At/below price",IF(P94&lt;=0.12,"&lt;=12% STR zone",IF(P94&lt;=0.25,"12-25%","&gt;25% over"))))</f>
        <v/>
      </c>
      <c r="R94" s="109" t="n"/>
      <c r="S94" s="112">
        <f>IF(AND(ISNUMBER(N94),ISNUMBER(R94),N(R94)&gt;0),N94/R94-1,"")</f>
        <v/>
      </c>
      <c r="T94" s="39" t="inlineStr">
        <is>
          <t>No price for us</t>
        </is>
      </c>
      <c r="U94" s="108" t="n">
        <v>2798999</v>
      </c>
      <c r="V94" s="108" t="n">
        <v>5</v>
      </c>
      <c r="W94" s="113">
        <f>IF(AND(ISNUMBER(N94),ISNUMBER(V94)),N94*V94*52/12,"")</f>
        <v/>
      </c>
      <c r="X94" s="114" t="n">
        <v>4.2</v>
      </c>
      <c r="Y94" s="108" t="n">
        <v>6</v>
      </c>
      <c r="Z94" s="115" t="n">
        <v>46279</v>
      </c>
      <c r="AA94" s="115" t="n"/>
      <c r="AB94" s="105" t="n"/>
      <c r="AC94" s="105" t="n"/>
      <c r="AD94" s="108" t="n"/>
      <c r="AE94" s="108" t="n"/>
      <c r="AF94" s="116" t="n"/>
      <c r="AG94" s="116" t="n"/>
      <c r="AH94" s="39" t="n"/>
      <c r="AI94" s="116" t="n"/>
      <c r="AJ94" s="116" t="n"/>
      <c r="AK94" s="116" t="n"/>
      <c r="AL94" s="116" t="n"/>
      <c r="AM94" s="108" t="n"/>
      <c r="AN94" s="108" t="n"/>
      <c r="AO94" s="108" t="n"/>
      <c r="AP94" s="108" t="n"/>
      <c r="AQ94" s="108" t="n"/>
      <c r="AR94" s="108" t="n"/>
      <c r="AS94" s="117" t="n"/>
      <c r="AT94" s="112" t="n"/>
      <c r="AU94" s="118" t="inlineStr">
        <is>
          <t>N</t>
        </is>
      </c>
      <c r="AV94" s="118" t="inlineStr">
        <is>
          <t>none</t>
        </is>
      </c>
      <c r="AW94" s="124" t="n"/>
      <c r="AX94" s="124" t="n"/>
      <c r="AY94" s="118" t="inlineStr">
        <is>
          <t>none</t>
        </is>
      </c>
      <c r="AZ94" s="118" t="inlineStr">
        <is>
          <t>N</t>
        </is>
      </c>
      <c r="BA94" s="118" t="inlineStr">
        <is>
          <t>2026-10-13 12:11:54</t>
        </is>
      </c>
      <c r="BB94" s="120" t="inlineStr">
        <is>
          <t>Prime Exclusive Discount</t>
        </is>
      </c>
      <c r="BC94" s="120" t="inlineStr">
        <is>
          <t>11-21 to 12-01</t>
        </is>
      </c>
      <c r="BD94" s="121" t="n">
        <v>35.99</v>
      </c>
      <c r="BE94" s="121" t="n">
        <v>29.99</v>
      </c>
      <c r="BF94" s="110">
        <f>IF(AND(ISNUMBER(BD94),ISNUMBER(BE94),N(BD94)&gt;0),1-BE94/BD94,"")</f>
        <v/>
      </c>
      <c r="BG94" s="122" t="n">
        <v>223574</v>
      </c>
      <c r="BH94" s="122" t="n">
        <v>226828</v>
      </c>
      <c r="BI94" s="123">
        <f>IF(AND(ISNUMBER(BG94),ISNUMBER(BH94),N(BH94)&gt;0),BG94/BH94,"")</f>
        <v/>
      </c>
      <c r="BJ94" s="120" t="inlineStr">
        <is>
          <t>N</t>
        </is>
      </c>
      <c r="BK94" s="120" t="inlineStr">
        <is>
          <t>Buy Box RAISED in BFCM week (median $69.99 vs $35.99 before); List Price $69.99</t>
        </is>
      </c>
    </row>
    <row r="95" ht="62" customHeight="1">
      <c r="A95" s="12">
        <f>_xlfn.IMAGE("https://m.media-amazon.com/images/I/61lUaTQjkAL._AC_SL1500_.jpg")</f>
        <v/>
      </c>
      <c r="B95" s="105" t="inlineStr">
        <is>
          <t>Bedsure</t>
        </is>
      </c>
      <c r="C95" s="39" t="inlineStr">
        <is>
          <t>Cooling Sheets</t>
        </is>
      </c>
      <c r="D95" s="105" t="inlineStr">
        <is>
          <t>Untiered</t>
        </is>
      </c>
      <c r="E95" s="127" t="inlineStr">
        <is>
          <t>Material not verified</t>
        </is>
      </c>
      <c r="F95" s="105" t="n"/>
      <c r="G95" s="39" t="inlineStr">
        <is>
          <t>Sheet set like ours, but the material is not stated (material not stated on the page or in the title); verify before treating as direct.</t>
        </is>
      </c>
      <c r="H95" s="107" t="inlineStr">
        <is>
          <t>B0CPDTJ5NN</t>
        </is>
      </c>
      <c r="I95" s="107" t="inlineStr">
        <is>
          <t>B0CPDR5DDM</t>
        </is>
      </c>
      <c r="J95" s="105" t="inlineStr">
        <is>
          <t>Queen</t>
        </is>
      </c>
      <c r="K95" s="105" t="inlineStr">
        <is>
          <t>01 - Grey</t>
        </is>
      </c>
      <c r="L95" s="108" t="n">
        <v>1</v>
      </c>
      <c r="M95" s="39" t="inlineStr">
        <is>
          <t>B0DGWZTTRL (100%)</t>
        </is>
      </c>
      <c r="N95" s="109" t="n">
        <v>149.99</v>
      </c>
      <c r="O95" s="109" t="n"/>
      <c r="P95" s="110">
        <f>IF(AND(ISNUMBER(O95),ISNUMBER(N95),N(N95)&gt;0),O95/N95-1,"")</f>
        <v/>
      </c>
      <c r="Q95" s="111">
        <f>IF(P95="","No List Price",IF(P95&lt;=0,"At/below price",IF(P95&lt;=0.12,"&lt;=12% STR zone",IF(P95&lt;=0.25,"12-25%","&gt;25% over"))))</f>
        <v/>
      </c>
      <c r="R95" s="109" t="n"/>
      <c r="S95" s="112">
        <f>IF(AND(ISNUMBER(N95),ISNUMBER(R95),N(R95)&gt;0),N95/R95-1,"")</f>
        <v/>
      </c>
      <c r="T95" s="39" t="inlineStr">
        <is>
          <t>No price for us</t>
        </is>
      </c>
      <c r="U95" s="108" t="n">
        <v>463922</v>
      </c>
      <c r="V95" s="108" t="n">
        <v>5</v>
      </c>
      <c r="W95" s="113">
        <f>IF(AND(ISNUMBER(N95),ISNUMBER(V95)),N95*V95*52/12,"")</f>
        <v/>
      </c>
      <c r="X95" s="114" t="n">
        <v>4.2</v>
      </c>
      <c r="Y95" s="108" t="n">
        <v>512</v>
      </c>
      <c r="Z95" s="115" t="n">
        <v>46307</v>
      </c>
      <c r="AA95" s="115" t="n"/>
      <c r="AB95" s="105" t="n"/>
      <c r="AC95" s="105" t="n"/>
      <c r="AD95" s="108" t="n">
        <v>170</v>
      </c>
      <c r="AE95" s="108" t="n">
        <v>22</v>
      </c>
      <c r="AF95" s="116" t="n">
        <v>1</v>
      </c>
      <c r="AG95" s="116" t="n">
        <v>0</v>
      </c>
      <c r="AH95" s="39" t="inlineStr">
        <is>
          <t>bedsure cooling sheets</t>
        </is>
      </c>
      <c r="AI95" s="116" t="n"/>
      <c r="AJ95" s="116" t="n"/>
      <c r="AK95" s="116" t="n"/>
      <c r="AL95" s="116" t="n"/>
      <c r="AM95" s="108" t="n"/>
      <c r="AN95" s="108" t="n"/>
      <c r="AO95" s="108" t="n"/>
      <c r="AP95" s="108" t="n"/>
      <c r="AQ95" s="108" t="n"/>
      <c r="AR95" s="108" t="n"/>
      <c r="AS95" s="117" t="n"/>
      <c r="AT95" s="112" t="n"/>
      <c r="AU95" s="118" t="inlineStr">
        <is>
          <t>N</t>
        </is>
      </c>
      <c r="AV95" s="118" t="inlineStr">
        <is>
          <t>none</t>
        </is>
      </c>
      <c r="AW95" s="124" t="n"/>
      <c r="AX95" s="124" t="n"/>
      <c r="AY95" s="118" t="inlineStr">
        <is>
          <t>none</t>
        </is>
      </c>
      <c r="AZ95" s="118" t="inlineStr">
        <is>
          <t>N</t>
        </is>
      </c>
      <c r="BA95" s="118" t="inlineStr">
        <is>
          <t>2026-10-13 12:11:48</t>
        </is>
      </c>
      <c r="BB95" s="125" t="n"/>
      <c r="BC95" s="125" t="n"/>
      <c r="BD95" s="124" t="n"/>
      <c r="BE95" s="124" t="n"/>
      <c r="BF95" s="110">
        <f>IF(AND(ISNUMBER(BD95),ISNUMBER(BE95),N(BD95)&gt;0),1-BE95/BD95,"")</f>
        <v/>
      </c>
      <c r="BG95" s="126" t="n"/>
      <c r="BH95" s="126" t="n"/>
      <c r="BI95" s="123">
        <f>IF(AND(ISNUMBER(BG95),ISNUMBER(BH95),N(BH95)&gt;0),BG95/BH95,"")</f>
        <v/>
      </c>
      <c r="BJ95" s="120" t="inlineStr">
        <is>
          <t>Y</t>
        </is>
      </c>
      <c r="BK95" s="120" t="inlineStr">
        <is>
          <t>No Buy Box history in price history for BFCM 2025; List Price $82.99</t>
        </is>
      </c>
    </row>
    <row r="96" ht="62" customHeight="1">
      <c r="A96" s="45" t="inlineStr">
        <is>
          <t>COMING SOON</t>
        </is>
      </c>
      <c r="B96" s="105" t="inlineStr">
        <is>
          <t>David's Home</t>
        </is>
      </c>
      <c r="C96" s="39" t="inlineStr">
        <is>
          <t>Cooling Sheets</t>
        </is>
      </c>
      <c r="D96" s="105" t="inlineStr">
        <is>
          <t>Untiered</t>
        </is>
      </c>
      <c r="E96" s="127" t="inlineStr">
        <is>
          <t>Material not verified</t>
        </is>
      </c>
      <c r="F96" s="105" t="n"/>
      <c r="G96" s="39" t="inlineStr">
        <is>
          <t>Sheet set like ours, but the material is not stated (material not stated on the page or in the title); verify before treating as direct.</t>
        </is>
      </c>
      <c r="H96" s="107" t="inlineStr">
        <is>
          <t>B0D1SRR2H4</t>
        </is>
      </c>
      <c r="I96" s="107" t="inlineStr">
        <is>
          <t>B0D1RBXBNG</t>
        </is>
      </c>
      <c r="J96" s="105" t="n"/>
      <c r="K96" s="105" t="n"/>
      <c r="L96" s="108" t="n"/>
      <c r="M96" s="39" t="inlineStr"/>
      <c r="N96" s="109" t="n">
        <v>24.99</v>
      </c>
      <c r="O96" s="109" t="n"/>
      <c r="P96" s="110">
        <f>IF(AND(ISNUMBER(O96),ISNUMBER(N96),N(N96)&gt;0),O96/N96-1,"")</f>
        <v/>
      </c>
      <c r="Q96" s="111">
        <f>IF(P96="","No List Price",IF(P96&lt;=0,"At/below price",IF(P96&lt;=0.12,"&lt;=12% STR zone",IF(P96&lt;=0.25,"12-25%","&gt;25% over"))))</f>
        <v/>
      </c>
      <c r="R96" s="109" t="n"/>
      <c r="S96" s="112">
        <f>IF(AND(ISNUMBER(N96),ISNUMBER(R96),N(R96)&gt;0),N96/R96-1,"")</f>
        <v/>
      </c>
      <c r="T96" s="39" t="inlineStr">
        <is>
          <t>No price for us</t>
        </is>
      </c>
      <c r="U96" s="108" t="n">
        <v>758020</v>
      </c>
      <c r="V96" s="108" t="n"/>
      <c r="W96" s="113">
        <f>IF(AND(ISNUMBER(N96),ISNUMBER(V96)),N96*V96*52/12,"")</f>
        <v/>
      </c>
      <c r="X96" s="114" t="n">
        <v>4.3</v>
      </c>
      <c r="Y96" s="108" t="n">
        <v>169</v>
      </c>
      <c r="Z96" s="115" t="n">
        <v>46307</v>
      </c>
      <c r="AA96" s="115" t="n"/>
      <c r="AB96" s="105" t="n"/>
      <c r="AC96" s="105" t="n"/>
      <c r="AD96" s="108" t="n"/>
      <c r="AE96" s="108" t="n"/>
      <c r="AF96" s="116" t="n"/>
      <c r="AG96" s="116" t="n"/>
      <c r="AH96" s="39" t="n"/>
      <c r="AI96" s="116" t="n"/>
      <c r="AJ96" s="116" t="n"/>
      <c r="AK96" s="116" t="n"/>
      <c r="AL96" s="116" t="n"/>
      <c r="AM96" s="108" t="n"/>
      <c r="AN96" s="108" t="n"/>
      <c r="AO96" s="108" t="n"/>
      <c r="AP96" s="108" t="n"/>
      <c r="AQ96" s="108" t="n"/>
      <c r="AR96" s="108" t="n"/>
      <c r="AS96" s="117" t="n"/>
      <c r="AT96" s="112" t="n"/>
      <c r="AU96" s="118" t="inlineStr">
        <is>
          <t>unknown</t>
        </is>
      </c>
      <c r="AV96" s="125" t="n"/>
      <c r="AW96" s="124" t="n"/>
      <c r="AX96" s="124" t="n"/>
      <c r="AY96" s="125" t="n"/>
      <c r="AZ96" s="125" t="n"/>
      <c r="BA96" s="118" t="inlineStr">
        <is>
          <t>2026-10-13 12:11:57</t>
        </is>
      </c>
      <c r="BB96" s="120" t="inlineStr">
        <is>
          <t>Prime Exclusive Discount</t>
        </is>
      </c>
      <c r="BC96" s="120" t="inlineStr">
        <is>
          <t>11-24 to 11-27</t>
        </is>
      </c>
      <c r="BD96" s="121" t="n">
        <v>39.99</v>
      </c>
      <c r="BE96" s="121" t="n">
        <v>10</v>
      </c>
      <c r="BF96" s="110">
        <f>IF(AND(ISNUMBER(BD96),ISNUMBER(BE96),N(BD96)&gt;0),1-BE96/BD96,"")</f>
        <v/>
      </c>
      <c r="BG96" s="122" t="n">
        <v>437868</v>
      </c>
      <c r="BH96" s="122" t="n">
        <v>446244</v>
      </c>
      <c r="BI96" s="123">
        <f>IF(AND(ISNUMBER(BG96),ISNUMBER(BH96),N(BH96)&gt;0),BG96/BH96,"")</f>
        <v/>
      </c>
      <c r="BJ96" s="120" t="inlineStr">
        <is>
          <t>Y</t>
        </is>
      </c>
      <c r="BK96" s="120" t="inlineStr">
        <is>
          <t>Coupon 20%, 40% (11-01 to 11-20); List Price $67.99</t>
        </is>
      </c>
    </row>
    <row r="97" ht="62" customHeight="1">
      <c r="A97" s="12">
        <f>_xlfn.IMAGE("https://images-na.ssl-images-amazon.com/images/I/81L2xb5ly6L.jpg")</f>
        <v/>
      </c>
      <c r="B97" s="105" t="inlineStr">
        <is>
          <t>Bedsure</t>
        </is>
      </c>
      <c r="C97" s="39" t="inlineStr">
        <is>
          <t>Bedsure PureWoven 100% Rayon Derived from Bamboo, Queen Sheets, 4 Pieces</t>
        </is>
      </c>
      <c r="D97" s="105" t="inlineStr">
        <is>
          <t>Untiered</t>
        </is>
      </c>
      <c r="E97" s="128" t="inlineStr">
        <is>
          <t>Alternative material</t>
        </is>
      </c>
      <c r="F97" s="105" t="inlineStr">
        <is>
          <t>Bamboo viscose</t>
        </is>
      </c>
      <c r="G97" s="39" t="inlineStr">
        <is>
          <t>Sheet set in Bamboo viscose (product page material: Rayon Derived from Bamboo); ours is Synthetic cooling knit (BreezeWeave cooling fabric, nylon-spandex like CooLoom (confirmed Oct 15, 2026)). Shopper may cross-shop, but not like-for-like.</t>
        </is>
      </c>
      <c r="H97" s="107" t="inlineStr">
        <is>
          <t>B0BZ8T5BJ6</t>
        </is>
      </c>
      <c r="I97" s="107" t="inlineStr">
        <is>
          <t>B07YK8VTJV</t>
        </is>
      </c>
      <c r="J97" s="105" t="inlineStr">
        <is>
          <t>Queen</t>
        </is>
      </c>
      <c r="K97" s="105" t="inlineStr">
        <is>
          <t>02 - White</t>
        </is>
      </c>
      <c r="L97" s="108" t="n">
        <v>131</v>
      </c>
      <c r="M97" s="39" t="inlineStr">
        <is>
          <t>B07YKCZHGK (29%), B07YK8VTJV (19%), B07YKCQBBL (14%), B07YKCB6GL (9%), B08CXWHQT2 (6%)</t>
        </is>
      </c>
      <c r="N97" s="109" t="n">
        <v>62.99</v>
      </c>
      <c r="O97" s="109" t="n">
        <v>69.98999999999999</v>
      </c>
      <c r="P97" s="110">
        <f>IF(AND(ISNUMBER(O97),ISNUMBER(N97),N(N97)&gt;0),O97/N97-1,"")</f>
        <v/>
      </c>
      <c r="Q97" s="111">
        <f>IF(P97="","No List Price",IF(P97&lt;=0,"At/below price",IF(P97&lt;=0.12,"&lt;=12% STR zone",IF(P97&lt;=0.25,"12-25%","&gt;25% over"))))</f>
        <v/>
      </c>
      <c r="R97" s="109" t="n"/>
      <c r="S97" s="112">
        <f>IF(AND(ISNUMBER(N97),ISNUMBER(R97),N(R97)&gt;0),N97/R97-1,"")</f>
        <v/>
      </c>
      <c r="T97" s="39" t="inlineStr">
        <is>
          <t>No price for us</t>
        </is>
      </c>
      <c r="U97" s="108" t="n">
        <v>256</v>
      </c>
      <c r="V97" s="108" t="n">
        <v>809</v>
      </c>
      <c r="W97" s="113">
        <f>IF(AND(ISNUMBER(N97),ISNUMBER(V97)),N97*V97*52/12,"")</f>
        <v/>
      </c>
      <c r="X97" s="114" t="n">
        <v>4.4</v>
      </c>
      <c r="Y97" s="108" t="n">
        <v>65061</v>
      </c>
      <c r="Z97" s="115" t="n">
        <v>46307</v>
      </c>
      <c r="AA97" s="115" t="n">
        <v>43348</v>
      </c>
      <c r="AB97" s="105" t="inlineStr">
        <is>
          <t>FBA</t>
        </is>
      </c>
      <c r="AC97" s="105" t="inlineStr">
        <is>
          <t>US</t>
        </is>
      </c>
      <c r="AD97" s="108" t="n">
        <v>2166046</v>
      </c>
      <c r="AE97" s="108" t="n">
        <v>6935</v>
      </c>
      <c r="AF97" s="116" t="n">
        <v>0.5902383405984899</v>
      </c>
      <c r="AG97" s="116" t="n">
        <v>0.4097618027040986</v>
      </c>
      <c r="AH97" s="39" t="inlineStr">
        <is>
          <t>bamboo sheets</t>
        </is>
      </c>
      <c r="AI97" s="116" t="n">
        <v>0.9388327856379781</v>
      </c>
      <c r="AJ97" s="116" t="n">
        <v>0.9371818511702891</v>
      </c>
      <c r="AK97" s="116" t="n">
        <v>0.6488394059959945</v>
      </c>
      <c r="AL97" s="116" t="n">
        <v>0.3206907886536112</v>
      </c>
      <c r="AM97" s="108" t="n"/>
      <c r="AN97" s="108" t="n"/>
      <c r="AO97" s="108" t="n"/>
      <c r="AP97" s="108" t="n"/>
      <c r="AQ97" s="108" t="n"/>
      <c r="AR97" s="108" t="n"/>
      <c r="AS97" s="117" t="n">
        <v>1.066623404715553</v>
      </c>
      <c r="AT97" s="112" t="n">
        <v>-0.05727665706051865</v>
      </c>
      <c r="AU97" s="118" t="inlineStr">
        <is>
          <t>Y</t>
        </is>
      </c>
      <c r="AV97" s="118" t="inlineStr">
        <is>
          <t>List Price</t>
        </is>
      </c>
      <c r="AW97" s="119" t="n">
        <v>69.98999999999999</v>
      </c>
      <c r="AX97" s="119" t="n">
        <v>62.99</v>
      </c>
      <c r="AY97" s="118" t="inlineStr">
        <is>
          <t>none</t>
        </is>
      </c>
      <c r="AZ97" s="118" t="inlineStr">
        <is>
          <t>Y</t>
        </is>
      </c>
      <c r="BA97" s="118" t="inlineStr">
        <is>
          <t>2026-10-13 12:10:35</t>
        </is>
      </c>
      <c r="BB97" s="120" t="inlineStr">
        <is>
          <t>Prime Exclusive Discount</t>
        </is>
      </c>
      <c r="BC97" s="120" t="inlineStr">
        <is>
          <t>11-23 to 12-01</t>
        </is>
      </c>
      <c r="BD97" s="121" t="n">
        <v>66.48999999999999</v>
      </c>
      <c r="BE97" s="121" t="n">
        <v>55.99</v>
      </c>
      <c r="BF97" s="110">
        <f>IF(AND(ISNUMBER(BD97),ISNUMBER(BE97),N(BD97)&gt;0),1-BE97/BD97,"")</f>
        <v/>
      </c>
      <c r="BG97" s="122" t="n">
        <v>156</v>
      </c>
      <c r="BH97" s="122" t="n">
        <v>228</v>
      </c>
      <c r="BI97" s="123">
        <f>IF(AND(ISNUMBER(BG97),ISNUMBER(BH97),N(BH97)&gt;0),BG97/BH97,"")</f>
        <v/>
      </c>
      <c r="BJ97" s="120" t="inlineStr">
        <is>
          <t>N</t>
        </is>
      </c>
      <c r="BK97" s="120" t="inlineStr">
        <is>
          <t>Buy Box RAISED in BFCM week (median $69.99 vs $66.49 before); List Price $78.99</t>
        </is>
      </c>
    </row>
    <row r="98" ht="62" customHeight="1">
      <c r="A98" s="12">
        <f>_xlfn.IMAGE("https://m.media-amazon.com/images/I/818EX2hLSoL._AC_SL1500_.jpg")</f>
        <v/>
      </c>
      <c r="B98" s="105" t="inlineStr">
        <is>
          <t>OMERAI</t>
        </is>
      </c>
      <c r="C98" s="39" t="inlineStr">
        <is>
          <t>Cooling Sheets</t>
        </is>
      </c>
      <c r="D98" s="105" t="inlineStr">
        <is>
          <t>Untiered</t>
        </is>
      </c>
      <c r="E98" s="128" t="inlineStr">
        <is>
          <t>Alternative material</t>
        </is>
      </c>
      <c r="F98" s="105" t="inlineStr">
        <is>
          <t>Microfiber / polyester</t>
        </is>
      </c>
      <c r="G98" s="39" t="inlineStr">
        <is>
          <t>Sheet set in Microfiber / polyester (product page material: Microfiber); ours is Synthetic cooling knit (BreezeWeave cooling fabric, nylon-spandex like CooLoom (confirmed Oct 15, 2026)). Shopper may cross-shop, but not like-for-like.</t>
        </is>
      </c>
      <c r="H98" s="107" t="inlineStr">
        <is>
          <t>B0HDC7BMTC</t>
        </is>
      </c>
      <c r="I98" s="107" t="inlineStr">
        <is>
          <t>B0FX8K1CG9</t>
        </is>
      </c>
      <c r="J98" s="105" t="inlineStr">
        <is>
          <t>King 4 PC</t>
        </is>
      </c>
      <c r="K98" s="105" t="inlineStr">
        <is>
          <t>Blue</t>
        </is>
      </c>
      <c r="L98" s="108" t="n">
        <v>10</v>
      </c>
      <c r="M98" s="39" t="inlineStr">
        <is>
          <t>B0BM9K24ST (46%), B0BM9GLKYV (43%)</t>
        </is>
      </c>
      <c r="N98" s="109" t="n">
        <v>42.99</v>
      </c>
      <c r="O98" s="109" t="n">
        <v>59.99</v>
      </c>
      <c r="P98" s="110">
        <f>IF(AND(ISNUMBER(O98),ISNUMBER(N98),N(N98)&gt;0),O98/N98-1,"")</f>
        <v/>
      </c>
      <c r="Q98" s="111">
        <f>IF(P98="","No List Price",IF(P98&lt;=0,"At/below price",IF(P98&lt;=0.12,"&lt;=12% STR zone",IF(P98&lt;=0.25,"12-25%","&gt;25% over"))))</f>
        <v/>
      </c>
      <c r="R98" s="109" t="n"/>
      <c r="S98" s="112">
        <f>IF(AND(ISNUMBER(N98),ISNUMBER(R98),N(R98)&gt;0),N98/R98-1,"")</f>
        <v/>
      </c>
      <c r="T98" s="39" t="inlineStr">
        <is>
          <t>No price for us</t>
        </is>
      </c>
      <c r="U98" s="108" t="n">
        <v>115669</v>
      </c>
      <c r="V98" s="108" t="n">
        <v>5</v>
      </c>
      <c r="W98" s="113">
        <f>IF(AND(ISNUMBER(N98),ISNUMBER(V98)),N98*V98*52/12,"")</f>
        <v/>
      </c>
      <c r="X98" s="114" t="n">
        <v>4.7</v>
      </c>
      <c r="Y98" s="108" t="n">
        <v>4</v>
      </c>
      <c r="Z98" s="115" t="n">
        <v>46307</v>
      </c>
      <c r="AA98" s="115" t="n"/>
      <c r="AB98" s="105" t="n"/>
      <c r="AC98" s="105" t="n"/>
      <c r="AD98" s="108" t="n">
        <v>13712</v>
      </c>
      <c r="AE98" s="108" t="n">
        <v>332</v>
      </c>
      <c r="AF98" s="116" t="n">
        <v>0.8852072199533255</v>
      </c>
      <c r="AG98" s="116" t="n">
        <v>0.1147927800466745</v>
      </c>
      <c r="AH98" s="39" t="inlineStr">
        <is>
          <t>cooling sheets queen</t>
        </is>
      </c>
      <c r="AI98" s="116" t="n">
        <v>0.8668319719953326</v>
      </c>
      <c r="AJ98" s="116" t="n"/>
      <c r="AK98" s="116" t="n"/>
      <c r="AL98" s="116" t="n"/>
      <c r="AM98" s="108" t="n"/>
      <c r="AN98" s="108" t="n"/>
      <c r="AO98" s="108" t="n"/>
      <c r="AP98" s="108" t="n"/>
      <c r="AQ98" s="108" t="n"/>
      <c r="AR98" s="108" t="n"/>
      <c r="AS98" s="117" t="n"/>
      <c r="AT98" s="112" t="n"/>
      <c r="AU98" s="118" t="inlineStr">
        <is>
          <t>Y</t>
        </is>
      </c>
      <c r="AV98" s="118" t="inlineStr">
        <is>
          <t>List Price</t>
        </is>
      </c>
      <c r="AW98" s="119" t="n">
        <v>59.99</v>
      </c>
      <c r="AX98" s="119" t="n">
        <v>42.99</v>
      </c>
      <c r="AY98" s="118" t="inlineStr">
        <is>
          <t>coupon 20%</t>
        </is>
      </c>
      <c r="AZ98" s="118" t="inlineStr">
        <is>
          <t>Y</t>
        </is>
      </c>
      <c r="BA98" s="118" t="inlineStr">
        <is>
          <t>2026-10-13 12:12:04</t>
        </is>
      </c>
      <c r="BB98" s="120" t="inlineStr">
        <is>
          <t>Not live in 2025</t>
        </is>
      </c>
      <c r="BC98" s="125" t="n"/>
      <c r="BD98" s="124" t="n"/>
      <c r="BE98" s="124" t="n"/>
      <c r="BF98" s="110">
        <f>IF(AND(ISNUMBER(BD98),ISNUMBER(BE98),N(BD98)&gt;0),1-BE98/BD98,"")</f>
        <v/>
      </c>
      <c r="BG98" s="126" t="n"/>
      <c r="BH98" s="126" t="n"/>
      <c r="BI98" s="123">
        <f>IF(AND(ISNUMBER(BG98),ISNUMBER(BH98),N(BH98)&gt;0),BG98/BH98,"")</f>
        <v/>
      </c>
      <c r="BJ98" s="125" t="n"/>
      <c r="BK98" s="125" t="n"/>
    </row>
    <row r="99"/>
    <row r="100" ht="22" customHeight="1">
      <c r="A100" s="65" t="inlineStr">
        <is>
          <t>5 ▼</t>
        </is>
      </c>
      <c r="B100" s="66" t="inlineStr">
        <is>
          <t>WHAT THIS MEANS FOR BFCM</t>
        </is>
      </c>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67" t="n"/>
      <c r="AG100" s="67" t="n"/>
      <c r="AH100" s="67" t="n"/>
      <c r="AI100" s="67" t="n"/>
      <c r="AJ100" s="67" t="n"/>
      <c r="AK100" s="67" t="n"/>
      <c r="AL100" s="67" t="n"/>
      <c r="AM100" s="67" t="n"/>
      <c r="AN100" s="67" t="n"/>
      <c r="AO100" s="67" t="n"/>
      <c r="AP100" s="67" t="n"/>
      <c r="AQ100" s="67" t="n"/>
      <c r="AR100" s="67" t="n"/>
      <c r="AS100" s="67" t="n"/>
      <c r="AT100" s="67" t="n"/>
      <c r="AU100" s="67" t="n"/>
      <c r="AV100" s="67" t="n"/>
      <c r="AW100" s="67" t="n"/>
      <c r="AX100" s="67" t="n"/>
      <c r="AY100" s="67" t="n"/>
      <c r="AZ100" s="67" t="n"/>
      <c r="BA100" s="67" t="n"/>
      <c r="BB100" s="67" t="n"/>
      <c r="BC100" s="67" t="n"/>
      <c r="BD100" s="67" t="n"/>
      <c r="BE100" s="67" t="n"/>
      <c r="BF100" s="67" t="n"/>
      <c r="BG100" s="67" t="n"/>
      <c r="BH100" s="67" t="n"/>
      <c r="BI100" s="67" t="n"/>
      <c r="BJ100" s="67" t="n"/>
      <c r="BK100" s="67" t="n"/>
    </row>
    <row r="101" ht="30" customHeight="1">
      <c r="A101" s="129" t="inlineStr">
        <is>
          <t>• Who sells most: Bedsure ~809/wk at $62.99 (List $69.99, +11%); REST ~81/wk at $224.25 (List $299.00, +33%); Breescape ~35/wk at $149.99 (List $179.99, +20%); DOWNCOOL ~5/wk at $139.99; Bedsure ~5/wk at $149.99. Tracked rivals ~940 units/wk; we sell ~0/wk (0.0% of the tracked set).</t>
        </is>
      </c>
    </row>
    <row r="102" ht="18" customHeight="1">
      <c r="A102" s="129" t="inlineStr">
        <is>
          <t>• Strikethrough: 4 of 7 rivals set a List Price above price; 1 within 12%: Bedsure +11%.</t>
        </is>
      </c>
    </row>
    <row r="103" ht="18" customHeight="1">
      <c r="A103" s="129" t="inlineStr">
        <is>
          <t>• Price: 0 of 7 rivals sit below our price today (same size where the title states one). Cheapest strong rivals:.</t>
        </is>
      </c>
    </row>
    <row r="104" ht="30" customHeight="1">
      <c r="A104" s="129" t="inlineStr">
        <is>
          <t>• Strikethrough on the page today (Oct 13 check): 4 of 6 checked rivals show one: REST List Price $299.00 vs $224.25 (+33%), Breescape List Price $179.99 vs $149.99 (+20%), Bedsure List Price $69.99 vs $62.99 (+11%), OMERAI List Price $59.99 vs $42.99 (+40%).</t>
        </is>
      </c>
    </row>
    <row r="105" ht="30" customHeight="1">
      <c r="A105" s="129" t="inlineStr">
        <is>
          <t>• BFCM 2025, 5 rivals with price history history: Prime Exclusive Discount 3, Price cut only 2. Median depth vs their Nov 1-19 price 17%; median BSR lift 0.99x. 2 raised their Buy Box in BFCM week, so their deal looked deeper than it was.</t>
        </is>
      </c>
    </row>
    <row r="106" ht="18" customHeight="1">
      <c r="A106" s="129" t="inlineStr">
        <is>
          <t>• 1 rival not in the price history pulls yet (yellow BFCM 2025 columns) - remaining P2 batches,.</t>
        </is>
      </c>
    </row>
  </sheetData>
  <autoFilter ref="B91:BK98"/>
  <mergeCells count="55">
    <mergeCell ref="BB90:BK90"/>
    <mergeCell ref="A80:C80"/>
    <mergeCell ref="L5:Q5"/>
    <mergeCell ref="Q11:T11"/>
    <mergeCell ref="A103:BK103"/>
    <mergeCell ref="L8:Q8"/>
    <mergeCell ref="L4:Q4"/>
    <mergeCell ref="D7:I7"/>
    <mergeCell ref="A13:D13"/>
    <mergeCell ref="N90:Z90"/>
    <mergeCell ref="I13:L13"/>
    <mergeCell ref="D4:I4"/>
    <mergeCell ref="L10:Q10"/>
    <mergeCell ref="E12:H12"/>
    <mergeCell ref="Q13:T13"/>
    <mergeCell ref="D9:I9"/>
    <mergeCell ref="A84:BK84"/>
    <mergeCell ref="U12:X12"/>
    <mergeCell ref="L9:Q9"/>
    <mergeCell ref="Q12:T12"/>
    <mergeCell ref="A90:K90"/>
    <mergeCell ref="A11:D11"/>
    <mergeCell ref="I11:L11"/>
    <mergeCell ref="A81:C81"/>
    <mergeCell ref="D8:I8"/>
    <mergeCell ref="L6:Q6"/>
    <mergeCell ref="A4:B9"/>
    <mergeCell ref="AD90:AT90"/>
    <mergeCell ref="A101:BK101"/>
    <mergeCell ref="T6:Y6"/>
    <mergeCell ref="A105:BK105"/>
    <mergeCell ref="A104:BK104"/>
    <mergeCell ref="D5:I5"/>
    <mergeCell ref="A85:BK85"/>
    <mergeCell ref="M11:P11"/>
    <mergeCell ref="U11:X11"/>
    <mergeCell ref="A83:C83"/>
    <mergeCell ref="A106:BK106"/>
    <mergeCell ref="E13:H13"/>
    <mergeCell ref="A82:C82"/>
    <mergeCell ref="AA90:AC90"/>
    <mergeCell ref="AU90:BA90"/>
    <mergeCell ref="D10:I10"/>
    <mergeCell ref="L7:Q7"/>
    <mergeCell ref="T5:Y5"/>
    <mergeCell ref="J2:BK2"/>
    <mergeCell ref="A12:D12"/>
    <mergeCell ref="M13:P13"/>
    <mergeCell ref="I12:L12"/>
    <mergeCell ref="U13:X13"/>
    <mergeCell ref="M12:P12"/>
    <mergeCell ref="A102:BK102"/>
    <mergeCell ref="T4:Y4"/>
    <mergeCell ref="D6:I6"/>
    <mergeCell ref="E11:H11"/>
  </mergeCells>
  <conditionalFormatting sqref="Q92:Q98">
    <cfRule type="expression" priority="1" dxfId="1">
      <formula>Q92="&lt;=12% STR zone"</formula>
    </cfRule>
  </conditionalFormatting>
  <conditionalFormatting sqref="Z92:Z98">
    <cfRule type="expression" priority="2" dxfId="0">
      <formula>AND(ISNUMBER(Z92),Z92&lt;DATE(2026,10,6))</formula>
    </cfRule>
  </conditionalFormatting>
  <conditionalFormatting sqref="T92:T98">
    <cfRule type="expression" priority="3" dxfId="0">
      <formula>ISNUMBER(SEARCH("STALE",T92))</formula>
    </cfRule>
  </conditionalFormatting>
  <conditionalFormatting sqref="S92:S98">
    <cfRule type="expression" priority="4" dxfId="0">
      <formula>AND(ISNUMBER(S92),S92&lt;0)</formula>
    </cfRule>
  </conditionalFormatting>
  <dataValidations count="3">
    <dataValidation sqref="AU92:AU98 BJ92:BJ98" showDropDown="0" showInputMessage="0" showErrorMessage="0" allowBlank="1" type="list">
      <formula1>"Y,N"</formula1>
    </dataValidation>
    <dataValidation sqref="AV92:AV98" showDropDown="0" showInputMessage="0" showErrorMessage="0" allowBlank="1" type="list">
      <formula1>"List Price,Typical price,Was price,None"</formula1>
    </dataValidation>
    <dataValidation sqref="BB92:BB98"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Cooling 6pc'!A3" display="1 Our product ↓"/>
    <hyperlink ref="D2" location="'US SL Cooling 6pc'!A15" display="2 Our variations ↓"/>
    <hyperlink ref="E2" location="'US SL Cooling 6pc'!A79" display="3 Our BFCM 2025 ↓"/>
    <hyperlink ref="F2" location="'US SL Cooling 6pc'!A88" display="4 COMPETITORS (7 mapped) ↓"/>
    <hyperlink ref="G2" location="'US SL Cooling 6pc'!A100" display="5 What it means ↓"/>
    <hyperlink xmlns:r="http://schemas.openxmlformats.org/officeDocument/2006/relationships" ref="H92" r:id="rId1"/>
    <hyperlink xmlns:r="http://schemas.openxmlformats.org/officeDocument/2006/relationships" ref="I92" r:id="rId2"/>
    <hyperlink xmlns:r="http://schemas.openxmlformats.org/officeDocument/2006/relationships" ref="H93" r:id="rId3"/>
    <hyperlink xmlns:r="http://schemas.openxmlformats.org/officeDocument/2006/relationships" ref="I93" r:id="rId4"/>
    <hyperlink xmlns:r="http://schemas.openxmlformats.org/officeDocument/2006/relationships" ref="H94" r:id="rId5"/>
    <hyperlink xmlns:r="http://schemas.openxmlformats.org/officeDocument/2006/relationships" ref="I94" r:id="rId6"/>
    <hyperlink xmlns:r="http://schemas.openxmlformats.org/officeDocument/2006/relationships" ref="H95" r:id="rId7"/>
    <hyperlink xmlns:r="http://schemas.openxmlformats.org/officeDocument/2006/relationships" ref="I95" r:id="rId8"/>
    <hyperlink xmlns:r="http://schemas.openxmlformats.org/officeDocument/2006/relationships" ref="H96" r:id="rId9"/>
    <hyperlink xmlns:r="http://schemas.openxmlformats.org/officeDocument/2006/relationships" ref="I96" r:id="rId10"/>
    <hyperlink xmlns:r="http://schemas.openxmlformats.org/officeDocument/2006/relationships" ref="H97" r:id="rId11"/>
    <hyperlink xmlns:r="http://schemas.openxmlformats.org/officeDocument/2006/relationships" ref="I97" r:id="rId12"/>
    <hyperlink xmlns:r="http://schemas.openxmlformats.org/officeDocument/2006/relationships" ref="H98" r:id="rId13"/>
    <hyperlink xmlns:r="http://schemas.openxmlformats.org/officeDocument/2006/relationships" ref="I98" r:id="rId14"/>
  </hyperlinks>
  <pageMargins left="0.75" right="0.75" top="1" bottom="1" header="0.5" footer="0.5"/>
  <drawing xmlns:r="http://schemas.openxmlformats.org/officeDocument/2006/relationships" r:id="rId15"/>
  <legacyDrawing xmlns:r="http://schemas.openxmlformats.org/officeDocument/2006/relationships" r:id="anysvml"/>
</worksheet>
</file>

<file path=xl/worksheets/sheet23.xml><?xml version="1.0" encoding="utf-8"?>
<worksheet xmlns="http://schemas.openxmlformats.org/spreadsheetml/2006/main">
  <sheetPr>
    <tabColor rgb="009DC3E6"/>
    <outlinePr summaryBelow="1" summaryRight="1"/>
    <pageSetUpPr/>
  </sheetPr>
  <dimension ref="A1:BK13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CooLinens Cooling Sheets 4 Piece · Amazon.com (US) · Cooling · BFCM role: Launch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(38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_xlfn.IMAGE("https://m.media-amazon.com/images/I/81GLNCr7elL.jpg")</f>
        <v/>
      </c>
      <c r="C4" s="13" t="inlineStr">
        <is>
          <t>Title</t>
        </is>
      </c>
      <c r="D4" s="14" t="inlineStr">
        <is>
          <t>COOLINENS Cooling Sheets Queen Size | 4 Piece Set for Hot Sleepers</t>
        </is>
      </c>
      <c r="K4" s="13" t="inlineStr">
        <is>
          <t>Sizes</t>
        </is>
      </c>
      <c r="L4" s="68" t="inlineStr">
        <is>
          <t>California King, Full, King, Queen, Twin</t>
        </is>
      </c>
      <c r="S4" s="13" t="inlineStr">
        <is>
          <t>Break-even ACoS</t>
        </is>
      </c>
      <c r="T4" s="68" t="inlineStr">
        <is>
          <t>n/a</t>
        </is>
      </c>
    </row>
    <row r="5" ht="22" customHeight="1">
      <c r="C5" s="13" t="inlineStr">
        <is>
          <t>Brand</t>
        </is>
      </c>
      <c r="D5" s="68" t="inlineStr">
        <is>
          <t>CooLinens</t>
        </is>
      </c>
      <c r="K5" s="13" t="inlineStr">
        <is>
          <t>Colours</t>
        </is>
      </c>
      <c r="L5" s="68" t="inlineStr">
        <is>
          <t>Beige, Cool Grey, Cream, Graphite, Light Blue, Light Grey, Light Pink, Midnight Black, Navy Blue, Regal Purple, Sage Green, White</t>
        </is>
      </c>
      <c r="S5" s="13" t="inlineStr">
        <is>
          <t>Units last 28 days</t>
        </is>
      </c>
      <c r="T5" s="68" t="inlineStr">
        <is>
          <t>42</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B0H6K5RPX6 (one of our child ASINs, not the Amazon parent)</t>
        </is>
      </c>
    </row>
    <row r="7" ht="22" customHeight="1">
      <c r="C7" s="13" t="inlineStr">
        <is>
          <t>Parent ASIN (Amazon)</t>
        </is>
      </c>
      <c r="D7" s="68" t="inlineStr">
        <is>
          <t>B0H6K5RPX6</t>
        </is>
      </c>
      <c r="K7" s="13" t="inlineStr">
        <is>
          <t>Rating / reviews now</t>
        </is>
      </c>
      <c r="L7" s="68" t="inlineStr">
        <is>
          <t>Not checked yet</t>
        </is>
      </c>
    </row>
    <row r="8" ht="22" customHeight="1">
      <c r="C8" s="13" t="inlineStr">
        <is>
          <t>Best-selling child ASIN</t>
        </is>
      </c>
      <c r="D8" s="68" t="n"/>
      <c r="K8" s="13" t="inlineStr">
        <is>
          <t>Live prices held</t>
        </is>
      </c>
      <c r="L8" s="68" t="inlineStr">
        <is>
          <t>60 of 60 variations</t>
        </is>
      </c>
    </row>
    <row r="9" ht="22" customHeight="1">
      <c r="C9" s="13" t="inlineStr">
        <is>
          <t>Stage</t>
        </is>
      </c>
      <c r="D9" s="68" t="inlineStr">
        <is>
          <t>Launched Oct 15, 2026</t>
        </is>
      </c>
      <c r="K9" s="13" t="inlineStr">
        <is>
          <t>Blended price (market data)</t>
        </is>
      </c>
      <c r="L9" s="68" t="n"/>
    </row>
    <row r="10">
      <c r="C10" s="13" t="inlineStr">
        <is>
          <t>Total variations (SKUs)</t>
        </is>
      </c>
      <c r="D10" s="68" t="n">
        <v>60</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38</t>
        </is>
      </c>
      <c r="Q12" s="70" t="inlineStr">
        <is>
          <t>25</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(60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_xlfn.IMAGE("https://m.media-amazon.com/images/I/81FIe8vozbL.jpg")</f>
        <v/>
      </c>
      <c r="B18" s="39" t="inlineStr">
        <is>
          <t>B0H6K1MKQW</t>
        </is>
      </c>
      <c r="C18" s="39" t="inlineStr">
        <is>
          <t>CL-COOLING-SHEET-QUEEN-GRAPHITE</t>
        </is>
      </c>
      <c r="D18" s="39" t="inlineStr">
        <is>
          <t>COOLINENS Cooling Sheets - BreezeWeave 4 PC Queen Size Cooling Bed Sheets for Hot Sleepers &amp; Deep, Cool Rest - Cloud Soft, Silky Smooth, 16 in Deep Pocket, Ultra Durable (Graphite)</t>
        </is>
      </c>
      <c r="E18" s="39" t="inlineStr">
        <is>
          <t>Queen</t>
        </is>
      </c>
      <c r="F18" s="39" t="inlineStr">
        <is>
          <t>Graphite</t>
        </is>
      </c>
      <c r="G18" s="73" t="n">
        <v>87.98999999999999</v>
      </c>
      <c r="H18" s="39" t="inlineStr">
        <is>
          <t>launch price, live Oct 15, 2026</t>
        </is>
      </c>
      <c r="I18" s="40" t="n"/>
      <c r="J18" s="39" t="n"/>
      <c r="K18" s="40" t="n"/>
      <c r="L18" s="76" t="n"/>
      <c r="M18" s="77" t="n">
        <v>30</v>
      </c>
      <c r="N18" s="39" t="inlineStr">
        <is>
          <t>Active</t>
        </is>
      </c>
      <c r="O18" s="39" t="n"/>
      <c r="P18" s="78" t="n"/>
      <c r="Q18" s="77" t="n"/>
      <c r="R18" s="77" t="n"/>
      <c r="S18" s="77" t="n"/>
      <c r="T18" s="39" t="n"/>
    </row>
    <row r="19" ht="62" customHeight="1">
      <c r="A19" s="12">
        <f>_xlfn.IMAGE("https://m.media-amazon.com/images/I/81XCjQT6mGL.jpg")</f>
        <v/>
      </c>
      <c r="B19" s="39" t="inlineStr">
        <is>
          <t>B0H6JWNCK3</t>
        </is>
      </c>
      <c r="C19" s="39" t="inlineStr">
        <is>
          <t>CL-COOLING-SHEET-QUEEN-COOL-GREY</t>
        </is>
      </c>
      <c r="D19" s="39" t="inlineStr">
        <is>
          <t>COOLINENS Cooling Sheets - BreezeWeave 4 PC Queen Size Cooling Bed Sheets for Hot Sleepers &amp; Deep, Cool Rest - Cloud Soft, Silky Smooth, 16 in Deep Pocket, Ultra Durable (Cool Grey)</t>
        </is>
      </c>
      <c r="E19" s="39" t="inlineStr">
        <is>
          <t>Queen</t>
        </is>
      </c>
      <c r="F19" s="39" t="inlineStr">
        <is>
          <t>Cool Grey</t>
        </is>
      </c>
      <c r="G19" s="73" t="n">
        <v>87.98999999999999</v>
      </c>
      <c r="H19" s="39" t="inlineStr">
        <is>
          <t>launch price, live Oct 15, 2026</t>
        </is>
      </c>
      <c r="I19" s="40" t="n"/>
      <c r="J19" s="39" t="n"/>
      <c r="K19" s="40" t="n"/>
      <c r="L19" s="76" t="n"/>
      <c r="M19" s="77" t="n">
        <v>11</v>
      </c>
      <c r="N19" s="39" t="inlineStr">
        <is>
          <t>Active</t>
        </is>
      </c>
      <c r="O19" s="39" t="n"/>
      <c r="P19" s="78" t="n">
        <v>5</v>
      </c>
      <c r="Q19" s="77" t="n">
        <v>3</v>
      </c>
      <c r="R19" s="77" t="n">
        <v>1074515</v>
      </c>
      <c r="S19" s="77" t="n">
        <v>4</v>
      </c>
      <c r="T19" s="39" t="n"/>
    </row>
    <row r="20" ht="62" customHeight="1">
      <c r="A20" s="12">
        <f>_xlfn.IMAGE("https://m.media-amazon.com/images/I/81UwBUFGzsL.jpg")</f>
        <v/>
      </c>
      <c r="B20" s="39" t="inlineStr">
        <is>
          <t>B0H6K1VFZ5</t>
        </is>
      </c>
      <c r="C20" s="39" t="inlineStr">
        <is>
          <t>CL-COOLING-SHEET-FULL-LIGHT-PINK</t>
        </is>
      </c>
      <c r="D20" s="39" t="inlineStr">
        <is>
          <t>COOLINENS Cooling Sheets - BreezeWeave 4 PC Full Size Cooling Bed Sheets for Hot Sleepers &amp; Deep, Cool Rest - Cloud Soft, Silky Smooth, 16 in Deep Pocket, Ultra Durable (Light Pink)</t>
        </is>
      </c>
      <c r="E20" s="39" t="inlineStr">
        <is>
          <t>Full</t>
        </is>
      </c>
      <c r="F20" s="39" t="inlineStr">
        <is>
          <t>Light Pink</t>
        </is>
      </c>
      <c r="G20" s="73" t="n">
        <v>74.98999999999999</v>
      </c>
      <c r="H20" s="39" t="inlineStr">
        <is>
          <t>launch price, live Oct 15, 2026</t>
        </is>
      </c>
      <c r="I20" s="40" t="n"/>
      <c r="J20" s="39" t="n"/>
      <c r="K20" s="40" t="n"/>
      <c r="L20" s="76" t="n"/>
      <c r="M20" s="77" t="n">
        <v>1</v>
      </c>
      <c r="N20" s="39" t="inlineStr">
        <is>
          <t>Active</t>
        </is>
      </c>
      <c r="O20" s="39" t="n"/>
      <c r="P20" s="78" t="n"/>
      <c r="Q20" s="77" t="n"/>
      <c r="R20" s="77" t="n"/>
      <c r="S20" s="77" t="n"/>
      <c r="T20" s="39" t="n"/>
    </row>
    <row r="21" ht="62" customHeight="1">
      <c r="A21" s="12">
        <f>_xlfn.IMAGE("https://m.media-amazon.com/images/I/81GLNCr7elL.jpg")</f>
        <v/>
      </c>
      <c r="B21" s="39" t="inlineStr">
        <is>
          <t>B0H6K5RPX6</t>
        </is>
      </c>
      <c r="C21" s="39" t="inlineStr">
        <is>
          <t>CL-COOLING-SHEET-CAL-KING-BEIGE</t>
        </is>
      </c>
      <c r="D21" s="39" t="inlineStr">
        <is>
          <t>COOLINENS Cooling Sheets - BreezeWeave 4 PC California King Size Cooling Bed Sheets for Hot Sleepers &amp; Deep, Cool Rest - Cloud Soft, Silky Smooth, 16 in Deep Pocket, Ultra Durable (Beige)</t>
        </is>
      </c>
      <c r="E21" s="39" t="inlineStr">
        <is>
          <t>California King</t>
        </is>
      </c>
      <c r="F21" s="39" t="inlineStr">
        <is>
          <t>Beige</t>
        </is>
      </c>
      <c r="G21" s="73" t="n">
        <v>95.98999999999999</v>
      </c>
      <c r="H21" s="39" t="inlineStr">
        <is>
          <t>launch price, live Oct 15, 2026</t>
        </is>
      </c>
      <c r="I21" s="40" t="n"/>
      <c r="J21" s="39" t="n"/>
      <c r="K21" s="40" t="n"/>
      <c r="L21" s="76" t="n"/>
      <c r="M21" s="77" t="n">
        <v>0</v>
      </c>
      <c r="N21" s="39" t="inlineStr">
        <is>
          <t>Active</t>
        </is>
      </c>
      <c r="O21" s="39" t="n"/>
      <c r="P21" s="78" t="n"/>
      <c r="Q21" s="77" t="n"/>
      <c r="R21" s="77" t="n"/>
      <c r="S21" s="77" t="n"/>
      <c r="T21" s="39" t="n"/>
    </row>
    <row r="22" ht="62" customHeight="1">
      <c r="A22" s="12">
        <f>_xlfn.IMAGE("https://m.media-amazon.com/images/I/81XCjQT6mGL.jpg")</f>
        <v/>
      </c>
      <c r="B22" s="39" t="inlineStr">
        <is>
          <t>B0H6JWSSY9</t>
        </is>
      </c>
      <c r="C22" s="39" t="inlineStr">
        <is>
          <t>CL-COOLING-SHEET-CAL-KING-COOL-GREY</t>
        </is>
      </c>
      <c r="D22" s="39" t="inlineStr">
        <is>
          <t>COOLINENS Cooling Sheets - BreezeWeave 4 PC California King Size Cooling Bed Sheets for Hot Sleepers &amp; Deep, Cool Rest - Cloud Soft, Silky Smooth, 16 in Deep Pocket, Ultra Durable (Cool Grey)</t>
        </is>
      </c>
      <c r="E22" s="39" t="inlineStr">
        <is>
          <t>California King</t>
        </is>
      </c>
      <c r="F22" s="39" t="inlineStr">
        <is>
          <t>Cool Grey</t>
        </is>
      </c>
      <c r="G22" s="73" t="n">
        <v>95.98999999999999</v>
      </c>
      <c r="H22" s="39" t="inlineStr">
        <is>
          <t>launch price, live Oct 15, 2026</t>
        </is>
      </c>
      <c r="I22" s="40" t="n"/>
      <c r="J22" s="39" t="n"/>
      <c r="K22" s="40" t="n"/>
      <c r="L22" s="76" t="n"/>
      <c r="M22" s="77" t="n">
        <v>0</v>
      </c>
      <c r="N22" s="39" t="inlineStr">
        <is>
          <t>Active</t>
        </is>
      </c>
      <c r="O22" s="39" t="n"/>
      <c r="P22" s="78" t="n"/>
      <c r="Q22" s="77" t="n"/>
      <c r="R22" s="77" t="n"/>
      <c r="S22" s="77" t="n"/>
      <c r="T22" s="39" t="n"/>
    </row>
    <row r="23" ht="62" customHeight="1">
      <c r="A23" s="12">
        <f>_xlfn.IMAGE("https://m.media-amazon.com/images/I/81hYGok5xCL.jpg")</f>
        <v/>
      </c>
      <c r="B23" s="39" t="inlineStr">
        <is>
          <t>B0H6JXJHJK</t>
        </is>
      </c>
      <c r="C23" s="39" t="inlineStr">
        <is>
          <t>CL-COOLING-SHEET-CAL-KING-CREAM</t>
        </is>
      </c>
      <c r="D23" s="39" t="inlineStr">
        <is>
          <t>COOLINENS Cooling Sheets - BreezeWeave 4 PC California King Size Cooling Bed Sheets for Hot Sleepers &amp; Deep, Cool Rest - Cloud Soft, Silky Smooth, 16 in Deep Pocket, Ultra Durable (Cream)</t>
        </is>
      </c>
      <c r="E23" s="39" t="inlineStr">
        <is>
          <t>California King</t>
        </is>
      </c>
      <c r="F23" s="39" t="inlineStr">
        <is>
          <t>Cream</t>
        </is>
      </c>
      <c r="G23" s="73" t="n">
        <v>95.98999999999999</v>
      </c>
      <c r="H23" s="39" t="inlineStr">
        <is>
          <t>launch price, live Oct 15, 2026</t>
        </is>
      </c>
      <c r="I23" s="40" t="n"/>
      <c r="J23" s="39" t="n"/>
      <c r="K23" s="40" t="n"/>
      <c r="L23" s="76" t="n"/>
      <c r="M23" s="77" t="n"/>
      <c r="N23" s="39" t="inlineStr">
        <is>
          <t>Active</t>
        </is>
      </c>
      <c r="O23" s="39" t="n"/>
      <c r="P23" s="78" t="n"/>
      <c r="Q23" s="77" t="n"/>
      <c r="R23" s="77" t="n"/>
      <c r="S23" s="77" t="n"/>
      <c r="T23" s="39" t="n"/>
    </row>
    <row r="24" ht="62" customHeight="1">
      <c r="A24" s="12">
        <f>_xlfn.IMAGE("https://m.media-amazon.com/images/I/81FIe8vozbL.jpg")</f>
        <v/>
      </c>
      <c r="B24" s="39" t="inlineStr">
        <is>
          <t>B0H6JV73R5</t>
        </is>
      </c>
      <c r="C24" s="39" t="inlineStr">
        <is>
          <t>CL-COOLING-SHEET-CAL-KING-GRAPHITE</t>
        </is>
      </c>
      <c r="D24" s="39" t="inlineStr">
        <is>
          <t>COOLINENS Cooling Sheets - BreezeWeave 4 PC California King Size Cooling Bed Sheets for Hot Sleepers &amp; Deep, Cool Rest - Cloud Soft, Silky Smooth, 16 in Deep Pocket, Ultra Durable (Graphite)</t>
        </is>
      </c>
      <c r="E24" s="39" t="inlineStr">
        <is>
          <t>California King</t>
        </is>
      </c>
      <c r="F24" s="39" t="inlineStr">
        <is>
          <t>Graphite</t>
        </is>
      </c>
      <c r="G24" s="73" t="n">
        <v>95.98999999999999</v>
      </c>
      <c r="H24" s="39" t="inlineStr">
        <is>
          <t>launch price, live Oct 15, 2026</t>
        </is>
      </c>
      <c r="I24" s="40" t="n"/>
      <c r="J24" s="39" t="n"/>
      <c r="K24" s="40" t="n"/>
      <c r="L24" s="76" t="n"/>
      <c r="M24" s="77" t="n"/>
      <c r="N24" s="39" t="inlineStr">
        <is>
          <t>Active</t>
        </is>
      </c>
      <c r="O24" s="39" t="n"/>
      <c r="P24" s="78" t="n"/>
      <c r="Q24" s="77" t="n"/>
      <c r="R24" s="77" t="n"/>
      <c r="S24" s="77" t="n"/>
      <c r="T24" s="39" t="n"/>
    </row>
    <row r="25" ht="62" customHeight="1">
      <c r="A25" s="12">
        <f>_xlfn.IMAGE("https://m.media-amazon.com/images/I/81-pnxSpyEL.jpg")</f>
        <v/>
      </c>
      <c r="B25" s="39" t="inlineStr">
        <is>
          <t>B0H6K58NNT</t>
        </is>
      </c>
      <c r="C25" s="39" t="inlineStr">
        <is>
          <t>CL-COOLING-SHEET-CAL-KING-LIGHT-BLUE</t>
        </is>
      </c>
      <c r="D25" s="39" t="inlineStr">
        <is>
          <t>COOLINENS Cooling Sheets - BreezeWeave 4 PC California King Size Cooling Bed Sheets for Hot Sleepers &amp; Deep, Cool Rest - Cloud Soft, Silky Smooth, 16 in Deep Pocket, Ultra Durable (Light Blue)</t>
        </is>
      </c>
      <c r="E25" s="39" t="inlineStr">
        <is>
          <t>California King</t>
        </is>
      </c>
      <c r="F25" s="39" t="inlineStr">
        <is>
          <t>Light Blue</t>
        </is>
      </c>
      <c r="G25" s="73" t="n">
        <v>95.98999999999999</v>
      </c>
      <c r="H25" s="39" t="inlineStr">
        <is>
          <t>launch price, live Oct 15, 2026</t>
        </is>
      </c>
      <c r="I25" s="40" t="n"/>
      <c r="J25" s="39" t="n"/>
      <c r="K25" s="40" t="n"/>
      <c r="L25" s="76" t="n"/>
      <c r="M25" s="77" t="n"/>
      <c r="N25" s="39" t="inlineStr">
        <is>
          <t>Active</t>
        </is>
      </c>
      <c r="O25" s="39" t="n"/>
      <c r="P25" s="78" t="n"/>
      <c r="Q25" s="77" t="n"/>
      <c r="R25" s="77" t="n"/>
      <c r="S25" s="77" t="n"/>
      <c r="T25" s="39" t="n"/>
    </row>
    <row r="26" ht="62" customHeight="1">
      <c r="A26" s="12">
        <f>_xlfn.IMAGE("https://m.media-amazon.com/images/I/81R6cQjusKL.jpg")</f>
        <v/>
      </c>
      <c r="B26" s="39" t="inlineStr">
        <is>
          <t>B0H6K5DRLZ</t>
        </is>
      </c>
      <c r="C26" s="39" t="inlineStr">
        <is>
          <t>CL-COOLING-SHEET-CAL-KING-LIGHT-GREY</t>
        </is>
      </c>
      <c r="D26" s="39" t="inlineStr">
        <is>
          <t>COOLINENS Cooling Sheets - BreezeWeave 4 PC California King Size Cooling Bed Sheets for Hot Sleepers &amp; Deep, Cool Rest - Cloud Soft, Silky Smooth, 16 in Deep Pocket, Ultra Durable (Light Grey)</t>
        </is>
      </c>
      <c r="E26" s="39" t="inlineStr">
        <is>
          <t>California King</t>
        </is>
      </c>
      <c r="F26" s="39" t="inlineStr">
        <is>
          <t>Light Grey</t>
        </is>
      </c>
      <c r="G26" s="73" t="n">
        <v>95.98999999999999</v>
      </c>
      <c r="H26" s="39" t="inlineStr">
        <is>
          <t>launch price, live Oct 15, 2026</t>
        </is>
      </c>
      <c r="I26" s="40" t="n"/>
      <c r="J26" s="39" t="n"/>
      <c r="K26" s="40" t="n"/>
      <c r="L26" s="76" t="n"/>
      <c r="M26" s="77" t="n">
        <v>0</v>
      </c>
      <c r="N26" s="39" t="inlineStr">
        <is>
          <t>Active</t>
        </is>
      </c>
      <c r="O26" s="39" t="n"/>
      <c r="P26" s="78" t="n"/>
      <c r="Q26" s="77" t="n"/>
      <c r="R26" s="77" t="n"/>
      <c r="S26" s="77" t="n"/>
      <c r="T26" s="39" t="n"/>
    </row>
    <row r="27" ht="62" customHeight="1">
      <c r="A27" s="12">
        <f>_xlfn.IMAGE("https://m.media-amazon.com/images/I/81UwBUFGzsL.jpg")</f>
        <v/>
      </c>
      <c r="B27" s="39" t="inlineStr">
        <is>
          <t>B0H6JYRJHC</t>
        </is>
      </c>
      <c r="C27" s="39" t="inlineStr">
        <is>
          <t>CL-COOLING-SHEET-CAL-KING-LIGHT-PINK</t>
        </is>
      </c>
      <c r="D27" s="39" t="inlineStr">
        <is>
          <t>COOLINENS Cooling Sheets - BreezeWeave 4 PC California King Size Cooling Bed Sheets for Hot Sleepers &amp; Deep, Cool Rest - Cloud Soft, Silky Smooth, 16 in Deep Pocket, Ultra Durable (Light Pink)</t>
        </is>
      </c>
      <c r="E27" s="39" t="inlineStr">
        <is>
          <t>California King</t>
        </is>
      </c>
      <c r="F27" s="39" t="inlineStr">
        <is>
          <t>Light Pink</t>
        </is>
      </c>
      <c r="G27" s="73" t="n">
        <v>95.98999999999999</v>
      </c>
      <c r="H27" s="39" t="inlineStr">
        <is>
          <t>launch price, live Oct 15, 2026</t>
        </is>
      </c>
      <c r="I27" s="40" t="n"/>
      <c r="J27" s="39" t="n"/>
      <c r="K27" s="40" t="n"/>
      <c r="L27" s="76" t="n"/>
      <c r="M27" s="77" t="n">
        <v>0</v>
      </c>
      <c r="N27" s="39" t="inlineStr">
        <is>
          <t>Active</t>
        </is>
      </c>
      <c r="O27" s="39" t="n"/>
      <c r="P27" s="78" t="n"/>
      <c r="Q27" s="77" t="n"/>
      <c r="R27" s="77" t="n"/>
      <c r="S27" s="77" t="n"/>
      <c r="T27" s="39" t="n"/>
    </row>
    <row r="28" ht="62" customHeight="1">
      <c r="A28" s="12">
        <f>_xlfn.IMAGE("https://m.media-amazon.com/images/I/81IS+DiYFRL.jpg")</f>
        <v/>
      </c>
      <c r="B28" s="39" t="inlineStr">
        <is>
          <t>B0H6JZG4W5</t>
        </is>
      </c>
      <c r="C28" s="39" t="inlineStr">
        <is>
          <t>CL-COOLING-SHEET-CAL-KING-MIDNIGHT-BLACK</t>
        </is>
      </c>
      <c r="D28" s="39" t="inlineStr">
        <is>
          <t>COOLINENS Cooling Sheets - BreezeWeave 4 PC California King Size Cooling Bed Sheets for Hot Sleepers &amp; Deep, Cool Rest - Cloud Soft, Silky Smooth, 16 in Deep Pocket, Ultra Durable (Midnight Black)</t>
        </is>
      </c>
      <c r="E28" s="39" t="inlineStr">
        <is>
          <t>California King</t>
        </is>
      </c>
      <c r="F28" s="39" t="inlineStr">
        <is>
          <t>Midnight Black</t>
        </is>
      </c>
      <c r="G28" s="73" t="n">
        <v>95.98999999999999</v>
      </c>
      <c r="H28" s="39" t="inlineStr">
        <is>
          <t>launch price, live Oct 15, 2026</t>
        </is>
      </c>
      <c r="I28" s="40" t="n"/>
      <c r="J28" s="39" t="n"/>
      <c r="K28" s="40" t="n"/>
      <c r="L28" s="76" t="n"/>
      <c r="M28" s="77" t="n">
        <v>0</v>
      </c>
      <c r="N28" s="39" t="inlineStr">
        <is>
          <t>Active</t>
        </is>
      </c>
      <c r="O28" s="39" t="n"/>
      <c r="P28" s="78" t="n"/>
      <c r="Q28" s="77" t="n"/>
      <c r="R28" s="77" t="n"/>
      <c r="S28" s="77" t="n"/>
      <c r="T28" s="39" t="n"/>
    </row>
    <row r="29" ht="62" customHeight="1">
      <c r="A29" s="12">
        <f>_xlfn.IMAGE("https://m.media-amazon.com/images/I/817Z4JGPz8L.jpg")</f>
        <v/>
      </c>
      <c r="B29" s="39" t="inlineStr">
        <is>
          <t>B0H6K6KLFY</t>
        </is>
      </c>
      <c r="C29" s="39" t="inlineStr">
        <is>
          <t>CL-COOLING-SHEET-CAL-KING-NAVY-BLUE</t>
        </is>
      </c>
      <c r="D29" s="39" t="inlineStr">
        <is>
          <t>COOLINENS Cooling Sheets - BreezeWeave 4 PC California King Size Cooling Bed Sheets for Hot Sleepers &amp; Deep, Cool Rest - Cloud Soft, Silky Smooth, 16 in Deep Pocket, Ultra Durable (Navy Blue)</t>
        </is>
      </c>
      <c r="E29" s="39" t="inlineStr">
        <is>
          <t>California King</t>
        </is>
      </c>
      <c r="F29" s="39" t="inlineStr">
        <is>
          <t>Navy Blue</t>
        </is>
      </c>
      <c r="G29" s="73" t="n">
        <v>95.98999999999999</v>
      </c>
      <c r="H29" s="39" t="inlineStr">
        <is>
          <t>launch price, live Oct 15, 2026</t>
        </is>
      </c>
      <c r="I29" s="40" t="n"/>
      <c r="J29" s="39" t="n"/>
      <c r="K29" s="40" t="n"/>
      <c r="L29" s="76" t="n"/>
      <c r="M29" s="77" t="n"/>
      <c r="N29" s="39" t="inlineStr">
        <is>
          <t>Active</t>
        </is>
      </c>
      <c r="O29" s="39" t="n"/>
      <c r="P29" s="78" t="n"/>
      <c r="Q29" s="77" t="n"/>
      <c r="R29" s="77" t="n"/>
      <c r="S29" s="77" t="n"/>
      <c r="T29" s="39" t="n"/>
    </row>
    <row r="30" ht="62" customHeight="1">
      <c r="A30" s="12">
        <f>_xlfn.IMAGE("https://m.media-amazon.com/images/I/818DClLHYtL.jpg")</f>
        <v/>
      </c>
      <c r="B30" s="39" t="inlineStr">
        <is>
          <t>B0H6JXKJJQ</t>
        </is>
      </c>
      <c r="C30" s="39" t="inlineStr">
        <is>
          <t>CL-COOLING-SHEET-CAL-KING-REGAL-PURPLE</t>
        </is>
      </c>
      <c r="D30" s="39" t="inlineStr">
        <is>
          <t>COOLINENS Cooling Sheets - BreezeWeave 4 PC California King Size Cooling Bed Sheets for Hot Sleepers &amp; Deep, Cool Rest - Cloud Soft, Silky Smooth, 16 in Deep Pocket, Ultra Durable (Regal Purple)</t>
        </is>
      </c>
      <c r="E30" s="39" t="inlineStr">
        <is>
          <t>California King</t>
        </is>
      </c>
      <c r="F30" s="39" t="inlineStr">
        <is>
          <t>Regal Purple</t>
        </is>
      </c>
      <c r="G30" s="73" t="n">
        <v>95.98999999999999</v>
      </c>
      <c r="H30" s="39" t="inlineStr">
        <is>
          <t>launch price, live Oct 15, 2026</t>
        </is>
      </c>
      <c r="I30" s="40" t="n"/>
      <c r="J30" s="39" t="n"/>
      <c r="K30" s="40" t="n"/>
      <c r="L30" s="76" t="n"/>
      <c r="M30" s="77" t="n">
        <v>0</v>
      </c>
      <c r="N30" s="39" t="inlineStr">
        <is>
          <t>Active</t>
        </is>
      </c>
      <c r="O30" s="39" t="n"/>
      <c r="P30" s="78" t="n"/>
      <c r="Q30" s="77" t="n"/>
      <c r="R30" s="77" t="n"/>
      <c r="S30" s="77" t="n"/>
      <c r="T30" s="39" t="n"/>
    </row>
    <row r="31" ht="62" customHeight="1">
      <c r="A31" s="12">
        <f>_xlfn.IMAGE("https://m.media-amazon.com/images/I/81Yt-bt8B3L.jpg")</f>
        <v/>
      </c>
      <c r="B31" s="39" t="inlineStr">
        <is>
          <t>B0H6K39KQX</t>
        </is>
      </c>
      <c r="C31" s="39" t="inlineStr">
        <is>
          <t>CL-COOLING-SHEET-CAL-KING-SAGE-GREEN</t>
        </is>
      </c>
      <c r="D31" s="39" t="inlineStr">
        <is>
          <t>COOLINENS Cooling Sheets - BreezeWeave 4 PC California King Size Cooling Bed Sheets for Hot Sleepers &amp; Deep, Cool Rest - Cloud Soft, Silky Smooth, 16 in Deep Pocket, Ultra Durable (Sage Green)</t>
        </is>
      </c>
      <c r="E31" s="39" t="inlineStr">
        <is>
          <t>California King</t>
        </is>
      </c>
      <c r="F31" s="39" t="inlineStr">
        <is>
          <t>Sage Green</t>
        </is>
      </c>
      <c r="G31" s="73" t="n">
        <v>95.98999999999999</v>
      </c>
      <c r="H31" s="39" t="inlineStr">
        <is>
          <t>launch price, live Oct 15, 2026</t>
        </is>
      </c>
      <c r="I31" s="40" t="n"/>
      <c r="J31" s="39" t="n"/>
      <c r="K31" s="40" t="n"/>
      <c r="L31" s="76" t="n"/>
      <c r="M31" s="77" t="n">
        <v>0</v>
      </c>
      <c r="N31" s="39" t="inlineStr">
        <is>
          <t>Active</t>
        </is>
      </c>
      <c r="O31" s="39" t="n"/>
      <c r="P31" s="78" t="n"/>
      <c r="Q31" s="77" t="n"/>
      <c r="R31" s="77" t="n"/>
      <c r="S31" s="77" t="n"/>
      <c r="T31" s="39" t="n"/>
    </row>
    <row r="32" ht="62" customHeight="1">
      <c r="A32" s="12">
        <f>_xlfn.IMAGE("https://m.media-amazon.com/images/I/81ptLz5jTWL.jpg")</f>
        <v/>
      </c>
      <c r="B32" s="39" t="inlineStr">
        <is>
          <t>B0H6JYWQYR</t>
        </is>
      </c>
      <c r="C32" s="39" t="inlineStr">
        <is>
          <t>CL-COOLING-SHEET-CAL-KING-WHITE</t>
        </is>
      </c>
      <c r="D32" s="39" t="inlineStr">
        <is>
          <t>COOLINENS Cooling Sheets - BreezeWeave 4 PC California King Size Cooling Bed Sheets for Hot Sleepers &amp; Deep, Cool Rest - Cloud Soft, Silky Smooth, 16 in Deep Pocket, Ultra Durable (White)</t>
        </is>
      </c>
      <c r="E32" s="39" t="inlineStr">
        <is>
          <t>California King</t>
        </is>
      </c>
      <c r="F32" s="39" t="inlineStr">
        <is>
          <t>White</t>
        </is>
      </c>
      <c r="G32" s="73" t="n">
        <v>95.98999999999999</v>
      </c>
      <c r="H32" s="39" t="inlineStr">
        <is>
          <t>launch price, live Oct 15, 2026</t>
        </is>
      </c>
      <c r="I32" s="40" t="n"/>
      <c r="J32" s="39" t="n"/>
      <c r="K32" s="40" t="n"/>
      <c r="L32" s="76" t="n"/>
      <c r="M32" s="77" t="n">
        <v>0</v>
      </c>
      <c r="N32" s="39" t="inlineStr">
        <is>
          <t>Active</t>
        </is>
      </c>
      <c r="O32" s="39" t="n"/>
      <c r="P32" s="78" t="n"/>
      <c r="Q32" s="77" t="n"/>
      <c r="R32" s="77" t="n"/>
      <c r="S32" s="77" t="n"/>
      <c r="T32" s="39" t="n"/>
    </row>
    <row r="33" ht="62" customHeight="1">
      <c r="A33" s="12">
        <f>_xlfn.IMAGE("https://m.media-amazon.com/images/I/81GLNCr7elL.jpg")</f>
        <v/>
      </c>
      <c r="B33" s="39" t="inlineStr">
        <is>
          <t>B0H6JWJ4X2</t>
        </is>
      </c>
      <c r="C33" s="39" t="inlineStr">
        <is>
          <t>CL-COOLING-SHEET-FULL-BEIGE</t>
        </is>
      </c>
      <c r="D33" s="39" t="inlineStr">
        <is>
          <t>COOLINENS Cooling Sheets - BreezeWeave 4 PC Full Size Cooling Bed Sheets for Hot Sleepers &amp; Deep, Cool Rest - Cloud Soft, Silky Smooth, 16 in Deep Pocket, Ultra Durable (Beige)</t>
        </is>
      </c>
      <c r="E33" s="39" t="inlineStr">
        <is>
          <t>Full</t>
        </is>
      </c>
      <c r="F33" s="39" t="inlineStr">
        <is>
          <t>Beige</t>
        </is>
      </c>
      <c r="G33" s="73" t="n">
        <v>74.98999999999999</v>
      </c>
      <c r="H33" s="39" t="inlineStr">
        <is>
          <t>launch price, live Oct 15, 2026</t>
        </is>
      </c>
      <c r="I33" s="40" t="n"/>
      <c r="J33" s="39" t="n"/>
      <c r="K33" s="40" t="n"/>
      <c r="L33" s="76" t="n"/>
      <c r="M33" s="77" t="n"/>
      <c r="N33" s="39" t="inlineStr">
        <is>
          <t>Active</t>
        </is>
      </c>
      <c r="O33" s="39" t="n"/>
      <c r="P33" s="78" t="n"/>
      <c r="Q33" s="77" t="n"/>
      <c r="R33" s="77" t="n"/>
      <c r="S33" s="77" t="n"/>
      <c r="T33" s="39" t="n"/>
    </row>
    <row r="34" ht="62" customHeight="1">
      <c r="A34" s="12">
        <f>_xlfn.IMAGE("https://m.media-amazon.com/images/I/81XCjQT6mGL.jpg")</f>
        <v/>
      </c>
      <c r="B34" s="39" t="inlineStr">
        <is>
          <t>B0H6K4KPGJ</t>
        </is>
      </c>
      <c r="C34" s="39" t="inlineStr">
        <is>
          <t>CL-COOLING-SHEET-FULL-COOL-GREY</t>
        </is>
      </c>
      <c r="D34" s="39" t="inlineStr">
        <is>
          <t>COOLINENS Cooling Sheets - BreezeWeave 4 PC Full Size Cooling Bed Sheets for Hot Sleepers &amp; Deep, Cool Rest - Cloud Soft, Silky Smooth, 16 in Deep Pocket, Ultra Durable (Cool Grey)</t>
        </is>
      </c>
      <c r="E34" s="39" t="inlineStr">
        <is>
          <t>Full</t>
        </is>
      </c>
      <c r="F34" s="39" t="inlineStr">
        <is>
          <t>Cool Grey</t>
        </is>
      </c>
      <c r="G34" s="73" t="n">
        <v>74.98999999999999</v>
      </c>
      <c r="H34" s="39" t="inlineStr">
        <is>
          <t>launch price, live Oct 15, 2026</t>
        </is>
      </c>
      <c r="I34" s="40" t="n"/>
      <c r="J34" s="39" t="n"/>
      <c r="K34" s="40" t="n"/>
      <c r="L34" s="76" t="n"/>
      <c r="M34" s="77" t="n">
        <v>0</v>
      </c>
      <c r="N34" s="39" t="inlineStr">
        <is>
          <t>Active</t>
        </is>
      </c>
      <c r="O34" s="39" t="n"/>
      <c r="P34" s="78" t="n"/>
      <c r="Q34" s="77" t="n">
        <v>0</v>
      </c>
      <c r="R34" s="77" t="n">
        <v>1021435</v>
      </c>
      <c r="S34" s="77" t="n">
        <v>0</v>
      </c>
      <c r="T34" s="79" t="inlineStr">
        <is>
          <t>SEPARATE listing - not in the main review family</t>
        </is>
      </c>
    </row>
    <row r="35" ht="62" customHeight="1">
      <c r="A35" s="12">
        <f>_xlfn.IMAGE("https://m.media-amazon.com/images/I/81hYGok5xCL.jpg")</f>
        <v/>
      </c>
      <c r="B35" s="39" t="inlineStr">
        <is>
          <t>B0H6K8FXL7</t>
        </is>
      </c>
      <c r="C35" s="39" t="inlineStr">
        <is>
          <t>CL-COOLING-SHEET-FULL-CREAM</t>
        </is>
      </c>
      <c r="D35" s="39" t="inlineStr">
        <is>
          <t>COOLINENS Cooling Sheets - BreezeWeave 4 PC Full Size Cooling Bed Sheets for Hot Sleepers &amp; Deep, Cool Rest - Cloud Soft, Silky Smooth, 16 in Deep Pocket, Ultra Durable (Cream)</t>
        </is>
      </c>
      <c r="E35" s="39" t="inlineStr">
        <is>
          <t>Full</t>
        </is>
      </c>
      <c r="F35" s="39" t="inlineStr">
        <is>
          <t>Cream</t>
        </is>
      </c>
      <c r="G35" s="73" t="n">
        <v>74.98999999999999</v>
      </c>
      <c r="H35" s="39" t="inlineStr">
        <is>
          <t>launch price, live Oct 15, 2026</t>
        </is>
      </c>
      <c r="I35" s="40" t="n"/>
      <c r="J35" s="39" t="n"/>
      <c r="K35" s="40" t="n"/>
      <c r="L35" s="76" t="n"/>
      <c r="M35" s="77" t="n"/>
      <c r="N35" s="39" t="inlineStr">
        <is>
          <t>Active</t>
        </is>
      </c>
      <c r="O35" s="39" t="n"/>
      <c r="P35" s="78" t="n"/>
      <c r="Q35" s="77" t="n"/>
      <c r="R35" s="77" t="n"/>
      <c r="S35" s="77" t="n"/>
      <c r="T35" s="39" t="n"/>
    </row>
    <row r="36" ht="62" customHeight="1">
      <c r="A36" s="12">
        <f>_xlfn.IMAGE("https://m.media-amazon.com/images/I/81FIe8vozbL.jpg")</f>
        <v/>
      </c>
      <c r="B36" s="39" t="inlineStr">
        <is>
          <t>B0H6K1C7N1</t>
        </is>
      </c>
      <c r="C36" s="39" t="inlineStr">
        <is>
          <t>CL-COOLING-SHEET-FULL-GRAPHITE</t>
        </is>
      </c>
      <c r="D36" s="39" t="inlineStr">
        <is>
          <t>COOLINENS Cooling Sheets - BreezeWeave 4 PC Full Size Cooling Bed Sheets for Hot Sleepers &amp; Deep, Cool Rest - Cloud Soft, Silky Smooth, 16 in Deep Pocket, Ultra Durable (Graphite)</t>
        </is>
      </c>
      <c r="E36" s="39" t="inlineStr">
        <is>
          <t>Full</t>
        </is>
      </c>
      <c r="F36" s="39" t="inlineStr">
        <is>
          <t>Graphite</t>
        </is>
      </c>
      <c r="G36" s="73" t="n">
        <v>74.98999999999999</v>
      </c>
      <c r="H36" s="39" t="inlineStr">
        <is>
          <t>launch price, live Oct 15, 2026</t>
        </is>
      </c>
      <c r="I36" s="40" t="n"/>
      <c r="J36" s="39" t="n"/>
      <c r="K36" s="40" t="n"/>
      <c r="L36" s="76" t="n"/>
      <c r="M36" s="77" t="n">
        <v>0</v>
      </c>
      <c r="N36" s="39" t="inlineStr">
        <is>
          <t>Active</t>
        </is>
      </c>
      <c r="O36" s="39" t="n"/>
      <c r="P36" s="78" t="n"/>
      <c r="Q36" s="77" t="n"/>
      <c r="R36" s="77" t="n"/>
      <c r="S36" s="77" t="n"/>
      <c r="T36" s="39" t="n"/>
    </row>
    <row r="37" ht="62" customHeight="1">
      <c r="A37" s="12">
        <f>_xlfn.IMAGE("https://m.media-amazon.com/images/I/81-pnxSpyEL.jpg")</f>
        <v/>
      </c>
      <c r="B37" s="39" t="inlineStr">
        <is>
          <t>B0H6K5J4F2</t>
        </is>
      </c>
      <c r="C37" s="39" t="inlineStr">
        <is>
          <t>CL-COOLING-SHEET-FULL-LIGHT-BLUE</t>
        </is>
      </c>
      <c r="D37" s="39" t="inlineStr">
        <is>
          <t>COOLINENS Cooling Sheets - BreezeWeave 4 PC Full Size Cooling Bed Sheets for Hot Sleepers &amp; Deep, Cool Rest - Cloud Soft, Silky Smooth, 16 in Deep Pocket, Ultra Durable (Light Blue)</t>
        </is>
      </c>
      <c r="E37" s="39" t="inlineStr">
        <is>
          <t>Full</t>
        </is>
      </c>
      <c r="F37" s="39" t="inlineStr">
        <is>
          <t>Light Blue</t>
        </is>
      </c>
      <c r="G37" s="73" t="n">
        <v>74.98999999999999</v>
      </c>
      <c r="H37" s="39" t="inlineStr">
        <is>
          <t>launch price, live Oct 15, 2026</t>
        </is>
      </c>
      <c r="I37" s="40" t="n"/>
      <c r="J37" s="39" t="n"/>
      <c r="K37" s="40" t="n"/>
      <c r="L37" s="76" t="n"/>
      <c r="M37" s="77" t="n">
        <v>0</v>
      </c>
      <c r="N37" s="39" t="inlineStr">
        <is>
          <t>Active</t>
        </is>
      </c>
      <c r="O37" s="39" t="n"/>
      <c r="P37" s="78" t="n"/>
      <c r="Q37" s="77" t="n"/>
      <c r="R37" s="77" t="n"/>
      <c r="S37" s="77" t="n"/>
      <c r="T37" s="39" t="n"/>
    </row>
    <row r="38" ht="62" customHeight="1">
      <c r="A38" s="12">
        <f>_xlfn.IMAGE("https://m.media-amazon.com/images/I/81R6cQjusKL.jpg")</f>
        <v/>
      </c>
      <c r="B38" s="39" t="inlineStr">
        <is>
          <t>B0H6K2W7HC</t>
        </is>
      </c>
      <c r="C38" s="39" t="inlineStr">
        <is>
          <t>CL-COOLING-SHEET-FULL-LIGHT-GREY</t>
        </is>
      </c>
      <c r="D38" s="39" t="inlineStr">
        <is>
          <t>COOLINENS Cooling Sheets - BreezeWeave 4 PC Full Size Cooling Bed Sheets for Hot Sleepers &amp; Deep, Cool Rest - Cloud Soft, Silky Smooth, 16 in Deep Pocket, Ultra Durable (Light Grey)</t>
        </is>
      </c>
      <c r="E38" s="39" t="inlineStr">
        <is>
          <t>Full</t>
        </is>
      </c>
      <c r="F38" s="39" t="inlineStr">
        <is>
          <t>Light Grey</t>
        </is>
      </c>
      <c r="G38" s="73" t="n">
        <v>74.98999999999999</v>
      </c>
      <c r="H38" s="39" t="inlineStr">
        <is>
          <t>launch price, live Oct 15, 2026</t>
        </is>
      </c>
      <c r="I38" s="40" t="n"/>
      <c r="J38" s="39" t="n"/>
      <c r="K38" s="40" t="n"/>
      <c r="L38" s="76" t="n"/>
      <c r="M38" s="77" t="n">
        <v>0</v>
      </c>
      <c r="N38" s="39" t="inlineStr">
        <is>
          <t>Active</t>
        </is>
      </c>
      <c r="O38" s="39" t="n"/>
      <c r="P38" s="78" t="n"/>
      <c r="Q38" s="77" t="n"/>
      <c r="R38" s="77" t="n"/>
      <c r="S38" s="77" t="n"/>
      <c r="T38" s="39" t="n"/>
    </row>
    <row r="39" ht="62" customHeight="1">
      <c r="A39" s="12">
        <f>_xlfn.IMAGE("https://m.media-amazon.com/images/I/81IS+DiYFRL.jpg")</f>
        <v/>
      </c>
      <c r="B39" s="39" t="inlineStr">
        <is>
          <t>B0H6KBLW87</t>
        </is>
      </c>
      <c r="C39" s="39" t="inlineStr">
        <is>
          <t>CL-COOLING-SHEET-FULL-MIDNIGHT-BLACK</t>
        </is>
      </c>
      <c r="D39" s="39" t="inlineStr">
        <is>
          <t>COOLINENS Cooling Sheets - BreezeWeave 4 PC Full Size Cooling Bed Sheets for Hot Sleepers &amp; Deep, Cool Rest - Cloud Soft, Silky Smooth, 16 in Deep Pocket, Ultra Durable (Midnight Black)</t>
        </is>
      </c>
      <c r="E39" s="39" t="inlineStr">
        <is>
          <t>Full</t>
        </is>
      </c>
      <c r="F39" s="39" t="inlineStr">
        <is>
          <t>Midnight Black</t>
        </is>
      </c>
      <c r="G39" s="73" t="n">
        <v>74.98999999999999</v>
      </c>
      <c r="H39" s="39" t="inlineStr">
        <is>
          <t>launch price, live Oct 15, 2026</t>
        </is>
      </c>
      <c r="I39" s="40" t="n"/>
      <c r="J39" s="39" t="n"/>
      <c r="K39" s="40" t="n"/>
      <c r="L39" s="76" t="n"/>
      <c r="M39" s="77" t="n">
        <v>0</v>
      </c>
      <c r="N39" s="39" t="inlineStr">
        <is>
          <t>Active</t>
        </is>
      </c>
      <c r="O39" s="39" t="n"/>
      <c r="P39" s="78" t="n"/>
      <c r="Q39" s="77" t="n">
        <v>0</v>
      </c>
      <c r="R39" s="77" t="n"/>
      <c r="S39" s="77" t="n">
        <v>0</v>
      </c>
      <c r="T39" s="79" t="inlineStr">
        <is>
          <t>SEPARATE listing - not in the main review family</t>
        </is>
      </c>
    </row>
    <row r="40" ht="62" customHeight="1">
      <c r="A40" s="12">
        <f>_xlfn.IMAGE("https://m.media-amazon.com/images/I/817Z4JGPz8L.jpg")</f>
        <v/>
      </c>
      <c r="B40" s="39" t="inlineStr">
        <is>
          <t>B0H6K57TQN</t>
        </is>
      </c>
      <c r="C40" s="39" t="inlineStr">
        <is>
          <t>CL-COOLING-SHEET-FULL-NAVY-BLUE</t>
        </is>
      </c>
      <c r="D40" s="39" t="inlineStr">
        <is>
          <t>COOLINENS Cooling Sheets - BreezeWeave 4 PC Full Size Cooling Bed Sheets for Hot Sleepers &amp; Deep, Cool Rest - Cloud Soft, Silky Smooth, 16 in Deep Pocket, Ultra Durable (Navy Blue)</t>
        </is>
      </c>
      <c r="E40" s="39" t="inlineStr">
        <is>
          <t>Full</t>
        </is>
      </c>
      <c r="F40" s="39" t="inlineStr">
        <is>
          <t>Navy Blue</t>
        </is>
      </c>
      <c r="G40" s="73" t="n">
        <v>74.98999999999999</v>
      </c>
      <c r="H40" s="39" t="inlineStr">
        <is>
          <t>launch price, live Oct 15, 2026</t>
        </is>
      </c>
      <c r="I40" s="40" t="n"/>
      <c r="J40" s="39" t="n"/>
      <c r="K40" s="40" t="n"/>
      <c r="L40" s="76" t="n"/>
      <c r="M40" s="77" t="n"/>
      <c r="N40" s="39" t="inlineStr">
        <is>
          <t>Active</t>
        </is>
      </c>
      <c r="O40" s="39" t="n"/>
      <c r="P40" s="78" t="n"/>
      <c r="Q40" s="77" t="n"/>
      <c r="R40" s="77" t="n"/>
      <c r="S40" s="77" t="n"/>
      <c r="T40" s="39" t="n"/>
    </row>
    <row r="41" ht="62" customHeight="1">
      <c r="A41" s="12">
        <f>_xlfn.IMAGE("https://m.media-amazon.com/images/I/818DClLHYtL.jpg")</f>
        <v/>
      </c>
      <c r="B41" s="39" t="inlineStr">
        <is>
          <t>B0H6K4DQHY</t>
        </is>
      </c>
      <c r="C41" s="39" t="inlineStr">
        <is>
          <t>CL-COOLING-SHEET-FULL-REGAL-PURPLE</t>
        </is>
      </c>
      <c r="D41" s="39" t="inlineStr">
        <is>
          <t>COOLINENS Cooling Sheets - BreezeWeave 4 PC Full Size Cooling Bed Sheets for Hot Sleepers &amp; Deep, Cool Rest - Cloud Soft, Silky Smooth, 16 in Deep Pocket, Ultra Durable (Regal Purple)</t>
        </is>
      </c>
      <c r="E41" s="39" t="inlineStr">
        <is>
          <t>Full</t>
        </is>
      </c>
      <c r="F41" s="39" t="inlineStr">
        <is>
          <t>Regal Purple</t>
        </is>
      </c>
      <c r="G41" s="73" t="n">
        <v>74.98999999999999</v>
      </c>
      <c r="H41" s="39" t="inlineStr">
        <is>
          <t>launch price, live Oct 15, 2026</t>
        </is>
      </c>
      <c r="I41" s="40" t="n"/>
      <c r="J41" s="39" t="n"/>
      <c r="K41" s="40" t="n"/>
      <c r="L41" s="76" t="n"/>
      <c r="M41" s="77" t="n"/>
      <c r="N41" s="39" t="inlineStr">
        <is>
          <t>Active</t>
        </is>
      </c>
      <c r="O41" s="39" t="n"/>
      <c r="P41" s="78" t="n"/>
      <c r="Q41" s="77" t="n"/>
      <c r="R41" s="77" t="n"/>
      <c r="S41" s="77" t="n"/>
      <c r="T41" s="39" t="n"/>
    </row>
    <row r="42" ht="62" customHeight="1">
      <c r="A42" s="12">
        <f>_xlfn.IMAGE("https://m.media-amazon.com/images/I/81Yt-bt8B3L.jpg")</f>
        <v/>
      </c>
      <c r="B42" s="39" t="inlineStr">
        <is>
          <t>B0H6K2ZKTZ</t>
        </is>
      </c>
      <c r="C42" s="39" t="inlineStr">
        <is>
          <t>CL-COOLING-SHEET-FULL-SAGE-GREEN</t>
        </is>
      </c>
      <c r="D42" s="39" t="inlineStr">
        <is>
          <t>COOLINENS Cooling Sheets - BreezeWeave 4 PC Full Size Cooling Bed Sheets for Hot Sleepers &amp; Deep, Cool Rest - Cloud Soft, Silky Smooth, 16 in Deep Pocket, Ultra Durable (Sage Green)</t>
        </is>
      </c>
      <c r="E42" s="39" t="inlineStr">
        <is>
          <t>Full</t>
        </is>
      </c>
      <c r="F42" s="39" t="inlineStr">
        <is>
          <t>Sage Green</t>
        </is>
      </c>
      <c r="G42" s="73" t="n">
        <v>74.98999999999999</v>
      </c>
      <c r="H42" s="39" t="inlineStr">
        <is>
          <t>launch price, live Oct 15, 2026</t>
        </is>
      </c>
      <c r="I42" s="40" t="n"/>
      <c r="J42" s="39" t="n"/>
      <c r="K42" s="40" t="n"/>
      <c r="L42" s="76" t="n"/>
      <c r="M42" s="77" t="n">
        <v>0</v>
      </c>
      <c r="N42" s="39" t="inlineStr">
        <is>
          <t>Active</t>
        </is>
      </c>
      <c r="O42" s="39" t="n"/>
      <c r="P42" s="78" t="n"/>
      <c r="Q42" s="77" t="n">
        <v>0</v>
      </c>
      <c r="R42" s="77" t="n">
        <v>1021434</v>
      </c>
      <c r="S42" s="77" t="n">
        <v>0</v>
      </c>
      <c r="T42" s="79" t="inlineStr">
        <is>
          <t>SEPARATE listing - not in the main review family</t>
        </is>
      </c>
    </row>
    <row r="43" ht="62" customHeight="1">
      <c r="A43" s="12">
        <f>_xlfn.IMAGE("https://m.media-amazon.com/images/I/81ptLz5jTWL.jpg")</f>
        <v/>
      </c>
      <c r="B43" s="39" t="inlineStr">
        <is>
          <t>B0H6JZ1QQH</t>
        </is>
      </c>
      <c r="C43" s="39" t="inlineStr">
        <is>
          <t>CL-COOLING-SHEET-FULL-WHITE</t>
        </is>
      </c>
      <c r="D43" s="39" t="inlineStr">
        <is>
          <t>COOLINENS Cooling Sheets - BreezeWeave 4 PC Full Size Cooling Bed Sheets for Hot Sleepers &amp; Deep, Cool Rest - Cloud Soft, Silky Smooth, 16 in Deep Pocket, Ultra Durable (White)</t>
        </is>
      </c>
      <c r="E43" s="39" t="inlineStr">
        <is>
          <t>Full</t>
        </is>
      </c>
      <c r="F43" s="39" t="inlineStr">
        <is>
          <t>White</t>
        </is>
      </c>
      <c r="G43" s="73" t="n">
        <v>74.98999999999999</v>
      </c>
      <c r="H43" s="39" t="inlineStr">
        <is>
          <t>launch price, live Oct 15, 2026</t>
        </is>
      </c>
      <c r="I43" s="40" t="n"/>
      <c r="J43" s="39" t="n"/>
      <c r="K43" s="40" t="n"/>
      <c r="L43" s="76" t="n"/>
      <c r="M43" s="77" t="n">
        <v>0</v>
      </c>
      <c r="N43" s="39" t="inlineStr">
        <is>
          <t>Active</t>
        </is>
      </c>
      <c r="O43" s="39" t="n"/>
      <c r="P43" s="78" t="n"/>
      <c r="Q43" s="77" t="n"/>
      <c r="R43" s="77" t="n"/>
      <c r="S43" s="77" t="n"/>
      <c r="T43" s="39" t="n"/>
    </row>
    <row r="44" ht="62" customHeight="1">
      <c r="A44" s="12">
        <f>_xlfn.IMAGE("https://m.media-amazon.com/images/I/81GLNCr7elL.jpg")</f>
        <v/>
      </c>
      <c r="B44" s="39" t="inlineStr">
        <is>
          <t>B0H6KBLZ6X</t>
        </is>
      </c>
      <c r="C44" s="39" t="inlineStr">
        <is>
          <t>CL-COOLING-SHEET-KING-BEIGE</t>
        </is>
      </c>
      <c r="D44" s="39" t="inlineStr">
        <is>
          <t>COOLINENS Cooling Sheets - BreezeWeave 4 PC King Size Cooling Bed Sheets for Hot Sleepers &amp; Deep, Cool Rest - Cloud Soft, Silky Smooth, 16 in Deep Pocket, Ultra Durable (Beige)</t>
        </is>
      </c>
      <c r="E44" s="39" t="inlineStr">
        <is>
          <t>King</t>
        </is>
      </c>
      <c r="F44" s="39" t="inlineStr">
        <is>
          <t>Beige</t>
        </is>
      </c>
      <c r="G44" s="73" t="n">
        <v>93.98999999999999</v>
      </c>
      <c r="H44" s="39" t="inlineStr">
        <is>
          <t>launch price, live Oct 15, 2026</t>
        </is>
      </c>
      <c r="I44" s="40" t="n"/>
      <c r="J44" s="39" t="n"/>
      <c r="K44" s="40" t="n"/>
      <c r="L44" s="76" t="n"/>
      <c r="M44" s="77" t="n">
        <v>0</v>
      </c>
      <c r="N44" s="39" t="inlineStr">
        <is>
          <t>Active</t>
        </is>
      </c>
      <c r="O44" s="39" t="n"/>
      <c r="P44" s="78" t="n"/>
      <c r="Q44" s="77" t="n"/>
      <c r="R44" s="77" t="n"/>
      <c r="S44" s="77" t="n"/>
      <c r="T44" s="39" t="n"/>
    </row>
    <row r="45" ht="62" customHeight="1">
      <c r="A45" s="12">
        <f>_xlfn.IMAGE("https://m.media-amazon.com/images/I/81XCjQT6mGL.jpg")</f>
        <v/>
      </c>
      <c r="B45" s="39" t="inlineStr">
        <is>
          <t>B0H6K77BRL</t>
        </is>
      </c>
      <c r="C45" s="39" t="inlineStr">
        <is>
          <t>CL-COOLING-SHEET-KING-COOL-GREY</t>
        </is>
      </c>
      <c r="D45" s="39" t="inlineStr">
        <is>
          <t>COOLINENS Cooling Sheets - BreezeWeave 4 PC King Size Cooling Bed Sheets for Hot Sleepers &amp; Deep, Cool Rest - Cloud Soft, Silky Smooth, 16 in Deep Pocket, Ultra Durable (Cool Grey)</t>
        </is>
      </c>
      <c r="E45" s="39" t="inlineStr">
        <is>
          <t>King</t>
        </is>
      </c>
      <c r="F45" s="39" t="inlineStr">
        <is>
          <t>Cool Grey</t>
        </is>
      </c>
      <c r="G45" s="73" t="n">
        <v>93.98999999999999</v>
      </c>
      <c r="H45" s="39" t="inlineStr">
        <is>
          <t>launch price, live Oct 15, 2026</t>
        </is>
      </c>
      <c r="I45" s="40" t="n"/>
      <c r="J45" s="39" t="n"/>
      <c r="K45" s="40" t="n"/>
      <c r="L45" s="76" t="n"/>
      <c r="M45" s="77" t="n">
        <v>0</v>
      </c>
      <c r="N45" s="39" t="inlineStr">
        <is>
          <t>Active</t>
        </is>
      </c>
      <c r="O45" s="39" t="n"/>
      <c r="P45" s="78" t="n"/>
      <c r="Q45" s="77" t="n"/>
      <c r="R45" s="77" t="n"/>
      <c r="S45" s="77" t="n"/>
      <c r="T45" s="39" t="n"/>
    </row>
    <row r="46" ht="62" customHeight="1">
      <c r="A46" s="12">
        <f>_xlfn.IMAGE("https://m.media-amazon.com/images/I/81hYGok5xCL.jpg")</f>
        <v/>
      </c>
      <c r="B46" s="39" t="inlineStr">
        <is>
          <t>B0H6JWKFXF</t>
        </is>
      </c>
      <c r="C46" s="39" t="inlineStr">
        <is>
          <t>CL-COOLING-SHEET-KING-CREAM</t>
        </is>
      </c>
      <c r="D46" s="39" t="inlineStr">
        <is>
          <t>COOLINENS Cooling Sheets - BreezeWeave 4 PC King Size Cooling Bed Sheets for Hot Sleepers &amp; Deep, Cool Rest - Cloud Soft, Silky Smooth, 16 in Deep Pocket, Ultra Durable (Cream)</t>
        </is>
      </c>
      <c r="E46" s="39" t="inlineStr">
        <is>
          <t>King</t>
        </is>
      </c>
      <c r="F46" s="39" t="inlineStr">
        <is>
          <t>Cream</t>
        </is>
      </c>
      <c r="G46" s="73" t="n">
        <v>93.98999999999999</v>
      </c>
      <c r="H46" s="39" t="inlineStr">
        <is>
          <t>launch price, live Oct 15, 2026</t>
        </is>
      </c>
      <c r="I46" s="40" t="n"/>
      <c r="J46" s="39" t="n"/>
      <c r="K46" s="40" t="n"/>
      <c r="L46" s="76" t="n"/>
      <c r="M46" s="77" t="n"/>
      <c r="N46" s="39" t="inlineStr">
        <is>
          <t>Active</t>
        </is>
      </c>
      <c r="O46" s="39" t="n"/>
      <c r="P46" s="78" t="n"/>
      <c r="Q46" s="77" t="n"/>
      <c r="R46" s="77" t="n"/>
      <c r="S46" s="77" t="n"/>
      <c r="T46" s="39" t="n"/>
    </row>
    <row r="47" ht="62" customHeight="1">
      <c r="A47" s="12">
        <f>_xlfn.IMAGE("https://m.media-amazon.com/images/I/81FIe8vozbL.jpg")</f>
        <v/>
      </c>
      <c r="B47" s="39" t="inlineStr">
        <is>
          <t>B0H6JXBD3K</t>
        </is>
      </c>
      <c r="C47" s="39" t="inlineStr">
        <is>
          <t>CL-COOLING-SHEET-KING-GRAPHITE</t>
        </is>
      </c>
      <c r="D47" s="39" t="inlineStr">
        <is>
          <t>COOLINENS Cooling Sheets - BreezeWeave 4 PC King Size Cooling Bed Sheets for Hot Sleepers &amp; Deep, Cool Rest - Cloud Soft, Silky Smooth, 16 in Deep Pocket, Ultra Durable (Graphite)</t>
        </is>
      </c>
      <c r="E47" s="39" t="inlineStr">
        <is>
          <t>King</t>
        </is>
      </c>
      <c r="F47" s="39" t="inlineStr">
        <is>
          <t>Graphite</t>
        </is>
      </c>
      <c r="G47" s="73" t="n">
        <v>93.98999999999999</v>
      </c>
      <c r="H47" s="39" t="inlineStr">
        <is>
          <t>launch price, live Oct 15, 2026</t>
        </is>
      </c>
      <c r="I47" s="40" t="n"/>
      <c r="J47" s="39" t="n"/>
      <c r="K47" s="40" t="n"/>
      <c r="L47" s="76" t="n"/>
      <c r="M47" s="77" t="n">
        <v>0</v>
      </c>
      <c r="N47" s="39" t="inlineStr">
        <is>
          <t>Active</t>
        </is>
      </c>
      <c r="O47" s="39" t="n"/>
      <c r="P47" s="78" t="n">
        <v>5</v>
      </c>
      <c r="Q47" s="77" t="n">
        <v>3</v>
      </c>
      <c r="R47" s="77" t="n">
        <v>1021342</v>
      </c>
      <c r="S47" s="77" t="n">
        <v>0</v>
      </c>
      <c r="T47" s="79" t="inlineStr">
        <is>
          <t>SEPARATE listing - not in the main review family</t>
        </is>
      </c>
    </row>
    <row r="48" ht="62" customHeight="1">
      <c r="A48" s="12">
        <f>_xlfn.IMAGE("https://m.media-amazon.com/images/I/81-pnxSpyEL.jpg")</f>
        <v/>
      </c>
      <c r="B48" s="39" t="inlineStr">
        <is>
          <t>B0H6JYX655</t>
        </is>
      </c>
      <c r="C48" s="39" t="inlineStr">
        <is>
          <t>CL-COOLING-SHEET-KING-LIGHT-BLUE</t>
        </is>
      </c>
      <c r="D48" s="39" t="inlineStr">
        <is>
          <t>COOLINENS Cooling Sheets - BreezeWeave 4 PC King Size Cooling Bed Sheets for Hot Sleepers &amp; Deep, Cool Rest - Cloud Soft, Silky Smooth, 16 in Deep Pocket, Ultra Durable (Light Blue)</t>
        </is>
      </c>
      <c r="E48" s="39" t="inlineStr">
        <is>
          <t>King</t>
        </is>
      </c>
      <c r="F48" s="39" t="inlineStr">
        <is>
          <t>Light Blue</t>
        </is>
      </c>
      <c r="G48" s="73" t="n">
        <v>93.98999999999999</v>
      </c>
      <c r="H48" s="39" t="inlineStr">
        <is>
          <t>launch price, live Oct 15, 2026</t>
        </is>
      </c>
      <c r="I48" s="40" t="n"/>
      <c r="J48" s="39" t="n"/>
      <c r="K48" s="40" t="n"/>
      <c r="L48" s="76" t="n"/>
      <c r="M48" s="77" t="n">
        <v>0</v>
      </c>
      <c r="N48" s="39" t="inlineStr">
        <is>
          <t>Active</t>
        </is>
      </c>
      <c r="O48" s="39" t="n"/>
      <c r="P48" s="78" t="n"/>
      <c r="Q48" s="77" t="n"/>
      <c r="R48" s="77" t="n"/>
      <c r="S48" s="77" t="n"/>
      <c r="T48" s="39" t="n"/>
    </row>
    <row r="49" ht="62" customHeight="1">
      <c r="A49" s="12">
        <f>_xlfn.IMAGE("https://m.media-amazon.com/images/I/81R6cQjusKL.jpg")</f>
        <v/>
      </c>
      <c r="B49" s="39" t="inlineStr">
        <is>
          <t>B0H6K3X9SH</t>
        </is>
      </c>
      <c r="C49" s="39" t="inlineStr">
        <is>
          <t>CL-COOLING-SHEET-KING-LIGHT-GREY</t>
        </is>
      </c>
      <c r="D49" s="39" t="inlineStr">
        <is>
          <t>COOLINENS Cooling Sheets - BreezeWeave 4 PC King Size Cooling Bed Sheets for Hot Sleepers &amp; Deep, Cool Rest - Cloud Soft, Silky Smooth, 16 in Deep Pocket, Ultra Durable (Light Grey)</t>
        </is>
      </c>
      <c r="E49" s="39" t="inlineStr">
        <is>
          <t>King</t>
        </is>
      </c>
      <c r="F49" s="39" t="inlineStr">
        <is>
          <t>Light Grey</t>
        </is>
      </c>
      <c r="G49" s="73" t="n">
        <v>93.98999999999999</v>
      </c>
      <c r="H49" s="39" t="inlineStr">
        <is>
          <t>launch price, live Oct 15, 2026</t>
        </is>
      </c>
      <c r="I49" s="40" t="n"/>
      <c r="J49" s="39" t="n"/>
      <c r="K49" s="40" t="n"/>
      <c r="L49" s="76" t="n"/>
      <c r="M49" s="77" t="n"/>
      <c r="N49" s="39" t="inlineStr">
        <is>
          <t>Active</t>
        </is>
      </c>
      <c r="O49" s="39" t="n"/>
      <c r="P49" s="78" t="n"/>
      <c r="Q49" s="77" t="n"/>
      <c r="R49" s="77" t="n"/>
      <c r="S49" s="77" t="n"/>
      <c r="T49" s="39" t="n"/>
    </row>
    <row r="50" ht="62" customHeight="1">
      <c r="A50" s="12">
        <f>_xlfn.IMAGE("https://m.media-amazon.com/images/I/81UwBUFGzsL.jpg")</f>
        <v/>
      </c>
      <c r="B50" s="39" t="inlineStr">
        <is>
          <t>B0H6K7DXNY</t>
        </is>
      </c>
      <c r="C50" s="39" t="inlineStr">
        <is>
          <t>CL-COOLING-SHEET-KING-LIGHT-PINK</t>
        </is>
      </c>
      <c r="D50" s="39" t="inlineStr">
        <is>
          <t>COOLINENS Cooling Sheets - BreezeWeave 4 PC King Size Cooling Bed Sheets for Hot Sleepers &amp; Deep, Cool Rest - Cloud Soft, Silky Smooth, 16 in Deep Pocket, Ultra Durable (Light Pink)</t>
        </is>
      </c>
      <c r="E50" s="39" t="inlineStr">
        <is>
          <t>King</t>
        </is>
      </c>
      <c r="F50" s="39" t="inlineStr">
        <is>
          <t>Light Pink</t>
        </is>
      </c>
      <c r="G50" s="73" t="n">
        <v>93.98999999999999</v>
      </c>
      <c r="H50" s="39" t="inlineStr">
        <is>
          <t>launch price, live Oct 15, 2026</t>
        </is>
      </c>
      <c r="I50" s="40" t="n"/>
      <c r="J50" s="39" t="n"/>
      <c r="K50" s="40" t="n"/>
      <c r="L50" s="76" t="n"/>
      <c r="M50" s="77" t="n">
        <v>0</v>
      </c>
      <c r="N50" s="39" t="inlineStr">
        <is>
          <t>Active</t>
        </is>
      </c>
      <c r="O50" s="39" t="n"/>
      <c r="P50" s="78" t="n"/>
      <c r="Q50" s="77" t="n"/>
      <c r="R50" s="77" t="n"/>
      <c r="S50" s="77" t="n"/>
      <c r="T50" s="39" t="n"/>
    </row>
    <row r="51" ht="62" customHeight="1">
      <c r="A51" s="12">
        <f>_xlfn.IMAGE("https://m.media-amazon.com/images/I/81IS+DiYFRL.jpg")</f>
        <v/>
      </c>
      <c r="B51" s="39" t="inlineStr">
        <is>
          <t>B0H6K5JM82</t>
        </is>
      </c>
      <c r="C51" s="39" t="inlineStr">
        <is>
          <t>CL-COOLING-SHEET-KING-MIDNIGHT-BLACK</t>
        </is>
      </c>
      <c r="D51" s="39" t="inlineStr">
        <is>
          <t>COOLINENS Cooling Sheets - BreezeWeave 4 PC King Size Cooling Bed Sheets for Hot Sleepers &amp; Deep, Cool Rest - Cloud Soft, Silky Smooth, 16 in Deep Pocket, Ultra Durable (Midnight Black)</t>
        </is>
      </c>
      <c r="E51" s="39" t="inlineStr">
        <is>
          <t>King</t>
        </is>
      </c>
      <c r="F51" s="39" t="inlineStr">
        <is>
          <t>Midnight Black</t>
        </is>
      </c>
      <c r="G51" s="73" t="n">
        <v>93.98999999999999</v>
      </c>
      <c r="H51" s="39" t="inlineStr">
        <is>
          <t>launch price, live Oct 15, 2026</t>
        </is>
      </c>
      <c r="I51" s="40" t="n"/>
      <c r="J51" s="39" t="n"/>
      <c r="K51" s="40" t="n"/>
      <c r="L51" s="76" t="n"/>
      <c r="M51" s="77" t="n">
        <v>0</v>
      </c>
      <c r="N51" s="39" t="inlineStr">
        <is>
          <t>Active</t>
        </is>
      </c>
      <c r="O51" s="39" t="n"/>
      <c r="P51" s="78" t="n"/>
      <c r="Q51" s="77" t="n"/>
      <c r="R51" s="77" t="n"/>
      <c r="S51" s="77" t="n"/>
      <c r="T51" s="39" t="n"/>
    </row>
    <row r="52" ht="62" customHeight="1">
      <c r="A52" s="12">
        <f>_xlfn.IMAGE("https://m.media-amazon.com/images/I/817Z4JGPz8L.jpg")</f>
        <v/>
      </c>
      <c r="B52" s="39" t="inlineStr">
        <is>
          <t>B0H6K78BHY</t>
        </is>
      </c>
      <c r="C52" s="39" t="inlineStr">
        <is>
          <t>CL-COOLING-SHEET-KING-NAVY-BLUE</t>
        </is>
      </c>
      <c r="D52" s="39" t="inlineStr">
        <is>
          <t>COOLINENS Cooling Sheets - BreezeWeave 4 PC King Size Cooling Bed Sheets for Hot Sleepers &amp; Deep, Cool Rest - Cloud Soft, Silky Smooth, 16 in Deep Pocket, Ultra Durable (Navy Blue)</t>
        </is>
      </c>
      <c r="E52" s="39" t="inlineStr">
        <is>
          <t>King</t>
        </is>
      </c>
      <c r="F52" s="39" t="inlineStr">
        <is>
          <t>Navy Blue</t>
        </is>
      </c>
      <c r="G52" s="73" t="n">
        <v>93.98999999999999</v>
      </c>
      <c r="H52" s="39" t="inlineStr">
        <is>
          <t>launch price, live Oct 15, 2026</t>
        </is>
      </c>
      <c r="I52" s="40" t="n"/>
      <c r="J52" s="39" t="n"/>
      <c r="K52" s="40" t="n"/>
      <c r="L52" s="76" t="n"/>
      <c r="M52" s="77" t="n">
        <v>0</v>
      </c>
      <c r="N52" s="39" t="inlineStr">
        <is>
          <t>Active</t>
        </is>
      </c>
      <c r="O52" s="39" t="n"/>
      <c r="P52" s="78" t="n"/>
      <c r="Q52" s="77" t="n"/>
      <c r="R52" s="77" t="n"/>
      <c r="S52" s="77" t="n"/>
      <c r="T52" s="39" t="n"/>
    </row>
    <row r="53" ht="62" customHeight="1">
      <c r="A53" s="12">
        <f>_xlfn.IMAGE("https://m.media-amazon.com/images/I/818DClLHYtL.jpg")</f>
        <v/>
      </c>
      <c r="B53" s="39" t="inlineStr">
        <is>
          <t>B0H6JZT4XF</t>
        </is>
      </c>
      <c r="C53" s="39" t="inlineStr">
        <is>
          <t>CL-COOLING-SHEET-KING-REGAL-PURPLE</t>
        </is>
      </c>
      <c r="D53" s="39" t="inlineStr">
        <is>
          <t>COOLINENS Cooling Sheets - BreezeWeave 4 PC King Size Cooling Bed Sheets for Hot Sleepers &amp; Deep, Cool Rest - Cloud Soft, Silky Smooth, 16 in Deep Pocket, Ultra Durable (Regal Purple)</t>
        </is>
      </c>
      <c r="E53" s="39" t="inlineStr">
        <is>
          <t>King</t>
        </is>
      </c>
      <c r="F53" s="39" t="inlineStr">
        <is>
          <t>Regal Purple</t>
        </is>
      </c>
      <c r="G53" s="73" t="n">
        <v>93.98999999999999</v>
      </c>
      <c r="H53" s="39" t="inlineStr">
        <is>
          <t>launch price, live Oct 15, 2026</t>
        </is>
      </c>
      <c r="I53" s="40" t="n"/>
      <c r="J53" s="39" t="n"/>
      <c r="K53" s="40" t="n"/>
      <c r="L53" s="76" t="n"/>
      <c r="M53" s="77" t="n">
        <v>0</v>
      </c>
      <c r="N53" s="39" t="inlineStr">
        <is>
          <t>Active</t>
        </is>
      </c>
      <c r="O53" s="39" t="n"/>
      <c r="P53" s="78" t="n"/>
      <c r="Q53" s="77" t="n"/>
      <c r="R53" s="77" t="n"/>
      <c r="S53" s="77" t="n"/>
      <c r="T53" s="39" t="n"/>
    </row>
    <row r="54" ht="62" customHeight="1">
      <c r="A54" s="12">
        <f>_xlfn.IMAGE("https://m.media-amazon.com/images/I/81Yt-bt8B3L.jpg")</f>
        <v/>
      </c>
      <c r="B54" s="39" t="inlineStr">
        <is>
          <t>B0H6K79KGF</t>
        </is>
      </c>
      <c r="C54" s="39" t="inlineStr">
        <is>
          <t>CL-COOLING-SHEET-KING-SAGE-GREEN</t>
        </is>
      </c>
      <c r="D54" s="39" t="inlineStr">
        <is>
          <t>COOLINENS Cooling Sheets - BreezeWeave 4 PC King Size Cooling Bed Sheets for Hot Sleepers &amp; Deep, Cool Rest - Cloud Soft, Silky Smooth, 16 in Deep Pocket, Ultra Durable (Sage Green)</t>
        </is>
      </c>
      <c r="E54" s="39" t="inlineStr">
        <is>
          <t>King</t>
        </is>
      </c>
      <c r="F54" s="39" t="inlineStr">
        <is>
          <t>Sage Green</t>
        </is>
      </c>
      <c r="G54" s="73" t="n">
        <v>93.98999999999999</v>
      </c>
      <c r="H54" s="39" t="inlineStr">
        <is>
          <t>launch price, live Oct 15, 2026</t>
        </is>
      </c>
      <c r="I54" s="40" t="n"/>
      <c r="J54" s="39" t="n"/>
      <c r="K54" s="40" t="n"/>
      <c r="L54" s="76" t="n"/>
      <c r="M54" s="77" t="n">
        <v>0</v>
      </c>
      <c r="N54" s="39" t="inlineStr">
        <is>
          <t>Active</t>
        </is>
      </c>
      <c r="O54" s="39" t="n"/>
      <c r="P54" s="78" t="n"/>
      <c r="Q54" s="77" t="n"/>
      <c r="R54" s="77" t="n"/>
      <c r="S54" s="77" t="n"/>
      <c r="T54" s="39" t="n"/>
    </row>
    <row r="55" ht="62" customHeight="1">
      <c r="A55" s="12">
        <f>_xlfn.IMAGE("https://m.media-amazon.com/images/I/81ptLz5jTWL.jpg")</f>
        <v/>
      </c>
      <c r="B55" s="39" t="inlineStr">
        <is>
          <t>B0H6K7BNHG</t>
        </is>
      </c>
      <c r="C55" s="39" t="inlineStr">
        <is>
          <t>CL-COOLING-SHEET-KING-WHITE</t>
        </is>
      </c>
      <c r="D55" s="39" t="inlineStr">
        <is>
          <t>COOLINENS Cooling Sheets - BreezeWeave 4 PC King Size Cooling Bed Sheets for Hot Sleepers &amp; Deep, Cool Rest - Cloud Soft, Silky Smooth, 16 in Deep Pocket, Ultra Durable (White)</t>
        </is>
      </c>
      <c r="E55" s="39" t="inlineStr">
        <is>
          <t>King</t>
        </is>
      </c>
      <c r="F55" s="39" t="inlineStr">
        <is>
          <t>White</t>
        </is>
      </c>
      <c r="G55" s="73" t="n">
        <v>93.98999999999999</v>
      </c>
      <c r="H55" s="39" t="inlineStr">
        <is>
          <t>launch price, live Oct 15, 2026</t>
        </is>
      </c>
      <c r="I55" s="40" t="n"/>
      <c r="J55" s="39" t="n"/>
      <c r="K55" s="40" t="n"/>
      <c r="L55" s="76" t="n"/>
      <c r="M55" s="77" t="n">
        <v>0</v>
      </c>
      <c r="N55" s="39" t="inlineStr">
        <is>
          <t>Active</t>
        </is>
      </c>
      <c r="O55" s="39" t="n"/>
      <c r="P55" s="78" t="n"/>
      <c r="Q55" s="77" t="n"/>
      <c r="R55" s="77" t="n"/>
      <c r="S55" s="77" t="n"/>
      <c r="T55" s="39" t="n"/>
    </row>
    <row r="56" ht="62" customHeight="1">
      <c r="A56" s="12">
        <f>_xlfn.IMAGE("https://m.media-amazon.com/images/I/81GLNCr7elL.jpg")</f>
        <v/>
      </c>
      <c r="B56" s="39" t="inlineStr">
        <is>
          <t>B0H6K4BKT8</t>
        </is>
      </c>
      <c r="C56" s="39" t="inlineStr">
        <is>
          <t>CL-COOLING-SHEET-QUEEN-BEIGE</t>
        </is>
      </c>
      <c r="D56" s="39" t="inlineStr">
        <is>
          <t>COOLINENS Cooling Sheets - BreezeWeave 4 PC Queen Size Cooling Bed Sheets for Hot Sleepers &amp; Deep, Cool Rest - Cloud Soft, Silky Smooth, 16 in Deep Pocket, Ultra Durable (Beige)</t>
        </is>
      </c>
      <c r="E56" s="39" t="inlineStr">
        <is>
          <t>Queen</t>
        </is>
      </c>
      <c r="F56" s="39" t="inlineStr">
        <is>
          <t>Beige</t>
        </is>
      </c>
      <c r="G56" s="73" t="n">
        <v>87.98999999999999</v>
      </c>
      <c r="H56" s="39" t="inlineStr">
        <is>
          <t>launch price, live Oct 15, 2026</t>
        </is>
      </c>
      <c r="I56" s="40" t="n"/>
      <c r="J56" s="39" t="n"/>
      <c r="K56" s="40" t="n"/>
      <c r="L56" s="76" t="n"/>
      <c r="M56" s="77" t="n">
        <v>0</v>
      </c>
      <c r="N56" s="39" t="inlineStr">
        <is>
          <t>Active</t>
        </is>
      </c>
      <c r="O56" s="39" t="n"/>
      <c r="P56" s="78" t="n">
        <v>5</v>
      </c>
      <c r="Q56" s="77" t="n">
        <v>4</v>
      </c>
      <c r="R56" s="77" t="n">
        <v>777853</v>
      </c>
      <c r="S56" s="77" t="n">
        <v>0</v>
      </c>
      <c r="T56" s="79" t="inlineStr">
        <is>
          <t>SEPARATE listing - not in the main review family</t>
        </is>
      </c>
    </row>
    <row r="57" ht="62" customHeight="1">
      <c r="A57" s="12">
        <f>_xlfn.IMAGE("https://m.media-amazon.com/images/I/81hYGok5xCL.jpg")</f>
        <v/>
      </c>
      <c r="B57" s="39" t="inlineStr">
        <is>
          <t>B0H6K1XRBF</t>
        </is>
      </c>
      <c r="C57" s="39" t="inlineStr">
        <is>
          <t>CL-COOLING-SHEET-QUEEN-CREAM</t>
        </is>
      </c>
      <c r="D57" s="39" t="inlineStr">
        <is>
          <t>COOLINENS Cooling Sheets - BreezeWeave 4 PC Queen Size Cooling Bed Sheets for Hot Sleepers &amp; Deep, Cool Rest - Cloud Soft, Silky Smooth, 16 in Deep Pocket, Ultra Durable (Cream)</t>
        </is>
      </c>
      <c r="E57" s="39" t="inlineStr">
        <is>
          <t>Queen</t>
        </is>
      </c>
      <c r="F57" s="39" t="inlineStr">
        <is>
          <t>Cream</t>
        </is>
      </c>
      <c r="G57" s="73" t="n">
        <v>87.98999999999999</v>
      </c>
      <c r="H57" s="39" t="inlineStr">
        <is>
          <t>launch price, live Oct 15, 2026</t>
        </is>
      </c>
      <c r="I57" s="40" t="n"/>
      <c r="J57" s="39" t="n"/>
      <c r="K57" s="40" t="n"/>
      <c r="L57" s="76" t="n"/>
      <c r="M57" s="77" t="n"/>
      <c r="N57" s="39" t="inlineStr">
        <is>
          <t>Active</t>
        </is>
      </c>
      <c r="O57" s="39" t="n"/>
      <c r="P57" s="78" t="n"/>
      <c r="Q57" s="77" t="n"/>
      <c r="R57" s="77" t="n"/>
      <c r="S57" s="77" t="n"/>
      <c r="T57" s="39" t="n"/>
    </row>
    <row r="58" ht="62" customHeight="1">
      <c r="A58" s="12">
        <f>_xlfn.IMAGE("https://m.media-amazon.com/images/I/81-pnxSpyEL.jpg")</f>
        <v/>
      </c>
      <c r="B58" s="39" t="inlineStr">
        <is>
          <t>B0H6K8W1VH</t>
        </is>
      </c>
      <c r="C58" s="39" t="inlineStr">
        <is>
          <t>CL-COOLING-SHEET-QUEEN-LIGHT-BLUE</t>
        </is>
      </c>
      <c r="D58" s="39" t="inlineStr">
        <is>
          <t>COOLINENS Cooling Sheets - BreezeWeave 4 PC Queen Size Cooling Bed Sheets for Hot Sleepers &amp; Deep, Cool Rest - Cloud Soft, Silky Smooth, 16 in Deep Pocket, Ultra Durable (Light Blue)</t>
        </is>
      </c>
      <c r="E58" s="39" t="inlineStr">
        <is>
          <t>Queen</t>
        </is>
      </c>
      <c r="F58" s="39" t="inlineStr">
        <is>
          <t>Light Blue</t>
        </is>
      </c>
      <c r="G58" s="73" t="n">
        <v>87.98999999999999</v>
      </c>
      <c r="H58" s="39" t="inlineStr">
        <is>
          <t>launch price, live Oct 15, 2026</t>
        </is>
      </c>
      <c r="I58" s="40" t="n"/>
      <c r="J58" s="39" t="n"/>
      <c r="K58" s="40" t="n"/>
      <c r="L58" s="76" t="n"/>
      <c r="M58" s="77" t="n">
        <v>0</v>
      </c>
      <c r="N58" s="39" t="inlineStr">
        <is>
          <t>Active</t>
        </is>
      </c>
      <c r="O58" s="39" t="n"/>
      <c r="P58" s="78" t="n"/>
      <c r="Q58" s="77" t="n"/>
      <c r="R58" s="77" t="n"/>
      <c r="S58" s="77" t="n"/>
      <c r="T58" s="39" t="n"/>
    </row>
    <row r="59" ht="62" customHeight="1">
      <c r="A59" s="12">
        <f>_xlfn.IMAGE("https://m.media-amazon.com/images/I/81R6cQjusKL.jpg")</f>
        <v/>
      </c>
      <c r="B59" s="39" t="inlineStr">
        <is>
          <t>B0H6K55LHF</t>
        </is>
      </c>
      <c r="C59" s="39" t="inlineStr">
        <is>
          <t>CL-COOLING-SHEET-QUEEN-LIGHT-GREY</t>
        </is>
      </c>
      <c r="D59" s="39" t="inlineStr">
        <is>
          <t>COOLINENS Cooling Sheets - BreezeWeave 4 PC Queen Size Cooling Bed Sheets for Hot Sleepers &amp; Deep, Cool Rest - Cloud Soft, Silky Smooth, 16 in Deep Pocket, Ultra Durable (Light Grey)</t>
        </is>
      </c>
      <c r="E59" s="39" t="inlineStr">
        <is>
          <t>Queen</t>
        </is>
      </c>
      <c r="F59" s="39" t="inlineStr">
        <is>
          <t>Light Grey</t>
        </is>
      </c>
      <c r="G59" s="73" t="n">
        <v>87.98999999999999</v>
      </c>
      <c r="H59" s="39" t="inlineStr">
        <is>
          <t>launch price, live Oct 15, 2026</t>
        </is>
      </c>
      <c r="I59" s="40" t="n"/>
      <c r="J59" s="39" t="n"/>
      <c r="K59" s="40" t="n"/>
      <c r="L59" s="76" t="n"/>
      <c r="M59" s="77" t="n">
        <v>0</v>
      </c>
      <c r="N59" s="39" t="inlineStr">
        <is>
          <t>Active</t>
        </is>
      </c>
      <c r="O59" s="39" t="n"/>
      <c r="P59" s="78" t="n"/>
      <c r="Q59" s="77" t="n"/>
      <c r="R59" s="77" t="n"/>
      <c r="S59" s="77" t="n"/>
      <c r="T59" s="39" t="n"/>
    </row>
    <row r="60" ht="62" customHeight="1">
      <c r="A60" s="12">
        <f>_xlfn.IMAGE("https://m.media-amazon.com/images/I/81UwBUFGzsL.jpg")</f>
        <v/>
      </c>
      <c r="B60" s="39" t="inlineStr">
        <is>
          <t>B0H6K2MXND</t>
        </is>
      </c>
      <c r="C60" s="39" t="inlineStr">
        <is>
          <t>CL-COOLING-SHEET-QUEEN-LIGHT-PINK</t>
        </is>
      </c>
      <c r="D60" s="39" t="inlineStr">
        <is>
          <t>COOLINENS Cooling Sheets - BreezeWeave 4 PC Queen Size Cooling Bed Sheets for Hot Sleepers &amp; Deep, Cool Rest - Cloud Soft, Silky Smooth, 16 in Deep Pocket, Ultra Durable (Light Pink)</t>
        </is>
      </c>
      <c r="E60" s="39" t="inlineStr">
        <is>
          <t>Queen</t>
        </is>
      </c>
      <c r="F60" s="39" t="inlineStr">
        <is>
          <t>Light Pink</t>
        </is>
      </c>
      <c r="G60" s="73" t="n">
        <v>87.98999999999999</v>
      </c>
      <c r="H60" s="39" t="inlineStr">
        <is>
          <t>launch price, live Oct 15, 2026</t>
        </is>
      </c>
      <c r="I60" s="40" t="n"/>
      <c r="J60" s="39" t="n"/>
      <c r="K60" s="40" t="n"/>
      <c r="L60" s="76" t="n"/>
      <c r="M60" s="77" t="n"/>
      <c r="N60" s="39" t="inlineStr">
        <is>
          <t>Active</t>
        </is>
      </c>
      <c r="O60" s="39" t="n"/>
      <c r="P60" s="78" t="n"/>
      <c r="Q60" s="77" t="n"/>
      <c r="R60" s="77" t="n"/>
      <c r="S60" s="77" t="n"/>
      <c r="T60" s="39" t="n"/>
    </row>
    <row r="61" ht="62" customHeight="1">
      <c r="A61" s="12">
        <f>_xlfn.IMAGE("https://m.media-amazon.com/images/I/81IS+DiYFRL.jpg")</f>
        <v/>
      </c>
      <c r="B61" s="39" t="inlineStr">
        <is>
          <t>B0H6JXLFX6</t>
        </is>
      </c>
      <c r="C61" s="39" t="inlineStr">
        <is>
          <t>CL-COOLING-SHEET-QUEEN-MIDNIGHT-BLACK</t>
        </is>
      </c>
      <c r="D61" s="39" t="inlineStr">
        <is>
          <t>COOLINENS Cooling Sheets - BreezeWeave 4 PC Queen Size Cooling Bed Sheets for Hot Sleepers &amp; Deep, Cool Rest - Cloud Soft, Silky Smooth, 16 in Deep Pocket, Ultra Durable (Midnight Black)</t>
        </is>
      </c>
      <c r="E61" s="39" t="inlineStr">
        <is>
          <t>Queen</t>
        </is>
      </c>
      <c r="F61" s="39" t="inlineStr">
        <is>
          <t>Midnight Black</t>
        </is>
      </c>
      <c r="G61" s="73" t="n">
        <v>87.98999999999999</v>
      </c>
      <c r="H61" s="39" t="inlineStr">
        <is>
          <t>launch price, live Oct 15, 2026</t>
        </is>
      </c>
      <c r="I61" s="40" t="n"/>
      <c r="J61" s="39" t="n"/>
      <c r="K61" s="40" t="n"/>
      <c r="L61" s="76" t="n"/>
      <c r="M61" s="77" t="n">
        <v>0</v>
      </c>
      <c r="N61" s="39" t="inlineStr">
        <is>
          <t>Active</t>
        </is>
      </c>
      <c r="O61" s="39" t="n"/>
      <c r="P61" s="78" t="n"/>
      <c r="Q61" s="77" t="n"/>
      <c r="R61" s="77" t="n"/>
      <c r="S61" s="77" t="n"/>
      <c r="T61" s="39" t="n"/>
    </row>
    <row r="62" ht="62" customHeight="1">
      <c r="A62" s="12">
        <f>_xlfn.IMAGE("https://m.media-amazon.com/images/I/817Z4JGPz8L.jpg")</f>
        <v/>
      </c>
      <c r="B62" s="39" t="inlineStr">
        <is>
          <t>B0H6K7PWRL</t>
        </is>
      </c>
      <c r="C62" s="39" t="inlineStr">
        <is>
          <t>CL-COOLING-SHEET-QUEEN-NAVY-BLUE</t>
        </is>
      </c>
      <c r="D62" s="39" t="inlineStr">
        <is>
          <t>COOLINENS Cooling Sheets - BreezeWeave 4 PC Queen Size Cooling Bed Sheets for Hot Sleepers &amp; Deep, Cool Rest - Cloud Soft, Silky Smooth, 16 in Deep Pocket, Ultra Durable (Navy Blue)</t>
        </is>
      </c>
      <c r="E62" s="39" t="inlineStr">
        <is>
          <t>Queen</t>
        </is>
      </c>
      <c r="F62" s="39" t="inlineStr">
        <is>
          <t>Navy Blue</t>
        </is>
      </c>
      <c r="G62" s="73" t="n">
        <v>87.98999999999999</v>
      </c>
      <c r="H62" s="39" t="inlineStr">
        <is>
          <t>launch price, live Oct 15, 2026</t>
        </is>
      </c>
      <c r="I62" s="40" t="n"/>
      <c r="J62" s="39" t="n"/>
      <c r="K62" s="40" t="n"/>
      <c r="L62" s="76" t="n"/>
      <c r="M62" s="77" t="n"/>
      <c r="N62" s="39" t="inlineStr">
        <is>
          <t>Active</t>
        </is>
      </c>
      <c r="O62" s="39" t="n"/>
      <c r="P62" s="78" t="n"/>
      <c r="Q62" s="77" t="n"/>
      <c r="R62" s="77" t="n"/>
      <c r="S62" s="77" t="n"/>
      <c r="T62" s="39" t="n"/>
    </row>
    <row r="63" ht="62" customHeight="1">
      <c r="A63" s="12">
        <f>_xlfn.IMAGE("https://m.media-amazon.com/images/I/818DClLHYtL.jpg")</f>
        <v/>
      </c>
      <c r="B63" s="39" t="inlineStr">
        <is>
          <t>B0H6JW1KL2</t>
        </is>
      </c>
      <c r="C63" s="39" t="inlineStr">
        <is>
          <t>CL-COOLING-SHEET-QUEEN-REGAL-PURPLE</t>
        </is>
      </c>
      <c r="D63" s="39" t="inlineStr">
        <is>
          <t>COOLINENS Cooling Sheets - BreezeWeave 4 PC Queen Size Cooling Bed Sheets for Hot Sleepers &amp; Deep, Cool Rest - Cloud Soft, Silky Smooth, 16 in Deep Pocket, Ultra Durable (Regal Purple)</t>
        </is>
      </c>
      <c r="E63" s="39" t="inlineStr">
        <is>
          <t>Queen</t>
        </is>
      </c>
      <c r="F63" s="39" t="inlineStr">
        <is>
          <t>Regal Purple</t>
        </is>
      </c>
      <c r="G63" s="73" t="n">
        <v>87.98999999999999</v>
      </c>
      <c r="H63" s="39" t="inlineStr">
        <is>
          <t>launch price, live Oct 15, 2026</t>
        </is>
      </c>
      <c r="I63" s="40" t="n"/>
      <c r="J63" s="39" t="n"/>
      <c r="K63" s="40" t="n"/>
      <c r="L63" s="76" t="n"/>
      <c r="M63" s="77" t="n">
        <v>0</v>
      </c>
      <c r="N63" s="39" t="inlineStr">
        <is>
          <t>Active</t>
        </is>
      </c>
      <c r="O63" s="39" t="n"/>
      <c r="P63" s="78" t="n"/>
      <c r="Q63" s="77" t="n"/>
      <c r="R63" s="77" t="n"/>
      <c r="S63" s="77" t="n"/>
      <c r="T63" s="39" t="n"/>
    </row>
    <row r="64" ht="62" customHeight="1">
      <c r="A64" s="12">
        <f>_xlfn.IMAGE("https://m.media-amazon.com/images/I/81Yt-bt8B3L.jpg")</f>
        <v/>
      </c>
      <c r="B64" s="39" t="inlineStr">
        <is>
          <t>B0H6JZVSG3</t>
        </is>
      </c>
      <c r="C64" s="39" t="inlineStr">
        <is>
          <t>CL-COOLING-SHEET-QUEEN-SAGE-GREEN</t>
        </is>
      </c>
      <c r="D64" s="39" t="inlineStr">
        <is>
          <t>COOLINENS Cooling Sheets - BreezeWeave 4 PC Queen Size Cooling Bed Sheets for Hot Sleepers &amp; Deep, Cool Rest - Cloud Soft, Silky Smooth, 16 in Deep Pocket, Ultra Durable (Sage Green)</t>
        </is>
      </c>
      <c r="E64" s="39" t="inlineStr">
        <is>
          <t>Queen</t>
        </is>
      </c>
      <c r="F64" s="39" t="inlineStr">
        <is>
          <t>Sage Green</t>
        </is>
      </c>
      <c r="G64" s="73" t="n">
        <v>87.98999999999999</v>
      </c>
      <c r="H64" s="39" t="inlineStr">
        <is>
          <t>launch price, live Oct 15, 2026</t>
        </is>
      </c>
      <c r="I64" s="40" t="n"/>
      <c r="J64" s="39" t="n"/>
      <c r="K64" s="40" t="n"/>
      <c r="L64" s="76" t="n"/>
      <c r="M64" s="77" t="n">
        <v>0</v>
      </c>
      <c r="N64" s="39" t="inlineStr">
        <is>
          <t>Active</t>
        </is>
      </c>
      <c r="O64" s="39" t="n"/>
      <c r="P64" s="78" t="n"/>
      <c r="Q64" s="77" t="n"/>
      <c r="R64" s="77" t="n"/>
      <c r="S64" s="77" t="n"/>
      <c r="T64" s="39" t="n"/>
    </row>
    <row r="65" ht="62" customHeight="1">
      <c r="A65" s="12">
        <f>_xlfn.IMAGE("https://m.media-amazon.com/images/I/81ptLz5jTWL.jpg")</f>
        <v/>
      </c>
      <c r="B65" s="39" t="inlineStr">
        <is>
          <t>B0H6K5MXPD</t>
        </is>
      </c>
      <c r="C65" s="39" t="inlineStr">
        <is>
          <t>CL-COOLING-SHEET-QUEEN-WHITE</t>
        </is>
      </c>
      <c r="D65" s="39" t="inlineStr">
        <is>
          <t>COOLINENS Cooling Sheets - BreezeWeave 4 PC Queen Size Cooling Bed Sheets for Hot Sleepers &amp; Deep, Cool Rest - Cloud Soft, Silky Smooth, 16 in Deep Pocket, Ultra Durable (White)</t>
        </is>
      </c>
      <c r="E65" s="39" t="inlineStr">
        <is>
          <t>Queen</t>
        </is>
      </c>
      <c r="F65" s="39" t="inlineStr">
        <is>
          <t>White</t>
        </is>
      </c>
      <c r="G65" s="73" t="n">
        <v>87.98999999999999</v>
      </c>
      <c r="H65" s="39" t="inlineStr">
        <is>
          <t>launch price, live Oct 15, 2026</t>
        </is>
      </c>
      <c r="I65" s="40" t="n"/>
      <c r="J65" s="39" t="n"/>
      <c r="K65" s="40" t="n"/>
      <c r="L65" s="76" t="n"/>
      <c r="M65" s="77" t="n">
        <v>0</v>
      </c>
      <c r="N65" s="39" t="inlineStr">
        <is>
          <t>Active</t>
        </is>
      </c>
      <c r="O65" s="39" t="n"/>
      <c r="P65" s="78" t="n"/>
      <c r="Q65" s="77" t="n"/>
      <c r="R65" s="77" t="n"/>
      <c r="S65" s="77" t="n"/>
      <c r="T65" s="39" t="n"/>
    </row>
    <row r="66" ht="62" customHeight="1">
      <c r="A66" s="12">
        <f>_xlfn.IMAGE("https://m.media-amazon.com/images/I/81jiGHrbLyL.jpg")</f>
        <v/>
      </c>
      <c r="B66" s="39" t="inlineStr">
        <is>
          <t>B0H6K7NVS4</t>
        </is>
      </c>
      <c r="C66" s="39" t="inlineStr">
        <is>
          <t>CL-COOLING-SHEET-TWIN-BEIGE</t>
        </is>
      </c>
      <c r="D66" s="39" t="inlineStr">
        <is>
          <t>COOLINENS Cooling Sheets - BreezeWeave 3 PC Twin Size Cooling Bed Sheets for Hot Sleepers &amp; Deep, Cool Rest - Cloud Soft, Silky Smooth, 16 in Deep Pocket, Ultra Durable (Beige)</t>
        </is>
      </c>
      <c r="E66" s="39" t="inlineStr">
        <is>
          <t>Twin</t>
        </is>
      </c>
      <c r="F66" s="39" t="inlineStr">
        <is>
          <t>Beige</t>
        </is>
      </c>
      <c r="G66" s="73" t="n">
        <v>69.98999999999999</v>
      </c>
      <c r="H66" s="39" t="inlineStr">
        <is>
          <t>launch price, live Oct 15, 2026</t>
        </is>
      </c>
      <c r="I66" s="40" t="n"/>
      <c r="J66" s="39" t="n"/>
      <c r="K66" s="40" t="n"/>
      <c r="L66" s="76" t="n"/>
      <c r="M66" s="77" t="n">
        <v>0</v>
      </c>
      <c r="N66" s="39" t="inlineStr">
        <is>
          <t>Active</t>
        </is>
      </c>
      <c r="O66" s="39" t="n"/>
      <c r="P66" s="78" t="n"/>
      <c r="Q66" s="77" t="n"/>
      <c r="R66" s="77" t="n"/>
      <c r="S66" s="77" t="n"/>
      <c r="T66" s="39" t="n"/>
    </row>
    <row r="67" ht="62" customHeight="1">
      <c r="A67" s="12">
        <f>_xlfn.IMAGE("https://m.media-amazon.com/images/I/81DuCEBlXpL.jpg")</f>
        <v/>
      </c>
      <c r="B67" s="39" t="inlineStr">
        <is>
          <t>B0H6K2GPYY</t>
        </is>
      </c>
      <c r="C67" s="39" t="inlineStr">
        <is>
          <t>CL-COOLING-SHEET-TWIN-COOL-GREY</t>
        </is>
      </c>
      <c r="D67" s="39" t="inlineStr">
        <is>
          <t>COOLINENS Cooling Sheets - BreezeWeave 3 PC Twin Size Cooling Bed Sheets for Hot Sleepers &amp; Deep, Cool Rest - Cloud Soft, Silky Smooth, 16 in Deep Pocket, Ultra Durable (Cool Grey)</t>
        </is>
      </c>
      <c r="E67" s="39" t="inlineStr">
        <is>
          <t>Twin</t>
        </is>
      </c>
      <c r="F67" s="39" t="inlineStr">
        <is>
          <t>Cool Grey</t>
        </is>
      </c>
      <c r="G67" s="73" t="n">
        <v>69.98999999999999</v>
      </c>
      <c r="H67" s="39" t="inlineStr">
        <is>
          <t>launch price, live Oct 15, 2026</t>
        </is>
      </c>
      <c r="I67" s="40" t="n"/>
      <c r="J67" s="39" t="n"/>
      <c r="K67" s="40" t="n"/>
      <c r="L67" s="76" t="n"/>
      <c r="M67" s="77" t="n"/>
      <c r="N67" s="39" t="inlineStr">
        <is>
          <t>Active</t>
        </is>
      </c>
      <c r="O67" s="39" t="n"/>
      <c r="P67" s="78" t="n"/>
      <c r="Q67" s="77" t="n"/>
      <c r="R67" s="77" t="n"/>
      <c r="S67" s="77" t="n"/>
      <c r="T67" s="39" t="n"/>
    </row>
    <row r="68" ht="62" customHeight="1">
      <c r="A68" s="12">
        <f>_xlfn.IMAGE("https://m.media-amazon.com/images/I/81q6wCungpL.jpg")</f>
        <v/>
      </c>
      <c r="B68" s="39" t="inlineStr">
        <is>
          <t>B0H6JZ632R</t>
        </is>
      </c>
      <c r="C68" s="39" t="inlineStr">
        <is>
          <t>CL-COOLING-SHEET-TWIN-CREAM</t>
        </is>
      </c>
      <c r="D68" s="39" t="inlineStr">
        <is>
          <t>COOLINENS Cooling Sheets - BreezeWeave 3 PC Twin Size Cooling Bed Sheets for Hot Sleepers &amp; Deep, Cool Rest - Cloud Soft, Silky Smooth, 16 in Deep Pocket, Ultra Durable (Cream)</t>
        </is>
      </c>
      <c r="E68" s="39" t="inlineStr">
        <is>
          <t>Twin</t>
        </is>
      </c>
      <c r="F68" s="39" t="inlineStr">
        <is>
          <t>Cream</t>
        </is>
      </c>
      <c r="G68" s="73" t="n">
        <v>69.98999999999999</v>
      </c>
      <c r="H68" s="39" t="inlineStr">
        <is>
          <t>launch price, live Oct 15, 2026</t>
        </is>
      </c>
      <c r="I68" s="40" t="n"/>
      <c r="J68" s="39" t="n"/>
      <c r="K68" s="40" t="n"/>
      <c r="L68" s="76" t="n"/>
      <c r="M68" s="77" t="n"/>
      <c r="N68" s="39" t="inlineStr">
        <is>
          <t>Active</t>
        </is>
      </c>
      <c r="O68" s="39" t="n"/>
      <c r="P68" s="78" t="n"/>
      <c r="Q68" s="77" t="n"/>
      <c r="R68" s="77" t="n"/>
      <c r="S68" s="77" t="n"/>
      <c r="T68" s="39" t="n"/>
    </row>
    <row r="69" ht="62" customHeight="1">
      <c r="A69" s="12">
        <f>_xlfn.IMAGE("https://m.media-amazon.com/images/I/81MwnUeGkNL.jpg")</f>
        <v/>
      </c>
      <c r="B69" s="39" t="inlineStr">
        <is>
          <t>B0H6K1TJWV</t>
        </is>
      </c>
      <c r="C69" s="39" t="inlineStr">
        <is>
          <t>CL-COOLING-SHEET-TWIN-GRAPHITE</t>
        </is>
      </c>
      <c r="D69" s="39" t="inlineStr">
        <is>
          <t>COOLINENS Cooling Sheets - BreezeWeave 3 PC Twin Size Cooling Bed Sheets for Hot Sleepers &amp; Deep, Cool Rest - Cloud Soft, Silky Smooth, 16 in Deep Pocket, Ultra Durable (Graphite)</t>
        </is>
      </c>
      <c r="E69" s="39" t="inlineStr">
        <is>
          <t>Twin</t>
        </is>
      </c>
      <c r="F69" s="39" t="inlineStr">
        <is>
          <t>Graphite</t>
        </is>
      </c>
      <c r="G69" s="73" t="n">
        <v>69.98999999999999</v>
      </c>
      <c r="H69" s="39" t="inlineStr">
        <is>
          <t>launch price, live Oct 15, 2026</t>
        </is>
      </c>
      <c r="I69" s="40" t="n"/>
      <c r="J69" s="39" t="n"/>
      <c r="K69" s="40" t="n"/>
      <c r="L69" s="76" t="n"/>
      <c r="M69" s="77" t="n">
        <v>0</v>
      </c>
      <c r="N69" s="39" t="inlineStr">
        <is>
          <t>Active</t>
        </is>
      </c>
      <c r="O69" s="39" t="n"/>
      <c r="P69" s="78" t="n"/>
      <c r="Q69" s="77" t="n"/>
      <c r="R69" s="77" t="n"/>
      <c r="S69" s="77" t="n"/>
      <c r="T69" s="39" t="n"/>
    </row>
    <row r="70" ht="62" customHeight="1">
      <c r="A70" s="12">
        <f>_xlfn.IMAGE("https://m.media-amazon.com/images/I/814UfS5IeEL.jpg")</f>
        <v/>
      </c>
      <c r="B70" s="39" t="inlineStr">
        <is>
          <t>B0H6JY5YZ5</t>
        </is>
      </c>
      <c r="C70" s="39" t="inlineStr">
        <is>
          <t>CL-COOLING-SHEET-TWIN-LIGHT-BLUE</t>
        </is>
      </c>
      <c r="D70" s="39" t="inlineStr">
        <is>
          <t>COOLINENS Cooling Sheets - BreezeWeave 3 PC Twin Size Cooling Bed Sheets for Hot Sleepers &amp; Deep, Cool Rest - Cloud Soft, Silky Smooth, 16 in Deep Pocket, Ultra Durable (Light Blue)</t>
        </is>
      </c>
      <c r="E70" s="39" t="inlineStr">
        <is>
          <t>Twin</t>
        </is>
      </c>
      <c r="F70" s="39" t="inlineStr">
        <is>
          <t>Light Blue</t>
        </is>
      </c>
      <c r="G70" s="73" t="n">
        <v>69.98999999999999</v>
      </c>
      <c r="H70" s="39" t="inlineStr">
        <is>
          <t>launch price, live Oct 15, 2026</t>
        </is>
      </c>
      <c r="I70" s="40" t="n"/>
      <c r="J70" s="39" t="n"/>
      <c r="K70" s="40" t="n"/>
      <c r="L70" s="76" t="n"/>
      <c r="M70" s="77" t="n"/>
      <c r="N70" s="39" t="inlineStr">
        <is>
          <t>Active</t>
        </is>
      </c>
      <c r="O70" s="39" t="n"/>
      <c r="P70" s="78" t="n"/>
      <c r="Q70" s="77" t="n"/>
      <c r="R70" s="77" t="n"/>
      <c r="S70" s="77" t="n"/>
      <c r="T70" s="39" t="n"/>
    </row>
    <row r="71" ht="62" customHeight="1">
      <c r="A71" s="12">
        <f>_xlfn.IMAGE("https://m.media-amazon.com/images/I/81KlULEc7AL.jpg")</f>
        <v/>
      </c>
      <c r="B71" s="39" t="inlineStr">
        <is>
          <t>B0H6K375NT</t>
        </is>
      </c>
      <c r="C71" s="39" t="inlineStr">
        <is>
          <t>CL-COOLING-SHEET-TWIN-LIGHT-GREY</t>
        </is>
      </c>
      <c r="D71" s="39" t="inlineStr">
        <is>
          <t>COOLINENS Cooling Sheets - BreezeWeave 3 PC Twin Size Cooling Bed Sheets for Hot Sleepers &amp; Deep, Cool Rest - Cloud Soft, Silky Smooth, 16 in Deep Pocket, Ultra Durable (Light Grey)</t>
        </is>
      </c>
      <c r="E71" s="39" t="inlineStr">
        <is>
          <t>Twin</t>
        </is>
      </c>
      <c r="F71" s="39" t="inlineStr">
        <is>
          <t>Light Grey</t>
        </is>
      </c>
      <c r="G71" s="73" t="n">
        <v>69.98999999999999</v>
      </c>
      <c r="H71" s="39" t="inlineStr">
        <is>
          <t>launch price, live Oct 15, 2026</t>
        </is>
      </c>
      <c r="I71" s="40" t="n"/>
      <c r="J71" s="39" t="n"/>
      <c r="K71" s="40" t="n"/>
      <c r="L71" s="76" t="n"/>
      <c r="M71" s="77" t="n"/>
      <c r="N71" s="39" t="inlineStr">
        <is>
          <t>Active</t>
        </is>
      </c>
      <c r="O71" s="39" t="n"/>
      <c r="P71" s="78" t="n"/>
      <c r="Q71" s="77" t="n"/>
      <c r="R71" s="77" t="n"/>
      <c r="S71" s="77" t="n"/>
      <c r="T71" s="39" t="n"/>
    </row>
    <row r="72" ht="62" customHeight="1">
      <c r="A72" s="12">
        <f>_xlfn.IMAGE("https://m.media-amazon.com/images/I/81WmaV1ULrL.jpg")</f>
        <v/>
      </c>
      <c r="B72" s="39" t="inlineStr">
        <is>
          <t>B0H6K9M7WN</t>
        </is>
      </c>
      <c r="C72" s="39" t="inlineStr">
        <is>
          <t>CL-COOLING-SHEET-TWIN-LIGHT-PINK</t>
        </is>
      </c>
      <c r="D72" s="39" t="inlineStr">
        <is>
          <t>COOLINENS Cooling Sheets - BreezeWeave 3 PC Twin Size Cooling Bed Sheets for Hot Sleepers &amp; Deep, Cool Rest - Cloud Soft, Silky Smooth, 16 in Deep Pocket, Ultra Durable (Light Pink)</t>
        </is>
      </c>
      <c r="E72" s="39" t="inlineStr">
        <is>
          <t>Twin</t>
        </is>
      </c>
      <c r="F72" s="39" t="inlineStr">
        <is>
          <t>Light Pink</t>
        </is>
      </c>
      <c r="G72" s="73" t="n">
        <v>69.98999999999999</v>
      </c>
      <c r="H72" s="39" t="inlineStr">
        <is>
          <t>launch price, live Oct 15, 2026</t>
        </is>
      </c>
      <c r="I72" s="40" t="n"/>
      <c r="J72" s="39" t="n"/>
      <c r="K72" s="40" t="n"/>
      <c r="L72" s="76" t="n"/>
      <c r="M72" s="77" t="n"/>
      <c r="N72" s="39" t="inlineStr">
        <is>
          <t>Active</t>
        </is>
      </c>
      <c r="O72" s="39" t="n"/>
      <c r="P72" s="78" t="n"/>
      <c r="Q72" s="77" t="n"/>
      <c r="R72" s="77" t="n"/>
      <c r="S72" s="77" t="n"/>
      <c r="T72" s="39" t="n"/>
    </row>
    <row r="73" ht="62" customHeight="1">
      <c r="A73" s="12">
        <f>_xlfn.IMAGE("https://m.media-amazon.com/images/I/81nCKuPyoYL.jpg")</f>
        <v/>
      </c>
      <c r="B73" s="39" t="inlineStr">
        <is>
          <t>B0H6K2WQHQ</t>
        </is>
      </c>
      <c r="C73" s="39" t="inlineStr">
        <is>
          <t>CL-COOLING-SHEET-TWIN-MIDNIGHT-BLACK</t>
        </is>
      </c>
      <c r="D73" s="39" t="inlineStr">
        <is>
          <t>COOLINENS Cooling Sheets - BreezeWeave 3 PC Twin Size Cooling Bed Sheets for Hot Sleepers &amp; Deep, Cool Rest - Cloud Soft, Silky Smooth, 16 in Deep Pocket, Ultra Durable (Midnight Black)</t>
        </is>
      </c>
      <c r="E73" s="39" t="inlineStr">
        <is>
          <t>Twin</t>
        </is>
      </c>
      <c r="F73" s="39" t="inlineStr">
        <is>
          <t>Midnight Black</t>
        </is>
      </c>
      <c r="G73" s="73" t="n">
        <v>69.98999999999999</v>
      </c>
      <c r="H73" s="39" t="inlineStr">
        <is>
          <t>launch price, live Oct 15, 2026</t>
        </is>
      </c>
      <c r="I73" s="40" t="n"/>
      <c r="J73" s="39" t="n"/>
      <c r="K73" s="40" t="n"/>
      <c r="L73" s="76" t="n"/>
      <c r="M73" s="77" t="n"/>
      <c r="N73" s="39" t="inlineStr">
        <is>
          <t>Active</t>
        </is>
      </c>
      <c r="O73" s="39" t="n"/>
      <c r="P73" s="78" t="n"/>
      <c r="Q73" s="77" t="n"/>
      <c r="R73" s="77" t="n"/>
      <c r="S73" s="77" t="n"/>
      <c r="T73" s="39" t="n"/>
    </row>
    <row r="74" ht="62" customHeight="1">
      <c r="A74" s="12">
        <f>_xlfn.IMAGE("https://m.media-amazon.com/images/I/81tqzC7pzFL.jpg")</f>
        <v/>
      </c>
      <c r="B74" s="39" t="inlineStr">
        <is>
          <t>B0H6K777C2</t>
        </is>
      </c>
      <c r="C74" s="39" t="inlineStr">
        <is>
          <t>CL-COOLING-SHEET-TWIN-NAVY-BLUE</t>
        </is>
      </c>
      <c r="D74" s="39" t="inlineStr">
        <is>
          <t>COOLINENS Cooling Sheets - BreezeWeave 3 PC Twin Size Cooling Bed Sheets for Hot Sleepers &amp; Deep, Cool Rest - Cloud Soft, Silky Smooth, 16 in Deep Pocket, Ultra Durable (Navy Blue)</t>
        </is>
      </c>
      <c r="E74" s="39" t="inlineStr">
        <is>
          <t>Twin</t>
        </is>
      </c>
      <c r="F74" s="39" t="inlineStr">
        <is>
          <t>Navy Blue</t>
        </is>
      </c>
      <c r="G74" s="73" t="n">
        <v>69.98999999999999</v>
      </c>
      <c r="H74" s="39" t="inlineStr">
        <is>
          <t>launch price, live Oct 15, 2026</t>
        </is>
      </c>
      <c r="I74" s="40" t="n"/>
      <c r="J74" s="39" t="n"/>
      <c r="K74" s="40" t="n"/>
      <c r="L74" s="76" t="n"/>
      <c r="M74" s="77" t="n">
        <v>0</v>
      </c>
      <c r="N74" s="39" t="inlineStr">
        <is>
          <t>Active</t>
        </is>
      </c>
      <c r="O74" s="39" t="n"/>
      <c r="P74" s="78" t="n"/>
      <c r="Q74" s="77" t="n"/>
      <c r="R74" s="77" t="n"/>
      <c r="S74" s="77" t="n"/>
      <c r="T74" s="39" t="n"/>
    </row>
    <row r="75" ht="62" customHeight="1">
      <c r="A75" s="12">
        <f>_xlfn.IMAGE("https://m.media-amazon.com/images/I/81A129nPBbL.jpg")</f>
        <v/>
      </c>
      <c r="B75" s="39" t="inlineStr">
        <is>
          <t>B0H6JVZNYN</t>
        </is>
      </c>
      <c r="C75" s="39" t="inlineStr">
        <is>
          <t>CL-COOLING-SHEET-TWIN-REGAL-PURPLE</t>
        </is>
      </c>
      <c r="D75" s="39" t="inlineStr">
        <is>
          <t>COOLINENS Cooling Sheets - BreezeWeave 3 PC Twin Size Cooling Bed Sheets for Hot Sleepers &amp; Deep, Cool Rest - Cloud Soft, Silky Smooth, 16 in Deep Pocket, Ultra Durable (Regal Purple)</t>
        </is>
      </c>
      <c r="E75" s="39" t="inlineStr">
        <is>
          <t>Twin</t>
        </is>
      </c>
      <c r="F75" s="39" t="inlineStr">
        <is>
          <t>Regal Purple</t>
        </is>
      </c>
      <c r="G75" s="73" t="n">
        <v>69.98999999999999</v>
      </c>
      <c r="H75" s="39" t="inlineStr">
        <is>
          <t>launch price, live Oct 15, 2026</t>
        </is>
      </c>
      <c r="I75" s="40" t="n"/>
      <c r="J75" s="39" t="n"/>
      <c r="K75" s="40" t="n"/>
      <c r="L75" s="76" t="n"/>
      <c r="M75" s="77" t="n"/>
      <c r="N75" s="39" t="inlineStr">
        <is>
          <t>Active</t>
        </is>
      </c>
      <c r="O75" s="39" t="n"/>
      <c r="P75" s="78" t="n"/>
      <c r="Q75" s="77" t="n"/>
      <c r="R75" s="77" t="n"/>
      <c r="S75" s="77" t="n"/>
      <c r="T75" s="39" t="n"/>
    </row>
    <row r="76" ht="62" customHeight="1">
      <c r="A76" s="12">
        <f>_xlfn.IMAGE("https://m.media-amazon.com/images/I/81o5MvCK14L.jpg")</f>
        <v/>
      </c>
      <c r="B76" s="39" t="inlineStr">
        <is>
          <t>B0H6K7PWRM</t>
        </is>
      </c>
      <c r="C76" s="39" t="inlineStr">
        <is>
          <t>CL-COOLING-SHEET-TWIN-SAGE-GREEN</t>
        </is>
      </c>
      <c r="D76" s="39" t="inlineStr">
        <is>
          <t>COOLINENS Cooling Sheets - BreezeWeave 3 PC Twin Size Cooling Bed Sheets for Hot Sleepers &amp; Deep, Cool Rest - Cloud Soft, Silky Smooth, 16 in Deep Pocket, Ultra Durable (Sage Green)</t>
        </is>
      </c>
      <c r="E76" s="39" t="inlineStr">
        <is>
          <t>Twin</t>
        </is>
      </c>
      <c r="F76" s="39" t="inlineStr">
        <is>
          <t>Sage Green</t>
        </is>
      </c>
      <c r="G76" s="73" t="n">
        <v>69.98999999999999</v>
      </c>
      <c r="H76" s="39" t="inlineStr">
        <is>
          <t>launch price, live Oct 15, 2026</t>
        </is>
      </c>
      <c r="I76" s="40" t="n"/>
      <c r="J76" s="39" t="n"/>
      <c r="K76" s="40" t="n"/>
      <c r="L76" s="76" t="n"/>
      <c r="M76" s="77" t="n"/>
      <c r="N76" s="39" t="inlineStr">
        <is>
          <t>Active</t>
        </is>
      </c>
      <c r="O76" s="39" t="n"/>
      <c r="P76" s="78" t="n"/>
      <c r="Q76" s="77" t="n"/>
      <c r="R76" s="77" t="n"/>
      <c r="S76" s="77" t="n"/>
      <c r="T76" s="39" t="n"/>
    </row>
    <row r="77" ht="62" customHeight="1">
      <c r="A77" s="12">
        <f>_xlfn.IMAGE("https://m.media-amazon.com/images/I/819ME8ZV-eL.jpg")</f>
        <v/>
      </c>
      <c r="B77" s="39" t="inlineStr">
        <is>
          <t>B0H6K85JXL</t>
        </is>
      </c>
      <c r="C77" s="39" t="inlineStr">
        <is>
          <t>CL-COOLING-SHEET-TWIN-WHITE</t>
        </is>
      </c>
      <c r="D77" s="39" t="inlineStr">
        <is>
          <t>COOLINENS Cooling Sheets - BreezeWeave 3 PC Twin Size Cooling Bed Sheets for Hot Sleepers &amp; Deep, Cool Rest - Cloud Soft, Silky Smooth, 16 in Deep Pocket, Ultra Durable (White)</t>
        </is>
      </c>
      <c r="E77" s="39" t="inlineStr">
        <is>
          <t>Twin</t>
        </is>
      </c>
      <c r="F77" s="39" t="inlineStr">
        <is>
          <t>White</t>
        </is>
      </c>
      <c r="G77" s="73" t="n">
        <v>69.98999999999999</v>
      </c>
      <c r="H77" s="39" t="inlineStr">
        <is>
          <t>launch price, live Oct 15, 2026</t>
        </is>
      </c>
      <c r="I77" s="40" t="n"/>
      <c r="J77" s="39" t="n"/>
      <c r="K77" s="40" t="n"/>
      <c r="L77" s="76" t="n"/>
      <c r="M77" s="77" t="n">
        <v>0</v>
      </c>
      <c r="N77" s="39" t="inlineStr">
        <is>
          <t>Active</t>
        </is>
      </c>
      <c r="O77" s="39" t="n"/>
      <c r="P77" s="78" t="n"/>
      <c r="Q77" s="77" t="n"/>
      <c r="R77" s="77" t="n"/>
      <c r="S77" s="77" t="n"/>
      <c r="T77" s="39" t="n"/>
    </row>
    <row r="78"/>
    <row r="79" ht="22" customHeight="1">
      <c r="A79" s="65" t="inlineStr">
        <is>
          <t>3 ▼</t>
        </is>
      </c>
      <c r="B79" s="66" t="inlineStr">
        <is>
          <t>OUR BFCM 2025 RESULT &amp; EVENT VISIBILITY</t>
        </is>
      </c>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c r="AC79" s="67" t="n"/>
      <c r="AD79" s="67" t="n"/>
      <c r="AE79" s="67" t="n"/>
      <c r="AF79" s="67" t="n"/>
      <c r="AG79" s="67" t="n"/>
      <c r="AH79" s="67" t="n"/>
      <c r="AI79" s="67" t="n"/>
      <c r="AJ79" s="67" t="n"/>
      <c r="AK79" s="67" t="n"/>
      <c r="AL79" s="67" t="n"/>
      <c r="AM79" s="67" t="n"/>
      <c r="AN79" s="67" t="n"/>
      <c r="AO79" s="67" t="n"/>
      <c r="AP79" s="67" t="n"/>
      <c r="AQ79" s="67" t="n"/>
      <c r="AR79" s="67" t="n"/>
      <c r="AS79" s="67" t="n"/>
      <c r="AT79" s="67" t="n"/>
      <c r="AU79" s="67" t="n"/>
      <c r="AV79" s="67" t="n"/>
      <c r="AW79" s="67" t="n"/>
      <c r="AX79" s="67" t="n"/>
      <c r="AY79" s="67" t="n"/>
      <c r="AZ79" s="67" t="n"/>
      <c r="BA79" s="67" t="n"/>
      <c r="BB79" s="67" t="n"/>
      <c r="BC79" s="67" t="n"/>
      <c r="BD79" s="67" t="n"/>
      <c r="BE79" s="67" t="n"/>
      <c r="BF79" s="67" t="n"/>
      <c r="BG79" s="67" t="n"/>
      <c r="BH79" s="67" t="n"/>
      <c r="BI79" s="67" t="n"/>
      <c r="BJ79" s="67" t="n"/>
      <c r="BK79" s="67" t="n"/>
    </row>
    <row r="80">
      <c r="A80" s="80" t="inlineStr">
        <is>
          <t>Window</t>
        </is>
      </c>
      <c r="B80" s="81" t="n"/>
      <c r="C80" s="82" t="n"/>
      <c r="D80" s="80" t="inlineStr">
        <is>
          <t>Ad spend</t>
        </is>
      </c>
      <c r="E80" s="80" t="inlineStr">
        <is>
          <t>Ad sales</t>
        </is>
      </c>
      <c r="F80" s="80" t="inlineStr">
        <is>
          <t>ACoS</t>
        </is>
      </c>
      <c r="G80" s="80" t="inlineStr">
        <is>
          <t>TACoS</t>
        </is>
      </c>
      <c r="H80" s="80" t="inlineStr">
        <is>
          <t>Total sales (derived)</t>
        </is>
      </c>
      <c r="J80" s="80" t="inlineStr">
        <is>
          <t>Ad orders</t>
        </is>
      </c>
      <c r="K80" s="80" t="inlineStr">
        <is>
          <t>CVR</t>
        </is>
      </c>
    </row>
    <row r="81">
      <c r="A81" s="83" t="inlineStr">
        <is>
          <t>Pre-event Oct 21 - Nov 19, 2025 (30d)</t>
        </is>
      </c>
      <c r="B81" s="81" t="n"/>
      <c r="C81" s="82" t="n"/>
      <c r="D81" s="84" t="n"/>
      <c r="E81" s="84" t="n"/>
      <c r="F81" s="85" t="n"/>
      <c r="G81" s="85" t="n"/>
      <c r="H81" s="84" t="n"/>
      <c r="J81" s="86" t="n"/>
      <c r="K81" s="87" t="n"/>
    </row>
    <row r="82">
      <c r="A82" s="83" t="inlineStr">
        <is>
          <t>BFCM week Nov 20 - Dec 1, 2025 (12d)</t>
        </is>
      </c>
      <c r="B82" s="81" t="n"/>
      <c r="C82" s="82" t="n"/>
      <c r="D82" s="84" t="n"/>
      <c r="E82" s="84" t="n"/>
      <c r="F82" s="85" t="n"/>
      <c r="G82" s="85" t="n"/>
      <c r="H82" s="84" t="n"/>
      <c r="J82" s="86" t="n"/>
      <c r="K82" s="87" t="n"/>
    </row>
    <row r="83">
      <c r="A83" s="83" t="inlineStr">
        <is>
          <t>December 2 - 31, 2025 (30d)</t>
        </is>
      </c>
      <c r="B83" s="81" t="n"/>
      <c r="C83" s="82" t="n"/>
      <c r="D83" s="84" t="n"/>
      <c r="E83" s="84" t="n"/>
      <c r="F83" s="85" t="n"/>
      <c r="G83" s="85" t="n"/>
      <c r="H83" s="84" t="n"/>
      <c r="J83" s="86" t="n"/>
      <c r="K83" s="87" t="n"/>
    </row>
    <row r="84" ht="18" customHeight="1">
      <c r="A84" s="94" t="inlineStr">
        <is>
          <t>BFCM 2026 plan: NOT IN A DEAL. the team confirmed that products without a planned deal are not in any BFCM 2026 deal; they sell at their regular price.</t>
        </is>
      </c>
    </row>
    <row r="85" ht="30" customHeight="1">
      <c r="A85" s="94" t="inlineStr">
        <is>
          <t>BFCM 2026 stock (account data, Oct 15): 4,261 units at Amazon + 20 already sent (no ETA in account data); selling 8.7 a day; need about 582 to Nov 30 with a 2.74x BFCM lift (ASSUMED: account BFCM 2025 lift (US); product's own 2025 lift not available). Variations: 59 covered, 0 need the inbound in time, 1 short even with inbound (5 units), 0 out of stock now. Detail: BFCM Stock tab.</t>
        </is>
      </c>
    </row>
    <row r="86">
      <c r="A86" s="90" t="inlineStr">
        <is>
          <t>No market data visibility history for our best child ASIN.</t>
        </is>
      </c>
    </row>
    <row r="87">
      <c r="A87" s="132" t="inlineStr">
        <is>
          <t>No BFCM 2025 PPC data for this product (not advertised or launched after BFCM 2025).</t>
        </is>
      </c>
    </row>
    <row r="88"/>
    <row r="89" ht="22" customHeight="1">
      <c r="A89" s="65" t="inlineStr">
        <is>
          <t>4 ▼</t>
        </is>
      </c>
      <c r="B89" s="66" t="inlineStr">
        <is>
          <t>COMPETITOR LANDSCAPE (38 mapped)</t>
        </is>
      </c>
      <c r="C89" s="67" t="n"/>
      <c r="D89" s="67" t="n"/>
      <c r="E89" s="67" t="n"/>
      <c r="F89" s="67" t="n"/>
      <c r="G89" s="67" t="n"/>
      <c r="H89" s="67" t="n"/>
      <c r="I89" s="67" t="n"/>
      <c r="J89" s="67" t="n"/>
      <c r="K89" s="67" t="n"/>
      <c r="L89" s="67" t="n"/>
      <c r="M89" s="67" t="n"/>
      <c r="N89" s="67" t="n"/>
      <c r="O89" s="67" t="n"/>
      <c r="P89" s="67" t="n"/>
      <c r="Q89" s="67" t="n"/>
      <c r="R89" s="67" t="n"/>
      <c r="S89" s="67" t="n"/>
      <c r="T89" s="67" t="n"/>
      <c r="U89" s="67" t="n"/>
      <c r="V89" s="67" t="n"/>
      <c r="W89" s="67" t="n"/>
      <c r="X89" s="67" t="n"/>
      <c r="Y89" s="67" t="n"/>
      <c r="Z89" s="67" t="n"/>
      <c r="AA89" s="67" t="n"/>
      <c r="AB89" s="67" t="n"/>
      <c r="AC89" s="67" t="n"/>
      <c r="AD89" s="67" t="n"/>
      <c r="AE89" s="67" t="n"/>
      <c r="AF89" s="67" t="n"/>
      <c r="AG89" s="67" t="n"/>
      <c r="AH89" s="67" t="n"/>
      <c r="AI89" s="67" t="n"/>
      <c r="AJ89" s="67" t="n"/>
      <c r="AK89" s="67" t="n"/>
      <c r="AL89" s="67" t="n"/>
      <c r="AM89" s="67" t="n"/>
      <c r="AN89" s="67" t="n"/>
      <c r="AO89" s="67" t="n"/>
      <c r="AP89" s="67" t="n"/>
      <c r="AQ89" s="67" t="n"/>
      <c r="AR89" s="67" t="n"/>
      <c r="AS89" s="67" t="n"/>
      <c r="AT89" s="67" t="n"/>
      <c r="AU89" s="67" t="n"/>
      <c r="AV89" s="67" t="n"/>
      <c r="AW89" s="67" t="n"/>
      <c r="AX89" s="67" t="n"/>
      <c r="AY89" s="67" t="n"/>
      <c r="AZ89" s="67" t="n"/>
      <c r="BA89" s="67" t="n"/>
      <c r="BB89" s="67" t="n"/>
      <c r="BC89" s="67" t="n"/>
      <c r="BD89" s="67" t="n"/>
      <c r="BE89" s="67" t="n"/>
      <c r="BF89" s="67" t="n"/>
      <c r="BG89" s="67" t="n"/>
      <c r="BH89" s="67" t="n"/>
      <c r="BI89" s="67" t="n"/>
      <c r="BJ89" s="67" t="n"/>
      <c r="BK89" s="67" t="n"/>
    </row>
    <row r="90" ht="20" customHeight="1">
      <c r="A90" s="96" t="inlineStr">
        <is>
          <t>▼▼▼</t>
        </is>
      </c>
      <c r="B90" s="97" t="inlineStr">
        <is>
          <t>COMPETITOR DATA BELOW: one row per competitor (10 direct first, then alternative material). Scroll right for listing, search, strikethrough now and BFCM 2025 history (deal type, price, discount, rank change).</t>
        </is>
      </c>
      <c r="C90" s="98" t="n"/>
      <c r="D90" s="98" t="n"/>
      <c r="E90" s="98" t="n"/>
      <c r="F90" s="98" t="n"/>
      <c r="G90" s="98" t="n"/>
      <c r="H90" s="98" t="n"/>
      <c r="I90" s="98" t="n"/>
      <c r="J90" s="98" t="n"/>
      <c r="K90" s="98" t="n"/>
      <c r="L90" s="98" t="n"/>
      <c r="M90" s="98" t="n"/>
      <c r="N90" s="98" t="n"/>
      <c r="O90" s="98" t="n"/>
      <c r="P90" s="98" t="n"/>
      <c r="Q90" s="98" t="n"/>
      <c r="R90" s="98" t="n"/>
      <c r="S90" s="98" t="n"/>
      <c r="T90" s="98" t="n"/>
      <c r="U90" s="98" t="n"/>
      <c r="V90" s="98" t="n"/>
      <c r="W90" s="98" t="n"/>
      <c r="X90" s="98" t="n"/>
      <c r="Y90" s="98" t="n"/>
      <c r="Z90" s="98" t="n"/>
      <c r="AA90" s="98" t="n"/>
      <c r="AB90" s="98" t="n"/>
      <c r="AC90" s="98" t="n"/>
      <c r="AD90" s="98" t="n"/>
      <c r="AE90" s="98" t="n"/>
      <c r="AF90" s="98" t="n"/>
      <c r="AG90" s="98" t="n"/>
      <c r="AH90" s="98" t="n"/>
      <c r="AI90" s="98" t="n"/>
      <c r="AJ90" s="98" t="n"/>
      <c r="AK90" s="98" t="n"/>
      <c r="AL90" s="98" t="n"/>
      <c r="AM90" s="98" t="n"/>
      <c r="AN90" s="98" t="n"/>
      <c r="AO90" s="98" t="n"/>
      <c r="AP90" s="98" t="n"/>
      <c r="AQ90" s="98" t="n"/>
      <c r="AR90" s="98" t="n"/>
      <c r="AS90" s="98" t="n"/>
      <c r="AT90" s="98" t="n"/>
      <c r="AU90" s="98" t="n"/>
      <c r="AV90" s="98" t="n"/>
      <c r="AW90" s="98" t="n"/>
      <c r="AX90" s="98" t="n"/>
      <c r="AY90" s="98" t="n"/>
      <c r="AZ90" s="98" t="n"/>
      <c r="BA90" s="98" t="n"/>
      <c r="BB90" s="98" t="n"/>
      <c r="BC90" s="98" t="n"/>
      <c r="BD90" s="98" t="n"/>
      <c r="BE90" s="98" t="n"/>
      <c r="BF90" s="98" t="n"/>
      <c r="BG90" s="98" t="n"/>
      <c r="BH90" s="98" t="n"/>
      <c r="BI90" s="98" t="n"/>
      <c r="BJ90" s="98" t="n"/>
      <c r="BK90" s="98" t="n"/>
    </row>
    <row r="91">
      <c r="A91" s="99" t="inlineStr">
        <is>
          <t>COMPETITOR</t>
        </is>
      </c>
      <c r="L91" s="100" t="inlineStr">
        <is>
          <t>LISTING - catalog data</t>
        </is>
      </c>
      <c r="M91" s="101" t="inlineStr">
        <is>
          <t>SEARCH STRATEGY - market data search data</t>
        </is>
      </c>
      <c r="N91" s="102" t="inlineStr">
        <is>
          <t>PRICE &amp; SALES - market data snapshot (date per row)</t>
        </is>
      </c>
      <c r="AA91" s="100" t="inlineStr">
        <is>
          <t>LISTING - catalog data</t>
        </is>
      </c>
      <c r="AD91" s="101" t="inlineStr">
        <is>
          <t>SEARCH STRATEGY - market data search data</t>
        </is>
      </c>
      <c r="AU91" s="103" t="inlineStr">
        <is>
          <t>STR NOW - Amazon page check (Oct 13, P1 + P2)</t>
        </is>
      </c>
      <c r="BB91" s="104" t="inlineStr">
        <is>
          <t>BFCM 2025 - price history (P1 filled; yellow = not pulled yet)</t>
        </is>
      </c>
    </row>
    <row r="92" ht="48" customHeight="1">
      <c r="A92" s="26" t="inlineStr">
        <is>
          <t>Image</t>
        </is>
      </c>
      <c r="B92" s="26" t="inlineStr">
        <is>
          <t>Brand</t>
        </is>
      </c>
      <c r="C92" s="26" t="inlineStr">
        <is>
          <t>Product title</t>
        </is>
      </c>
      <c r="D92" s="26" t="inlineStr">
        <is>
          <t>Tier</t>
        </is>
      </c>
      <c r="E92" s="26" t="inlineStr">
        <is>
          <t>Competitor type</t>
        </is>
      </c>
      <c r="F92" s="26" t="inlineStr">
        <is>
          <t>Material</t>
        </is>
      </c>
      <c r="G92" s="26" t="inlineStr">
        <is>
          <t>Why this type</t>
        </is>
      </c>
      <c r="H92" s="26" t="inlineStr">
        <is>
          <t>Parent ASIN</t>
        </is>
      </c>
      <c r="I92" s="26" t="inlineStr">
        <is>
          <t>Tracked child ASIN</t>
        </is>
      </c>
      <c r="J92" s="26" t="inlineStr">
        <is>
          <t>Size</t>
        </is>
      </c>
      <c r="K92" s="26" t="inlineStr">
        <is>
          <t>Colour</t>
        </is>
      </c>
      <c r="L92" s="26" t="inlineStr">
        <is>
          <t>Variations</t>
        </is>
      </c>
      <c r="M92" s="26" t="inlineStr">
        <is>
          <t>Hero child ASINs (share of their visibility)</t>
        </is>
      </c>
      <c r="N92" s="26" t="inlineStr">
        <is>
          <t>Price ($)</t>
        </is>
      </c>
      <c r="O92" s="26" t="inlineStr">
        <is>
          <t>List Price ($)</t>
        </is>
      </c>
      <c r="P92" s="26" t="inlineStr">
        <is>
          <t>List Price % over</t>
        </is>
      </c>
      <c r="Q92" s="26" t="inlineStr">
        <is>
          <t>STR band</t>
        </is>
      </c>
      <c r="R92" s="26" t="inlineStr">
        <is>
          <t>Our price, same size ($)</t>
        </is>
      </c>
      <c r="S92" s="26" t="inlineStr">
        <is>
          <t>Their price vs ours</t>
        </is>
      </c>
      <c r="T92" s="26" t="inlineStr">
        <is>
          <t>Comparison basis</t>
        </is>
      </c>
      <c r="U92" s="26" t="inlineStr">
        <is>
          <t>BSR</t>
        </is>
      </c>
      <c r="V92" s="26" t="inlineStr">
        <is>
          <t>Est weekly units</t>
        </is>
      </c>
      <c r="W92" s="26" t="inlineStr">
        <is>
          <t>Est monthly revenue ($)</t>
        </is>
      </c>
      <c r="X92" s="26" t="inlineStr">
        <is>
          <t>Rating</t>
        </is>
      </c>
      <c r="Y92" s="26" t="inlineStr">
        <is>
          <t>Reviews</t>
        </is>
      </c>
      <c r="Z92" s="26" t="inlineStr">
        <is>
          <t>Snapshot date</t>
        </is>
      </c>
      <c r="AA92" s="26" t="inlineStr">
        <is>
          <t>Listed</t>
        </is>
      </c>
      <c r="AB92" s="26" t="inlineStr">
        <is>
          <t>Fulfil.</t>
        </is>
      </c>
      <c r="AC92" s="26" t="inlineStr">
        <is>
          <t>Seller country</t>
        </is>
      </c>
      <c r="AD92" s="26" t="inlineStr">
        <is>
          <t>search data 7d traffic</t>
        </is>
      </c>
      <c r="AE92" s="26" t="inlineStr">
        <is>
          <t>Keywords ranked</t>
        </is>
      </c>
      <c r="AF92" s="26" t="inlineStr">
        <is>
          <t>Organic share of traffic</t>
        </is>
      </c>
      <c r="AG92" s="26" t="inlineStr">
        <is>
          <t>Ad share of traffic</t>
        </is>
      </c>
      <c r="AH92" s="26" t="inlineStr">
        <is>
          <t>Top keyword</t>
        </is>
      </c>
      <c r="AI92" s="26" t="inlineStr">
        <is>
          <t>SP reach</t>
        </is>
      </c>
      <c r="AJ92" s="26" t="inlineStr">
        <is>
          <t>SB reach</t>
        </is>
      </c>
      <c r="AK92" s="26" t="inlineStr">
        <is>
          <t>SB video reach</t>
        </is>
      </c>
      <c r="AL92" s="26" t="inlineStr">
        <is>
          <t>Amazon's Choice reach</t>
        </is>
      </c>
      <c r="AM92" s="26" t="inlineStr">
        <is>
          <t>Shared keywords</t>
        </is>
      </c>
      <c r="AN92" s="26" t="inlineStr">
        <is>
          <t>We win</t>
        </is>
      </c>
      <c r="AO92" s="26" t="inlineStr">
        <is>
          <t>We lose</t>
        </is>
      </c>
      <c r="AP92" s="26" t="inlineStr">
        <is>
          <t>Their keywords we miss</t>
        </is>
      </c>
      <c r="AQ92" s="26" t="inlineStr">
        <is>
          <t>KWs they advertise, we don't</t>
        </is>
      </c>
      <c r="AR92" s="26" t="inlineStr">
        <is>
          <t>KWs they out-advertise us</t>
        </is>
      </c>
      <c r="AS92" s="26" t="inlineStr">
        <is>
          <t>Prime Day 2026 organic vis lift</t>
        </is>
      </c>
      <c r="AT92" s="26" t="inlineStr">
        <is>
          <t>Organic trend (Aug-Sep vs Q2)</t>
        </is>
      </c>
      <c r="AU92" s="26" t="inlineStr">
        <is>
          <t>STR showing now? (Y/N)</t>
        </is>
      </c>
      <c r="AV92" s="26" t="inlineStr">
        <is>
          <t>STR label</t>
        </is>
      </c>
      <c r="AW92" s="26" t="inlineStr">
        <is>
          <t>Strikethrough price ($)</t>
        </is>
      </c>
      <c r="AX92" s="26" t="inlineStr">
        <is>
          <t>Page price at check ($)</t>
        </is>
      </c>
      <c r="AY92" s="26" t="inlineStr">
        <is>
          <t>Deal / coupon now</t>
        </is>
      </c>
      <c r="AZ92" s="26" t="inlineStr">
        <is>
          <t>Orderable now (Y/N)</t>
        </is>
      </c>
      <c r="BA92" s="26" t="inlineStr">
        <is>
          <t>Checked (ET)</t>
        </is>
      </c>
      <c r="BB92" s="26" t="inlineStr">
        <is>
          <t>BFCM 2025 deal type</t>
        </is>
      </c>
      <c r="BC92" s="26" t="inlineStr">
        <is>
          <t>BFCM 2025 deal dates</t>
        </is>
      </c>
      <c r="BD92" s="26" t="inlineStr">
        <is>
          <t>Pre-event price ($)</t>
        </is>
      </c>
      <c r="BE92" s="26" t="inlineStr">
        <is>
          <t>BFCM 2025 low ($)</t>
        </is>
      </c>
      <c r="BF92" s="26" t="inlineStr">
        <is>
          <t>BFCM 2025 discount</t>
        </is>
      </c>
      <c r="BG92" s="26" t="inlineStr">
        <is>
          <t>BSR pre-event</t>
        </is>
      </c>
      <c r="BH92" s="26" t="inlineStr">
        <is>
          <t>BSR BFCM wk</t>
        </is>
      </c>
      <c r="BI92" s="26" t="inlineStr">
        <is>
          <t>BSR lift (x)</t>
        </is>
      </c>
      <c r="BJ92" s="26" t="inlineStr">
        <is>
          <t>OOS in BFCM? (Y/N)</t>
        </is>
      </c>
      <c r="BK92" s="26" t="inlineStr">
        <is>
          <t>Notes</t>
        </is>
      </c>
    </row>
    <row r="93" ht="62" customHeight="1">
      <c r="A93" s="12">
        <f>_xlfn.IMAGE("https://m.media-amazon.com/images/I/71lWpVXtIFL._AC_SL1500_.jpg")</f>
        <v/>
      </c>
      <c r="B93" s="105" t="inlineStr">
        <is>
          <t>REST</t>
        </is>
      </c>
      <c r="C93" s="39" t="inlineStr">
        <is>
          <t>Cooling Sheets</t>
        </is>
      </c>
      <c r="D93" s="105" t="inlineStr">
        <is>
          <t>Beatable</t>
        </is>
      </c>
      <c r="E93" s="106" t="inlineStr">
        <is>
          <t>Direct</t>
        </is>
      </c>
      <c r="F93" s="105" t="inlineStr">
        <is>
          <t>Synthetic cooling knit</t>
        </is>
      </c>
      <c r="G93" s="39" t="inlineStr">
        <is>
          <t>Same product (sheet set) in the same material family: Synthetic cooling knit (product page material: Antistatic, IONIC+ Silver Nylon, Nylon, Spandex, Skin Friend); ours: product spec: CooLoom, 90% nylon / 10% spandex.</t>
        </is>
      </c>
      <c r="H93" s="107" t="inlineStr">
        <is>
          <t>B0HC6866B7</t>
        </is>
      </c>
      <c r="I93" s="107" t="inlineStr">
        <is>
          <t>B0D9JHBBCZ</t>
        </is>
      </c>
      <c r="J93" s="105" t="inlineStr">
        <is>
          <t>Queen</t>
        </is>
      </c>
      <c r="K93" s="105" t="inlineStr">
        <is>
          <t>Midnight Blue</t>
        </is>
      </c>
      <c r="L93" s="108" t="n">
        <v>69</v>
      </c>
      <c r="M93" s="39" t="inlineStr">
        <is>
          <t>B0C56ZNQVQ (16%), B0BLYSGFRW (15%), B0BLYVMGYB (7%), B0BLYW9CJZ (7%), B0C56YLKZW (7%)</t>
        </is>
      </c>
      <c r="N93" s="109" t="n">
        <v>224.25</v>
      </c>
      <c r="O93" s="109" t="n">
        <v>299</v>
      </c>
      <c r="P93" s="110">
        <f>IF(AND(ISNUMBER(O93),ISNUMBER(N93),N(N93)&gt;0),O93/N93-1,"")</f>
        <v/>
      </c>
      <c r="Q93" s="111">
        <f>IF(P93="","No List Price",IF(P93&lt;=0,"At/below price",IF(P93&lt;=0.12,"&lt;=12% STR zone",IF(P93&lt;=0.25,"12-25%","&gt;25% over"))))</f>
        <v/>
      </c>
      <c r="R93" s="109" t="n">
        <v>87.98999999999999</v>
      </c>
      <c r="S93" s="112">
        <f>IF(AND(ISNUMBER(N93),ISNUMBER(R93),N(R93)&gt;0),N93/R93-1,"")</f>
        <v/>
      </c>
      <c r="T93" s="39" t="inlineStr">
        <is>
          <t>Same size (Queen). Ours live: launch price, live Oct 15, 2026; 12 children</t>
        </is>
      </c>
      <c r="U93" s="108" t="n">
        <v>5255</v>
      </c>
      <c r="V93" s="108" t="n">
        <v>81</v>
      </c>
      <c r="W93" s="113">
        <f>IF(AND(ISNUMBER(N93),ISNUMBER(V93)),N93*V93*52/12,"")</f>
        <v/>
      </c>
      <c r="X93" s="114" t="n">
        <v>4.3</v>
      </c>
      <c r="Y93" s="108" t="n">
        <v>1149</v>
      </c>
      <c r="Z93" s="115" t="n">
        <v>46307</v>
      </c>
      <c r="AA93" s="115" t="n"/>
      <c r="AB93" s="105" t="n"/>
      <c r="AC93" s="105" t="n"/>
      <c r="AD93" s="108" t="n">
        <v>522593</v>
      </c>
      <c r="AE93" s="108" t="n">
        <v>7281</v>
      </c>
      <c r="AF93" s="116" t="n">
        <v>0.2234137663535486</v>
      </c>
      <c r="AG93" s="116" t="n">
        <v>0.7765862336464519</v>
      </c>
      <c r="AH93" s="39" t="inlineStr">
        <is>
          <t>cooling sheets</t>
        </is>
      </c>
      <c r="AI93" s="116" t="n">
        <v>0.7800085343661319</v>
      </c>
      <c r="AJ93" s="116" t="n">
        <v>0.8614600654811679</v>
      </c>
      <c r="AK93" s="116" t="n">
        <v>0.4534561312531932</v>
      </c>
      <c r="AL93" s="116" t="n">
        <v>0.1182067115326841</v>
      </c>
      <c r="AM93" s="108" t="n"/>
      <c r="AN93" s="108" t="n"/>
      <c r="AO93" s="108" t="n"/>
      <c r="AP93" s="108" t="n"/>
      <c r="AQ93" s="108" t="n"/>
      <c r="AR93" s="108" t="n"/>
      <c r="AS93" s="117" t="n"/>
      <c r="AT93" s="112" t="n"/>
      <c r="AU93" s="118" t="inlineStr">
        <is>
          <t>Y</t>
        </is>
      </c>
      <c r="AV93" s="118" t="inlineStr">
        <is>
          <t>List Price</t>
        </is>
      </c>
      <c r="AW93" s="119" t="n">
        <v>299</v>
      </c>
      <c r="AX93" s="119" t="n">
        <v>224.25</v>
      </c>
      <c r="AY93" s="118" t="inlineStr">
        <is>
          <t>none</t>
        </is>
      </c>
      <c r="AZ93" s="118" t="inlineStr">
        <is>
          <t>Y</t>
        </is>
      </c>
      <c r="BA93" s="118" t="inlineStr">
        <is>
          <t>2026-10-13 12:12:07</t>
        </is>
      </c>
      <c r="BB93" s="120" t="inlineStr">
        <is>
          <t>Price cut only</t>
        </is>
      </c>
      <c r="BC93" s="120" t="inlineStr">
        <is>
          <t>11-20 to 12-01</t>
        </is>
      </c>
      <c r="BD93" s="121" t="n">
        <v>299</v>
      </c>
      <c r="BE93" s="121" t="n">
        <v>215.88</v>
      </c>
      <c r="BF93" s="110">
        <f>IF(AND(ISNUMBER(BD93),ISNUMBER(BE93),N(BD93)&gt;0),1-BE93/BD93,"")</f>
        <v/>
      </c>
      <c r="BG93" s="122" t="n">
        <v>30243</v>
      </c>
      <c r="BH93" s="122" t="n">
        <v>15706</v>
      </c>
      <c r="BI93" s="123">
        <f>IF(AND(ISNUMBER(BG93),ISNUMBER(BH93),N(BH93)&gt;0),BG93/BH93,"")</f>
        <v/>
      </c>
      <c r="BJ93" s="120" t="inlineStr">
        <is>
          <t>N</t>
        </is>
      </c>
      <c r="BK93" s="120" t="inlineStr">
        <is>
          <t>Lightning Deal 11-14 to 11-14; List Price $299.00</t>
        </is>
      </c>
    </row>
    <row r="94" ht="62" customHeight="1">
      <c r="A94" s="12">
        <f>_xlfn.IMAGE("https://m.media-amazon.com/images/I/81o+wGCszCL._AC_SL1500_.jpg")</f>
        <v/>
      </c>
      <c r="B94" s="105" t="inlineStr">
        <is>
          <t>Breescape</t>
        </is>
      </c>
      <c r="C94" s="39" t="inlineStr">
        <is>
          <t>Cooling Sheets</t>
        </is>
      </c>
      <c r="D94" s="105" t="inlineStr">
        <is>
          <t>Beatable</t>
        </is>
      </c>
      <c r="E94" s="106" t="inlineStr">
        <is>
          <t>Direct</t>
        </is>
      </c>
      <c r="F94" s="105" t="inlineStr">
        <is>
          <t>Synthetic cooling knit</t>
        </is>
      </c>
      <c r="G94" s="39" t="inlineStr">
        <is>
          <t>Same product (sheet set) in the same material family: Synthetic cooling knit (product page material: BlendTek Fabric: 69% Nylon, 20% Polyester, 11% Spandex); ours: product spec: CooLoom, 90% nylon / 10% spandex.</t>
        </is>
      </c>
      <c r="H94" s="107" t="inlineStr">
        <is>
          <t>B0H41M1N4B</t>
        </is>
      </c>
      <c r="I94" s="107" t="inlineStr">
        <is>
          <t>B0DSPZJKTB</t>
        </is>
      </c>
      <c r="J94" s="105" t="inlineStr">
        <is>
          <t>King</t>
        </is>
      </c>
      <c r="K94" s="105" t="inlineStr">
        <is>
          <t>Gray</t>
        </is>
      </c>
      <c r="L94" s="108" t="n">
        <v>26</v>
      </c>
      <c r="M94" s="39" t="inlineStr">
        <is>
          <t>B0DSPZJKTB (49%), B0DSPZSVFL (26%), B0DSPZKCCN (6%)</t>
        </is>
      </c>
      <c r="N94" s="109" t="n">
        <v>149.99</v>
      </c>
      <c r="O94" s="109" t="n">
        <v>179.99</v>
      </c>
      <c r="P94" s="110">
        <f>IF(AND(ISNUMBER(O94),ISNUMBER(N94),N(N94)&gt;0),O94/N94-1,"")</f>
        <v/>
      </c>
      <c r="Q94" s="111">
        <f>IF(P94="","No List Price",IF(P94&lt;=0,"At/below price",IF(P94&lt;=0.12,"&lt;=12% STR zone",IF(P94&lt;=0.25,"12-25%","&gt;25% over"))))</f>
        <v/>
      </c>
      <c r="R94" s="109" t="n">
        <v>93.98999999999999</v>
      </c>
      <c r="S94" s="112">
        <f>IF(AND(ISNUMBER(N94),ISNUMBER(R94),N(R94)&gt;0),N94/R94-1,"")</f>
        <v/>
      </c>
      <c r="T94" s="39" t="inlineStr">
        <is>
          <t>Same size (King). Ours live: launch price, live Oct 15, 2026; 12 children</t>
        </is>
      </c>
      <c r="U94" s="108" t="n">
        <v>49910</v>
      </c>
      <c r="V94" s="108" t="n">
        <v>35</v>
      </c>
      <c r="W94" s="113">
        <f>IF(AND(ISNUMBER(N94),ISNUMBER(V94)),N94*V94*52/12,"")</f>
        <v/>
      </c>
      <c r="X94" s="114" t="n">
        <v>4.2</v>
      </c>
      <c r="Y94" s="108" t="n">
        <v>595</v>
      </c>
      <c r="Z94" s="115" t="n">
        <v>46307</v>
      </c>
      <c r="AA94" s="115" t="n"/>
      <c r="AB94" s="105" t="n"/>
      <c r="AC94" s="105" t="n"/>
      <c r="AD94" s="108" t="n">
        <v>107224</v>
      </c>
      <c r="AE94" s="108" t="n">
        <v>1884</v>
      </c>
      <c r="AF94" s="116" t="n">
        <v>0.5282540960978878</v>
      </c>
      <c r="AG94" s="116" t="n">
        <v>0.4717459934343065</v>
      </c>
      <c r="AH94" s="39" t="inlineStr">
        <is>
          <t>cooling sheets</t>
        </is>
      </c>
      <c r="AI94" s="116" t="n">
        <v>0.853279116615683</v>
      </c>
      <c r="AJ94" s="116" t="n">
        <v>0.6382059986570171</v>
      </c>
      <c r="AK94" s="116" t="n">
        <v>0.7425203312691189</v>
      </c>
      <c r="AL94" s="116" t="n">
        <v>0.09657352831455644</v>
      </c>
      <c r="AM94" s="108" t="n"/>
      <c r="AN94" s="108" t="n"/>
      <c r="AO94" s="108" t="n"/>
      <c r="AP94" s="108" t="n"/>
      <c r="AQ94" s="108" t="n"/>
      <c r="AR94" s="108" t="n"/>
      <c r="AS94" s="117" t="n">
        <v>1.443271767810026</v>
      </c>
      <c r="AT94" s="112" t="n">
        <v>0.2381786339754817</v>
      </c>
      <c r="AU94" s="118" t="inlineStr">
        <is>
          <t>Y</t>
        </is>
      </c>
      <c r="AV94" s="118" t="inlineStr">
        <is>
          <t>List Price</t>
        </is>
      </c>
      <c r="AW94" s="119" t="n">
        <v>179.99</v>
      </c>
      <c r="AX94" s="119" t="n">
        <v>149.99</v>
      </c>
      <c r="AY94" s="118" t="inlineStr">
        <is>
          <t>none</t>
        </is>
      </c>
      <c r="AZ94" s="118" t="inlineStr">
        <is>
          <t>Y</t>
        </is>
      </c>
      <c r="BA94" s="118" t="inlineStr">
        <is>
          <t>2026-10-13 12:11:52</t>
        </is>
      </c>
      <c r="BB94" s="120" t="inlineStr">
        <is>
          <t>Price cut only</t>
        </is>
      </c>
      <c r="BC94" s="120" t="inlineStr">
        <is>
          <t>11-20 to 12-01</t>
        </is>
      </c>
      <c r="BD94" s="121" t="n">
        <v>125.99</v>
      </c>
      <c r="BE94" s="121" t="n">
        <v>119.69</v>
      </c>
      <c r="BF94" s="110">
        <f>IF(AND(ISNUMBER(BD94),ISNUMBER(BE94),N(BD94)&gt;0),1-BE94/BD94,"")</f>
        <v/>
      </c>
      <c r="BG94" s="122" t="n">
        <v>74970</v>
      </c>
      <c r="BH94" s="122" t="n">
        <v>53655</v>
      </c>
      <c r="BI94" s="123">
        <f>IF(AND(ISNUMBER(BG94),ISNUMBER(BH94),N(BH94)&gt;0),BG94/BH94,"")</f>
        <v/>
      </c>
      <c r="BJ94" s="120" t="inlineStr">
        <is>
          <t>N</t>
        </is>
      </c>
      <c r="BK94" s="120" t="inlineStr">
        <is>
          <t>Coupon 30% (11-01 to 11-02); List Price $179.99</t>
        </is>
      </c>
    </row>
    <row r="95" ht="62" customHeight="1">
      <c r="A95" s="12">
        <f>_xlfn.IMAGE("https://m.media-amazon.com/images/I/71Ryqe-IHkL._AC_SL1500_.jpg")</f>
        <v/>
      </c>
      <c r="B95" s="105" t="inlineStr">
        <is>
          <t>REST</t>
        </is>
      </c>
      <c r="C95" s="39" t="inlineStr">
        <is>
          <t>Cooling Sheets 4/6 Pcs</t>
        </is>
      </c>
      <c r="D95" s="105" t="inlineStr">
        <is>
          <t>Beatable</t>
        </is>
      </c>
      <c r="E95" s="106" t="inlineStr">
        <is>
          <t>Direct</t>
        </is>
      </c>
      <c r="F95" s="105" t="inlineStr">
        <is>
          <t>Synthetic cooling knit</t>
        </is>
      </c>
      <c r="G95" s="39" t="inlineStr">
        <is>
          <t>Same product (sheet set) in the same material family: Synthetic cooling knit (product page material: IONIC+ Silver Nylon, Nylon, Spandex, Skin Friendly, Tear Res); ours: product spec: CooLoom, 90% nylon / 10% spandex.</t>
        </is>
      </c>
      <c r="H95" s="107" t="inlineStr">
        <is>
          <t>B0HC6866B7</t>
        </is>
      </c>
      <c r="I95" s="107" t="inlineStr">
        <is>
          <t>B0D25LDRPS</t>
        </is>
      </c>
      <c r="J95" s="105" t="inlineStr">
        <is>
          <t>King</t>
        </is>
      </c>
      <c r="K95" s="105" t="inlineStr">
        <is>
          <t>Midnight Blue</t>
        </is>
      </c>
      <c r="L95" s="108" t="n"/>
      <c r="M95" s="39" t="inlineStr"/>
      <c r="N95" s="109" t="n">
        <v>164.25</v>
      </c>
      <c r="O95" s="109" t="n">
        <v>219</v>
      </c>
      <c r="P95" s="110">
        <f>IF(AND(ISNUMBER(O95),ISNUMBER(N95),N(N95)&gt;0),O95/N95-1,"")</f>
        <v/>
      </c>
      <c r="Q95" s="111">
        <f>IF(P95="","No List Price",IF(P95&lt;=0,"At/below price",IF(P95&lt;=0.12,"&lt;=12% STR zone",IF(P95&lt;=0.25,"12-25%","&gt;25% over"))))</f>
        <v/>
      </c>
      <c r="R95" s="109" t="n">
        <v>93.98999999999999</v>
      </c>
      <c r="S95" s="112">
        <f>IF(AND(ISNUMBER(N95),ISNUMBER(R95),N(R95)&gt;0),N95/R95-1,"")</f>
        <v/>
      </c>
      <c r="T95" s="39" t="inlineStr">
        <is>
          <t>Same size (King). Ours live: launch price, live Oct 15, 2026; 12 children</t>
        </is>
      </c>
      <c r="U95" s="108" t="n">
        <v>5255</v>
      </c>
      <c r="V95" s="108" t="n">
        <v>35</v>
      </c>
      <c r="W95" s="113">
        <f>IF(AND(ISNUMBER(N95),ISNUMBER(V95)),N95*V95*52/12,"")</f>
        <v/>
      </c>
      <c r="X95" s="114" t="n">
        <v>4.3</v>
      </c>
      <c r="Y95" s="108" t="n">
        <v>1149</v>
      </c>
      <c r="Z95" s="115" t="n">
        <v>46307</v>
      </c>
      <c r="AA95" s="115" t="n"/>
      <c r="AB95" s="105" t="n"/>
      <c r="AC95" s="105" t="n"/>
      <c r="AD95" s="108" t="n"/>
      <c r="AE95" s="108" t="n"/>
      <c r="AF95" s="116" t="n"/>
      <c r="AG95" s="116" t="n"/>
      <c r="AH95" s="39" t="n"/>
      <c r="AI95" s="116" t="n"/>
      <c r="AJ95" s="116" t="n"/>
      <c r="AK95" s="116" t="n"/>
      <c r="AL95" s="116" t="n"/>
      <c r="AM95" s="108" t="n"/>
      <c r="AN95" s="108" t="n"/>
      <c r="AO95" s="108" t="n"/>
      <c r="AP95" s="108" t="n"/>
      <c r="AQ95" s="108" t="n"/>
      <c r="AR95" s="108" t="n"/>
      <c r="AS95" s="117" t="n"/>
      <c r="AT95" s="112" t="n"/>
      <c r="AU95" s="118" t="inlineStr">
        <is>
          <t>Y</t>
        </is>
      </c>
      <c r="AV95" s="118" t="inlineStr">
        <is>
          <t>List Price</t>
        </is>
      </c>
      <c r="AW95" s="119" t="n">
        <v>219</v>
      </c>
      <c r="AX95" s="119" t="n">
        <v>164.25</v>
      </c>
      <c r="AY95" s="118" t="inlineStr">
        <is>
          <t>none</t>
        </is>
      </c>
      <c r="AZ95" s="118" t="inlineStr">
        <is>
          <t>Y</t>
        </is>
      </c>
      <c r="BA95" s="118" t="inlineStr">
        <is>
          <t>2026-10-13 12:12:10</t>
        </is>
      </c>
      <c r="BB95" s="120" t="inlineStr">
        <is>
          <t>Price cut only</t>
        </is>
      </c>
      <c r="BC95" s="120" t="inlineStr">
        <is>
          <t>11-20 to 12-01</t>
        </is>
      </c>
      <c r="BD95" s="121" t="n">
        <v>219</v>
      </c>
      <c r="BE95" s="121" t="n">
        <v>158.12</v>
      </c>
      <c r="BF95" s="110">
        <f>IF(AND(ISNUMBER(BD95),ISNUMBER(BE95),N(BD95)&gt;0),1-BE95/BD95,"")</f>
        <v/>
      </c>
      <c r="BG95" s="122" t="n">
        <v>30250</v>
      </c>
      <c r="BH95" s="122" t="n">
        <v>15708</v>
      </c>
      <c r="BI95" s="123">
        <f>IF(AND(ISNUMBER(BG95),ISNUMBER(BH95),N(BH95)&gt;0),BG95/BH95,"")</f>
        <v/>
      </c>
      <c r="BJ95" s="120" t="inlineStr">
        <is>
          <t>N</t>
        </is>
      </c>
      <c r="BK95" s="120" t="inlineStr">
        <is>
          <t>Lightning Deal 11-14 to 11-14; List Price $219.00</t>
        </is>
      </c>
    </row>
    <row r="96" ht="62" customHeight="1">
      <c r="A96" s="12">
        <f>_xlfn.IMAGE("https://m.media-amazon.com/images/I/61rLGUnuOnL._AC_SL1500_.jpg")</f>
        <v/>
      </c>
      <c r="B96" s="105" t="inlineStr">
        <is>
          <t>SHEEX</t>
        </is>
      </c>
      <c r="C96" s="39" t="inlineStr">
        <is>
          <t>SHEEX - Original Performance Sheets Set (Queen) Graphite - Cooling Sheets - Mois</t>
        </is>
      </c>
      <c r="D96" s="105" t="inlineStr">
        <is>
          <t>Beatable</t>
        </is>
      </c>
      <c r="E96" s="106" t="inlineStr">
        <is>
          <t>Direct</t>
        </is>
      </c>
      <c r="F96" s="105" t="inlineStr">
        <is>
          <t>Synthetic cooling knit</t>
        </is>
      </c>
      <c r="G96" s="39" t="inlineStr">
        <is>
          <t>Same product (sheet set) in the same material family: Synthetic cooling knit (product page material: 87% Polyester/ 13% Spandex); ours: product spec: CooLoom, 90% nylon / 10% spandex.</t>
        </is>
      </c>
      <c r="H96" s="107" t="inlineStr">
        <is>
          <t>B081KX96XD</t>
        </is>
      </c>
      <c r="I96" s="107" t="inlineStr">
        <is>
          <t>B00EWJHJU4</t>
        </is>
      </c>
      <c r="J96" s="105" t="inlineStr">
        <is>
          <t>Queen</t>
        </is>
      </c>
      <c r="K96" s="105" t="inlineStr">
        <is>
          <t>Graphite</t>
        </is>
      </c>
      <c r="L96" s="108" t="n"/>
      <c r="M96" s="39" t="inlineStr"/>
      <c r="N96" s="109" t="n">
        <v>224.25</v>
      </c>
      <c r="O96" s="109" t="n"/>
      <c r="P96" s="110">
        <f>IF(AND(ISNUMBER(O96),ISNUMBER(N96),N(N96)&gt;0),O96/N96-1,"")</f>
        <v/>
      </c>
      <c r="Q96" s="111">
        <f>IF(P96="","No List Price",IF(P96&lt;=0,"At/below price",IF(P96&lt;=0.12,"&lt;=12% STR zone",IF(P96&lt;=0.25,"12-25%","&gt;25% over"))))</f>
        <v/>
      </c>
      <c r="R96" s="109" t="n">
        <v>87.98999999999999</v>
      </c>
      <c r="S96" s="112">
        <f>IF(AND(ISNUMBER(N96),ISNUMBER(R96),N(R96)&gt;0),N96/R96-1,"")</f>
        <v/>
      </c>
      <c r="T96" s="39" t="inlineStr">
        <is>
          <t>Same size (Queen). Ours live: launch price, live Oct 15, 2026; 12 children</t>
        </is>
      </c>
      <c r="U96" s="108" t="n">
        <v>74243</v>
      </c>
      <c r="V96" s="108" t="n">
        <v>5</v>
      </c>
      <c r="W96" s="113">
        <f>IF(AND(ISNUMBER(N96),ISNUMBER(V96)),N96*V96*52/12,"")</f>
        <v/>
      </c>
      <c r="X96" s="114" t="n">
        <v>4.4</v>
      </c>
      <c r="Y96" s="108" t="n">
        <v>3256</v>
      </c>
      <c r="Z96" s="115" t="n">
        <v>46307</v>
      </c>
      <c r="AA96" s="115" t="n"/>
      <c r="AB96" s="105" t="n"/>
      <c r="AC96" s="105" t="n"/>
      <c r="AD96" s="108" t="n"/>
      <c r="AE96" s="108" t="n"/>
      <c r="AF96" s="116" t="n"/>
      <c r="AG96" s="116" t="n"/>
      <c r="AH96" s="39" t="n"/>
      <c r="AI96" s="116" t="n"/>
      <c r="AJ96" s="116" t="n"/>
      <c r="AK96" s="116" t="n"/>
      <c r="AL96" s="116" t="n"/>
      <c r="AM96" s="108" t="n"/>
      <c r="AN96" s="108" t="n"/>
      <c r="AO96" s="108" t="n"/>
      <c r="AP96" s="108" t="n"/>
      <c r="AQ96" s="108" t="n"/>
      <c r="AR96" s="108" t="n"/>
      <c r="AS96" s="117" t="n"/>
      <c r="AT96" s="112" t="n"/>
      <c r="AU96" s="118" t="inlineStr">
        <is>
          <t>N</t>
        </is>
      </c>
      <c r="AV96" s="118" t="inlineStr">
        <is>
          <t>none</t>
        </is>
      </c>
      <c r="AW96" s="124" t="n"/>
      <c r="AX96" s="119" t="n">
        <v>224.25</v>
      </c>
      <c r="AY96" s="118" t="inlineStr">
        <is>
          <t>none</t>
        </is>
      </c>
      <c r="AZ96" s="118" t="inlineStr">
        <is>
          <t>Y</t>
        </is>
      </c>
      <c r="BA96" s="118" t="inlineStr">
        <is>
          <t>2026-10-13 12:12:14</t>
        </is>
      </c>
      <c r="BB96" s="120" t="inlineStr">
        <is>
          <t>None</t>
        </is>
      </c>
      <c r="BC96" s="125" t="n"/>
      <c r="BD96" s="121" t="n">
        <v>299</v>
      </c>
      <c r="BE96" s="121" t="n">
        <v>299</v>
      </c>
      <c r="BF96" s="110">
        <f>IF(AND(ISNUMBER(BD96),ISNUMBER(BE96),N(BD96)&gt;0),1-BE96/BD96,"")</f>
        <v/>
      </c>
      <c r="BG96" s="122" t="n">
        <v>116210</v>
      </c>
      <c r="BH96" s="122" t="n">
        <v>48170</v>
      </c>
      <c r="BI96" s="123">
        <f>IF(AND(ISNUMBER(BG96),ISNUMBER(BH96),N(BH96)&gt;0),BG96/BH96,"")</f>
        <v/>
      </c>
      <c r="BJ96" s="120" t="inlineStr">
        <is>
          <t>N</t>
        </is>
      </c>
      <c r="BK96" s="120" t="inlineStr">
        <is>
          <t>Coupon 25%, 30% (11-14 to 11-18); List Price $299.00</t>
        </is>
      </c>
    </row>
    <row r="97" ht="62" customHeight="1">
      <c r="A97" s="12">
        <f>_xlfn.IMAGE("https://m.media-amazon.com/images/I/6134+o8tDxL._AC_SL1500_.jpg")</f>
        <v/>
      </c>
      <c r="B97" s="105" t="inlineStr">
        <is>
          <t>CGK Unlimited</t>
        </is>
      </c>
      <c r="C97" s="39" t="inlineStr">
        <is>
          <t>Cooling Sheets Set Twin XL Size - 3 Piece Summer Bed Sheets for Hot Sleepers &amp; N</t>
        </is>
      </c>
      <c r="D97" s="105" t="inlineStr">
        <is>
          <t>Poor</t>
        </is>
      </c>
      <c r="E97" s="106" t="inlineStr">
        <is>
          <t>Direct</t>
        </is>
      </c>
      <c r="F97" s="105" t="inlineStr">
        <is>
          <t>Synthetic cooling knit</t>
        </is>
      </c>
      <c r="G97" s="39" t="inlineStr">
        <is>
          <t>Same product (sheet set) in the same material family: Synthetic cooling knit (product page material: Nylon, Spandex); ours: product spec: CooLoom, 90% nylon / 10% spandex.</t>
        </is>
      </c>
      <c r="H97" s="107" t="inlineStr">
        <is>
          <t>B0FT4VV426</t>
        </is>
      </c>
      <c r="I97" s="107" t="inlineStr">
        <is>
          <t>B0FT4TC7NV</t>
        </is>
      </c>
      <c r="J97" s="105" t="inlineStr">
        <is>
          <t>Twin</t>
        </is>
      </c>
      <c r="K97" s="105" t="inlineStr">
        <is>
          <t>06 - Sky Blue</t>
        </is>
      </c>
      <c r="L97" s="108" t="n"/>
      <c r="M97" s="39" t="inlineStr"/>
      <c r="N97" s="109" t="n">
        <v>57.99</v>
      </c>
      <c r="O97" s="109" t="n"/>
      <c r="P97" s="110">
        <f>IF(AND(ISNUMBER(O97),ISNUMBER(N97),N(N97)&gt;0),O97/N97-1,"")</f>
        <v/>
      </c>
      <c r="Q97" s="111">
        <f>IF(P97="","No List Price",IF(P97&lt;=0,"At/below price",IF(P97&lt;=0.12,"&lt;=12% STR zone",IF(P97&lt;=0.25,"12-25%","&gt;25% over"))))</f>
        <v/>
      </c>
      <c r="R97" s="109" t="n">
        <v>69.98999999999999</v>
      </c>
      <c r="S97" s="112">
        <f>IF(AND(ISNUMBER(N97),ISNUMBER(R97),N(R97)&gt;0),N97/R97-1,"")</f>
        <v/>
      </c>
      <c r="T97" s="39" t="inlineStr">
        <is>
          <t>Same size (Twin). Ours live: launch price, live Oct 15, 2026; 12 children</t>
        </is>
      </c>
      <c r="U97" s="108" t="n">
        <v>381427</v>
      </c>
      <c r="V97" s="108" t="n">
        <v>5</v>
      </c>
      <c r="W97" s="113">
        <f>IF(AND(ISNUMBER(N97),ISNUMBER(V97)),N97*V97*52/12,"")</f>
        <v/>
      </c>
      <c r="X97" s="114" t="n">
        <v>4.1</v>
      </c>
      <c r="Y97" s="108" t="n">
        <v>118</v>
      </c>
      <c r="Z97" s="115" t="n">
        <v>46307</v>
      </c>
      <c r="AA97" s="115" t="n"/>
      <c r="AB97" s="105" t="n"/>
      <c r="AC97" s="105" t="n"/>
      <c r="AD97" s="108" t="n"/>
      <c r="AE97" s="108" t="n"/>
      <c r="AF97" s="116" t="n"/>
      <c r="AG97" s="116" t="n"/>
      <c r="AH97" s="39" t="n"/>
      <c r="AI97" s="116" t="n"/>
      <c r="AJ97" s="116" t="n"/>
      <c r="AK97" s="116" t="n"/>
      <c r="AL97" s="116" t="n"/>
      <c r="AM97" s="108" t="n"/>
      <c r="AN97" s="108" t="n"/>
      <c r="AO97" s="108" t="n"/>
      <c r="AP97" s="108" t="n"/>
      <c r="AQ97" s="108" t="n"/>
      <c r="AR97" s="108" t="n"/>
      <c r="AS97" s="117" t="n"/>
      <c r="AT97" s="112" t="n"/>
      <c r="AU97" s="118" t="inlineStr">
        <is>
          <t>N</t>
        </is>
      </c>
      <c r="AV97" s="118" t="inlineStr">
        <is>
          <t>none</t>
        </is>
      </c>
      <c r="AW97" s="124" t="n"/>
      <c r="AX97" s="119" t="n">
        <v>57.99</v>
      </c>
      <c r="AY97" s="118" t="inlineStr">
        <is>
          <t>none</t>
        </is>
      </c>
      <c r="AZ97" s="118" t="inlineStr">
        <is>
          <t>Y</t>
        </is>
      </c>
      <c r="BA97" s="118" t="inlineStr">
        <is>
          <t>2026-10-13 23:37:53</t>
        </is>
      </c>
      <c r="BB97" s="120" t="inlineStr">
        <is>
          <t>Not live in 2025</t>
        </is>
      </c>
      <c r="BC97" s="125" t="n"/>
      <c r="BD97" s="124" t="n"/>
      <c r="BE97" s="124" t="n"/>
      <c r="BF97" s="110">
        <f>IF(AND(ISNUMBER(BD97),ISNUMBER(BE97),N(BD97)&gt;0),1-BE97/BD97,"")</f>
        <v/>
      </c>
      <c r="BG97" s="126" t="n"/>
      <c r="BH97" s="126" t="n"/>
      <c r="BI97" s="123">
        <f>IF(AND(ISNUMBER(BG97),ISNUMBER(BH97),N(BH97)&gt;0),BG97/BH97,"")</f>
        <v/>
      </c>
      <c r="BJ97" s="125" t="n"/>
      <c r="BK97" s="125" t="n"/>
    </row>
    <row r="98" ht="62" customHeight="1">
      <c r="A98" s="12">
        <f>_xlfn.IMAGE("https://m.media-amazon.com/images/I/613kYEKI4UL._AC_SL1500_.jpg")</f>
        <v/>
      </c>
      <c r="B98" s="105" t="inlineStr">
        <is>
          <t>DOWNCOOL</t>
        </is>
      </c>
      <c r="C98" s="39" t="inlineStr">
        <is>
          <t>Cooling Sheets</t>
        </is>
      </c>
      <c r="D98" s="105" t="inlineStr">
        <is>
          <t>Poor</t>
        </is>
      </c>
      <c r="E98" s="106" t="inlineStr">
        <is>
          <t>Direct</t>
        </is>
      </c>
      <c r="F98" s="105" t="inlineStr">
        <is>
          <t>Synthetic cooling knit</t>
        </is>
      </c>
      <c r="G98" s="39" t="inlineStr">
        <is>
          <t>Same product (sheet set) in the same material family: Synthetic cooling knit (product page material: Nylon); ours: product spec: CooLoom, 90% nylon / 10% spandex.</t>
        </is>
      </c>
      <c r="H98" s="107" t="inlineStr">
        <is>
          <t>B0F93XRVSZ</t>
        </is>
      </c>
      <c r="I98" s="107" t="inlineStr">
        <is>
          <t>B0F93XRVSZ</t>
        </is>
      </c>
      <c r="J98" s="105" t="inlineStr">
        <is>
          <t>Full</t>
        </is>
      </c>
      <c r="K98" s="105" t="inlineStr">
        <is>
          <t>White</t>
        </is>
      </c>
      <c r="L98" s="108" t="n"/>
      <c r="M98" s="39" t="inlineStr"/>
      <c r="N98" s="109" t="n">
        <v>139.99</v>
      </c>
      <c r="O98" s="109" t="n"/>
      <c r="P98" s="110">
        <f>IF(AND(ISNUMBER(O98),ISNUMBER(N98),N(N98)&gt;0),O98/N98-1,"")</f>
        <v/>
      </c>
      <c r="Q98" s="111">
        <f>IF(P98="","No List Price",IF(P98&lt;=0,"At/below price",IF(P98&lt;=0.12,"&lt;=12% STR zone",IF(P98&lt;=0.25,"12-25%","&gt;25% over"))))</f>
        <v/>
      </c>
      <c r="R98" s="109" t="n">
        <v>74.98999999999999</v>
      </c>
      <c r="S98" s="112">
        <f>IF(AND(ISNUMBER(N98),ISNUMBER(R98),N(R98)&gt;0),N98/R98-1,"")</f>
        <v/>
      </c>
      <c r="T98" s="39" t="inlineStr">
        <is>
          <t>Same size (Full). Ours live: launch price, live Oct 15, 2026; 12 children</t>
        </is>
      </c>
      <c r="U98" s="108" t="n">
        <v>2798999</v>
      </c>
      <c r="V98" s="108" t="n">
        <v>5</v>
      </c>
      <c r="W98" s="113">
        <f>IF(AND(ISNUMBER(N98),ISNUMBER(V98)),N98*V98*52/12,"")</f>
        <v/>
      </c>
      <c r="X98" s="114" t="n">
        <v>4.2</v>
      </c>
      <c r="Y98" s="108" t="n">
        <v>6</v>
      </c>
      <c r="Z98" s="115" t="n">
        <v>46279</v>
      </c>
      <c r="AA98" s="115" t="n"/>
      <c r="AB98" s="105" t="n"/>
      <c r="AC98" s="105" t="n"/>
      <c r="AD98" s="108" t="n"/>
      <c r="AE98" s="108" t="n"/>
      <c r="AF98" s="116" t="n"/>
      <c r="AG98" s="116" t="n"/>
      <c r="AH98" s="39" t="n"/>
      <c r="AI98" s="116" t="n"/>
      <c r="AJ98" s="116" t="n"/>
      <c r="AK98" s="116" t="n"/>
      <c r="AL98" s="116" t="n"/>
      <c r="AM98" s="108" t="n"/>
      <c r="AN98" s="108" t="n"/>
      <c r="AO98" s="108" t="n"/>
      <c r="AP98" s="108" t="n"/>
      <c r="AQ98" s="108" t="n"/>
      <c r="AR98" s="108" t="n"/>
      <c r="AS98" s="117" t="n"/>
      <c r="AT98" s="112" t="n"/>
      <c r="AU98" s="118" t="inlineStr">
        <is>
          <t>N</t>
        </is>
      </c>
      <c r="AV98" s="118" t="inlineStr">
        <is>
          <t>none</t>
        </is>
      </c>
      <c r="AW98" s="124" t="n"/>
      <c r="AX98" s="124" t="n"/>
      <c r="AY98" s="118" t="inlineStr">
        <is>
          <t>none</t>
        </is>
      </c>
      <c r="AZ98" s="118" t="inlineStr">
        <is>
          <t>N</t>
        </is>
      </c>
      <c r="BA98" s="118" t="inlineStr">
        <is>
          <t>2026-10-13 12:11:54</t>
        </is>
      </c>
      <c r="BB98" s="120" t="inlineStr">
        <is>
          <t>Prime Exclusive Discount</t>
        </is>
      </c>
      <c r="BC98" s="120" t="inlineStr">
        <is>
          <t>11-21 to 12-01</t>
        </is>
      </c>
      <c r="BD98" s="121" t="n">
        <v>35.99</v>
      </c>
      <c r="BE98" s="121" t="n">
        <v>29.99</v>
      </c>
      <c r="BF98" s="110">
        <f>IF(AND(ISNUMBER(BD98),ISNUMBER(BE98),N(BD98)&gt;0),1-BE98/BD98,"")</f>
        <v/>
      </c>
      <c r="BG98" s="122" t="n">
        <v>223574</v>
      </c>
      <c r="BH98" s="122" t="n">
        <v>226828</v>
      </c>
      <c r="BI98" s="123">
        <f>IF(AND(ISNUMBER(BG98),ISNUMBER(BH98),N(BH98)&gt;0),BG98/BH98,"")</f>
        <v/>
      </c>
      <c r="BJ98" s="120" t="inlineStr">
        <is>
          <t>N</t>
        </is>
      </c>
      <c r="BK98" s="120" t="inlineStr">
        <is>
          <t>Buy Box RAISED in BFCM week (median $69.99 vs $35.99 before); List Price $69.99</t>
        </is>
      </c>
    </row>
    <row r="99" ht="62" customHeight="1">
      <c r="A99" s="12">
        <f>_xlfn.IMAGE("https://m.media-amazon.com/images/I/71wuywu7aeL._AC_SL1500_.jpg")</f>
        <v/>
      </c>
      <c r="B99" s="105" t="inlineStr">
        <is>
          <t>Elegear</t>
        </is>
      </c>
      <c r="C99" s="39" t="inlineStr">
        <is>
          <t>Elegear Silver Infused Cooling Bed Sheets Queen, Arc-Chill® 3.0 Cool Tech, Silve</t>
        </is>
      </c>
      <c r="D99" s="105" t="inlineStr">
        <is>
          <t>Poor</t>
        </is>
      </c>
      <c r="E99" s="106" t="inlineStr">
        <is>
          <t>Direct</t>
        </is>
      </c>
      <c r="F99" s="105" t="inlineStr">
        <is>
          <t>Synthetic cooling knit</t>
        </is>
      </c>
      <c r="G99" s="39" t="inlineStr">
        <is>
          <t>Same product (sheet set) in the same material family: Synthetic cooling knit (product page material: Arc-Chill® 3.0 Fabric with Silver Ion Technology); ours: product spec: CooLoom, 90% nylon / 10% spandex.</t>
        </is>
      </c>
      <c r="H99" s="107" t="inlineStr">
        <is>
          <t>B0H7YWGBW3</t>
        </is>
      </c>
      <c r="I99" s="107" t="inlineStr">
        <is>
          <t>B0GCGXW1WT</t>
        </is>
      </c>
      <c r="J99" s="105" t="inlineStr">
        <is>
          <t>Queen (Flat Sheet: 90" x 102")</t>
        </is>
      </c>
      <c r="K99" s="105" t="inlineStr">
        <is>
          <t>White</t>
        </is>
      </c>
      <c r="L99" s="108" t="n">
        <v>8</v>
      </c>
      <c r="M99" s="39" t="inlineStr">
        <is>
          <t>B0GCHRGYZZ (25%), B0GCHG6VG6 (21%), B0GCH7FHV1 (18%), B0GCGXW1WT (11%), B0GCGXXC24 (10%)</t>
        </is>
      </c>
      <c r="N99" s="109" t="n">
        <v>67.98999999999999</v>
      </c>
      <c r="O99" s="109" t="n">
        <v>79.98999999999999</v>
      </c>
      <c r="P99" s="110">
        <f>IF(AND(ISNUMBER(O99),ISNUMBER(N99),N(N99)&gt;0),O99/N99-1,"")</f>
        <v/>
      </c>
      <c r="Q99" s="111">
        <f>IF(P99="","No List Price",IF(P99&lt;=0,"At/below price",IF(P99&lt;=0.12,"&lt;=12% STR zone",IF(P99&lt;=0.25,"12-25%","&gt;25% over"))))</f>
        <v/>
      </c>
      <c r="R99" s="109" t="n">
        <v>87.98999999999999</v>
      </c>
      <c r="S99" s="112">
        <f>IF(AND(ISNUMBER(N99),ISNUMBER(R99),N(R99)&gt;0),N99/R99-1,"")</f>
        <v/>
      </c>
      <c r="T99" s="39" t="inlineStr">
        <is>
          <t>Same size (Queen). Ours live: launch price, live Oct 15, 2026; 12 children</t>
        </is>
      </c>
      <c r="U99" s="108" t="n">
        <v>159865</v>
      </c>
      <c r="V99" s="108" t="n">
        <v>5</v>
      </c>
      <c r="W99" s="113">
        <f>IF(AND(ISNUMBER(N99),ISNUMBER(V99)),N99*V99*52/12,"")</f>
        <v/>
      </c>
      <c r="X99" s="114" t="n">
        <v>4.4</v>
      </c>
      <c r="Y99" s="108" t="n">
        <v>131</v>
      </c>
      <c r="Z99" s="115" t="n">
        <v>46307</v>
      </c>
      <c r="AA99" s="115" t="n"/>
      <c r="AB99" s="105" t="n"/>
      <c r="AC99" s="105" t="n"/>
      <c r="AD99" s="108" t="n">
        <v>15624</v>
      </c>
      <c r="AE99" s="108" t="n">
        <v>643</v>
      </c>
      <c r="AF99" s="116" t="n">
        <v>0.6086269521249359</v>
      </c>
      <c r="AG99" s="116" t="n">
        <v>0.3913732526881721</v>
      </c>
      <c r="AH99" s="39" t="inlineStr">
        <is>
          <t>miracle sheets</t>
        </is>
      </c>
      <c r="AI99" s="116" t="n">
        <v>0.5840373783922171</v>
      </c>
      <c r="AJ99" s="116" t="n">
        <v>0.7140296979006656</v>
      </c>
      <c r="AK99" s="116" t="n"/>
      <c r="AL99" s="116" t="n"/>
      <c r="AM99" s="108" t="n"/>
      <c r="AN99" s="108" t="n"/>
      <c r="AO99" s="108" t="n"/>
      <c r="AP99" s="108" t="n"/>
      <c r="AQ99" s="108" t="n"/>
      <c r="AR99" s="108" t="n"/>
      <c r="AS99" s="117" t="n">
        <v>0.4848484848484848</v>
      </c>
      <c r="AT99" s="112" t="n"/>
      <c r="AU99" s="118" t="inlineStr">
        <is>
          <t>Y</t>
        </is>
      </c>
      <c r="AV99" s="118" t="inlineStr">
        <is>
          <t>Typical price</t>
        </is>
      </c>
      <c r="AW99" s="119" t="n">
        <v>79.98999999999999</v>
      </c>
      <c r="AX99" s="119" t="n">
        <v>67.98999999999999</v>
      </c>
      <c r="AY99" s="118" t="inlineStr">
        <is>
          <t>Limited time deal</t>
        </is>
      </c>
      <c r="AZ99" s="118" t="inlineStr">
        <is>
          <t>Y</t>
        </is>
      </c>
      <c r="BA99" s="118" t="inlineStr">
        <is>
          <t>2026-10-13 12:12:01</t>
        </is>
      </c>
      <c r="BB99" s="120" t="inlineStr">
        <is>
          <t>Not live in 2025</t>
        </is>
      </c>
      <c r="BC99" s="125" t="n"/>
      <c r="BD99" s="124" t="n"/>
      <c r="BE99" s="124" t="n"/>
      <c r="BF99" s="110">
        <f>IF(AND(ISNUMBER(BD99),ISNUMBER(BE99),N(BD99)&gt;0),1-BE99/BD99,"")</f>
        <v/>
      </c>
      <c r="BG99" s="126" t="n"/>
      <c r="BH99" s="126" t="n"/>
      <c r="BI99" s="123">
        <f>IF(AND(ISNUMBER(BG99),ISNUMBER(BH99),N(BH99)&gt;0),BG99/BH99,"")</f>
        <v/>
      </c>
      <c r="BJ99" s="125" t="n"/>
      <c r="BK99" s="125" t="n"/>
    </row>
    <row r="100" ht="62" customHeight="1">
      <c r="A100" s="12">
        <f>_xlfn.IMAGE("https://images-na.ssl-images-amazon.com/images/I/716hu1FzoSL.jpg")</f>
        <v/>
      </c>
      <c r="B100" s="105" t="inlineStr">
        <is>
          <t>Degrees of Comfort</t>
        </is>
      </c>
      <c r="C100" s="39" t="inlineStr">
        <is>
          <t>Coolmax® Cooling Sheets for Hot Sleepers, Queen Size, Grey</t>
        </is>
      </c>
      <c r="D100" s="105" t="inlineStr">
        <is>
          <t>Untiered</t>
        </is>
      </c>
      <c r="E100" s="106" t="inlineStr">
        <is>
          <t>Direct</t>
        </is>
      </c>
      <c r="F100" s="105" t="inlineStr">
        <is>
          <t>Synthetic cooling knit</t>
        </is>
      </c>
      <c r="G100" s="39" t="inlineStr">
        <is>
          <t>Same product (sheet set) in the same material family: Synthetic cooling knit (title: Coolmax® Cooling Sheets for Hot Sleepers, Queen Size, Grey); ours: product spec: CooLoom, 90% nylon / 10% spandex.</t>
        </is>
      </c>
      <c r="H100" s="107" t="inlineStr">
        <is>
          <t>B0DXT68BBR</t>
        </is>
      </c>
      <c r="I100" s="107" t="inlineStr">
        <is>
          <t>B08YS6WZRR</t>
        </is>
      </c>
      <c r="J100" s="105" t="inlineStr">
        <is>
          <t>Queen</t>
        </is>
      </c>
      <c r="K100" s="105" t="inlineStr">
        <is>
          <t>Grey</t>
        </is>
      </c>
      <c r="L100" s="108" t="n">
        <v>31</v>
      </c>
      <c r="M100" s="39" t="inlineStr"/>
      <c r="N100" s="109" t="n">
        <v>24.99</v>
      </c>
      <c r="O100" s="109" t="n">
        <v>29.99</v>
      </c>
      <c r="P100" s="110">
        <f>IF(AND(ISNUMBER(O100),ISNUMBER(N100),N(N100)&gt;0),O100/N100-1,"")</f>
        <v/>
      </c>
      <c r="Q100" s="111">
        <f>IF(P100="","No List Price",IF(P100&lt;=0,"At/below price",IF(P100&lt;=0.12,"&lt;=12% STR zone",IF(P100&lt;=0.25,"12-25%","&gt;25% over"))))</f>
        <v/>
      </c>
      <c r="R100" s="109" t="n">
        <v>87.98999999999999</v>
      </c>
      <c r="S100" s="112">
        <f>IF(AND(ISNUMBER(N100),ISNUMBER(R100),N(R100)&gt;0),N100/R100-1,"")</f>
        <v/>
      </c>
      <c r="T100" s="39" t="inlineStr">
        <is>
          <t>Same size (Queen). Ours live: launch price, live Oct 15, 2026; 12 children</t>
        </is>
      </c>
      <c r="U100" s="108" t="n">
        <v>39599</v>
      </c>
      <c r="V100" s="108" t="n">
        <v>35</v>
      </c>
      <c r="W100" s="113">
        <f>IF(AND(ISNUMBER(N100),ISNUMBER(V100)),N100*V100*52/12,"")</f>
        <v/>
      </c>
      <c r="X100" s="114" t="n">
        <v>4.1</v>
      </c>
      <c r="Y100" s="108" t="n">
        <v>7328</v>
      </c>
      <c r="Z100" s="115" t="n">
        <v>46307</v>
      </c>
      <c r="AA100" s="115" t="n">
        <v>44267</v>
      </c>
      <c r="AB100" s="105" t="inlineStr">
        <is>
          <t>FBA</t>
        </is>
      </c>
      <c r="AC100" s="105" t="inlineStr">
        <is>
          <t>US</t>
        </is>
      </c>
      <c r="AD100" s="108" t="n"/>
      <c r="AE100" s="108" t="n"/>
      <c r="AF100" s="116" t="n"/>
      <c r="AG100" s="116" t="n"/>
      <c r="AH100" s="39" t="n"/>
      <c r="AI100" s="116" t="n"/>
      <c r="AJ100" s="116" t="n"/>
      <c r="AK100" s="116" t="n"/>
      <c r="AL100" s="116" t="n"/>
      <c r="AM100" s="108" t="n"/>
      <c r="AN100" s="108" t="n"/>
      <c r="AO100" s="108" t="n"/>
      <c r="AP100" s="108" t="n"/>
      <c r="AQ100" s="108" t="n"/>
      <c r="AR100" s="108" t="n"/>
      <c r="AS100" s="117" t="n"/>
      <c r="AT100" s="112" t="n"/>
      <c r="AU100" s="118" t="inlineStr">
        <is>
          <t>Y</t>
        </is>
      </c>
      <c r="AV100" s="118" t="inlineStr">
        <is>
          <t>Typical price</t>
        </is>
      </c>
      <c r="AW100" s="119" t="n">
        <v>29.99</v>
      </c>
      <c r="AX100" s="119" t="n">
        <v>24.99</v>
      </c>
      <c r="AY100" s="118" t="inlineStr">
        <is>
          <t>none</t>
        </is>
      </c>
      <c r="AZ100" s="118" t="inlineStr">
        <is>
          <t>Y</t>
        </is>
      </c>
      <c r="BA100" s="118" t="inlineStr">
        <is>
          <t>2026-10-13 23:38:21</t>
        </is>
      </c>
      <c r="BB100" s="120" t="inlineStr">
        <is>
          <t>Prime Exclusive Discount</t>
        </is>
      </c>
      <c r="BC100" s="120" t="inlineStr">
        <is>
          <t>11-01 to 12-01</t>
        </is>
      </c>
      <c r="BD100" s="121" t="n">
        <v>33.24</v>
      </c>
      <c r="BE100" s="121" t="n">
        <v>28.49</v>
      </c>
      <c r="BF100" s="110">
        <f>IF(AND(ISNUMBER(BD100),ISNUMBER(BE100),N(BD100)&gt;0),1-BE100/BD100,"")</f>
        <v/>
      </c>
      <c r="BG100" s="122" t="n">
        <v>47851</v>
      </c>
      <c r="BH100" s="122" t="n">
        <v>53371</v>
      </c>
      <c r="BI100" s="123">
        <f>IF(AND(ISNUMBER(BG100),ISNUMBER(BH100),N(BH100)&gt;0),BG100/BH100,"")</f>
        <v/>
      </c>
      <c r="BJ100" s="120" t="inlineStr">
        <is>
          <t>N</t>
        </is>
      </c>
      <c r="BK100" s="120" t="inlineStr">
        <is>
          <t>Prime Exclusive already running before BFCM week; Buy Box RAISED in BFCM week (median $37.99 vs $34.99 before); List Price $39.99</t>
        </is>
      </c>
    </row>
    <row r="101" ht="62" customHeight="1">
      <c r="A101" s="12">
        <f>_xlfn.IMAGE("https://m.media-amazon.com/images/I/71MiDggWQ3L._AC_SL1500_.jpg")</f>
        <v/>
      </c>
      <c r="B101" s="105" t="inlineStr">
        <is>
          <t>Breescape</t>
        </is>
      </c>
      <c r="C101" s="39" t="inlineStr">
        <is>
          <t>Breescape Cooling Sheets King Size - BlendTek Dry &amp; Cool Technology Cooling Bed</t>
        </is>
      </c>
      <c r="D101" s="105" t="inlineStr">
        <is>
          <t>Untiered</t>
        </is>
      </c>
      <c r="E101" s="106" t="inlineStr">
        <is>
          <t>Direct</t>
        </is>
      </c>
      <c r="F101" s="105" t="inlineStr">
        <is>
          <t>Synthetic cooling knit</t>
        </is>
      </c>
      <c r="G101" s="39" t="inlineStr">
        <is>
          <t>Same product (sheet set) in the same material family: Synthetic cooling knit (product page material: BlendTek Fabric: 69% Nylon, 20% Polyester, 11% Spandex); ours: product spec: CooLoom, 90% nylon / 10% spandex.</t>
        </is>
      </c>
      <c r="H101" s="107" t="inlineStr">
        <is>
          <t>B0HG4D2KWC</t>
        </is>
      </c>
      <c r="I101" s="107" t="inlineStr">
        <is>
          <t>B0DSPYXPSP</t>
        </is>
      </c>
      <c r="J101" s="105" t="inlineStr">
        <is>
          <t>King</t>
        </is>
      </c>
      <c r="K101" s="105" t="inlineStr">
        <is>
          <t>Green</t>
        </is>
      </c>
      <c r="L101" s="108" t="n"/>
      <c r="M101" s="39" t="inlineStr"/>
      <c r="N101" s="109" t="n">
        <v>179.99</v>
      </c>
      <c r="O101" s="109" t="n"/>
      <c r="P101" s="110">
        <f>IF(AND(ISNUMBER(O101),ISNUMBER(N101),N(N101)&gt;0),O101/N101-1,"")</f>
        <v/>
      </c>
      <c r="Q101" s="111">
        <f>IF(P101="","No List Price",IF(P101&lt;=0,"At/below price",IF(P101&lt;=0.12,"&lt;=12% STR zone",IF(P101&lt;=0.25,"12-25%","&gt;25% over"))))</f>
        <v/>
      </c>
      <c r="R101" s="109" t="n">
        <v>93.98999999999999</v>
      </c>
      <c r="S101" s="112">
        <f>IF(AND(ISNUMBER(N101),ISNUMBER(R101),N(R101)&gt;0),N101/R101-1,"")</f>
        <v/>
      </c>
      <c r="T101" s="39" t="inlineStr">
        <is>
          <t>Same size (King). Ours live: launch price, live Oct 15, 2026; 12 children</t>
        </is>
      </c>
      <c r="U101" s="108" t="n">
        <v>422828</v>
      </c>
      <c r="V101" s="108" t="n">
        <v>5</v>
      </c>
      <c r="W101" s="113">
        <f>IF(AND(ISNUMBER(N101),ISNUMBER(V101)),N101*V101*52/12,"")</f>
        <v/>
      </c>
      <c r="X101" s="114" t="n">
        <v>3.8</v>
      </c>
      <c r="Y101" s="108" t="n">
        <v>73</v>
      </c>
      <c r="Z101" s="115" t="n">
        <v>46307</v>
      </c>
      <c r="AA101" s="115" t="n"/>
      <c r="AB101" s="105" t="n"/>
      <c r="AC101" s="105" t="n"/>
      <c r="AD101" s="108" t="n"/>
      <c r="AE101" s="108" t="n"/>
      <c r="AF101" s="116" t="n"/>
      <c r="AG101" s="116" t="n"/>
      <c r="AH101" s="39" t="n"/>
      <c r="AI101" s="116" t="n"/>
      <c r="AJ101" s="116" t="n"/>
      <c r="AK101" s="116" t="n"/>
      <c r="AL101" s="116" t="n"/>
      <c r="AM101" s="108" t="n"/>
      <c r="AN101" s="108" t="n"/>
      <c r="AO101" s="108" t="n"/>
      <c r="AP101" s="108" t="n"/>
      <c r="AQ101" s="108" t="n"/>
      <c r="AR101" s="108" t="n"/>
      <c r="AS101" s="117" t="n"/>
      <c r="AT101" s="112" t="n"/>
      <c r="AU101" s="118" t="inlineStr">
        <is>
          <t>N</t>
        </is>
      </c>
      <c r="AV101" s="118" t="inlineStr">
        <is>
          <t>none</t>
        </is>
      </c>
      <c r="AW101" s="124" t="n"/>
      <c r="AX101" s="119" t="n">
        <v>179.99</v>
      </c>
      <c r="AY101" s="118" t="inlineStr">
        <is>
          <t>coupon 50%</t>
        </is>
      </c>
      <c r="AZ101" s="118" t="inlineStr">
        <is>
          <t>Y</t>
        </is>
      </c>
      <c r="BA101" s="118" t="inlineStr">
        <is>
          <t>2026-10-13 23:37:37</t>
        </is>
      </c>
      <c r="BB101" s="120" t="inlineStr">
        <is>
          <t>Price cut only</t>
        </is>
      </c>
      <c r="BC101" s="120" t="inlineStr">
        <is>
          <t>11-20 to 12-01</t>
        </is>
      </c>
      <c r="BD101" s="121" t="n">
        <v>125.99</v>
      </c>
      <c r="BE101" s="121" t="n">
        <v>119.69</v>
      </c>
      <c r="BF101" s="110">
        <f>IF(AND(ISNUMBER(BD101),ISNUMBER(BE101),N(BD101)&gt;0),1-BE101/BD101,"")</f>
        <v/>
      </c>
      <c r="BG101" s="122" t="n">
        <v>75301</v>
      </c>
      <c r="BH101" s="122" t="n">
        <v>53658</v>
      </c>
      <c r="BI101" s="123">
        <f>IF(AND(ISNUMBER(BG101),ISNUMBER(BH101),N(BH101)&gt;0),BG101/BH101,"")</f>
        <v/>
      </c>
      <c r="BJ101" s="120" t="inlineStr">
        <is>
          <t>N</t>
        </is>
      </c>
      <c r="BK101" s="120" t="inlineStr">
        <is>
          <t>List Price $179.99</t>
        </is>
      </c>
    </row>
    <row r="102" ht="62" customHeight="1">
      <c r="A102" s="12">
        <f>_xlfn.IMAGE("https://m.media-amazon.com/images/I/81N3le+pf7L._AC_SL1500_.jpg")</f>
        <v/>
      </c>
      <c r="B102" s="105" t="inlineStr">
        <is>
          <t>Breescape</t>
        </is>
      </c>
      <c r="C102" s="39" t="inlineStr">
        <is>
          <t>Breescape Cooling Sheets King Size - BlendTek Dry &amp; Cool Technology Cooling Bed</t>
        </is>
      </c>
      <c r="D102" s="105" t="inlineStr">
        <is>
          <t>Untiered</t>
        </is>
      </c>
      <c r="E102" s="106" t="inlineStr">
        <is>
          <t>Direct</t>
        </is>
      </c>
      <c r="F102" s="105" t="inlineStr">
        <is>
          <t>Synthetic cooling knit</t>
        </is>
      </c>
      <c r="G102" s="39" t="inlineStr">
        <is>
          <t>Same product (sheet set) in the same material family: Synthetic cooling knit (product page material: BlendTek Fabric: 69% Nylon, 20% Polyester, 11% Spandex); ours: product spec: CooLoom, 90% nylon / 10% spandex.</t>
        </is>
      </c>
      <c r="H102" s="107" t="inlineStr">
        <is>
          <t>B0HG4D2KWC</t>
        </is>
      </c>
      <c r="I102" s="107" t="inlineStr">
        <is>
          <t>B0DSQ26RH3</t>
        </is>
      </c>
      <c r="J102" s="105" t="inlineStr">
        <is>
          <t>Full</t>
        </is>
      </c>
      <c r="K102" s="105" t="inlineStr">
        <is>
          <t>Twilight Blue</t>
        </is>
      </c>
      <c r="L102" s="108" t="n"/>
      <c r="M102" s="39" t="inlineStr"/>
      <c r="N102" s="109" t="n">
        <v>139.99</v>
      </c>
      <c r="O102" s="109" t="n"/>
      <c r="P102" s="110">
        <f>IF(AND(ISNUMBER(O102),ISNUMBER(N102),N(N102)&gt;0),O102/N102-1,"")</f>
        <v/>
      </c>
      <c r="Q102" s="111">
        <f>IF(P102="","No List Price",IF(P102&lt;=0,"At/below price",IF(P102&lt;=0.12,"&lt;=12% STR zone",IF(P102&lt;=0.25,"12-25%","&gt;25% over"))))</f>
        <v/>
      </c>
      <c r="R102" s="109" t="n">
        <v>74.98999999999999</v>
      </c>
      <c r="S102" s="112">
        <f>IF(AND(ISNUMBER(N102),ISNUMBER(R102),N(R102)&gt;0),N102/R102-1,"")</f>
        <v/>
      </c>
      <c r="T102" s="39" t="inlineStr">
        <is>
          <t>Same size (Full). Ours live: launch price, live Oct 15, 2026; 12 children</t>
        </is>
      </c>
      <c r="U102" s="108" t="n">
        <v>423704</v>
      </c>
      <c r="V102" s="108" t="n">
        <v>5</v>
      </c>
      <c r="W102" s="113">
        <f>IF(AND(ISNUMBER(N102),ISNUMBER(V102)),N102*V102*52/12,"")</f>
        <v/>
      </c>
      <c r="X102" s="114" t="n">
        <v>3.8</v>
      </c>
      <c r="Y102" s="108" t="n">
        <v>73</v>
      </c>
      <c r="Z102" s="115" t="n">
        <v>46307</v>
      </c>
      <c r="AA102" s="115" t="n"/>
      <c r="AB102" s="105" t="n"/>
      <c r="AC102" s="105" t="n"/>
      <c r="AD102" s="108" t="n"/>
      <c r="AE102" s="108" t="n"/>
      <c r="AF102" s="116" t="n"/>
      <c r="AG102" s="116" t="n"/>
      <c r="AH102" s="39" t="n"/>
      <c r="AI102" s="116" t="n"/>
      <c r="AJ102" s="116" t="n"/>
      <c r="AK102" s="116" t="n"/>
      <c r="AL102" s="116" t="n"/>
      <c r="AM102" s="108" t="n"/>
      <c r="AN102" s="108" t="n"/>
      <c r="AO102" s="108" t="n"/>
      <c r="AP102" s="108" t="n"/>
      <c r="AQ102" s="108" t="n"/>
      <c r="AR102" s="108" t="n"/>
      <c r="AS102" s="117" t="n"/>
      <c r="AT102" s="112" t="n"/>
      <c r="AU102" s="118" t="inlineStr">
        <is>
          <t>N</t>
        </is>
      </c>
      <c r="AV102" s="118" t="inlineStr">
        <is>
          <t>none</t>
        </is>
      </c>
      <c r="AW102" s="124" t="n"/>
      <c r="AX102" s="119" t="n">
        <v>139.99</v>
      </c>
      <c r="AY102" s="118" t="inlineStr">
        <is>
          <t>coupon 50%</t>
        </is>
      </c>
      <c r="AZ102" s="118" t="inlineStr">
        <is>
          <t>Y</t>
        </is>
      </c>
      <c r="BA102" s="118" t="inlineStr">
        <is>
          <t>2026-10-13 23:48:02</t>
        </is>
      </c>
      <c r="BB102" s="120" t="inlineStr">
        <is>
          <t>Price cut only</t>
        </is>
      </c>
      <c r="BC102" s="120" t="inlineStr">
        <is>
          <t>11-20 to 12-01</t>
        </is>
      </c>
      <c r="BD102" s="121" t="n">
        <v>139.99</v>
      </c>
      <c r="BE102" s="121" t="n">
        <v>118.99</v>
      </c>
      <c r="BF102" s="110">
        <f>IF(AND(ISNUMBER(BD102),ISNUMBER(BE102),N(BD102)&gt;0),1-BE102/BD102,"")</f>
        <v/>
      </c>
      <c r="BG102" s="122" t="n">
        <v>74966</v>
      </c>
      <c r="BH102" s="122" t="n">
        <v>54620</v>
      </c>
      <c r="BI102" s="123">
        <f>IF(AND(ISNUMBER(BG102),ISNUMBER(BH102),N(BH102)&gt;0),BG102/BH102,"")</f>
        <v/>
      </c>
      <c r="BJ102" s="120" t="inlineStr">
        <is>
          <t>N</t>
        </is>
      </c>
      <c r="BK102" s="120" t="inlineStr">
        <is>
          <t>List Price $139.99</t>
        </is>
      </c>
    </row>
    <row r="103" ht="62" customHeight="1">
      <c r="A103" s="12">
        <f>_xlfn.IMAGE("https://m.media-amazon.com/images/I/61lUaTQjkAL._AC_SL1500_.jpg")</f>
        <v/>
      </c>
      <c r="B103" s="105" t="inlineStr">
        <is>
          <t>Bedsure</t>
        </is>
      </c>
      <c r="C103" s="39" t="inlineStr">
        <is>
          <t>Cooling Sheets</t>
        </is>
      </c>
      <c r="D103" s="105" t="inlineStr">
        <is>
          <t>Poor</t>
        </is>
      </c>
      <c r="E103" s="127" t="inlineStr">
        <is>
          <t>Material not verified</t>
        </is>
      </c>
      <c r="F103" s="105" t="n"/>
      <c r="G103" s="39" t="inlineStr">
        <is>
          <t>Sheet set like ours, but the material is not stated (material not stated on the page or in the title); verify before treating as direct.</t>
        </is>
      </c>
      <c r="H103" s="107" t="inlineStr">
        <is>
          <t>B0CPDTJ5NN</t>
        </is>
      </c>
      <c r="I103" s="107" t="inlineStr">
        <is>
          <t>B0CPDR5DDM</t>
        </is>
      </c>
      <c r="J103" s="105" t="inlineStr">
        <is>
          <t>Queen</t>
        </is>
      </c>
      <c r="K103" s="105" t="inlineStr">
        <is>
          <t>01 - Grey</t>
        </is>
      </c>
      <c r="L103" s="108" t="n">
        <v>1</v>
      </c>
      <c r="M103" s="39" t="inlineStr">
        <is>
          <t>B0DGWZTTRL (100%)</t>
        </is>
      </c>
      <c r="N103" s="109" t="n">
        <v>149.99</v>
      </c>
      <c r="O103" s="109" t="n"/>
      <c r="P103" s="110">
        <f>IF(AND(ISNUMBER(O103),ISNUMBER(N103),N(N103)&gt;0),O103/N103-1,"")</f>
        <v/>
      </c>
      <c r="Q103" s="111">
        <f>IF(P103="","No List Price",IF(P103&lt;=0,"At/below price",IF(P103&lt;=0.12,"&lt;=12% STR zone",IF(P103&lt;=0.25,"12-25%","&gt;25% over"))))</f>
        <v/>
      </c>
      <c r="R103" s="109" t="n">
        <v>87.98999999999999</v>
      </c>
      <c r="S103" s="112">
        <f>IF(AND(ISNUMBER(N103),ISNUMBER(R103),N(R103)&gt;0),N103/R103-1,"")</f>
        <v/>
      </c>
      <c r="T103" s="39" t="inlineStr">
        <is>
          <t>Same size (Queen). Ours live: launch price, live Oct 15, 2026; 12 children</t>
        </is>
      </c>
      <c r="U103" s="108" t="n">
        <v>463922</v>
      </c>
      <c r="V103" s="108" t="n">
        <v>5</v>
      </c>
      <c r="W103" s="113">
        <f>IF(AND(ISNUMBER(N103),ISNUMBER(V103)),N103*V103*52/12,"")</f>
        <v/>
      </c>
      <c r="X103" s="114" t="n">
        <v>4.2</v>
      </c>
      <c r="Y103" s="108" t="n">
        <v>512</v>
      </c>
      <c r="Z103" s="115" t="n">
        <v>46307</v>
      </c>
      <c r="AA103" s="115" t="n"/>
      <c r="AB103" s="105" t="n"/>
      <c r="AC103" s="105" t="n"/>
      <c r="AD103" s="108" t="n">
        <v>170</v>
      </c>
      <c r="AE103" s="108" t="n">
        <v>22</v>
      </c>
      <c r="AF103" s="116" t="n">
        <v>1</v>
      </c>
      <c r="AG103" s="116" t="n">
        <v>0</v>
      </c>
      <c r="AH103" s="39" t="inlineStr">
        <is>
          <t>bedsure cooling sheets</t>
        </is>
      </c>
      <c r="AI103" s="116" t="n"/>
      <c r="AJ103" s="116" t="n"/>
      <c r="AK103" s="116" t="n"/>
      <c r="AL103" s="116" t="n"/>
      <c r="AM103" s="108" t="n"/>
      <c r="AN103" s="108" t="n"/>
      <c r="AO103" s="108" t="n"/>
      <c r="AP103" s="108" t="n"/>
      <c r="AQ103" s="108" t="n"/>
      <c r="AR103" s="108" t="n"/>
      <c r="AS103" s="117" t="n"/>
      <c r="AT103" s="112" t="n"/>
      <c r="AU103" s="118" t="inlineStr">
        <is>
          <t>N</t>
        </is>
      </c>
      <c r="AV103" s="118" t="inlineStr">
        <is>
          <t>none</t>
        </is>
      </c>
      <c r="AW103" s="124" t="n"/>
      <c r="AX103" s="124" t="n"/>
      <c r="AY103" s="118" t="inlineStr">
        <is>
          <t>none</t>
        </is>
      </c>
      <c r="AZ103" s="118" t="inlineStr">
        <is>
          <t>N</t>
        </is>
      </c>
      <c r="BA103" s="118" t="inlineStr">
        <is>
          <t>2026-10-13 12:11:48</t>
        </is>
      </c>
      <c r="BB103" s="125" t="n"/>
      <c r="BC103" s="125" t="n"/>
      <c r="BD103" s="124" t="n"/>
      <c r="BE103" s="124" t="n"/>
      <c r="BF103" s="110">
        <f>IF(AND(ISNUMBER(BD103),ISNUMBER(BE103),N(BD103)&gt;0),1-BE103/BD103,"")</f>
        <v/>
      </c>
      <c r="BG103" s="126" t="n"/>
      <c r="BH103" s="126" t="n"/>
      <c r="BI103" s="123">
        <f>IF(AND(ISNUMBER(BG103),ISNUMBER(BH103),N(BH103)&gt;0),BG103/BH103,"")</f>
        <v/>
      </c>
      <c r="BJ103" s="120" t="inlineStr">
        <is>
          <t>Y</t>
        </is>
      </c>
      <c r="BK103" s="120" t="inlineStr">
        <is>
          <t>No Buy Box history in price history for BFCM 2025; List Price $82.99</t>
        </is>
      </c>
    </row>
    <row r="104" ht="62" customHeight="1">
      <c r="A104" s="45" t="inlineStr">
        <is>
          <t>COMING SOON</t>
        </is>
      </c>
      <c r="B104" s="105" t="inlineStr">
        <is>
          <t>Shilucheng</t>
        </is>
      </c>
      <c r="C104" s="39" t="inlineStr">
        <is>
          <t>Shilucheng 4 Piece Queen Sheet Sets, Cooling Sheets, Dark Grey</t>
        </is>
      </c>
      <c r="D104" s="105" t="inlineStr">
        <is>
          <t>Untiered</t>
        </is>
      </c>
      <c r="E104" s="127" t="inlineStr">
        <is>
          <t>Material not verified</t>
        </is>
      </c>
      <c r="F104" s="105" t="n"/>
      <c r="G104" s="39" t="inlineStr">
        <is>
          <t>Sheet set like ours, but the material is not stated (material not stated on the page or in the title); verify before treating as direct.</t>
        </is>
      </c>
      <c r="H104" s="107" t="inlineStr">
        <is>
          <t>B0HJSVWNRS</t>
        </is>
      </c>
      <c r="I104" s="107" t="inlineStr">
        <is>
          <t>B0FWY1TGFK</t>
        </is>
      </c>
      <c r="J104" s="105" t="inlineStr">
        <is>
          <t>Queen</t>
        </is>
      </c>
      <c r="K104" s="105" t="inlineStr">
        <is>
          <t>Grey</t>
        </is>
      </c>
      <c r="L104" s="108" t="n"/>
      <c r="M104" s="39" t="inlineStr"/>
      <c r="N104" s="109" t="n">
        <v>34.99</v>
      </c>
      <c r="O104" s="109" t="n"/>
      <c r="P104" s="110">
        <f>IF(AND(ISNUMBER(O104),ISNUMBER(N104),N(N104)&gt;0),O104/N104-1,"")</f>
        <v/>
      </c>
      <c r="Q104" s="111">
        <f>IF(P104="","No List Price",IF(P104&lt;=0,"At/below price",IF(P104&lt;=0.12,"&lt;=12% STR zone",IF(P104&lt;=0.25,"12-25%","&gt;25% over"))))</f>
        <v/>
      </c>
      <c r="R104" s="109" t="n">
        <v>87.98999999999999</v>
      </c>
      <c r="S104" s="112">
        <f>IF(AND(ISNUMBER(N104),ISNUMBER(R104),N(R104)&gt;0),N104/R104-1,"")</f>
        <v/>
      </c>
      <c r="T104" s="39" t="inlineStr">
        <is>
          <t>Same size (Queen). Ours live: launch price, live Oct 15, 2026; 12 children</t>
        </is>
      </c>
      <c r="U104" s="108" t="n">
        <v>5396</v>
      </c>
      <c r="V104" s="108" t="n">
        <v>173</v>
      </c>
      <c r="W104" s="113">
        <f>IF(AND(ISNUMBER(N104),ISNUMBER(V104)),N104*V104*52/12,"")</f>
        <v/>
      </c>
      <c r="X104" s="114" t="n">
        <v>4.3</v>
      </c>
      <c r="Y104" s="108" t="n">
        <v>24352</v>
      </c>
      <c r="Z104" s="115" t="n">
        <v>46307</v>
      </c>
      <c r="AA104" s="115" t="n"/>
      <c r="AB104" s="105" t="n"/>
      <c r="AC104" s="105" t="n"/>
      <c r="AD104" s="108" t="n">
        <v>135323</v>
      </c>
      <c r="AE104" s="108" t="n">
        <v>1187</v>
      </c>
      <c r="AF104" s="116" t="n"/>
      <c r="AG104" s="116" t="n"/>
      <c r="AH104" s="39" t="n"/>
      <c r="AI104" s="116" t="n"/>
      <c r="AJ104" s="116" t="n"/>
      <c r="AK104" s="116" t="n"/>
      <c r="AL104" s="116" t="n"/>
      <c r="AM104" s="108" t="n"/>
      <c r="AN104" s="108" t="n"/>
      <c r="AO104" s="108" t="n"/>
      <c r="AP104" s="108" t="n"/>
      <c r="AQ104" s="108" t="n"/>
      <c r="AR104" s="108" t="n"/>
      <c r="AS104" s="117" t="n"/>
      <c r="AT104" s="112" t="n">
        <v>-0.9497907949790795</v>
      </c>
      <c r="AU104" s="118" t="inlineStr">
        <is>
          <t>N</t>
        </is>
      </c>
      <c r="AV104" s="118" t="inlineStr">
        <is>
          <t>none</t>
        </is>
      </c>
      <c r="AW104" s="124" t="n"/>
      <c r="AX104" s="119" t="n">
        <v>34.99</v>
      </c>
      <c r="AY104" s="118" t="inlineStr">
        <is>
          <t>coupon 15%</t>
        </is>
      </c>
      <c r="AZ104" s="118" t="inlineStr">
        <is>
          <t>Y</t>
        </is>
      </c>
      <c r="BA104" s="118" t="inlineStr">
        <is>
          <t>2026-10-13 12:11:26</t>
        </is>
      </c>
      <c r="BB104" s="120" t="inlineStr">
        <is>
          <t>Coupon only</t>
        </is>
      </c>
      <c r="BC104" s="120" t="inlineStr">
        <is>
          <t>11-09 to 11-21</t>
        </is>
      </c>
      <c r="BD104" s="121" t="n">
        <v>34.9</v>
      </c>
      <c r="BE104" s="121" t="n">
        <v>28.18</v>
      </c>
      <c r="BF104" s="110">
        <f>IF(AND(ISNUMBER(BD104),ISNUMBER(BE104),N(BD104)&gt;0),1-BE104/BD104,"")</f>
        <v/>
      </c>
      <c r="BG104" s="122" t="n">
        <v>4671</v>
      </c>
      <c r="BH104" s="122" t="n">
        <v>3278</v>
      </c>
      <c r="BI104" s="123">
        <f>IF(AND(ISNUMBER(BG104),ISNUMBER(BH104),N(BH104)&gt;0),BG104/BH104,"")</f>
        <v/>
      </c>
      <c r="BJ104" s="120" t="inlineStr">
        <is>
          <t>N</t>
        </is>
      </c>
      <c r="BK104" s="120" t="inlineStr">
        <is>
          <t>Coupon 15%; List Price $34.90</t>
        </is>
      </c>
    </row>
    <row r="105" ht="62" customHeight="1">
      <c r="A105" s="45" t="inlineStr">
        <is>
          <t>COMING SOON</t>
        </is>
      </c>
      <c r="B105" s="105" t="inlineStr">
        <is>
          <t>David's Home</t>
        </is>
      </c>
      <c r="C105" s="39" t="inlineStr">
        <is>
          <t>Cooling Sheets</t>
        </is>
      </c>
      <c r="D105" s="105" t="inlineStr">
        <is>
          <t>Untiered</t>
        </is>
      </c>
      <c r="E105" s="127" t="inlineStr">
        <is>
          <t>Material not verified</t>
        </is>
      </c>
      <c r="F105" s="105" t="n"/>
      <c r="G105" s="39" t="inlineStr">
        <is>
          <t>Sheet set like ours, but the material is not stated (material not stated on the page or in the title); verify before treating as direct.</t>
        </is>
      </c>
      <c r="H105" s="107" t="inlineStr">
        <is>
          <t>B0D1SRR2H4</t>
        </is>
      </c>
      <c r="I105" s="107" t="inlineStr">
        <is>
          <t>B0D1RBXBNG</t>
        </is>
      </c>
      <c r="J105" s="105" t="n"/>
      <c r="K105" s="105" t="n"/>
      <c r="L105" s="108" t="n"/>
      <c r="M105" s="39" t="inlineStr"/>
      <c r="N105" s="109" t="n">
        <v>24.99</v>
      </c>
      <c r="O105" s="109" t="n"/>
      <c r="P105" s="110">
        <f>IF(AND(ISNUMBER(O105),ISNUMBER(N105),N(N105)&gt;0),O105/N105-1,"")</f>
        <v/>
      </c>
      <c r="Q105" s="111">
        <f>IF(P105="","No List Price",IF(P105&lt;=0,"At/below price",IF(P105&lt;=0.12,"&lt;=12% STR zone",IF(P105&lt;=0.25,"12-25%","&gt;25% over"))))</f>
        <v/>
      </c>
      <c r="R105" s="109" t="n">
        <v>87.98999999999999</v>
      </c>
      <c r="S105" s="112">
        <f>IF(AND(ISNUMBER(N105),ISNUMBER(R105),N(R105)&gt;0),N105/R105-1,"")</f>
        <v/>
      </c>
      <c r="T105" s="39" t="inlineStr">
        <is>
          <t>Size not stated - vs our Queen. Ours live: launch price, live Oct 15, 2026; 12 children</t>
        </is>
      </c>
      <c r="U105" s="108" t="n">
        <v>758020</v>
      </c>
      <c r="V105" s="108" t="n"/>
      <c r="W105" s="113">
        <f>IF(AND(ISNUMBER(N105),ISNUMBER(V105)),N105*V105*52/12,"")</f>
        <v/>
      </c>
      <c r="X105" s="114" t="n">
        <v>4.3</v>
      </c>
      <c r="Y105" s="108" t="n">
        <v>169</v>
      </c>
      <c r="Z105" s="115" t="n">
        <v>46307</v>
      </c>
      <c r="AA105" s="115" t="n"/>
      <c r="AB105" s="105" t="n"/>
      <c r="AC105" s="105" t="n"/>
      <c r="AD105" s="108" t="n"/>
      <c r="AE105" s="108" t="n"/>
      <c r="AF105" s="116" t="n"/>
      <c r="AG105" s="116" t="n"/>
      <c r="AH105" s="39" t="n"/>
      <c r="AI105" s="116" t="n"/>
      <c r="AJ105" s="116" t="n"/>
      <c r="AK105" s="116" t="n"/>
      <c r="AL105" s="116" t="n"/>
      <c r="AM105" s="108" t="n"/>
      <c r="AN105" s="108" t="n"/>
      <c r="AO105" s="108" t="n"/>
      <c r="AP105" s="108" t="n"/>
      <c r="AQ105" s="108" t="n"/>
      <c r="AR105" s="108" t="n"/>
      <c r="AS105" s="117" t="n"/>
      <c r="AT105" s="112" t="n"/>
      <c r="AU105" s="118" t="inlineStr">
        <is>
          <t>unknown</t>
        </is>
      </c>
      <c r="AV105" s="125" t="n"/>
      <c r="AW105" s="124" t="n"/>
      <c r="AX105" s="124" t="n"/>
      <c r="AY105" s="125" t="n"/>
      <c r="AZ105" s="125" t="n"/>
      <c r="BA105" s="118" t="inlineStr">
        <is>
          <t>2026-10-13 12:11:57</t>
        </is>
      </c>
      <c r="BB105" s="120" t="inlineStr">
        <is>
          <t>Prime Exclusive Discount</t>
        </is>
      </c>
      <c r="BC105" s="120" t="inlineStr">
        <is>
          <t>11-24 to 11-27</t>
        </is>
      </c>
      <c r="BD105" s="121" t="n">
        <v>39.99</v>
      </c>
      <c r="BE105" s="121" t="n">
        <v>10</v>
      </c>
      <c r="BF105" s="110">
        <f>IF(AND(ISNUMBER(BD105),ISNUMBER(BE105),N(BD105)&gt;0),1-BE105/BD105,"")</f>
        <v/>
      </c>
      <c r="BG105" s="122" t="n">
        <v>437868</v>
      </c>
      <c r="BH105" s="122" t="n">
        <v>446244</v>
      </c>
      <c r="BI105" s="123">
        <f>IF(AND(ISNUMBER(BG105),ISNUMBER(BH105),N(BH105)&gt;0),BG105/BH105,"")</f>
        <v/>
      </c>
      <c r="BJ105" s="120" t="inlineStr">
        <is>
          <t>Y</t>
        </is>
      </c>
      <c r="BK105" s="120" t="inlineStr">
        <is>
          <t>Coupon 20%, 40% (11-01 to 11-20); List Price $67.99</t>
        </is>
      </c>
    </row>
    <row r="106" ht="62" customHeight="1">
      <c r="A106" s="12">
        <f>_xlfn.IMAGE("https://images-na.ssl-images-amazon.com/images/I/91dfner9BkL.jpg")</f>
        <v/>
      </c>
      <c r="B106" s="105" t="inlineStr">
        <is>
          <t>Pure Bamboo</t>
        </is>
      </c>
      <c r="C106" s="39" t="inlineStr">
        <is>
          <t>Pure Bamboo King Sheets, Genuine 100% Organic Viscose Derived from Bamboo Bed Sheet Set, Luxuriously Soft &amp; Cooling, Double Stitching, 2 Year Quality Promise (King, Ivory)</t>
        </is>
      </c>
      <c r="D106" s="105" t="inlineStr">
        <is>
          <t>Aspirational</t>
        </is>
      </c>
      <c r="E106" s="128" t="inlineStr">
        <is>
          <t>Alternative material</t>
        </is>
      </c>
      <c r="F106" s="105" t="inlineStr">
        <is>
          <t>Bamboo viscose</t>
        </is>
      </c>
      <c r="G106" s="39" t="inlineStr">
        <is>
          <t>Sheet set in Bamboo viscose (title: Pure Bamboo King Sheets, Genuine 100% Organic Viscose Derive); ours is Synthetic cooling knit (product spec: CooLoom, 90% nylon / 10% spandex). Shopper may cross-shop, but not like-for-like.</t>
        </is>
      </c>
      <c r="H106" s="107" t="inlineStr">
        <is>
          <t>B0CZQ52MTQ</t>
        </is>
      </c>
      <c r="I106" s="107" t="inlineStr">
        <is>
          <t>B07DZTQ4JC</t>
        </is>
      </c>
      <c r="J106" s="105" t="inlineStr">
        <is>
          <t>King</t>
        </is>
      </c>
      <c r="K106" s="105" t="inlineStr">
        <is>
          <t>Ivory</t>
        </is>
      </c>
      <c r="L106" s="108" t="n">
        <v>181</v>
      </c>
      <c r="M106" s="39" t="inlineStr"/>
      <c r="N106" s="109" t="n">
        <v>109.99</v>
      </c>
      <c r="O106" s="109" t="n"/>
      <c r="P106" s="110">
        <f>IF(AND(ISNUMBER(O106),ISNUMBER(N106),N(N106)&gt;0),O106/N106-1,"")</f>
        <v/>
      </c>
      <c r="Q106" s="111">
        <f>IF(P106="","No List Price",IF(P106&lt;=0,"At/below price",IF(P106&lt;=0.12,"&lt;=12% STR zone",IF(P106&lt;=0.25,"12-25%","&gt;25% over"))))</f>
        <v/>
      </c>
      <c r="R106" s="109" t="n">
        <v>93.98999999999999</v>
      </c>
      <c r="S106" s="112">
        <f>IF(AND(ISNUMBER(N106),ISNUMBER(R106),N(R106)&gt;0),N106/R106-1,"")</f>
        <v/>
      </c>
      <c r="T106" s="39" t="inlineStr">
        <is>
          <t>Same size (King). Ours live: launch price, live Oct 15, 2026; 12 children</t>
        </is>
      </c>
      <c r="U106" s="108" t="n">
        <v>304</v>
      </c>
      <c r="V106" s="108" t="n">
        <v>809</v>
      </c>
      <c r="W106" s="113">
        <f>IF(AND(ISNUMBER(N106),ISNUMBER(V106)),N106*V106*52/12,"")</f>
        <v/>
      </c>
      <c r="X106" s="114" t="n">
        <v>4.5</v>
      </c>
      <c r="Y106" s="108" t="n">
        <v>21927</v>
      </c>
      <c r="Z106" s="115" t="n">
        <v>46307</v>
      </c>
      <c r="AA106" s="115" t="n">
        <v>43281</v>
      </c>
      <c r="AB106" s="105" t="inlineStr">
        <is>
          <t>FBA</t>
        </is>
      </c>
      <c r="AC106" s="105" t="inlineStr">
        <is>
          <t>US</t>
        </is>
      </c>
      <c r="AD106" s="108" t="n">
        <v>2565055</v>
      </c>
      <c r="AE106" s="108" t="n">
        <v>8283</v>
      </c>
      <c r="AF106" s="116" t="n"/>
      <c r="AG106" s="116" t="n"/>
      <c r="AH106" s="39" t="n"/>
      <c r="AI106" s="116" t="n"/>
      <c r="AJ106" s="116" t="n"/>
      <c r="AK106" s="116" t="n"/>
      <c r="AL106" s="116" t="n"/>
      <c r="AM106" s="108" t="n"/>
      <c r="AN106" s="108" t="n"/>
      <c r="AO106" s="108" t="n"/>
      <c r="AP106" s="108" t="n"/>
      <c r="AQ106" s="108" t="n"/>
      <c r="AR106" s="108" t="n"/>
      <c r="AS106" s="117" t="n">
        <v>1.180104147961932</v>
      </c>
      <c r="AT106" s="112" t="n">
        <v>1.570823710546574</v>
      </c>
      <c r="AU106" s="118" t="inlineStr">
        <is>
          <t>N</t>
        </is>
      </c>
      <c r="AV106" s="118" t="inlineStr">
        <is>
          <t>none</t>
        </is>
      </c>
      <c r="AW106" s="124" t="n"/>
      <c r="AX106" s="119" t="n">
        <v>109.99</v>
      </c>
      <c r="AY106" s="118" t="inlineStr">
        <is>
          <t>none</t>
        </is>
      </c>
      <c r="AZ106" s="118" t="inlineStr">
        <is>
          <t>Y</t>
        </is>
      </c>
      <c r="BA106" s="118" t="inlineStr">
        <is>
          <t>2026-10-13 12:11:16</t>
        </is>
      </c>
      <c r="BB106" s="120" t="inlineStr">
        <is>
          <t>None</t>
        </is>
      </c>
      <c r="BC106" s="125" t="n"/>
      <c r="BD106" s="121" t="n">
        <v>109.99</v>
      </c>
      <c r="BE106" s="121" t="n">
        <v>109.99</v>
      </c>
      <c r="BF106" s="110">
        <f>IF(AND(ISNUMBER(BD106),ISNUMBER(BE106),N(BD106)&gt;0),1-BE106/BD106,"")</f>
        <v/>
      </c>
      <c r="BG106" s="122" t="n">
        <v>287</v>
      </c>
      <c r="BH106" s="122" t="n">
        <v>598</v>
      </c>
      <c r="BI106" s="123">
        <f>IF(AND(ISNUMBER(BG106),ISNUMBER(BH106),N(BH106)&gt;0),BG106/BH106,"")</f>
        <v/>
      </c>
      <c r="BJ106" s="120" t="inlineStr">
        <is>
          <t>N</t>
        </is>
      </c>
      <c r="BK106" s="120" t="inlineStr">
        <is>
          <t>List Price $139.99/$149.99</t>
        </is>
      </c>
    </row>
    <row r="107" ht="62" customHeight="1">
      <c r="A107" s="12">
        <f>_xlfn.IMAGE("https://images-na.ssl-images-amazon.com/images/I/71oEhkRYQ+L.jpg")</f>
        <v/>
      </c>
      <c r="B107" s="105" t="inlineStr">
        <is>
          <t>Hotel Sheets Direct</t>
        </is>
      </c>
      <c r="C107" s="39" t="inlineStr">
        <is>
          <t>Hotel Sheets Direct 4 Piece Bed Sheet Set Queen Size, 100% Viscose Derived from Bamboo Sheets Set with 2 Pillowcases, Cooling &amp; Breathable Luxury Bedding, Moisture-Wicking &amp; Silky Soft Texture, White</t>
        </is>
      </c>
      <c r="D107" s="105" t="inlineStr">
        <is>
          <t>Aspirational</t>
        </is>
      </c>
      <c r="E107" s="128" t="inlineStr">
        <is>
          <t>Alternative material</t>
        </is>
      </c>
      <c r="F107" s="105" t="inlineStr">
        <is>
          <t>Bamboo viscose</t>
        </is>
      </c>
      <c r="G107" s="39" t="inlineStr">
        <is>
          <t>Sheet set in Bamboo viscose (title: Hotel Sheets Direct 4 Piece Bed Sheet Set Queen Size, 100% V); ours is Synthetic cooling knit (product spec: CooLoom, 90% nylon / 10% spandex). Shopper may cross-shop, but not like-for-like.</t>
        </is>
      </c>
      <c r="H107" s="107" t="inlineStr">
        <is>
          <t>B0G5N99X9R</t>
        </is>
      </c>
      <c r="I107" s="107" t="inlineStr">
        <is>
          <t>B01N9L2O9P</t>
        </is>
      </c>
      <c r="J107" s="105" t="inlineStr">
        <is>
          <t>Queen</t>
        </is>
      </c>
      <c r="K107" s="105" t="inlineStr">
        <is>
          <t>White</t>
        </is>
      </c>
      <c r="L107" s="108" t="n">
        <v>61</v>
      </c>
      <c r="M107" s="39" t="inlineStr"/>
      <c r="N107" s="109" t="n">
        <v>79.98999999999999</v>
      </c>
      <c r="O107" s="109" t="n"/>
      <c r="P107" s="110">
        <f>IF(AND(ISNUMBER(O107),ISNUMBER(N107),N(N107)&gt;0),O107/N107-1,"")</f>
        <v/>
      </c>
      <c r="Q107" s="111">
        <f>IF(P107="","No List Price",IF(P107&lt;=0,"At/below price",IF(P107&lt;=0.12,"&lt;=12% STR zone",IF(P107&lt;=0.25,"12-25%","&gt;25% over"))))</f>
        <v/>
      </c>
      <c r="R107" s="109" t="n">
        <v>87.98999999999999</v>
      </c>
      <c r="S107" s="112">
        <f>IF(AND(ISNUMBER(N107),ISNUMBER(R107),N(R107)&gt;0),N107/R107-1,"")</f>
        <v/>
      </c>
      <c r="T107" s="39" t="inlineStr">
        <is>
          <t>Same size (Queen). Ours live: launch price, live Oct 15, 2026; 12 children</t>
        </is>
      </c>
      <c r="U107" s="108" t="n">
        <v>2984</v>
      </c>
      <c r="V107" s="108" t="n">
        <v>347</v>
      </c>
      <c r="W107" s="113">
        <f>IF(AND(ISNUMBER(N107),ISNUMBER(V107)),N107*V107*52/12,"")</f>
        <v/>
      </c>
      <c r="X107" s="114" t="n">
        <v>4.4</v>
      </c>
      <c r="Y107" s="108" t="n">
        <v>37179</v>
      </c>
      <c r="Z107" s="115" t="n">
        <v>46307</v>
      </c>
      <c r="AA107" s="115" t="n">
        <v>42729</v>
      </c>
      <c r="AB107" s="105" t="inlineStr">
        <is>
          <t>FBA</t>
        </is>
      </c>
      <c r="AC107" s="105" t="inlineStr">
        <is>
          <t>US</t>
        </is>
      </c>
      <c r="AD107" s="108" t="n">
        <v>451969</v>
      </c>
      <c r="AE107" s="108" t="n">
        <v>4094</v>
      </c>
      <c r="AF107" s="116" t="n"/>
      <c r="AG107" s="116" t="n"/>
      <c r="AH107" s="39" t="n"/>
      <c r="AI107" s="116" t="n"/>
      <c r="AJ107" s="116" t="n"/>
      <c r="AK107" s="116" t="n"/>
      <c r="AL107" s="116" t="n"/>
      <c r="AM107" s="108" t="n"/>
      <c r="AN107" s="108" t="n"/>
      <c r="AO107" s="108" t="n"/>
      <c r="AP107" s="108" t="n"/>
      <c r="AQ107" s="108" t="n"/>
      <c r="AR107" s="108" t="n"/>
      <c r="AS107" s="117" t="n">
        <v>1.799620493358634</v>
      </c>
      <c r="AT107" s="112" t="n">
        <v>0.004829621679635077</v>
      </c>
      <c r="AU107" s="118" t="inlineStr">
        <is>
          <t>N</t>
        </is>
      </c>
      <c r="AV107" s="118" t="inlineStr">
        <is>
          <t>none</t>
        </is>
      </c>
      <c r="AW107" s="124" t="n"/>
      <c r="AX107" s="119" t="n">
        <v>79.98999999999999</v>
      </c>
      <c r="AY107" s="118" t="inlineStr">
        <is>
          <t>none</t>
        </is>
      </c>
      <c r="AZ107" s="118" t="inlineStr">
        <is>
          <t>Y</t>
        </is>
      </c>
      <c r="BA107" s="118" t="inlineStr">
        <is>
          <t>2026-10-13 12:10:54</t>
        </is>
      </c>
      <c r="BB107" s="120" t="inlineStr">
        <is>
          <t>Price cut only</t>
        </is>
      </c>
      <c r="BC107" s="120" t="inlineStr">
        <is>
          <t>11-20 to 12-01</t>
        </is>
      </c>
      <c r="BD107" s="121" t="n">
        <v>72.98999999999999</v>
      </c>
      <c r="BE107" s="121" t="n">
        <v>57.99</v>
      </c>
      <c r="BF107" s="110">
        <f>IF(AND(ISNUMBER(BD107),ISNUMBER(BE107),N(BD107)&gt;0),1-BE107/BD107,"")</f>
        <v/>
      </c>
      <c r="BG107" s="122" t="n">
        <v>3871</v>
      </c>
      <c r="BH107" s="122" t="n">
        <v>1703</v>
      </c>
      <c r="BI107" s="123">
        <f>IF(AND(ISNUMBER(BG107),ISNUMBER(BH107),N(BH107)&gt;0),BG107/BH107,"")</f>
        <v/>
      </c>
      <c r="BJ107" s="120" t="inlineStr">
        <is>
          <t>N</t>
        </is>
      </c>
      <c r="BK107" s="120" t="inlineStr">
        <is>
          <t>Lightning Deal 11-07 to 11-11; Coupon 20% (11-12 to 12-02); List Price $72.99</t>
        </is>
      </c>
    </row>
    <row r="108" ht="62" customHeight="1">
      <c r="A108" s="12">
        <f>_xlfn.IMAGE("https://images-na.ssl-images-amazon.com/images/I/81L2xb5ly6L.jpg")</f>
        <v/>
      </c>
      <c r="B108" s="105" t="inlineStr">
        <is>
          <t>Bedsure</t>
        </is>
      </c>
      <c r="C108" s="39" t="inlineStr">
        <is>
          <t>Bedsure PureWoven 100% Rayon Derived from Bamboo, Queen Sheets, 4 Pieces</t>
        </is>
      </c>
      <c r="D108" s="105" t="inlineStr">
        <is>
          <t>Beatable</t>
        </is>
      </c>
      <c r="E108" s="128" t="inlineStr">
        <is>
          <t>Alternative material</t>
        </is>
      </c>
      <c r="F108" s="105" t="inlineStr">
        <is>
          <t>Bamboo viscose</t>
        </is>
      </c>
      <c r="G108" s="39" t="inlineStr">
        <is>
          <t>Sheet set in Bamboo viscose (product page material: Rayon Derived from Bamboo); ours is Synthetic cooling knit (product spec: CooLoom, 90% nylon / 10% spandex). Shopper may cross-shop, but not like-for-like.</t>
        </is>
      </c>
      <c r="H108" s="107" t="inlineStr">
        <is>
          <t>B0BZ8T5BJ6</t>
        </is>
      </c>
      <c r="I108" s="107" t="inlineStr">
        <is>
          <t>B07YK8VTJV</t>
        </is>
      </c>
      <c r="J108" s="105" t="inlineStr">
        <is>
          <t>Queen</t>
        </is>
      </c>
      <c r="K108" s="105" t="inlineStr">
        <is>
          <t>02 - White</t>
        </is>
      </c>
      <c r="L108" s="108" t="n">
        <v>131</v>
      </c>
      <c r="M108" s="39" t="inlineStr"/>
      <c r="N108" s="109" t="n">
        <v>62.99</v>
      </c>
      <c r="O108" s="109" t="n">
        <v>69.98999999999999</v>
      </c>
      <c r="P108" s="110">
        <f>IF(AND(ISNUMBER(O108),ISNUMBER(N108),N(N108)&gt;0),O108/N108-1,"")</f>
        <v/>
      </c>
      <c r="Q108" s="111">
        <f>IF(P108="","No List Price",IF(P108&lt;=0,"At/below price",IF(P108&lt;=0.12,"&lt;=12% STR zone",IF(P108&lt;=0.25,"12-25%","&gt;25% over"))))</f>
        <v/>
      </c>
      <c r="R108" s="109" t="n">
        <v>87.98999999999999</v>
      </c>
      <c r="S108" s="112">
        <f>IF(AND(ISNUMBER(N108),ISNUMBER(R108),N(R108)&gt;0),N108/R108-1,"")</f>
        <v/>
      </c>
      <c r="T108" s="39" t="inlineStr">
        <is>
          <t>Same size (Queen). Ours live: launch price, live Oct 15, 2026; 12 children</t>
        </is>
      </c>
      <c r="U108" s="108" t="n">
        <v>256</v>
      </c>
      <c r="V108" s="108" t="n">
        <v>809</v>
      </c>
      <c r="W108" s="113">
        <f>IF(AND(ISNUMBER(N108),ISNUMBER(V108)),N108*V108*52/12,"")</f>
        <v/>
      </c>
      <c r="X108" s="114" t="n">
        <v>4.4</v>
      </c>
      <c r="Y108" s="108" t="n">
        <v>65061</v>
      </c>
      <c r="Z108" s="115" t="n">
        <v>46307</v>
      </c>
      <c r="AA108" s="115" t="n">
        <v>43348</v>
      </c>
      <c r="AB108" s="105" t="inlineStr">
        <is>
          <t>FBA</t>
        </is>
      </c>
      <c r="AC108" s="105" t="inlineStr">
        <is>
          <t>US</t>
        </is>
      </c>
      <c r="AD108" s="108" t="n">
        <v>2166046</v>
      </c>
      <c r="AE108" s="108" t="n">
        <v>6935</v>
      </c>
      <c r="AF108" s="116" t="n"/>
      <c r="AG108" s="116" t="n"/>
      <c r="AH108" s="39" t="n"/>
      <c r="AI108" s="116" t="n"/>
      <c r="AJ108" s="116" t="n"/>
      <c r="AK108" s="116" t="n"/>
      <c r="AL108" s="116" t="n"/>
      <c r="AM108" s="108" t="n"/>
      <c r="AN108" s="108" t="n"/>
      <c r="AO108" s="108" t="n"/>
      <c r="AP108" s="108" t="n"/>
      <c r="AQ108" s="108" t="n"/>
      <c r="AR108" s="108" t="n"/>
      <c r="AS108" s="117" t="n">
        <v>1.066623404715553</v>
      </c>
      <c r="AT108" s="112" t="n">
        <v>-0.05727665706051865</v>
      </c>
      <c r="AU108" s="118" t="inlineStr">
        <is>
          <t>Y</t>
        </is>
      </c>
      <c r="AV108" s="118" t="inlineStr">
        <is>
          <t>List Price</t>
        </is>
      </c>
      <c r="AW108" s="119" t="n">
        <v>69.98999999999999</v>
      </c>
      <c r="AX108" s="119" t="n">
        <v>62.99</v>
      </c>
      <c r="AY108" s="118" t="inlineStr">
        <is>
          <t>none</t>
        </is>
      </c>
      <c r="AZ108" s="118" t="inlineStr">
        <is>
          <t>Y</t>
        </is>
      </c>
      <c r="BA108" s="118" t="inlineStr">
        <is>
          <t>2026-10-13 12:10:35</t>
        </is>
      </c>
      <c r="BB108" s="120" t="inlineStr">
        <is>
          <t>Prime Exclusive Discount</t>
        </is>
      </c>
      <c r="BC108" s="120" t="inlineStr">
        <is>
          <t>11-23 to 12-01</t>
        </is>
      </c>
      <c r="BD108" s="121" t="n">
        <v>66.48999999999999</v>
      </c>
      <c r="BE108" s="121" t="n">
        <v>55.99</v>
      </c>
      <c r="BF108" s="110">
        <f>IF(AND(ISNUMBER(BD108),ISNUMBER(BE108),N(BD108)&gt;0),1-BE108/BD108,"")</f>
        <v/>
      </c>
      <c r="BG108" s="122" t="n">
        <v>156</v>
      </c>
      <c r="BH108" s="122" t="n">
        <v>228</v>
      </c>
      <c r="BI108" s="123">
        <f>IF(AND(ISNUMBER(BG108),ISNUMBER(BH108),N(BH108)&gt;0),BG108/BH108,"")</f>
        <v/>
      </c>
      <c r="BJ108" s="120" t="inlineStr">
        <is>
          <t>N</t>
        </is>
      </c>
      <c r="BK108" s="120" t="inlineStr">
        <is>
          <t>Buy Box RAISED in BFCM week (median $69.99 vs $66.49 before); List Price $78.99</t>
        </is>
      </c>
    </row>
    <row r="109" ht="62" customHeight="1">
      <c r="A109" s="12">
        <f>_xlfn.IMAGE("https://images-na.ssl-images-amazon.com/images/I/61-LBYlR5KL.jpg")</f>
        <v/>
      </c>
      <c r="B109" s="105" t="inlineStr">
        <is>
          <t>KRIMANO</t>
        </is>
      </c>
      <c r="C109" s="39" t="inlineStr">
        <is>
          <t>KRIMANO Bamboo Viscose Sheet Set King Size, Cooling Sheets Bed Set</t>
        </is>
      </c>
      <c r="D109" s="105" t="inlineStr">
        <is>
          <t>Beatable</t>
        </is>
      </c>
      <c r="E109" s="128" t="inlineStr">
        <is>
          <t>Alternative material</t>
        </is>
      </c>
      <c r="F109" s="105" t="inlineStr">
        <is>
          <t>Bamboo viscose</t>
        </is>
      </c>
      <c r="G109" s="39" t="inlineStr">
        <is>
          <t>Sheet set in Bamboo viscose (product page material: Viscose Derived from Bamboo); ours is Synthetic cooling knit (product spec: CooLoom, 90% nylon / 10% spandex). Shopper may cross-shop, but not like-for-like.</t>
        </is>
      </c>
      <c r="H109" s="107" t="inlineStr">
        <is>
          <t>B0FT7L9RSX</t>
        </is>
      </c>
      <c r="I109" s="107" t="inlineStr">
        <is>
          <t>B0FT7LZ2CD</t>
        </is>
      </c>
      <c r="J109" s="105" t="inlineStr">
        <is>
          <t>King</t>
        </is>
      </c>
      <c r="K109" s="105" t="inlineStr">
        <is>
          <t>1.navy Blue</t>
        </is>
      </c>
      <c r="L109" s="108" t="n">
        <v>43</v>
      </c>
      <c r="M109" s="39" t="inlineStr"/>
      <c r="N109" s="109" t="n">
        <v>79.98999999999999</v>
      </c>
      <c r="O109" s="109" t="n"/>
      <c r="P109" s="110">
        <f>IF(AND(ISNUMBER(O109),ISNUMBER(N109),N(N109)&gt;0),O109/N109-1,"")</f>
        <v/>
      </c>
      <c r="Q109" s="111">
        <f>IF(P109="","No List Price",IF(P109&lt;=0,"At/below price",IF(P109&lt;=0.12,"&lt;=12% STR zone",IF(P109&lt;=0.25,"12-25%","&gt;25% over"))))</f>
        <v/>
      </c>
      <c r="R109" s="109" t="n">
        <v>93.98999999999999</v>
      </c>
      <c r="S109" s="112">
        <f>IF(AND(ISNUMBER(N109),ISNUMBER(R109),N(R109)&gt;0),N109/R109-1,"")</f>
        <v/>
      </c>
      <c r="T109" s="39" t="inlineStr">
        <is>
          <t>Same size (King). Ours live: launch price, live Oct 15, 2026; 12 children</t>
        </is>
      </c>
      <c r="U109" s="108" t="n">
        <v>5664</v>
      </c>
      <c r="V109" s="108" t="n">
        <v>185</v>
      </c>
      <c r="W109" s="113">
        <f>IF(AND(ISNUMBER(N109),ISNUMBER(V109)),N109*V109*52/12,"")</f>
        <v/>
      </c>
      <c r="X109" s="114" t="n">
        <v>4.5</v>
      </c>
      <c r="Y109" s="108" t="n">
        <v>263</v>
      </c>
      <c r="Z109" s="115" t="n">
        <v>46307</v>
      </c>
      <c r="AA109" s="115" t="n">
        <v>45944</v>
      </c>
      <c r="AB109" s="105" t="inlineStr">
        <is>
          <t>FBA</t>
        </is>
      </c>
      <c r="AC109" s="105" t="inlineStr">
        <is>
          <t>HK</t>
        </is>
      </c>
      <c r="AD109" s="108" t="n">
        <v>334819</v>
      </c>
      <c r="AE109" s="108" t="n">
        <v>2638</v>
      </c>
      <c r="AF109" s="116" t="n"/>
      <c r="AG109" s="116" t="n"/>
      <c r="AH109" s="39" t="n"/>
      <c r="AI109" s="116" t="n"/>
      <c r="AJ109" s="116" t="n"/>
      <c r="AK109" s="116" t="n"/>
      <c r="AL109" s="116" t="n"/>
      <c r="AM109" s="108" t="n"/>
      <c r="AN109" s="108" t="n"/>
      <c r="AO109" s="108" t="n"/>
      <c r="AP109" s="108" t="n"/>
      <c r="AQ109" s="108" t="n"/>
      <c r="AR109" s="108" t="n"/>
      <c r="AS109" s="117" t="n">
        <v>1.312468450277638</v>
      </c>
      <c r="AT109" s="112" t="n">
        <v>0.2565502183406114</v>
      </c>
      <c r="AU109" s="118" t="inlineStr">
        <is>
          <t>N</t>
        </is>
      </c>
      <c r="AV109" s="118" t="inlineStr">
        <is>
          <t>none</t>
        </is>
      </c>
      <c r="AW109" s="124" t="n"/>
      <c r="AX109" s="119" t="n">
        <v>84.98999999999999</v>
      </c>
      <c r="AY109" s="118" t="inlineStr">
        <is>
          <t>none</t>
        </is>
      </c>
      <c r="AZ109" s="118" t="inlineStr">
        <is>
          <t>Y</t>
        </is>
      </c>
      <c r="BA109" s="118" t="inlineStr">
        <is>
          <t>2026-10-13 12:11:00</t>
        </is>
      </c>
      <c r="BB109" s="120" t="inlineStr">
        <is>
          <t>None</t>
        </is>
      </c>
      <c r="BC109" s="125" t="n"/>
      <c r="BD109" s="121" t="n">
        <v>72.98999999999999</v>
      </c>
      <c r="BE109" s="121" t="n">
        <v>72.98999999999999</v>
      </c>
      <c r="BF109" s="110">
        <f>IF(AND(ISNUMBER(BD109),ISNUMBER(BE109),N(BD109)&gt;0),1-BE109/BD109,"")</f>
        <v/>
      </c>
      <c r="BG109" s="122" t="n">
        <v>1190634</v>
      </c>
      <c r="BH109" s="122" t="n">
        <v>628461</v>
      </c>
      <c r="BI109" s="123">
        <f>IF(AND(ISNUMBER(BG109),ISNUMBER(BH109),N(BH109)&gt;0),BG109/BH109,"")</f>
        <v/>
      </c>
      <c r="BJ109" s="120" t="inlineStr">
        <is>
          <t>N</t>
        </is>
      </c>
      <c r="BK109" s="120" t="inlineStr">
        <is>
          <t>List Price $94.89</t>
        </is>
      </c>
    </row>
    <row r="110" ht="62" customHeight="1">
      <c r="A110" s="12">
        <f>_xlfn.IMAGE("https://images-na.ssl-images-amazon.com/images/I/81svKInu7aL.jpg")</f>
        <v/>
      </c>
      <c r="B110" s="105" t="inlineStr">
        <is>
          <t>Bambaw</t>
        </is>
      </c>
      <c r="C110" s="39" t="inlineStr">
        <is>
          <t>Bambaw 100% Viscose Derived from Bamboo Sheets Queen Size Set – 4pcs Cooling Sheet Set, Super Soft Sheets Queen Size, Luxury Bed Sheets, Deep Pocket Fits Up to 16'' Mattresses (Charcoal)</t>
        </is>
      </c>
      <c r="D110" s="105" t="inlineStr">
        <is>
          <t>Beatable</t>
        </is>
      </c>
      <c r="E110" s="128" t="inlineStr">
        <is>
          <t>Alternative material</t>
        </is>
      </c>
      <c r="F110" s="105" t="inlineStr">
        <is>
          <t>Bamboo viscose</t>
        </is>
      </c>
      <c r="G110" s="39" t="inlineStr">
        <is>
          <t>Sheet set in Bamboo viscose (title: Bambaw 100% Viscose Derived from Bamboo Sheets Queen Size Se); ours is Synthetic cooling knit (product spec: CooLoom, 90% nylon / 10% spandex). Shopper may cross-shop, but not like-for-like.</t>
        </is>
      </c>
      <c r="H110" s="107" t="inlineStr">
        <is>
          <t>B07K6SYX8L</t>
        </is>
      </c>
      <c r="I110" s="107" t="inlineStr">
        <is>
          <t>B0DR99Q37Y</t>
        </is>
      </c>
      <c r="J110" s="105" t="inlineStr">
        <is>
          <t>Queen</t>
        </is>
      </c>
      <c r="K110" s="105" t="inlineStr">
        <is>
          <t>Charcoal</t>
        </is>
      </c>
      <c r="L110" s="108" t="n">
        <v>104</v>
      </c>
      <c r="M110" s="39" t="inlineStr"/>
      <c r="N110" s="109" t="n">
        <v>89.98999999999999</v>
      </c>
      <c r="O110" s="109" t="n"/>
      <c r="P110" s="110">
        <f>IF(AND(ISNUMBER(O110),ISNUMBER(N110),N(N110)&gt;0),O110/N110-1,"")</f>
        <v/>
      </c>
      <c r="Q110" s="111">
        <f>IF(P110="","No List Price",IF(P110&lt;=0,"At/below price",IF(P110&lt;=0.12,"&lt;=12% STR zone",IF(P110&lt;=0.25,"12-25%","&gt;25% over"))))</f>
        <v/>
      </c>
      <c r="R110" s="109" t="n">
        <v>87.98999999999999</v>
      </c>
      <c r="S110" s="112">
        <f>IF(AND(ISNUMBER(N110),ISNUMBER(R110),N(R110)&gt;0),N110/R110-1,"")</f>
        <v/>
      </c>
      <c r="T110" s="39" t="inlineStr">
        <is>
          <t>Same size (Queen). Ours live: launch price, live Oct 15, 2026; 12 children</t>
        </is>
      </c>
      <c r="U110" s="108" t="n">
        <v>6971</v>
      </c>
      <c r="V110" s="108" t="n">
        <v>104</v>
      </c>
      <c r="W110" s="113">
        <f>IF(AND(ISNUMBER(N110),ISNUMBER(V110)),N110*V110*52/12,"")</f>
        <v/>
      </c>
      <c r="X110" s="114" t="n">
        <v>4.3</v>
      </c>
      <c r="Y110" s="108" t="n">
        <v>2766</v>
      </c>
      <c r="Z110" s="115" t="n">
        <v>46307</v>
      </c>
      <c r="AA110" s="115" t="n">
        <v>45649</v>
      </c>
      <c r="AB110" s="105" t="inlineStr">
        <is>
          <t>FBA</t>
        </is>
      </c>
      <c r="AC110" s="105" t="inlineStr">
        <is>
          <t>BE</t>
        </is>
      </c>
      <c r="AD110" s="108" t="n">
        <v>407949</v>
      </c>
      <c r="AE110" s="108" t="n">
        <v>2137</v>
      </c>
      <c r="AF110" s="116" t="n"/>
      <c r="AG110" s="116" t="n"/>
      <c r="AH110" s="39" t="n"/>
      <c r="AI110" s="116" t="n"/>
      <c r="AJ110" s="116" t="n"/>
      <c r="AK110" s="116" t="n"/>
      <c r="AL110" s="116" t="n"/>
      <c r="AM110" s="108" t="n"/>
      <c r="AN110" s="108" t="n"/>
      <c r="AO110" s="108" t="n"/>
      <c r="AP110" s="108" t="n"/>
      <c r="AQ110" s="108" t="n"/>
      <c r="AR110" s="108" t="n"/>
      <c r="AS110" s="117" t="n">
        <v>1.374474053295933</v>
      </c>
      <c r="AT110" s="112" t="n">
        <v>1.381825760733639</v>
      </c>
      <c r="AU110" s="118" t="inlineStr">
        <is>
          <t>N</t>
        </is>
      </c>
      <c r="AV110" s="118" t="inlineStr">
        <is>
          <t>none</t>
        </is>
      </c>
      <c r="AW110" s="124" t="n"/>
      <c r="AX110" s="119" t="n">
        <v>89.98999999999999</v>
      </c>
      <c r="AY110" s="118" t="inlineStr">
        <is>
          <t>none</t>
        </is>
      </c>
      <c r="AZ110" s="118" t="inlineStr">
        <is>
          <t>Y</t>
        </is>
      </c>
      <c r="BA110" s="118" t="inlineStr">
        <is>
          <t>2026-10-13 12:10:28</t>
        </is>
      </c>
      <c r="BB110" s="120" t="inlineStr">
        <is>
          <t>None</t>
        </is>
      </c>
      <c r="BC110" s="125" t="n"/>
      <c r="BD110" s="121" t="n">
        <v>89.98999999999999</v>
      </c>
      <c r="BE110" s="121" t="n">
        <v>89.98999999999999</v>
      </c>
      <c r="BF110" s="110">
        <f>IF(AND(ISNUMBER(BD110),ISNUMBER(BE110),N(BD110)&gt;0),1-BE110/BD110,"")</f>
        <v/>
      </c>
      <c r="BG110" s="122" t="n">
        <v>12712</v>
      </c>
      <c r="BH110" s="122" t="n">
        <v>10881</v>
      </c>
      <c r="BI110" s="123">
        <f>IF(AND(ISNUMBER(BG110),ISNUMBER(BH110),N(BH110)&gt;0),BG110/BH110,"")</f>
        <v/>
      </c>
      <c r="BJ110" s="120" t="inlineStr">
        <is>
          <t>N</t>
        </is>
      </c>
      <c r="BK110" s="120" t="inlineStr">
        <is>
          <t>List Price $103.45</t>
        </is>
      </c>
    </row>
    <row r="111" ht="62" customHeight="1">
      <c r="A111" s="12">
        <f>_xlfn.IMAGE("https://m.media-amazon.com/images/I/71sqxa1EquL._AC_SL1500_.jpg")</f>
        <v/>
      </c>
      <c r="B111" s="105" t="inlineStr">
        <is>
          <t>SONORO KATE</t>
        </is>
      </c>
      <c r="C111" s="39" t="inlineStr">
        <is>
          <t>Bamboo Sheets</t>
        </is>
      </c>
      <c r="D111" s="105" t="inlineStr">
        <is>
          <t>Beatable</t>
        </is>
      </c>
      <c r="E111" s="128" t="inlineStr">
        <is>
          <t>Alternative material</t>
        </is>
      </c>
      <c r="F111" s="105" t="inlineStr">
        <is>
          <t>Bamboo viscose</t>
        </is>
      </c>
      <c r="G111" s="39" t="inlineStr">
        <is>
          <t>Sheet set in Bamboo viscose (product page material: Viscose Derived From Bamboo); ours is Synthetic cooling knit (product spec: CooLoom, 90% nylon / 10% spandex). Shopper may cross-shop, but not like-for-like.</t>
        </is>
      </c>
      <c r="H111" s="107" t="inlineStr">
        <is>
          <t>B0F4852T9V</t>
        </is>
      </c>
      <c r="I111" s="107" t="inlineStr">
        <is>
          <t>B0F4873G4H</t>
        </is>
      </c>
      <c r="J111" s="105" t="inlineStr">
        <is>
          <t>King</t>
        </is>
      </c>
      <c r="K111" s="105" t="inlineStr">
        <is>
          <t>Dark Grey</t>
        </is>
      </c>
      <c r="L111" s="108" t="n"/>
      <c r="M111" s="39" t="inlineStr"/>
      <c r="N111" s="109" t="n">
        <v>79.98999999999999</v>
      </c>
      <c r="O111" s="109" t="n"/>
      <c r="P111" s="110">
        <f>IF(AND(ISNUMBER(O111),ISNUMBER(N111),N(N111)&gt;0),O111/N111-1,"")</f>
        <v/>
      </c>
      <c r="Q111" s="111">
        <f>IF(P111="","No List Price",IF(P111&lt;=0,"At/below price",IF(P111&lt;=0.12,"&lt;=12% STR zone",IF(P111&lt;=0.25,"12-25%","&gt;25% over"))))</f>
        <v/>
      </c>
      <c r="R111" s="109" t="n">
        <v>93.98999999999999</v>
      </c>
      <c r="S111" s="112">
        <f>IF(AND(ISNUMBER(N111),ISNUMBER(R111),N(R111)&gt;0),N111/R111-1,"")</f>
        <v/>
      </c>
      <c r="T111" s="39" t="inlineStr">
        <is>
          <t>Same size (King). Ours live: launch price, live Oct 15, 2026; 12 children</t>
        </is>
      </c>
      <c r="U111" s="108" t="n">
        <v>7961</v>
      </c>
      <c r="V111" s="108" t="n">
        <v>104</v>
      </c>
      <c r="W111" s="113">
        <f>IF(AND(ISNUMBER(N111),ISNUMBER(V111)),N111*V111*52/12,"")</f>
        <v/>
      </c>
      <c r="X111" s="114" t="n">
        <v>4.5</v>
      </c>
      <c r="Y111" s="108" t="n">
        <v>3776</v>
      </c>
      <c r="Z111" s="115" t="n">
        <v>46307</v>
      </c>
      <c r="AA111" s="115" t="n"/>
      <c r="AB111" s="105" t="n"/>
      <c r="AC111" s="105" t="n"/>
      <c r="AD111" s="108" t="n">
        <v>185157</v>
      </c>
      <c r="AE111" s="108" t="n">
        <v>1447</v>
      </c>
      <c r="AF111" s="116" t="n"/>
      <c r="AG111" s="116" t="n"/>
      <c r="AH111" s="39" t="n"/>
      <c r="AI111" s="116" t="n"/>
      <c r="AJ111" s="116" t="n"/>
      <c r="AK111" s="116" t="n"/>
      <c r="AL111" s="116" t="n"/>
      <c r="AM111" s="108" t="n"/>
      <c r="AN111" s="108" t="n"/>
      <c r="AO111" s="108" t="n"/>
      <c r="AP111" s="108" t="n"/>
      <c r="AQ111" s="108" t="n"/>
      <c r="AR111" s="108" t="n"/>
      <c r="AS111" s="117" t="n">
        <v>1.314808539478143</v>
      </c>
      <c r="AT111" s="112" t="n">
        <v>0.6186540731995278</v>
      </c>
      <c r="AU111" s="118" t="inlineStr">
        <is>
          <t>N</t>
        </is>
      </c>
      <c r="AV111" s="118" t="inlineStr">
        <is>
          <t>none</t>
        </is>
      </c>
      <c r="AW111" s="124" t="n"/>
      <c r="AX111" s="119" t="n">
        <v>79.98999999999999</v>
      </c>
      <c r="AY111" s="118" t="inlineStr">
        <is>
          <t>coupon $5</t>
        </is>
      </c>
      <c r="AZ111" s="118" t="inlineStr">
        <is>
          <t>Y</t>
        </is>
      </c>
      <c r="BA111" s="118" t="inlineStr">
        <is>
          <t>2026-10-13 12:11:19</t>
        </is>
      </c>
      <c r="BB111" s="120" t="inlineStr">
        <is>
          <t>Prime Exclusive Discount</t>
        </is>
      </c>
      <c r="BC111" s="120" t="inlineStr">
        <is>
          <t>11-20 to 12-01</t>
        </is>
      </c>
      <c r="BD111" s="121" t="n">
        <v>79.98999999999999</v>
      </c>
      <c r="BE111" s="121" t="n">
        <v>63.99</v>
      </c>
      <c r="BF111" s="110">
        <f>IF(AND(ISNUMBER(BD111),ISNUMBER(BE111),N(BD111)&gt;0),1-BE111/BD111,"")</f>
        <v/>
      </c>
      <c r="BG111" s="122" t="n">
        <v>36662</v>
      </c>
      <c r="BH111" s="122" t="n">
        <v>23612</v>
      </c>
      <c r="BI111" s="123">
        <f>IF(AND(ISNUMBER(BG111),ISNUMBER(BH111),N(BH111)&gt;0),BG111/BH111,"")</f>
        <v/>
      </c>
      <c r="BJ111" s="120" t="inlineStr">
        <is>
          <t>N</t>
        </is>
      </c>
      <c r="BK111" s="120" t="inlineStr">
        <is>
          <t>Coupon 15% (11-06 to 11-19); List Price $79.99</t>
        </is>
      </c>
    </row>
    <row r="112" ht="62" customHeight="1">
      <c r="A112" s="12">
        <f>_xlfn.IMAGE("https://images-na.ssl-images-amazon.com/images/I/71Pl57-j67L.jpg")</f>
        <v/>
      </c>
      <c r="B112" s="105" t="inlineStr">
        <is>
          <t>BC BELLA COTERIE</t>
        </is>
      </c>
      <c r="C112" s="39" t="inlineStr">
        <is>
          <t>Bella Coterie Luxury Bamboo Viscose King Size Sheet Set</t>
        </is>
      </c>
      <c r="D112" s="105" t="inlineStr">
        <is>
          <t>Beatable</t>
        </is>
      </c>
      <c r="E112" s="128" t="inlineStr">
        <is>
          <t>Alternative material</t>
        </is>
      </c>
      <c r="F112" s="105" t="inlineStr">
        <is>
          <t>Bamboo viscose</t>
        </is>
      </c>
      <c r="G112" s="39" t="inlineStr">
        <is>
          <t>Sheet set in Bamboo viscose (product page material: Organically Grown | Viscose Made From Bamboo); ours is Synthetic cooling knit (product spec: CooLoom, 90% nylon / 10% spandex). Shopper may cross-shop, but not like-for-like.</t>
        </is>
      </c>
      <c r="H112" s="107" t="inlineStr">
        <is>
          <t>B0H29V113N</t>
        </is>
      </c>
      <c r="I112" s="107" t="inlineStr">
        <is>
          <t>B08L86VLZB</t>
        </is>
      </c>
      <c r="J112" s="105" t="inlineStr">
        <is>
          <t>King - 2 Pillowcases</t>
        </is>
      </c>
      <c r="K112" s="105" t="inlineStr">
        <is>
          <t>01 - White</t>
        </is>
      </c>
      <c r="L112" s="108" t="n">
        <v>258</v>
      </c>
      <c r="M112" s="39" t="inlineStr"/>
      <c r="N112" s="109" t="n">
        <v>154.99</v>
      </c>
      <c r="O112" s="109" t="n"/>
      <c r="P112" s="110">
        <f>IF(AND(ISNUMBER(O112),ISNUMBER(N112),N(N112)&gt;0),O112/N112-1,"")</f>
        <v/>
      </c>
      <c r="Q112" s="111">
        <f>IF(P112="","No List Price",IF(P112&lt;=0,"At/below price",IF(P112&lt;=0.12,"&lt;=12% STR zone",IF(P112&lt;=0.25,"12-25%","&gt;25% over"))))</f>
        <v/>
      </c>
      <c r="R112" s="109" t="n">
        <v>93.98999999999999</v>
      </c>
      <c r="S112" s="112">
        <f>IF(AND(ISNUMBER(N112),ISNUMBER(R112),N(R112)&gt;0),N112/R112-1,"")</f>
        <v/>
      </c>
      <c r="T112" s="39" t="inlineStr">
        <is>
          <t>Same size (King). Ours live: launch price, live Oct 15, 2026; 12 children</t>
        </is>
      </c>
      <c r="U112" s="108" t="n">
        <v>1358</v>
      </c>
      <c r="V112" s="108" t="n">
        <v>92</v>
      </c>
      <c r="W112" s="113">
        <f>IF(AND(ISNUMBER(N112),ISNUMBER(V112)),N112*V112*52/12,"")</f>
        <v/>
      </c>
      <c r="X112" s="114" t="n">
        <v>4.4</v>
      </c>
      <c r="Y112" s="108" t="n">
        <v>5871</v>
      </c>
      <c r="Z112" s="115" t="n">
        <v>46307</v>
      </c>
      <c r="AA112" s="115" t="n">
        <v>44154</v>
      </c>
      <c r="AB112" s="105" t="inlineStr">
        <is>
          <t>FBA</t>
        </is>
      </c>
      <c r="AC112" s="105" t="inlineStr">
        <is>
          <t>US</t>
        </is>
      </c>
      <c r="AD112" s="108" t="n">
        <v>591713</v>
      </c>
      <c r="AE112" s="108" t="n">
        <v>5504</v>
      </c>
      <c r="AF112" s="116" t="n"/>
      <c r="AG112" s="116" t="n"/>
      <c r="AH112" s="39" t="n"/>
      <c r="AI112" s="116" t="n"/>
      <c r="AJ112" s="116" t="n"/>
      <c r="AK112" s="116" t="n"/>
      <c r="AL112" s="116" t="n"/>
      <c r="AM112" s="108" t="n"/>
      <c r="AN112" s="108" t="n"/>
      <c r="AO112" s="108" t="n"/>
      <c r="AP112" s="108" t="n"/>
      <c r="AQ112" s="108" t="n"/>
      <c r="AR112" s="108" t="n"/>
      <c r="AS112" s="117" t="n">
        <v>1.778087279480037</v>
      </c>
      <c r="AT112" s="112" t="n">
        <v>0.3772549019607843</v>
      </c>
      <c r="AU112" s="118" t="inlineStr">
        <is>
          <t>N</t>
        </is>
      </c>
      <c r="AV112" s="118" t="inlineStr">
        <is>
          <t>none</t>
        </is>
      </c>
      <c r="AW112" s="124" t="n"/>
      <c r="AX112" s="119" t="n">
        <v>169.99</v>
      </c>
      <c r="AY112" s="118" t="inlineStr">
        <is>
          <t>none</t>
        </is>
      </c>
      <c r="AZ112" s="118" t="inlineStr">
        <is>
          <t>Y</t>
        </is>
      </c>
      <c r="BA112" s="118" t="inlineStr">
        <is>
          <t>2026-10-13 12:14:18</t>
        </is>
      </c>
      <c r="BB112" s="120" t="inlineStr">
        <is>
          <t>Price cut only</t>
        </is>
      </c>
      <c r="BC112" s="120" t="inlineStr">
        <is>
          <t>11-20 to 12-01</t>
        </is>
      </c>
      <c r="BD112" s="121" t="n">
        <v>134.99</v>
      </c>
      <c r="BE112" s="121" t="n">
        <v>110.5</v>
      </c>
      <c r="BF112" s="110">
        <f>IF(AND(ISNUMBER(BD112),ISNUMBER(BE112),N(BD112)&gt;0),1-BE112/BD112,"")</f>
        <v/>
      </c>
      <c r="BG112" s="122" t="n">
        <v>3072</v>
      </c>
      <c r="BH112" s="122" t="n">
        <v>1155</v>
      </c>
      <c r="BI112" s="123">
        <f>IF(AND(ISNUMBER(BG112),ISNUMBER(BH112),N(BH112)&gt;0),BG112/BH112,"")</f>
        <v/>
      </c>
      <c r="BJ112" s="120" t="inlineStr">
        <is>
          <t>N</t>
        </is>
      </c>
      <c r="BK112" s="120" t="inlineStr">
        <is>
          <t>Coupon 20.00 USD (12-03 to 12-05); List Price $169.99</t>
        </is>
      </c>
    </row>
    <row r="113" ht="62" customHeight="1">
      <c r="A113" s="12">
        <f>_xlfn.IMAGE("https://images-na.ssl-images-amazon.com/images/I/71HeTCWM4hL.jpg")</f>
        <v/>
      </c>
      <c r="B113" s="105" t="inlineStr">
        <is>
          <t>SONORO KATE</t>
        </is>
      </c>
      <c r="C113" s="39" t="inlineStr">
        <is>
          <t>SONORO KATE 100% Viscose Derived from Bamboo_Sheets Queen Size,4PC</t>
        </is>
      </c>
      <c r="D113" s="105" t="inlineStr">
        <is>
          <t>Beatable</t>
        </is>
      </c>
      <c r="E113" s="128" t="inlineStr">
        <is>
          <t>Alternative material</t>
        </is>
      </c>
      <c r="F113" s="105" t="inlineStr">
        <is>
          <t>Bamboo viscose</t>
        </is>
      </c>
      <c r="G113" s="39" t="inlineStr">
        <is>
          <t>Sheet set in Bamboo viscose (product page material: Viscose Derived From Bamboo); ours is Synthetic cooling knit (product spec: CooLoom, 90% nylon / 10% spandex). Shopper may cross-shop, but not like-for-like.</t>
        </is>
      </c>
      <c r="H113" s="107" t="inlineStr">
        <is>
          <t>B0F29FQLFD</t>
        </is>
      </c>
      <c r="I113" s="107" t="inlineStr">
        <is>
          <t>B0F29F1JM5</t>
        </is>
      </c>
      <c r="J113" s="105" t="inlineStr">
        <is>
          <t>Queen</t>
        </is>
      </c>
      <c r="K113" s="105" t="inlineStr">
        <is>
          <t>Dark Grey</t>
        </is>
      </c>
      <c r="L113" s="108" t="n">
        <v>42</v>
      </c>
      <c r="M113" s="39" t="inlineStr"/>
      <c r="N113" s="109" t="n">
        <v>59.99</v>
      </c>
      <c r="O113" s="109" t="n"/>
      <c r="P113" s="110">
        <f>IF(AND(ISNUMBER(O113),ISNUMBER(N113),N(N113)&gt;0),O113/N113-1,"")</f>
        <v/>
      </c>
      <c r="Q113" s="111">
        <f>IF(P113="","No List Price",IF(P113&lt;=0,"At/below price",IF(P113&lt;=0.12,"&lt;=12% STR zone",IF(P113&lt;=0.25,"12-25%","&gt;25% over"))))</f>
        <v/>
      </c>
      <c r="R113" s="109" t="n">
        <v>87.98999999999999</v>
      </c>
      <c r="S113" s="112">
        <f>IF(AND(ISNUMBER(N113),ISNUMBER(R113),N(R113)&gt;0),N113/R113-1,"")</f>
        <v/>
      </c>
      <c r="T113" s="39" t="inlineStr">
        <is>
          <t>Same size (Queen). Ours live: launch price, live Oct 15, 2026; 12 children</t>
        </is>
      </c>
      <c r="U113" s="108" t="n">
        <v>23979</v>
      </c>
      <c r="V113" s="108" t="n">
        <v>81</v>
      </c>
      <c r="W113" s="113">
        <f>IF(AND(ISNUMBER(N113),ISNUMBER(V113)),N113*V113*52/12,"")</f>
        <v/>
      </c>
      <c r="X113" s="114" t="n">
        <v>4.5</v>
      </c>
      <c r="Y113" s="108" t="n">
        <v>3911</v>
      </c>
      <c r="Z113" s="115" t="n">
        <v>46307</v>
      </c>
      <c r="AA113" s="115" t="n">
        <v>45740</v>
      </c>
      <c r="AB113" s="105" t="inlineStr">
        <is>
          <t>FBA</t>
        </is>
      </c>
      <c r="AC113" s="105" t="inlineStr">
        <is>
          <t>CN</t>
        </is>
      </c>
      <c r="AD113" s="108" t="n">
        <v>114504</v>
      </c>
      <c r="AE113" s="108" t="n">
        <v>947</v>
      </c>
      <c r="AF113" s="116" t="n"/>
      <c r="AG113" s="116" t="n"/>
      <c r="AH113" s="39" t="n"/>
      <c r="AI113" s="116" t="n"/>
      <c r="AJ113" s="116" t="n"/>
      <c r="AK113" s="116" t="n"/>
      <c r="AL113" s="116" t="n"/>
      <c r="AM113" s="108" t="n"/>
      <c r="AN113" s="108" t="n"/>
      <c r="AO113" s="108" t="n"/>
      <c r="AP113" s="108" t="n"/>
      <c r="AQ113" s="108" t="n"/>
      <c r="AR113" s="108" t="n"/>
      <c r="AS113" s="117" t="n">
        <v>1.095271210013908</v>
      </c>
      <c r="AT113" s="112" t="n">
        <v>-0.1040240897892143</v>
      </c>
      <c r="AU113" s="118" t="inlineStr">
        <is>
          <t>N</t>
        </is>
      </c>
      <c r="AV113" s="118" t="inlineStr">
        <is>
          <t>none</t>
        </is>
      </c>
      <c r="AW113" s="124" t="n"/>
      <c r="AX113" s="119" t="n">
        <v>59.99</v>
      </c>
      <c r="AY113" s="118" t="inlineStr">
        <is>
          <t>coupon 15%</t>
        </is>
      </c>
      <c r="AZ113" s="118" t="inlineStr">
        <is>
          <t>Y</t>
        </is>
      </c>
      <c r="BA113" s="118" t="inlineStr">
        <is>
          <t>2026-10-13 12:11:22</t>
        </is>
      </c>
      <c r="BB113" s="120" t="inlineStr">
        <is>
          <t>Prime Exclusive Discount</t>
        </is>
      </c>
      <c r="BC113" s="120" t="inlineStr">
        <is>
          <t>11-20 to 12-01</t>
        </is>
      </c>
      <c r="BD113" s="121" t="n">
        <v>59.99</v>
      </c>
      <c r="BE113" s="121" t="n">
        <v>47.99</v>
      </c>
      <c r="BF113" s="110">
        <f>IF(AND(ISNUMBER(BD113),ISNUMBER(BE113),N(BD113)&gt;0),1-BE113/BD113,"")</f>
        <v/>
      </c>
      <c r="BG113" s="122" t="n">
        <v>22774</v>
      </c>
      <c r="BH113" s="122" t="n">
        <v>19002</v>
      </c>
      <c r="BI113" s="123">
        <f>IF(AND(ISNUMBER(BG113),ISNUMBER(BH113),N(BH113)&gt;0),BG113/BH113,"")</f>
        <v/>
      </c>
      <c r="BJ113" s="120" t="inlineStr">
        <is>
          <t>N</t>
        </is>
      </c>
      <c r="BK113" s="120" t="inlineStr">
        <is>
          <t>Coupon 10% (11-04 to 12-05); List Price $59.99</t>
        </is>
      </c>
    </row>
    <row r="114" ht="62" customHeight="1">
      <c r="A114" s="12">
        <f>_xlfn.IMAGE("https://m.media-amazon.com/images/I/81VWHNQQarL._AC_SL1500_.jpg")</f>
        <v/>
      </c>
      <c r="B114" s="105" t="inlineStr">
        <is>
          <t>DOZ by SIJO</t>
        </is>
      </c>
      <c r="C114" s="39" t="inlineStr">
        <is>
          <t>Bamboo Sheets</t>
        </is>
      </c>
      <c r="D114" s="105" t="inlineStr">
        <is>
          <t>Beatable</t>
        </is>
      </c>
      <c r="E114" s="128" t="inlineStr">
        <is>
          <t>Alternative material</t>
        </is>
      </c>
      <c r="F114" s="105" t="inlineStr">
        <is>
          <t>Bamboo viscose</t>
        </is>
      </c>
      <c r="G114" s="39" t="inlineStr">
        <is>
          <t>Sheet set in Bamboo viscose (product page material: Rayon); ours is Synthetic cooling knit (product spec: CooLoom, 90% nylon / 10% spandex). Shopper may cross-shop, but not like-for-like.</t>
        </is>
      </c>
      <c r="H114" s="107" t="inlineStr">
        <is>
          <t>B0DCZGYVZ9</t>
        </is>
      </c>
      <c r="I114" s="107" t="inlineStr">
        <is>
          <t>B0F24TRXCZ</t>
        </is>
      </c>
      <c r="J114" s="105" t="inlineStr">
        <is>
          <t>Queen</t>
        </is>
      </c>
      <c r="K114" s="105" t="inlineStr">
        <is>
          <t>Olive</t>
        </is>
      </c>
      <c r="L114" s="108" t="n"/>
      <c r="M114" s="39" t="inlineStr"/>
      <c r="N114" s="109" t="n">
        <v>55</v>
      </c>
      <c r="O114" s="109" t="n"/>
      <c r="P114" s="110">
        <f>IF(AND(ISNUMBER(O114),ISNUMBER(N114),N(N114)&gt;0),O114/N114-1,"")</f>
        <v/>
      </c>
      <c r="Q114" s="111">
        <f>IF(P114="","No List Price",IF(P114&lt;=0,"At/below price",IF(P114&lt;=0.12,"&lt;=12% STR zone",IF(P114&lt;=0.25,"12-25%","&gt;25% over"))))</f>
        <v/>
      </c>
      <c r="R114" s="109" t="n">
        <v>87.98999999999999</v>
      </c>
      <c r="S114" s="112">
        <f>IF(AND(ISNUMBER(N114),ISNUMBER(R114),N(R114)&gt;0),N114/R114-1,"")</f>
        <v/>
      </c>
      <c r="T114" s="39" t="inlineStr">
        <is>
          <t>Same size (Queen). Ours live: launch price, live Oct 15, 2026; 12 children</t>
        </is>
      </c>
      <c r="U114" s="108" t="n">
        <v>4051</v>
      </c>
      <c r="V114" s="108" t="n">
        <v>35</v>
      </c>
      <c r="W114" s="113">
        <f>IF(AND(ISNUMBER(N114),ISNUMBER(V114)),N114*V114*52/12,"")</f>
        <v/>
      </c>
      <c r="X114" s="114" t="n">
        <v>4.4</v>
      </c>
      <c r="Y114" s="108" t="n">
        <v>1909</v>
      </c>
      <c r="Z114" s="115" t="n">
        <v>46307</v>
      </c>
      <c r="AA114" s="115" t="n"/>
      <c r="AB114" s="105" t="n"/>
      <c r="AC114" s="105" t="n"/>
      <c r="AD114" s="108" t="n">
        <v>171534</v>
      </c>
      <c r="AE114" s="108" t="n">
        <v>2682</v>
      </c>
      <c r="AF114" s="116" t="n"/>
      <c r="AG114" s="116" t="n"/>
      <c r="AH114" s="39" t="n"/>
      <c r="AI114" s="116" t="n"/>
      <c r="AJ114" s="116" t="n"/>
      <c r="AK114" s="116" t="n"/>
      <c r="AL114" s="116" t="n"/>
      <c r="AM114" s="108" t="n"/>
      <c r="AN114" s="108" t="n"/>
      <c r="AO114" s="108" t="n"/>
      <c r="AP114" s="108" t="n"/>
      <c r="AQ114" s="108" t="n"/>
      <c r="AR114" s="108" t="n"/>
      <c r="AS114" s="117" t="n"/>
      <c r="AT114" s="112" t="n"/>
      <c r="AU114" s="118" t="inlineStr">
        <is>
          <t>N</t>
        </is>
      </c>
      <c r="AV114" s="118" t="inlineStr">
        <is>
          <t>none</t>
        </is>
      </c>
      <c r="AW114" s="124" t="n"/>
      <c r="AX114" s="119" t="n">
        <v>55</v>
      </c>
      <c r="AY114" s="118" t="inlineStr">
        <is>
          <t>none</t>
        </is>
      </c>
      <c r="AZ114" s="118" t="inlineStr">
        <is>
          <t>Y</t>
        </is>
      </c>
      <c r="BA114" s="118" t="inlineStr">
        <is>
          <t>2026-10-13 12:10:45</t>
        </is>
      </c>
      <c r="BB114" s="120" t="inlineStr">
        <is>
          <t>None</t>
        </is>
      </c>
      <c r="BC114" s="125" t="n"/>
      <c r="BD114" s="121" t="n">
        <v>55</v>
      </c>
      <c r="BE114" s="121" t="n">
        <v>55</v>
      </c>
      <c r="BF114" s="110">
        <f>IF(AND(ISNUMBER(BD114),ISNUMBER(BE114),N(BD114)&gt;0),1-BE114/BD114,"")</f>
        <v/>
      </c>
      <c r="BG114" s="122" t="n">
        <v>3634538</v>
      </c>
      <c r="BH114" s="122" t="n">
        <v>3088925</v>
      </c>
      <c r="BI114" s="123">
        <f>IF(AND(ISNUMBER(BG114),ISNUMBER(BH114),N(BH114)&gt;0),BG114/BH114,"")</f>
        <v/>
      </c>
      <c r="BJ114" s="120" t="inlineStr">
        <is>
          <t>N</t>
        </is>
      </c>
      <c r="BK114" s="120" t="inlineStr">
        <is>
          <t>List Price $55.00</t>
        </is>
      </c>
    </row>
    <row r="115" ht="62" customHeight="1">
      <c r="A115" s="12">
        <f>_xlfn.IMAGE("https://m.media-amazon.com/images/I/7126vOg+0nL._AC_SL1500_.jpg")</f>
        <v/>
      </c>
      <c r="B115" s="105" t="inlineStr">
        <is>
          <t>Kickoff Home</t>
        </is>
      </c>
      <c r="C115" s="39" t="inlineStr">
        <is>
          <t>Bamboo Sheets</t>
        </is>
      </c>
      <c r="D115" s="105" t="inlineStr">
        <is>
          <t>Poor</t>
        </is>
      </c>
      <c r="E115" s="128" t="inlineStr">
        <is>
          <t>Alternative material</t>
        </is>
      </c>
      <c r="F115" s="105" t="inlineStr">
        <is>
          <t>Bamboo viscose</t>
        </is>
      </c>
      <c r="G115" s="39" t="inlineStr">
        <is>
          <t>Sheet set in Bamboo viscose (product page material: Viscose from Bamboo); ours is Synthetic cooling knit (product spec: CooLoom, 90% nylon / 10% spandex). Shopper may cross-shop, but not like-for-like.</t>
        </is>
      </c>
      <c r="H115" s="107" t="inlineStr">
        <is>
          <t>B0D4KS4MVX</t>
        </is>
      </c>
      <c r="I115" s="107" t="inlineStr">
        <is>
          <t>B0CHN5ZPFH</t>
        </is>
      </c>
      <c r="J115" s="105" t="inlineStr">
        <is>
          <t>King</t>
        </is>
      </c>
      <c r="K115" s="105" t="inlineStr">
        <is>
          <t>Sage Green</t>
        </is>
      </c>
      <c r="L115" s="108" t="n"/>
      <c r="M115" s="39" t="inlineStr"/>
      <c r="N115" s="109" t="n">
        <v>86.98999999999999</v>
      </c>
      <c r="O115" s="109" t="n">
        <v>84.98999999999999</v>
      </c>
      <c r="P115" s="110">
        <f>IF(AND(ISNUMBER(O115),ISNUMBER(N115),N(N115)&gt;0),O115/N115-1,"")</f>
        <v/>
      </c>
      <c r="Q115" s="111">
        <f>IF(P115="","No List Price",IF(P115&lt;=0,"At/below price",IF(P115&lt;=0.12,"&lt;=12% STR zone",IF(P115&lt;=0.25,"12-25%","&gt;25% over"))))</f>
        <v/>
      </c>
      <c r="R115" s="109" t="n">
        <v>93.98999999999999</v>
      </c>
      <c r="S115" s="112">
        <f>IF(AND(ISNUMBER(N115),ISNUMBER(R115),N(R115)&gt;0),N115/R115-1,"")</f>
        <v/>
      </c>
      <c r="T115" s="39" t="inlineStr">
        <is>
          <t>Same size (King). Ours live: launch price, live Oct 15, 2026; 12 children</t>
        </is>
      </c>
      <c r="U115" s="108" t="n">
        <v>23579</v>
      </c>
      <c r="V115" s="108" t="n">
        <v>18</v>
      </c>
      <c r="W115" s="113">
        <f>IF(AND(ISNUMBER(N115),ISNUMBER(V115)),N115*V115*52/12,"")</f>
        <v/>
      </c>
      <c r="X115" s="114" t="n">
        <v>4.6</v>
      </c>
      <c r="Y115" s="108" t="n">
        <v>688</v>
      </c>
      <c r="Z115" s="115" t="n">
        <v>46307</v>
      </c>
      <c r="AA115" s="115" t="n"/>
      <c r="AB115" s="105" t="n"/>
      <c r="AC115" s="105" t="n"/>
      <c r="AD115" s="108" t="n">
        <v>58169</v>
      </c>
      <c r="AE115" s="108" t="n">
        <v>1164</v>
      </c>
      <c r="AF115" s="116" t="n"/>
      <c r="AG115" s="116" t="n"/>
      <c r="AH115" s="39" t="n"/>
      <c r="AI115" s="116" t="n"/>
      <c r="AJ115" s="116" t="n"/>
      <c r="AK115" s="116" t="n"/>
      <c r="AL115" s="116" t="n"/>
      <c r="AM115" s="108" t="n"/>
      <c r="AN115" s="108" t="n"/>
      <c r="AO115" s="108" t="n"/>
      <c r="AP115" s="108" t="n"/>
      <c r="AQ115" s="108" t="n"/>
      <c r="AR115" s="108" t="n"/>
      <c r="AS115" s="117" t="n"/>
      <c r="AT115" s="112" t="n"/>
      <c r="AU115" s="118" t="inlineStr">
        <is>
          <t>N</t>
        </is>
      </c>
      <c r="AV115" s="118" t="inlineStr">
        <is>
          <t>none</t>
        </is>
      </c>
      <c r="AW115" s="124" t="n"/>
      <c r="AX115" s="119" t="n">
        <v>86.98999999999999</v>
      </c>
      <c r="AY115" s="118" t="inlineStr">
        <is>
          <t>none</t>
        </is>
      </c>
      <c r="AZ115" s="118" t="inlineStr">
        <is>
          <t>Y</t>
        </is>
      </c>
      <c r="BA115" s="118" t="inlineStr">
        <is>
          <t>2026-10-13 23:36:30</t>
        </is>
      </c>
      <c r="BB115" s="120" t="inlineStr">
        <is>
          <t>Price cut only</t>
        </is>
      </c>
      <c r="BC115" s="120" t="inlineStr">
        <is>
          <t>11-21 to 12-01</t>
        </is>
      </c>
      <c r="BD115" s="121" t="n">
        <v>118.99</v>
      </c>
      <c r="BE115" s="121" t="n">
        <v>79.13</v>
      </c>
      <c r="BF115" s="110">
        <f>IF(AND(ISNUMBER(BD115),ISNUMBER(BE115),N(BD115)&gt;0),1-BE115/BD115,"")</f>
        <v/>
      </c>
      <c r="BG115" s="122" t="n">
        <v>70541</v>
      </c>
      <c r="BH115" s="122" t="n">
        <v>28546</v>
      </c>
      <c r="BI115" s="123">
        <f>IF(AND(ISNUMBER(BG115),ISNUMBER(BH115),N(BH115)&gt;0),BG115/BH115,"")</f>
        <v/>
      </c>
      <c r="BJ115" s="120" t="inlineStr">
        <is>
          <t>N</t>
        </is>
      </c>
      <c r="BK115" s="120" t="inlineStr">
        <is>
          <t>Coupon 25% (11-01 to 11-05); List Price $124.99</t>
        </is>
      </c>
    </row>
    <row r="116" ht="62" customHeight="1">
      <c r="A116" s="12">
        <f>_xlfn.IMAGE("https://images-na.ssl-images-amazon.com/images/I/71AudKmD2JL.jpg")</f>
        <v/>
      </c>
      <c r="B116" s="105" t="inlineStr">
        <is>
          <t>Love's cabin</t>
        </is>
      </c>
      <c r="C116" s="39" t="inlineStr">
        <is>
          <t>Love's cabin 4 Piece Queen Sheet Set, 100% Rayon Derived from Bamboo, Cooling &amp; Breathable, Soft Silky Deep Pocket up to 16", Hotel Luxury Bedding for Hot Sleepers, Beige</t>
        </is>
      </c>
      <c r="D116" s="105" t="inlineStr">
        <is>
          <t>Untiered</t>
        </is>
      </c>
      <c r="E116" s="128" t="inlineStr">
        <is>
          <t>Alternative material</t>
        </is>
      </c>
      <c r="F116" s="105" t="inlineStr">
        <is>
          <t>Bamboo viscose</t>
        </is>
      </c>
      <c r="G116" s="39" t="inlineStr">
        <is>
          <t>Sheet set in Bamboo viscose (title: Love's cabin 4 Piece Queen Sheet Set, 100% Rayon Derived fro); ours is Synthetic cooling knit (product spec: CooLoom, 90% nylon / 10% spandex). Shopper may cross-shop, but not like-for-like.</t>
        </is>
      </c>
      <c r="H116" s="107" t="inlineStr">
        <is>
          <t>B0DN1GGFL7</t>
        </is>
      </c>
      <c r="I116" s="107" t="inlineStr">
        <is>
          <t>B0DN1DVKH5</t>
        </is>
      </c>
      <c r="J116" s="105" t="inlineStr">
        <is>
          <t>Queen</t>
        </is>
      </c>
      <c r="K116" s="105" t="inlineStr">
        <is>
          <t>Beige</t>
        </is>
      </c>
      <c r="L116" s="108" t="n">
        <v>176</v>
      </c>
      <c r="M116" s="39" t="inlineStr"/>
      <c r="N116" s="109" t="n">
        <v>37.99</v>
      </c>
      <c r="O116" s="109" t="n">
        <v>44.99</v>
      </c>
      <c r="P116" s="110">
        <f>IF(AND(ISNUMBER(O116),ISNUMBER(N116),N(N116)&gt;0),O116/N116-1,"")</f>
        <v/>
      </c>
      <c r="Q116" s="111">
        <f>IF(P116="","No List Price",IF(P116&lt;=0,"At/below price",IF(P116&lt;=0.12,"&lt;=12% STR zone",IF(P116&lt;=0.25,"12-25%","&gt;25% over"))))</f>
        <v/>
      </c>
      <c r="R116" s="109" t="n">
        <v>87.98999999999999</v>
      </c>
      <c r="S116" s="112">
        <f>IF(AND(ISNUMBER(N116),ISNUMBER(R116),N(R116)&gt;0),N116/R116-1,"")</f>
        <v/>
      </c>
      <c r="T116" s="39" t="inlineStr">
        <is>
          <t>Same size (Queen). Ours live: launch price, live Oct 15, 2026; 12 children</t>
        </is>
      </c>
      <c r="U116" s="108" t="n">
        <v>501</v>
      </c>
      <c r="V116" s="108" t="n">
        <v>924</v>
      </c>
      <c r="W116" s="113">
        <f>IF(AND(ISNUMBER(N116),ISNUMBER(V116)),N116*V116*52/12,"")</f>
        <v/>
      </c>
      <c r="X116" s="114" t="n">
        <v>4.4</v>
      </c>
      <c r="Y116" s="108" t="n">
        <v>1900</v>
      </c>
      <c r="Z116" s="115" t="n">
        <v>46307</v>
      </c>
      <c r="AA116" s="115" t="n">
        <v>45694</v>
      </c>
      <c r="AB116" s="105" t="inlineStr">
        <is>
          <t>FBA</t>
        </is>
      </c>
      <c r="AC116" s="105" t="inlineStr">
        <is>
          <t>CN</t>
        </is>
      </c>
      <c r="AD116" s="108" t="n">
        <v>906346</v>
      </c>
      <c r="AE116" s="108" t="n">
        <v>4326</v>
      </c>
      <c r="AF116" s="116" t="n"/>
      <c r="AG116" s="116" t="n"/>
      <c r="AH116" s="39" t="n"/>
      <c r="AI116" s="116" t="n"/>
      <c r="AJ116" s="116" t="n"/>
      <c r="AK116" s="116" t="n"/>
      <c r="AL116" s="116" t="n"/>
      <c r="AM116" s="108" t="n"/>
      <c r="AN116" s="108" t="n"/>
      <c r="AO116" s="108" t="n"/>
      <c r="AP116" s="108" t="n"/>
      <c r="AQ116" s="108" t="n"/>
      <c r="AR116" s="108" t="n"/>
      <c r="AS116" s="117" t="n">
        <v>0.8953669259384511</v>
      </c>
      <c r="AT116" s="112" t="n">
        <v>0.5388519228600428</v>
      </c>
      <c r="AU116" s="118" t="inlineStr">
        <is>
          <t>Y</t>
        </is>
      </c>
      <c r="AV116" s="118" t="inlineStr">
        <is>
          <t>List Price</t>
        </is>
      </c>
      <c r="AW116" s="119" t="n">
        <v>44.99</v>
      </c>
      <c r="AX116" s="119" t="n">
        <v>37.99</v>
      </c>
      <c r="AY116" s="118" t="inlineStr">
        <is>
          <t>none</t>
        </is>
      </c>
      <c r="AZ116" s="118" t="inlineStr">
        <is>
          <t>Y</t>
        </is>
      </c>
      <c r="BA116" s="118" t="inlineStr">
        <is>
          <t>2026-10-13 12:11:04</t>
        </is>
      </c>
      <c r="BB116" s="120" t="inlineStr">
        <is>
          <t>Prime Exclusive Discount</t>
        </is>
      </c>
      <c r="BC116" s="120" t="inlineStr">
        <is>
          <t>11-03 to 12-05</t>
        </is>
      </c>
      <c r="BD116" s="121" t="n">
        <v>36.99</v>
      </c>
      <c r="BE116" s="121" t="n">
        <v>29.99</v>
      </c>
      <c r="BF116" s="110">
        <f>IF(AND(ISNUMBER(BD116),ISNUMBER(BE116),N(BD116)&gt;0),1-BE116/BD116,"")</f>
        <v/>
      </c>
      <c r="BG116" s="122" t="n">
        <v>32899</v>
      </c>
      <c r="BH116" s="122" t="n">
        <v>33089</v>
      </c>
      <c r="BI116" s="123">
        <f>IF(AND(ISNUMBER(BG116),ISNUMBER(BH116),N(BH116)&gt;0),BG116/BH116,"")</f>
        <v/>
      </c>
      <c r="BJ116" s="120" t="inlineStr">
        <is>
          <t>N</t>
        </is>
      </c>
      <c r="BK116" s="120" t="inlineStr">
        <is>
          <t>Prime Exclusive already running before BFCM week; List Price $49.99</t>
        </is>
      </c>
    </row>
    <row r="117" ht="62" customHeight="1">
      <c r="A117" s="12">
        <f>_xlfn.IMAGE("https://m.media-amazon.com/images/I/81V9M033qOL._AC_SL1500_.jpg")</f>
        <v/>
      </c>
      <c r="B117" s="105" t="inlineStr">
        <is>
          <t>TRUE BAMBOO</t>
        </is>
      </c>
      <c r="C117" s="39" t="inlineStr">
        <is>
          <t>TRUE BAMBOO Sheets Set King Size - Silky Soft &amp; Cooling - Dark Gray</t>
        </is>
      </c>
      <c r="D117" s="105" t="inlineStr">
        <is>
          <t>Untiered</t>
        </is>
      </c>
      <c r="E117" s="128" t="inlineStr">
        <is>
          <t>Alternative material</t>
        </is>
      </c>
      <c r="F117" s="105" t="inlineStr">
        <is>
          <t>Bamboo viscose</t>
        </is>
      </c>
      <c r="G117" s="39" t="inlineStr">
        <is>
          <t>Sheet set in Bamboo viscose (product page material: Rayon); ours is Synthetic cooling knit (product spec: CooLoom, 90% nylon / 10% spandex). Shopper may cross-shop, but not like-for-like.</t>
        </is>
      </c>
      <c r="H117" s="107" t="inlineStr">
        <is>
          <t>B0HHQ97HBL</t>
        </is>
      </c>
      <c r="I117" s="107" t="inlineStr">
        <is>
          <t>B0HD7R5L1D</t>
        </is>
      </c>
      <c r="J117" s="105" t="inlineStr">
        <is>
          <t>Queen</t>
        </is>
      </c>
      <c r="K117" s="105" t="inlineStr">
        <is>
          <t>Dark Gray</t>
        </is>
      </c>
      <c r="L117" s="108" t="n"/>
      <c r="M117" s="39" t="inlineStr"/>
      <c r="N117" s="109" t="n">
        <v>79.98999999999999</v>
      </c>
      <c r="O117" s="109" t="n">
        <v>129.99</v>
      </c>
      <c r="P117" s="110">
        <f>IF(AND(ISNUMBER(O117),ISNUMBER(N117),N(N117)&gt;0),O117/N117-1,"")</f>
        <v/>
      </c>
      <c r="Q117" s="111">
        <f>IF(P117="","No List Price",IF(P117&lt;=0,"At/below price",IF(P117&lt;=0.12,"&lt;=12% STR zone",IF(P117&lt;=0.25,"12-25%","&gt;25% over"))))</f>
        <v/>
      </c>
      <c r="R117" s="109" t="n">
        <v>87.98999999999999</v>
      </c>
      <c r="S117" s="112">
        <f>IF(AND(ISNUMBER(N117),ISNUMBER(R117),N(R117)&gt;0),N117/R117-1,"")</f>
        <v/>
      </c>
      <c r="T117" s="39" t="inlineStr">
        <is>
          <t>Same size (Queen). Ours live: launch price, live Oct 15, 2026; 12 children</t>
        </is>
      </c>
      <c r="U117" s="108" t="n">
        <v>5934</v>
      </c>
      <c r="V117" s="108" t="n">
        <v>185</v>
      </c>
      <c r="W117" s="113">
        <f>IF(AND(ISNUMBER(N117),ISNUMBER(V117)),N117*V117*52/12,"")</f>
        <v/>
      </c>
      <c r="X117" s="114" t="n">
        <v>4.6</v>
      </c>
      <c r="Y117" s="108" t="n">
        <v>167</v>
      </c>
      <c r="Z117" s="115" t="n">
        <v>46307</v>
      </c>
      <c r="AA117" s="115" t="n"/>
      <c r="AB117" s="105" t="n"/>
      <c r="AC117" s="105" t="n"/>
      <c r="AD117" s="108" t="n">
        <v>557658</v>
      </c>
      <c r="AE117" s="108" t="n">
        <v>2189</v>
      </c>
      <c r="AF117" s="116" t="n"/>
      <c r="AG117" s="116" t="n"/>
      <c r="AH117" s="39" t="n"/>
      <c r="AI117" s="116" t="n"/>
      <c r="AJ117" s="116" t="n"/>
      <c r="AK117" s="116" t="n"/>
      <c r="AL117" s="116" t="n"/>
      <c r="AM117" s="108" t="n"/>
      <c r="AN117" s="108" t="n"/>
      <c r="AO117" s="108" t="n"/>
      <c r="AP117" s="108" t="n"/>
      <c r="AQ117" s="108" t="n"/>
      <c r="AR117" s="108" t="n"/>
      <c r="AS117" s="117" t="n"/>
      <c r="AT117" s="112" t="n"/>
      <c r="AU117" s="118" t="inlineStr">
        <is>
          <t>Y</t>
        </is>
      </c>
      <c r="AV117" s="118" t="inlineStr">
        <is>
          <t>List Price</t>
        </is>
      </c>
      <c r="AW117" s="119" t="n">
        <v>129.99</v>
      </c>
      <c r="AX117" s="119" t="n">
        <v>79.98999999999999</v>
      </c>
      <c r="AY117" s="118" t="inlineStr">
        <is>
          <t>none</t>
        </is>
      </c>
      <c r="AZ117" s="118" t="inlineStr">
        <is>
          <t>Y</t>
        </is>
      </c>
      <c r="BA117" s="118" t="inlineStr">
        <is>
          <t>2026-10-13 12:11:32</t>
        </is>
      </c>
      <c r="BB117" s="120" t="inlineStr">
        <is>
          <t>Not live in 2025</t>
        </is>
      </c>
      <c r="BC117" s="125" t="n"/>
      <c r="BD117" s="124" t="n"/>
      <c r="BE117" s="124" t="n"/>
      <c r="BF117" s="110">
        <f>IF(AND(ISNUMBER(BD117),ISNUMBER(BE117),N(BD117)&gt;0),1-BE117/BD117,"")</f>
        <v/>
      </c>
      <c r="BG117" s="126" t="n"/>
      <c r="BH117" s="126" t="n"/>
      <c r="BI117" s="123">
        <f>IF(AND(ISNUMBER(BG117),ISNUMBER(BH117),N(BH117)&gt;0),BG117/BH117,"")</f>
        <v/>
      </c>
      <c r="BJ117" s="125" t="n"/>
      <c r="BK117" s="125" t="n"/>
    </row>
    <row r="118" ht="62" customHeight="1">
      <c r="A118" s="12">
        <f>_xlfn.IMAGE("https://m.media-amazon.com/images/I/71F+539t2YL._AC_SL1500_.jpg")</f>
        <v/>
      </c>
      <c r="B118" s="105" t="inlineStr">
        <is>
          <t>BEDELITE</t>
        </is>
      </c>
      <c r="C118" s="39" t="inlineStr">
        <is>
          <t>BEDELITE Bamboo Viscose Sheet Set, Queen Size, 4 Pieces, White</t>
        </is>
      </c>
      <c r="D118" s="105" t="inlineStr">
        <is>
          <t>Untiered</t>
        </is>
      </c>
      <c r="E118" s="128" t="inlineStr">
        <is>
          <t>Alternative material</t>
        </is>
      </c>
      <c r="F118" s="105" t="inlineStr">
        <is>
          <t>Bamboo viscose</t>
        </is>
      </c>
      <c r="G118" s="39" t="inlineStr">
        <is>
          <t>Sheet set in Bamboo viscose (product page material: Viscose Derived from Bamboo); ours is Synthetic cooling knit (product spec: CooLoom, 90% nylon / 10% spandex). Shopper may cross-shop, but not like-for-like.</t>
        </is>
      </c>
      <c r="H118" s="107" t="inlineStr">
        <is>
          <t>B0GT98GVQN</t>
        </is>
      </c>
      <c r="I118" s="107" t="inlineStr">
        <is>
          <t>B0GT8Z4X5D</t>
        </is>
      </c>
      <c r="J118" s="105" t="inlineStr">
        <is>
          <t>Queen</t>
        </is>
      </c>
      <c r="K118" s="105" t="inlineStr">
        <is>
          <t>White</t>
        </is>
      </c>
      <c r="L118" s="108" t="n"/>
      <c r="M118" s="39" t="inlineStr"/>
      <c r="N118" s="109" t="n">
        <v>84.98</v>
      </c>
      <c r="O118" s="109" t="n">
        <v>99.89</v>
      </c>
      <c r="P118" s="110">
        <f>IF(AND(ISNUMBER(O118),ISNUMBER(N118),N(N118)&gt;0),O118/N118-1,"")</f>
        <v/>
      </c>
      <c r="Q118" s="111">
        <f>IF(P118="","No List Price",IF(P118&lt;=0,"At/below price",IF(P118&lt;=0.12,"&lt;=12% STR zone",IF(P118&lt;=0.25,"12-25%","&gt;25% over"))))</f>
        <v/>
      </c>
      <c r="R118" s="109" t="n">
        <v>87.98999999999999</v>
      </c>
      <c r="S118" s="112">
        <f>IF(AND(ISNUMBER(N118),ISNUMBER(R118),N(R118)&gt;0),N118/R118-1,"")</f>
        <v/>
      </c>
      <c r="T118" s="39" t="inlineStr">
        <is>
          <t>Same size (Queen). Ours live: launch price, live Oct 15, 2026; 12 children</t>
        </is>
      </c>
      <c r="U118" s="108" t="n">
        <v>65907</v>
      </c>
      <c r="V118" s="108" t="n">
        <v>81</v>
      </c>
      <c r="W118" s="113">
        <f>IF(AND(ISNUMBER(N118),ISNUMBER(V118)),N118*V118*52/12,"")</f>
        <v/>
      </c>
      <c r="X118" s="114" t="n">
        <v>4.5</v>
      </c>
      <c r="Y118" s="108" t="n">
        <v>113</v>
      </c>
      <c r="Z118" s="115" t="n">
        <v>46307</v>
      </c>
      <c r="AA118" s="115" t="n"/>
      <c r="AB118" s="105" t="n"/>
      <c r="AC118" s="105" t="n"/>
      <c r="AD118" s="108" t="n">
        <v>212120</v>
      </c>
      <c r="AE118" s="108" t="n">
        <v>1732</v>
      </c>
      <c r="AF118" s="116" t="n"/>
      <c r="AG118" s="116" t="n"/>
      <c r="AH118" s="39" t="n"/>
      <c r="AI118" s="116" t="n"/>
      <c r="AJ118" s="116" t="n"/>
      <c r="AK118" s="116" t="n"/>
      <c r="AL118" s="116" t="n"/>
      <c r="AM118" s="108" t="n"/>
      <c r="AN118" s="108" t="n"/>
      <c r="AO118" s="108" t="n"/>
      <c r="AP118" s="108" t="n"/>
      <c r="AQ118" s="108" t="n"/>
      <c r="AR118" s="108" t="n"/>
      <c r="AS118" s="117" t="n">
        <v>0.8073654390934845</v>
      </c>
      <c r="AT118" s="112" t="n">
        <v>0.4972677595628416</v>
      </c>
      <c r="AU118" s="118" t="inlineStr">
        <is>
          <t>Y</t>
        </is>
      </c>
      <c r="AV118" s="118" t="inlineStr">
        <is>
          <t>List Price</t>
        </is>
      </c>
      <c r="AW118" s="119" t="n">
        <v>99.89</v>
      </c>
      <c r="AX118" s="119" t="n">
        <v>84.98</v>
      </c>
      <c r="AY118" s="118" t="inlineStr">
        <is>
          <t>Limited time deal</t>
        </is>
      </c>
      <c r="AZ118" s="118" t="inlineStr">
        <is>
          <t>Y</t>
        </is>
      </c>
      <c r="BA118" s="118" t="inlineStr">
        <is>
          <t>2026-10-13 12:10:25</t>
        </is>
      </c>
      <c r="BB118" s="120" t="inlineStr">
        <is>
          <t>Not live in 2025</t>
        </is>
      </c>
      <c r="BC118" s="125" t="n"/>
      <c r="BD118" s="124" t="n"/>
      <c r="BE118" s="124" t="n"/>
      <c r="BF118" s="110">
        <f>IF(AND(ISNUMBER(BD118),ISNUMBER(BE118),N(BD118)&gt;0),1-BE118/BD118,"")</f>
        <v/>
      </c>
      <c r="BG118" s="126" t="n"/>
      <c r="BH118" s="126" t="n"/>
      <c r="BI118" s="123">
        <f>IF(AND(ISNUMBER(BG118),ISNUMBER(BH118),N(BH118)&gt;0),BG118/BH118,"")</f>
        <v/>
      </c>
      <c r="BJ118" s="125" t="n"/>
      <c r="BK118" s="125" t="n"/>
    </row>
    <row r="119" ht="62" customHeight="1">
      <c r="A119" s="12">
        <f>_xlfn.IMAGE("https://m.media-amazon.com/images/I/71HjD-PgWIL._AC_SL1500_.jpg")</f>
        <v/>
      </c>
      <c r="B119" s="105" t="inlineStr">
        <is>
          <t>KARISSA MAE</t>
        </is>
      </c>
      <c r="C119" s="39" t="inlineStr">
        <is>
          <t>Cooling Sheets</t>
        </is>
      </c>
      <c r="D119" s="105" t="inlineStr">
        <is>
          <t>Untiered</t>
        </is>
      </c>
      <c r="E119" s="128" t="inlineStr">
        <is>
          <t>Alternative material</t>
        </is>
      </c>
      <c r="F119" s="105" t="inlineStr">
        <is>
          <t>Bamboo viscose</t>
        </is>
      </c>
      <c r="G119" s="39" t="inlineStr">
        <is>
          <t>Sheet set in Bamboo viscose (product page material: Organically Grown Bamboo Viscose); ours is Synthetic cooling knit (product spec: CooLoom, 90% nylon / 10% spandex). Shopper may cross-shop, but not like-for-like.</t>
        </is>
      </c>
      <c r="H119" s="107" t="inlineStr">
        <is>
          <t>B0GT172Y8L</t>
        </is>
      </c>
      <c r="I119" s="107" t="inlineStr">
        <is>
          <t>B0G1CSCQTB</t>
        </is>
      </c>
      <c r="J119" s="105" t="inlineStr">
        <is>
          <t>King - 2 Pillowcases</t>
        </is>
      </c>
      <c r="K119" s="105" t="inlineStr">
        <is>
          <t>10 - Mocha</t>
        </is>
      </c>
      <c r="L119" s="108" t="n"/>
      <c r="M119" s="39" t="inlineStr"/>
      <c r="N119" s="109" t="n">
        <v>119.99</v>
      </c>
      <c r="O119" s="109" t="n"/>
      <c r="P119" s="110">
        <f>IF(AND(ISNUMBER(O119),ISNUMBER(N119),N(N119)&gt;0),O119/N119-1,"")</f>
        <v/>
      </c>
      <c r="Q119" s="111">
        <f>IF(P119="","No List Price",IF(P119&lt;=0,"At/below price",IF(P119&lt;=0.12,"&lt;=12% STR zone",IF(P119&lt;=0.25,"12-25%","&gt;25% over"))))</f>
        <v/>
      </c>
      <c r="R119" s="109" t="n">
        <v>93.98999999999999</v>
      </c>
      <c r="S119" s="112">
        <f>IF(AND(ISNUMBER(N119),ISNUMBER(R119),N(R119)&gt;0),N119/R119-1,"")</f>
        <v/>
      </c>
      <c r="T119" s="39" t="inlineStr">
        <is>
          <t>Same size (King). Ours live: launch price, live Oct 15, 2026; 12 children</t>
        </is>
      </c>
      <c r="U119" s="108" t="n">
        <v>15914</v>
      </c>
      <c r="V119" s="108" t="n">
        <v>35</v>
      </c>
      <c r="W119" s="113">
        <f>IF(AND(ISNUMBER(N119),ISNUMBER(V119)),N119*V119*52/12,"")</f>
        <v/>
      </c>
      <c r="X119" s="114" t="n">
        <v>4.3</v>
      </c>
      <c r="Y119" s="108" t="n">
        <v>474</v>
      </c>
      <c r="Z119" s="115" t="n">
        <v>46307</v>
      </c>
      <c r="AA119" s="115" t="n"/>
      <c r="AB119" s="105" t="n"/>
      <c r="AC119" s="105" t="n"/>
      <c r="AD119" s="108" t="n">
        <v>243610</v>
      </c>
      <c r="AE119" s="108" t="n">
        <v>3715</v>
      </c>
      <c r="AF119" s="116" t="n"/>
      <c r="AG119" s="116" t="n"/>
      <c r="AH119" s="39" t="n"/>
      <c r="AI119" s="116" t="n"/>
      <c r="AJ119" s="116" t="n"/>
      <c r="AK119" s="116" t="n"/>
      <c r="AL119" s="116" t="n"/>
      <c r="AM119" s="108" t="n"/>
      <c r="AN119" s="108" t="n"/>
      <c r="AO119" s="108" t="n"/>
      <c r="AP119" s="108" t="n"/>
      <c r="AQ119" s="108" t="n"/>
      <c r="AR119" s="108" t="n"/>
      <c r="AS119" s="117" t="n">
        <v>2.102564102564103</v>
      </c>
      <c r="AT119" s="112" t="n">
        <v>-0.8771186440677966</v>
      </c>
      <c r="AU119" s="118" t="inlineStr">
        <is>
          <t>N</t>
        </is>
      </c>
      <c r="AV119" s="118" t="inlineStr">
        <is>
          <t>none</t>
        </is>
      </c>
      <c r="AW119" s="124" t="n"/>
      <c r="AX119" s="119" t="n">
        <v>119.99</v>
      </c>
      <c r="AY119" s="118" t="inlineStr">
        <is>
          <t>none</t>
        </is>
      </c>
      <c r="AZ119" s="118" t="inlineStr">
        <is>
          <t>Y</t>
        </is>
      </c>
      <c r="BA119" s="118" t="inlineStr">
        <is>
          <t>2026-10-13 12:10:57</t>
        </is>
      </c>
      <c r="BB119" s="125" t="n"/>
      <c r="BC119" s="125" t="n"/>
      <c r="BD119" s="124" t="n"/>
      <c r="BE119" s="124" t="n"/>
      <c r="BF119" s="110">
        <f>IF(AND(ISNUMBER(BD119),ISNUMBER(BE119),N(BD119)&gt;0),1-BE119/BD119,"")</f>
        <v/>
      </c>
      <c r="BG119" s="126" t="n"/>
      <c r="BH119" s="126" t="n"/>
      <c r="BI119" s="123">
        <f>IF(AND(ISNUMBER(BG119),ISNUMBER(BH119),N(BH119)&gt;0),BG119/BH119,"")</f>
        <v/>
      </c>
      <c r="BJ119" s="125" t="n"/>
      <c r="BK119" s="120" t="inlineStr">
        <is>
          <t>No Buy Box history in price history for BFCM 2025</t>
        </is>
      </c>
    </row>
    <row r="120" ht="62" customHeight="1">
      <c r="A120" s="12">
        <f>_xlfn.IMAGE("https://m.media-amazon.com/images/I/71vDRpdS5DL._AC_SL1500_.jpg")</f>
        <v/>
      </c>
      <c r="B120" s="105" t="inlineStr">
        <is>
          <t>Pillcase</t>
        </is>
      </c>
      <c r="C120" s="39" t="inlineStr">
        <is>
          <t>100% Real Bamboo Viscose &amp; Lyocell Tencel Sheets Set Queen Size | Breathable &amp; C</t>
        </is>
      </c>
      <c r="D120" s="105" t="inlineStr">
        <is>
          <t>Untiered</t>
        </is>
      </c>
      <c r="E120" s="128" t="inlineStr">
        <is>
          <t>Alternative material</t>
        </is>
      </c>
      <c r="F120" s="105" t="inlineStr">
        <is>
          <t>Microfiber / polyester</t>
        </is>
      </c>
      <c r="G120" s="39" t="inlineStr">
        <is>
          <t>Sheet set in Microfiber / polyester (product page material: Microfiber); ours is Synthetic cooling knit (product spec: CooLoom, 90% nylon / 10% spandex). Shopper may cross-shop, but not like-for-like.</t>
        </is>
      </c>
      <c r="H120" s="107" t="inlineStr">
        <is>
          <t>B0H1GGHHVN</t>
        </is>
      </c>
      <c r="I120" s="107" t="inlineStr">
        <is>
          <t>B0HFZQRXXQ</t>
        </is>
      </c>
      <c r="J120" s="105" t="inlineStr">
        <is>
          <t>Queen</t>
        </is>
      </c>
      <c r="K120" s="105" t="inlineStr">
        <is>
          <t>French Blue</t>
        </is>
      </c>
      <c r="L120" s="108" t="n"/>
      <c r="M120" s="39" t="inlineStr"/>
      <c r="N120" s="109" t="n">
        <v>79</v>
      </c>
      <c r="O120" s="109" t="n">
        <v>109</v>
      </c>
      <c r="P120" s="110">
        <f>IF(AND(ISNUMBER(O120),ISNUMBER(N120),N(N120)&gt;0),O120/N120-1,"")</f>
        <v/>
      </c>
      <c r="Q120" s="111">
        <f>IF(P120="","No List Price",IF(P120&lt;=0,"At/below price",IF(P120&lt;=0.12,"&lt;=12% STR zone",IF(P120&lt;=0.25,"12-25%","&gt;25% over"))))</f>
        <v/>
      </c>
      <c r="R120" s="109" t="n">
        <v>87.98999999999999</v>
      </c>
      <c r="S120" s="112">
        <f>IF(AND(ISNUMBER(N120),ISNUMBER(R120),N(R120)&gt;0),N120/R120-1,"")</f>
        <v/>
      </c>
      <c r="T120" s="39" t="inlineStr">
        <is>
          <t>Same size (Queen). Ours live: launch price, live Oct 15, 2026; 12 children</t>
        </is>
      </c>
      <c r="U120" s="108" t="n">
        <v>28003</v>
      </c>
      <c r="V120" s="108" t="n">
        <v>35</v>
      </c>
      <c r="W120" s="113">
        <f>IF(AND(ISNUMBER(N120),ISNUMBER(V120)),N120*V120*52/12,"")</f>
        <v/>
      </c>
      <c r="X120" s="114" t="n">
        <v>4.8</v>
      </c>
      <c r="Y120" s="108" t="n">
        <v>279</v>
      </c>
      <c r="Z120" s="115" t="n">
        <v>46307</v>
      </c>
      <c r="AA120" s="115" t="n"/>
      <c r="AB120" s="105" t="n"/>
      <c r="AC120" s="105" t="n"/>
      <c r="AD120" s="108" t="n">
        <v>216953</v>
      </c>
      <c r="AE120" s="108" t="n">
        <v>1218</v>
      </c>
      <c r="AF120" s="116" t="n"/>
      <c r="AG120" s="116" t="n"/>
      <c r="AH120" s="39" t="n"/>
      <c r="AI120" s="116" t="n"/>
      <c r="AJ120" s="116" t="n"/>
      <c r="AK120" s="116" t="n"/>
      <c r="AL120" s="116" t="n"/>
      <c r="AM120" s="108" t="n"/>
      <c r="AN120" s="108" t="n"/>
      <c r="AO120" s="108" t="n"/>
      <c r="AP120" s="108" t="n"/>
      <c r="AQ120" s="108" t="n"/>
      <c r="AR120" s="108" t="n"/>
      <c r="AS120" s="117" t="n"/>
      <c r="AT120" s="112" t="n"/>
      <c r="AU120" s="118" t="inlineStr">
        <is>
          <t>Y</t>
        </is>
      </c>
      <c r="AV120" s="118" t="inlineStr">
        <is>
          <t>List Price</t>
        </is>
      </c>
      <c r="AW120" s="119" t="n">
        <v>109</v>
      </c>
      <c r="AX120" s="119" t="n">
        <v>79</v>
      </c>
      <c r="AY120" s="118" t="inlineStr">
        <is>
          <t>none</t>
        </is>
      </c>
      <c r="AZ120" s="118" t="inlineStr">
        <is>
          <t>Y</t>
        </is>
      </c>
      <c r="BA120" s="118" t="inlineStr">
        <is>
          <t>2026-10-13 12:11:07</t>
        </is>
      </c>
      <c r="BB120" s="120" t="inlineStr">
        <is>
          <t>Not live in 2025</t>
        </is>
      </c>
      <c r="BC120" s="125" t="n"/>
      <c r="BD120" s="124" t="n"/>
      <c r="BE120" s="124" t="n"/>
      <c r="BF120" s="110">
        <f>IF(AND(ISNUMBER(BD120),ISNUMBER(BE120),N(BD120)&gt;0),1-BE120/BD120,"")</f>
        <v/>
      </c>
      <c r="BG120" s="126" t="n"/>
      <c r="BH120" s="126" t="n"/>
      <c r="BI120" s="123">
        <f>IF(AND(ISNUMBER(BG120),ISNUMBER(BH120),N(BH120)&gt;0),BG120/BH120,"")</f>
        <v/>
      </c>
      <c r="BJ120" s="125" t="n"/>
      <c r="BK120" s="125" t="n"/>
    </row>
    <row r="121" ht="62" customHeight="1">
      <c r="A121" s="12">
        <f>_xlfn.IMAGE("https://m.media-amazon.com/images/I/71fKTruZ7YL._AC_SL1500_.jpg")</f>
        <v/>
      </c>
      <c r="B121" s="105" t="inlineStr">
        <is>
          <t>Davmabcjy</t>
        </is>
      </c>
      <c r="C121" s="39" t="inlineStr">
        <is>
          <t>100% Organically Grown Bamboo Viscose King Sheet Set with Pockets on Side</t>
        </is>
      </c>
      <c r="D121" s="105" t="inlineStr">
        <is>
          <t>Untiered</t>
        </is>
      </c>
      <c r="E121" s="128" t="inlineStr">
        <is>
          <t>Alternative material</t>
        </is>
      </c>
      <c r="F121" s="105" t="inlineStr">
        <is>
          <t>Bamboo viscose</t>
        </is>
      </c>
      <c r="G121" s="39" t="inlineStr">
        <is>
          <t>Sheet set in Bamboo viscose (product page material: Rayon Derived from Bamboo); ours is Synthetic cooling knit (product spec: CooLoom, 90% nylon / 10% spandex). Shopper may cross-shop, but not like-for-like.</t>
        </is>
      </c>
      <c r="H121" s="107" t="inlineStr">
        <is>
          <t>B0HJZNMQ5G</t>
        </is>
      </c>
      <c r="I121" s="107" t="inlineStr">
        <is>
          <t>B0GXJYQR7H</t>
        </is>
      </c>
      <c r="J121" s="105" t="inlineStr">
        <is>
          <t>King (Deep Fits 16" )</t>
        </is>
      </c>
      <c r="K121" s="105" t="inlineStr">
        <is>
          <t>Dark Grey-side Pockets</t>
        </is>
      </c>
      <c r="L121" s="108" t="n"/>
      <c r="M121" s="39" t="inlineStr"/>
      <c r="N121" s="109" t="n">
        <v>59.99</v>
      </c>
      <c r="O121" s="109" t="n"/>
      <c r="P121" s="110">
        <f>IF(AND(ISNUMBER(O121),ISNUMBER(N121),N(N121)&gt;0),O121/N121-1,"")</f>
        <v/>
      </c>
      <c r="Q121" s="111">
        <f>IF(P121="","No List Price",IF(P121&lt;=0,"At/below price",IF(P121&lt;=0.12,"&lt;=12% STR zone",IF(P121&lt;=0.25,"12-25%","&gt;25% over"))))</f>
        <v/>
      </c>
      <c r="R121" s="109" t="n">
        <v>93.98999999999999</v>
      </c>
      <c r="S121" s="112">
        <f>IF(AND(ISNUMBER(N121),ISNUMBER(R121),N(R121)&gt;0),N121/R121-1,"")</f>
        <v/>
      </c>
      <c r="T121" s="39" t="inlineStr">
        <is>
          <t>Same size (King). Ours live: launch price, live Oct 15, 2026; 12 children</t>
        </is>
      </c>
      <c r="U121" s="108" t="n">
        <v>205508</v>
      </c>
      <c r="V121" s="108" t="n">
        <v>35</v>
      </c>
      <c r="W121" s="113">
        <f>IF(AND(ISNUMBER(N121),ISNUMBER(V121)),N121*V121*52/12,"")</f>
        <v/>
      </c>
      <c r="X121" s="114" t="n">
        <v>4.2</v>
      </c>
      <c r="Y121" s="108" t="n">
        <v>81</v>
      </c>
      <c r="Z121" s="115" t="n">
        <v>46307</v>
      </c>
      <c r="AA121" s="115" t="n"/>
      <c r="AB121" s="105" t="n"/>
      <c r="AC121" s="105" t="n"/>
      <c r="AD121" s="108" t="n">
        <v>75425</v>
      </c>
      <c r="AE121" s="108" t="n">
        <v>1329</v>
      </c>
      <c r="AF121" s="116" t="n"/>
      <c r="AG121" s="116" t="n"/>
      <c r="AH121" s="39" t="n"/>
      <c r="AI121" s="116" t="n"/>
      <c r="AJ121" s="116" t="n"/>
      <c r="AK121" s="116" t="n"/>
      <c r="AL121" s="116" t="n"/>
      <c r="AM121" s="108" t="n"/>
      <c r="AN121" s="108" t="n"/>
      <c r="AO121" s="108" t="n"/>
      <c r="AP121" s="108" t="n"/>
      <c r="AQ121" s="108" t="n"/>
      <c r="AR121" s="108" t="n"/>
      <c r="AS121" s="117" t="n"/>
      <c r="AT121" s="112" t="n"/>
      <c r="AU121" s="118" t="inlineStr">
        <is>
          <t>N</t>
        </is>
      </c>
      <c r="AV121" s="118" t="inlineStr">
        <is>
          <t>none</t>
        </is>
      </c>
      <c r="AW121" s="124" t="n"/>
      <c r="AX121" s="119" t="n">
        <v>59.99</v>
      </c>
      <c r="AY121" s="118" t="inlineStr">
        <is>
          <t>none</t>
        </is>
      </c>
      <c r="AZ121" s="118" t="inlineStr">
        <is>
          <t>Y</t>
        </is>
      </c>
      <c r="BA121" s="118" t="inlineStr">
        <is>
          <t>2026-10-13 12:10:48</t>
        </is>
      </c>
      <c r="BB121" s="120" t="inlineStr">
        <is>
          <t>Not live in 2025</t>
        </is>
      </c>
      <c r="BC121" s="125" t="n"/>
      <c r="BD121" s="124" t="n"/>
      <c r="BE121" s="124" t="n"/>
      <c r="BF121" s="110">
        <f>IF(AND(ISNUMBER(BD121),ISNUMBER(BE121),N(BD121)&gt;0),1-BE121/BD121,"")</f>
        <v/>
      </c>
      <c r="BG121" s="126" t="n"/>
      <c r="BH121" s="126" t="n"/>
      <c r="BI121" s="123">
        <f>IF(AND(ISNUMBER(BG121),ISNUMBER(BH121),N(BH121)&gt;0),BG121/BH121,"")</f>
        <v/>
      </c>
      <c r="BJ121" s="125" t="n"/>
      <c r="BK121" s="125" t="n"/>
    </row>
    <row r="122" ht="62" customHeight="1">
      <c r="A122" s="12">
        <f>_xlfn.IMAGE("https://images-na.ssl-images-amazon.com/images/I/71NxE1i+4jL.jpg")</f>
        <v/>
      </c>
      <c r="B122" s="105" t="inlineStr">
        <is>
          <t>Shilucheng</t>
        </is>
      </c>
      <c r="C122" s="39" t="inlineStr">
        <is>
          <t>Shilucheng 100% Viscose Derived from Bamboo_Sheets, Extra Deep Pocket</t>
        </is>
      </c>
      <c r="D122" s="105" t="inlineStr">
        <is>
          <t>Untiered</t>
        </is>
      </c>
      <c r="E122" s="128" t="inlineStr">
        <is>
          <t>Alternative material</t>
        </is>
      </c>
      <c r="F122" s="105" t="inlineStr">
        <is>
          <t>Bamboo viscose</t>
        </is>
      </c>
      <c r="G122" s="39" t="inlineStr">
        <is>
          <t>Sheet set in Bamboo viscose (product page material: Rayon Derived from Bamboo); ours is Synthetic cooling knit (product spec: CooLoom, 90% nylon / 10% spandex). Shopper may cross-shop, but not like-for-like.</t>
        </is>
      </c>
      <c r="H122" s="107" t="inlineStr">
        <is>
          <t>B0HJVD7X1R</t>
        </is>
      </c>
      <c r="I122" s="107" t="inlineStr">
        <is>
          <t>B0F2TDDFGJ</t>
        </is>
      </c>
      <c r="J122" s="105" t="inlineStr">
        <is>
          <t>Queen</t>
        </is>
      </c>
      <c r="K122" s="105" t="inlineStr">
        <is>
          <t>Dark Grey</t>
        </is>
      </c>
      <c r="L122" s="108" t="n">
        <v>32</v>
      </c>
      <c r="M122" s="39" t="inlineStr"/>
      <c r="N122" s="109" t="n">
        <v>59.99</v>
      </c>
      <c r="O122" s="109" t="n">
        <v>74.98999999999999</v>
      </c>
      <c r="P122" s="110">
        <f>IF(AND(ISNUMBER(O122),ISNUMBER(N122),N(N122)&gt;0),O122/N122-1,"")</f>
        <v/>
      </c>
      <c r="Q122" s="111">
        <f>IF(P122="","No List Price",IF(P122&lt;=0,"At/below price",IF(P122&lt;=0.12,"&lt;=12% STR zone",IF(P122&lt;=0.25,"12-25%","&gt;25% over"))))</f>
        <v/>
      </c>
      <c r="R122" s="109" t="n">
        <v>87.98999999999999</v>
      </c>
      <c r="S122" s="112">
        <f>IF(AND(ISNUMBER(N122),ISNUMBER(R122),N(R122)&gt;0),N122/R122-1,"")</f>
        <v/>
      </c>
      <c r="T122" s="39" t="inlineStr">
        <is>
          <t>Same size (Queen). Ours live: launch price, live Oct 15, 2026; 12 children</t>
        </is>
      </c>
      <c r="U122" s="108" t="n">
        <v>39191</v>
      </c>
      <c r="V122" s="108" t="n">
        <v>18</v>
      </c>
      <c r="W122" s="113">
        <f>IF(AND(ISNUMBER(N122),ISNUMBER(V122)),N122*V122*52/12,"")</f>
        <v/>
      </c>
      <c r="X122" s="114" t="n">
        <v>4.5</v>
      </c>
      <c r="Y122" s="108" t="n">
        <v>1639</v>
      </c>
      <c r="Z122" s="115" t="n">
        <v>46307</v>
      </c>
      <c r="AA122" s="115" t="n">
        <v>45744</v>
      </c>
      <c r="AB122" s="105" t="inlineStr">
        <is>
          <t>FBA</t>
        </is>
      </c>
      <c r="AC122" s="105" t="inlineStr">
        <is>
          <t>CN</t>
        </is>
      </c>
      <c r="AD122" s="108" t="n">
        <v>41895</v>
      </c>
      <c r="AE122" s="108" t="n">
        <v>662</v>
      </c>
      <c r="AF122" s="116" t="n"/>
      <c r="AG122" s="116" t="n"/>
      <c r="AH122" s="39" t="n"/>
      <c r="AI122" s="116" t="n"/>
      <c r="AJ122" s="116" t="n"/>
      <c r="AK122" s="116" t="n"/>
      <c r="AL122" s="116" t="n"/>
      <c r="AM122" s="108" t="n"/>
      <c r="AN122" s="108" t="n"/>
      <c r="AO122" s="108" t="n"/>
      <c r="AP122" s="108" t="n"/>
      <c r="AQ122" s="108" t="n"/>
      <c r="AR122" s="108" t="n"/>
      <c r="AS122" s="117" t="n"/>
      <c r="AT122" s="112" t="n">
        <v>-0.9897959183673469</v>
      </c>
      <c r="AU122" s="118" t="inlineStr">
        <is>
          <t>Y</t>
        </is>
      </c>
      <c r="AV122" s="118" t="inlineStr">
        <is>
          <t>List Price</t>
        </is>
      </c>
      <c r="AW122" s="119" t="n">
        <v>74.98999999999999</v>
      </c>
      <c r="AX122" s="119" t="n">
        <v>59.99</v>
      </c>
      <c r="AY122" s="118" t="inlineStr">
        <is>
          <t>Limited time deal</t>
        </is>
      </c>
      <c r="AZ122" s="118" t="inlineStr">
        <is>
          <t>Y</t>
        </is>
      </c>
      <c r="BA122" s="118" t="inlineStr">
        <is>
          <t>2026-10-13 12:12:17</t>
        </is>
      </c>
      <c r="BB122" s="120" t="inlineStr">
        <is>
          <t>Prime Exclusive Discount</t>
        </is>
      </c>
      <c r="BC122" s="120" t="inlineStr">
        <is>
          <t>11-26 to 12-01</t>
        </is>
      </c>
      <c r="BD122" s="121" t="n">
        <v>74.98999999999999</v>
      </c>
      <c r="BE122" s="121" t="n">
        <v>56.99</v>
      </c>
      <c r="BF122" s="110">
        <f>IF(AND(ISNUMBER(BD122),ISNUMBER(BE122),N(BD122)&gt;0),1-BE122/BD122,"")</f>
        <v/>
      </c>
      <c r="BG122" s="122" t="n">
        <v>28107</v>
      </c>
      <c r="BH122" s="122" t="n">
        <v>38468</v>
      </c>
      <c r="BI122" s="123">
        <f>IF(AND(ISNUMBER(BG122),ISNUMBER(BH122),N(BH122)&gt;0),BG122/BH122,"")</f>
        <v/>
      </c>
      <c r="BJ122" s="120" t="inlineStr">
        <is>
          <t>N</t>
        </is>
      </c>
      <c r="BK122" s="120" t="inlineStr">
        <is>
          <t>Coupon 18.00 USD, 20% (11-01 to 11-12); List Price $74.99</t>
        </is>
      </c>
    </row>
    <row r="123" ht="62" customHeight="1">
      <c r="A123" s="12">
        <f>_xlfn.IMAGE("https://m.media-amazon.com/images/I/81J0Hfk9XiL._AC_SL1500_.jpg")</f>
        <v/>
      </c>
      <c r="B123" s="105" t="inlineStr">
        <is>
          <t>TWK</t>
        </is>
      </c>
      <c r="C123" s="39" t="inlineStr">
        <is>
          <t>TWK Real 100% Viscose Derived from Bamboo Sheets Set Queen Size, Cooling &amp; Silky</t>
        </is>
      </c>
      <c r="D123" s="105" t="inlineStr">
        <is>
          <t>Untiered</t>
        </is>
      </c>
      <c r="E123" s="128" t="inlineStr">
        <is>
          <t>Alternative material</t>
        </is>
      </c>
      <c r="F123" s="105" t="inlineStr">
        <is>
          <t>Bamboo viscose</t>
        </is>
      </c>
      <c r="G123" s="39" t="inlineStr">
        <is>
          <t>Sheet set in Bamboo viscose (product page material: Genuine 100% Viscose Derived from Bamboo); ours is Synthetic cooling knit (product spec: CooLoom, 90% nylon / 10% spandex). Shopper may cross-shop, but not like-for-like.</t>
        </is>
      </c>
      <c r="H123" s="107" t="inlineStr">
        <is>
          <t>B0HHQG3RSW</t>
        </is>
      </c>
      <c r="I123" s="107" t="inlineStr">
        <is>
          <t>B0G1N8QS55</t>
        </is>
      </c>
      <c r="J123" s="105" t="inlineStr">
        <is>
          <t>Queen</t>
        </is>
      </c>
      <c r="K123" s="105" t="inlineStr">
        <is>
          <t>Sand</t>
        </is>
      </c>
      <c r="L123" s="108" t="n"/>
      <c r="M123" s="39" t="inlineStr"/>
      <c r="N123" s="109" t="n">
        <v>65</v>
      </c>
      <c r="O123" s="109" t="n">
        <v>79</v>
      </c>
      <c r="P123" s="110">
        <f>IF(AND(ISNUMBER(O123),ISNUMBER(N123),N(N123)&gt;0),O123/N123-1,"")</f>
        <v/>
      </c>
      <c r="Q123" s="111">
        <f>IF(P123="","No List Price",IF(P123&lt;=0,"At/below price",IF(P123&lt;=0.12,"&lt;=12% STR zone",IF(P123&lt;=0.25,"12-25%","&gt;25% over"))))</f>
        <v/>
      </c>
      <c r="R123" s="109" t="n">
        <v>87.98999999999999</v>
      </c>
      <c r="S123" s="112">
        <f>IF(AND(ISNUMBER(N123),ISNUMBER(R123),N(R123)&gt;0),N123/R123-1,"")</f>
        <v/>
      </c>
      <c r="T123" s="39" t="inlineStr">
        <is>
          <t>Same size (Queen). Ours live: launch price, live Oct 15, 2026; 12 children</t>
        </is>
      </c>
      <c r="U123" s="108" t="n">
        <v>196488</v>
      </c>
      <c r="V123" s="108" t="n">
        <v>18</v>
      </c>
      <c r="W123" s="113">
        <f>IF(AND(ISNUMBER(N123),ISNUMBER(V123)),N123*V123*52/12,"")</f>
        <v/>
      </c>
      <c r="X123" s="114" t="n">
        <v>4.9</v>
      </c>
      <c r="Y123" s="108" t="n">
        <v>121</v>
      </c>
      <c r="Z123" s="115" t="n">
        <v>46307</v>
      </c>
      <c r="AA123" s="115" t="n"/>
      <c r="AB123" s="105" t="n"/>
      <c r="AC123" s="105" t="n"/>
      <c r="AD123" s="108" t="n">
        <v>82471</v>
      </c>
      <c r="AE123" s="108" t="n">
        <v>905</v>
      </c>
      <c r="AF123" s="116" t="n"/>
      <c r="AG123" s="116" t="n"/>
      <c r="AH123" s="39" t="n"/>
      <c r="AI123" s="116" t="n"/>
      <c r="AJ123" s="116" t="n"/>
      <c r="AK123" s="116" t="n"/>
      <c r="AL123" s="116" t="n"/>
      <c r="AM123" s="108" t="n"/>
      <c r="AN123" s="108" t="n"/>
      <c r="AO123" s="108" t="n"/>
      <c r="AP123" s="108" t="n"/>
      <c r="AQ123" s="108" t="n"/>
      <c r="AR123" s="108" t="n"/>
      <c r="AS123" s="117" t="n"/>
      <c r="AT123" s="112" t="n"/>
      <c r="AU123" s="118" t="inlineStr">
        <is>
          <t>Y</t>
        </is>
      </c>
      <c r="AV123" s="118" t="inlineStr">
        <is>
          <t>Typical price</t>
        </is>
      </c>
      <c r="AW123" s="119" t="n">
        <v>79</v>
      </c>
      <c r="AX123" s="119" t="n">
        <v>65</v>
      </c>
      <c r="AY123" s="118" t="inlineStr">
        <is>
          <t>none</t>
        </is>
      </c>
      <c r="AZ123" s="118" t="inlineStr">
        <is>
          <t>Y</t>
        </is>
      </c>
      <c r="BA123" s="118" t="inlineStr">
        <is>
          <t>2026-10-13 12:11:35</t>
        </is>
      </c>
      <c r="BB123" s="120" t="inlineStr">
        <is>
          <t>Not live in 2025</t>
        </is>
      </c>
      <c r="BC123" s="125" t="n"/>
      <c r="BD123" s="124" t="n"/>
      <c r="BE123" s="124" t="n"/>
      <c r="BF123" s="110">
        <f>IF(AND(ISNUMBER(BD123),ISNUMBER(BE123),N(BD123)&gt;0),1-BE123/BD123,"")</f>
        <v/>
      </c>
      <c r="BG123" s="126" t="n"/>
      <c r="BH123" s="126" t="n"/>
      <c r="BI123" s="123">
        <f>IF(AND(ISNUMBER(BG123),ISNUMBER(BH123),N(BH123)&gt;0),BG123/BH123,"")</f>
        <v/>
      </c>
      <c r="BJ123" s="125" t="n"/>
      <c r="BK123" s="125" t="n"/>
    </row>
    <row r="124" ht="62" customHeight="1">
      <c r="A124" s="12">
        <f>_xlfn.IMAGE("https://m.media-amazon.com/images/I/71F9T6wfwRL._AC_SL1500_.jpg")</f>
        <v/>
      </c>
      <c r="B124" s="105" t="inlineStr">
        <is>
          <t>Pillcase</t>
        </is>
      </c>
      <c r="C124" s="39" t="inlineStr">
        <is>
          <t>100% Real Bamboo Viscose &amp; Lyocell Tencel Sheets Set Queen Size | Breathable &amp; C</t>
        </is>
      </c>
      <c r="D124" s="105" t="inlineStr">
        <is>
          <t>Untiered</t>
        </is>
      </c>
      <c r="E124" s="128" t="inlineStr">
        <is>
          <t>Alternative material</t>
        </is>
      </c>
      <c r="F124" s="105" t="inlineStr">
        <is>
          <t>Microfiber / polyester</t>
        </is>
      </c>
      <c r="G124" s="39" t="inlineStr">
        <is>
          <t>Sheet set in Microfiber / polyester (product page material: Microfiber); ours is Synthetic cooling knit (product spec: CooLoom, 90% nylon / 10% spandex). Shopper may cross-shop, but not like-for-like.</t>
        </is>
      </c>
      <c r="H124" s="107" t="inlineStr">
        <is>
          <t>B0HK71WHZW</t>
        </is>
      </c>
      <c r="I124" s="107" t="inlineStr">
        <is>
          <t>B0H1BWY4MD</t>
        </is>
      </c>
      <c r="J124" s="105" t="inlineStr">
        <is>
          <t>Queen</t>
        </is>
      </c>
      <c r="K124" s="105" t="inlineStr">
        <is>
          <t>Charcoal</t>
        </is>
      </c>
      <c r="L124" s="108" t="n"/>
      <c r="M124" s="39" t="inlineStr"/>
      <c r="N124" s="109" t="n">
        <v>79</v>
      </c>
      <c r="O124" s="109" t="n"/>
      <c r="P124" s="110">
        <f>IF(AND(ISNUMBER(O124),ISNUMBER(N124),N(N124)&gt;0),O124/N124-1,"")</f>
        <v/>
      </c>
      <c r="Q124" s="111">
        <f>IF(P124="","No List Price",IF(P124&lt;=0,"At/below price",IF(P124&lt;=0.12,"&lt;=12% STR zone",IF(P124&lt;=0.25,"12-25%","&gt;25% over"))))</f>
        <v/>
      </c>
      <c r="R124" s="109" t="n">
        <v>87.98999999999999</v>
      </c>
      <c r="S124" s="112">
        <f>IF(AND(ISNUMBER(N124),ISNUMBER(R124),N(R124)&gt;0),N124/R124-1,"")</f>
        <v/>
      </c>
      <c r="T124" s="39" t="inlineStr">
        <is>
          <t>Same size (Queen). Ours live: launch price, live Oct 15, 2026; 12 children</t>
        </is>
      </c>
      <c r="U124" s="108" t="n">
        <v>38116</v>
      </c>
      <c r="V124" s="108" t="n">
        <v>18</v>
      </c>
      <c r="W124" s="113">
        <f>IF(AND(ISNUMBER(N124),ISNUMBER(V124)),N124*V124*52/12,"")</f>
        <v/>
      </c>
      <c r="X124" s="114" t="n">
        <v>4.9</v>
      </c>
      <c r="Y124" s="108" t="n">
        <v>201</v>
      </c>
      <c r="Z124" s="115" t="n">
        <v>46307</v>
      </c>
      <c r="AA124" s="115" t="n"/>
      <c r="AB124" s="105" t="n"/>
      <c r="AC124" s="105" t="n"/>
      <c r="AD124" s="108" t="n">
        <v>116001</v>
      </c>
      <c r="AE124" s="108" t="n">
        <v>1002</v>
      </c>
      <c r="AF124" s="116" t="n"/>
      <c r="AG124" s="116" t="n"/>
      <c r="AH124" s="39" t="n"/>
      <c r="AI124" s="116" t="n"/>
      <c r="AJ124" s="116" t="n"/>
      <c r="AK124" s="116" t="n"/>
      <c r="AL124" s="116" t="n"/>
      <c r="AM124" s="108" t="n"/>
      <c r="AN124" s="108" t="n"/>
      <c r="AO124" s="108" t="n"/>
      <c r="AP124" s="108" t="n"/>
      <c r="AQ124" s="108" t="n"/>
      <c r="AR124" s="108" t="n"/>
      <c r="AS124" s="117" t="n"/>
      <c r="AT124" s="112" t="n"/>
      <c r="AU124" s="118" t="inlineStr">
        <is>
          <t>Y</t>
        </is>
      </c>
      <c r="AV124" s="118" t="inlineStr">
        <is>
          <t>List Price</t>
        </is>
      </c>
      <c r="AW124" s="119" t="n">
        <v>99</v>
      </c>
      <c r="AX124" s="119" t="n">
        <v>79</v>
      </c>
      <c r="AY124" s="118" t="inlineStr">
        <is>
          <t>none</t>
        </is>
      </c>
      <c r="AZ124" s="118" t="inlineStr">
        <is>
          <t>Y</t>
        </is>
      </c>
      <c r="BA124" s="118" t="inlineStr">
        <is>
          <t>2026-10-13 12:11:10</t>
        </is>
      </c>
      <c r="BB124" s="120" t="inlineStr">
        <is>
          <t>Not live in 2025</t>
        </is>
      </c>
      <c r="BC124" s="125" t="n"/>
      <c r="BD124" s="124" t="n"/>
      <c r="BE124" s="124" t="n"/>
      <c r="BF124" s="110">
        <f>IF(AND(ISNUMBER(BD124),ISNUMBER(BE124),N(BD124)&gt;0),1-BE124/BD124,"")</f>
        <v/>
      </c>
      <c r="BG124" s="126" t="n"/>
      <c r="BH124" s="126" t="n"/>
      <c r="BI124" s="123">
        <f>IF(AND(ISNUMBER(BG124),ISNUMBER(BH124),N(BH124)&gt;0),BG124/BH124,"")</f>
        <v/>
      </c>
      <c r="BJ124" s="125" t="n"/>
      <c r="BK124" s="125" t="n"/>
    </row>
    <row r="125" ht="62" customHeight="1">
      <c r="A125" s="12">
        <f>_xlfn.IMAGE("https://m.media-amazon.com/images/I/71MnWA4xzHL._AC_SL1500_.jpg")</f>
        <v/>
      </c>
      <c r="B125" s="105" t="inlineStr">
        <is>
          <t>California Design Den</t>
        </is>
      </c>
      <c r="C125" s="39" t="inlineStr">
        <is>
          <t>California Design Den 100% Viscose from Bamboo Sheets Queen, Dark Olive</t>
        </is>
      </c>
      <c r="D125" s="105" t="inlineStr">
        <is>
          <t>Untiered</t>
        </is>
      </c>
      <c r="E125" s="128" t="inlineStr">
        <is>
          <t>Alternative material</t>
        </is>
      </c>
      <c r="F125" s="105" t="inlineStr">
        <is>
          <t>Bamboo viscose</t>
        </is>
      </c>
      <c r="G125" s="39" t="inlineStr">
        <is>
          <t>Sheet set in Bamboo viscose (product page material: Viscose Derived from Bamboo); ours is Synthetic cooling knit (product spec: CooLoom, 90% nylon / 10% spandex). Shopper may cross-shop, but not like-for-like.</t>
        </is>
      </c>
      <c r="H125" s="107" t="inlineStr">
        <is>
          <t>B0HFBJPD56</t>
        </is>
      </c>
      <c r="I125" s="107" t="inlineStr">
        <is>
          <t>B0GWHPJ9SD</t>
        </is>
      </c>
      <c r="J125" s="105" t="inlineStr">
        <is>
          <t>Queen</t>
        </is>
      </c>
      <c r="K125" s="105" t="inlineStr">
        <is>
          <t>Bright White</t>
        </is>
      </c>
      <c r="L125" s="108" t="n"/>
      <c r="M125" s="39" t="inlineStr"/>
      <c r="N125" s="109" t="n">
        <v>89.98999999999999</v>
      </c>
      <c r="O125" s="109" t="n"/>
      <c r="P125" s="110">
        <f>IF(AND(ISNUMBER(O125),ISNUMBER(N125),N(N125)&gt;0),O125/N125-1,"")</f>
        <v/>
      </c>
      <c r="Q125" s="111">
        <f>IF(P125="","No List Price",IF(P125&lt;=0,"At/below price",IF(P125&lt;=0.12,"&lt;=12% STR zone",IF(P125&lt;=0.25,"12-25%","&gt;25% over"))))</f>
        <v/>
      </c>
      <c r="R125" s="109" t="n">
        <v>87.98999999999999</v>
      </c>
      <c r="S125" s="112">
        <f>IF(AND(ISNUMBER(N125),ISNUMBER(R125),N(R125)&gt;0),N125/R125-1,"")</f>
        <v/>
      </c>
      <c r="T125" s="39" t="inlineStr">
        <is>
          <t>Same size (Queen). Ours live: launch price, live Oct 15, 2026; 12 children</t>
        </is>
      </c>
      <c r="U125" s="108" t="n">
        <v>21237</v>
      </c>
      <c r="V125" s="108" t="n">
        <v>18</v>
      </c>
      <c r="W125" s="113">
        <f>IF(AND(ISNUMBER(N125),ISNUMBER(V125)),N125*V125*52/12,"")</f>
        <v/>
      </c>
      <c r="X125" s="114" t="n">
        <v>4.6</v>
      </c>
      <c r="Y125" s="108" t="n">
        <v>76</v>
      </c>
      <c r="Z125" s="115" t="n">
        <v>46307</v>
      </c>
      <c r="AA125" s="115" t="n"/>
      <c r="AB125" s="105" t="n"/>
      <c r="AC125" s="105" t="n"/>
      <c r="AD125" s="108" t="n">
        <v>103642</v>
      </c>
      <c r="AE125" s="108" t="n">
        <v>2019</v>
      </c>
      <c r="AF125" s="116" t="n"/>
      <c r="AG125" s="116" t="n"/>
      <c r="AH125" s="39" t="n"/>
      <c r="AI125" s="116" t="n"/>
      <c r="AJ125" s="116" t="n"/>
      <c r="AK125" s="116" t="n"/>
      <c r="AL125" s="116" t="n"/>
      <c r="AM125" s="108" t="n"/>
      <c r="AN125" s="108" t="n"/>
      <c r="AO125" s="108" t="n"/>
      <c r="AP125" s="108" t="n"/>
      <c r="AQ125" s="108" t="n"/>
      <c r="AR125" s="108" t="n"/>
      <c r="AS125" s="117" t="n"/>
      <c r="AT125" s="112" t="n"/>
      <c r="AU125" s="118" t="inlineStr">
        <is>
          <t>N</t>
        </is>
      </c>
      <c r="AV125" s="118" t="inlineStr">
        <is>
          <t>none</t>
        </is>
      </c>
      <c r="AW125" s="124" t="n"/>
      <c r="AX125" s="119" t="n">
        <v>89.98999999999999</v>
      </c>
      <c r="AY125" s="118" t="inlineStr">
        <is>
          <t>none</t>
        </is>
      </c>
      <c r="AZ125" s="118" t="inlineStr">
        <is>
          <t>Y</t>
        </is>
      </c>
      <c r="BA125" s="118" t="inlineStr">
        <is>
          <t>2026-10-13 12:10:41</t>
        </is>
      </c>
      <c r="BB125" s="120" t="inlineStr">
        <is>
          <t>Not live in 2025</t>
        </is>
      </c>
      <c r="BC125" s="125" t="n"/>
      <c r="BD125" s="124" t="n"/>
      <c r="BE125" s="124" t="n"/>
      <c r="BF125" s="110">
        <f>IF(AND(ISNUMBER(BD125),ISNUMBER(BE125),N(BD125)&gt;0),1-BE125/BD125,"")</f>
        <v/>
      </c>
      <c r="BG125" s="126" t="n"/>
      <c r="BH125" s="126" t="n"/>
      <c r="BI125" s="123">
        <f>IF(AND(ISNUMBER(BG125),ISNUMBER(BH125),N(BH125)&gt;0),BG125/BH125,"")</f>
        <v/>
      </c>
      <c r="BJ125" s="125" t="n"/>
      <c r="BK125" s="125" t="n"/>
    </row>
    <row r="126" ht="62" customHeight="1">
      <c r="A126" s="12">
        <f>_xlfn.IMAGE("https://m.media-amazon.com/images/I/818EX2hLSoL._AC_SL1500_.jpg")</f>
        <v/>
      </c>
      <c r="B126" s="105" t="inlineStr">
        <is>
          <t>OMERAI</t>
        </is>
      </c>
      <c r="C126" s="39" t="inlineStr">
        <is>
          <t>Cooling Sheets</t>
        </is>
      </c>
      <c r="D126" s="105" t="inlineStr">
        <is>
          <t>Untiered</t>
        </is>
      </c>
      <c r="E126" s="128" t="inlineStr">
        <is>
          <t>Alternative material</t>
        </is>
      </c>
      <c r="F126" s="105" t="inlineStr">
        <is>
          <t>Microfiber / polyester</t>
        </is>
      </c>
      <c r="G126" s="39" t="inlineStr">
        <is>
          <t>Sheet set in Microfiber / polyester (product page material: Microfiber); ours is Synthetic cooling knit (product spec: CooLoom, 90% nylon / 10% spandex). Shopper may cross-shop, but not like-for-like.</t>
        </is>
      </c>
      <c r="H126" s="107" t="inlineStr">
        <is>
          <t>B0HDC7BMTC</t>
        </is>
      </c>
      <c r="I126" s="107" t="inlineStr">
        <is>
          <t>B0FX8K1CG9</t>
        </is>
      </c>
      <c r="J126" s="105" t="inlineStr">
        <is>
          <t>King 4 PC</t>
        </is>
      </c>
      <c r="K126" s="105" t="inlineStr">
        <is>
          <t>Blue</t>
        </is>
      </c>
      <c r="L126" s="108" t="n">
        <v>10</v>
      </c>
      <c r="M126" s="39" t="inlineStr">
        <is>
          <t>B0BM9K24ST (46%), B0BM9GLKYV (43%)</t>
        </is>
      </c>
      <c r="N126" s="109" t="n">
        <v>42.99</v>
      </c>
      <c r="O126" s="109" t="n">
        <v>59.99</v>
      </c>
      <c r="P126" s="110">
        <f>IF(AND(ISNUMBER(O126),ISNUMBER(N126),N(N126)&gt;0),O126/N126-1,"")</f>
        <v/>
      </c>
      <c r="Q126" s="111">
        <f>IF(P126="","No List Price",IF(P126&lt;=0,"At/below price",IF(P126&lt;=0.12,"&lt;=12% STR zone",IF(P126&lt;=0.25,"12-25%","&gt;25% over"))))</f>
        <v/>
      </c>
      <c r="R126" s="109" t="n">
        <v>93.98999999999999</v>
      </c>
      <c r="S126" s="112">
        <f>IF(AND(ISNUMBER(N126),ISNUMBER(R126),N(R126)&gt;0),N126/R126-1,"")</f>
        <v/>
      </c>
      <c r="T126" s="39" t="inlineStr">
        <is>
          <t>Same size (King). Ours live: launch price, live Oct 15, 2026; 12 children</t>
        </is>
      </c>
      <c r="U126" s="108" t="n">
        <v>115669</v>
      </c>
      <c r="V126" s="108" t="n">
        <v>5</v>
      </c>
      <c r="W126" s="113">
        <f>IF(AND(ISNUMBER(N126),ISNUMBER(V126)),N126*V126*52/12,"")</f>
        <v/>
      </c>
      <c r="X126" s="114" t="n">
        <v>4.7</v>
      </c>
      <c r="Y126" s="108" t="n">
        <v>4</v>
      </c>
      <c r="Z126" s="115" t="n">
        <v>46307</v>
      </c>
      <c r="AA126" s="115" t="n"/>
      <c r="AB126" s="105" t="n"/>
      <c r="AC126" s="105" t="n"/>
      <c r="AD126" s="108" t="n">
        <v>13712</v>
      </c>
      <c r="AE126" s="108" t="n">
        <v>332</v>
      </c>
      <c r="AF126" s="116" t="n">
        <v>0.8852072199533255</v>
      </c>
      <c r="AG126" s="116" t="n">
        <v>0.1147927800466745</v>
      </c>
      <c r="AH126" s="39" t="inlineStr">
        <is>
          <t>cooling sheets queen</t>
        </is>
      </c>
      <c r="AI126" s="116" t="n">
        <v>0.8668319719953326</v>
      </c>
      <c r="AJ126" s="116" t="n"/>
      <c r="AK126" s="116" t="n"/>
      <c r="AL126" s="116" t="n"/>
      <c r="AM126" s="108" t="n"/>
      <c r="AN126" s="108" t="n"/>
      <c r="AO126" s="108" t="n"/>
      <c r="AP126" s="108" t="n"/>
      <c r="AQ126" s="108" t="n"/>
      <c r="AR126" s="108" t="n"/>
      <c r="AS126" s="117" t="n"/>
      <c r="AT126" s="112" t="n"/>
      <c r="AU126" s="118" t="inlineStr">
        <is>
          <t>Y</t>
        </is>
      </c>
      <c r="AV126" s="118" t="inlineStr">
        <is>
          <t>List Price</t>
        </is>
      </c>
      <c r="AW126" s="119" t="n">
        <v>59.99</v>
      </c>
      <c r="AX126" s="119" t="n">
        <v>42.99</v>
      </c>
      <c r="AY126" s="118" t="inlineStr">
        <is>
          <t>coupon 20%</t>
        </is>
      </c>
      <c r="AZ126" s="118" t="inlineStr">
        <is>
          <t>Y</t>
        </is>
      </c>
      <c r="BA126" s="118" t="inlineStr">
        <is>
          <t>2026-10-13 12:12:04</t>
        </is>
      </c>
      <c r="BB126" s="120" t="inlineStr">
        <is>
          <t>Not live in 2025</t>
        </is>
      </c>
      <c r="BC126" s="125" t="n"/>
      <c r="BD126" s="124" t="n"/>
      <c r="BE126" s="124" t="n"/>
      <c r="BF126" s="110">
        <f>IF(AND(ISNUMBER(BD126),ISNUMBER(BE126),N(BD126)&gt;0),1-BE126/BD126,"")</f>
        <v/>
      </c>
      <c r="BG126" s="126" t="n"/>
      <c r="BH126" s="126" t="n"/>
      <c r="BI126" s="123">
        <f>IF(AND(ISNUMBER(BG126),ISNUMBER(BH126),N(BH126)&gt;0),BG126/BH126,"")</f>
        <v/>
      </c>
      <c r="BJ126" s="125" t="n"/>
      <c r="BK126" s="125" t="n"/>
    </row>
    <row r="127" ht="62" customHeight="1">
      <c r="A127" s="12">
        <f>_xlfn.IMAGE("https://images-na.ssl-images-amazon.com/images/I/71+O+E9PlaL.jpg")</f>
        <v/>
      </c>
      <c r="B127" s="105" t="inlineStr">
        <is>
          <t>Shilucheng</t>
        </is>
      </c>
      <c r="C127" s="39" t="inlineStr">
        <is>
          <t>Shilucheng 100% Viscose Derived from Bamboo_ Sheets King Size 4pcs</t>
        </is>
      </c>
      <c r="D127" s="105" t="inlineStr">
        <is>
          <t>Untiered</t>
        </is>
      </c>
      <c r="E127" s="128" t="inlineStr">
        <is>
          <t>Alternative material</t>
        </is>
      </c>
      <c r="F127" s="105" t="inlineStr">
        <is>
          <t>Bamboo viscose</t>
        </is>
      </c>
      <c r="G127" s="39" t="inlineStr">
        <is>
          <t>Sheet set in Bamboo viscose (product page material: Viscose Derived from Bamboo); ours is Synthetic cooling knit (product spec: CooLoom, 90% nylon / 10% spandex). Shopper may cross-shop, but not like-for-like.</t>
        </is>
      </c>
      <c r="H127" s="107" t="inlineStr">
        <is>
          <t>B0HK5V5KL1</t>
        </is>
      </c>
      <c r="I127" s="107" t="inlineStr">
        <is>
          <t>B09PYQ2VQL</t>
        </is>
      </c>
      <c r="J127" s="105" t="inlineStr">
        <is>
          <t>King</t>
        </is>
      </c>
      <c r="K127" s="105" t="inlineStr">
        <is>
          <t>01 - Dark Grey</t>
        </is>
      </c>
      <c r="L127" s="108" t="n">
        <v>79</v>
      </c>
      <c r="M127" s="39" t="inlineStr"/>
      <c r="N127" s="109" t="n">
        <v>54.9</v>
      </c>
      <c r="O127" s="109" t="n">
        <v>64.90000000000001</v>
      </c>
      <c r="P127" s="110">
        <f>IF(AND(ISNUMBER(O127),ISNUMBER(N127),N(N127)&gt;0),O127/N127-1,"")</f>
        <v/>
      </c>
      <c r="Q127" s="111">
        <f>IF(P127="","No List Price",IF(P127&lt;=0,"At/below price",IF(P127&lt;=0.12,"&lt;=12% STR zone",IF(P127&lt;=0.25,"12-25%","&gt;25% over"))))</f>
        <v/>
      </c>
      <c r="R127" s="109" t="n">
        <v>93.98999999999999</v>
      </c>
      <c r="S127" s="112">
        <f>IF(AND(ISNUMBER(N127),ISNUMBER(R127),N(R127)&gt;0),N127/R127-1,"")</f>
        <v/>
      </c>
      <c r="T127" s="39" t="inlineStr">
        <is>
          <t>Same size (King). Ours live: launch price, live Oct 15, 2026; 12 children</t>
        </is>
      </c>
      <c r="U127" s="108" t="n">
        <v>26044</v>
      </c>
      <c r="V127" s="108" t="n">
        <v>5</v>
      </c>
      <c r="W127" s="113">
        <f>IF(AND(ISNUMBER(N127),ISNUMBER(V127)),N127*V127*52/12,"")</f>
        <v/>
      </c>
      <c r="X127" s="114" t="n">
        <v>4.4</v>
      </c>
      <c r="Y127" s="108" t="n">
        <v>6629</v>
      </c>
      <c r="Z127" s="115" t="n">
        <v>46307</v>
      </c>
      <c r="AA127" s="115" t="n">
        <v>44654</v>
      </c>
      <c r="AB127" s="105" t="inlineStr">
        <is>
          <t>FBA</t>
        </is>
      </c>
      <c r="AC127" s="105" t="inlineStr">
        <is>
          <t>CN</t>
        </is>
      </c>
      <c r="AD127" s="108" t="n">
        <v>55207</v>
      </c>
      <c r="AE127" s="108" t="n">
        <v>914</v>
      </c>
      <c r="AF127" s="116" t="n"/>
      <c r="AG127" s="116" t="n"/>
      <c r="AH127" s="39" t="n"/>
      <c r="AI127" s="116" t="n"/>
      <c r="AJ127" s="116" t="n"/>
      <c r="AK127" s="116" t="n"/>
      <c r="AL127" s="116" t="n"/>
      <c r="AM127" s="108" t="n"/>
      <c r="AN127" s="108" t="n"/>
      <c r="AO127" s="108" t="n"/>
      <c r="AP127" s="108" t="n"/>
      <c r="AQ127" s="108" t="n"/>
      <c r="AR127" s="108" t="n"/>
      <c r="AS127" s="117" t="n"/>
      <c r="AT127" s="112" t="n"/>
      <c r="AU127" s="118" t="inlineStr">
        <is>
          <t>Y</t>
        </is>
      </c>
      <c r="AV127" s="118" t="inlineStr">
        <is>
          <t>List Price</t>
        </is>
      </c>
      <c r="AW127" s="119" t="n">
        <v>64.90000000000001</v>
      </c>
      <c r="AX127" s="119" t="n">
        <v>54.9</v>
      </c>
      <c r="AY127" s="118" t="inlineStr">
        <is>
          <t>Limited time deal</t>
        </is>
      </c>
      <c r="AZ127" s="118" t="inlineStr">
        <is>
          <t>Y</t>
        </is>
      </c>
      <c r="BA127" s="118" t="inlineStr">
        <is>
          <t>2026-10-13 12:12:20</t>
        </is>
      </c>
      <c r="BB127" s="120" t="inlineStr">
        <is>
          <t>Prime Exclusive Discount</t>
        </is>
      </c>
      <c r="BC127" s="120" t="inlineStr">
        <is>
          <t>11-24 to 12-01</t>
        </is>
      </c>
      <c r="BD127" s="121" t="n">
        <v>64.90000000000001</v>
      </c>
      <c r="BE127" s="121" t="n">
        <v>55.12</v>
      </c>
      <c r="BF127" s="110">
        <f>IF(AND(ISNUMBER(BD127),ISNUMBER(BE127),N(BD127)&gt;0),1-BE127/BD127,"")</f>
        <v/>
      </c>
      <c r="BG127" s="122" t="n">
        <v>15950</v>
      </c>
      <c r="BH127" s="122" t="n">
        <v>18592</v>
      </c>
      <c r="BI127" s="123">
        <f>IF(AND(ISNUMBER(BG127),ISNUMBER(BH127),N(BH127)&gt;0),BG127/BH127,"")</f>
        <v/>
      </c>
      <c r="BJ127" s="120" t="inlineStr">
        <is>
          <t>N</t>
        </is>
      </c>
      <c r="BK127" s="120" t="inlineStr">
        <is>
          <t>Buy Box RAISED in BFCM week (median $68.90 vs $64.90 before); List Price $69.90</t>
        </is>
      </c>
    </row>
    <row r="128" ht="62" customHeight="1">
      <c r="A128" s="12">
        <f>_xlfn.IMAGE("https://m.media-amazon.com/images/I/61mi8zwd8GL._AC_SL1500_.jpg")</f>
        <v/>
      </c>
      <c r="B128" s="105" t="inlineStr">
        <is>
          <t>Pillcase</t>
        </is>
      </c>
      <c r="C128" s="39" t="inlineStr">
        <is>
          <t>Cooling Hotel Bedding Sheet Set - 4pcs Bamboo Viscose &amp; Tencel Blend, Moisture-W</t>
        </is>
      </c>
      <c r="D128" s="105" t="inlineStr">
        <is>
          <t>Untiered</t>
        </is>
      </c>
      <c r="E128" s="128" t="inlineStr">
        <is>
          <t>Alternative material</t>
        </is>
      </c>
      <c r="F128" s="105" t="inlineStr">
        <is>
          <t>Microfiber / polyester</t>
        </is>
      </c>
      <c r="G128" s="39" t="inlineStr">
        <is>
          <t>Sheet set in Microfiber / polyester (product page material: Microfiber); ours is Synthetic cooling knit (product spec: CooLoom, 90% nylon / 10% spandex). Shopper may cross-shop, but not like-for-like.</t>
        </is>
      </c>
      <c r="H128" s="107" t="inlineStr">
        <is>
          <t>B0HJYG8V9Q</t>
        </is>
      </c>
      <c r="I128" s="107" t="inlineStr">
        <is>
          <t>B0HJYG8V9Q</t>
        </is>
      </c>
      <c r="J128" s="105" t="inlineStr">
        <is>
          <t>King</t>
        </is>
      </c>
      <c r="K128" s="105" t="inlineStr">
        <is>
          <t>Pearl White</t>
        </is>
      </c>
      <c r="L128" s="108" t="n"/>
      <c r="M128" s="39" t="inlineStr"/>
      <c r="N128" s="109" t="n">
        <v>79.98999999999999</v>
      </c>
      <c r="O128" s="109" t="n"/>
      <c r="P128" s="110">
        <f>IF(AND(ISNUMBER(O128),ISNUMBER(N128),N(N128)&gt;0),O128/N128-1,"")</f>
        <v/>
      </c>
      <c r="Q128" s="111">
        <f>IF(P128="","No List Price",IF(P128&lt;=0,"At/below price",IF(P128&lt;=0.12,"&lt;=12% STR zone",IF(P128&lt;=0.25,"12-25%","&gt;25% over"))))</f>
        <v/>
      </c>
      <c r="R128" s="109" t="n">
        <v>93.98999999999999</v>
      </c>
      <c r="S128" s="112">
        <f>IF(AND(ISNUMBER(N128),ISNUMBER(R128),N(R128)&gt;0),N128/R128-1,"")</f>
        <v/>
      </c>
      <c r="T128" s="39" t="inlineStr">
        <is>
          <t>Same size (King). Ours live: launch price, live Oct 15, 2026; 12 children</t>
        </is>
      </c>
      <c r="U128" s="108" t="n">
        <v>762451</v>
      </c>
      <c r="V128" s="108" t="n">
        <v>5</v>
      </c>
      <c r="W128" s="113">
        <f>IF(AND(ISNUMBER(N128),ISNUMBER(V128)),N128*V128*52/12,"")</f>
        <v/>
      </c>
      <c r="X128" s="114" t="n">
        <v>4</v>
      </c>
      <c r="Y128" s="108" t="n"/>
      <c r="Z128" s="115" t="n">
        <v>46307</v>
      </c>
      <c r="AA128" s="115" t="n"/>
      <c r="AB128" s="105" t="n"/>
      <c r="AC128" s="105" t="n"/>
      <c r="AD128" s="108" t="n">
        <v>57075</v>
      </c>
      <c r="AE128" s="108" t="n">
        <v>90</v>
      </c>
      <c r="AF128" s="116" t="n"/>
      <c r="AG128" s="116" t="n"/>
      <c r="AH128" s="39" t="n"/>
      <c r="AI128" s="116" t="n"/>
      <c r="AJ128" s="116" t="n"/>
      <c r="AK128" s="116" t="n"/>
      <c r="AL128" s="116" t="n"/>
      <c r="AM128" s="108" t="n"/>
      <c r="AN128" s="108" t="n"/>
      <c r="AO128" s="108" t="n"/>
      <c r="AP128" s="108" t="n"/>
      <c r="AQ128" s="108" t="n"/>
      <c r="AR128" s="108" t="n"/>
      <c r="AS128" s="117" t="n"/>
      <c r="AT128" s="112" t="n"/>
      <c r="AU128" s="118" t="inlineStr">
        <is>
          <t>N</t>
        </is>
      </c>
      <c r="AV128" s="118" t="inlineStr">
        <is>
          <t>none</t>
        </is>
      </c>
      <c r="AW128" s="124" t="n"/>
      <c r="AX128" s="124" t="n"/>
      <c r="AY128" s="118" t="inlineStr">
        <is>
          <t>none</t>
        </is>
      </c>
      <c r="AZ128" s="118" t="inlineStr">
        <is>
          <t>N</t>
        </is>
      </c>
      <c r="BA128" s="118" t="inlineStr">
        <is>
          <t>2026-10-13 12:11:13</t>
        </is>
      </c>
      <c r="BB128" s="120" t="inlineStr">
        <is>
          <t>Not live in 2025</t>
        </is>
      </c>
      <c r="BC128" s="125" t="n"/>
      <c r="BD128" s="124" t="n"/>
      <c r="BE128" s="124" t="n"/>
      <c r="BF128" s="110">
        <f>IF(AND(ISNUMBER(BD128),ISNUMBER(BE128),N(BD128)&gt;0),1-BE128/BD128,"")</f>
        <v/>
      </c>
      <c r="BG128" s="126" t="n"/>
      <c r="BH128" s="126" t="n"/>
      <c r="BI128" s="123">
        <f>IF(AND(ISNUMBER(BG128),ISNUMBER(BH128),N(BH128)&gt;0),BG128/BH128,"")</f>
        <v/>
      </c>
      <c r="BJ128" s="125" t="n"/>
      <c r="BK128" s="125" t="n"/>
    </row>
    <row r="129" ht="62" customHeight="1">
      <c r="A129" s="12">
        <f>_xlfn.IMAGE("https://m.media-amazon.com/images/I/81j0ZgsAvbL._AC_SL1500_.jpg")</f>
        <v/>
      </c>
      <c r="B129" s="105" t="inlineStr">
        <is>
          <t>Brookstone</t>
        </is>
      </c>
      <c r="C129" s="39" t="inlineStr">
        <is>
          <t>Cooling Fitted Sheet</t>
        </is>
      </c>
      <c r="D129" s="105" t="inlineStr">
        <is>
          <t>Poor</t>
        </is>
      </c>
      <c r="E129" s="133" t="inlineStr">
        <is>
          <t>Different product type</t>
        </is>
      </c>
      <c r="F129" s="105" t="inlineStr">
        <is>
          <t>Synthetic cooling knit</t>
        </is>
      </c>
      <c r="G129" s="39" t="inlineStr">
        <is>
          <t>Sells a fitted sheet; ours is a sheet set.</t>
        </is>
      </c>
      <c r="H129" s="107" t="inlineStr">
        <is>
          <t>B0CXB579TZ</t>
        </is>
      </c>
      <c r="I129" s="107" t="inlineStr">
        <is>
          <t>B0CTKM53QJ</t>
        </is>
      </c>
      <c r="J129" s="105" t="inlineStr">
        <is>
          <t>Twin</t>
        </is>
      </c>
      <c r="K129" s="105" t="inlineStr">
        <is>
          <t>Gray</t>
        </is>
      </c>
      <c r="L129" s="108" t="n"/>
      <c r="M129" s="39" t="inlineStr"/>
      <c r="N129" s="109" t="n">
        <v>49.99</v>
      </c>
      <c r="O129" s="109" t="n"/>
      <c r="P129" s="110">
        <f>IF(AND(ISNUMBER(O129),ISNUMBER(N129),N(N129)&gt;0),O129/N129-1,"")</f>
        <v/>
      </c>
      <c r="Q129" s="111">
        <f>IF(P129="","No List Price",IF(P129&lt;=0,"At/below price",IF(P129&lt;=0.12,"&lt;=12% STR zone",IF(P129&lt;=0.25,"12-25%","&gt;25% over"))))</f>
        <v/>
      </c>
      <c r="R129" s="109" t="n">
        <v>69.98999999999999</v>
      </c>
      <c r="S129" s="112">
        <f>IF(AND(ISNUMBER(N129),ISNUMBER(R129),N(R129)&gt;0),N129/R129-1,"")</f>
        <v/>
      </c>
      <c r="T129" s="39" t="inlineStr">
        <is>
          <t>Same size (Twin). Ours live: launch price, live Oct 15, 2026; 12 children</t>
        </is>
      </c>
      <c r="U129" s="108" t="n">
        <v>501090</v>
      </c>
      <c r="V129" s="108" t="n">
        <v>5</v>
      </c>
      <c r="W129" s="113">
        <f>IF(AND(ISNUMBER(N129),ISNUMBER(V129)),N129*V129*52/12,"")</f>
        <v/>
      </c>
      <c r="X129" s="114" t="n">
        <v>4.1</v>
      </c>
      <c r="Y129" s="108" t="n">
        <v>184</v>
      </c>
      <c r="Z129" s="115" t="n">
        <v>46307</v>
      </c>
      <c r="AA129" s="115" t="n"/>
      <c r="AB129" s="105" t="n"/>
      <c r="AC129" s="105" t="n"/>
      <c r="AD129" s="108" t="n"/>
      <c r="AE129" s="108" t="n"/>
      <c r="AF129" s="116" t="n"/>
      <c r="AG129" s="116" t="n"/>
      <c r="AH129" s="39" t="n"/>
      <c r="AI129" s="116" t="n"/>
      <c r="AJ129" s="116" t="n"/>
      <c r="AK129" s="116" t="n"/>
      <c r="AL129" s="116" t="n"/>
      <c r="AM129" s="108" t="n"/>
      <c r="AN129" s="108" t="n"/>
      <c r="AO129" s="108" t="n"/>
      <c r="AP129" s="108" t="n"/>
      <c r="AQ129" s="108" t="n"/>
      <c r="AR129" s="108" t="n"/>
      <c r="AS129" s="117" t="n"/>
      <c r="AT129" s="112" t="n"/>
      <c r="AU129" s="118" t="inlineStr">
        <is>
          <t>N</t>
        </is>
      </c>
      <c r="AV129" s="118" t="inlineStr">
        <is>
          <t>none</t>
        </is>
      </c>
      <c r="AW129" s="124" t="n"/>
      <c r="AX129" s="119" t="n">
        <v>49.99</v>
      </c>
      <c r="AY129" s="118" t="inlineStr">
        <is>
          <t>none</t>
        </is>
      </c>
      <c r="AZ129" s="118" t="inlineStr">
        <is>
          <t>Y</t>
        </is>
      </c>
      <c r="BA129" s="118" t="inlineStr">
        <is>
          <t>2026-10-13 23:37:50</t>
        </is>
      </c>
      <c r="BB129" s="120" t="inlineStr">
        <is>
          <t>Prime Exclusive Discount</t>
        </is>
      </c>
      <c r="BC129" s="120" t="inlineStr">
        <is>
          <t>11-28 to 12-01</t>
        </is>
      </c>
      <c r="BD129" s="121" t="n">
        <v>49.99</v>
      </c>
      <c r="BE129" s="121" t="n">
        <v>39.99</v>
      </c>
      <c r="BF129" s="110">
        <f>IF(AND(ISNUMBER(BD129),ISNUMBER(BE129),N(BD129)&gt;0),1-BE129/BD129,"")</f>
        <v/>
      </c>
      <c r="BG129" s="122" t="n">
        <v>453218</v>
      </c>
      <c r="BH129" s="122" t="n">
        <v>431081</v>
      </c>
      <c r="BI129" s="123">
        <f>IF(AND(ISNUMBER(BG129),ISNUMBER(BH129),N(BH129)&gt;0),BG129/BH129,"")</f>
        <v/>
      </c>
      <c r="BJ129" s="120" t="inlineStr">
        <is>
          <t>N</t>
        </is>
      </c>
      <c r="BK129" s="120" t="inlineStr">
        <is>
          <t>Coupon 10% (11-11 to 11-27); List Price $49.99</t>
        </is>
      </c>
    </row>
    <row r="130" ht="62" customHeight="1">
      <c r="A130" s="12">
        <f>_xlfn.IMAGE("https://m.media-amazon.com/images/I/71RjhAXQgpL._AC_SL1500_.jpg")</f>
        <v/>
      </c>
      <c r="B130" s="105" t="inlineStr">
        <is>
          <t>Comfort Spaces</t>
        </is>
      </c>
      <c r="C130" s="39" t="inlineStr">
        <is>
          <t>Comfort Spaces Coolmax Moisture Wicking Fitted Sheet ONLY Super Soft, Fade Resis</t>
        </is>
      </c>
      <c r="D130" s="105" t="inlineStr">
        <is>
          <t>Untiered</t>
        </is>
      </c>
      <c r="E130" s="133" t="inlineStr">
        <is>
          <t>Different product type</t>
        </is>
      </c>
      <c r="F130" s="105" t="inlineStr">
        <is>
          <t>Synthetic cooling knit</t>
        </is>
      </c>
      <c r="G130" s="39" t="inlineStr">
        <is>
          <t>Sells a fitted sheet; ours is a sheet set.</t>
        </is>
      </c>
      <c r="H130" s="107" t="inlineStr">
        <is>
          <t>B0DCGL5646</t>
        </is>
      </c>
      <c r="I130" s="107" t="inlineStr">
        <is>
          <t>B09GV8SK79</t>
        </is>
      </c>
      <c r="J130" s="105" t="inlineStr">
        <is>
          <t>Queen Deep Pocket</t>
        </is>
      </c>
      <c r="K130" s="105" t="inlineStr">
        <is>
          <t>Grey</t>
        </is>
      </c>
      <c r="L130" s="108" t="n"/>
      <c r="M130" s="39" t="inlineStr"/>
      <c r="N130" s="109" t="n">
        <v>16.1</v>
      </c>
      <c r="O130" s="109" t="n"/>
      <c r="P130" s="110">
        <f>IF(AND(ISNUMBER(O130),ISNUMBER(N130),N(N130)&gt;0),O130/N130-1,"")</f>
        <v/>
      </c>
      <c r="Q130" s="111">
        <f>IF(P130="","No List Price",IF(P130&lt;=0,"At/below price",IF(P130&lt;=0.12,"&lt;=12% STR zone",IF(P130&lt;=0.25,"12-25%","&gt;25% over"))))</f>
        <v/>
      </c>
      <c r="R130" s="109" t="n">
        <v>87.98999999999999</v>
      </c>
      <c r="S130" s="112">
        <f>IF(AND(ISNUMBER(N130),ISNUMBER(R130),N(R130)&gt;0),N130/R130-1,"")</f>
        <v/>
      </c>
      <c r="T130" s="39" t="inlineStr">
        <is>
          <t>Same size (Queen). Ours live: launch price, live Oct 15, 2026; 12 children</t>
        </is>
      </c>
      <c r="U130" s="108" t="n">
        <v>6671</v>
      </c>
      <c r="V130" s="108" t="n">
        <v>185</v>
      </c>
      <c r="W130" s="113">
        <f>IF(AND(ISNUMBER(N130),ISNUMBER(V130)),N130*V130*52/12,"")</f>
        <v/>
      </c>
      <c r="X130" s="114" t="n">
        <v>4.2</v>
      </c>
      <c r="Y130" s="108" t="n">
        <v>1336</v>
      </c>
      <c r="Z130" s="115" t="n">
        <v>46307</v>
      </c>
      <c r="AA130" s="115" t="n"/>
      <c r="AB130" s="105" t="n"/>
      <c r="AC130" s="105" t="n"/>
      <c r="AD130" s="108" t="n"/>
      <c r="AE130" s="108" t="n"/>
      <c r="AF130" s="116" t="n"/>
      <c r="AG130" s="116" t="n"/>
      <c r="AH130" s="39" t="n"/>
      <c r="AI130" s="116" t="n"/>
      <c r="AJ130" s="116" t="n"/>
      <c r="AK130" s="116" t="n"/>
      <c r="AL130" s="116" t="n"/>
      <c r="AM130" s="108" t="n"/>
      <c r="AN130" s="108" t="n"/>
      <c r="AO130" s="108" t="n"/>
      <c r="AP130" s="108" t="n"/>
      <c r="AQ130" s="108" t="n"/>
      <c r="AR130" s="108" t="n"/>
      <c r="AS130" s="117" t="n"/>
      <c r="AT130" s="112" t="n"/>
      <c r="AU130" s="118" t="inlineStr">
        <is>
          <t>N</t>
        </is>
      </c>
      <c r="AV130" s="118" t="inlineStr">
        <is>
          <t>none</t>
        </is>
      </c>
      <c r="AW130" s="124" t="n"/>
      <c r="AX130" s="119" t="n">
        <v>16.01</v>
      </c>
      <c r="AY130" s="118" t="inlineStr">
        <is>
          <t>none</t>
        </is>
      </c>
      <c r="AZ130" s="118" t="inlineStr">
        <is>
          <t>Y</t>
        </is>
      </c>
      <c r="BA130" s="118" t="inlineStr">
        <is>
          <t>2026-10-13 23:37:59</t>
        </is>
      </c>
      <c r="BB130" s="120" t="inlineStr">
        <is>
          <t>Price cut only</t>
        </is>
      </c>
      <c r="BC130" s="120" t="inlineStr">
        <is>
          <t>12-01 to 12-01</t>
        </is>
      </c>
      <c r="BD130" s="121" t="n">
        <v>19.57</v>
      </c>
      <c r="BE130" s="121" t="n">
        <v>17.6</v>
      </c>
      <c r="BF130" s="110">
        <f>IF(AND(ISNUMBER(BD130),ISNUMBER(BE130),N(BD130)&gt;0),1-BE130/BD130,"")</f>
        <v/>
      </c>
      <c r="BG130" s="122" t="n">
        <v>35490</v>
      </c>
      <c r="BH130" s="122" t="n">
        <v>50123</v>
      </c>
      <c r="BI130" s="123">
        <f>IF(AND(ISNUMBER(BG130),ISNUMBER(BH130),N(BH130)&gt;0),BG130/BH130,"")</f>
        <v/>
      </c>
      <c r="BJ130" s="120" t="inlineStr">
        <is>
          <t>N</t>
        </is>
      </c>
      <c r="BK130" s="120" t="inlineStr">
        <is>
          <t>Buy Box RAISED in BFCM week (median $24.33 vs $19.57 before); List Price $16.99</t>
        </is>
      </c>
    </row>
    <row r="131"/>
    <row r="132" ht="22" customHeight="1">
      <c r="A132" s="65" t="inlineStr">
        <is>
          <t>5 ▼</t>
        </is>
      </c>
      <c r="B132" s="66" t="inlineStr">
        <is>
          <t>WHAT THIS MEANS FOR BFCM</t>
        </is>
      </c>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c r="AC132" s="67" t="n"/>
      <c r="AD132" s="67" t="n"/>
      <c r="AE132" s="67" t="n"/>
      <c r="AF132" s="67" t="n"/>
      <c r="AG132" s="67" t="n"/>
      <c r="AH132" s="67" t="n"/>
      <c r="AI132" s="67" t="n"/>
      <c r="AJ132" s="67" t="n"/>
      <c r="AK132" s="67" t="n"/>
      <c r="AL132" s="67" t="n"/>
      <c r="AM132" s="67" t="n"/>
      <c r="AN132" s="67" t="n"/>
      <c r="AO132" s="67" t="n"/>
      <c r="AP132" s="67" t="n"/>
      <c r="AQ132" s="67" t="n"/>
      <c r="AR132" s="67" t="n"/>
      <c r="AS132" s="67" t="n"/>
      <c r="AT132" s="67" t="n"/>
      <c r="AU132" s="67" t="n"/>
      <c r="AV132" s="67" t="n"/>
      <c r="AW132" s="67" t="n"/>
      <c r="AX132" s="67" t="n"/>
      <c r="AY132" s="67" t="n"/>
      <c r="AZ132" s="67" t="n"/>
      <c r="BA132" s="67" t="n"/>
      <c r="BB132" s="67" t="n"/>
      <c r="BC132" s="67" t="n"/>
      <c r="BD132" s="67" t="n"/>
      <c r="BE132" s="67" t="n"/>
      <c r="BF132" s="67" t="n"/>
      <c r="BG132" s="67" t="n"/>
      <c r="BH132" s="67" t="n"/>
      <c r="BI132" s="67" t="n"/>
      <c r="BJ132" s="67" t="n"/>
      <c r="BK132" s="67" t="n"/>
    </row>
    <row r="133" ht="30" customHeight="1">
      <c r="A133" s="129" t="inlineStr">
        <is>
          <t>• Who sells most: Love's cabin ~924/wk at $37.99 (List $44.99, +18%); Pure Bamboo ~809/wk at $109.99; Bedsure ~809/wk at $62.99 (List $69.99, +11%); Hotel Sheets Direct ~347/wk at $79.99; KRIMANO ~185/wk at $79.99. Tracked rivals ~4,550 units/wk; we sell ~10/wk (0.2% of the tracked set).</t>
        </is>
      </c>
    </row>
    <row r="134" ht="18" customHeight="1">
      <c r="A134" s="129" t="inlineStr">
        <is>
          <t>• Strikethrough: 14 of 38 rivals set a List Price above price; 1 within 12%: Bedsure +11%.</t>
        </is>
      </c>
    </row>
    <row r="135" ht="30" customHeight="1">
      <c r="A135" s="129" t="inlineStr">
        <is>
          <t>• Price: 25 of 38 rivals sit below our price today (same size where the title states one). Cheapest strong rivals: DOZ by SIJO $55.00, SONORO KATE $59.99, Bedsure $62.99, Hotel Sheets Direct $79.99.</t>
        </is>
      </c>
    </row>
    <row r="136" ht="30" customHeight="1">
      <c r="A136" s="129" t="inlineStr">
        <is>
          <t>• Strikethrough on the page today (Oct 13 check): 15 of 37 checked rivals show one: REST List Price $299.00 vs $224.25 (+33%), Breescape List Price $179.99 vs $149.99 (+20%), REST List Price $219.00 vs $164.25 (+33%), Elegear Typical price $79.99 vs $67.99 (+18%) with deal, Degrees of Comfort Typical price $29.99 vs $24.99 (+20%), Bedsure List Price $69.99 vs $62.99 (+11%).</t>
        </is>
      </c>
    </row>
    <row r="137" ht="30" customHeight="1">
      <c r="A137" s="129" t="inlineStr">
        <is>
          <t>• BFCM 2025, 25 rivals with price history history: Prime Exclusive Discount 10, Price cut only 9, None 5, Coupon only 1. Median depth vs their Nov 1-19 price 17%; median BSR lift 1.20x. 5 raised their Buy Box in BFCM week, so their deal looked deeper than it was.</t>
        </is>
      </c>
    </row>
    <row r="138" ht="18" customHeight="1">
      <c r="A138" s="129" t="inlineStr">
        <is>
          <t>• 2 rivals not in the price history pulls yet (yellow BFCM 2025 columns) - remaining P2 batches,.</t>
        </is>
      </c>
    </row>
  </sheetData>
  <autoFilter ref="B92:BK130"/>
  <mergeCells count="55">
    <mergeCell ref="A80:C80"/>
    <mergeCell ref="L5:Q5"/>
    <mergeCell ref="AU91:BA91"/>
    <mergeCell ref="A138:BK138"/>
    <mergeCell ref="Q11:T11"/>
    <mergeCell ref="L8:Q8"/>
    <mergeCell ref="L4:Q4"/>
    <mergeCell ref="D7:I7"/>
    <mergeCell ref="A13:D13"/>
    <mergeCell ref="I13:L13"/>
    <mergeCell ref="D4:I4"/>
    <mergeCell ref="L10:Q10"/>
    <mergeCell ref="E12:H12"/>
    <mergeCell ref="Q13:T13"/>
    <mergeCell ref="A137:BK137"/>
    <mergeCell ref="D9:I9"/>
    <mergeCell ref="A84:BK84"/>
    <mergeCell ref="U12:X12"/>
    <mergeCell ref="L9:Q9"/>
    <mergeCell ref="Q12:T12"/>
    <mergeCell ref="BB91:BK91"/>
    <mergeCell ref="A11:D11"/>
    <mergeCell ref="A133:BK133"/>
    <mergeCell ref="N91:Z91"/>
    <mergeCell ref="A136:BK136"/>
    <mergeCell ref="I11:L11"/>
    <mergeCell ref="A81:C81"/>
    <mergeCell ref="D8:I8"/>
    <mergeCell ref="L6:Q6"/>
    <mergeCell ref="A4:B9"/>
    <mergeCell ref="T6:Y6"/>
    <mergeCell ref="A86:BK86"/>
    <mergeCell ref="D5:I5"/>
    <mergeCell ref="A85:BK85"/>
    <mergeCell ref="M11:P11"/>
    <mergeCell ref="U11:X11"/>
    <mergeCell ref="A83:C83"/>
    <mergeCell ref="AA91:AC91"/>
    <mergeCell ref="A135:BK135"/>
    <mergeCell ref="E13:H13"/>
    <mergeCell ref="A82:C82"/>
    <mergeCell ref="A91:K91"/>
    <mergeCell ref="D10:I10"/>
    <mergeCell ref="L7:Q7"/>
    <mergeCell ref="T5:Y5"/>
    <mergeCell ref="A134:BK134"/>
    <mergeCell ref="A12:D12"/>
    <mergeCell ref="M13:P13"/>
    <mergeCell ref="AD91:AT91"/>
    <mergeCell ref="I12:L12"/>
    <mergeCell ref="U13:X13"/>
    <mergeCell ref="M12:P12"/>
    <mergeCell ref="T4:Y4"/>
    <mergeCell ref="D6:I6"/>
    <mergeCell ref="E11:H11"/>
  </mergeCells>
  <conditionalFormatting sqref="Q93:Q130">
    <cfRule type="expression" priority="1" dxfId="1">
      <formula>Q93="&lt;=12% STR zone"</formula>
    </cfRule>
  </conditionalFormatting>
  <conditionalFormatting sqref="Z93:Z130">
    <cfRule type="expression" priority="2" dxfId="0">
      <formula>AND(ISNUMBER(Z93),Z93&lt;DATE(2026,10,6))</formula>
    </cfRule>
  </conditionalFormatting>
  <conditionalFormatting sqref="T93:T130">
    <cfRule type="expression" priority="3" dxfId="0">
      <formula>ISNUMBER(SEARCH("STALE",T93))</formula>
    </cfRule>
  </conditionalFormatting>
  <conditionalFormatting sqref="S93:S130">
    <cfRule type="expression" priority="4" dxfId="0">
      <formula>AND(ISNUMBER(S93),S93&lt;0)</formula>
    </cfRule>
  </conditionalFormatting>
  <dataValidations count="3">
    <dataValidation sqref="AU93:AU130 BJ93:BJ130" showDropDown="0" showInputMessage="0" showErrorMessage="0" allowBlank="1" type="list">
      <formula1>"Y,N"</formula1>
    </dataValidation>
    <dataValidation sqref="AV93:AV130" showDropDown="0" showInputMessage="0" showErrorMessage="0" allowBlank="1" type="list">
      <formula1>"List Price,Typical price,Was price,None"</formula1>
    </dataValidation>
    <dataValidation sqref="BB93:BB130"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CL Cooling Sheets'!A3" display="1 Our product ↓"/>
    <hyperlink ref="D2" location="'US CL Cooling Sheets'!A15" display="2 Our variations ↓"/>
    <hyperlink ref="E2" location="'US CL Cooling Sheets'!A79" display="3 Our BFCM 2025 ↓"/>
    <hyperlink ref="F2" location="'US CL Cooling Sheets'!A89" display="4 COMPETITORS (38 mapped) ↓"/>
    <hyperlink ref="G2" location="'US CL Cooling Sheets'!A132" display="5 What it means ↓"/>
    <hyperlink xmlns:r="http://schemas.openxmlformats.org/officeDocument/2006/relationships" ref="H93" r:id="rId1"/>
    <hyperlink xmlns:r="http://schemas.openxmlformats.org/officeDocument/2006/relationships" ref="I93" r:id="rId2"/>
    <hyperlink xmlns:r="http://schemas.openxmlformats.org/officeDocument/2006/relationships" ref="H94" r:id="rId3"/>
    <hyperlink xmlns:r="http://schemas.openxmlformats.org/officeDocument/2006/relationships" ref="I94" r:id="rId4"/>
    <hyperlink xmlns:r="http://schemas.openxmlformats.org/officeDocument/2006/relationships" ref="H95" r:id="rId5"/>
    <hyperlink xmlns:r="http://schemas.openxmlformats.org/officeDocument/2006/relationships" ref="I95" r:id="rId6"/>
    <hyperlink xmlns:r="http://schemas.openxmlformats.org/officeDocument/2006/relationships" ref="H96" r:id="rId7"/>
    <hyperlink xmlns:r="http://schemas.openxmlformats.org/officeDocument/2006/relationships" ref="I96" r:id="rId8"/>
    <hyperlink xmlns:r="http://schemas.openxmlformats.org/officeDocument/2006/relationships" ref="H97" r:id="rId9"/>
    <hyperlink xmlns:r="http://schemas.openxmlformats.org/officeDocument/2006/relationships" ref="I97" r:id="rId10"/>
    <hyperlink xmlns:r="http://schemas.openxmlformats.org/officeDocument/2006/relationships" ref="H98" r:id="rId11"/>
    <hyperlink xmlns:r="http://schemas.openxmlformats.org/officeDocument/2006/relationships" ref="I98" r:id="rId12"/>
    <hyperlink xmlns:r="http://schemas.openxmlformats.org/officeDocument/2006/relationships" ref="H99" r:id="rId13"/>
    <hyperlink xmlns:r="http://schemas.openxmlformats.org/officeDocument/2006/relationships" ref="I99" r:id="rId14"/>
    <hyperlink xmlns:r="http://schemas.openxmlformats.org/officeDocument/2006/relationships" ref="H100" r:id="rId15"/>
    <hyperlink xmlns:r="http://schemas.openxmlformats.org/officeDocument/2006/relationships" ref="I100" r:id="rId16"/>
    <hyperlink xmlns:r="http://schemas.openxmlformats.org/officeDocument/2006/relationships" ref="H101" r:id="rId17"/>
    <hyperlink xmlns:r="http://schemas.openxmlformats.org/officeDocument/2006/relationships" ref="I101" r:id="rId18"/>
    <hyperlink xmlns:r="http://schemas.openxmlformats.org/officeDocument/2006/relationships" ref="H102" r:id="rId19"/>
    <hyperlink xmlns:r="http://schemas.openxmlformats.org/officeDocument/2006/relationships" ref="I102" r:id="rId20"/>
    <hyperlink xmlns:r="http://schemas.openxmlformats.org/officeDocument/2006/relationships" ref="H103" r:id="rId21"/>
    <hyperlink xmlns:r="http://schemas.openxmlformats.org/officeDocument/2006/relationships" ref="I103" r:id="rId22"/>
    <hyperlink xmlns:r="http://schemas.openxmlformats.org/officeDocument/2006/relationships" ref="H104" r:id="rId23"/>
    <hyperlink xmlns:r="http://schemas.openxmlformats.org/officeDocument/2006/relationships" ref="I104" r:id="rId24"/>
    <hyperlink xmlns:r="http://schemas.openxmlformats.org/officeDocument/2006/relationships" ref="H105" r:id="rId25"/>
    <hyperlink xmlns:r="http://schemas.openxmlformats.org/officeDocument/2006/relationships" ref="I105" r:id="rId26"/>
    <hyperlink xmlns:r="http://schemas.openxmlformats.org/officeDocument/2006/relationships" ref="H106" r:id="rId27"/>
    <hyperlink xmlns:r="http://schemas.openxmlformats.org/officeDocument/2006/relationships" ref="I106" r:id="rId28"/>
    <hyperlink xmlns:r="http://schemas.openxmlformats.org/officeDocument/2006/relationships" ref="H107" r:id="rId29"/>
    <hyperlink xmlns:r="http://schemas.openxmlformats.org/officeDocument/2006/relationships" ref="I107" r:id="rId30"/>
    <hyperlink xmlns:r="http://schemas.openxmlformats.org/officeDocument/2006/relationships" ref="H108" r:id="rId31"/>
    <hyperlink xmlns:r="http://schemas.openxmlformats.org/officeDocument/2006/relationships" ref="I108" r:id="rId32"/>
    <hyperlink xmlns:r="http://schemas.openxmlformats.org/officeDocument/2006/relationships" ref="H109" r:id="rId33"/>
    <hyperlink xmlns:r="http://schemas.openxmlformats.org/officeDocument/2006/relationships" ref="I109" r:id="rId34"/>
    <hyperlink xmlns:r="http://schemas.openxmlformats.org/officeDocument/2006/relationships" ref="H110" r:id="rId35"/>
    <hyperlink xmlns:r="http://schemas.openxmlformats.org/officeDocument/2006/relationships" ref="I110" r:id="rId36"/>
    <hyperlink xmlns:r="http://schemas.openxmlformats.org/officeDocument/2006/relationships" ref="H111" r:id="rId37"/>
    <hyperlink xmlns:r="http://schemas.openxmlformats.org/officeDocument/2006/relationships" ref="I111" r:id="rId38"/>
    <hyperlink xmlns:r="http://schemas.openxmlformats.org/officeDocument/2006/relationships" ref="H112" r:id="rId39"/>
    <hyperlink xmlns:r="http://schemas.openxmlformats.org/officeDocument/2006/relationships" ref="I112" r:id="rId40"/>
    <hyperlink xmlns:r="http://schemas.openxmlformats.org/officeDocument/2006/relationships" ref="H113" r:id="rId41"/>
    <hyperlink xmlns:r="http://schemas.openxmlformats.org/officeDocument/2006/relationships" ref="I113" r:id="rId42"/>
    <hyperlink xmlns:r="http://schemas.openxmlformats.org/officeDocument/2006/relationships" ref="H114" r:id="rId43"/>
    <hyperlink xmlns:r="http://schemas.openxmlformats.org/officeDocument/2006/relationships" ref="I114" r:id="rId44"/>
    <hyperlink xmlns:r="http://schemas.openxmlformats.org/officeDocument/2006/relationships" ref="H115" r:id="rId45"/>
    <hyperlink xmlns:r="http://schemas.openxmlformats.org/officeDocument/2006/relationships" ref="I115" r:id="rId46"/>
    <hyperlink xmlns:r="http://schemas.openxmlformats.org/officeDocument/2006/relationships" ref="H116" r:id="rId47"/>
    <hyperlink xmlns:r="http://schemas.openxmlformats.org/officeDocument/2006/relationships" ref="I116" r:id="rId48"/>
    <hyperlink xmlns:r="http://schemas.openxmlformats.org/officeDocument/2006/relationships" ref="H117" r:id="rId49"/>
    <hyperlink xmlns:r="http://schemas.openxmlformats.org/officeDocument/2006/relationships" ref="I117" r:id="rId50"/>
    <hyperlink xmlns:r="http://schemas.openxmlformats.org/officeDocument/2006/relationships" ref="H118" r:id="rId51"/>
    <hyperlink xmlns:r="http://schemas.openxmlformats.org/officeDocument/2006/relationships" ref="I118" r:id="rId52"/>
    <hyperlink xmlns:r="http://schemas.openxmlformats.org/officeDocument/2006/relationships" ref="H119" r:id="rId53"/>
    <hyperlink xmlns:r="http://schemas.openxmlformats.org/officeDocument/2006/relationships" ref="I119" r:id="rId54"/>
    <hyperlink xmlns:r="http://schemas.openxmlformats.org/officeDocument/2006/relationships" ref="H120" r:id="rId55"/>
    <hyperlink xmlns:r="http://schemas.openxmlformats.org/officeDocument/2006/relationships" ref="I120" r:id="rId56"/>
    <hyperlink xmlns:r="http://schemas.openxmlformats.org/officeDocument/2006/relationships" ref="H121" r:id="rId57"/>
    <hyperlink xmlns:r="http://schemas.openxmlformats.org/officeDocument/2006/relationships" ref="I121" r:id="rId58"/>
    <hyperlink xmlns:r="http://schemas.openxmlformats.org/officeDocument/2006/relationships" ref="H122" r:id="rId59"/>
    <hyperlink xmlns:r="http://schemas.openxmlformats.org/officeDocument/2006/relationships" ref="I122" r:id="rId60"/>
    <hyperlink xmlns:r="http://schemas.openxmlformats.org/officeDocument/2006/relationships" ref="H123" r:id="rId61"/>
    <hyperlink xmlns:r="http://schemas.openxmlformats.org/officeDocument/2006/relationships" ref="I123" r:id="rId62"/>
    <hyperlink xmlns:r="http://schemas.openxmlformats.org/officeDocument/2006/relationships" ref="H124" r:id="rId63"/>
    <hyperlink xmlns:r="http://schemas.openxmlformats.org/officeDocument/2006/relationships" ref="I124" r:id="rId64"/>
    <hyperlink xmlns:r="http://schemas.openxmlformats.org/officeDocument/2006/relationships" ref="H125" r:id="rId65"/>
    <hyperlink xmlns:r="http://schemas.openxmlformats.org/officeDocument/2006/relationships" ref="I125" r:id="rId66"/>
    <hyperlink xmlns:r="http://schemas.openxmlformats.org/officeDocument/2006/relationships" ref="H126" r:id="rId67"/>
    <hyperlink xmlns:r="http://schemas.openxmlformats.org/officeDocument/2006/relationships" ref="I126" r:id="rId68"/>
    <hyperlink xmlns:r="http://schemas.openxmlformats.org/officeDocument/2006/relationships" ref="H127" r:id="rId69"/>
    <hyperlink xmlns:r="http://schemas.openxmlformats.org/officeDocument/2006/relationships" ref="I127" r:id="rId70"/>
    <hyperlink xmlns:r="http://schemas.openxmlformats.org/officeDocument/2006/relationships" ref="H128" r:id="rId71"/>
    <hyperlink xmlns:r="http://schemas.openxmlformats.org/officeDocument/2006/relationships" ref="I128" r:id="rId72"/>
    <hyperlink xmlns:r="http://schemas.openxmlformats.org/officeDocument/2006/relationships" ref="H129" r:id="rId73"/>
    <hyperlink xmlns:r="http://schemas.openxmlformats.org/officeDocument/2006/relationships" ref="I129" r:id="rId74"/>
    <hyperlink xmlns:r="http://schemas.openxmlformats.org/officeDocument/2006/relationships" ref="H130" r:id="rId75"/>
    <hyperlink xmlns:r="http://schemas.openxmlformats.org/officeDocument/2006/relationships" ref="I130" r:id="rId76"/>
  </hyperlinks>
  <pageMargins left="0.75" right="0.75" top="1" bottom="1" header="0.5" footer="0.5"/>
  <drawing xmlns:r="http://schemas.openxmlformats.org/officeDocument/2006/relationships" r:id="rId77"/>
  <legacyDrawing xmlns:r="http://schemas.openxmlformats.org/officeDocument/2006/relationships" r:id="anysvml"/>
</worksheet>
</file>

<file path=xl/worksheets/sheet24.xml><?xml version="1.0" encoding="utf-8"?>
<worksheet xmlns="http://schemas.openxmlformats.org/spreadsheetml/2006/main">
  <sheetPr>
    <tabColor rgb="009DC3E6"/>
    <outlinePr summaryBelow="1" summaryRight="1"/>
    <pageSetUpPr/>
  </sheetPr>
  <dimension ref="A1:BK6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CooLinens Cooling Pillowcases 2 Piece · Amazon.com (US) · Cooling · BFCM role: Launch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_xlfn.IMAGE("https://m.media-amazon.com/images/I/71xw+HPSbYL._AC_SL1500_.jpg")</f>
        <v/>
      </c>
      <c r="C4" s="13" t="inlineStr">
        <is>
          <t>Title</t>
        </is>
      </c>
      <c r="D4" s="14" t="inlineStr">
        <is>
          <t>COOLINENS Cooling Pillow Cases Queen Size | Set of 2 for Hot Sleepers</t>
        </is>
      </c>
      <c r="K4" s="13" t="inlineStr">
        <is>
          <t>Sizes</t>
        </is>
      </c>
      <c r="L4" s="68" t="inlineStr">
        <is>
          <t>King, Queen, Standard</t>
        </is>
      </c>
      <c r="S4" s="13" t="inlineStr">
        <is>
          <t>Break-even ACoS</t>
        </is>
      </c>
      <c r="T4" s="68" t="inlineStr">
        <is>
          <t>n/a</t>
        </is>
      </c>
    </row>
    <row r="5" ht="22" customHeight="1">
      <c r="C5" s="13" t="inlineStr">
        <is>
          <t>Brand</t>
        </is>
      </c>
      <c r="D5" s="68" t="inlineStr">
        <is>
          <t>CooLinens</t>
        </is>
      </c>
      <c r="K5" s="13" t="inlineStr">
        <is>
          <t>Colours</t>
        </is>
      </c>
      <c r="L5" s="68" t="inlineStr">
        <is>
          <t>Blue, Dark Grey, Light Grey, White</t>
        </is>
      </c>
      <c r="S5" s="13" t="inlineStr">
        <is>
          <t>Units last 28 days</t>
        </is>
      </c>
      <c r="T5" s="68" t="inlineStr">
        <is>
          <t>310</t>
        </is>
      </c>
    </row>
    <row r="6" ht="22" customHeight="1">
      <c r="C6" s="13" t="inlineStr">
        <is>
          <t>Marketplace</t>
        </is>
      </c>
      <c r="D6" s="68" t="inlineStr">
        <is>
          <t>Amazon.com (US)</t>
        </is>
      </c>
      <c r="K6" s="13" t="inlineStr">
        <is>
          <t>Price now, best child</t>
        </is>
      </c>
      <c r="L6" s="68" t="inlineStr">
        <is>
          <t>$19.99 (catalog price, 2026-10-13)</t>
        </is>
      </c>
      <c r="S6" s="13" t="inlineStr">
        <is>
          <t>market data product ASIN</t>
        </is>
      </c>
      <c r="T6" s="68" t="inlineStr">
        <is>
          <t>B0H5X3L7M3 (one of our child ASINs, not the Amazon parent)</t>
        </is>
      </c>
    </row>
    <row r="7" ht="22" customHeight="1">
      <c r="C7" s="13" t="inlineStr">
        <is>
          <t>Parent ASIN (Amazon)</t>
        </is>
      </c>
      <c r="D7" s="68" t="inlineStr">
        <is>
          <t>B0HLSNQNCK</t>
        </is>
      </c>
      <c r="K7" s="13" t="inlineStr">
        <is>
          <t>Rating / reviews now</t>
        </is>
      </c>
      <c r="L7" s="68" t="inlineStr">
        <is>
          <t>4.7 / 238 (catalog price, 2026-10-13)</t>
        </is>
      </c>
    </row>
    <row r="8" ht="22" customHeight="1">
      <c r="C8" s="13" t="inlineStr">
        <is>
          <t>Best-selling child ASIN</t>
        </is>
      </c>
      <c r="D8" s="68" t="inlineStr">
        <is>
          <t>B0H5WWMPNN</t>
        </is>
      </c>
      <c r="K8" s="13" t="inlineStr">
        <is>
          <t>Live prices held</t>
        </is>
      </c>
      <c r="L8" s="68" t="inlineStr">
        <is>
          <t>12 of 12 variations</t>
        </is>
      </c>
    </row>
    <row r="9" ht="22" customHeight="1">
      <c r="C9" s="13" t="inlineStr">
        <is>
          <t>Stage</t>
        </is>
      </c>
      <c r="D9" s="68" t="inlineStr">
        <is>
          <t>Launch</t>
        </is>
      </c>
      <c r="K9" s="13" t="inlineStr">
        <is>
          <t>Blended price (market data)</t>
        </is>
      </c>
      <c r="L9" s="68" t="n"/>
    </row>
    <row r="10">
      <c r="C10" s="13" t="inlineStr">
        <is>
          <t>Total variations (SKUs)</t>
        </is>
      </c>
      <c r="D10" s="68" t="n">
        <v>12</v>
      </c>
      <c r="K10" s="13" t="inlineStr">
        <is>
          <t>Contribution / unit</t>
        </is>
      </c>
      <c r="L10" s="68" t="inlineStr">
        <is>
          <t>n/a</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15</t>
        </is>
      </c>
      <c r="Q12" s="70" t="inlineStr">
        <is>
          <t>7</t>
        </is>
      </c>
      <c r="U12" s="70" t="inlineStr">
        <is>
          <t>0</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_xlfn.IMAGE("https://m.media-amazon.com/images/I/81gg7RVfBLL.jpg")</f>
        <v/>
      </c>
      <c r="B18" s="39" t="inlineStr">
        <is>
          <t>B0H5WV9RBQ</t>
        </is>
      </c>
      <c r="C18" s="39" t="inlineStr">
        <is>
          <t>CL-CLG-PC-LIGHT-GREY-QUEEN-2PCS</t>
        </is>
      </c>
      <c r="D18" s="39" t="inlineStr">
        <is>
          <t>COOLINENS Cooling Pillow Cases Queen Size | Set of 2 for Hot Sleepers</t>
        </is>
      </c>
      <c r="E18" s="39" t="inlineStr">
        <is>
          <t>Queen</t>
        </is>
      </c>
      <c r="F18" s="39" t="inlineStr">
        <is>
          <t>Light Grey</t>
        </is>
      </c>
      <c r="G18" s="73" t="n">
        <v>19.99</v>
      </c>
      <c r="H18" s="39" t="inlineStr">
        <is>
          <t>catalog price, 2026-10-13</t>
        </is>
      </c>
      <c r="I18" s="40" t="n"/>
      <c r="J18" s="39" t="n"/>
      <c r="K18" s="40" t="n"/>
      <c r="L18" s="76" t="n"/>
      <c r="M18" s="77" t="n">
        <v>39</v>
      </c>
      <c r="N18" s="39" t="inlineStr">
        <is>
          <t>Active</t>
        </is>
      </c>
      <c r="O18" s="39" t="inlineStr">
        <is>
          <t>Yes (14%)</t>
        </is>
      </c>
      <c r="P18" s="78" t="n">
        <v>4.7</v>
      </c>
      <c r="Q18" s="77" t="n">
        <v>238</v>
      </c>
      <c r="R18" s="77" t="n">
        <v>22338</v>
      </c>
      <c r="S18" s="77" t="n">
        <v>33</v>
      </c>
      <c r="T18" s="39" t="n"/>
    </row>
    <row r="19" ht="62" customHeight="1">
      <c r="A19" s="12">
        <f>_xlfn.IMAGE("https://m.media-amazon.com/images/I/71frG-1MQ1L.jpg")</f>
        <v/>
      </c>
      <c r="B19" s="39" t="inlineStr">
        <is>
          <t>B0H5XBSQ71</t>
        </is>
      </c>
      <c r="C19" s="39" t="inlineStr">
        <is>
          <t>CL-CLG-PC-WHITE-STANDARD-2PCS</t>
        </is>
      </c>
      <c r="D19" s="39" t="inlineStr">
        <is>
          <t>COOLINENS Cooling Pillow Cases Standard Size | Set of 2 for Hot Sleepers</t>
        </is>
      </c>
      <c r="E19" s="39" t="inlineStr">
        <is>
          <t>Standard</t>
        </is>
      </c>
      <c r="F19" s="39" t="inlineStr">
        <is>
          <t>White</t>
        </is>
      </c>
      <c r="G19" s="73" t="n">
        <v>17.99</v>
      </c>
      <c r="H19" s="39" t="inlineStr">
        <is>
          <t>catalog price, 2026-10-13</t>
        </is>
      </c>
      <c r="I19" s="40" t="n"/>
      <c r="J19" s="39" t="n"/>
      <c r="K19" s="40" t="n"/>
      <c r="L19" s="76" t="n"/>
      <c r="M19" s="77" t="n">
        <v>36</v>
      </c>
      <c r="N19" s="39" t="inlineStr">
        <is>
          <t>Active</t>
        </is>
      </c>
      <c r="O19" s="39" t="inlineStr">
        <is>
          <t>Yes (16%)</t>
        </is>
      </c>
      <c r="P19" s="78" t="n">
        <v>4.7</v>
      </c>
      <c r="Q19" s="77" t="n">
        <v>238</v>
      </c>
      <c r="R19" s="77" t="n">
        <v>22338</v>
      </c>
      <c r="S19" s="77" t="n">
        <v>57</v>
      </c>
      <c r="T19" s="39" t="n"/>
    </row>
    <row r="20" ht="62" customHeight="1">
      <c r="A20" s="12">
        <f>_xlfn.IMAGE("https://m.media-amazon.com/images/I/71frG-1MQ1L.jpg")</f>
        <v/>
      </c>
      <c r="B20" s="39" t="inlineStr">
        <is>
          <t>B0H5WWMPNN</t>
        </is>
      </c>
      <c r="C20" s="39" t="inlineStr">
        <is>
          <t>CL-CLG-PC-WHITE-QUEEN-2PCS</t>
        </is>
      </c>
      <c r="D20" s="39" t="inlineStr">
        <is>
          <t>COOLINENS Cooling Pillow Cases Queen Size | Set of 2 for Hot Sleepers</t>
        </is>
      </c>
      <c r="E20" s="39" t="inlineStr">
        <is>
          <t>Queen</t>
        </is>
      </c>
      <c r="F20" s="39" t="inlineStr">
        <is>
          <t>White</t>
        </is>
      </c>
      <c r="G20" s="73" t="n">
        <v>19.99</v>
      </c>
      <c r="H20" s="39" t="inlineStr">
        <is>
          <t>catalog price, 2026-10-13</t>
        </is>
      </c>
      <c r="I20" s="40" t="n"/>
      <c r="J20" s="39" t="n"/>
      <c r="K20" s="40" t="n"/>
      <c r="L20" s="76" t="n"/>
      <c r="M20" s="77" t="n">
        <v>34</v>
      </c>
      <c r="N20" s="39" t="inlineStr">
        <is>
          <t>Active</t>
        </is>
      </c>
      <c r="O20" s="39" t="inlineStr">
        <is>
          <t>Yes (11%)</t>
        </is>
      </c>
      <c r="P20" s="78" t="n">
        <v>4.7</v>
      </c>
      <c r="Q20" s="77" t="n">
        <v>238</v>
      </c>
      <c r="R20" s="77" t="n">
        <v>22333</v>
      </c>
      <c r="S20" s="77" t="n">
        <v>32</v>
      </c>
      <c r="T20" s="39" t="n"/>
    </row>
    <row r="21" ht="62" customHeight="1">
      <c r="A21" s="12">
        <f>_xlfn.IMAGE("https://m.media-amazon.com/images/I/81oQL3GI3QL.jpg")</f>
        <v/>
      </c>
      <c r="B21" s="39" t="inlineStr">
        <is>
          <t>B0H5X5VGDP</t>
        </is>
      </c>
      <c r="C21" s="39" t="inlineStr">
        <is>
          <t>CL-CLG-PC-DARK-GREY-QUEEN-2PCS</t>
        </is>
      </c>
      <c r="D21" s="39" t="inlineStr">
        <is>
          <t>COOLINENS Cooling Pillow Cases Queen Size | Set of 2 for Hot Sleepers</t>
        </is>
      </c>
      <c r="E21" s="39" t="inlineStr">
        <is>
          <t>Queen</t>
        </is>
      </c>
      <c r="F21" s="39" t="inlineStr">
        <is>
          <t>Dark Grey</t>
        </is>
      </c>
      <c r="G21" s="73" t="n">
        <v>19.99</v>
      </c>
      <c r="H21" s="39" t="inlineStr">
        <is>
          <t>catalog price, 2026-10-13</t>
        </is>
      </c>
      <c r="I21" s="40" t="n"/>
      <c r="J21" s="39" t="n"/>
      <c r="K21" s="40" t="n"/>
      <c r="L21" s="76" t="n"/>
      <c r="M21" s="77" t="n">
        <v>33</v>
      </c>
      <c r="N21" s="39" t="inlineStr">
        <is>
          <t>Active</t>
        </is>
      </c>
      <c r="O21" s="39" t="inlineStr">
        <is>
          <t>Yes (13%)</t>
        </is>
      </c>
      <c r="P21" s="78" t="n">
        <v>4.7</v>
      </c>
      <c r="Q21" s="77" t="n">
        <v>238</v>
      </c>
      <c r="R21" s="77" t="n">
        <v>22338</v>
      </c>
      <c r="S21" s="77" t="n">
        <v>33</v>
      </c>
      <c r="T21" s="39" t="n"/>
    </row>
    <row r="22" ht="62" customHeight="1">
      <c r="A22" s="12">
        <f>_xlfn.IMAGE("https://m.media-amazon.com/images/I/81oQL3GI3QL.jpg")</f>
        <v/>
      </c>
      <c r="B22" s="39" t="inlineStr">
        <is>
          <t>B0H5X4DPJP</t>
        </is>
      </c>
      <c r="C22" s="39" t="inlineStr">
        <is>
          <t>CL-CLG-PC-DARK-GREY-KING-2PCS</t>
        </is>
      </c>
      <c r="D22" s="39" t="inlineStr">
        <is>
          <t>COOLINENS Cooling Pillow Cases King Size | Set of 2 for Hot Sleepers</t>
        </is>
      </c>
      <c r="E22" s="39" t="inlineStr">
        <is>
          <t>King</t>
        </is>
      </c>
      <c r="F22" s="39" t="inlineStr">
        <is>
          <t>Dark Grey</t>
        </is>
      </c>
      <c r="G22" s="73" t="n">
        <v>20.99</v>
      </c>
      <c r="H22" s="39" t="inlineStr">
        <is>
          <t>catalog price, 2026-10-13</t>
        </is>
      </c>
      <c r="I22" s="40" t="n"/>
      <c r="J22" s="39" t="n"/>
      <c r="K22" s="40" t="n"/>
      <c r="L22" s="76" t="n"/>
      <c r="M22" s="77" t="n">
        <v>31</v>
      </c>
      <c r="N22" s="39" t="inlineStr">
        <is>
          <t>Active</t>
        </is>
      </c>
      <c r="O22" s="39" t="n"/>
      <c r="P22" s="78" t="n">
        <v>4.7</v>
      </c>
      <c r="Q22" s="77" t="n">
        <v>238</v>
      </c>
      <c r="R22" s="77" t="n">
        <v>22338</v>
      </c>
      <c r="S22" s="77" t="n">
        <v>13</v>
      </c>
      <c r="T22" s="39" t="n"/>
    </row>
    <row r="23" ht="62" customHeight="1">
      <c r="A23" s="12">
        <f>_xlfn.IMAGE("https://m.media-amazon.com/images/I/81E3ky6zZqL.jpg")</f>
        <v/>
      </c>
      <c r="B23" s="39" t="inlineStr">
        <is>
          <t>B0H5WWD96B</t>
        </is>
      </c>
      <c r="C23" s="39" t="inlineStr">
        <is>
          <t>CL-CLG-PC-BLUE-STANDARD-2PCS</t>
        </is>
      </c>
      <c r="D23" s="39" t="inlineStr">
        <is>
          <t>COOLINENS Cooling Pillow Cases Standard Size | Set of 2 for Hot Sleepers</t>
        </is>
      </c>
      <c r="E23" s="39" t="inlineStr">
        <is>
          <t>Standard</t>
        </is>
      </c>
      <c r="F23" s="39" t="inlineStr">
        <is>
          <t>Blue</t>
        </is>
      </c>
      <c r="G23" s="73" t="n">
        <v>17.99</v>
      </c>
      <c r="H23" s="39" t="inlineStr">
        <is>
          <t>catalog price, 2026-10-13</t>
        </is>
      </c>
      <c r="I23" s="40" t="n"/>
      <c r="J23" s="39" t="n"/>
      <c r="K23" s="40" t="n"/>
      <c r="L23" s="76" t="n"/>
      <c r="M23" s="77" t="n">
        <v>31</v>
      </c>
      <c r="N23" s="39" t="inlineStr">
        <is>
          <t>Active</t>
        </is>
      </c>
      <c r="O23" s="39" t="inlineStr">
        <is>
          <t>Yes (12%)</t>
        </is>
      </c>
      <c r="P23" s="78" t="n">
        <v>4.7</v>
      </c>
      <c r="Q23" s="77" t="n">
        <v>238</v>
      </c>
      <c r="R23" s="77" t="n">
        <v>22333</v>
      </c>
      <c r="S23" s="77" t="n">
        <v>64</v>
      </c>
      <c r="T23" s="39" t="n"/>
    </row>
    <row r="24" ht="62" customHeight="1">
      <c r="A24" s="12">
        <f>_xlfn.IMAGE("https://m.media-amazon.com/images/I/81oQL3GI3QL.jpg")</f>
        <v/>
      </c>
      <c r="B24" s="39" t="inlineStr">
        <is>
          <t>B0H5WQT8YF</t>
        </is>
      </c>
      <c r="C24" s="39" t="inlineStr">
        <is>
          <t>CL-CLG-PC-DARK-GREY-STANDARD-2PCS</t>
        </is>
      </c>
      <c r="D24" s="39" t="inlineStr">
        <is>
          <t>COOLINENS Cooling Pillow Cases Standard Size | Set of 2 for Hot Sleepers</t>
        </is>
      </c>
      <c r="E24" s="39" t="inlineStr">
        <is>
          <t>Standard</t>
        </is>
      </c>
      <c r="F24" s="39" t="inlineStr">
        <is>
          <t>Dark Grey</t>
        </is>
      </c>
      <c r="G24" s="73" t="n">
        <v>17.99</v>
      </c>
      <c r="H24" s="39" t="inlineStr">
        <is>
          <t>catalog price, 2026-10-13</t>
        </is>
      </c>
      <c r="I24" s="40" t="n"/>
      <c r="J24" s="39" t="n"/>
      <c r="K24" s="40" t="n"/>
      <c r="L24" s="76" t="n"/>
      <c r="M24" s="77" t="n">
        <v>28</v>
      </c>
      <c r="N24" s="39" t="inlineStr">
        <is>
          <t>Active</t>
        </is>
      </c>
      <c r="O24" s="39" t="inlineStr">
        <is>
          <t>Yes (8%)</t>
        </is>
      </c>
      <c r="P24" s="78" t="n">
        <v>4.7</v>
      </c>
      <c r="Q24" s="77" t="n">
        <v>238</v>
      </c>
      <c r="R24" s="77" t="n">
        <v>22333</v>
      </c>
      <c r="S24" s="77" t="n">
        <v>47</v>
      </c>
      <c r="T24" s="39" t="n"/>
    </row>
    <row r="25" ht="62" customHeight="1">
      <c r="A25" s="12">
        <f>_xlfn.IMAGE("https://m.media-amazon.com/images/I/81gg7RVfBLL.jpg")</f>
        <v/>
      </c>
      <c r="B25" s="39" t="inlineStr">
        <is>
          <t>B0H5X6W132</t>
        </is>
      </c>
      <c r="C25" s="39" t="inlineStr">
        <is>
          <t>CL-CLG-PC-LIGHT-GREY-KING-2PCS</t>
        </is>
      </c>
      <c r="D25" s="39" t="inlineStr">
        <is>
          <t>COOLINENS Cooling Pillow Cases King Size | Set of 2 for Hot Sleepers</t>
        </is>
      </c>
      <c r="E25" s="39" t="inlineStr">
        <is>
          <t>King</t>
        </is>
      </c>
      <c r="F25" s="39" t="inlineStr">
        <is>
          <t>Light Grey</t>
        </is>
      </c>
      <c r="G25" s="73" t="n">
        <v>20.99</v>
      </c>
      <c r="H25" s="39" t="inlineStr">
        <is>
          <t>catalog price, 2026-10-13</t>
        </is>
      </c>
      <c r="I25" s="40" t="n"/>
      <c r="J25" s="39" t="n"/>
      <c r="K25" s="40" t="n"/>
      <c r="L25" s="76" t="n"/>
      <c r="M25" s="77" t="n">
        <v>20</v>
      </c>
      <c r="N25" s="39" t="inlineStr">
        <is>
          <t>Active</t>
        </is>
      </c>
      <c r="O25" s="39" t="inlineStr">
        <is>
          <t>Yes (10%)</t>
        </is>
      </c>
      <c r="P25" s="78" t="n">
        <v>4.7</v>
      </c>
      <c r="Q25" s="77" t="n">
        <v>238</v>
      </c>
      <c r="R25" s="77" t="n">
        <v>22333</v>
      </c>
      <c r="S25" s="77" t="n">
        <v>14</v>
      </c>
      <c r="T25" s="39" t="n"/>
    </row>
    <row r="26" ht="62" customHeight="1">
      <c r="A26" s="12">
        <f>_xlfn.IMAGE("https://m.media-amazon.com/images/I/81E3ky6zZqL.jpg")</f>
        <v/>
      </c>
      <c r="B26" s="39" t="inlineStr">
        <is>
          <t>B0H5WY7C39</t>
        </is>
      </c>
      <c r="C26" s="39" t="inlineStr">
        <is>
          <t>CL-CLG-PC-BLUE-QUEEN-2PCS</t>
        </is>
      </c>
      <c r="D26" s="39" t="inlineStr">
        <is>
          <t>COOLINENS Cooling Pillow Cases Queen Size | Set of 2 for Hot Sleepers</t>
        </is>
      </c>
      <c r="E26" s="39" t="inlineStr">
        <is>
          <t>Queen</t>
        </is>
      </c>
      <c r="F26" s="39" t="inlineStr">
        <is>
          <t>Blue</t>
        </is>
      </c>
      <c r="G26" s="73" t="n">
        <v>19.99</v>
      </c>
      <c r="H26" s="39" t="inlineStr">
        <is>
          <t>catalog price, 2026-10-13</t>
        </is>
      </c>
      <c r="I26" s="40" t="n"/>
      <c r="J26" s="39" t="n"/>
      <c r="K26" s="40" t="n"/>
      <c r="L26" s="76" t="n"/>
      <c r="M26" s="77" t="n">
        <v>20</v>
      </c>
      <c r="N26" s="39" t="inlineStr">
        <is>
          <t>Active</t>
        </is>
      </c>
      <c r="O26" s="39" t="n"/>
      <c r="P26" s="78" t="n">
        <v>4.7</v>
      </c>
      <c r="Q26" s="77" t="n">
        <v>238</v>
      </c>
      <c r="R26" s="77" t="n">
        <v>22338</v>
      </c>
      <c r="S26" s="77" t="n">
        <v>22</v>
      </c>
      <c r="T26" s="39" t="n"/>
    </row>
    <row r="27" ht="62" customHeight="1">
      <c r="A27" s="12">
        <f>_xlfn.IMAGE("https://m.media-amazon.com/images/I/71frG-1MQ1L.jpg")</f>
        <v/>
      </c>
      <c r="B27" s="39" t="inlineStr">
        <is>
          <t>B0H5X91BWJ</t>
        </is>
      </c>
      <c r="C27" s="39" t="inlineStr">
        <is>
          <t>CL-CLG-PC-WHITE-KING-2PCS</t>
        </is>
      </c>
      <c r="D27" s="39" t="inlineStr">
        <is>
          <t>COOLINENS Cooling Pillow Cases King Size | Set of 2 for Hot Sleepers</t>
        </is>
      </c>
      <c r="E27" s="39" t="inlineStr">
        <is>
          <t>King</t>
        </is>
      </c>
      <c r="F27" s="39" t="inlineStr">
        <is>
          <t>White</t>
        </is>
      </c>
      <c r="G27" s="73" t="n">
        <v>20.99</v>
      </c>
      <c r="H27" s="39" t="inlineStr">
        <is>
          <t>catalog price, 2026-10-13</t>
        </is>
      </c>
      <c r="I27" s="40" t="n"/>
      <c r="J27" s="39" t="n"/>
      <c r="K27" s="40" t="n"/>
      <c r="L27" s="76" t="n"/>
      <c r="M27" s="77" t="n">
        <v>14</v>
      </c>
      <c r="N27" s="39" t="inlineStr">
        <is>
          <t>Active</t>
        </is>
      </c>
      <c r="O27" s="39" t="n"/>
      <c r="P27" s="78" t="n">
        <v>4.7</v>
      </c>
      <c r="Q27" s="77" t="n">
        <v>238</v>
      </c>
      <c r="R27" s="77" t="n">
        <v>22338</v>
      </c>
      <c r="S27" s="77" t="n">
        <v>17</v>
      </c>
      <c r="T27" s="39" t="n"/>
    </row>
    <row r="28" ht="62" customHeight="1">
      <c r="A28" s="12">
        <f>_xlfn.IMAGE("https://m.media-amazon.com/images/I/81E3ky6zZqL.jpg")</f>
        <v/>
      </c>
      <c r="B28" s="39" t="inlineStr">
        <is>
          <t>B0H5X3L7M3</t>
        </is>
      </c>
      <c r="C28" s="39" t="inlineStr">
        <is>
          <t>CL-CLG-PC-BLUE-KING-2PCS</t>
        </is>
      </c>
      <c r="D28" s="39" t="inlineStr">
        <is>
          <t>COOLINENS Cooling Pillow Cases King Size | Set of 2 for Hot Sleepers</t>
        </is>
      </c>
      <c r="E28" s="39" t="inlineStr">
        <is>
          <t>King</t>
        </is>
      </c>
      <c r="F28" s="39" t="inlineStr">
        <is>
          <t>Blue</t>
        </is>
      </c>
      <c r="G28" s="73" t="n">
        <v>20.99</v>
      </c>
      <c r="H28" s="39" t="inlineStr">
        <is>
          <t>catalog price, 2026-10-13</t>
        </is>
      </c>
      <c r="I28" s="40" t="n"/>
      <c r="J28" s="39" t="n"/>
      <c r="K28" s="40" t="n"/>
      <c r="L28" s="76" t="n"/>
      <c r="M28" s="77" t="n">
        <v>12</v>
      </c>
      <c r="N28" s="39" t="inlineStr">
        <is>
          <t>Active</t>
        </is>
      </c>
      <c r="O28" s="39" t="n"/>
      <c r="P28" s="78" t="n">
        <v>4.7</v>
      </c>
      <c r="Q28" s="77" t="n">
        <v>238</v>
      </c>
      <c r="R28" s="77" t="n">
        <v>22338</v>
      </c>
      <c r="S28" s="77" t="n">
        <v>16</v>
      </c>
      <c r="T28" s="39" t="n"/>
    </row>
    <row r="29" ht="62" customHeight="1">
      <c r="A29" s="12">
        <f>_xlfn.IMAGE("https://m.media-amazon.com/images/I/81gg7RVfBLL.jpg")</f>
        <v/>
      </c>
      <c r="B29" s="39" t="inlineStr">
        <is>
          <t>B0H5WYZTKX</t>
        </is>
      </c>
      <c r="C29" s="39" t="inlineStr">
        <is>
          <t>CL-CLG-PC-LIGHT-GREY-STANDARD-2PCS</t>
        </is>
      </c>
      <c r="D29" s="39" t="inlineStr">
        <is>
          <t>COOLINENS Cooling Pillow Cases Standard Size | Set of 2 for Hot Sleepers</t>
        </is>
      </c>
      <c r="E29" s="39" t="inlineStr">
        <is>
          <t>Standard</t>
        </is>
      </c>
      <c r="F29" s="39" t="inlineStr">
        <is>
          <t>Light Grey</t>
        </is>
      </c>
      <c r="G29" s="73" t="n">
        <v>17.99</v>
      </c>
      <c r="H29" s="39" t="inlineStr">
        <is>
          <t>catalog price, 2026-10-13</t>
        </is>
      </c>
      <c r="I29" s="40" t="n"/>
      <c r="J29" s="39" t="n"/>
      <c r="K29" s="40" t="n"/>
      <c r="L29" s="76" t="n"/>
      <c r="M29" s="77" t="n">
        <v>12</v>
      </c>
      <c r="N29" s="39" t="inlineStr">
        <is>
          <t>Active</t>
        </is>
      </c>
      <c r="O29" s="39" t="n"/>
      <c r="P29" s="78" t="n">
        <v>4.7</v>
      </c>
      <c r="Q29" s="77" t="n">
        <v>238</v>
      </c>
      <c r="R29" s="77" t="n">
        <v>22338</v>
      </c>
      <c r="S29" s="77" t="n">
        <v>49</v>
      </c>
      <c r="T29" s="39" t="n"/>
    </row>
    <row r="30"/>
    <row r="31" ht="22" customHeight="1">
      <c r="A31" s="65" t="inlineStr">
        <is>
          <t>3 ▼</t>
        </is>
      </c>
      <c r="B31" s="66" t="inlineStr">
        <is>
          <t>OUR BFCM 2025 RESULT &amp; EVENT VISIBILITY</t>
        </is>
      </c>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c r="AC31" s="67" t="n"/>
      <c r="AD31" s="67" t="n"/>
      <c r="AE31" s="67" t="n"/>
      <c r="AF31" s="67" t="n"/>
      <c r="AG31" s="67" t="n"/>
      <c r="AH31" s="67" t="n"/>
      <c r="AI31" s="67" t="n"/>
      <c r="AJ31" s="67" t="n"/>
      <c r="AK31" s="67" t="n"/>
      <c r="AL31" s="67" t="n"/>
      <c r="AM31" s="67" t="n"/>
      <c r="AN31" s="67" t="n"/>
      <c r="AO31" s="67" t="n"/>
      <c r="AP31" s="67" t="n"/>
      <c r="AQ31" s="67" t="n"/>
      <c r="AR31" s="67" t="n"/>
      <c r="AS31" s="67" t="n"/>
      <c r="AT31" s="67" t="n"/>
      <c r="AU31" s="67" t="n"/>
      <c r="AV31" s="67" t="n"/>
      <c r="AW31" s="67" t="n"/>
      <c r="AX31" s="67" t="n"/>
      <c r="AY31" s="67" t="n"/>
      <c r="AZ31" s="67" t="n"/>
      <c r="BA31" s="67" t="n"/>
      <c r="BB31" s="67" t="n"/>
      <c r="BC31" s="67" t="n"/>
      <c r="BD31" s="67" t="n"/>
      <c r="BE31" s="67" t="n"/>
      <c r="BF31" s="67" t="n"/>
      <c r="BG31" s="67" t="n"/>
      <c r="BH31" s="67" t="n"/>
      <c r="BI31" s="67" t="n"/>
      <c r="BJ31" s="67" t="n"/>
      <c r="BK31" s="67" t="n"/>
    </row>
    <row r="32">
      <c r="A32" s="80" t="inlineStr">
        <is>
          <t>Window</t>
        </is>
      </c>
      <c r="B32" s="81" t="n"/>
      <c r="C32" s="82" t="n"/>
      <c r="D32" s="80" t="inlineStr">
        <is>
          <t>Ad spend</t>
        </is>
      </c>
      <c r="E32" s="80" t="inlineStr">
        <is>
          <t>Ad sales</t>
        </is>
      </c>
      <c r="F32" s="80" t="inlineStr">
        <is>
          <t>ACoS</t>
        </is>
      </c>
      <c r="G32" s="80" t="inlineStr">
        <is>
          <t>TACoS</t>
        </is>
      </c>
      <c r="H32" s="80" t="inlineStr">
        <is>
          <t>Total sales (derived)</t>
        </is>
      </c>
      <c r="J32" s="80" t="inlineStr">
        <is>
          <t>Ad orders</t>
        </is>
      </c>
      <c r="K32" s="80" t="inlineStr">
        <is>
          <t>CVR</t>
        </is>
      </c>
    </row>
    <row r="33">
      <c r="A33" s="83" t="inlineStr">
        <is>
          <t>Pre-event Oct 21 - Nov 19, 2025 (30d)</t>
        </is>
      </c>
      <c r="B33" s="81" t="n"/>
      <c r="C33" s="82" t="n"/>
      <c r="D33" s="84" t="n"/>
      <c r="E33" s="84" t="n"/>
      <c r="F33" s="85" t="n"/>
      <c r="G33" s="85" t="n"/>
      <c r="H33" s="84" t="n"/>
      <c r="J33" s="86" t="n"/>
      <c r="K33" s="87" t="n"/>
    </row>
    <row r="34">
      <c r="A34" s="83" t="inlineStr">
        <is>
          <t>BFCM week Nov 20 - Dec 1, 2025 (12d)</t>
        </is>
      </c>
      <c r="B34" s="81" t="n"/>
      <c r="C34" s="82" t="n"/>
      <c r="D34" s="84" t="n"/>
      <c r="E34" s="84" t="n"/>
      <c r="F34" s="85" t="n"/>
      <c r="G34" s="85" t="n"/>
      <c r="H34" s="84" t="n"/>
      <c r="J34" s="86" t="n"/>
      <c r="K34" s="87" t="n"/>
    </row>
    <row r="35">
      <c r="A35" s="83" t="inlineStr">
        <is>
          <t>December 2 - 31, 2025 (30d)</t>
        </is>
      </c>
      <c r="B35" s="81" t="n"/>
      <c r="C35" s="82" t="n"/>
      <c r="D35" s="84" t="n"/>
      <c r="E35" s="84" t="n"/>
      <c r="F35" s="85" t="n"/>
      <c r="G35" s="85" t="n"/>
      <c r="H35" s="84" t="n"/>
      <c r="J35" s="86" t="n"/>
      <c r="K35" s="87" t="n"/>
    </row>
    <row r="36" ht="18" customHeight="1">
      <c r="A36" s="94" t="inlineStr">
        <is>
          <t>BFCM 2026 plan: NOT IN A DEAL. the team confirmed that products without a planned deal are not in any BFCM 2026 deal; they sell at their regular price.</t>
        </is>
      </c>
    </row>
    <row r="37" ht="30" customHeight="1">
      <c r="A37" s="94" t="inlineStr">
        <is>
          <t>BFCM 2026 stock (account data, Oct 15): 2,737 units at Amazon + 0 already sent (no ETA in account data); selling 49.5 a day; need about 3,308 to Nov 30 with a 2.74x BFCM lift (ASSUMED: account BFCM 2025 lift (US); product's own 2025 lift not available). Variations: 5 covered, 0 need the inbound in time, 7 short even with inbound (1,053 units), 0 out of stock now. Detail: BFCM Stock tab.</t>
        </is>
      </c>
    </row>
    <row r="38">
      <c r="A38" s="90" t="inlineStr">
        <is>
          <t>market data visibility for our best child B0H5WWMPNN: organic score None before BFCM 2025 → None in BFCM week; Prime Day 2026 0.0 → 0.0; Aug-Sep 2026 0.1.</t>
        </is>
      </c>
    </row>
    <row r="39"/>
    <row r="40" ht="22" customHeight="1">
      <c r="A40" s="65" t="inlineStr">
        <is>
          <t>4 ▼</t>
        </is>
      </c>
      <c r="B40" s="66" t="inlineStr">
        <is>
          <t>COMPETITOR LANDSCAPE (15 mapped)</t>
        </is>
      </c>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c r="AL40" s="67" t="n"/>
      <c r="AM40" s="67" t="n"/>
      <c r="AN40" s="67" t="n"/>
      <c r="AO40" s="67" t="n"/>
      <c r="AP40" s="67" t="n"/>
      <c r="AQ40" s="67" t="n"/>
      <c r="AR40" s="67" t="n"/>
      <c r="AS40" s="67" t="n"/>
      <c r="AT40" s="67" t="n"/>
      <c r="AU40" s="67" t="n"/>
      <c r="AV40" s="67" t="n"/>
      <c r="AW40" s="67" t="n"/>
      <c r="AX40" s="67" t="n"/>
      <c r="AY40" s="67" t="n"/>
      <c r="AZ40" s="67" t="n"/>
      <c r="BA40" s="67" t="n"/>
      <c r="BB40" s="67" t="n"/>
      <c r="BC40" s="67" t="n"/>
      <c r="BD40" s="67" t="n"/>
      <c r="BE40" s="67" t="n"/>
      <c r="BF40" s="67" t="n"/>
      <c r="BG40" s="67" t="n"/>
      <c r="BH40" s="67" t="n"/>
      <c r="BI40" s="67" t="n"/>
      <c r="BJ40" s="67" t="n"/>
      <c r="BK40" s="67" t="n"/>
    </row>
    <row r="41" ht="20" customHeight="1">
      <c r="A41" s="96" t="inlineStr">
        <is>
          <t>▼▼▼</t>
        </is>
      </c>
      <c r="B41" s="97" t="inlineStr">
        <is>
          <t>COMPETITOR DATA BELOW: one row per competitor (9 direct first, then alternative material). Scroll right for listing, search, strikethrough now and BFCM 2025 history (deal type, price, discount, rank change).</t>
        </is>
      </c>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8" t="n"/>
      <c r="BI41" s="98" t="n"/>
      <c r="BJ41" s="98" t="n"/>
      <c r="BK41" s="98" t="n"/>
    </row>
    <row r="42">
      <c r="A42" s="99" t="inlineStr">
        <is>
          <t>COMPETITOR</t>
        </is>
      </c>
      <c r="L42" s="100" t="inlineStr">
        <is>
          <t>LISTING - catalog data</t>
        </is>
      </c>
      <c r="M42" s="101" t="inlineStr">
        <is>
          <t>SEARCH STRATEGY - market data search data</t>
        </is>
      </c>
      <c r="N42" s="102" t="inlineStr">
        <is>
          <t>PRICE &amp; SALES - market data snapshot (date per row)</t>
        </is>
      </c>
      <c r="AA42" s="100" t="inlineStr">
        <is>
          <t>LISTING - catalog data</t>
        </is>
      </c>
      <c r="AD42" s="101" t="inlineStr">
        <is>
          <t>SEARCH STRATEGY - market data search data</t>
        </is>
      </c>
      <c r="AU42" s="103" t="inlineStr">
        <is>
          <t>STR NOW - Amazon page check (Oct 13, P1 + P2)</t>
        </is>
      </c>
      <c r="BB42" s="104" t="inlineStr">
        <is>
          <t>BFCM 2025 - price history (P1 filled; yellow = not pulled yet)</t>
        </is>
      </c>
    </row>
    <row r="43" ht="48" customHeight="1">
      <c r="A43" s="26" t="inlineStr">
        <is>
          <t>Image</t>
        </is>
      </c>
      <c r="B43" s="26" t="inlineStr">
        <is>
          <t>Brand</t>
        </is>
      </c>
      <c r="C43" s="26" t="inlineStr">
        <is>
          <t>Product title</t>
        </is>
      </c>
      <c r="D43" s="26" t="inlineStr">
        <is>
          <t>Tier</t>
        </is>
      </c>
      <c r="E43" s="26" t="inlineStr">
        <is>
          <t>Competitor type</t>
        </is>
      </c>
      <c r="F43" s="26" t="inlineStr">
        <is>
          <t>Material</t>
        </is>
      </c>
      <c r="G43" s="26" t="inlineStr">
        <is>
          <t>Why this type</t>
        </is>
      </c>
      <c r="H43" s="26" t="inlineStr">
        <is>
          <t>Parent ASIN</t>
        </is>
      </c>
      <c r="I43" s="26" t="inlineStr">
        <is>
          <t>Tracked child ASIN</t>
        </is>
      </c>
      <c r="J43" s="26" t="inlineStr">
        <is>
          <t>Size</t>
        </is>
      </c>
      <c r="K43" s="26" t="inlineStr">
        <is>
          <t>Colour</t>
        </is>
      </c>
      <c r="L43" s="26" t="inlineStr">
        <is>
          <t>Variations</t>
        </is>
      </c>
      <c r="M43" s="26" t="inlineStr">
        <is>
          <t>Hero child ASINs (share of their visibility)</t>
        </is>
      </c>
      <c r="N43" s="26" t="inlineStr">
        <is>
          <t>Price ($)</t>
        </is>
      </c>
      <c r="O43" s="26" t="inlineStr">
        <is>
          <t>List Price ($)</t>
        </is>
      </c>
      <c r="P43" s="26" t="inlineStr">
        <is>
          <t>List Price % over</t>
        </is>
      </c>
      <c r="Q43" s="26" t="inlineStr">
        <is>
          <t>STR band</t>
        </is>
      </c>
      <c r="R43" s="26" t="inlineStr">
        <is>
          <t>Our price, same size ($)</t>
        </is>
      </c>
      <c r="S43" s="26" t="inlineStr">
        <is>
          <t>Their price vs ours</t>
        </is>
      </c>
      <c r="T43" s="26" t="inlineStr">
        <is>
          <t>Comparison basis</t>
        </is>
      </c>
      <c r="U43" s="26" t="inlineStr">
        <is>
          <t>BSR</t>
        </is>
      </c>
      <c r="V43" s="26" t="inlineStr">
        <is>
          <t>Est weekly units</t>
        </is>
      </c>
      <c r="W43" s="26" t="inlineStr">
        <is>
          <t>Est monthly revenue ($)</t>
        </is>
      </c>
      <c r="X43" s="26" t="inlineStr">
        <is>
          <t>Rating</t>
        </is>
      </c>
      <c r="Y43" s="26" t="inlineStr">
        <is>
          <t>Reviews</t>
        </is>
      </c>
      <c r="Z43" s="26" t="inlineStr">
        <is>
          <t>Snapshot date</t>
        </is>
      </c>
      <c r="AA43" s="26" t="inlineStr">
        <is>
          <t>Listed</t>
        </is>
      </c>
      <c r="AB43" s="26" t="inlineStr">
        <is>
          <t>Fulfil.</t>
        </is>
      </c>
      <c r="AC43" s="26" t="inlineStr">
        <is>
          <t>Seller country</t>
        </is>
      </c>
      <c r="AD43" s="26" t="inlineStr">
        <is>
          <t>search data 7d traffic</t>
        </is>
      </c>
      <c r="AE43" s="26" t="inlineStr">
        <is>
          <t>Keywords ranked</t>
        </is>
      </c>
      <c r="AF43" s="26" t="inlineStr">
        <is>
          <t>Organic share of traffic</t>
        </is>
      </c>
      <c r="AG43" s="26" t="inlineStr">
        <is>
          <t>Ad share of traffic</t>
        </is>
      </c>
      <c r="AH43" s="26" t="inlineStr">
        <is>
          <t>Top keyword</t>
        </is>
      </c>
      <c r="AI43" s="26" t="inlineStr">
        <is>
          <t>SP reach</t>
        </is>
      </c>
      <c r="AJ43" s="26" t="inlineStr">
        <is>
          <t>SB reach</t>
        </is>
      </c>
      <c r="AK43" s="26" t="inlineStr">
        <is>
          <t>SB video reach</t>
        </is>
      </c>
      <c r="AL43" s="26" t="inlineStr">
        <is>
          <t>Amazon's Choice reach</t>
        </is>
      </c>
      <c r="AM43" s="26" t="inlineStr">
        <is>
          <t>Shared keywords</t>
        </is>
      </c>
      <c r="AN43" s="26" t="inlineStr">
        <is>
          <t>We win</t>
        </is>
      </c>
      <c r="AO43" s="26" t="inlineStr">
        <is>
          <t>We lose</t>
        </is>
      </c>
      <c r="AP43" s="26" t="inlineStr">
        <is>
          <t>Their keywords we miss</t>
        </is>
      </c>
      <c r="AQ43" s="26" t="inlineStr">
        <is>
          <t>KWs they advertise, we don't</t>
        </is>
      </c>
      <c r="AR43" s="26" t="inlineStr">
        <is>
          <t>KWs they out-advertise us</t>
        </is>
      </c>
      <c r="AS43" s="26" t="inlineStr">
        <is>
          <t>Prime Day 2026 organic vis lift</t>
        </is>
      </c>
      <c r="AT43" s="26" t="inlineStr">
        <is>
          <t>Organic trend (Aug-Sep vs Q2)</t>
        </is>
      </c>
      <c r="AU43" s="26" t="inlineStr">
        <is>
          <t>STR showing now? (Y/N)</t>
        </is>
      </c>
      <c r="AV43" s="26" t="inlineStr">
        <is>
          <t>STR label</t>
        </is>
      </c>
      <c r="AW43" s="26" t="inlineStr">
        <is>
          <t>Strikethrough price ($)</t>
        </is>
      </c>
      <c r="AX43" s="26" t="inlineStr">
        <is>
          <t>Page price at check ($)</t>
        </is>
      </c>
      <c r="AY43" s="26" t="inlineStr">
        <is>
          <t>Deal / coupon now</t>
        </is>
      </c>
      <c r="AZ43" s="26" t="inlineStr">
        <is>
          <t>Orderable now (Y/N)</t>
        </is>
      </c>
      <c r="BA43" s="26" t="inlineStr">
        <is>
          <t>Checked (ET)</t>
        </is>
      </c>
      <c r="BB43" s="26" t="inlineStr">
        <is>
          <t>BFCM 2025 deal type</t>
        </is>
      </c>
      <c r="BC43" s="26" t="inlineStr">
        <is>
          <t>BFCM 2025 deal dates</t>
        </is>
      </c>
      <c r="BD43" s="26" t="inlineStr">
        <is>
          <t>Pre-event price ($)</t>
        </is>
      </c>
      <c r="BE43" s="26" t="inlineStr">
        <is>
          <t>BFCM 2025 low ($)</t>
        </is>
      </c>
      <c r="BF43" s="26" t="inlineStr">
        <is>
          <t>BFCM 2025 discount</t>
        </is>
      </c>
      <c r="BG43" s="26" t="inlineStr">
        <is>
          <t>BSR pre-event</t>
        </is>
      </c>
      <c r="BH43" s="26" t="inlineStr">
        <is>
          <t>BSR BFCM wk</t>
        </is>
      </c>
      <c r="BI43" s="26" t="inlineStr">
        <is>
          <t>BSR lift (x)</t>
        </is>
      </c>
      <c r="BJ43" s="26" t="inlineStr">
        <is>
          <t>OOS in BFCM? (Y/N)</t>
        </is>
      </c>
      <c r="BK43" s="26" t="inlineStr">
        <is>
          <t>Notes</t>
        </is>
      </c>
    </row>
    <row r="44" ht="62" customHeight="1">
      <c r="A44" s="12">
        <f>_xlfn.IMAGE("https://m.media-amazon.com/images/I/71xUOkl9QGL._AC_SL1500_.jpg")</f>
        <v/>
      </c>
      <c r="B44" s="105" t="inlineStr">
        <is>
          <t>Avolare</t>
        </is>
      </c>
      <c r="C44" s="39" t="inlineStr">
        <is>
          <t>Avolare Cooling Pillow Cases Queen Size Set of 2,Arc-Chill 3.0 Cool Pillowcases</t>
        </is>
      </c>
      <c r="D44" s="105" t="inlineStr">
        <is>
          <t>Aspirational</t>
        </is>
      </c>
      <c r="E44" s="106" t="inlineStr">
        <is>
          <t>Direct</t>
        </is>
      </c>
      <c r="F44" s="105" t="inlineStr">
        <is>
          <t>Synthetic cooling knit</t>
        </is>
      </c>
      <c r="G44" s="39" t="inlineStr">
        <is>
          <t>Same product (pillowcase) in the same material family: Synthetic cooling knit (product page material: Nylon, Spandex); ours: same CooLoom cooling fabric as the CooLinens sheets.</t>
        </is>
      </c>
      <c r="H44" s="107" t="inlineStr">
        <is>
          <t>B0H3PX4VQC</t>
        </is>
      </c>
      <c r="I44" s="107" t="inlineStr">
        <is>
          <t>B08TBL21VT</t>
        </is>
      </c>
      <c r="J44" s="105" t="inlineStr">
        <is>
          <t>Queen (U.S. Standard)</t>
        </is>
      </c>
      <c r="K44" s="105" t="inlineStr">
        <is>
          <t>Blue</t>
        </is>
      </c>
      <c r="L44" s="108" t="n"/>
      <c r="M44" s="39" t="inlineStr"/>
      <c r="N44" s="109" t="n">
        <v>17.52</v>
      </c>
      <c r="O44" s="109" t="n">
        <v>19.99</v>
      </c>
      <c r="P44" s="110">
        <f>IF(AND(ISNUMBER(O44),ISNUMBER(N44),N(N44)&gt;0),O44/N44-1,"")</f>
        <v/>
      </c>
      <c r="Q44" s="111">
        <f>IF(P44="","No List Price",IF(P44&lt;=0,"At/below price",IF(P44&lt;=0.12,"&lt;=12% STR zone",IF(P44&lt;=0.25,"12-25%","&gt;25% over"))))</f>
        <v/>
      </c>
      <c r="R44" s="109" t="n">
        <v>19.99</v>
      </c>
      <c r="S44" s="112">
        <f>IF(AND(ISNUMBER(N44),ISNUMBER(R44),N(R44)&gt;0),N44/R44-1,"")</f>
        <v/>
      </c>
      <c r="T44" s="39" t="inlineStr">
        <is>
          <t>Same size (Queen). Ours live: catalog price, 2026-10-13; 4 children</t>
        </is>
      </c>
      <c r="U44" s="108" t="n">
        <v>14178</v>
      </c>
      <c r="V44" s="108" t="n">
        <v>173</v>
      </c>
      <c r="W44" s="113">
        <f>IF(AND(ISNUMBER(N44),ISNUMBER(V44)),N44*V44*52/12,"")</f>
        <v/>
      </c>
      <c r="X44" s="114" t="n">
        <v>4.4</v>
      </c>
      <c r="Y44" s="108" t="n">
        <v>3832</v>
      </c>
      <c r="Z44" s="115" t="n">
        <v>46272</v>
      </c>
      <c r="AA44" s="115" t="n"/>
      <c r="AB44" s="105" t="n"/>
      <c r="AC44" s="105" t="n"/>
      <c r="AD44" s="108" t="n"/>
      <c r="AE44" s="108" t="n"/>
      <c r="AF44" s="116" t="n"/>
      <c r="AG44" s="116" t="n"/>
      <c r="AH44" s="39" t="n"/>
      <c r="AI44" s="116" t="n"/>
      <c r="AJ44" s="116" t="n"/>
      <c r="AK44" s="116" t="n"/>
      <c r="AL44" s="116" t="n"/>
      <c r="AM44" s="108" t="n"/>
      <c r="AN44" s="108" t="n"/>
      <c r="AO44" s="108" t="n"/>
      <c r="AP44" s="108" t="n"/>
      <c r="AQ44" s="108" t="n"/>
      <c r="AR44" s="108" t="n"/>
      <c r="AS44" s="117" t="n">
        <v>1.099737532808399</v>
      </c>
      <c r="AT44" s="112" t="n">
        <v>-0.3423336547733847</v>
      </c>
      <c r="AU44" s="118" t="inlineStr">
        <is>
          <t>N</t>
        </is>
      </c>
      <c r="AV44" s="118" t="inlineStr">
        <is>
          <t>none</t>
        </is>
      </c>
      <c r="AW44" s="124" t="n"/>
      <c r="AX44" s="119" t="n">
        <v>17.52</v>
      </c>
      <c r="AY44" s="118" t="inlineStr">
        <is>
          <t>none</t>
        </is>
      </c>
      <c r="AZ44" s="118" t="inlineStr">
        <is>
          <t>Y</t>
        </is>
      </c>
      <c r="BA44" s="118" t="inlineStr">
        <is>
          <t>2026-10-13 23:37:15</t>
        </is>
      </c>
      <c r="BB44" s="120" t="inlineStr">
        <is>
          <t>Prime Exclusive Discount</t>
        </is>
      </c>
      <c r="BC44" s="120" t="inlineStr">
        <is>
          <t>11-21 to 12-01</t>
        </is>
      </c>
      <c r="BD44" s="121" t="n">
        <v>15.99</v>
      </c>
      <c r="BE44" s="121" t="n">
        <v>13.67</v>
      </c>
      <c r="BF44" s="110">
        <f>IF(AND(ISNUMBER(BD44),ISNUMBER(BE44),N(BD44)&gt;0),1-BE44/BD44,"")</f>
        <v/>
      </c>
      <c r="BG44" s="122" t="n">
        <v>24834</v>
      </c>
      <c r="BH44" s="122" t="n">
        <v>30930</v>
      </c>
      <c r="BI44" s="123">
        <f>IF(AND(ISNUMBER(BG44),ISNUMBER(BH44),N(BH44)&gt;0),BG44/BH44,"")</f>
        <v/>
      </c>
      <c r="BJ44" s="120" t="inlineStr">
        <is>
          <t>N</t>
        </is>
      </c>
      <c r="BK44" s="120" t="inlineStr">
        <is>
          <t>Coupon 10%, 15% (11-01 to 12-05); List Price $19.99</t>
        </is>
      </c>
    </row>
    <row r="45" ht="62" customHeight="1">
      <c r="A45" s="12">
        <f>_xlfn.IMAGE("https://m.media-amazon.com/images/I/71zamuFJA8L._AC_SL1500_.jpg")</f>
        <v/>
      </c>
      <c r="B45" s="105" t="inlineStr">
        <is>
          <t>Elegear</t>
        </is>
      </c>
      <c r="C45" s="39" t="inlineStr">
        <is>
          <t>Elegear Cooling Pillow Cases for Hot Sleepers, Set of 2, Queen 20'' x 30''</t>
        </is>
      </c>
      <c r="D45" s="105" t="inlineStr">
        <is>
          <t>Aspirational</t>
        </is>
      </c>
      <c r="E45" s="106" t="inlineStr">
        <is>
          <t>Direct</t>
        </is>
      </c>
      <c r="F45" s="105" t="inlineStr">
        <is>
          <t>Synthetic cooling knit</t>
        </is>
      </c>
      <c r="G45" s="39" t="inlineStr">
        <is>
          <t>Same product (pillowcase) in the same material family: Synthetic cooling knit (product page material: Arc-Chill Cool Fabric 3.0); ours: same CooLoom cooling fabric as the CooLinens sheets.</t>
        </is>
      </c>
      <c r="H45" s="107" t="inlineStr">
        <is>
          <t>B0HFSJ3HLW</t>
        </is>
      </c>
      <c r="I45" s="107" t="inlineStr">
        <is>
          <t>B07TMF54XC</t>
        </is>
      </c>
      <c r="J45" s="105" t="inlineStr">
        <is>
          <t>Standard (20" x 26")</t>
        </is>
      </c>
      <c r="K45" s="105" t="inlineStr">
        <is>
          <t>Grey</t>
        </is>
      </c>
      <c r="L45" s="108" t="n">
        <v>19</v>
      </c>
      <c r="M45" s="39" t="inlineStr">
        <is>
          <t>B086V7TPDQ (46%), B086V2N4QX (35%)</t>
        </is>
      </c>
      <c r="N45" s="109" t="n">
        <v>16.88</v>
      </c>
      <c r="O45" s="109" t="n"/>
      <c r="P45" s="110">
        <f>IF(AND(ISNUMBER(O45),ISNUMBER(N45),N(N45)&gt;0),O45/N45-1,"")</f>
        <v/>
      </c>
      <c r="Q45" s="111">
        <f>IF(P45="","No List Price",IF(P45&lt;=0,"At/below price",IF(P45&lt;=0.12,"&lt;=12% STR zone",IF(P45&lt;=0.25,"12-25%","&gt;25% over"))))</f>
        <v/>
      </c>
      <c r="R45" s="109" t="n"/>
      <c r="S45" s="112">
        <f>IF(AND(ISNUMBER(N45),ISNUMBER(R45),N(R45)&gt;0),N45/R45-1,"")</f>
        <v/>
      </c>
      <c r="T45" s="39" t="inlineStr">
        <is>
          <t>No price for us</t>
        </is>
      </c>
      <c r="U45" s="108" t="n">
        <v>29862</v>
      </c>
      <c r="V45" s="108" t="n">
        <v>35</v>
      </c>
      <c r="W45" s="113">
        <f>IF(AND(ISNUMBER(N45),ISNUMBER(V45)),N45*V45*52/12,"")</f>
        <v/>
      </c>
      <c r="X45" s="114" t="n">
        <v>4.3</v>
      </c>
      <c r="Y45" s="108" t="n">
        <v>8391</v>
      </c>
      <c r="Z45" s="115" t="n">
        <v>46307</v>
      </c>
      <c r="AA45" s="115" t="n"/>
      <c r="AB45" s="105" t="n"/>
      <c r="AC45" s="105" t="n"/>
      <c r="AD45" s="108" t="n">
        <v>12595</v>
      </c>
      <c r="AE45" s="108" t="n">
        <v>546</v>
      </c>
      <c r="AF45" s="116" t="n">
        <v>0.8238290353314806</v>
      </c>
      <c r="AG45" s="116" t="n">
        <v>0.1761709646685192</v>
      </c>
      <c r="AH45" s="39" t="inlineStr">
        <is>
          <t>cooling pillow cases</t>
        </is>
      </c>
      <c r="AI45" s="116" t="n">
        <v>0.7178245335450576</v>
      </c>
      <c r="AJ45" s="116" t="n">
        <v>0.04525605398967844</v>
      </c>
      <c r="AK45" s="116" t="n">
        <v>0.07185391028185788</v>
      </c>
      <c r="AL45" s="116" t="n"/>
      <c r="AM45" s="108" t="n">
        <v>146</v>
      </c>
      <c r="AN45" s="108" t="n">
        <v>76</v>
      </c>
      <c r="AO45" s="108" t="n">
        <v>55</v>
      </c>
      <c r="AP45" s="108" t="n">
        <v>400</v>
      </c>
      <c r="AQ45" s="108" t="n">
        <v>23</v>
      </c>
      <c r="AR45" s="108" t="n">
        <v>7</v>
      </c>
      <c r="AS45" s="117" t="n"/>
      <c r="AT45" s="112" t="n"/>
      <c r="AU45" s="118" t="inlineStr">
        <is>
          <t>Y</t>
        </is>
      </c>
      <c r="AV45" s="118" t="inlineStr">
        <is>
          <t>List Price</t>
        </is>
      </c>
      <c r="AW45" s="119" t="n">
        <v>18.75</v>
      </c>
      <c r="AX45" s="119" t="n">
        <v>16.88</v>
      </c>
      <c r="AY45" s="118" t="inlineStr">
        <is>
          <t>none</t>
        </is>
      </c>
      <c r="AZ45" s="118" t="inlineStr">
        <is>
          <t>Y</t>
        </is>
      </c>
      <c r="BA45" s="118" t="inlineStr">
        <is>
          <t>2026-10-13 23:38:28</t>
        </is>
      </c>
      <c r="BB45" s="120" t="inlineStr">
        <is>
          <t>Prime Exclusive Discount</t>
        </is>
      </c>
      <c r="BC45" s="120" t="inlineStr">
        <is>
          <t>11-21 to 12-05</t>
        </is>
      </c>
      <c r="BD45" s="121" t="n">
        <v>18.75</v>
      </c>
      <c r="BE45" s="121" t="n">
        <v>15</v>
      </c>
      <c r="BF45" s="110">
        <f>IF(AND(ISNUMBER(BD45),ISNUMBER(BE45),N(BD45)&gt;0),1-BE45/BD45,"")</f>
        <v/>
      </c>
      <c r="BG45" s="122" t="n">
        <v>39017</v>
      </c>
      <c r="BH45" s="122" t="n">
        <v>35504</v>
      </c>
      <c r="BI45" s="123">
        <f>IF(AND(ISNUMBER(BG45),ISNUMBER(BH45),N(BH45)&gt;0),BG45/BH45,"")</f>
        <v/>
      </c>
      <c r="BJ45" s="120" t="inlineStr">
        <is>
          <t>N</t>
        </is>
      </c>
      <c r="BK45" s="120" t="inlineStr">
        <is>
          <t>List Price $18.75</t>
        </is>
      </c>
    </row>
    <row r="46" ht="62" customHeight="1">
      <c r="A46" s="12">
        <f>_xlfn.IMAGE("https://m.media-amazon.com/images/I/71Q9BFvL64L._AC_SL1500_.jpg")</f>
        <v/>
      </c>
      <c r="B46" s="105" t="inlineStr">
        <is>
          <t>LUXEAR</t>
        </is>
      </c>
      <c r="C46" s="39" t="inlineStr">
        <is>
          <t>LUXEAR 2 Pack Cooling Pillow Cases for Hot Sleepers, Arc-Chill Q-Max &gt; 0.5 Cool</t>
        </is>
      </c>
      <c r="D46" s="105" t="inlineStr">
        <is>
          <t>Aspirational</t>
        </is>
      </c>
      <c r="E46" s="106" t="inlineStr">
        <is>
          <t>Direct</t>
        </is>
      </c>
      <c r="F46" s="105" t="inlineStr">
        <is>
          <t>Synthetic cooling knit</t>
        </is>
      </c>
      <c r="G46" s="39" t="inlineStr">
        <is>
          <t>Same product (pillowcase) in the same material family: Synthetic cooling knit (product page material: One Side is Q-Max &gt;0.5 Arc-Chill Cooling Fibers, One Side is); ours: same CooLoom cooling fabric as the CooLinens sheets.</t>
        </is>
      </c>
      <c r="H46" s="107" t="inlineStr">
        <is>
          <t>B0H8YXSQ1P</t>
        </is>
      </c>
      <c r="I46" s="107" t="inlineStr">
        <is>
          <t>B07V6SKZ7V</t>
        </is>
      </c>
      <c r="J46" s="105" t="inlineStr">
        <is>
          <t>Standard (20" X 26")</t>
        </is>
      </c>
      <c r="K46" s="105" t="inlineStr">
        <is>
          <t>Gray</t>
        </is>
      </c>
      <c r="L46" s="108" t="n"/>
      <c r="M46" s="39" t="inlineStr"/>
      <c r="N46" s="109" t="n">
        <v>15.95</v>
      </c>
      <c r="O46" s="109" t="n"/>
      <c r="P46" s="110">
        <f>IF(AND(ISNUMBER(O46),ISNUMBER(N46),N(N46)&gt;0),O46/N46-1,"")</f>
        <v/>
      </c>
      <c r="Q46" s="111">
        <f>IF(P46="","No List Price",IF(P46&lt;=0,"At/below price",IF(P46&lt;=0.12,"&lt;=12% STR zone",IF(P46&lt;=0.25,"12-25%","&gt;25% over"))))</f>
        <v/>
      </c>
      <c r="R46" s="109" t="n"/>
      <c r="S46" s="112">
        <f>IF(AND(ISNUMBER(N46),ISNUMBER(R46),N(R46)&gt;0),N46/R46-1,"")</f>
        <v/>
      </c>
      <c r="T46" s="39" t="inlineStr">
        <is>
          <t>No price for us</t>
        </is>
      </c>
      <c r="U46" s="108" t="n">
        <v>50724</v>
      </c>
      <c r="V46" s="108" t="n">
        <v>35</v>
      </c>
      <c r="W46" s="113">
        <f>IF(AND(ISNUMBER(N46),ISNUMBER(V46)),N46*V46*52/12,"")</f>
        <v/>
      </c>
      <c r="X46" s="114" t="n">
        <v>4.2</v>
      </c>
      <c r="Y46" s="108" t="n">
        <v>6718</v>
      </c>
      <c r="Z46" s="115" t="n">
        <v>46307</v>
      </c>
      <c r="AA46" s="115" t="n"/>
      <c r="AB46" s="105" t="n"/>
      <c r="AC46" s="105" t="n"/>
      <c r="AD46" s="108" t="n"/>
      <c r="AE46" s="108" t="n"/>
      <c r="AF46" s="116" t="n"/>
      <c r="AG46" s="116" t="n"/>
      <c r="AH46" s="39" t="n"/>
      <c r="AI46" s="116" t="n"/>
      <c r="AJ46" s="116" t="n"/>
      <c r="AK46" s="116" t="n"/>
      <c r="AL46" s="116" t="n"/>
      <c r="AM46" s="108" t="n"/>
      <c r="AN46" s="108" t="n"/>
      <c r="AO46" s="108" t="n"/>
      <c r="AP46" s="108" t="n"/>
      <c r="AQ46" s="108" t="n"/>
      <c r="AR46" s="108" t="n"/>
      <c r="AS46" s="117" t="n"/>
      <c r="AT46" s="112" t="n"/>
      <c r="AU46" s="118" t="inlineStr">
        <is>
          <t>N</t>
        </is>
      </c>
      <c r="AV46" s="118" t="inlineStr">
        <is>
          <t>none</t>
        </is>
      </c>
      <c r="AW46" s="124" t="n"/>
      <c r="AX46" s="119" t="n">
        <v>15.95</v>
      </c>
      <c r="AY46" s="118" t="inlineStr">
        <is>
          <t>none</t>
        </is>
      </c>
      <c r="AZ46" s="118" t="inlineStr">
        <is>
          <t>Y</t>
        </is>
      </c>
      <c r="BA46" s="118" t="inlineStr">
        <is>
          <t>2026-10-13 23:38:46</t>
        </is>
      </c>
      <c r="BB46" s="120" t="inlineStr">
        <is>
          <t>None</t>
        </is>
      </c>
      <c r="BC46" s="125" t="n"/>
      <c r="BD46" s="121" t="n">
        <v>15.95</v>
      </c>
      <c r="BE46" s="121" t="n">
        <v>15.95</v>
      </c>
      <c r="BF46" s="110">
        <f>IF(AND(ISNUMBER(BD46),ISNUMBER(BE46),N(BD46)&gt;0),1-BE46/BD46,"")</f>
        <v/>
      </c>
      <c r="BG46" s="122" t="n">
        <v>43917</v>
      </c>
      <c r="BH46" s="122" t="n">
        <v>48224</v>
      </c>
      <c r="BI46" s="123">
        <f>IF(AND(ISNUMBER(BG46),ISNUMBER(BH46),N(BH46)&gt;0),BG46/BH46,"")</f>
        <v/>
      </c>
      <c r="BJ46" s="120" t="inlineStr">
        <is>
          <t>N</t>
        </is>
      </c>
      <c r="BK46" s="120" t="inlineStr">
        <is>
          <t>List Price $24.99</t>
        </is>
      </c>
    </row>
    <row r="47" ht="62" customHeight="1">
      <c r="A47" s="12">
        <f>_xlfn.IMAGE("https://images-na.ssl-images-amazon.com/images/I/81mbqqKQImL.jpg")</f>
        <v/>
      </c>
      <c r="B47" s="105" t="inlineStr">
        <is>
          <t>CHOSHOME</t>
        </is>
      </c>
      <c r="C47" s="39" t="inlineStr">
        <is>
          <t>CHOSHOME Cooling Pillow Cases Zipper Pillow Covers Q-Max &gt; 0.45 Zippered Pillowcases for Hot Sleepers, Soft, Breathable, Skin-Friendly, 2 Pack (Standard, 20" x 26", Grey)</t>
        </is>
      </c>
      <c r="D47" s="105" t="inlineStr">
        <is>
          <t>Beatable</t>
        </is>
      </c>
      <c r="E47" s="106" t="inlineStr">
        <is>
          <t>Direct</t>
        </is>
      </c>
      <c r="F47" s="105" t="inlineStr">
        <is>
          <t>Synthetic cooling knit</t>
        </is>
      </c>
      <c r="G47" s="39" t="inlineStr">
        <is>
          <t>Same product (pillowcase) in the same material family: Synthetic cooling knit (title: CHOSHOME Cooling Pillow Cases Zipper Pillow Covers Q-Max &gt; 0); ours: same CooLoom cooling fabric as the CooLinens sheets.</t>
        </is>
      </c>
      <c r="H47" s="107" t="inlineStr">
        <is>
          <t>B0B75178W1</t>
        </is>
      </c>
      <c r="I47" s="107" t="inlineStr">
        <is>
          <t>B08X2KBD67</t>
        </is>
      </c>
      <c r="J47" s="105" t="inlineStr">
        <is>
          <t>Standard</t>
        </is>
      </c>
      <c r="K47" s="105" t="inlineStr">
        <is>
          <t>Grey</t>
        </is>
      </c>
      <c r="L47" s="108" t="n">
        <v>54</v>
      </c>
      <c r="M47" s="39" t="inlineStr">
        <is>
          <t>B08X2KBD67 (85%)</t>
        </is>
      </c>
      <c r="N47" s="109" t="n">
        <v>14.6</v>
      </c>
      <c r="O47" s="109" t="n"/>
      <c r="P47" s="110">
        <f>IF(AND(ISNUMBER(O47),ISNUMBER(N47),N(N47)&gt;0),O47/N47-1,"")</f>
        <v/>
      </c>
      <c r="Q47" s="111">
        <f>IF(P47="","No List Price",IF(P47&lt;=0,"At/below price",IF(P47&lt;=0.12,"&lt;=12% STR zone",IF(P47&lt;=0.25,"12-25%","&gt;25% over"))))</f>
        <v/>
      </c>
      <c r="R47" s="109" t="n">
        <v>17.99</v>
      </c>
      <c r="S47" s="112">
        <f>IF(AND(ISNUMBER(N47),ISNUMBER(R47),N(R47)&gt;0),N47/R47-1,"")</f>
        <v/>
      </c>
      <c r="T47" s="39" t="inlineStr">
        <is>
          <t>Same size (Standard). Ours live: catalog price, 2026-10-13; 4 children</t>
        </is>
      </c>
      <c r="U47" s="108" t="n">
        <v>28988</v>
      </c>
      <c r="V47" s="108" t="n">
        <v>104</v>
      </c>
      <c r="W47" s="113">
        <f>IF(AND(ISNUMBER(N47),ISNUMBER(V47)),N47*V47*52/12,"")</f>
        <v/>
      </c>
      <c r="X47" s="114" t="n">
        <v>4.4</v>
      </c>
      <c r="Y47" s="108" t="n">
        <v>1768</v>
      </c>
      <c r="Z47" s="115" t="n">
        <v>46307</v>
      </c>
      <c r="AA47" s="115" t="n">
        <v>44247</v>
      </c>
      <c r="AB47" s="105" t="inlineStr">
        <is>
          <t>FBA</t>
        </is>
      </c>
      <c r="AC47" s="105" t="inlineStr">
        <is>
          <t>CN</t>
        </is>
      </c>
      <c r="AD47" s="108" t="n">
        <v>17999</v>
      </c>
      <c r="AE47" s="108" t="n">
        <v>499</v>
      </c>
      <c r="AF47" s="116" t="n">
        <v>0.8252617812100672</v>
      </c>
      <c r="AG47" s="116" t="n">
        <v>0.1747382187899328</v>
      </c>
      <c r="AH47" s="39" t="inlineStr">
        <is>
          <t>cooling pillow cases</t>
        </is>
      </c>
      <c r="AI47" s="116" t="n">
        <v>0.5976443135729763</v>
      </c>
      <c r="AJ47" s="116" t="n"/>
      <c r="AK47" s="116" t="n">
        <v>0.4869714984165787</v>
      </c>
      <c r="AL47" s="116" t="n">
        <v>0.01083393521862326</v>
      </c>
      <c r="AM47" s="108" t="n">
        <v>125</v>
      </c>
      <c r="AN47" s="108" t="n">
        <v>51</v>
      </c>
      <c r="AO47" s="108" t="n">
        <v>67</v>
      </c>
      <c r="AP47" s="108" t="n">
        <v>374</v>
      </c>
      <c r="AQ47" s="108" t="n">
        <v>40</v>
      </c>
      <c r="AR47" s="108" t="n">
        <v>3</v>
      </c>
      <c r="AS47" s="117" t="n">
        <v>1.111111111111111</v>
      </c>
      <c r="AT47" s="112" t="n">
        <v>0.1746031746031744</v>
      </c>
      <c r="AU47" s="118" t="inlineStr">
        <is>
          <t>N</t>
        </is>
      </c>
      <c r="AV47" s="118" t="inlineStr">
        <is>
          <t>none</t>
        </is>
      </c>
      <c r="AW47" s="124" t="n"/>
      <c r="AX47" s="119" t="n">
        <v>14.6</v>
      </c>
      <c r="AY47" s="118" t="inlineStr">
        <is>
          <t>none</t>
        </is>
      </c>
      <c r="AZ47" s="118" t="inlineStr">
        <is>
          <t>Y</t>
        </is>
      </c>
      <c r="BA47" s="118" t="inlineStr">
        <is>
          <t>2026-10-13 23:37:56</t>
        </is>
      </c>
      <c r="BB47" s="120" t="inlineStr">
        <is>
          <t>Prime Exclusive Discount</t>
        </is>
      </c>
      <c r="BC47" s="120" t="inlineStr">
        <is>
          <t>11-24 to 12-01</t>
        </is>
      </c>
      <c r="BD47" s="121" t="n">
        <v>15.56</v>
      </c>
      <c r="BE47" s="121" t="n">
        <v>13.13</v>
      </c>
      <c r="BF47" s="110">
        <f>IF(AND(ISNUMBER(BD47),ISNUMBER(BE47),N(BD47)&gt;0),1-BE47/BD47,"")</f>
        <v/>
      </c>
      <c r="BG47" s="122" t="n">
        <v>42613</v>
      </c>
      <c r="BH47" s="122" t="n">
        <v>41326</v>
      </c>
      <c r="BI47" s="123">
        <f>IF(AND(ISNUMBER(BG47),ISNUMBER(BH47),N(BH47)&gt;0),BG47/BH47,"")</f>
        <v/>
      </c>
      <c r="BJ47" s="120" t="inlineStr">
        <is>
          <t>N</t>
        </is>
      </c>
      <c r="BK47" s="120" t="inlineStr">
        <is>
          <t>List Price $19.99</t>
        </is>
      </c>
    </row>
    <row r="48" ht="62" customHeight="1">
      <c r="A48" s="12">
        <f>_xlfn.IMAGE("https://images-na.ssl-images-amazon.com/images/I/61xlOGglCHL.jpg")</f>
        <v/>
      </c>
      <c r="B48" s="105" t="inlineStr">
        <is>
          <t>QUTOOL</t>
        </is>
      </c>
      <c r="C48" s="39" t="inlineStr">
        <is>
          <t>Luxury Cooling Pillowcases Queen Size 2 Pack, Q-Max&gt;0.4 Cool Touch for Hot Sleepers&amp;Night Sweats Beauty Sleep Anti-Frizz, Softer Than Silk Pillowcover Oeko-TEX Certified Light Gray</t>
        </is>
      </c>
      <c r="D48" s="105" t="inlineStr">
        <is>
          <t>Beatable</t>
        </is>
      </c>
      <c r="E48" s="106" t="inlineStr">
        <is>
          <t>Direct</t>
        </is>
      </c>
      <c r="F48" s="105" t="inlineStr">
        <is>
          <t>Synthetic cooling knit</t>
        </is>
      </c>
      <c r="G48" s="39" t="inlineStr">
        <is>
          <t>Same product (pillowcase) in the same material family: Synthetic cooling knit (title: Luxury Cooling Pillowcases Queen Size 2 Pack, Q-Max&gt;0.4 Cool); ours: same CooLoom cooling fabric as the CooLinens sheets.</t>
        </is>
      </c>
      <c r="H48" s="107" t="inlineStr">
        <is>
          <t>B0DL5R7SSB</t>
        </is>
      </c>
      <c r="I48" s="107" t="inlineStr">
        <is>
          <t>B0DLB4PQS8</t>
        </is>
      </c>
      <c r="J48" s="105" t="inlineStr">
        <is>
          <t>Queen</t>
        </is>
      </c>
      <c r="K48" s="105" t="inlineStr">
        <is>
          <t>Gray</t>
        </is>
      </c>
      <c r="L48" s="108" t="n">
        <v>22</v>
      </c>
      <c r="M48" s="39" t="inlineStr">
        <is>
          <t>B0DLB4PQS8 (41%), B0FXWZM587 (16%), B0DL9Y3JVW (13%), B0DL9ZXKXM (12%)</t>
        </is>
      </c>
      <c r="N48" s="109" t="n">
        <v>16.99</v>
      </c>
      <c r="O48" s="109" t="n"/>
      <c r="P48" s="110">
        <f>IF(AND(ISNUMBER(O48),ISNUMBER(N48),N(N48)&gt;0),O48/N48-1,"")</f>
        <v/>
      </c>
      <c r="Q48" s="111">
        <f>IF(P48="","No List Price",IF(P48&lt;=0,"At/below price",IF(P48&lt;=0.12,"&lt;=12% STR zone",IF(P48&lt;=0.25,"12-25%","&gt;25% over"))))</f>
        <v/>
      </c>
      <c r="R48" s="109" t="n">
        <v>19.99</v>
      </c>
      <c r="S48" s="112">
        <f>IF(AND(ISNUMBER(N48),ISNUMBER(R48),N(R48)&gt;0),N48/R48-1,"")</f>
        <v/>
      </c>
      <c r="T48" s="39" t="inlineStr">
        <is>
          <t>Same size (Queen). Ours live: catalog price, 2026-10-13; 4 children</t>
        </is>
      </c>
      <c r="U48" s="108" t="n">
        <v>39446</v>
      </c>
      <c r="V48" s="108" t="n">
        <v>35</v>
      </c>
      <c r="W48" s="113">
        <f>IF(AND(ISNUMBER(N48),ISNUMBER(V48)),N48*V48*52/12,"")</f>
        <v/>
      </c>
      <c r="X48" s="114" t="n">
        <v>4.4</v>
      </c>
      <c r="Y48" s="108" t="n">
        <v>769</v>
      </c>
      <c r="Z48" s="115" t="n">
        <v>46307</v>
      </c>
      <c r="AA48" s="115" t="n">
        <v>45695</v>
      </c>
      <c r="AB48" s="105" t="inlineStr">
        <is>
          <t>FBA</t>
        </is>
      </c>
      <c r="AC48" s="105" t="inlineStr">
        <is>
          <t>CN</t>
        </is>
      </c>
      <c r="AD48" s="108" t="n">
        <v>15503</v>
      </c>
      <c r="AE48" s="108" t="n">
        <v>408</v>
      </c>
      <c r="AF48" s="116" t="n">
        <v>0.6025155131264917</v>
      </c>
      <c r="AG48" s="116" t="n">
        <v>0.3974844868735083</v>
      </c>
      <c r="AH48" s="39" t="inlineStr">
        <is>
          <t>cooling pillow cases</t>
        </is>
      </c>
      <c r="AI48" s="116" t="n">
        <v>0.7854608785396375</v>
      </c>
      <c r="AJ48" s="116" t="n">
        <v>0.05508611236534864</v>
      </c>
      <c r="AK48" s="116" t="n"/>
      <c r="AL48" s="116" t="n"/>
      <c r="AM48" s="108" t="n">
        <v>94</v>
      </c>
      <c r="AN48" s="108" t="n">
        <v>49</v>
      </c>
      <c r="AO48" s="108" t="n">
        <v>33</v>
      </c>
      <c r="AP48" s="108" t="n">
        <v>314</v>
      </c>
      <c r="AQ48" s="108" t="n">
        <v>67</v>
      </c>
      <c r="AR48" s="108" t="n">
        <v>5</v>
      </c>
      <c r="AS48" s="117" t="n"/>
      <c r="AT48" s="112" t="n">
        <v>3.611111111111112</v>
      </c>
      <c r="AU48" s="118" t="inlineStr">
        <is>
          <t>N</t>
        </is>
      </c>
      <c r="AV48" s="118" t="inlineStr">
        <is>
          <t>none</t>
        </is>
      </c>
      <c r="AW48" s="124" t="n"/>
      <c r="AX48" s="119" t="n">
        <v>16.99</v>
      </c>
      <c r="AY48" s="118" t="inlineStr">
        <is>
          <t>none</t>
        </is>
      </c>
      <c r="AZ48" s="118" t="inlineStr">
        <is>
          <t>Y</t>
        </is>
      </c>
      <c r="BA48" s="118" t="inlineStr">
        <is>
          <t>2026-10-13 23:39:01</t>
        </is>
      </c>
      <c r="BB48" s="120" t="inlineStr">
        <is>
          <t>Lightning Deal</t>
        </is>
      </c>
      <c r="BC48" s="120" t="inlineStr">
        <is>
          <t>11-22 to 11-22</t>
        </is>
      </c>
      <c r="BD48" s="121" t="n">
        <v>18.99</v>
      </c>
      <c r="BE48" s="121" t="n">
        <v>13.99</v>
      </c>
      <c r="BF48" s="110">
        <f>IF(AND(ISNUMBER(BD48),ISNUMBER(BE48),N(BD48)&gt;0),1-BE48/BD48,"")</f>
        <v/>
      </c>
      <c r="BG48" s="122" t="n">
        <v>40612</v>
      </c>
      <c r="BH48" s="122" t="n">
        <v>31411</v>
      </c>
      <c r="BI48" s="123">
        <f>IF(AND(ISNUMBER(BG48),ISNUMBER(BH48),N(BH48)&gt;0),BG48/BH48,"")</f>
        <v/>
      </c>
      <c r="BJ48" s="120" t="inlineStr">
        <is>
          <t>N</t>
        </is>
      </c>
      <c r="BK48" s="120" t="inlineStr">
        <is>
          <t>Prime Exclusive 11-23 to 12-01; Buy Box RAISED in BFCM week (median $19.99 vs $18.99 before); List Price $29.99</t>
        </is>
      </c>
    </row>
    <row r="49" ht="62" customHeight="1">
      <c r="A49" s="12">
        <f>_xlfn.IMAGE("https://m.media-amazon.com/images/I/71B3AMV8imL._AC_SL1500_.jpg")</f>
        <v/>
      </c>
      <c r="B49" s="105" t="inlineStr">
        <is>
          <t>Breescape</t>
        </is>
      </c>
      <c r="C49" s="39" t="inlineStr">
        <is>
          <t>Breescape Cooling Pillow Cases Queen Size Set of 2, BlendTek™ Cooling Technology</t>
        </is>
      </c>
      <c r="D49" s="105" t="inlineStr">
        <is>
          <t>Beatable</t>
        </is>
      </c>
      <c r="E49" s="106" t="inlineStr">
        <is>
          <t>Direct</t>
        </is>
      </c>
      <c r="F49" s="105" t="inlineStr">
        <is>
          <t>Synthetic cooling knit</t>
        </is>
      </c>
      <c r="G49" s="39" t="inlineStr">
        <is>
          <t>Same product (pillowcase) in the same material family: Synthetic cooling knit (product page material: BlendTek™ Fabric); ours: same CooLoom cooling fabric as the CooLinens sheets.</t>
        </is>
      </c>
      <c r="H49" s="107" t="inlineStr">
        <is>
          <t>B0F53TNFSX</t>
        </is>
      </c>
      <c r="I49" s="107" t="inlineStr">
        <is>
          <t>B0DSQ12L6F</t>
        </is>
      </c>
      <c r="J49" s="105" t="inlineStr">
        <is>
          <t>King</t>
        </is>
      </c>
      <c r="K49" s="105" t="inlineStr">
        <is>
          <t>Misty Gray</t>
        </is>
      </c>
      <c r="L49" s="108" t="n">
        <v>13</v>
      </c>
      <c r="M49" s="39" t="inlineStr">
        <is>
          <t>B0DSQ112N7 (57%), B0DSQ178L4 (15%), B0DSQ1KYQ8 (5%), B0DSQ26ZYC (5%)</t>
        </is>
      </c>
      <c r="N49" s="109" t="n">
        <v>54.99</v>
      </c>
      <c r="O49" s="109" t="n"/>
      <c r="P49" s="110">
        <f>IF(AND(ISNUMBER(O49),ISNUMBER(N49),N(N49)&gt;0),O49/N49-1,"")</f>
        <v/>
      </c>
      <c r="Q49" s="111">
        <f>IF(P49="","No List Price",IF(P49&lt;=0,"At/below price",IF(P49&lt;=0.12,"&lt;=12% STR zone",IF(P49&lt;=0.25,"12-25%","&gt;25% over"))))</f>
        <v/>
      </c>
      <c r="R49" s="109" t="n">
        <v>20.99</v>
      </c>
      <c r="S49" s="112">
        <f>IF(AND(ISNUMBER(N49),ISNUMBER(R49),N(R49)&gt;0),N49/R49-1,"")</f>
        <v/>
      </c>
      <c r="T49" s="39" t="inlineStr">
        <is>
          <t>Same size (King). Ours live: catalog price, 2026-10-13; 4 children</t>
        </is>
      </c>
      <c r="U49" s="108" t="n">
        <v>132996</v>
      </c>
      <c r="V49" s="108" t="n">
        <v>18</v>
      </c>
      <c r="W49" s="113">
        <f>IF(AND(ISNUMBER(N49),ISNUMBER(V49)),N49*V49*52/12,"")</f>
        <v/>
      </c>
      <c r="X49" s="114" t="n">
        <v>4.4</v>
      </c>
      <c r="Y49" s="108" t="n">
        <v>305</v>
      </c>
      <c r="Z49" s="115" t="n">
        <v>46307</v>
      </c>
      <c r="AA49" s="115" t="n"/>
      <c r="AB49" s="105" t="n"/>
      <c r="AC49" s="105" t="n"/>
      <c r="AD49" s="108" t="n">
        <v>25040</v>
      </c>
      <c r="AE49" s="108" t="n">
        <v>1207</v>
      </c>
      <c r="AF49" s="116" t="n">
        <v>0.3706715455271565</v>
      </c>
      <c r="AG49" s="116" t="n">
        <v>0.6293284544728435</v>
      </c>
      <c r="AH49" s="39" t="inlineStr">
        <is>
          <t>cooling pillow cases</t>
        </is>
      </c>
      <c r="AI49" s="116" t="n">
        <v>0.9612220447284345</v>
      </c>
      <c r="AJ49" s="116" t="n">
        <v>0.6791932907348243</v>
      </c>
      <c r="AK49" s="116" t="n">
        <v>0.6243610223642172</v>
      </c>
      <c r="AL49" s="116" t="n">
        <v>0.006869009584664537</v>
      </c>
      <c r="AM49" s="108" t="n">
        <v>170</v>
      </c>
      <c r="AN49" s="108" t="n">
        <v>81</v>
      </c>
      <c r="AO49" s="108" t="n">
        <v>68</v>
      </c>
      <c r="AP49" s="108" t="n">
        <v>1037</v>
      </c>
      <c r="AQ49" s="108" t="n">
        <v>459</v>
      </c>
      <c r="AR49" s="108" t="n">
        <v>10</v>
      </c>
      <c r="AS49" s="117" t="n"/>
      <c r="AT49" s="112" t="n"/>
      <c r="AU49" s="118" t="inlineStr">
        <is>
          <t>N</t>
        </is>
      </c>
      <c r="AV49" s="118" t="inlineStr">
        <is>
          <t>none</t>
        </is>
      </c>
      <c r="AW49" s="124" t="n"/>
      <c r="AX49" s="119" t="n">
        <v>54.99</v>
      </c>
      <c r="AY49" s="118" t="inlineStr">
        <is>
          <t>none</t>
        </is>
      </c>
      <c r="AZ49" s="118" t="inlineStr">
        <is>
          <t>Y</t>
        </is>
      </c>
      <c r="BA49" s="118" t="inlineStr">
        <is>
          <t>2026-10-13 23:37:43</t>
        </is>
      </c>
      <c r="BB49" s="120" t="inlineStr">
        <is>
          <t>Prime Exclusive Discount</t>
        </is>
      </c>
      <c r="BC49" s="120" t="inlineStr">
        <is>
          <t>11-23 to 12-01</t>
        </is>
      </c>
      <c r="BD49" s="121" t="n">
        <v>38.49</v>
      </c>
      <c r="BE49" s="121" t="n">
        <v>36.56</v>
      </c>
      <c r="BF49" s="110">
        <f>IF(AND(ISNUMBER(BD49),ISNUMBER(BE49),N(BD49)&gt;0),1-BE49/BD49,"")</f>
        <v/>
      </c>
      <c r="BG49" s="122" t="n">
        <v>193609</v>
      </c>
      <c r="BH49" s="122" t="n">
        <v>143502</v>
      </c>
      <c r="BI49" s="123">
        <f>IF(AND(ISNUMBER(BG49),ISNUMBER(BH49),N(BH49)&gt;0),BG49/BH49,"")</f>
        <v/>
      </c>
      <c r="BJ49" s="120" t="inlineStr">
        <is>
          <t>N</t>
        </is>
      </c>
      <c r="BK49" s="120" t="inlineStr">
        <is>
          <t>Buy Box RAISED in BFCM week (median $54.99 vs $38.49 before); List Price $54.99</t>
        </is>
      </c>
    </row>
    <row r="50" ht="62" customHeight="1">
      <c r="A50" s="12">
        <f>_xlfn.IMAGE("https://images-na.ssl-images-amazon.com/images/I/71dsthjuVUL.jpg")</f>
        <v/>
      </c>
      <c r="B50" s="105" t="inlineStr">
        <is>
          <t>Fittia</t>
        </is>
      </c>
      <c r="C50" s="39" t="inlineStr">
        <is>
          <t>FITTIA Cooling Pillow Cases with Zipper, 2 Pack, Standard Size 20"x26"</t>
        </is>
      </c>
      <c r="D50" s="105" t="inlineStr">
        <is>
          <t>Beatable</t>
        </is>
      </c>
      <c r="E50" s="106" t="inlineStr">
        <is>
          <t>Direct</t>
        </is>
      </c>
      <c r="F50" s="105" t="inlineStr">
        <is>
          <t>Synthetic cooling knit</t>
        </is>
      </c>
      <c r="G50" s="39" t="inlineStr">
        <is>
          <t>Same product (pillowcase) in the same material family: Synthetic cooling knit (product page material: Both Sides Made of Q-max&gt;0.4 Cooling Fiber(50% Mica Cooling ); ours: same CooLoom cooling fabric as the CooLinens sheets.</t>
        </is>
      </c>
      <c r="H50" s="107" t="inlineStr">
        <is>
          <t>B099JMGRBY</t>
        </is>
      </c>
      <c r="I50" s="107" t="inlineStr">
        <is>
          <t>B099J7KMK5</t>
        </is>
      </c>
      <c r="J50" s="105" t="inlineStr">
        <is>
          <t>Standard 20"x 26"</t>
        </is>
      </c>
      <c r="K50" s="105" t="inlineStr">
        <is>
          <t>Grey</t>
        </is>
      </c>
      <c r="L50" s="108" t="n">
        <v>16</v>
      </c>
      <c r="M50" s="39" t="inlineStr">
        <is>
          <t>B09DJY94HD (47%), B099J7KMK5 (30%), B099HV3SX9 (13%)</t>
        </is>
      </c>
      <c r="N50" s="109" t="n">
        <v>19.99</v>
      </c>
      <c r="O50" s="109" t="n"/>
      <c r="P50" s="110">
        <f>IF(AND(ISNUMBER(O50),ISNUMBER(N50),N(N50)&gt;0),O50/N50-1,"")</f>
        <v/>
      </c>
      <c r="Q50" s="111">
        <f>IF(P50="","No List Price",IF(P50&lt;=0,"At/below price",IF(P50&lt;=0.12,"&lt;=12% STR zone",IF(P50&lt;=0.25,"12-25%","&gt;25% over"))))</f>
        <v/>
      </c>
      <c r="R50" s="109" t="n"/>
      <c r="S50" s="112">
        <f>IF(AND(ISNUMBER(N50),ISNUMBER(R50),N(R50)&gt;0),N50/R50-1,"")</f>
        <v/>
      </c>
      <c r="T50" s="39" t="inlineStr">
        <is>
          <t>No price for us</t>
        </is>
      </c>
      <c r="U50" s="108" t="n">
        <v>156607</v>
      </c>
      <c r="V50" s="108" t="n">
        <v>18</v>
      </c>
      <c r="W50" s="113">
        <f>IF(AND(ISNUMBER(N50),ISNUMBER(V50)),N50*V50*52/12,"")</f>
        <v/>
      </c>
      <c r="X50" s="114" t="n">
        <v>4.3</v>
      </c>
      <c r="Y50" s="108" t="n">
        <v>1335</v>
      </c>
      <c r="Z50" s="115" t="n">
        <v>46307</v>
      </c>
      <c r="AA50" s="115" t="n">
        <v>44392</v>
      </c>
      <c r="AB50" s="105" t="inlineStr">
        <is>
          <t>FBA</t>
        </is>
      </c>
      <c r="AC50" s="105" t="inlineStr">
        <is>
          <t>CN</t>
        </is>
      </c>
      <c r="AD50" s="108" t="n">
        <v>16144</v>
      </c>
      <c r="AE50" s="108" t="n">
        <v>429</v>
      </c>
      <c r="AF50" s="116" t="n">
        <v>0.8876912784935578</v>
      </c>
      <c r="AG50" s="116" t="n">
        <v>0.112308721506442</v>
      </c>
      <c r="AH50" s="39" t="inlineStr">
        <is>
          <t>cooling pillow cases</t>
        </is>
      </c>
      <c r="AI50" s="116" t="n">
        <v>0.6258052527254707</v>
      </c>
      <c r="AJ50" s="116" t="n">
        <v>0.5755698711595639</v>
      </c>
      <c r="AK50" s="116" t="n"/>
      <c r="AL50" s="116" t="n"/>
      <c r="AM50" s="108" t="n">
        <v>88</v>
      </c>
      <c r="AN50" s="108" t="n">
        <v>37</v>
      </c>
      <c r="AO50" s="108" t="n">
        <v>44</v>
      </c>
      <c r="AP50" s="108" t="n">
        <v>341</v>
      </c>
      <c r="AQ50" s="108" t="n">
        <v>20</v>
      </c>
      <c r="AR50" s="108" t="n">
        <v>3</v>
      </c>
      <c r="AS50" s="117" t="n">
        <v>1.175373134328358</v>
      </c>
      <c r="AT50" s="112" t="n">
        <v>0.5863636363636362</v>
      </c>
      <c r="AU50" s="118" t="inlineStr">
        <is>
          <t>N</t>
        </is>
      </c>
      <c r="AV50" s="118" t="inlineStr">
        <is>
          <t>none</t>
        </is>
      </c>
      <c r="AW50" s="124" t="n"/>
      <c r="AX50" s="119" t="n">
        <v>19.99</v>
      </c>
      <c r="AY50" s="118" t="inlineStr">
        <is>
          <t>none</t>
        </is>
      </c>
      <c r="AZ50" s="118" t="inlineStr">
        <is>
          <t>Y</t>
        </is>
      </c>
      <c r="BA50" s="118" t="inlineStr">
        <is>
          <t>2026-10-13 23:38:34</t>
        </is>
      </c>
      <c r="BB50" s="120" t="inlineStr">
        <is>
          <t>None</t>
        </is>
      </c>
      <c r="BC50" s="125" t="n"/>
      <c r="BD50" s="121" t="n">
        <v>19.99</v>
      </c>
      <c r="BE50" s="121" t="n">
        <v>19.99</v>
      </c>
      <c r="BF50" s="110">
        <f>IF(AND(ISNUMBER(BD50),ISNUMBER(BE50),N(BD50)&gt;0),1-BE50/BD50,"")</f>
        <v/>
      </c>
      <c r="BG50" s="122" t="n">
        <v>77505</v>
      </c>
      <c r="BH50" s="122" t="n">
        <v>95152</v>
      </c>
      <c r="BI50" s="123">
        <f>IF(AND(ISNUMBER(BG50),ISNUMBER(BH50),N(BH50)&gt;0),BG50/BH50,"")</f>
        <v/>
      </c>
      <c r="BJ50" s="120" t="inlineStr">
        <is>
          <t>N</t>
        </is>
      </c>
      <c r="BK50" s="120" t="inlineStr">
        <is>
          <t>List Price $21.99</t>
        </is>
      </c>
    </row>
    <row r="51" ht="62" customHeight="1">
      <c r="A51" s="12">
        <f>_xlfn.IMAGE("https://m.media-amazon.com/images/I/71h5hh9havL._AC_SL1500_.jpg")</f>
        <v/>
      </c>
      <c r="B51" s="105" t="inlineStr">
        <is>
          <t>Topcee</t>
        </is>
      </c>
      <c r="C51" s="39" t="inlineStr">
        <is>
          <t>Topcee Cooling Pillowcases, 2 Packs Queen Size Arc-Chill Q-Max&gt;0.5 Ultra Soft Co</t>
        </is>
      </c>
      <c r="D51" s="105" t="inlineStr">
        <is>
          <t>Beatable</t>
        </is>
      </c>
      <c r="E51" s="106" t="inlineStr">
        <is>
          <t>Direct</t>
        </is>
      </c>
      <c r="F51" s="105" t="inlineStr">
        <is>
          <t>Synthetic cooling knit</t>
        </is>
      </c>
      <c r="G51" s="39" t="inlineStr">
        <is>
          <t>Same product (pillowcase) in the same material family: Synthetic cooling knit (product page material: One Side is Q-Max &gt;0.4 Arc-Chill Cooling Fibers, One Side is); ours: same CooLoom cooling fabric as the CooLinens sheets.</t>
        </is>
      </c>
      <c r="H51" s="107" t="inlineStr">
        <is>
          <t>B0BR9J5DGW</t>
        </is>
      </c>
      <c r="I51" s="107" t="inlineStr">
        <is>
          <t>B0BR9J5DGW</t>
        </is>
      </c>
      <c r="J51" s="105" t="inlineStr">
        <is>
          <t>Queen(20"x30")</t>
        </is>
      </c>
      <c r="K51" s="105" t="inlineStr">
        <is>
          <t>Gray</t>
        </is>
      </c>
      <c r="L51" s="108" t="n"/>
      <c r="M51" s="39" t="inlineStr"/>
      <c r="N51" s="109" t="n">
        <v>18.95</v>
      </c>
      <c r="O51" s="109" t="n"/>
      <c r="P51" s="110">
        <f>IF(AND(ISNUMBER(O51),ISNUMBER(N51),N(N51)&gt;0),O51/N51-1,"")</f>
        <v/>
      </c>
      <c r="Q51" s="111">
        <f>IF(P51="","No List Price",IF(P51&lt;=0,"At/below price",IF(P51&lt;=0.12,"&lt;=12% STR zone",IF(P51&lt;=0.25,"12-25%","&gt;25% over"))))</f>
        <v/>
      </c>
      <c r="R51" s="109" t="n">
        <v>19.99</v>
      </c>
      <c r="S51" s="112">
        <f>IF(AND(ISNUMBER(N51),ISNUMBER(R51),N(R51)&gt;0),N51/R51-1,"")</f>
        <v/>
      </c>
      <c r="T51" s="39" t="inlineStr">
        <is>
          <t>Same size (Queen). Ours live: catalog price, 2026-10-13; 4 children</t>
        </is>
      </c>
      <c r="U51" s="108" t="n">
        <v>1292801</v>
      </c>
      <c r="V51" s="108" t="n">
        <v>5</v>
      </c>
      <c r="W51" s="113">
        <f>IF(AND(ISNUMBER(N51),ISNUMBER(V51)),N51*V51*52/12,"")</f>
        <v/>
      </c>
      <c r="X51" s="114" t="n">
        <v>4.2</v>
      </c>
      <c r="Y51" s="108" t="n">
        <v>227</v>
      </c>
      <c r="Z51" s="115" t="n">
        <v>46307</v>
      </c>
      <c r="AA51" s="115" t="n"/>
      <c r="AB51" s="105" t="n"/>
      <c r="AC51" s="105" t="n"/>
      <c r="AD51" s="108" t="n"/>
      <c r="AE51" s="108" t="n"/>
      <c r="AF51" s="116" t="n"/>
      <c r="AG51" s="116" t="n"/>
      <c r="AH51" s="39" t="n"/>
      <c r="AI51" s="116" t="n"/>
      <c r="AJ51" s="116" t="n"/>
      <c r="AK51" s="116" t="n"/>
      <c r="AL51" s="116" t="n"/>
      <c r="AM51" s="108" t="n"/>
      <c r="AN51" s="108" t="n"/>
      <c r="AO51" s="108" t="n"/>
      <c r="AP51" s="108" t="n"/>
      <c r="AQ51" s="108" t="n"/>
      <c r="AR51" s="108" t="n"/>
      <c r="AS51" s="117" t="n"/>
      <c r="AT51" s="112" t="n"/>
      <c r="AU51" s="118" t="inlineStr">
        <is>
          <t>N</t>
        </is>
      </c>
      <c r="AV51" s="118" t="inlineStr">
        <is>
          <t>none</t>
        </is>
      </c>
      <c r="AW51" s="124" t="n"/>
      <c r="AX51" s="124" t="n"/>
      <c r="AY51" s="118" t="inlineStr">
        <is>
          <t>none</t>
        </is>
      </c>
      <c r="AZ51" s="118" t="inlineStr">
        <is>
          <t>N</t>
        </is>
      </c>
      <c r="BA51" s="118" t="inlineStr">
        <is>
          <t>2026-10-13 23:39:16</t>
        </is>
      </c>
      <c r="BB51" s="120" t="inlineStr">
        <is>
          <t>None</t>
        </is>
      </c>
      <c r="BC51" s="125" t="n"/>
      <c r="BD51" s="121" t="n">
        <v>13.99</v>
      </c>
      <c r="BE51" s="121" t="n">
        <v>13.99</v>
      </c>
      <c r="BF51" s="110">
        <f>IF(AND(ISNUMBER(BD51),ISNUMBER(BE51),N(BD51)&gt;0),1-BE51/BD51,"")</f>
        <v/>
      </c>
      <c r="BG51" s="122" t="n">
        <v>379308</v>
      </c>
      <c r="BH51" s="122" t="n">
        <v>458147</v>
      </c>
      <c r="BI51" s="123">
        <f>IF(AND(ISNUMBER(BG51),ISNUMBER(BH51),N(BH51)&gt;0),BG51/BH51,"")</f>
        <v/>
      </c>
      <c r="BJ51" s="120" t="inlineStr">
        <is>
          <t>N</t>
        </is>
      </c>
      <c r="BK51" s="120" t="inlineStr">
        <is>
          <t>List Price $29.99</t>
        </is>
      </c>
    </row>
    <row r="52" ht="62" customHeight="1">
      <c r="A52" s="12">
        <f>_xlfn.IMAGE("https://images-na.ssl-images-amazon.com/images/I/81fWRYUTfVL.jpg")</f>
        <v/>
      </c>
      <c r="B52" s="105" t="inlineStr">
        <is>
          <t>Niagara Sleep Solution</t>
        </is>
      </c>
      <c r="C52" s="39" t="inlineStr">
        <is>
          <t>Niagara Set of 2 Cooling Pillow Cases Standard Size, CoolSpan™ Technology Q-Max 0.4 Cooling Pillowcases for Hot Sleepers, Hidden Zipper Pillow Covers, Soft, Anti-Static (20x26'') - Light Grey</t>
        </is>
      </c>
      <c r="D52" s="105" t="inlineStr">
        <is>
          <t>Poor</t>
        </is>
      </c>
      <c r="E52" s="106" t="inlineStr">
        <is>
          <t>Direct</t>
        </is>
      </c>
      <c r="F52" s="105" t="inlineStr">
        <is>
          <t>Synthetic cooling knit</t>
        </is>
      </c>
      <c r="G52" s="39" t="inlineStr">
        <is>
          <t>Same product (pillowcase) in the same material family: Synthetic cooling knit (title: Niagara Set of 2 Cooling Pillow Cases Standard Size, CoolSpa); ours: same CooLoom cooling fabric as the CooLinens sheets.</t>
        </is>
      </c>
      <c r="H52" s="107" t="inlineStr">
        <is>
          <t>B0CZB5B67X</t>
        </is>
      </c>
      <c r="I52" s="107" t="inlineStr">
        <is>
          <t>B0CZB5B67X</t>
        </is>
      </c>
      <c r="J52" s="105" t="inlineStr">
        <is>
          <t>Standard</t>
        </is>
      </c>
      <c r="K52" s="105" t="inlineStr">
        <is>
          <t>Grey</t>
        </is>
      </c>
      <c r="L52" s="108" t="n">
        <v>1</v>
      </c>
      <c r="M52" s="39" t="inlineStr"/>
      <c r="N52" s="109" t="n">
        <v>14.6</v>
      </c>
      <c r="O52" s="109" t="n"/>
      <c r="P52" s="110">
        <f>IF(AND(ISNUMBER(O52),ISNUMBER(N52),N(N52)&gt;0),O52/N52-1,"")</f>
        <v/>
      </c>
      <c r="Q52" s="111">
        <f>IF(P52="","No List Price",IF(P52&lt;=0,"At/below price",IF(P52&lt;=0.12,"&lt;=12% STR zone",IF(P52&lt;=0.25,"12-25%","&gt;25% over"))))</f>
        <v/>
      </c>
      <c r="R52" s="109" t="n">
        <v>17.99</v>
      </c>
      <c r="S52" s="112">
        <f>IF(AND(ISNUMBER(N52),ISNUMBER(R52),N(R52)&gt;0),N52/R52-1,"")</f>
        <v/>
      </c>
      <c r="T52" s="39" t="inlineStr">
        <is>
          <t>Same size (Standard). Ours live: catalog price, 2026-10-13; 4 children</t>
        </is>
      </c>
      <c r="U52" s="108" t="n">
        <v>1393717</v>
      </c>
      <c r="V52" s="108" t="n">
        <v>5</v>
      </c>
      <c r="W52" s="113">
        <f>IF(AND(ISNUMBER(N52),ISNUMBER(V52)),N52*V52*52/12,"")</f>
        <v/>
      </c>
      <c r="X52" s="114" t="n">
        <v>4.4</v>
      </c>
      <c r="Y52" s="108" t="n">
        <v>109</v>
      </c>
      <c r="Z52" s="115" t="n">
        <v>46307</v>
      </c>
      <c r="AA52" s="115" t="n">
        <v>45379</v>
      </c>
      <c r="AB52" s="105" t="inlineStr">
        <is>
          <t>FBM</t>
        </is>
      </c>
      <c r="AC52" s="105" t="inlineStr">
        <is>
          <t>N/A</t>
        </is>
      </c>
      <c r="AD52" s="108" t="n"/>
      <c r="AE52" s="108" t="n"/>
      <c r="AF52" s="116" t="n"/>
      <c r="AG52" s="116" t="n"/>
      <c r="AH52" s="39" t="n"/>
      <c r="AI52" s="116" t="n"/>
      <c r="AJ52" s="116" t="n"/>
      <c r="AK52" s="116" t="n"/>
      <c r="AL52" s="116" t="n"/>
      <c r="AM52" s="108" t="n"/>
      <c r="AN52" s="108" t="n"/>
      <c r="AO52" s="108" t="n"/>
      <c r="AP52" s="108" t="n"/>
      <c r="AQ52" s="108" t="n"/>
      <c r="AR52" s="108" t="n"/>
      <c r="AS52" s="117" t="n"/>
      <c r="AT52" s="112" t="n"/>
      <c r="AU52" s="118" t="inlineStr">
        <is>
          <t>N</t>
        </is>
      </c>
      <c r="AV52" s="118" t="inlineStr">
        <is>
          <t>none</t>
        </is>
      </c>
      <c r="AW52" s="124" t="n"/>
      <c r="AX52" s="124" t="n"/>
      <c r="AY52" s="118" t="inlineStr">
        <is>
          <t>none</t>
        </is>
      </c>
      <c r="AZ52" s="118" t="inlineStr">
        <is>
          <t>N</t>
        </is>
      </c>
      <c r="BA52" s="118" t="inlineStr">
        <is>
          <t>2026-10-13 23:38:55</t>
        </is>
      </c>
      <c r="BB52" s="120" t="inlineStr">
        <is>
          <t>None</t>
        </is>
      </c>
      <c r="BC52" s="125" t="n"/>
      <c r="BD52" s="121" t="n">
        <v>8.99</v>
      </c>
      <c r="BE52" s="121" t="n">
        <v>8.99</v>
      </c>
      <c r="BF52" s="110">
        <f>IF(AND(ISNUMBER(BD52),ISNUMBER(BE52),N(BD52)&gt;0),1-BE52/BD52,"")</f>
        <v/>
      </c>
      <c r="BG52" s="122" t="n">
        <v>120622</v>
      </c>
      <c r="BH52" s="122" t="n">
        <v>144150</v>
      </c>
      <c r="BI52" s="123">
        <f>IF(AND(ISNUMBER(BG52),ISNUMBER(BH52),N(BH52)&gt;0),BG52/BH52,"")</f>
        <v/>
      </c>
      <c r="BJ52" s="120" t="inlineStr">
        <is>
          <t>N</t>
        </is>
      </c>
      <c r="BK52" s="120" t="inlineStr">
        <is>
          <t>List Price $14.99</t>
        </is>
      </c>
    </row>
    <row r="53" ht="62" customHeight="1">
      <c r="A53" s="12">
        <f>_xlfn.IMAGE("https://images-na.ssl-images-amazon.com/images/I/71eYQFtuPxL.jpg")</f>
        <v/>
      </c>
      <c r="B53" s="105" t="inlineStr">
        <is>
          <t>REST</t>
        </is>
      </c>
      <c r="C53" s="39" t="inlineStr">
        <is>
          <t>REST® Evercool®+ Cooling Pillowcases for Hot Sleepers, Standard, 2PCS</t>
        </is>
      </c>
      <c r="D53" s="105" t="inlineStr">
        <is>
          <t>Beatable</t>
        </is>
      </c>
      <c r="E53" s="127" t="inlineStr">
        <is>
          <t>Material not verified</t>
        </is>
      </c>
      <c r="F53" s="105" t="n"/>
      <c r="G53" s="39" t="inlineStr">
        <is>
          <t>Pillowcase like ours, but the material is not stated (material not stated on the page or in the title); verify before treating as direct.</t>
        </is>
      </c>
      <c r="H53" s="107" t="inlineStr">
        <is>
          <t>B0C13Y18JW</t>
        </is>
      </c>
      <c r="I53" s="107" t="inlineStr">
        <is>
          <t>B0C141VGM6</t>
        </is>
      </c>
      <c r="J53" s="105" t="inlineStr">
        <is>
          <t>Standard (2 pcs)</t>
        </is>
      </c>
      <c r="K53" s="105" t="inlineStr">
        <is>
          <t>Light Gray</t>
        </is>
      </c>
      <c r="L53" s="108" t="n">
        <v>12</v>
      </c>
      <c r="M53" s="39" t="inlineStr">
        <is>
          <t>B0C141VGM6 (29%), B0C144NQ87 (22%), B0C144HZHL (11%), B0D4YFNCW6 (9%), B0D4YCZSLY (7%)</t>
        </is>
      </c>
      <c r="N53" s="109" t="n">
        <v>59.25</v>
      </c>
      <c r="O53" s="109" t="n">
        <v>79</v>
      </c>
      <c r="P53" s="110">
        <f>IF(AND(ISNUMBER(O53),ISNUMBER(N53),N(N53)&gt;0),O53/N53-1,"")</f>
        <v/>
      </c>
      <c r="Q53" s="111">
        <f>IF(P53="","No List Price",IF(P53&lt;=0,"At/below price",IF(P53&lt;=0.12,"&lt;=12% STR zone",IF(P53&lt;=0.25,"12-25%","&gt;25% over"))))</f>
        <v/>
      </c>
      <c r="R53" s="109" t="n"/>
      <c r="S53" s="112">
        <f>IF(AND(ISNUMBER(N53),ISNUMBER(R53),N(R53)&gt;0),N53/R53-1,"")</f>
        <v/>
      </c>
      <c r="T53" s="39" t="inlineStr">
        <is>
          <t>No price for us</t>
        </is>
      </c>
      <c r="U53" s="108" t="n">
        <v>4369</v>
      </c>
      <c r="V53" s="108" t="n">
        <v>208</v>
      </c>
      <c r="W53" s="113">
        <f>IF(AND(ISNUMBER(N53),ISNUMBER(V53)),N53*V53*52/12,"")</f>
        <v/>
      </c>
      <c r="X53" s="114" t="n">
        <v>4.4</v>
      </c>
      <c r="Y53" s="108" t="n">
        <v>1226</v>
      </c>
      <c r="Z53" s="115" t="n">
        <v>46307</v>
      </c>
      <c r="AA53" s="115" t="n">
        <v>45016</v>
      </c>
      <c r="AB53" s="105" t="inlineStr">
        <is>
          <t>FBA</t>
        </is>
      </c>
      <c r="AC53" s="105" t="inlineStr">
        <is>
          <t>HK</t>
        </is>
      </c>
      <c r="AD53" s="108" t="n">
        <v>345367</v>
      </c>
      <c r="AE53" s="108" t="n">
        <v>4235</v>
      </c>
      <c r="AF53" s="116" t="n">
        <v>0.2641106081356929</v>
      </c>
      <c r="AG53" s="116" t="n">
        <v>0.7358896698294859</v>
      </c>
      <c r="AH53" s="39" t="inlineStr">
        <is>
          <t>cooling pillow cases</t>
        </is>
      </c>
      <c r="AI53" s="116" t="n">
        <v>0.8527276780931589</v>
      </c>
      <c r="AJ53" s="116" t="n">
        <v>0.9219902306821439</v>
      </c>
      <c r="AK53" s="116" t="n">
        <v>0.6144159690995376</v>
      </c>
      <c r="AL53" s="116" t="n">
        <v>0.01558921379286382</v>
      </c>
      <c r="AM53" s="108" t="n">
        <v>254</v>
      </c>
      <c r="AN53" s="108" t="n">
        <v>59</v>
      </c>
      <c r="AO53" s="108" t="n">
        <v>179</v>
      </c>
      <c r="AP53" s="108" t="n">
        <v>3981</v>
      </c>
      <c r="AQ53" s="108" t="n">
        <v>1936</v>
      </c>
      <c r="AR53" s="108" t="n">
        <v>11</v>
      </c>
      <c r="AS53" s="117" t="n">
        <v>2.252856054836253</v>
      </c>
      <c r="AT53" s="112" t="n">
        <v>0.8507734303912649</v>
      </c>
      <c r="AU53" s="118" t="inlineStr">
        <is>
          <t>Y</t>
        </is>
      </c>
      <c r="AV53" s="118" t="inlineStr">
        <is>
          <t>List Price</t>
        </is>
      </c>
      <c r="AW53" s="119" t="n">
        <v>79</v>
      </c>
      <c r="AX53" s="119" t="n">
        <v>59.25</v>
      </c>
      <c r="AY53" s="118" t="inlineStr">
        <is>
          <t>none</t>
        </is>
      </c>
      <c r="AZ53" s="118" t="inlineStr">
        <is>
          <t>Y</t>
        </is>
      </c>
      <c r="BA53" s="118" t="inlineStr">
        <is>
          <t>2026-10-13 23:39:04</t>
        </is>
      </c>
      <c r="BB53" s="120" t="inlineStr">
        <is>
          <t>Price cut only</t>
        </is>
      </c>
      <c r="BC53" s="120" t="inlineStr">
        <is>
          <t>11-20 to 12-01</t>
        </is>
      </c>
      <c r="BD53" s="121" t="n">
        <v>79</v>
      </c>
      <c r="BE53" s="121" t="n">
        <v>55.3</v>
      </c>
      <c r="BF53" s="110">
        <f>IF(AND(ISNUMBER(BD53),ISNUMBER(BE53),N(BD53)&gt;0),1-BE53/BD53,"")</f>
        <v/>
      </c>
      <c r="BG53" s="122" t="n">
        <v>19299</v>
      </c>
      <c r="BH53" s="122" t="n">
        <v>9572</v>
      </c>
      <c r="BI53" s="123">
        <f>IF(AND(ISNUMBER(BG53),ISNUMBER(BH53),N(BH53)&gt;0),BG53/BH53,"")</f>
        <v/>
      </c>
      <c r="BJ53" s="120" t="inlineStr">
        <is>
          <t>N</t>
        </is>
      </c>
      <c r="BK53" s="120" t="inlineStr">
        <is>
          <t>Lightning Deal 11-15 to 11-15; List Price $79.00</t>
        </is>
      </c>
    </row>
    <row r="54" ht="62" customHeight="1">
      <c r="A54" s="12">
        <f>_xlfn.IMAGE("https://images-na.ssl-images-amazon.com/images/I/818UAaS5dSL.jpg")</f>
        <v/>
      </c>
      <c r="B54" s="105" t="inlineStr">
        <is>
          <t>HOMFINE</t>
        </is>
      </c>
      <c r="C54" s="39" t="inlineStr">
        <is>
          <t>HOMFINE Cooling Pillowcases for Hot Sleepers King Size Set of 2, Grey</t>
        </is>
      </c>
      <c r="D54" s="105" t="inlineStr">
        <is>
          <t>Beatable</t>
        </is>
      </c>
      <c r="E54" s="127" t="inlineStr">
        <is>
          <t>Material not verified</t>
        </is>
      </c>
      <c r="F54" s="105" t="n"/>
      <c r="G54" s="39" t="inlineStr">
        <is>
          <t>Pillowcase like ours, but the material is not stated (material not stated on the page or in the title); verify before treating as direct.</t>
        </is>
      </c>
      <c r="H54" s="107" t="inlineStr">
        <is>
          <t>B0CN6YFBVJ</t>
        </is>
      </c>
      <c r="I54" s="107" t="inlineStr">
        <is>
          <t>B0BLT2MCT6</t>
        </is>
      </c>
      <c r="J54" s="105" t="inlineStr">
        <is>
          <t>King</t>
        </is>
      </c>
      <c r="K54" s="105" t="inlineStr">
        <is>
          <t>Grey</t>
        </is>
      </c>
      <c r="L54" s="108" t="n">
        <v>22</v>
      </c>
      <c r="M54" s="39" t="inlineStr">
        <is>
          <t>B0BLT2MCT6 (55%), B0DJ7B3X2K (15%), B0FRLJV2B3 (15%)</t>
        </is>
      </c>
      <c r="N54" s="109" t="n">
        <v>9.99</v>
      </c>
      <c r="O54" s="109" t="n"/>
      <c r="P54" s="110">
        <f>IF(AND(ISNUMBER(O54),ISNUMBER(N54),N(N54)&gt;0),O54/N54-1,"")</f>
        <v/>
      </c>
      <c r="Q54" s="111">
        <f>IF(P54="","No List Price",IF(P54&lt;=0,"At/below price",IF(P54&lt;=0.12,"&lt;=12% STR zone",IF(P54&lt;=0.25,"12-25%","&gt;25% over"))))</f>
        <v/>
      </c>
      <c r="R54" s="109" t="n">
        <v>20.99</v>
      </c>
      <c r="S54" s="112">
        <f>IF(AND(ISNUMBER(N54),ISNUMBER(R54),N(R54)&gt;0),N54/R54-1,"")</f>
        <v/>
      </c>
      <c r="T54" s="39" t="inlineStr">
        <is>
          <t>Same size (King). Ours live: catalog price, 2026-10-13; 4 children</t>
        </is>
      </c>
      <c r="U54" s="108" t="n">
        <v>31417</v>
      </c>
      <c r="V54" s="108" t="n">
        <v>81</v>
      </c>
      <c r="W54" s="113">
        <f>IF(AND(ISNUMBER(N54),ISNUMBER(V54)),N54*V54*52/12,"")</f>
        <v/>
      </c>
      <c r="X54" s="114" t="n">
        <v>4.3</v>
      </c>
      <c r="Y54" s="108" t="n">
        <v>1309</v>
      </c>
      <c r="Z54" s="115" t="n">
        <v>46307</v>
      </c>
      <c r="AA54" s="115" t="n"/>
      <c r="AB54" s="105" t="n"/>
      <c r="AC54" s="105" t="n"/>
      <c r="AD54" s="108" t="n">
        <v>17008</v>
      </c>
      <c r="AE54" s="108" t="n">
        <v>741</v>
      </c>
      <c r="AF54" s="116" t="n">
        <v>0.9595514640169331</v>
      </c>
      <c r="AG54" s="116" t="n">
        <v>0.04045323965192851</v>
      </c>
      <c r="AH54" s="39" t="inlineStr">
        <is>
          <t>cooling pillow cases</t>
        </is>
      </c>
      <c r="AI54" s="116" t="n">
        <v>0.2387699905926623</v>
      </c>
      <c r="AJ54" s="116" t="n">
        <v>0.2089604891815616</v>
      </c>
      <c r="AK54" s="116" t="n">
        <v>0.1087135465663217</v>
      </c>
      <c r="AL54" s="116" t="n">
        <v>0.001528692380056444</v>
      </c>
      <c r="AM54" s="108" t="n">
        <v>202</v>
      </c>
      <c r="AN54" s="108" t="n">
        <v>102</v>
      </c>
      <c r="AO54" s="108" t="n">
        <v>82</v>
      </c>
      <c r="AP54" s="108" t="n">
        <v>539</v>
      </c>
      <c r="AQ54" s="108" t="n">
        <v>26</v>
      </c>
      <c r="AR54" s="108" t="n">
        <v>2</v>
      </c>
      <c r="AS54" s="117" t="n">
        <v>0.8495145631067961</v>
      </c>
      <c r="AT54" s="112" t="n">
        <v>0.4323144104803494</v>
      </c>
      <c r="AU54" s="118" t="inlineStr">
        <is>
          <t>Y</t>
        </is>
      </c>
      <c r="AV54" s="118" t="inlineStr">
        <is>
          <t>Typical price</t>
        </is>
      </c>
      <c r="AW54" s="119" t="n">
        <v>12.99</v>
      </c>
      <c r="AX54" s="119" t="n">
        <v>9.99</v>
      </c>
      <c r="AY54" s="118" t="inlineStr">
        <is>
          <t>none</t>
        </is>
      </c>
      <c r="AZ54" s="118" t="inlineStr">
        <is>
          <t>Y</t>
        </is>
      </c>
      <c r="BA54" s="118" t="inlineStr">
        <is>
          <t>2026-10-13 23:38:40</t>
        </is>
      </c>
      <c r="BB54" s="120" t="inlineStr">
        <is>
          <t>Prime Exclusive Discount</t>
        </is>
      </c>
      <c r="BC54" s="120" t="inlineStr">
        <is>
          <t>11-22 to 12-01</t>
        </is>
      </c>
      <c r="BD54" s="121" t="n">
        <v>23.99</v>
      </c>
      <c r="BE54" s="121" t="n">
        <v>18.23</v>
      </c>
      <c r="BF54" s="110">
        <f>IF(AND(ISNUMBER(BD54),ISNUMBER(BE54),N(BD54)&gt;0),1-BE54/BD54,"")</f>
        <v/>
      </c>
      <c r="BG54" s="122" t="n">
        <v>68682</v>
      </c>
      <c r="BH54" s="122" t="n">
        <v>67893</v>
      </c>
      <c r="BI54" s="123">
        <f>IF(AND(ISNUMBER(BG54),ISNUMBER(BH54),N(BH54)&gt;0),BG54/BH54,"")</f>
        <v/>
      </c>
      <c r="BJ54" s="120" t="inlineStr">
        <is>
          <t>N</t>
        </is>
      </c>
      <c r="BK54" s="120" t="inlineStr">
        <is>
          <t>Coupon 20%, 24% (11-01 to 11-19); List Price $24.99</t>
        </is>
      </c>
    </row>
    <row r="55" ht="62" customHeight="1">
      <c r="A55" s="12">
        <f>_xlfn.IMAGE("https://images-na.ssl-images-amazon.com/images/I/81lPRf0QezL.jpg")</f>
        <v/>
      </c>
      <c r="B55" s="105" t="inlineStr">
        <is>
          <t>Bedsure</t>
        </is>
      </c>
      <c r="C55" s="39" t="inlineStr">
        <is>
          <t>Bedsure Cooling Pillow Cases Queen Size Set of 2 for Hot Sleepers, Grey</t>
        </is>
      </c>
      <c r="D55" s="105" t="inlineStr">
        <is>
          <t>Beatable</t>
        </is>
      </c>
      <c r="E55" s="127" t="inlineStr">
        <is>
          <t>Material not verified</t>
        </is>
      </c>
      <c r="F55" s="105" t="n"/>
      <c r="G55" s="39" t="inlineStr">
        <is>
          <t>Pillowcase like ours, but the material is not stated (material not stated on the page or in the title); verify before treating as direct.</t>
        </is>
      </c>
      <c r="H55" s="107" t="inlineStr">
        <is>
          <t>B0GS2D7MBT</t>
        </is>
      </c>
      <c r="I55" s="107" t="inlineStr">
        <is>
          <t>B0CP3NX181</t>
        </is>
      </c>
      <c r="J55" s="105" t="inlineStr">
        <is>
          <t>Queen</t>
        </is>
      </c>
      <c r="K55" s="105" t="inlineStr">
        <is>
          <t>Grey</t>
        </is>
      </c>
      <c r="L55" s="108" t="n">
        <v>7</v>
      </c>
      <c r="M55" s="39" t="inlineStr">
        <is>
          <t>B0CP3NQSTG (62%), B0CP3P1HRF (34%)</t>
        </is>
      </c>
      <c r="N55" s="109" t="n">
        <v>18.99</v>
      </c>
      <c r="O55" s="109" t="n">
        <v>24.99</v>
      </c>
      <c r="P55" s="110">
        <f>IF(AND(ISNUMBER(O55),ISNUMBER(N55),N(N55)&gt;0),O55/N55-1,"")</f>
        <v/>
      </c>
      <c r="Q55" s="111">
        <f>IF(P55="","No List Price",IF(P55&lt;=0,"At/below price",IF(P55&lt;=0.12,"&lt;=12% STR zone",IF(P55&lt;=0.25,"12-25%","&gt;25% over"))))</f>
        <v/>
      </c>
      <c r="R55" s="109" t="n">
        <v>19.99</v>
      </c>
      <c r="S55" s="112">
        <f>IF(AND(ISNUMBER(N55),ISNUMBER(R55),N(R55)&gt;0),N55/R55-1,"")</f>
        <v/>
      </c>
      <c r="T55" s="39" t="inlineStr">
        <is>
          <t>Same size (Queen). Ours live: catalog price, 2026-10-13; 4 children</t>
        </is>
      </c>
      <c r="U55" s="108" t="n">
        <v>156798</v>
      </c>
      <c r="V55" s="108" t="n">
        <v>5</v>
      </c>
      <c r="W55" s="113">
        <f>IF(AND(ISNUMBER(N55),ISNUMBER(V55)),N55*V55*52/12,"")</f>
        <v/>
      </c>
      <c r="X55" s="114" t="n">
        <v>4.5</v>
      </c>
      <c r="Y55" s="108" t="n">
        <v>676</v>
      </c>
      <c r="Z55" s="115" t="n">
        <v>46307</v>
      </c>
      <c r="AA55" s="115" t="n"/>
      <c r="AB55" s="105" t="n"/>
      <c r="AC55" s="105" t="n"/>
      <c r="AD55" s="108" t="n">
        <v>38313</v>
      </c>
      <c r="AE55" s="108" t="n">
        <v>2045</v>
      </c>
      <c r="AF55" s="116" t="n">
        <v>0.4058418317542347</v>
      </c>
      <c r="AG55" s="116" t="n">
        <v>0.5941581682457653</v>
      </c>
      <c r="AH55" s="39" t="inlineStr">
        <is>
          <t>cooling pillow cases</t>
        </is>
      </c>
      <c r="AI55" s="116" t="n">
        <v>0.2079450839140762</v>
      </c>
      <c r="AJ55" s="116" t="n">
        <v>0.6478218881319656</v>
      </c>
      <c r="AK55" s="116" t="n"/>
      <c r="AL55" s="116" t="n"/>
      <c r="AM55" s="108" t="n">
        <v>211</v>
      </c>
      <c r="AN55" s="108" t="n">
        <v>97</v>
      </c>
      <c r="AO55" s="108" t="n">
        <v>98</v>
      </c>
      <c r="AP55" s="108" t="n">
        <v>1834</v>
      </c>
      <c r="AQ55" s="108" t="n">
        <v>780</v>
      </c>
      <c r="AR55" s="108" t="n">
        <v>4</v>
      </c>
      <c r="AS55" s="117" t="n"/>
      <c r="AT55" s="112" t="n"/>
      <c r="AU55" s="118" t="inlineStr">
        <is>
          <t>unknown</t>
        </is>
      </c>
      <c r="AV55" s="125" t="n"/>
      <c r="AW55" s="124" t="n"/>
      <c r="AX55" s="124" t="n"/>
      <c r="AY55" s="125" t="n"/>
      <c r="AZ55" s="125" t="n"/>
      <c r="BA55" s="118" t="inlineStr">
        <is>
          <t>2026-10-13 23:37:18</t>
        </is>
      </c>
      <c r="BB55" s="120" t="inlineStr">
        <is>
          <t>None</t>
        </is>
      </c>
      <c r="BC55" s="125" t="n"/>
      <c r="BD55" s="124" t="n"/>
      <c r="BE55" s="121" t="n">
        <v>24.99</v>
      </c>
      <c r="BF55" s="110">
        <f>IF(AND(ISNUMBER(BD55),ISNUMBER(BE55),N(BD55)&gt;0),1-BE55/BD55,"")</f>
        <v/>
      </c>
      <c r="BG55" s="122" t="n">
        <v>71196</v>
      </c>
      <c r="BH55" s="122" t="n">
        <v>84389</v>
      </c>
      <c r="BI55" s="123">
        <f>IF(AND(ISNUMBER(BG55),ISNUMBER(BH55),N(BH55)&gt;0),BG55/BH55,"")</f>
        <v/>
      </c>
      <c r="BJ55" s="120" t="inlineStr">
        <is>
          <t>Y</t>
        </is>
      </c>
      <c r="BK55" s="120" t="inlineStr">
        <is>
          <t>List Price $32.99</t>
        </is>
      </c>
    </row>
    <row r="56" ht="62" customHeight="1">
      <c r="A56" s="12">
        <f>_xlfn.IMAGE("https://m.media-amazon.com/images/I/51JlZslZgfL._AC_SL1005_.jpg")</f>
        <v/>
      </c>
      <c r="B56" s="105" t="inlineStr">
        <is>
          <t>Coop Home Goods</t>
        </is>
      </c>
      <c r="C56" s="39" t="inlineStr">
        <is>
          <t>Coop Home Goods Cool Side Pillowcase, Queen Size Cooling Pillow Case for Hot Sle</t>
        </is>
      </c>
      <c r="D56" s="105" t="inlineStr">
        <is>
          <t>Beatable</t>
        </is>
      </c>
      <c r="E56" s="127" t="inlineStr">
        <is>
          <t>Material not verified</t>
        </is>
      </c>
      <c r="F56" s="105" t="n"/>
      <c r="G56" s="39" t="inlineStr">
        <is>
          <t>Pillowcase like ours, but the material is not stated (material not stated on the page or in the title); verify before treating as direct.</t>
        </is>
      </c>
      <c r="H56" s="107" t="inlineStr">
        <is>
          <t>B0DGH3JKZ5</t>
        </is>
      </c>
      <c r="I56" s="107" t="inlineStr">
        <is>
          <t>B08B448344</t>
        </is>
      </c>
      <c r="J56" s="105" t="inlineStr">
        <is>
          <t>Queen</t>
        </is>
      </c>
      <c r="K56" s="105" t="inlineStr">
        <is>
          <t>Standard</t>
        </is>
      </c>
      <c r="L56" s="108" t="n">
        <v>7</v>
      </c>
      <c r="M56" s="39" t="inlineStr">
        <is>
          <t>B0CQBCS63N (34%), B08B448344 (27%), B0CQB8LNYY (15%), B0CQB3P54Y (11%)</t>
        </is>
      </c>
      <c r="N56" s="109" t="n">
        <v>25.5</v>
      </c>
      <c r="O56" s="109" t="n"/>
      <c r="P56" s="110">
        <f>IF(AND(ISNUMBER(O56),ISNUMBER(N56),N(N56)&gt;0),O56/N56-1,"")</f>
        <v/>
      </c>
      <c r="Q56" s="111">
        <f>IF(P56="","No List Price",IF(P56&lt;=0,"At/below price",IF(P56&lt;=0.12,"&lt;=12% STR zone",IF(P56&lt;=0.25,"12-25%","&gt;25% over"))))</f>
        <v/>
      </c>
      <c r="R56" s="109" t="n">
        <v>19.99</v>
      </c>
      <c r="S56" s="112">
        <f>IF(AND(ISNUMBER(N56),ISNUMBER(R56),N(R56)&gt;0),N56/R56-1,"")</f>
        <v/>
      </c>
      <c r="T56" s="39" t="inlineStr">
        <is>
          <t>Same size (Queen). Ours live: catalog price, 2026-10-13; 4 children</t>
        </is>
      </c>
      <c r="U56" s="108" t="n">
        <v>66369</v>
      </c>
      <c r="V56" s="108" t="n">
        <v>5</v>
      </c>
      <c r="W56" s="113">
        <f>IF(AND(ISNUMBER(N56),ISNUMBER(V56)),N56*V56*52/12,"")</f>
        <v/>
      </c>
      <c r="X56" s="114" t="n">
        <v>4.3</v>
      </c>
      <c r="Y56" s="108" t="n">
        <v>1158</v>
      </c>
      <c r="Z56" s="115" t="n">
        <v>46307</v>
      </c>
      <c r="AA56" s="115" t="n"/>
      <c r="AB56" s="105" t="n"/>
      <c r="AC56" s="105" t="n"/>
      <c r="AD56" s="108" t="n">
        <v>26180</v>
      </c>
      <c r="AE56" s="108" t="n">
        <v>214</v>
      </c>
      <c r="AF56" s="116" t="n">
        <v>0.9925127425515661</v>
      </c>
      <c r="AG56" s="116" t="n">
        <v>0.00748725744843392</v>
      </c>
      <c r="AH56" s="39" t="inlineStr">
        <is>
          <t>coop pillow</t>
        </is>
      </c>
      <c r="AI56" s="116" t="n">
        <v>0.00385790679908327</v>
      </c>
      <c r="AJ56" s="116" t="n"/>
      <c r="AK56" s="116" t="n"/>
      <c r="AL56" s="116" t="n"/>
      <c r="AM56" s="108" t="n">
        <v>45</v>
      </c>
      <c r="AN56" s="108" t="n">
        <v>24</v>
      </c>
      <c r="AO56" s="108" t="n">
        <v>15</v>
      </c>
      <c r="AP56" s="108" t="n">
        <v>169</v>
      </c>
      <c r="AQ56" s="108" t="n">
        <v>15</v>
      </c>
      <c r="AR56" s="108" t="n">
        <v>0</v>
      </c>
      <c r="AS56" s="117" t="n">
        <v>0.6264367816091955</v>
      </c>
      <c r="AT56" s="112" t="n">
        <v>-0.07100591715976323</v>
      </c>
      <c r="AU56" s="118" t="inlineStr">
        <is>
          <t>Y</t>
        </is>
      </c>
      <c r="AV56" s="118" t="inlineStr">
        <is>
          <t>List Price</t>
        </is>
      </c>
      <c r="AW56" s="119" t="n">
        <v>30</v>
      </c>
      <c r="AX56" s="119" t="n">
        <v>25.5</v>
      </c>
      <c r="AY56" s="118" t="inlineStr">
        <is>
          <t>Limited time deal</t>
        </is>
      </c>
      <c r="AZ56" s="118" t="inlineStr">
        <is>
          <t>Y</t>
        </is>
      </c>
      <c r="BA56" s="118" t="inlineStr">
        <is>
          <t>2026-10-13 23:38:02</t>
        </is>
      </c>
      <c r="BB56" s="120" t="inlineStr">
        <is>
          <t>Prime Exclusive Discount</t>
        </is>
      </c>
      <c r="BC56" s="120" t="inlineStr">
        <is>
          <t>11-22 to 12-01</t>
        </is>
      </c>
      <c r="BD56" s="121" t="n">
        <v>30</v>
      </c>
      <c r="BE56" s="121" t="n">
        <v>24</v>
      </c>
      <c r="BF56" s="110">
        <f>IF(AND(ISNUMBER(BD56),ISNUMBER(BE56),N(BD56)&gt;0),1-BE56/BD56,"")</f>
        <v/>
      </c>
      <c r="BG56" s="122" t="n">
        <v>50852</v>
      </c>
      <c r="BH56" s="122" t="n">
        <v>45892</v>
      </c>
      <c r="BI56" s="123">
        <f>IF(AND(ISNUMBER(BG56),ISNUMBER(BH56),N(BH56)&gt;0),BG56/BH56,"")</f>
        <v/>
      </c>
      <c r="BJ56" s="120" t="inlineStr">
        <is>
          <t>N</t>
        </is>
      </c>
      <c r="BK56" s="120" t="inlineStr">
        <is>
          <t>Lightning Deal 11-01 to 11-07; List Price $30.00</t>
        </is>
      </c>
    </row>
    <row r="57" ht="62" customHeight="1">
      <c r="A57" s="12">
        <f>_xlfn.IMAGE("https://m.media-amazon.com/images/I/81UrnfqGQGL._AC_SL1500_.jpg")</f>
        <v/>
      </c>
      <c r="B57" s="105" t="inlineStr">
        <is>
          <t>Marchpower</t>
        </is>
      </c>
      <c r="C57" s="39" t="inlineStr">
        <is>
          <t>Marchpower Cooling Pillow Cases for Hot Sleepers, Japanese Arc Chill Cooling Pil</t>
        </is>
      </c>
      <c r="D57" s="105" t="inlineStr">
        <is>
          <t>Beatable</t>
        </is>
      </c>
      <c r="E57" s="128" t="inlineStr">
        <is>
          <t>Alternative material</t>
        </is>
      </c>
      <c r="F57" s="105" t="inlineStr">
        <is>
          <t>Cotton</t>
        </is>
      </c>
      <c r="G57" s="39" t="inlineStr">
        <is>
          <t>Pillowcase in Cotton (product page material: Cooling Fabric &amp; 100% Cotton); ours is Synthetic cooling knit (same CooLoom cooling fabric as the CooLinens sheets). Shopper may cross-shop, but not like-for-like.</t>
        </is>
      </c>
      <c r="H57" s="107" t="inlineStr">
        <is>
          <t>B0CFY7SVV7</t>
        </is>
      </c>
      <c r="I57" s="107" t="inlineStr">
        <is>
          <t>B095GTMX4Y</t>
        </is>
      </c>
      <c r="J57" s="105" t="inlineStr">
        <is>
          <t>Standard 20"x 26"</t>
        </is>
      </c>
      <c r="K57" s="105" t="inlineStr">
        <is>
          <t>Green</t>
        </is>
      </c>
      <c r="L57" s="108" t="n">
        <v>9</v>
      </c>
      <c r="M57" s="39" t="inlineStr">
        <is>
          <t>B0BVB4W16P (75%), B08B7VPPND (24%)</t>
        </is>
      </c>
      <c r="N57" s="109" t="n">
        <v>19.99</v>
      </c>
      <c r="O57" s="109" t="n"/>
      <c r="P57" s="110">
        <f>IF(AND(ISNUMBER(O57),ISNUMBER(N57),N(N57)&gt;0),O57/N57-1,"")</f>
        <v/>
      </c>
      <c r="Q57" s="111">
        <f>IF(P57="","No List Price",IF(P57&lt;=0,"At/below price",IF(P57&lt;=0.12,"&lt;=12% STR zone",IF(P57&lt;=0.25,"12-25%","&gt;25% over"))))</f>
        <v/>
      </c>
      <c r="R57" s="109" t="n"/>
      <c r="S57" s="112">
        <f>IF(AND(ISNUMBER(N57),ISNUMBER(R57),N(R57)&gt;0),N57/R57-1,"")</f>
        <v/>
      </c>
      <c r="T57" s="39" t="inlineStr">
        <is>
          <t>No price for us</t>
        </is>
      </c>
      <c r="U57" s="108" t="n">
        <v>265537</v>
      </c>
      <c r="V57" s="108" t="n">
        <v>5</v>
      </c>
      <c r="W57" s="113">
        <f>IF(AND(ISNUMBER(N57),ISNUMBER(V57)),N57*V57*52/12,"")</f>
        <v/>
      </c>
      <c r="X57" s="114" t="n">
        <v>4.3</v>
      </c>
      <c r="Y57" s="108" t="n">
        <v>1247</v>
      </c>
      <c r="Z57" s="115" t="n">
        <v>46307</v>
      </c>
      <c r="AA57" s="115" t="n"/>
      <c r="AB57" s="105" t="n"/>
      <c r="AC57" s="105" t="n"/>
      <c r="AD57" s="108" t="n">
        <v>5423</v>
      </c>
      <c r="AE57" s="108" t="n">
        <v>205</v>
      </c>
      <c r="AF57" s="116" t="n">
        <v>0.9321121519454174</v>
      </c>
      <c r="AG57" s="116" t="n">
        <v>0.06788784805458234</v>
      </c>
      <c r="AH57" s="39" t="inlineStr">
        <is>
          <t>cooling pillow cases</t>
        </is>
      </c>
      <c r="AI57" s="116" t="n">
        <v>0.7855430573483312</v>
      </c>
      <c r="AJ57" s="116" t="n"/>
      <c r="AK57" s="116" t="n"/>
      <c r="AL57" s="116" t="n"/>
      <c r="AM57" s="108" t="n">
        <v>82</v>
      </c>
      <c r="AN57" s="108" t="n">
        <v>46</v>
      </c>
      <c r="AO57" s="108" t="n">
        <v>20</v>
      </c>
      <c r="AP57" s="108" t="n">
        <v>123</v>
      </c>
      <c r="AQ57" s="108" t="n">
        <v>41</v>
      </c>
      <c r="AR57" s="108" t="n">
        <v>0</v>
      </c>
      <c r="AS57" s="117" t="n"/>
      <c r="AT57" s="112" t="n"/>
      <c r="AU57" s="118" t="inlineStr">
        <is>
          <t>N</t>
        </is>
      </c>
      <c r="AV57" s="118" t="inlineStr">
        <is>
          <t>none</t>
        </is>
      </c>
      <c r="AW57" s="124" t="n"/>
      <c r="AX57" s="119" t="n">
        <v>19.99</v>
      </c>
      <c r="AY57" s="118" t="inlineStr">
        <is>
          <t>none</t>
        </is>
      </c>
      <c r="AZ57" s="118" t="inlineStr">
        <is>
          <t>Y</t>
        </is>
      </c>
      <c r="BA57" s="118" t="inlineStr">
        <is>
          <t>2026-10-13 23:38:52</t>
        </is>
      </c>
      <c r="BB57" s="125" t="n"/>
      <c r="BC57" s="125" t="n"/>
      <c r="BD57" s="124" t="n"/>
      <c r="BE57" s="124" t="n"/>
      <c r="BF57" s="110">
        <f>IF(AND(ISNUMBER(BD57),ISNUMBER(BE57),N(BD57)&gt;0),1-BE57/BD57,"")</f>
        <v/>
      </c>
      <c r="BG57" s="122" t="n">
        <v>270000</v>
      </c>
      <c r="BH57" s="122" t="n">
        <v>188101</v>
      </c>
      <c r="BI57" s="123">
        <f>IF(AND(ISNUMBER(BG57),ISNUMBER(BH57),N(BH57)&gt;0),BG57/BH57,"")</f>
        <v/>
      </c>
      <c r="BJ57" s="120" t="inlineStr">
        <is>
          <t>Y</t>
        </is>
      </c>
      <c r="BK57" s="120" t="inlineStr">
        <is>
          <t>No Buy Box history in price history for BFCM 2025; List Price $29.99</t>
        </is>
      </c>
    </row>
    <row r="58" ht="62" customHeight="1">
      <c r="A58" s="12">
        <f>_xlfn.IMAGE("https://images-na.ssl-images-amazon.com/images/I/71JIe-f4CUL.jpg")</f>
        <v/>
      </c>
      <c r="B58" s="105" t="inlineStr">
        <is>
          <t>Rifens</t>
        </is>
      </c>
      <c r="C58" s="39" t="inlineStr">
        <is>
          <t>Ice Cooling Pillowcase for Hot Sleepers, Instantly Cool, Stay Cold All Night, Softer Than Silk Pillow Cases, Pillow Covers with Invisible Zipper, Gift for Men &amp; Women - Standard, Light Gray (1 Pack)</t>
        </is>
      </c>
      <c r="D58" s="105" t="inlineStr">
        <is>
          <t>Beatable</t>
        </is>
      </c>
      <c r="E58" s="128" t="inlineStr">
        <is>
          <t>Alternative material</t>
        </is>
      </c>
      <c r="F58" s="105" t="inlineStr">
        <is>
          <t>Silk</t>
        </is>
      </c>
      <c r="G58" s="39" t="inlineStr">
        <is>
          <t>Pillowcase in Silk (title: Ice Cooling Pillowcase for Hot Sleepers, Instantly Cool, Sta); ours is Synthetic cooling knit (same CooLoom cooling fabric as the CooLinens sheets). Shopper may cross-shop, but not like-for-like.</t>
        </is>
      </c>
      <c r="H58" s="107" t="inlineStr">
        <is>
          <t>B0DJ933TY2</t>
        </is>
      </c>
      <c r="I58" s="107" t="inlineStr">
        <is>
          <t>B0DJ933TY2</t>
        </is>
      </c>
      <c r="J58" s="105" t="inlineStr">
        <is>
          <t>Standard</t>
        </is>
      </c>
      <c r="K58" s="105" t="inlineStr">
        <is>
          <t>Gray</t>
        </is>
      </c>
      <c r="L58" s="108" t="n">
        <v>1</v>
      </c>
      <c r="M58" s="39" t="inlineStr">
        <is>
          <t>B0DJ933TY2 (100%)</t>
        </is>
      </c>
      <c r="N58" s="109" t="n">
        <v>18.99</v>
      </c>
      <c r="O58" s="109" t="n"/>
      <c r="P58" s="110">
        <f>IF(AND(ISNUMBER(O58),ISNUMBER(N58),N(N58)&gt;0),O58/N58-1,"")</f>
        <v/>
      </c>
      <c r="Q58" s="111">
        <f>IF(P58="","No List Price",IF(P58&lt;=0,"At/below price",IF(P58&lt;=0.12,"&lt;=12% STR zone",IF(P58&lt;=0.25,"12-25%","&gt;25% over"))))</f>
        <v/>
      </c>
      <c r="R58" s="109" t="n">
        <v>17.99</v>
      </c>
      <c r="S58" s="112">
        <f>IF(AND(ISNUMBER(N58),ISNUMBER(R58),N(R58)&gt;0),N58/R58-1,"")</f>
        <v/>
      </c>
      <c r="T58" s="39" t="inlineStr">
        <is>
          <t>Same size (Standard). Ours live: catalog price, 2026-10-13; 4 children</t>
        </is>
      </c>
      <c r="U58" s="108" t="n">
        <v>519777</v>
      </c>
      <c r="V58" s="108" t="n">
        <v>5</v>
      </c>
      <c r="W58" s="113">
        <f>IF(AND(ISNUMBER(N58),ISNUMBER(V58)),N58*V58*52/12,"")</f>
        <v/>
      </c>
      <c r="X58" s="114" t="n">
        <v>4.6</v>
      </c>
      <c r="Y58" s="108" t="n">
        <v>219</v>
      </c>
      <c r="Z58" s="115" t="n">
        <v>46307</v>
      </c>
      <c r="AA58" s="115" t="n">
        <v>45565</v>
      </c>
      <c r="AB58" s="105" t="inlineStr">
        <is>
          <t>FBM</t>
        </is>
      </c>
      <c r="AC58" s="105" t="inlineStr">
        <is>
          <t>N/A</t>
        </is>
      </c>
      <c r="AD58" s="108" t="n">
        <v>8663</v>
      </c>
      <c r="AE58" s="108" t="n">
        <v>164</v>
      </c>
      <c r="AF58" s="116" t="n">
        <v>1</v>
      </c>
      <c r="AG58" s="116" t="n">
        <v>0</v>
      </c>
      <c r="AH58" s="39" t="inlineStr">
        <is>
          <t>cooling pillow cases</t>
        </is>
      </c>
      <c r="AI58" s="116" t="n"/>
      <c r="AJ58" s="116" t="n"/>
      <c r="AK58" s="116" t="n"/>
      <c r="AL58" s="116" t="n">
        <v>0.02297125707029897</v>
      </c>
      <c r="AM58" s="108" t="n">
        <v>56</v>
      </c>
      <c r="AN58" s="108" t="n">
        <v>28</v>
      </c>
      <c r="AO58" s="108" t="n">
        <v>20</v>
      </c>
      <c r="AP58" s="108" t="n">
        <v>108</v>
      </c>
      <c r="AQ58" s="108" t="n">
        <v>0</v>
      </c>
      <c r="AR58" s="108" t="n">
        <v>0</v>
      </c>
      <c r="AS58" s="117" t="n"/>
      <c r="AT58" s="112" t="n"/>
      <c r="AU58" s="118" t="inlineStr">
        <is>
          <t>N</t>
        </is>
      </c>
      <c r="AV58" s="118" t="inlineStr">
        <is>
          <t>none</t>
        </is>
      </c>
      <c r="AW58" s="124" t="n"/>
      <c r="AX58" s="124" t="n"/>
      <c r="AY58" s="118" t="inlineStr">
        <is>
          <t>none</t>
        </is>
      </c>
      <c r="AZ58" s="118" t="inlineStr">
        <is>
          <t>N</t>
        </is>
      </c>
      <c r="BA58" s="118" t="inlineStr">
        <is>
          <t>2026-10-13 23:39:10</t>
        </is>
      </c>
      <c r="BB58" s="120" t="inlineStr">
        <is>
          <t>Price cut only</t>
        </is>
      </c>
      <c r="BC58" s="120" t="inlineStr">
        <is>
          <t>11-20 to 12-01</t>
        </is>
      </c>
      <c r="BD58" s="121" t="n">
        <v>14.99</v>
      </c>
      <c r="BE58" s="121" t="n">
        <v>10.78</v>
      </c>
      <c r="BF58" s="110">
        <f>IF(AND(ISNUMBER(BD58),ISNUMBER(BE58),N(BD58)&gt;0),1-BE58/BD58,"")</f>
        <v/>
      </c>
      <c r="BG58" s="122" t="n">
        <v>10056</v>
      </c>
      <c r="BH58" s="122" t="n">
        <v>11370</v>
      </c>
      <c r="BI58" s="123">
        <f>IF(AND(ISNUMBER(BG58),ISNUMBER(BH58),N(BH58)&gt;0),BG58/BH58,"")</f>
        <v/>
      </c>
      <c r="BJ58" s="120" t="inlineStr">
        <is>
          <t>N</t>
        </is>
      </c>
      <c r="BK58" s="120" t="inlineStr">
        <is>
          <t>List Price $25.99</t>
        </is>
      </c>
    </row>
    <row r="59"/>
    <row r="60" ht="22" customHeight="1">
      <c r="A60" s="65" t="inlineStr">
        <is>
          <t>5 ▼</t>
        </is>
      </c>
      <c r="B60" s="66" t="inlineStr">
        <is>
          <t>WHAT THIS MEANS FOR BFCM</t>
        </is>
      </c>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c r="AC60" s="67" t="n"/>
      <c r="AD60" s="67" t="n"/>
      <c r="AE60" s="67" t="n"/>
      <c r="AF60" s="67" t="n"/>
      <c r="AG60" s="67" t="n"/>
      <c r="AH60" s="67" t="n"/>
      <c r="AI60" s="67" t="n"/>
      <c r="AJ60" s="67" t="n"/>
      <c r="AK60" s="67" t="n"/>
      <c r="AL60" s="67" t="n"/>
      <c r="AM60" s="67" t="n"/>
      <c r="AN60" s="67" t="n"/>
      <c r="AO60" s="67" t="n"/>
      <c r="AP60" s="67" t="n"/>
      <c r="AQ60" s="67" t="n"/>
      <c r="AR60" s="67" t="n"/>
      <c r="AS60" s="67" t="n"/>
      <c r="AT60" s="67" t="n"/>
      <c r="AU60" s="67" t="n"/>
      <c r="AV60" s="67" t="n"/>
      <c r="AW60" s="67" t="n"/>
      <c r="AX60" s="67" t="n"/>
      <c r="AY60" s="67" t="n"/>
      <c r="AZ60" s="67" t="n"/>
      <c r="BA60" s="67" t="n"/>
      <c r="BB60" s="67" t="n"/>
      <c r="BC60" s="67" t="n"/>
      <c r="BD60" s="67" t="n"/>
      <c r="BE60" s="67" t="n"/>
      <c r="BF60" s="67" t="n"/>
      <c r="BG60" s="67" t="n"/>
      <c r="BH60" s="67" t="n"/>
      <c r="BI60" s="67" t="n"/>
      <c r="BJ60" s="67" t="n"/>
      <c r="BK60" s="67" t="n"/>
    </row>
    <row r="61" ht="30" customHeight="1">
      <c r="A61" s="129" t="inlineStr">
        <is>
          <t>• Who sells most: REST ~208/wk at $59.25 (List $79.00, +33%); Avolare ~173/wk at $17.52 (List $19.99, +14%); CHOSHOME ~104/wk at $14.60; HOMFINE ~81/wk at $9.99; Elegear ~35/wk at $16.88. Tracked rivals ~737 units/wk; we sell ~78/wk (9.5% of the tracked set).</t>
        </is>
      </c>
    </row>
    <row r="62" ht="18" customHeight="1">
      <c r="A62" s="129" t="inlineStr">
        <is>
          <t>• Strikethrough: 3 of 15 rivals set a List Price above price; 0 within 12%.</t>
        </is>
      </c>
    </row>
    <row r="63" ht="18" customHeight="1">
      <c r="A63" s="129" t="inlineStr">
        <is>
          <t>• Price: 7 of 15 rivals sit below our price today (same size where the title states one). Cheapest strong rivals: HOMFINE $9.99, CHOSHOME $14.60, QUTOOL $16.99, Avolare $17.52.</t>
        </is>
      </c>
    </row>
    <row r="64" ht="30" customHeight="1">
      <c r="A64" s="129" t="inlineStr">
        <is>
          <t>• Strikethrough on the page today (Oct 13 check): 4 of 14 checked rivals show one: Elegear List Price $18.75 vs $16.88 (+11%), REST List Price $79.00 vs $59.25 (+33%), HOMFINE Typical price $12.99 vs $9.99 (+30%), Coop Home Goods List Price $30.00 vs $25.50 (+18%) with deal.</t>
        </is>
      </c>
    </row>
    <row r="65" ht="30" customHeight="1">
      <c r="A65" s="129" t="inlineStr">
        <is>
          <t>• Search: we lose most shared keywords to REST (we win 59, lose 179), Bedsure (we win 97, lose 98), HOMFINE (we win 102, lose 82). Biggest ad gaps (they advertise where we don't or harder): REST 1,936 + 11 KWs, Bedsure 780 + 4 KWs, Breescape 459 + 10 KWs.</t>
        </is>
      </c>
    </row>
    <row r="66" ht="30" customHeight="1">
      <c r="A66" s="129" t="inlineStr">
        <is>
          <t>• Brand ads: Breescape (SB 68%, SBV 62%), Fittia (SB 58%, SBV 0%), REST (SB 92%, SBV 61%), Bedsure (SB 65%, SBV 0%) hold Sponsored Brands / video on most of their traffic - the plan has our SB, SBV and display live by Nov 1.</t>
        </is>
      </c>
    </row>
    <row r="67" ht="30" customHeight="1">
      <c r="A67" s="129" t="inlineStr">
        <is>
          <t>• BFCM 2025, 14 rivals with price history history: Prime Exclusive Discount 6, None 5, Price cut only 2, Lightning Deal 1. Median depth vs their Nov 1-19 price 16%; median BSR lift 0.96x. 2 raised their Buy Box in BFCM week, so their deal looked deeper than it was.</t>
        </is>
      </c>
    </row>
    <row r="68" ht="18" customHeight="1">
      <c r="A68" s="129" t="inlineStr">
        <is>
          <t>• 1 rival not in the price history pulls yet (yellow BFCM 2025 columns) - remaining P2 batches,.</t>
        </is>
      </c>
    </row>
  </sheetData>
  <autoFilter ref="B43:BK58"/>
  <mergeCells count="57">
    <mergeCell ref="AD42:AT42"/>
    <mergeCell ref="A64:BK64"/>
    <mergeCell ref="L5:Q5"/>
    <mergeCell ref="A36:BK36"/>
    <mergeCell ref="Q11:T11"/>
    <mergeCell ref="L8:Q8"/>
    <mergeCell ref="A61:BK61"/>
    <mergeCell ref="L4:Q4"/>
    <mergeCell ref="D7:I7"/>
    <mergeCell ref="A13:D13"/>
    <mergeCell ref="I13:L13"/>
    <mergeCell ref="A33:C33"/>
    <mergeCell ref="A65:BK65"/>
    <mergeCell ref="D4:I4"/>
    <mergeCell ref="L10:Q10"/>
    <mergeCell ref="E12:H12"/>
    <mergeCell ref="Q13:T13"/>
    <mergeCell ref="A32:C32"/>
    <mergeCell ref="AU42:BA42"/>
    <mergeCell ref="D9:I9"/>
    <mergeCell ref="A66:BK66"/>
    <mergeCell ref="U12:X12"/>
    <mergeCell ref="L9:Q9"/>
    <mergeCell ref="Q12:T12"/>
    <mergeCell ref="A37:BK37"/>
    <mergeCell ref="A11:D11"/>
    <mergeCell ref="A35:C35"/>
    <mergeCell ref="I11:L11"/>
    <mergeCell ref="D8:I8"/>
    <mergeCell ref="L6:Q6"/>
    <mergeCell ref="A4:B9"/>
    <mergeCell ref="T6:Y6"/>
    <mergeCell ref="AA42:AC42"/>
    <mergeCell ref="D5:I5"/>
    <mergeCell ref="M11:P11"/>
    <mergeCell ref="A42:K42"/>
    <mergeCell ref="U11:X11"/>
    <mergeCell ref="A34:C34"/>
    <mergeCell ref="BB42:BK42"/>
    <mergeCell ref="E13:H13"/>
    <mergeCell ref="A62:BK62"/>
    <mergeCell ref="D10:I10"/>
    <mergeCell ref="L7:Q7"/>
    <mergeCell ref="T5:Y5"/>
    <mergeCell ref="N42:Z42"/>
    <mergeCell ref="A38:BK38"/>
    <mergeCell ref="A12:D12"/>
    <mergeCell ref="M13:P13"/>
    <mergeCell ref="A63:BK63"/>
    <mergeCell ref="I12:L12"/>
    <mergeCell ref="U13:X13"/>
    <mergeCell ref="A68:BK68"/>
    <mergeCell ref="M12:P12"/>
    <mergeCell ref="T4:Y4"/>
    <mergeCell ref="D6:I6"/>
    <mergeCell ref="A67:BK67"/>
    <mergeCell ref="E11:H11"/>
  </mergeCells>
  <conditionalFormatting sqref="Q44:Q58">
    <cfRule type="expression" priority="1" dxfId="1">
      <formula>Q44="&lt;=12% STR zone"</formula>
    </cfRule>
  </conditionalFormatting>
  <conditionalFormatting sqref="Z44:Z58">
    <cfRule type="expression" priority="2" dxfId="0">
      <formula>AND(ISNUMBER(Z44),Z44&lt;DATE(2026,10,6))</formula>
    </cfRule>
  </conditionalFormatting>
  <conditionalFormatting sqref="T44:T58">
    <cfRule type="expression" priority="3" dxfId="0">
      <formula>ISNUMBER(SEARCH("STALE",T44))</formula>
    </cfRule>
  </conditionalFormatting>
  <conditionalFormatting sqref="S44:S58">
    <cfRule type="expression" priority="4" dxfId="0">
      <formula>AND(ISNUMBER(S44),S44&lt;0)</formula>
    </cfRule>
  </conditionalFormatting>
  <dataValidations count="3">
    <dataValidation sqref="AU44:AU58 BJ44:BJ58" showDropDown="0" showInputMessage="0" showErrorMessage="0" allowBlank="1" type="list">
      <formula1>"Y,N"</formula1>
    </dataValidation>
    <dataValidation sqref="AV44:AV58" showDropDown="0" showInputMessage="0" showErrorMessage="0" allowBlank="1" type="list">
      <formula1>"List Price,Typical price,Was price,None"</formula1>
    </dataValidation>
    <dataValidation sqref="BB44:BB58"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CL Pillowcases'!A3" display="1 Our product ↓"/>
    <hyperlink ref="D2" location="'US CL Pillowcases'!A15" display="2 Our variations ↓"/>
    <hyperlink ref="E2" location="'US CL Pillowcases'!A31" display="3 Our BFCM 2025 ↓"/>
    <hyperlink ref="F2" location="'US CL Pillowcases'!A40" display="4 COMPETITORS (15 mapped) ↓"/>
    <hyperlink ref="G2" location="'US CL Pillowcases'!A60" display="5 What it means ↓"/>
    <hyperlink xmlns:r="http://schemas.openxmlformats.org/officeDocument/2006/relationships" ref="H44" r:id="rId1"/>
    <hyperlink xmlns:r="http://schemas.openxmlformats.org/officeDocument/2006/relationships" ref="I44" r:id="rId2"/>
    <hyperlink xmlns:r="http://schemas.openxmlformats.org/officeDocument/2006/relationships" ref="H45" r:id="rId3"/>
    <hyperlink xmlns:r="http://schemas.openxmlformats.org/officeDocument/2006/relationships" ref="I45" r:id="rId4"/>
    <hyperlink xmlns:r="http://schemas.openxmlformats.org/officeDocument/2006/relationships" ref="H46" r:id="rId5"/>
    <hyperlink xmlns:r="http://schemas.openxmlformats.org/officeDocument/2006/relationships" ref="I46" r:id="rId6"/>
    <hyperlink xmlns:r="http://schemas.openxmlformats.org/officeDocument/2006/relationships" ref="H47" r:id="rId7"/>
    <hyperlink xmlns:r="http://schemas.openxmlformats.org/officeDocument/2006/relationships" ref="I47" r:id="rId8"/>
    <hyperlink xmlns:r="http://schemas.openxmlformats.org/officeDocument/2006/relationships" ref="H48" r:id="rId9"/>
    <hyperlink xmlns:r="http://schemas.openxmlformats.org/officeDocument/2006/relationships" ref="I48" r:id="rId10"/>
    <hyperlink xmlns:r="http://schemas.openxmlformats.org/officeDocument/2006/relationships" ref="H49" r:id="rId11"/>
    <hyperlink xmlns:r="http://schemas.openxmlformats.org/officeDocument/2006/relationships" ref="I49" r:id="rId12"/>
    <hyperlink xmlns:r="http://schemas.openxmlformats.org/officeDocument/2006/relationships" ref="H50" r:id="rId13"/>
    <hyperlink xmlns:r="http://schemas.openxmlformats.org/officeDocument/2006/relationships" ref="I50" r:id="rId14"/>
    <hyperlink xmlns:r="http://schemas.openxmlformats.org/officeDocument/2006/relationships" ref="H51" r:id="rId15"/>
    <hyperlink xmlns:r="http://schemas.openxmlformats.org/officeDocument/2006/relationships" ref="I51" r:id="rId16"/>
    <hyperlink xmlns:r="http://schemas.openxmlformats.org/officeDocument/2006/relationships" ref="H52" r:id="rId17"/>
    <hyperlink xmlns:r="http://schemas.openxmlformats.org/officeDocument/2006/relationships" ref="I52" r:id="rId18"/>
    <hyperlink xmlns:r="http://schemas.openxmlformats.org/officeDocument/2006/relationships" ref="H53" r:id="rId19"/>
    <hyperlink xmlns:r="http://schemas.openxmlformats.org/officeDocument/2006/relationships" ref="I53" r:id="rId20"/>
    <hyperlink xmlns:r="http://schemas.openxmlformats.org/officeDocument/2006/relationships" ref="H54" r:id="rId21"/>
    <hyperlink xmlns:r="http://schemas.openxmlformats.org/officeDocument/2006/relationships" ref="I54" r:id="rId22"/>
    <hyperlink xmlns:r="http://schemas.openxmlformats.org/officeDocument/2006/relationships" ref="H55" r:id="rId23"/>
    <hyperlink xmlns:r="http://schemas.openxmlformats.org/officeDocument/2006/relationships" ref="I55" r:id="rId24"/>
    <hyperlink xmlns:r="http://schemas.openxmlformats.org/officeDocument/2006/relationships" ref="H56" r:id="rId25"/>
    <hyperlink xmlns:r="http://schemas.openxmlformats.org/officeDocument/2006/relationships" ref="I56" r:id="rId26"/>
    <hyperlink xmlns:r="http://schemas.openxmlformats.org/officeDocument/2006/relationships" ref="H57" r:id="rId27"/>
    <hyperlink xmlns:r="http://schemas.openxmlformats.org/officeDocument/2006/relationships" ref="I57" r:id="rId28"/>
    <hyperlink xmlns:r="http://schemas.openxmlformats.org/officeDocument/2006/relationships" ref="H58" r:id="rId29"/>
    <hyperlink xmlns:r="http://schemas.openxmlformats.org/officeDocument/2006/relationships" ref="I58" r:id="rId30"/>
  </hyperlink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9DC3E6"/>
    <outlinePr summaryBelow="1" summaryRight="1"/>
    <pageSetUpPr/>
  </sheetPr>
  <dimension ref="A1:BK84"/>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Cooling Pillowcases · Amazon.com (US) · Cooling · BFCM role: Off-season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(21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_xlfn.IMAGE("https://images-na.ssl-images-amazon.com/images/I/71Y1j274VYL.jpg")</f>
        <v/>
      </c>
      <c r="C4" s="13" t="inlineStr">
        <is>
          <t>Title</t>
        </is>
      </c>
      <c r="D4" s="14" t="inlineStr">
        <is>
          <t>SLEEPHORIA Cooling Pillow Cases - BreezeWeave Queen Size Set of 2 Pillowcases for Hot Sleepers &amp; Cool, Deep Rest - Cloud Soft, Silky Smooth, Ultra Durable, Easy Care, Hidden Zipper (Blue)</t>
        </is>
      </c>
      <c r="K4" s="13" t="inlineStr">
        <is>
          <t>Sizes</t>
        </is>
      </c>
      <c r="L4" s="68" t="inlineStr">
        <is>
          <t>King, Queen, Standard</t>
        </is>
      </c>
      <c r="S4" s="13" t="inlineStr">
        <is>
          <t>Break-even ACoS</t>
        </is>
      </c>
      <c r="T4" s="68" t="inlineStr">
        <is>
          <t>33%</t>
        </is>
      </c>
    </row>
    <row r="5" ht="22" customHeight="1">
      <c r="C5" s="13" t="inlineStr">
        <is>
          <t>Brand</t>
        </is>
      </c>
      <c r="D5" s="68" t="inlineStr">
        <is>
          <t>Sleephoria</t>
        </is>
      </c>
      <c r="K5" s="13" t="inlineStr">
        <is>
          <t>Colours</t>
        </is>
      </c>
      <c r="L5" s="68" t="inlineStr">
        <is>
          <t>Blue, Dark Grey, Light Grey, White</t>
        </is>
      </c>
      <c r="S5" s="13" t="inlineStr">
        <is>
          <t>Units last 28 days</t>
        </is>
      </c>
      <c r="T5" s="68" t="inlineStr">
        <is>
          <t>54</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B0F7LLMXSR (one of our child ASINs, not the Amazon parent)</t>
        </is>
      </c>
    </row>
    <row r="7" ht="22" customHeight="1">
      <c r="C7" s="13" t="inlineStr">
        <is>
          <t>Parent ASIN (Amazon)</t>
        </is>
      </c>
      <c r="D7" s="68" t="inlineStr">
        <is>
          <t>B0FTSVDG77</t>
        </is>
      </c>
      <c r="K7" s="13" t="inlineStr">
        <is>
          <t>Rating / reviews now</t>
        </is>
      </c>
      <c r="L7" s="68" t="inlineStr">
        <is>
          <t>Not checked yet</t>
        </is>
      </c>
    </row>
    <row r="8" ht="22" customHeight="1">
      <c r="C8" s="13" t="inlineStr">
        <is>
          <t>Best-selling child ASIN</t>
        </is>
      </c>
      <c r="D8" s="68" t="inlineStr">
        <is>
          <t>B0F7LJS3N2</t>
        </is>
      </c>
      <c r="K8" s="13" t="inlineStr">
        <is>
          <t>Live prices held</t>
        </is>
      </c>
      <c r="L8" s="68" t="inlineStr">
        <is>
          <t>3 of 12 variations</t>
        </is>
      </c>
    </row>
    <row r="9" ht="22" customHeight="1">
      <c r="C9" s="13" t="inlineStr">
        <is>
          <t>Stage</t>
        </is>
      </c>
      <c r="D9" s="68" t="inlineStr">
        <is>
          <t>Re-Launch</t>
        </is>
      </c>
      <c r="K9" s="13" t="inlineStr">
        <is>
          <t>Blended price (market data)</t>
        </is>
      </c>
      <c r="L9" s="68" t="inlineStr">
        <is>
          <t>$20.88 - fee feed as of 2026-03-30, STALE</t>
        </is>
      </c>
    </row>
    <row r="10">
      <c r="C10" s="13" t="inlineStr">
        <is>
          <t>Total variations (SKUs)</t>
        </is>
      </c>
      <c r="D10" s="68" t="n">
        <v>12</v>
      </c>
      <c r="K10" s="13" t="inlineStr">
        <is>
          <t>Contribution / unit</t>
        </is>
      </c>
      <c r="L10" s="68" t="inlineStr">
        <is>
          <t>$6.88</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0.77x</t>
        </is>
      </c>
      <c r="E12" s="70" t="inlineStr">
        <is>
          <t>n/a</t>
        </is>
      </c>
      <c r="I12" s="70" t="inlineStr">
        <is>
          <t>0.64x</t>
        </is>
      </c>
      <c r="M12" s="70" t="inlineStr">
        <is>
          <t>21</t>
        </is>
      </c>
      <c r="Q12" s="70" t="inlineStr">
        <is>
          <t>16</t>
        </is>
      </c>
      <c r="U12" s="70" t="inlineStr">
        <is>
          <t>0</t>
        </is>
      </c>
    </row>
    <row r="13">
      <c r="A13" s="71" t="inlineStr">
        <is>
          <t>daily sales, BFCM wk vs 30 days before (account data actual)</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_xlfn.IMAGE("https://m.media-amazon.com/images/I/81Xy+KUC6XL.jpg")</f>
        <v/>
      </c>
      <c r="B18" s="39" t="inlineStr">
        <is>
          <t>B0F7LM5KWC</t>
        </is>
      </c>
      <c r="C18" s="39" t="inlineStr">
        <is>
          <t>SL-CLG-PC-LIGHT-GREY-KING-2PCS</t>
        </is>
      </c>
      <c r="D18" s="39" t="inlineStr">
        <is>
          <t>SLEEPHORIA Cooling Pillow Cases - BreezeWeave King Size Set of 2 Pillowcases for Hot Sleepers &amp; Cool, Deep Rest - Cloud Soft, Silky Smooth, Ultra Durable, Easy Care, Hidden Zipper (Light Grey)</t>
        </is>
      </c>
      <c r="E18" s="39" t="inlineStr">
        <is>
          <t>King</t>
        </is>
      </c>
      <c r="F18" s="39" t="inlineStr">
        <is>
          <t>Light Grey</t>
        </is>
      </c>
      <c r="G18" s="73" t="n">
        <v>23.99</v>
      </c>
      <c r="H18" s="39" t="inlineStr">
        <is>
          <t>catalog price, 2026-10-13</t>
        </is>
      </c>
      <c r="I18" s="74" t="n">
        <v>19.99</v>
      </c>
      <c r="J18" s="75" t="inlineStr">
        <is>
          <t>2026-03-30</t>
        </is>
      </c>
      <c r="K18" s="40" t="n">
        <v>6.719999999999998</v>
      </c>
      <c r="L18" s="76" t="n">
        <v>0.3361680840420209</v>
      </c>
      <c r="M18" s="77" t="n">
        <v>18</v>
      </c>
      <c r="N18" s="39" t="inlineStr">
        <is>
          <t>Active</t>
        </is>
      </c>
      <c r="O18" s="39" t="inlineStr">
        <is>
          <t>Yes (42%)</t>
        </is>
      </c>
      <c r="P18" s="78" t="n">
        <v>4.5</v>
      </c>
      <c r="Q18" s="77" t="n">
        <v>491</v>
      </c>
      <c r="R18" s="77" t="n">
        <v>521501</v>
      </c>
      <c r="S18" s="77" t="n">
        <v>6</v>
      </c>
      <c r="T18" s="39" t="n"/>
    </row>
    <row r="19" ht="62" customHeight="1">
      <c r="A19" s="12">
        <f>_xlfn.IMAGE("https://m.media-amazon.com/images/I/81Fvoa6klwL.jpg")</f>
        <v/>
      </c>
      <c r="B19" s="39" t="inlineStr">
        <is>
          <t>B0F7LKTKKS</t>
        </is>
      </c>
      <c r="C19" s="39" t="inlineStr">
        <is>
          <t>SL-CLG-PC-WHITE-QUEEN-2PCS</t>
        </is>
      </c>
      <c r="D19" s="39" t="inlineStr">
        <is>
          <t>SLEEPHORIA Cooling Pillow Cases - BreezeWeave Queen Size Set of 2 Pillowcases for Hot Sleepers &amp; Cool, Deep Rest - Cloud Soft, Silky Smooth, Ultra Durable, Easy Care, Hidden Zipper (White)</t>
        </is>
      </c>
      <c r="E19" s="39" t="inlineStr">
        <is>
          <t>Queen</t>
        </is>
      </c>
      <c r="F19" s="39" t="inlineStr">
        <is>
          <t>White</t>
        </is>
      </c>
      <c r="G19" s="73" t="n">
        <v>21.99</v>
      </c>
      <c r="H19" s="39" t="inlineStr">
        <is>
          <t>catalog price, 2026-10-13</t>
        </is>
      </c>
      <c r="I19" s="74" t="n">
        <v>24.99</v>
      </c>
      <c r="J19" s="75" t="inlineStr">
        <is>
          <t>2026-03-30</t>
        </is>
      </c>
      <c r="K19" s="40" t="n">
        <v>10.74</v>
      </c>
      <c r="L19" s="76" t="n">
        <v>0.4297719087635054</v>
      </c>
      <c r="M19" s="77" t="n">
        <v>16</v>
      </c>
      <c r="N19" s="39" t="inlineStr">
        <is>
          <t>Active</t>
        </is>
      </c>
      <c r="O19" s="39" t="n"/>
      <c r="P19" s="78" t="n">
        <v>4.5</v>
      </c>
      <c r="Q19" s="77" t="n">
        <v>491</v>
      </c>
      <c r="R19" s="77" t="n">
        <v>521501</v>
      </c>
      <c r="S19" s="77" t="n">
        <v>15</v>
      </c>
      <c r="T19" s="39" t="n"/>
    </row>
    <row r="20" ht="62" customHeight="1">
      <c r="A20" s="12">
        <f>_xlfn.IMAGE("https://m.media-amazon.com/images/I/81XKUniONAL.jpg")</f>
        <v/>
      </c>
      <c r="B20" s="39" t="inlineStr">
        <is>
          <t>B0F7LJS3N2</t>
        </is>
      </c>
      <c r="C20" s="39" t="inlineStr">
        <is>
          <t>SL-CLG-PC-BLUE-QUEEN-2PCS</t>
        </is>
      </c>
      <c r="D20" s="39" t="inlineStr">
        <is>
          <t>SLEEPHORIA Cooling Pillow Cases - BreezeWeave Queen Size Set of 2 Pillowcases for Hot Sleepers &amp; Cool, Deep Rest - Cloud Soft, Silky Smooth, Ultra Durable, Easy Care, Hidden Zipper (Blue)</t>
        </is>
      </c>
      <c r="E20" s="39" t="inlineStr">
        <is>
          <t>Queen</t>
        </is>
      </c>
      <c r="F20" s="39" t="inlineStr">
        <is>
          <t>Blue</t>
        </is>
      </c>
      <c r="G20" s="40" t="n"/>
      <c r="H20" s="39" t="n"/>
      <c r="I20" s="74" t="n">
        <v>17.99</v>
      </c>
      <c r="J20" s="75" t="inlineStr">
        <is>
          <t>2026-03-30</t>
        </is>
      </c>
      <c r="K20" s="40" t="n">
        <v>3.289999999999999</v>
      </c>
      <c r="L20" s="76" t="n">
        <v>0.1828793774319066</v>
      </c>
      <c r="M20" s="77" t="n">
        <v>12</v>
      </c>
      <c r="N20" s="39" t="inlineStr">
        <is>
          <t>Active</t>
        </is>
      </c>
      <c r="O20" s="39" t="n"/>
      <c r="P20" s="78" t="n"/>
      <c r="Q20" s="77" t="n"/>
      <c r="R20" s="77" t="n"/>
      <c r="S20" s="77" t="n"/>
      <c r="T20" s="39" t="n"/>
    </row>
    <row r="21" ht="62" customHeight="1">
      <c r="A21" s="12">
        <f>_xlfn.IMAGE("https://m.media-amazon.com/images/I/81XKUniONAL.jpg")</f>
        <v/>
      </c>
      <c r="B21" s="39" t="inlineStr">
        <is>
          <t>B0F7LLMXSR</t>
        </is>
      </c>
      <c r="C21" s="39" t="inlineStr">
        <is>
          <t>SL-CLG-PC-BLUE-KING-2PCS</t>
        </is>
      </c>
      <c r="D21" s="39" t="inlineStr">
        <is>
          <t>SLEEPHORIA Cooling Pillow Cases - BreezeWeave King Size Set of 2 Pillowcases for Hot Sleepers &amp; Cool, Deep Rest - Cloud Soft, Silky Smooth, Ultra Durable, Easy Care, Hidden Zipper (Blue)</t>
        </is>
      </c>
      <c r="E21" s="39" t="inlineStr">
        <is>
          <t>King</t>
        </is>
      </c>
      <c r="F21" s="39" t="inlineStr">
        <is>
          <t>Blue</t>
        </is>
      </c>
      <c r="G21" s="73" t="n">
        <v>23.99</v>
      </c>
      <c r="H21" s="39" t="inlineStr">
        <is>
          <t>catalog price, 2026-10-13</t>
        </is>
      </c>
      <c r="I21" s="74" t="n">
        <v>19.99</v>
      </c>
      <c r="J21" s="75" t="inlineStr">
        <is>
          <t>2026-03-30</t>
        </is>
      </c>
      <c r="K21" s="40" t="n">
        <v>5.529999999999998</v>
      </c>
      <c r="L21" s="76" t="n">
        <v>0.2766383191595798</v>
      </c>
      <c r="M21" s="77" t="n">
        <v>4</v>
      </c>
      <c r="N21" s="39" t="inlineStr">
        <is>
          <t>Active</t>
        </is>
      </c>
      <c r="O21" s="39" t="inlineStr">
        <is>
          <t>Yes (40%)</t>
        </is>
      </c>
      <c r="P21" s="78" t="n">
        <v>4.5</v>
      </c>
      <c r="Q21" s="77" t="n">
        <v>491</v>
      </c>
      <c r="R21" s="77" t="n">
        <v>521501</v>
      </c>
      <c r="S21" s="77" t="n">
        <v>4</v>
      </c>
      <c r="T21" s="39" t="n"/>
    </row>
    <row r="22" ht="62" customHeight="1">
      <c r="A22" s="12">
        <f>_xlfn.IMAGE("https://m.media-amazon.com/images/I/81XKUniONAL.jpg")</f>
        <v/>
      </c>
      <c r="B22" s="39" t="inlineStr">
        <is>
          <t>B0F7LHWD2N</t>
        </is>
      </c>
      <c r="C22" s="39" t="inlineStr">
        <is>
          <t>SL-CLG-PC-BLUE-STANDARD-2PCS</t>
        </is>
      </c>
      <c r="D22" s="39" t="inlineStr">
        <is>
          <t>SLEEPHORIA Cooling Pillow Cases - BreezeWeave Standard Size Set of 2 Pillowcases for Hot Sleepers &amp; Cool, Deep Rest - Cloud Soft, Silky Smooth, Ultra Durable, Easy Care, Hidden Zipper (Blue)</t>
        </is>
      </c>
      <c r="E22" s="39" t="inlineStr">
        <is>
          <t>Standard</t>
        </is>
      </c>
      <c r="F22" s="39" t="inlineStr">
        <is>
          <t>Blue</t>
        </is>
      </c>
      <c r="G22" s="40" t="n"/>
      <c r="H22" s="39" t="n"/>
      <c r="I22" s="74" t="n">
        <v>16.99</v>
      </c>
      <c r="J22" s="75" t="inlineStr">
        <is>
          <t>2026-03-30</t>
        </is>
      </c>
      <c r="K22" s="40" t="n">
        <v>3.309999999999998</v>
      </c>
      <c r="L22" s="76" t="n">
        <v>0.1948204826368451</v>
      </c>
      <c r="M22" s="77" t="n">
        <v>2</v>
      </c>
      <c r="N22" s="39" t="inlineStr">
        <is>
          <t>Inactive</t>
        </is>
      </c>
      <c r="O22" s="39" t="n"/>
      <c r="P22" s="78" t="n"/>
      <c r="Q22" s="77" t="n"/>
      <c r="R22" s="77" t="n"/>
      <c r="S22" s="77" t="n"/>
      <c r="T22" s="39" t="n"/>
    </row>
    <row r="23" ht="62" customHeight="1">
      <c r="A23" s="12">
        <f>_xlfn.IMAGE("https://m.media-amazon.com/images/I/81XKUniONAL.jpg")</f>
        <v/>
      </c>
      <c r="B23" s="39" t="inlineStr">
        <is>
          <t>B0F7LKSFGB</t>
        </is>
      </c>
      <c r="C23" s="39" t="inlineStr">
        <is>
          <t>SL-CLG-PC-DARK-GREY-KING-2PCS</t>
        </is>
      </c>
      <c r="D23" s="39" t="inlineStr">
        <is>
          <t>SLEEPHORIA Cooling Pillow Cases - BreezeWeave King Size Set of 2 Pillowcases for Hot Sleepers &amp; Cool, Deep Rest - Cloud Soft, Silky Smooth, Ultra Durable, Easy Care, Hidden Zipper (Dark Grey)</t>
        </is>
      </c>
      <c r="E23" s="39" t="inlineStr">
        <is>
          <t>King</t>
        </is>
      </c>
      <c r="F23" s="39" t="inlineStr">
        <is>
          <t>Dark Grey</t>
        </is>
      </c>
      <c r="G23" s="40" t="n"/>
      <c r="H23" s="39" t="n"/>
      <c r="I23" s="74" t="n">
        <v>19.95</v>
      </c>
      <c r="J23" s="75" t="inlineStr">
        <is>
          <t>2026-03-30</t>
        </is>
      </c>
      <c r="K23" s="40" t="n">
        <v>5.500000000000001</v>
      </c>
      <c r="L23" s="76" t="n">
        <v>0.2756892230576442</v>
      </c>
      <c r="M23" s="77" t="n">
        <v>1</v>
      </c>
      <c r="N23" s="39" t="inlineStr">
        <is>
          <t>Inactive</t>
        </is>
      </c>
      <c r="O23" s="39" t="n"/>
      <c r="P23" s="78" t="n"/>
      <c r="Q23" s="77" t="n"/>
      <c r="R23" s="77" t="n"/>
      <c r="S23" s="77" t="n"/>
      <c r="T23" s="39" t="n"/>
    </row>
    <row r="24" ht="62" customHeight="1">
      <c r="A24" s="12">
        <f>_xlfn.IMAGE("https://m.media-amazon.com/images/I/81XKUniONAL.jpg")</f>
        <v/>
      </c>
      <c r="B24" s="39" t="inlineStr">
        <is>
          <t>B0F7LMHRL9</t>
        </is>
      </c>
      <c r="C24" s="39" t="inlineStr">
        <is>
          <t>SL-CLG-PC-DARK-GREY-QUEEN-2PCS</t>
        </is>
      </c>
      <c r="D24" s="39" t="inlineStr">
        <is>
          <t>SLEEPHORIA Cooling Pillow Cases - BreezeWeave Queen Size Set of 2 Pillowcases for Hot Sleepers &amp; Cool, Deep Rest - Cloud Soft, Silky Smooth, Ultra Durable, Easy Care, Hidden Zipper (Dark Grey)</t>
        </is>
      </c>
      <c r="E24" s="39" t="inlineStr">
        <is>
          <t>Queen</t>
        </is>
      </c>
      <c r="F24" s="39" t="inlineStr">
        <is>
          <t>Dark Grey</t>
        </is>
      </c>
      <c r="G24" s="40" t="n"/>
      <c r="H24" s="39" t="n"/>
      <c r="I24" s="74" t="n">
        <v>17.99</v>
      </c>
      <c r="J24" s="75" t="inlineStr">
        <is>
          <t>2026-03-30</t>
        </is>
      </c>
      <c r="K24" s="40" t="n">
        <v>4.789999999999999</v>
      </c>
      <c r="L24" s="76" t="n">
        <v>0.2662590327959978</v>
      </c>
      <c r="M24" s="77" t="n">
        <v>1</v>
      </c>
      <c r="N24" s="39" t="inlineStr">
        <is>
          <t>Inactive</t>
        </is>
      </c>
      <c r="O24" s="39" t="n"/>
      <c r="P24" s="78" t="n"/>
      <c r="Q24" s="77" t="n"/>
      <c r="R24" s="77" t="n"/>
      <c r="S24" s="77" t="n"/>
      <c r="T24" s="39" t="n"/>
    </row>
    <row r="25" ht="62" customHeight="1">
      <c r="A25" s="12">
        <f>_xlfn.IMAGE("https://m.media-amazon.com/images/I/81Fvoa6klwL.jpg")</f>
        <v/>
      </c>
      <c r="B25" s="39" t="inlineStr">
        <is>
          <t>B0F7LLBQH3</t>
        </is>
      </c>
      <c r="C25" s="39" t="inlineStr">
        <is>
          <t>SL-CLG-PC-WHITE-KING-2PCS</t>
        </is>
      </c>
      <c r="D25" s="39" t="inlineStr">
        <is>
          <t>SLEEPHORIA Cooling Pillow Cases - BreezeWeave King Size Set of 2 Pillowcases for Hot Sleepers &amp; Cool, Deep Rest - Cloud Soft, Silky Smooth, Ultra Durable, Easy Care, Hidden Zipper (White)</t>
        </is>
      </c>
      <c r="E25" s="39" t="inlineStr">
        <is>
          <t>King</t>
        </is>
      </c>
      <c r="F25" s="39" t="inlineStr">
        <is>
          <t>White</t>
        </is>
      </c>
      <c r="G25" s="40" t="n"/>
      <c r="H25" s="39" t="n"/>
      <c r="I25" s="74" t="n">
        <v>19.99</v>
      </c>
      <c r="J25" s="75" t="inlineStr">
        <is>
          <t>2026-03-30</t>
        </is>
      </c>
      <c r="K25" s="40" t="n">
        <v>6.719999999999998</v>
      </c>
      <c r="L25" s="76" t="n">
        <v>0.3361680840420209</v>
      </c>
      <c r="M25" s="77" t="n"/>
      <c r="N25" s="39" t="inlineStr">
        <is>
          <t>Inactive</t>
        </is>
      </c>
      <c r="O25" s="39" t="n"/>
      <c r="P25" s="78" t="n"/>
      <c r="Q25" s="77" t="n"/>
      <c r="R25" s="77" t="n"/>
      <c r="S25" s="77" t="n"/>
      <c r="T25" s="39" t="n"/>
    </row>
    <row r="26" ht="62" customHeight="1">
      <c r="A26" s="12">
        <f>_xlfn.IMAGE("https://m.media-amazon.com/images/I/81Xy+KUC6XL.jpg")</f>
        <v/>
      </c>
      <c r="B26" s="39" t="inlineStr">
        <is>
          <t>B0F7LJRWB6</t>
        </is>
      </c>
      <c r="C26" s="39" t="inlineStr">
        <is>
          <t>SL-CLG-PC-LIGHT-GREY-QUEEN-2PCS</t>
        </is>
      </c>
      <c r="D26" s="39" t="inlineStr">
        <is>
          <t>SLEEPHORIA Cooling Pillow Cases - BreezeWeave Queen Size Set of 2 Pillowcases for Hot Sleepers &amp; Cool, Deep Rest - Cloud Soft, Silky Smooth, Ultra Durable, Easy Care, Hidden Zipper (Light Grey)</t>
        </is>
      </c>
      <c r="E26" s="39" t="inlineStr">
        <is>
          <t>Queen</t>
        </is>
      </c>
      <c r="F26" s="39" t="inlineStr">
        <is>
          <t>Light Grey</t>
        </is>
      </c>
      <c r="G26" s="40" t="n"/>
      <c r="H26" s="39" t="n"/>
      <c r="I26" s="74" t="n">
        <v>17.99</v>
      </c>
      <c r="J26" s="75" t="inlineStr">
        <is>
          <t>2026-03-30</t>
        </is>
      </c>
      <c r="K26" s="40" t="n">
        <v>3.27</v>
      </c>
      <c r="L26" s="76" t="n">
        <v>0.1817676486937187</v>
      </c>
      <c r="M26" s="77" t="n"/>
      <c r="N26" s="39" t="inlineStr">
        <is>
          <t>Inactive</t>
        </is>
      </c>
      <c r="O26" s="39" t="n"/>
      <c r="P26" s="78" t="n"/>
      <c r="Q26" s="77" t="n"/>
      <c r="R26" s="77" t="n"/>
      <c r="S26" s="77" t="n"/>
      <c r="T26" s="39" t="n"/>
    </row>
    <row r="27" ht="62" customHeight="1">
      <c r="A27" s="12">
        <f>_xlfn.IMAGE("https://m.media-amazon.com/images/I/81XKUniONAL.jpg")</f>
        <v/>
      </c>
      <c r="B27" s="39" t="inlineStr">
        <is>
          <t>B0F7LJM867</t>
        </is>
      </c>
      <c r="C27" s="39" t="inlineStr">
        <is>
          <t>SL-CLG-PC-DARK-GREY-STANDARD-2PCS</t>
        </is>
      </c>
      <c r="D27" s="39" t="inlineStr">
        <is>
          <t>SLEEPHORIA Cooling Pillow Cases - BreezeWeave Standard Size Set of 2 Pillowcases for Hot Sleepers &amp; Cool, Deep Rest - Cloud Soft, Silky Smooth, Ultra Durable, Easy Care, Hidden Zipper (Dark Grey)</t>
        </is>
      </c>
      <c r="E27" s="39" t="inlineStr">
        <is>
          <t>Standard</t>
        </is>
      </c>
      <c r="F27" s="39" t="inlineStr">
        <is>
          <t>Dark Grey</t>
        </is>
      </c>
      <c r="G27" s="40" t="n"/>
      <c r="H27" s="39" t="n"/>
      <c r="I27" s="74" t="n">
        <v>23.99</v>
      </c>
      <c r="J27" s="75" t="inlineStr">
        <is>
          <t>2026-03-26</t>
        </is>
      </c>
      <c r="K27" s="40" t="n">
        <v>7.809999999999997</v>
      </c>
      <c r="L27" s="76" t="n">
        <v>0.3255523134639432</v>
      </c>
      <c r="M27" s="77" t="n"/>
      <c r="N27" s="39" t="inlineStr">
        <is>
          <t>Inactive</t>
        </is>
      </c>
      <c r="O27" s="39" t="n"/>
      <c r="P27" s="78" t="n"/>
      <c r="Q27" s="77" t="n"/>
      <c r="R27" s="77" t="n"/>
      <c r="S27" s="77" t="n"/>
      <c r="T27" s="39" t="n"/>
    </row>
    <row r="28" ht="62" customHeight="1">
      <c r="A28" s="12">
        <f>_xlfn.IMAGE("https://m.media-amazon.com/images/I/81Xy+KUC6XL.jpg")</f>
        <v/>
      </c>
      <c r="B28" s="39" t="inlineStr">
        <is>
          <t>B0F7LLM71K</t>
        </is>
      </c>
      <c r="C28" s="39" t="inlineStr">
        <is>
          <t>SL-CLG-PC-LIGHT-GREY-STANDARD-2PCS</t>
        </is>
      </c>
      <c r="D28" s="39" t="inlineStr">
        <is>
          <t>SLEEPHORIA Cooling Pillow Cases - BreezeWeave Standard Size Set of 2 Pillowcases for Hot Sleepers &amp; Cool, Deep Rest - Cloud Soft, Silky Smooth, Ultra Durable, Easy Care, Hidden Zipper (Light Grey)</t>
        </is>
      </c>
      <c r="E28" s="39" t="inlineStr">
        <is>
          <t>Standard</t>
        </is>
      </c>
      <c r="F28" s="39" t="inlineStr">
        <is>
          <t>Light Grey</t>
        </is>
      </c>
      <c r="G28" s="40" t="n"/>
      <c r="H28" s="39" t="n"/>
      <c r="I28" s="74" t="n">
        <v>16.99</v>
      </c>
      <c r="J28" s="75" t="inlineStr">
        <is>
          <t>2026-03-30</t>
        </is>
      </c>
      <c r="K28" s="40" t="n">
        <v>2.639999999999998</v>
      </c>
      <c r="L28" s="76" t="n">
        <v>0.1553855208946438</v>
      </c>
      <c r="M28" s="77" t="n"/>
      <c r="N28" s="39" t="inlineStr">
        <is>
          <t>Inactive</t>
        </is>
      </c>
      <c r="O28" s="39" t="n"/>
      <c r="P28" s="78" t="n"/>
      <c r="Q28" s="77" t="n"/>
      <c r="R28" s="77" t="n"/>
      <c r="S28" s="77" t="n"/>
      <c r="T28" s="39" t="n"/>
    </row>
    <row r="29" ht="62" customHeight="1">
      <c r="A29" s="12">
        <f>_xlfn.IMAGE("https://m.media-amazon.com/images/I/81Fvoa6klwL.jpg")</f>
        <v/>
      </c>
      <c r="B29" s="39" t="inlineStr">
        <is>
          <t>B0F7LMGHFP</t>
        </is>
      </c>
      <c r="C29" s="39" t="inlineStr">
        <is>
          <t>SL-CLG-PC-WHITE-STANDARD-2PCS</t>
        </is>
      </c>
      <c r="D29" s="39" t="inlineStr">
        <is>
          <t>SLEEPHORIA Cooling Pillow Cases - BreezeWeave Standard Size Set of 2 Pillowcases for Hot Sleepers &amp; Cool, Deep Rest - Cloud Soft, Silky Smooth, Ultra Durable, Easy Care, Hidden Zipper (White)</t>
        </is>
      </c>
      <c r="E29" s="39" t="inlineStr">
        <is>
          <t>Standard</t>
        </is>
      </c>
      <c r="F29" s="39" t="inlineStr">
        <is>
          <t>White</t>
        </is>
      </c>
      <c r="G29" s="40" t="n"/>
      <c r="H29" s="39" t="n"/>
      <c r="I29" s="74" t="n">
        <v>23.99</v>
      </c>
      <c r="J29" s="75" t="inlineStr">
        <is>
          <t>2026-03-30</t>
        </is>
      </c>
      <c r="K29" s="40" t="n">
        <v>8.539999999999997</v>
      </c>
      <c r="L29" s="76" t="n">
        <v>0.3559816590245935</v>
      </c>
      <c r="M29" s="77" t="n"/>
      <c r="N29" s="39" t="inlineStr">
        <is>
          <t>Inactive</t>
        </is>
      </c>
      <c r="O29" s="39" t="n"/>
      <c r="P29" s="78" t="n"/>
      <c r="Q29" s="77" t="n"/>
      <c r="R29" s="77" t="n"/>
      <c r="S29" s="77" t="n"/>
      <c r="T29" s="39" t="n"/>
    </row>
    <row r="30"/>
    <row r="31" ht="22" customHeight="1">
      <c r="A31" s="65" t="inlineStr">
        <is>
          <t>3 ▼</t>
        </is>
      </c>
      <c r="B31" s="66" t="inlineStr">
        <is>
          <t>OUR BFCM 2025 RESULT &amp; EVENT VISIBILITY</t>
        </is>
      </c>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c r="AC31" s="67" t="n"/>
      <c r="AD31" s="67" t="n"/>
      <c r="AE31" s="67" t="n"/>
      <c r="AF31" s="67" t="n"/>
      <c r="AG31" s="67" t="n"/>
      <c r="AH31" s="67" t="n"/>
      <c r="AI31" s="67" t="n"/>
      <c r="AJ31" s="67" t="n"/>
      <c r="AK31" s="67" t="n"/>
      <c r="AL31" s="67" t="n"/>
      <c r="AM31" s="67" t="n"/>
      <c r="AN31" s="67" t="n"/>
      <c r="AO31" s="67" t="n"/>
      <c r="AP31" s="67" t="n"/>
      <c r="AQ31" s="67" t="n"/>
      <c r="AR31" s="67" t="n"/>
      <c r="AS31" s="67" t="n"/>
      <c r="AT31" s="67" t="n"/>
      <c r="AU31" s="67" t="n"/>
      <c r="AV31" s="67" t="n"/>
      <c r="AW31" s="67" t="n"/>
      <c r="AX31" s="67" t="n"/>
      <c r="AY31" s="67" t="n"/>
      <c r="AZ31" s="67" t="n"/>
      <c r="BA31" s="67" t="n"/>
      <c r="BB31" s="67" t="n"/>
      <c r="BC31" s="67" t="n"/>
      <c r="BD31" s="67" t="n"/>
      <c r="BE31" s="67" t="n"/>
      <c r="BF31" s="67" t="n"/>
      <c r="BG31" s="67" t="n"/>
      <c r="BH31" s="67" t="n"/>
      <c r="BI31" s="67" t="n"/>
      <c r="BJ31" s="67" t="n"/>
      <c r="BK31" s="67" t="n"/>
    </row>
    <row r="32">
      <c r="A32" s="80" t="inlineStr">
        <is>
          <t>Window</t>
        </is>
      </c>
      <c r="B32" s="81" t="n"/>
      <c r="C32" s="82" t="n"/>
      <c r="D32" s="80" t="inlineStr">
        <is>
          <t>Ad spend</t>
        </is>
      </c>
      <c r="E32" s="80" t="inlineStr">
        <is>
          <t>Ad sales</t>
        </is>
      </c>
      <c r="F32" s="80" t="inlineStr">
        <is>
          <t>ACoS</t>
        </is>
      </c>
      <c r="G32" s="80" t="inlineStr">
        <is>
          <t>TACoS</t>
        </is>
      </c>
      <c r="H32" s="80" t="inlineStr">
        <is>
          <t>Total sales (derived)</t>
        </is>
      </c>
      <c r="J32" s="80" t="inlineStr">
        <is>
          <t>Ad orders</t>
        </is>
      </c>
      <c r="K32" s="80" t="inlineStr">
        <is>
          <t>CVR</t>
        </is>
      </c>
    </row>
    <row r="33">
      <c r="A33" s="83" t="inlineStr">
        <is>
          <t>Pre-event Oct 21 - Nov 19, 2025 (30d)</t>
        </is>
      </c>
      <c r="B33" s="81" t="n"/>
      <c r="C33" s="82" t="n"/>
      <c r="D33" s="84" t="n"/>
      <c r="E33" s="84" t="n"/>
      <c r="F33" s="85" t="n"/>
      <c r="G33" s="85" t="n"/>
      <c r="H33" s="84" t="n"/>
      <c r="J33" s="86" t="n"/>
      <c r="K33" s="87" t="n"/>
    </row>
    <row r="34">
      <c r="A34" s="83" t="inlineStr">
        <is>
          <t>BFCM week Nov 20 - Dec 1, 2025 (12d)</t>
        </is>
      </c>
      <c r="B34" s="81" t="n"/>
      <c r="C34" s="82" t="n"/>
      <c r="D34" s="84" t="n"/>
      <c r="E34" s="84" t="n"/>
      <c r="F34" s="85" t="n"/>
      <c r="G34" s="85" t="n"/>
      <c r="H34" s="84" t="n"/>
      <c r="J34" s="86" t="n"/>
      <c r="K34" s="87" t="n"/>
    </row>
    <row r="35">
      <c r="A35" s="83" t="inlineStr">
        <is>
          <t>December 2 - 31, 2025 (30d)</t>
        </is>
      </c>
      <c r="B35" s="81" t="n"/>
      <c r="C35" s="82" t="n"/>
      <c r="D35" s="84" t="n"/>
      <c r="E35" s="84" t="n"/>
      <c r="F35" s="85" t="n"/>
      <c r="G35" s="85" t="n"/>
      <c r="H35" s="84" t="n"/>
      <c r="J35" s="86" t="n"/>
      <c r="K35" s="87" t="n"/>
    </row>
    <row r="36"/>
    <row r="37">
      <c r="A37" s="80" t="inlineStr">
        <is>
          <t>Actual sales (account data)</t>
        </is>
      </c>
      <c r="B37" s="81" t="n"/>
      <c r="C37" s="82" t="n"/>
      <c r="D37" s="80" t="inlineStr">
        <is>
          <t>Sales</t>
        </is>
      </c>
      <c r="E37" s="80" t="inlineStr">
        <is>
          <t>Units</t>
        </is>
      </c>
      <c r="F37" s="80" t="inlineStr">
        <is>
          <t>Organic units</t>
        </is>
      </c>
      <c r="G37" s="80" t="inlineStr">
        <is>
          <t>Ad units</t>
        </is>
      </c>
      <c r="H37" s="80" t="inlineStr">
        <is>
          <t>Ad cost</t>
        </is>
      </c>
      <c r="J37" s="80" t="inlineStr">
        <is>
          <t>TACoS (actual)</t>
        </is>
      </c>
      <c r="K37" s="80" t="inlineStr">
        <is>
          <t>Sessions</t>
        </is>
      </c>
      <c r="L37" s="80" t="inlineStr">
        <is>
          <t>Unit session %</t>
        </is>
      </c>
      <c r="M37" s="80" t="inlineStr">
        <is>
          <t>Avg price</t>
        </is>
      </c>
      <c r="N37" s="80" t="inlineStr">
        <is>
          <t>Refunds</t>
        </is>
      </c>
    </row>
    <row r="38">
      <c r="A38" s="83" t="inlineStr">
        <is>
          <t>Pre-event Oct 21 - Nov 19, 2025 (30d)</t>
        </is>
      </c>
      <c r="B38" s="81" t="n"/>
      <c r="C38" s="82" t="n"/>
      <c r="D38" s="84" t="n">
        <v>9910.98</v>
      </c>
      <c r="E38" s="86" t="n">
        <v>606</v>
      </c>
      <c r="F38" s="86" t="n">
        <v>474</v>
      </c>
      <c r="G38" s="86" t="n">
        <v>132</v>
      </c>
      <c r="H38" s="84" t="n">
        <v>4509.02</v>
      </c>
      <c r="J38" s="88" t="n">
        <v>0.4549519825486481</v>
      </c>
      <c r="K38" s="86" t="n">
        <v>4670</v>
      </c>
      <c r="L38" s="88" t="n">
        <v>0.1297644539614561</v>
      </c>
      <c r="M38" s="89" t="n">
        <v>16.35475247524752</v>
      </c>
      <c r="N38" s="86" t="n">
        <v>27</v>
      </c>
    </row>
    <row r="39">
      <c r="A39" s="83" t="inlineStr">
        <is>
          <t>BFCM week Nov 20 - Dec 1, 2025 (12d)</t>
        </is>
      </c>
      <c r="B39" s="81" t="n"/>
      <c r="C39" s="82" t="n"/>
      <c r="D39" s="84" t="n">
        <v>3042.11</v>
      </c>
      <c r="E39" s="86" t="n">
        <v>191</v>
      </c>
      <c r="F39" s="86" t="n">
        <v>148</v>
      </c>
      <c r="G39" s="86" t="n">
        <v>43</v>
      </c>
      <c r="H39" s="84" t="n">
        <v>1304.91</v>
      </c>
      <c r="J39" s="88" t="n">
        <v>0.4289489860655926</v>
      </c>
      <c r="K39" s="86" t="n">
        <v>1534</v>
      </c>
      <c r="L39" s="88" t="n">
        <v>0.1245110821382008</v>
      </c>
      <c r="M39" s="89" t="n">
        <v>15.927277486911</v>
      </c>
      <c r="N39" s="86" t="n">
        <v>12</v>
      </c>
    </row>
    <row r="40">
      <c r="A40" s="83" t="inlineStr">
        <is>
          <t>December 2 - 31, 2025 (30d)</t>
        </is>
      </c>
      <c r="B40" s="81" t="n"/>
      <c r="C40" s="82" t="n"/>
      <c r="D40" s="84" t="n">
        <v>6361.99</v>
      </c>
      <c r="E40" s="86" t="n">
        <v>402</v>
      </c>
      <c r="F40" s="86" t="n">
        <v>315</v>
      </c>
      <c r="G40" s="86" t="n">
        <v>87</v>
      </c>
      <c r="H40" s="84" t="n">
        <v>2147.29</v>
      </c>
      <c r="J40" s="88" t="n">
        <v>0.3375186065995074</v>
      </c>
      <c r="K40" s="86" t="n">
        <v>3313</v>
      </c>
      <c r="L40" s="88" t="n">
        <v>0.1213401750679143</v>
      </c>
      <c r="M40" s="89" t="n">
        <v>15.82584577114428</v>
      </c>
      <c r="N40" s="86" t="n">
        <v>24</v>
      </c>
    </row>
    <row r="41">
      <c r="A41" s="90" t="inlineStr">
        <is>
          <t>account data, Amazon parent B0FTSVDG77 plus any of this product's child ASINs account data lists on their own, UTC days. Lift above uses these actual sales.</t>
        </is>
      </c>
    </row>
    <row r="42" ht="18" customHeight="1">
      <c r="A42" s="92" t="inlineStr">
        <is>
          <t>BFCM 2026 plan: Best Deal 11/19-11/30. Deal price and depth not yet given; not yet visible in Amazon's deal feed.</t>
        </is>
      </c>
    </row>
    <row r="43" ht="30" customHeight="1">
      <c r="A43" s="94" t="inlineStr">
        <is>
          <t>BFCM 2026 stock (account data, Oct 15): 260 units at Amazon + 1,160 already sent (no ETA in account data); selling 2.3 a day; need about 156 to Nov 30 with a 2.74x BFCM lift (ASSUMED: account BFCM 2025 lift (US); product's own 2025 lift not reliable). Variations: 7 covered, 0 need the inbound in time, 0 short even with inbound (0 units), 4 out of stock now. Detail: BFCM Stock tab.</t>
        </is>
      </c>
    </row>
    <row r="44" ht="18" customHeight="1">
      <c r="A44" s="95" t="inlineStr">
        <is>
          <t>ASSUMED 2026 deal prices, until the team's final: B0F7LM5KWC today $23.99; $20.39 at 15% off (Nov 19-26) and $19.19 at 20% off (Nov 27-30, Black Friday to Cyber Monday). Rule: team rule agreed Oct 15, 2026. Evidence: our BFCM 2025 deal on B0F7LJS3N2 (US, price history): $15.99 before, $15.99 during, 0% off; US competitors' median price cut in BFCM 2025: 29% (2 rivals). Amazon may use a lower reference price than today's (it sets it the day before the deal), which would lower the deal price.</t>
        </is>
      </c>
    </row>
    <row r="45" ht="30" customHeight="1">
      <c r="A45" s="91" t="inlineStr">
        <is>
          <t>Our hero child B0F7LJS3N2 in price history (market data, US): price $15.99 before (median Nov 1-19) → $15.99 in BFCM week (median Nov 20 - Dec 1), no cut; lowest $15.99; Best Seller Rank 74,485 → 102,469 (1.38x worse); coupon 15%. Price is price history's lowest new offer (price history holds no Buy Box series for our own ASINs; we are the only seller).</t>
        </is>
      </c>
    </row>
    <row r="46">
      <c r="A46" s="90" t="inlineStr">
        <is>
          <t>No market data visibility history for our best child ASIN.</t>
        </is>
      </c>
    </row>
    <row r="47">
      <c r="A47" s="132" t="inlineStr">
        <is>
          <t>No BFCM 2025 PPC data for this product (not advertised or launched after BFCM 2025).</t>
        </is>
      </c>
    </row>
    <row r="48"/>
    <row r="49" ht="22" customHeight="1">
      <c r="A49" s="65" t="inlineStr">
        <is>
          <t>4 ▼</t>
        </is>
      </c>
      <c r="B49" s="66" t="inlineStr">
        <is>
          <t>COMPETITOR LANDSCAPE (21 mapped)</t>
        </is>
      </c>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c r="AC49" s="67" t="n"/>
      <c r="AD49" s="67" t="n"/>
      <c r="AE49" s="67" t="n"/>
      <c r="AF49" s="67" t="n"/>
      <c r="AG49" s="67" t="n"/>
      <c r="AH49" s="67" t="n"/>
      <c r="AI49" s="67" t="n"/>
      <c r="AJ49" s="67" t="n"/>
      <c r="AK49" s="67" t="n"/>
      <c r="AL49" s="67" t="n"/>
      <c r="AM49" s="67" t="n"/>
      <c r="AN49" s="67" t="n"/>
      <c r="AO49" s="67" t="n"/>
      <c r="AP49" s="67" t="n"/>
      <c r="AQ49" s="67" t="n"/>
      <c r="AR49" s="67" t="n"/>
      <c r="AS49" s="67" t="n"/>
      <c r="AT49" s="67" t="n"/>
      <c r="AU49" s="67" t="n"/>
      <c r="AV49" s="67" t="n"/>
      <c r="AW49" s="67" t="n"/>
      <c r="AX49" s="67" t="n"/>
      <c r="AY49" s="67" t="n"/>
      <c r="AZ49" s="67" t="n"/>
      <c r="BA49" s="67" t="n"/>
      <c r="BB49" s="67" t="n"/>
      <c r="BC49" s="67" t="n"/>
      <c r="BD49" s="67" t="n"/>
      <c r="BE49" s="67" t="n"/>
      <c r="BF49" s="67" t="n"/>
      <c r="BG49" s="67" t="n"/>
      <c r="BH49" s="67" t="n"/>
      <c r="BI49" s="67" t="n"/>
      <c r="BJ49" s="67" t="n"/>
      <c r="BK49" s="67" t="n"/>
    </row>
    <row r="50" ht="20" customHeight="1">
      <c r="A50" s="96" t="inlineStr">
        <is>
          <t>▼▼▼</t>
        </is>
      </c>
      <c r="B50" s="97" t="inlineStr">
        <is>
          <t>COMPETITOR DATA BELOW: one row per competitor (13 direct first, then alternative material). Scroll right for listing, search, strikethrough now and BFCM 2025 history (deal type, price, discount, rank change).</t>
        </is>
      </c>
      <c r="C50" s="98" t="n"/>
      <c r="D50" s="98" t="n"/>
      <c r="E50" s="98" t="n"/>
      <c r="F50" s="98" t="n"/>
      <c r="G50" s="98" t="n"/>
      <c r="H50" s="98" t="n"/>
      <c r="I50" s="98" t="n"/>
      <c r="J50" s="98" t="n"/>
      <c r="K50" s="98" t="n"/>
      <c r="L50" s="98" t="n"/>
      <c r="M50" s="98" t="n"/>
      <c r="N50" s="98" t="n"/>
      <c r="O50" s="98" t="n"/>
      <c r="P50" s="98" t="n"/>
      <c r="Q50" s="98" t="n"/>
      <c r="R50" s="98" t="n"/>
      <c r="S50" s="98" t="n"/>
      <c r="T50" s="98" t="n"/>
      <c r="U50" s="98" t="n"/>
      <c r="V50" s="98" t="n"/>
      <c r="W50" s="98" t="n"/>
      <c r="X50" s="98" t="n"/>
      <c r="Y50" s="98" t="n"/>
      <c r="Z50" s="98" t="n"/>
      <c r="AA50" s="98" t="n"/>
      <c r="AB50" s="98" t="n"/>
      <c r="AC50" s="98" t="n"/>
      <c r="AD50" s="98" t="n"/>
      <c r="AE50" s="98" t="n"/>
      <c r="AF50" s="98" t="n"/>
      <c r="AG50" s="98" t="n"/>
      <c r="AH50" s="98" t="n"/>
      <c r="AI50" s="98" t="n"/>
      <c r="AJ50" s="98" t="n"/>
      <c r="AK50" s="98" t="n"/>
      <c r="AL50" s="98" t="n"/>
      <c r="AM50" s="98" t="n"/>
      <c r="AN50" s="98" t="n"/>
      <c r="AO50" s="98" t="n"/>
      <c r="AP50" s="98" t="n"/>
      <c r="AQ50" s="98" t="n"/>
      <c r="AR50" s="98" t="n"/>
      <c r="AS50" s="98" t="n"/>
      <c r="AT50" s="98" t="n"/>
      <c r="AU50" s="98" t="n"/>
      <c r="AV50" s="98" t="n"/>
      <c r="AW50" s="98" t="n"/>
      <c r="AX50" s="98" t="n"/>
      <c r="AY50" s="98" t="n"/>
      <c r="AZ50" s="98" t="n"/>
      <c r="BA50" s="98" t="n"/>
      <c r="BB50" s="98" t="n"/>
      <c r="BC50" s="98" t="n"/>
      <c r="BD50" s="98" t="n"/>
      <c r="BE50" s="98" t="n"/>
      <c r="BF50" s="98" t="n"/>
      <c r="BG50" s="98" t="n"/>
      <c r="BH50" s="98" t="n"/>
      <c r="BI50" s="98" t="n"/>
      <c r="BJ50" s="98" t="n"/>
      <c r="BK50" s="98" t="n"/>
    </row>
    <row r="51">
      <c r="A51" s="99" t="inlineStr">
        <is>
          <t>COMPETITOR</t>
        </is>
      </c>
      <c r="L51" s="100" t="inlineStr">
        <is>
          <t>LISTING - catalog data</t>
        </is>
      </c>
      <c r="M51" s="101" t="inlineStr">
        <is>
          <t>SEARCH STRATEGY - market data search data</t>
        </is>
      </c>
      <c r="N51" s="102" t="inlineStr">
        <is>
          <t>PRICE &amp; SALES - market data snapshot (date per row)</t>
        </is>
      </c>
      <c r="AA51" s="100" t="inlineStr">
        <is>
          <t>LISTING - catalog data</t>
        </is>
      </c>
      <c r="AD51" s="101" t="inlineStr">
        <is>
          <t>SEARCH STRATEGY - market data search data</t>
        </is>
      </c>
      <c r="AU51" s="103" t="inlineStr">
        <is>
          <t>STR NOW - Amazon page check (Oct 13, P1 + P2)</t>
        </is>
      </c>
      <c r="BB51" s="104" t="inlineStr">
        <is>
          <t>BFCM 2025 - price history (P1 filled; yellow = not pulled yet)</t>
        </is>
      </c>
    </row>
    <row r="52" ht="48" customHeight="1">
      <c r="A52" s="26" t="inlineStr">
        <is>
          <t>Image</t>
        </is>
      </c>
      <c r="B52" s="26" t="inlineStr">
        <is>
          <t>Brand</t>
        </is>
      </c>
      <c r="C52" s="26" t="inlineStr">
        <is>
          <t>Product title</t>
        </is>
      </c>
      <c r="D52" s="26" t="inlineStr">
        <is>
          <t>Tier</t>
        </is>
      </c>
      <c r="E52" s="26" t="inlineStr">
        <is>
          <t>Competitor type</t>
        </is>
      </c>
      <c r="F52" s="26" t="inlineStr">
        <is>
          <t>Material</t>
        </is>
      </c>
      <c r="G52" s="26" t="inlineStr">
        <is>
          <t>Why this type</t>
        </is>
      </c>
      <c r="H52" s="26" t="inlineStr">
        <is>
          <t>Parent ASIN</t>
        </is>
      </c>
      <c r="I52" s="26" t="inlineStr">
        <is>
          <t>Tracked child ASIN</t>
        </is>
      </c>
      <c r="J52" s="26" t="inlineStr">
        <is>
          <t>Size</t>
        </is>
      </c>
      <c r="K52" s="26" t="inlineStr">
        <is>
          <t>Colour</t>
        </is>
      </c>
      <c r="L52" s="26" t="inlineStr">
        <is>
          <t>Variations</t>
        </is>
      </c>
      <c r="M52" s="26" t="inlineStr">
        <is>
          <t>Hero child ASINs (share of their visibility)</t>
        </is>
      </c>
      <c r="N52" s="26" t="inlineStr">
        <is>
          <t>Price ($)</t>
        </is>
      </c>
      <c r="O52" s="26" t="inlineStr">
        <is>
          <t>List Price ($)</t>
        </is>
      </c>
      <c r="P52" s="26" t="inlineStr">
        <is>
          <t>List Price % over</t>
        </is>
      </c>
      <c r="Q52" s="26" t="inlineStr">
        <is>
          <t>STR band</t>
        </is>
      </c>
      <c r="R52" s="26" t="inlineStr">
        <is>
          <t>Our price, same size ($)</t>
        </is>
      </c>
      <c r="S52" s="26" t="inlineStr">
        <is>
          <t>Their price vs ours</t>
        </is>
      </c>
      <c r="T52" s="26" t="inlineStr">
        <is>
          <t>Comparison basis</t>
        </is>
      </c>
      <c r="U52" s="26" t="inlineStr">
        <is>
          <t>BSR</t>
        </is>
      </c>
      <c r="V52" s="26" t="inlineStr">
        <is>
          <t>Est weekly units</t>
        </is>
      </c>
      <c r="W52" s="26" t="inlineStr">
        <is>
          <t>Est monthly revenue ($)</t>
        </is>
      </c>
      <c r="X52" s="26" t="inlineStr">
        <is>
          <t>Rating</t>
        </is>
      </c>
      <c r="Y52" s="26" t="inlineStr">
        <is>
          <t>Reviews</t>
        </is>
      </c>
      <c r="Z52" s="26" t="inlineStr">
        <is>
          <t>Snapshot date</t>
        </is>
      </c>
      <c r="AA52" s="26" t="inlineStr">
        <is>
          <t>Listed</t>
        </is>
      </c>
      <c r="AB52" s="26" t="inlineStr">
        <is>
          <t>Fulfil.</t>
        </is>
      </c>
      <c r="AC52" s="26" t="inlineStr">
        <is>
          <t>Seller country</t>
        </is>
      </c>
      <c r="AD52" s="26" t="inlineStr">
        <is>
          <t>search data 7d traffic</t>
        </is>
      </c>
      <c r="AE52" s="26" t="inlineStr">
        <is>
          <t>Keywords ranked</t>
        </is>
      </c>
      <c r="AF52" s="26" t="inlineStr">
        <is>
          <t>Organic share of traffic</t>
        </is>
      </c>
      <c r="AG52" s="26" t="inlineStr">
        <is>
          <t>Ad share of traffic</t>
        </is>
      </c>
      <c r="AH52" s="26" t="inlineStr">
        <is>
          <t>Top keyword</t>
        </is>
      </c>
      <c r="AI52" s="26" t="inlineStr">
        <is>
          <t>SP reach</t>
        </is>
      </c>
      <c r="AJ52" s="26" t="inlineStr">
        <is>
          <t>SB reach</t>
        </is>
      </c>
      <c r="AK52" s="26" t="inlineStr">
        <is>
          <t>SB video reach</t>
        </is>
      </c>
      <c r="AL52" s="26" t="inlineStr">
        <is>
          <t>Amazon's Choice reach</t>
        </is>
      </c>
      <c r="AM52" s="26" t="inlineStr">
        <is>
          <t>Shared keywords</t>
        </is>
      </c>
      <c r="AN52" s="26" t="inlineStr">
        <is>
          <t>We win</t>
        </is>
      </c>
      <c r="AO52" s="26" t="inlineStr">
        <is>
          <t>We lose</t>
        </is>
      </c>
      <c r="AP52" s="26" t="inlineStr">
        <is>
          <t>Their keywords we miss</t>
        </is>
      </c>
      <c r="AQ52" s="26" t="inlineStr">
        <is>
          <t>KWs they advertise, we don't</t>
        </is>
      </c>
      <c r="AR52" s="26" t="inlineStr">
        <is>
          <t>KWs they out-advertise us</t>
        </is>
      </c>
      <c r="AS52" s="26" t="inlineStr">
        <is>
          <t>Prime Day 2026 organic vis lift</t>
        </is>
      </c>
      <c r="AT52" s="26" t="inlineStr">
        <is>
          <t>Organic trend (Aug-Sep vs Q2)</t>
        </is>
      </c>
      <c r="AU52" s="26" t="inlineStr">
        <is>
          <t>STR showing now? (Y/N)</t>
        </is>
      </c>
      <c r="AV52" s="26" t="inlineStr">
        <is>
          <t>STR label</t>
        </is>
      </c>
      <c r="AW52" s="26" t="inlineStr">
        <is>
          <t>Strikethrough price ($)</t>
        </is>
      </c>
      <c r="AX52" s="26" t="inlineStr">
        <is>
          <t>Page price at check ($)</t>
        </is>
      </c>
      <c r="AY52" s="26" t="inlineStr">
        <is>
          <t>Deal / coupon now</t>
        </is>
      </c>
      <c r="AZ52" s="26" t="inlineStr">
        <is>
          <t>Orderable now (Y/N)</t>
        </is>
      </c>
      <c r="BA52" s="26" t="inlineStr">
        <is>
          <t>Checked (ET)</t>
        </is>
      </c>
      <c r="BB52" s="26" t="inlineStr">
        <is>
          <t>BFCM 2025 deal type</t>
        </is>
      </c>
      <c r="BC52" s="26" t="inlineStr">
        <is>
          <t>BFCM 2025 deal dates</t>
        </is>
      </c>
      <c r="BD52" s="26" t="inlineStr">
        <is>
          <t>Pre-event price ($)</t>
        </is>
      </c>
      <c r="BE52" s="26" t="inlineStr">
        <is>
          <t>BFCM 2025 low ($)</t>
        </is>
      </c>
      <c r="BF52" s="26" t="inlineStr">
        <is>
          <t>BFCM 2025 discount</t>
        </is>
      </c>
      <c r="BG52" s="26" t="inlineStr">
        <is>
          <t>BSR pre-event</t>
        </is>
      </c>
      <c r="BH52" s="26" t="inlineStr">
        <is>
          <t>BSR BFCM wk</t>
        </is>
      </c>
      <c r="BI52" s="26" t="inlineStr">
        <is>
          <t>BSR lift (x)</t>
        </is>
      </c>
      <c r="BJ52" s="26" t="inlineStr">
        <is>
          <t>OOS in BFCM? (Y/N)</t>
        </is>
      </c>
      <c r="BK52" s="26" t="inlineStr">
        <is>
          <t>Notes</t>
        </is>
      </c>
    </row>
    <row r="53" ht="62" customHeight="1">
      <c r="A53" s="12">
        <f>_xlfn.IMAGE("https://images-na.ssl-images-amazon.com/images/I/81Y85wfagkL.jpg")</f>
        <v/>
      </c>
      <c r="B53" s="105" t="inlineStr">
        <is>
          <t>Serta</t>
        </is>
      </c>
      <c r="C53" s="39" t="inlineStr">
        <is>
          <t>Serta Power Chill Cooling Pillow Protectors, Standard/Queen (2 Pack)</t>
        </is>
      </c>
      <c r="D53" s="105" t="inlineStr">
        <is>
          <t>Aspirational</t>
        </is>
      </c>
      <c r="E53" s="106" t="inlineStr">
        <is>
          <t>Direct</t>
        </is>
      </c>
      <c r="F53" s="105" t="inlineStr">
        <is>
          <t>Synthetic cooling knit</t>
        </is>
      </c>
      <c r="G53" s="39" t="inlineStr">
        <is>
          <t>Same product (pillowcase) in the same material family: Synthetic cooling knit (product page material: Nylon, Spandex); ours: BreezeWeave cooling fabric, nylon-spandex like CooLoom (confirmed Oct 15, 2026).</t>
        </is>
      </c>
      <c r="H53" s="107" t="inlineStr">
        <is>
          <t>B0D15BSQCT</t>
        </is>
      </c>
      <c r="I53" s="107" t="inlineStr">
        <is>
          <t>B098TRFLHZ</t>
        </is>
      </c>
      <c r="J53" s="105" t="inlineStr">
        <is>
          <t>Standard/Queen</t>
        </is>
      </c>
      <c r="K53" s="105" t="inlineStr">
        <is>
          <t>White</t>
        </is>
      </c>
      <c r="L53" s="108" t="n">
        <v>4</v>
      </c>
      <c r="M53" s="39" t="inlineStr">
        <is>
          <t>B098TRFLHZ (82%)</t>
        </is>
      </c>
      <c r="N53" s="109" t="n">
        <v>19.02</v>
      </c>
      <c r="O53" s="109" t="n"/>
      <c r="P53" s="110">
        <f>IF(AND(ISNUMBER(O53),ISNUMBER(N53),N(N53)&gt;0),O53/N53-1,"")</f>
        <v/>
      </c>
      <c r="Q53" s="111">
        <f>IF(P53="","No List Price",IF(P53&lt;=0,"At/below price",IF(P53&lt;=0.12,"&lt;=12% STR zone",IF(P53&lt;=0.25,"12-25%","&gt;25% over"))))</f>
        <v/>
      </c>
      <c r="R53" s="109" t="n">
        <v>20.87814814814815</v>
      </c>
      <c r="S53" s="112">
        <f>IF(AND(ISNUMBER(N53),ISNUMBER(R53),N(R53)&gt;0),N53/R53-1,"")</f>
        <v/>
      </c>
      <c r="T53" s="39" t="inlineStr">
        <is>
          <t>vs our blended price (market data, Mar 2026 - STALE)</t>
        </is>
      </c>
      <c r="U53" s="108" t="n">
        <v>4285</v>
      </c>
      <c r="V53" s="108" t="n">
        <v>1040</v>
      </c>
      <c r="W53" s="113">
        <f>IF(AND(ISNUMBER(N53),ISNUMBER(V53)),N53*V53*52/12,"")</f>
        <v/>
      </c>
      <c r="X53" s="114" t="n">
        <v>4.3</v>
      </c>
      <c r="Y53" s="108" t="n">
        <v>3545</v>
      </c>
      <c r="Z53" s="115" t="n">
        <v>46307</v>
      </c>
      <c r="AA53" s="115" t="n">
        <v>44384</v>
      </c>
      <c r="AB53" s="105" t="inlineStr">
        <is>
          <t>AMZ</t>
        </is>
      </c>
      <c r="AC53" s="105" t="inlineStr">
        <is>
          <t>(Amazon)</t>
        </is>
      </c>
      <c r="AD53" s="108" t="n">
        <v>290958</v>
      </c>
      <c r="AE53" s="108" t="n">
        <v>2057</v>
      </c>
      <c r="AF53" s="116" t="n">
        <v>0.6924335141154392</v>
      </c>
      <c r="AG53" s="116" t="n">
        <v>0.3075665298771642</v>
      </c>
      <c r="AH53" s="39" t="inlineStr">
        <is>
          <t>pillows queen size set of 2</t>
        </is>
      </c>
      <c r="AI53" s="116" t="n">
        <v>0.9424418644615374</v>
      </c>
      <c r="AJ53" s="116" t="n"/>
      <c r="AK53" s="116" t="n">
        <v>0.6023034252366321</v>
      </c>
      <c r="AL53" s="116" t="n"/>
      <c r="AM53" s="108" t="n">
        <v>42</v>
      </c>
      <c r="AN53" s="108" t="n">
        <v>2</v>
      </c>
      <c r="AO53" s="108" t="n">
        <v>38</v>
      </c>
      <c r="AP53" s="108" t="n">
        <v>2015</v>
      </c>
      <c r="AQ53" s="108" t="n">
        <v>699</v>
      </c>
      <c r="AR53" s="108" t="n">
        <v>2</v>
      </c>
      <c r="AS53" s="117" t="n">
        <v>2.020360867406059</v>
      </c>
      <c r="AT53" s="112" t="n">
        <v>0.5071875000000001</v>
      </c>
      <c r="AU53" s="118" t="inlineStr">
        <is>
          <t>N</t>
        </is>
      </c>
      <c r="AV53" s="118" t="inlineStr">
        <is>
          <t>none</t>
        </is>
      </c>
      <c r="AW53" s="124" t="n"/>
      <c r="AX53" s="119" t="n">
        <v>19.09</v>
      </c>
      <c r="AY53" s="118" t="inlineStr">
        <is>
          <t>none</t>
        </is>
      </c>
      <c r="AZ53" s="118" t="inlineStr">
        <is>
          <t>Y</t>
        </is>
      </c>
      <c r="BA53" s="118" t="inlineStr">
        <is>
          <t>2026-10-13 23:39:14</t>
        </is>
      </c>
      <c r="BB53" s="120" t="inlineStr">
        <is>
          <t>None</t>
        </is>
      </c>
      <c r="BC53" s="125" t="n"/>
      <c r="BD53" s="121" t="n">
        <v>14.46</v>
      </c>
      <c r="BE53" s="121" t="n">
        <v>14.19</v>
      </c>
      <c r="BF53" s="110">
        <f>IF(AND(ISNUMBER(BD53),ISNUMBER(BE53),N(BD53)&gt;0),1-BE53/BD53,"")</f>
        <v/>
      </c>
      <c r="BG53" s="122" t="n">
        <v>7207</v>
      </c>
      <c r="BH53" s="122" t="n">
        <v>5225</v>
      </c>
      <c r="BI53" s="123">
        <f>IF(AND(ISNUMBER(BG53),ISNUMBER(BH53),N(BH53)&gt;0),BG53/BH53,"")</f>
        <v/>
      </c>
      <c r="BJ53" s="120" t="inlineStr">
        <is>
          <t>N</t>
        </is>
      </c>
      <c r="BK53" s="120" t="inlineStr">
        <is>
          <t>List Price $19.99</t>
        </is>
      </c>
    </row>
    <row r="54" ht="62" customHeight="1">
      <c r="A54" s="12">
        <f>_xlfn.IMAGE("https://images-na.ssl-images-amazon.com/images/I/71xbyEBZ5WL.jpg")</f>
        <v/>
      </c>
      <c r="B54" s="105" t="inlineStr">
        <is>
          <t>Avolare</t>
        </is>
      </c>
      <c r="C54" s="39" t="inlineStr">
        <is>
          <t>Avolare Cooling Pillow Cases for Hot Sleepers Queen Size 2 Pack, Grey</t>
        </is>
      </c>
      <c r="D54" s="105" t="inlineStr">
        <is>
          <t>Aspirational</t>
        </is>
      </c>
      <c r="E54" s="106" t="inlineStr">
        <is>
          <t>Direct</t>
        </is>
      </c>
      <c r="F54" s="105" t="inlineStr">
        <is>
          <t>Synthetic cooling knit</t>
        </is>
      </c>
      <c r="G54" s="39" t="inlineStr">
        <is>
          <t>Same product (pillowcase) in the same material family: Synthetic cooling knit (product page material: Nylon, Spandex); ours: BreezeWeave cooling fabric, nylon-spandex like CooLoom (confirmed Oct 15, 2026).</t>
        </is>
      </c>
      <c r="H54" s="107" t="inlineStr">
        <is>
          <t>B0H3PX4VQC</t>
        </is>
      </c>
      <c r="I54" s="107" t="inlineStr">
        <is>
          <t>B08TBL21VT</t>
        </is>
      </c>
      <c r="J54" s="105" t="inlineStr">
        <is>
          <t>Queen (U.S. Standard)</t>
        </is>
      </c>
      <c r="K54" s="105" t="inlineStr">
        <is>
          <t>Blue</t>
        </is>
      </c>
      <c r="L54" s="108" t="n">
        <v>25</v>
      </c>
      <c r="M54" s="39" t="inlineStr">
        <is>
          <t>B08TBL21VT (29%), B0GC5S5J7H (21%), B08TBGP8R5 (20%), B0GC61D32V (6%), B0DZHRG54P (5%)</t>
        </is>
      </c>
      <c r="N54" s="109" t="n">
        <v>17.52</v>
      </c>
      <c r="O54" s="109" t="n">
        <v>19.99</v>
      </c>
      <c r="P54" s="110">
        <f>IF(AND(ISNUMBER(O54),ISNUMBER(N54),N(N54)&gt;0),O54/N54-1,"")</f>
        <v/>
      </c>
      <c r="Q54" s="111">
        <f>IF(P54="","No List Price",IF(P54&lt;=0,"At/below price",IF(P54&lt;=0.12,"&lt;=12% STR zone",IF(P54&lt;=0.25,"12-25%","&gt;25% over"))))</f>
        <v/>
      </c>
      <c r="R54" s="109" t="n">
        <v>21.99</v>
      </c>
      <c r="S54" s="112">
        <f>IF(AND(ISNUMBER(N54),ISNUMBER(R54),N(R54)&gt;0),N54/R54-1,"")</f>
        <v/>
      </c>
      <c r="T54" s="39" t="inlineStr">
        <is>
          <t>Same size (Queen). Ours live: catalog price, 2026-10-13; 1 child</t>
        </is>
      </c>
      <c r="U54" s="108" t="n">
        <v>18613</v>
      </c>
      <c r="V54" s="108" t="n">
        <v>92</v>
      </c>
      <c r="W54" s="113">
        <f>IF(AND(ISNUMBER(N54),ISNUMBER(V54)),N54*V54*52/12,"")</f>
        <v/>
      </c>
      <c r="X54" s="114" t="n">
        <v>4.4</v>
      </c>
      <c r="Y54" s="108" t="n">
        <v>3872</v>
      </c>
      <c r="Z54" s="115" t="n">
        <v>46307</v>
      </c>
      <c r="AA54" s="115" t="n"/>
      <c r="AB54" s="105" t="n"/>
      <c r="AC54" s="105" t="n"/>
      <c r="AD54" s="108" t="n">
        <v>53763</v>
      </c>
      <c r="AE54" s="108" t="n">
        <v>1432</v>
      </c>
      <c r="AF54" s="116" t="n">
        <v>0.6823409073154402</v>
      </c>
      <c r="AG54" s="116" t="n">
        <v>0.3176590926845601</v>
      </c>
      <c r="AH54" s="39" t="inlineStr">
        <is>
          <t>cooling pillow cases</t>
        </is>
      </c>
      <c r="AI54" s="116" t="n">
        <v>0.6772687536037796</v>
      </c>
      <c r="AJ54" s="116" t="n">
        <v>0.6927812808065026</v>
      </c>
      <c r="AK54" s="116" t="n"/>
      <c r="AL54" s="116" t="n"/>
      <c r="AM54" s="108" t="n">
        <v>43</v>
      </c>
      <c r="AN54" s="108" t="n">
        <v>3</v>
      </c>
      <c r="AO54" s="108" t="n">
        <v>38</v>
      </c>
      <c r="AP54" s="108" t="n">
        <v>1389</v>
      </c>
      <c r="AQ54" s="108" t="n">
        <v>191</v>
      </c>
      <c r="AR54" s="108" t="n">
        <v>2</v>
      </c>
      <c r="AS54" s="117" t="n">
        <v>1.099737532808399</v>
      </c>
      <c r="AT54" s="112" t="n">
        <v>-0.3423336547733847</v>
      </c>
      <c r="AU54" s="118" t="inlineStr">
        <is>
          <t>N</t>
        </is>
      </c>
      <c r="AV54" s="118" t="inlineStr">
        <is>
          <t>none</t>
        </is>
      </c>
      <c r="AW54" s="124" t="n"/>
      <c r="AX54" s="119" t="n">
        <v>17.52</v>
      </c>
      <c r="AY54" s="118" t="inlineStr">
        <is>
          <t>none</t>
        </is>
      </c>
      <c r="AZ54" s="118" t="inlineStr">
        <is>
          <t>Y</t>
        </is>
      </c>
      <c r="BA54" s="118" t="inlineStr">
        <is>
          <t>2026-10-13 23:37:15</t>
        </is>
      </c>
      <c r="BB54" s="120" t="inlineStr">
        <is>
          <t>Prime Exclusive Discount</t>
        </is>
      </c>
      <c r="BC54" s="120" t="inlineStr">
        <is>
          <t>11-21 to 12-01</t>
        </is>
      </c>
      <c r="BD54" s="121" t="n">
        <v>15.99</v>
      </c>
      <c r="BE54" s="121" t="n">
        <v>13.67</v>
      </c>
      <c r="BF54" s="110">
        <f>IF(AND(ISNUMBER(BD54),ISNUMBER(BE54),N(BD54)&gt;0),1-BE54/BD54,"")</f>
        <v/>
      </c>
      <c r="BG54" s="122" t="n">
        <v>24834</v>
      </c>
      <c r="BH54" s="122" t="n">
        <v>30930</v>
      </c>
      <c r="BI54" s="123">
        <f>IF(AND(ISNUMBER(BG54),ISNUMBER(BH54),N(BH54)&gt;0),BG54/BH54,"")</f>
        <v/>
      </c>
      <c r="BJ54" s="120" t="inlineStr">
        <is>
          <t>N</t>
        </is>
      </c>
      <c r="BK54" s="120" t="inlineStr">
        <is>
          <t>Coupon 10%, 15% (11-01 to 12-05); List Price $19.99</t>
        </is>
      </c>
    </row>
    <row r="55" ht="62" customHeight="1">
      <c r="A55" s="12">
        <f>_xlfn.IMAGE("https://m.media-amazon.com/images/I/71zamuFJA8L._AC_SL1500_.jpg")</f>
        <v/>
      </c>
      <c r="B55" s="105" t="inlineStr">
        <is>
          <t>Elegear</t>
        </is>
      </c>
      <c r="C55" s="39" t="inlineStr">
        <is>
          <t>Elegear Cooling Pillow Cases for Hot Sleepers, Set of 2, Queen 20'' x 30''</t>
        </is>
      </c>
      <c r="D55" s="105" t="inlineStr">
        <is>
          <t>Aspirational</t>
        </is>
      </c>
      <c r="E55" s="106" t="inlineStr">
        <is>
          <t>Direct</t>
        </is>
      </c>
      <c r="F55" s="105" t="inlineStr">
        <is>
          <t>Synthetic cooling knit</t>
        </is>
      </c>
      <c r="G55" s="39" t="inlineStr">
        <is>
          <t>Same product (pillowcase) in the same material family: Synthetic cooling knit (product page material: Arc-Chill Cool Fabric 3.0); ours: BreezeWeave cooling fabric, nylon-spandex like CooLoom (confirmed Oct 15, 2026).</t>
        </is>
      </c>
      <c r="H55" s="107" t="inlineStr">
        <is>
          <t>B0HFSJ3HLW</t>
        </is>
      </c>
      <c r="I55" s="107" t="inlineStr">
        <is>
          <t>B07TMF54XC</t>
        </is>
      </c>
      <c r="J55" s="105" t="inlineStr">
        <is>
          <t>Standard (20" x 26")</t>
        </is>
      </c>
      <c r="K55" s="105" t="inlineStr">
        <is>
          <t>Grey</t>
        </is>
      </c>
      <c r="L55" s="108" t="n">
        <v>19</v>
      </c>
      <c r="M55" s="39" t="inlineStr">
        <is>
          <t>B086V7TPDQ (46%), B086V2N4QX (35%)</t>
        </is>
      </c>
      <c r="N55" s="109" t="n">
        <v>16.88</v>
      </c>
      <c r="O55" s="109" t="n"/>
      <c r="P55" s="110">
        <f>IF(AND(ISNUMBER(O55),ISNUMBER(N55),N(N55)&gt;0),O55/N55-1,"")</f>
        <v/>
      </c>
      <c r="Q55" s="111">
        <f>IF(P55="","No List Price",IF(P55&lt;=0,"At/below price",IF(P55&lt;=0.12,"&lt;=12% STR zone",IF(P55&lt;=0.25,"12-25%","&gt;25% over"))))</f>
        <v/>
      </c>
      <c r="R55" s="109" t="n">
        <v>20.87814814814815</v>
      </c>
      <c r="S55" s="112">
        <f>IF(AND(ISNUMBER(N55),ISNUMBER(R55),N(R55)&gt;0),N55/R55-1,"")</f>
        <v/>
      </c>
      <c r="T55" s="39" t="inlineStr">
        <is>
          <t>vs our blended price (market data, Mar 2026 - STALE)</t>
        </is>
      </c>
      <c r="U55" s="108" t="n">
        <v>29862</v>
      </c>
      <c r="V55" s="108" t="n">
        <v>35</v>
      </c>
      <c r="W55" s="113">
        <f>IF(AND(ISNUMBER(N55),ISNUMBER(V55)),N55*V55*52/12,"")</f>
        <v/>
      </c>
      <c r="X55" s="114" t="n">
        <v>4.3</v>
      </c>
      <c r="Y55" s="108" t="n">
        <v>8391</v>
      </c>
      <c r="Z55" s="115" t="n">
        <v>46307</v>
      </c>
      <c r="AA55" s="115" t="n"/>
      <c r="AB55" s="105" t="n"/>
      <c r="AC55" s="105" t="n"/>
      <c r="AD55" s="108" t="n">
        <v>12595</v>
      </c>
      <c r="AE55" s="108" t="n">
        <v>546</v>
      </c>
      <c r="AF55" s="116" t="n">
        <v>0.8238290353314806</v>
      </c>
      <c r="AG55" s="116" t="n">
        <v>0.1761709646685192</v>
      </c>
      <c r="AH55" s="39" t="inlineStr">
        <is>
          <t>cooling pillow cases</t>
        </is>
      </c>
      <c r="AI55" s="116" t="n">
        <v>0.7178245335450576</v>
      </c>
      <c r="AJ55" s="116" t="n">
        <v>0.04525605398967844</v>
      </c>
      <c r="AK55" s="116" t="n">
        <v>0.07185391028185788</v>
      </c>
      <c r="AL55" s="116" t="n"/>
      <c r="AM55" s="108" t="n">
        <v>41</v>
      </c>
      <c r="AN55" s="108" t="n">
        <v>4</v>
      </c>
      <c r="AO55" s="108" t="n">
        <v>34</v>
      </c>
      <c r="AP55" s="108" t="n">
        <v>505</v>
      </c>
      <c r="AQ55" s="108" t="n">
        <v>31</v>
      </c>
      <c r="AR55" s="108" t="n">
        <v>1</v>
      </c>
      <c r="AS55" s="117" t="n"/>
      <c r="AT55" s="112" t="n"/>
      <c r="AU55" s="118" t="inlineStr">
        <is>
          <t>Y</t>
        </is>
      </c>
      <c r="AV55" s="118" t="inlineStr">
        <is>
          <t>List Price</t>
        </is>
      </c>
      <c r="AW55" s="119" t="n">
        <v>18.75</v>
      </c>
      <c r="AX55" s="119" t="n">
        <v>16.88</v>
      </c>
      <c r="AY55" s="118" t="inlineStr">
        <is>
          <t>none</t>
        </is>
      </c>
      <c r="AZ55" s="118" t="inlineStr">
        <is>
          <t>Y</t>
        </is>
      </c>
      <c r="BA55" s="118" t="inlineStr">
        <is>
          <t>2026-10-13 23:38:28</t>
        </is>
      </c>
      <c r="BB55" s="120" t="inlineStr">
        <is>
          <t>Prime Exclusive Discount</t>
        </is>
      </c>
      <c r="BC55" s="120" t="inlineStr">
        <is>
          <t>11-21 to 12-05</t>
        </is>
      </c>
      <c r="BD55" s="121" t="n">
        <v>18.75</v>
      </c>
      <c r="BE55" s="121" t="n">
        <v>15</v>
      </c>
      <c r="BF55" s="110">
        <f>IF(AND(ISNUMBER(BD55),ISNUMBER(BE55),N(BD55)&gt;0),1-BE55/BD55,"")</f>
        <v/>
      </c>
      <c r="BG55" s="122" t="n">
        <v>39017</v>
      </c>
      <c r="BH55" s="122" t="n">
        <v>35504</v>
      </c>
      <c r="BI55" s="123">
        <f>IF(AND(ISNUMBER(BG55),ISNUMBER(BH55),N(BH55)&gt;0),BG55/BH55,"")</f>
        <v/>
      </c>
      <c r="BJ55" s="120" t="inlineStr">
        <is>
          <t>N</t>
        </is>
      </c>
      <c r="BK55" s="120" t="inlineStr">
        <is>
          <t>List Price $18.75</t>
        </is>
      </c>
    </row>
    <row r="56" ht="62" customHeight="1">
      <c r="A56" s="12">
        <f>_xlfn.IMAGE("https://m.media-amazon.com/images/I/71xUOkl9QGL._AC_SL1500_.jpg")</f>
        <v/>
      </c>
      <c r="B56" s="105" t="inlineStr">
        <is>
          <t>Avolare</t>
        </is>
      </c>
      <c r="C56" s="39" t="inlineStr">
        <is>
          <t>Avolare Cooling Pillow Cases Queen Size Set of 2,Arc-Chill 3.0 Cool Pillowcases</t>
        </is>
      </c>
      <c r="D56" s="105" t="inlineStr">
        <is>
          <t>Beatable</t>
        </is>
      </c>
      <c r="E56" s="106" t="inlineStr">
        <is>
          <t>Direct</t>
        </is>
      </c>
      <c r="F56" s="105" t="inlineStr">
        <is>
          <t>Synthetic cooling knit</t>
        </is>
      </c>
      <c r="G56" s="39" t="inlineStr">
        <is>
          <t>Same product (pillowcase) in the same material family: Synthetic cooling knit (product page material: Nylon, Spandex); ours: BreezeWeave cooling fabric, nylon-spandex like CooLoom (confirmed Oct 15, 2026).</t>
        </is>
      </c>
      <c r="H56" s="107" t="inlineStr">
        <is>
          <t>B0H3PX4VQC</t>
        </is>
      </c>
      <c r="I56" s="107" t="inlineStr">
        <is>
          <t>B08TBL21VT</t>
        </is>
      </c>
      <c r="J56" s="105" t="inlineStr">
        <is>
          <t>Queen (U.S. Standard)</t>
        </is>
      </c>
      <c r="K56" s="105" t="inlineStr">
        <is>
          <t>Blue</t>
        </is>
      </c>
      <c r="L56" s="108" t="n"/>
      <c r="M56" s="39" t="inlineStr"/>
      <c r="N56" s="109" t="n">
        <v>17.52</v>
      </c>
      <c r="O56" s="109" t="n">
        <v>19.99</v>
      </c>
      <c r="P56" s="110">
        <f>IF(AND(ISNUMBER(O56),ISNUMBER(N56),N(N56)&gt;0),O56/N56-1,"")</f>
        <v/>
      </c>
      <c r="Q56" s="111">
        <f>IF(P56="","No List Price",IF(P56&lt;=0,"At/below price",IF(P56&lt;=0.12,"&lt;=12% STR zone",IF(P56&lt;=0.25,"12-25%","&gt;25% over"))))</f>
        <v/>
      </c>
      <c r="R56" s="109" t="n">
        <v>21.99</v>
      </c>
      <c r="S56" s="112">
        <f>IF(AND(ISNUMBER(N56),ISNUMBER(R56),N(R56)&gt;0),N56/R56-1,"")</f>
        <v/>
      </c>
      <c r="T56" s="39" t="inlineStr">
        <is>
          <t>Same size (Queen). Ours live: catalog price, 2026-10-13; 1 child</t>
        </is>
      </c>
      <c r="U56" s="108" t="n">
        <v>14178</v>
      </c>
      <c r="V56" s="108" t="n">
        <v>173</v>
      </c>
      <c r="W56" s="113">
        <f>IF(AND(ISNUMBER(N56),ISNUMBER(V56)),N56*V56*52/12,"")</f>
        <v/>
      </c>
      <c r="X56" s="114" t="n">
        <v>4.4</v>
      </c>
      <c r="Y56" s="108" t="n">
        <v>3832</v>
      </c>
      <c r="Z56" s="115" t="n">
        <v>46272</v>
      </c>
      <c r="AA56" s="115" t="n"/>
      <c r="AB56" s="105" t="n"/>
      <c r="AC56" s="105" t="n"/>
      <c r="AD56" s="108" t="n"/>
      <c r="AE56" s="108" t="n"/>
      <c r="AF56" s="116" t="n"/>
      <c r="AG56" s="116" t="n"/>
      <c r="AH56" s="39" t="n"/>
      <c r="AI56" s="116" t="n"/>
      <c r="AJ56" s="116" t="n"/>
      <c r="AK56" s="116" t="n"/>
      <c r="AL56" s="116" t="n"/>
      <c r="AM56" s="108" t="n"/>
      <c r="AN56" s="108" t="n"/>
      <c r="AO56" s="108" t="n"/>
      <c r="AP56" s="108" t="n"/>
      <c r="AQ56" s="108" t="n"/>
      <c r="AR56" s="108" t="n"/>
      <c r="AS56" s="117" t="n">
        <v>1.099737532808399</v>
      </c>
      <c r="AT56" s="112" t="n">
        <v>-0.3423336547733847</v>
      </c>
      <c r="AU56" s="118" t="inlineStr">
        <is>
          <t>N</t>
        </is>
      </c>
      <c r="AV56" s="118" t="inlineStr">
        <is>
          <t>none</t>
        </is>
      </c>
      <c r="AW56" s="124" t="n"/>
      <c r="AX56" s="119" t="n">
        <v>17.52</v>
      </c>
      <c r="AY56" s="118" t="inlineStr">
        <is>
          <t>none</t>
        </is>
      </c>
      <c r="AZ56" s="118" t="inlineStr">
        <is>
          <t>Y</t>
        </is>
      </c>
      <c r="BA56" s="118" t="inlineStr">
        <is>
          <t>2026-10-13 23:37:15</t>
        </is>
      </c>
      <c r="BB56" s="120" t="inlineStr">
        <is>
          <t>Prime Exclusive Discount</t>
        </is>
      </c>
      <c r="BC56" s="120" t="inlineStr">
        <is>
          <t>11-21 to 12-01</t>
        </is>
      </c>
      <c r="BD56" s="121" t="n">
        <v>15.99</v>
      </c>
      <c r="BE56" s="121" t="n">
        <v>13.67</v>
      </c>
      <c r="BF56" s="110">
        <f>IF(AND(ISNUMBER(BD56),ISNUMBER(BE56),N(BD56)&gt;0),1-BE56/BD56,"")</f>
        <v/>
      </c>
      <c r="BG56" s="122" t="n">
        <v>24834</v>
      </c>
      <c r="BH56" s="122" t="n">
        <v>30930</v>
      </c>
      <c r="BI56" s="123">
        <f>IF(AND(ISNUMBER(BG56),ISNUMBER(BH56),N(BH56)&gt;0),BG56/BH56,"")</f>
        <v/>
      </c>
      <c r="BJ56" s="120" t="inlineStr">
        <is>
          <t>N</t>
        </is>
      </c>
      <c r="BK56" s="120" t="inlineStr">
        <is>
          <t>Coupon 10%, 15% (11-01 to 12-05); List Price $19.99</t>
        </is>
      </c>
    </row>
    <row r="57" ht="62" customHeight="1">
      <c r="A57" s="12">
        <f>_xlfn.IMAGE("https://images-na.ssl-images-amazon.com/images/I/81mbqqKQImL.jpg")</f>
        <v/>
      </c>
      <c r="B57" s="105" t="inlineStr">
        <is>
          <t>CHOSHOME</t>
        </is>
      </c>
      <c r="C57" s="39" t="inlineStr">
        <is>
          <t>CHOSHOME Cooling Pillow Cases Zipper Pillow Covers Q-Max &gt; 0.45 Zippered Pillowcases for Hot Sleepers, Soft, Breathable, Skin-Friendly, 2 Pack (Standard, 20" x 26", Grey)</t>
        </is>
      </c>
      <c r="D57" s="105" t="inlineStr">
        <is>
          <t>Beatable</t>
        </is>
      </c>
      <c r="E57" s="106" t="inlineStr">
        <is>
          <t>Direct</t>
        </is>
      </c>
      <c r="F57" s="105" t="inlineStr">
        <is>
          <t>Synthetic cooling knit</t>
        </is>
      </c>
      <c r="G57" s="39" t="inlineStr">
        <is>
          <t>Same product (pillowcase) in the same material family: Synthetic cooling knit (title: CHOSHOME Cooling Pillow Cases Zipper Pillow Covers Q-Max &gt; 0); ours: BreezeWeave cooling fabric, nylon-spandex like CooLoom (confirmed Oct 15, 2026).</t>
        </is>
      </c>
      <c r="H57" s="107" t="inlineStr">
        <is>
          <t>B0B75178W1</t>
        </is>
      </c>
      <c r="I57" s="107" t="inlineStr">
        <is>
          <t>B08X2KBD67</t>
        </is>
      </c>
      <c r="J57" s="105" t="inlineStr">
        <is>
          <t>Standard</t>
        </is>
      </c>
      <c r="K57" s="105" t="inlineStr">
        <is>
          <t>Grey</t>
        </is>
      </c>
      <c r="L57" s="108" t="n">
        <v>54</v>
      </c>
      <c r="M57" s="39" t="inlineStr">
        <is>
          <t>B08X2KBD67 (85%)</t>
        </is>
      </c>
      <c r="N57" s="109" t="n">
        <v>14.6</v>
      </c>
      <c r="O57" s="109" t="n"/>
      <c r="P57" s="110">
        <f>IF(AND(ISNUMBER(O57),ISNUMBER(N57),N(N57)&gt;0),O57/N57-1,"")</f>
        <v/>
      </c>
      <c r="Q57" s="111">
        <f>IF(P57="","No List Price",IF(P57&lt;=0,"At/below price",IF(P57&lt;=0.12,"&lt;=12% STR zone",IF(P57&lt;=0.25,"12-25%","&gt;25% over"))))</f>
        <v/>
      </c>
      <c r="R57" s="109" t="n">
        <v>16.99</v>
      </c>
      <c r="S57" s="112">
        <f>IF(AND(ISNUMBER(N57),ISNUMBER(R57),N(R57)&gt;0),N57/R57-1,"")</f>
        <v/>
      </c>
      <c r="T57" s="39" t="inlineStr">
        <is>
          <t>Same size (Standard). Ours: market data fee feed, Mar 2026 - STALE</t>
        </is>
      </c>
      <c r="U57" s="108" t="n">
        <v>28988</v>
      </c>
      <c r="V57" s="108" t="n">
        <v>104</v>
      </c>
      <c r="W57" s="113">
        <f>IF(AND(ISNUMBER(N57),ISNUMBER(V57)),N57*V57*52/12,"")</f>
        <v/>
      </c>
      <c r="X57" s="114" t="n">
        <v>4.4</v>
      </c>
      <c r="Y57" s="108" t="n">
        <v>1768</v>
      </c>
      <c r="Z57" s="115" t="n">
        <v>46307</v>
      </c>
      <c r="AA57" s="115" t="n">
        <v>44247</v>
      </c>
      <c r="AB57" s="105" t="inlineStr">
        <is>
          <t>FBA</t>
        </is>
      </c>
      <c r="AC57" s="105" t="inlineStr">
        <is>
          <t>CN</t>
        </is>
      </c>
      <c r="AD57" s="108" t="n">
        <v>17999</v>
      </c>
      <c r="AE57" s="108" t="n">
        <v>499</v>
      </c>
      <c r="AF57" s="116" t="n">
        <v>0.8252617812100672</v>
      </c>
      <c r="AG57" s="116" t="n">
        <v>0.1747382187899328</v>
      </c>
      <c r="AH57" s="39" t="inlineStr">
        <is>
          <t>cooling pillow cases</t>
        </is>
      </c>
      <c r="AI57" s="116" t="n">
        <v>0.5976443135729763</v>
      </c>
      <c r="AJ57" s="116" t="n"/>
      <c r="AK57" s="116" t="n">
        <v>0.4869714984165787</v>
      </c>
      <c r="AL57" s="116" t="n">
        <v>0.01083393521862326</v>
      </c>
      <c r="AM57" s="108" t="n">
        <v>38</v>
      </c>
      <c r="AN57" s="108" t="n">
        <v>2</v>
      </c>
      <c r="AO57" s="108" t="n">
        <v>34</v>
      </c>
      <c r="AP57" s="108" t="n">
        <v>461</v>
      </c>
      <c r="AQ57" s="108" t="n">
        <v>43</v>
      </c>
      <c r="AR57" s="108" t="n">
        <v>1</v>
      </c>
      <c r="AS57" s="117" t="n">
        <v>1.111111111111111</v>
      </c>
      <c r="AT57" s="112" t="n">
        <v>0.1746031746031744</v>
      </c>
      <c r="AU57" s="118" t="inlineStr">
        <is>
          <t>N</t>
        </is>
      </c>
      <c r="AV57" s="118" t="inlineStr">
        <is>
          <t>none</t>
        </is>
      </c>
      <c r="AW57" s="124" t="n"/>
      <c r="AX57" s="119" t="n">
        <v>14.6</v>
      </c>
      <c r="AY57" s="118" t="inlineStr">
        <is>
          <t>none</t>
        </is>
      </c>
      <c r="AZ57" s="118" t="inlineStr">
        <is>
          <t>Y</t>
        </is>
      </c>
      <c r="BA57" s="118" t="inlineStr">
        <is>
          <t>2026-10-13 23:37:56</t>
        </is>
      </c>
      <c r="BB57" s="120" t="inlineStr">
        <is>
          <t>Prime Exclusive Discount</t>
        </is>
      </c>
      <c r="BC57" s="120" t="inlineStr">
        <is>
          <t>11-24 to 12-01</t>
        </is>
      </c>
      <c r="BD57" s="121" t="n">
        <v>15.56</v>
      </c>
      <c r="BE57" s="121" t="n">
        <v>13.13</v>
      </c>
      <c r="BF57" s="110">
        <f>IF(AND(ISNUMBER(BD57),ISNUMBER(BE57),N(BD57)&gt;0),1-BE57/BD57,"")</f>
        <v/>
      </c>
      <c r="BG57" s="122" t="n">
        <v>42613</v>
      </c>
      <c r="BH57" s="122" t="n">
        <v>41326</v>
      </c>
      <c r="BI57" s="123">
        <f>IF(AND(ISNUMBER(BG57),ISNUMBER(BH57),N(BH57)&gt;0),BG57/BH57,"")</f>
        <v/>
      </c>
      <c r="BJ57" s="120" t="inlineStr">
        <is>
          <t>N</t>
        </is>
      </c>
      <c r="BK57" s="120" t="inlineStr">
        <is>
          <t>List Price $19.99</t>
        </is>
      </c>
    </row>
    <row r="58" ht="62" customHeight="1">
      <c r="A58" s="12">
        <f>_xlfn.IMAGE("https://m.media-amazon.com/images/I/51rB9WC++HL._AC_SL1000_.jpg")</f>
        <v/>
      </c>
      <c r="B58" s="105" t="inlineStr">
        <is>
          <t>Coop Home Goods</t>
        </is>
      </c>
      <c r="C58" s="39" t="inlineStr">
        <is>
          <t>Coop Home Goods Cool+ Cooling Pillow Case Set of 2, Dove Grey Queen Size Pillow</t>
        </is>
      </c>
      <c r="D58" s="105" t="inlineStr">
        <is>
          <t>Beatable</t>
        </is>
      </c>
      <c r="E58" s="106" t="inlineStr">
        <is>
          <t>Direct</t>
        </is>
      </c>
      <c r="F58" s="105" t="inlineStr">
        <is>
          <t>Synthetic cooling knit</t>
        </is>
      </c>
      <c r="G58" s="39" t="inlineStr">
        <is>
          <t>Same product (pillowcase) in the same material family: Synthetic cooling knit (product page material: Nylon/Spandex); ours: BreezeWeave cooling fabric, nylon-spandex like CooLoom (confirmed Oct 15, 2026).</t>
        </is>
      </c>
      <c r="H58" s="107" t="inlineStr">
        <is>
          <t>B0D4BZDBY7</t>
        </is>
      </c>
      <c r="I58" s="107" t="inlineStr">
        <is>
          <t>B0GKDH5DJ9</t>
        </is>
      </c>
      <c r="J58" s="105" t="inlineStr">
        <is>
          <t>Queen</t>
        </is>
      </c>
      <c r="K58" s="105" t="inlineStr">
        <is>
          <t>White</t>
        </is>
      </c>
      <c r="L58" s="108" t="n">
        <v>14</v>
      </c>
      <c r="M58" s="39" t="inlineStr">
        <is>
          <t>B0CL1243GJ (24%), B0CMG59TLG (20%), B0CMG11PJV (15%), B0CL12S4V3 (14%), B0GKCPSXNG (13%)</t>
        </is>
      </c>
      <c r="N58" s="109" t="n">
        <v>33.15</v>
      </c>
      <c r="O58" s="109" t="n">
        <v>39</v>
      </c>
      <c r="P58" s="110">
        <f>IF(AND(ISNUMBER(O58),ISNUMBER(N58),N(N58)&gt;0),O58/N58-1,"")</f>
        <v/>
      </c>
      <c r="Q58" s="111">
        <f>IF(P58="","No List Price",IF(P58&lt;=0,"At/below price",IF(P58&lt;=0.12,"&lt;=12% STR zone",IF(P58&lt;=0.25,"12-25%","&gt;25% over"))))</f>
        <v/>
      </c>
      <c r="R58" s="109" t="n">
        <v>21.99</v>
      </c>
      <c r="S58" s="112">
        <f>IF(AND(ISNUMBER(N58),ISNUMBER(R58),N(R58)&gt;0),N58/R58-1,"")</f>
        <v/>
      </c>
      <c r="T58" s="39" t="inlineStr">
        <is>
          <t>Same size (Queen). Ours live: catalog price, 2026-10-13; 1 child</t>
        </is>
      </c>
      <c r="U58" s="108" t="n">
        <v>16917</v>
      </c>
      <c r="V58" s="108" t="n">
        <v>104</v>
      </c>
      <c r="W58" s="113">
        <f>IF(AND(ISNUMBER(N58),ISNUMBER(V58)),N58*V58*52/12,"")</f>
        <v/>
      </c>
      <c r="X58" s="114" t="n">
        <v>4.5</v>
      </c>
      <c r="Y58" s="108" t="n">
        <v>507</v>
      </c>
      <c r="Z58" s="115" t="n">
        <v>46307</v>
      </c>
      <c r="AA58" s="115" t="n"/>
      <c r="AB58" s="105" t="n"/>
      <c r="AC58" s="105" t="n"/>
      <c r="AD58" s="108" t="n">
        <v>80590</v>
      </c>
      <c r="AE58" s="108" t="n">
        <v>1312</v>
      </c>
      <c r="AF58" s="116" t="n">
        <v>0.4567044707780124</v>
      </c>
      <c r="AG58" s="116" t="n">
        <v>0.5432956880506267</v>
      </c>
      <c r="AH58" s="39" t="inlineStr">
        <is>
          <t>coop pillow</t>
        </is>
      </c>
      <c r="AI58" s="116" t="n">
        <v>0.6335773669189726</v>
      </c>
      <c r="AJ58" s="116" t="n"/>
      <c r="AK58" s="116" t="n"/>
      <c r="AL58" s="116" t="n">
        <v>0.075877900483931</v>
      </c>
      <c r="AM58" s="108" t="n">
        <v>42</v>
      </c>
      <c r="AN58" s="108" t="n">
        <v>5</v>
      </c>
      <c r="AO58" s="108" t="n">
        <v>32</v>
      </c>
      <c r="AP58" s="108" t="n">
        <v>1270</v>
      </c>
      <c r="AQ58" s="108" t="n">
        <v>710</v>
      </c>
      <c r="AR58" s="108" t="n">
        <v>0</v>
      </c>
      <c r="AS58" s="117" t="n"/>
      <c r="AT58" s="112" t="n"/>
      <c r="AU58" s="118" t="inlineStr">
        <is>
          <t>Y</t>
        </is>
      </c>
      <c r="AV58" s="118" t="inlineStr">
        <is>
          <t>Typical price</t>
        </is>
      </c>
      <c r="AW58" s="119" t="n">
        <v>39</v>
      </c>
      <c r="AX58" s="119" t="n">
        <v>33.15</v>
      </c>
      <c r="AY58" s="118" t="inlineStr">
        <is>
          <t>Limited time deal</t>
        </is>
      </c>
      <c r="AZ58" s="118" t="inlineStr">
        <is>
          <t>Y</t>
        </is>
      </c>
      <c r="BA58" s="118" t="inlineStr">
        <is>
          <t>2026-10-13 23:38:05</t>
        </is>
      </c>
      <c r="BB58" s="120" t="inlineStr">
        <is>
          <t>Not live in 2025</t>
        </is>
      </c>
      <c r="BC58" s="125" t="n"/>
      <c r="BD58" s="124" t="n"/>
      <c r="BE58" s="124" t="n"/>
      <c r="BF58" s="110">
        <f>IF(AND(ISNUMBER(BD58),ISNUMBER(BE58),N(BD58)&gt;0),1-BE58/BD58,"")</f>
        <v/>
      </c>
      <c r="BG58" s="126" t="n"/>
      <c r="BH58" s="126" t="n"/>
      <c r="BI58" s="123">
        <f>IF(AND(ISNUMBER(BG58),ISNUMBER(BH58),N(BH58)&gt;0),BG58/BH58,"")</f>
        <v/>
      </c>
      <c r="BJ58" s="125" t="n"/>
      <c r="BK58" s="125" t="n"/>
    </row>
    <row r="59" ht="62" customHeight="1">
      <c r="A59" s="12">
        <f>_xlfn.IMAGE("https://m.media-amazon.com/images/I/61X3PkxbAmL._AC_SL1500_.jpg")</f>
        <v/>
      </c>
      <c r="B59" s="105" t="inlineStr">
        <is>
          <t>Cozy Bliss</t>
        </is>
      </c>
      <c r="C59" s="39" t="inlineStr">
        <is>
          <t>Cozy Bliss 2 Pack Cooling Pillow Cases, Queen 20" x 30", Dark Gray</t>
        </is>
      </c>
      <c r="D59" s="105" t="inlineStr">
        <is>
          <t>Beatable</t>
        </is>
      </c>
      <c r="E59" s="106" t="inlineStr">
        <is>
          <t>Direct</t>
        </is>
      </c>
      <c r="F59" s="105" t="inlineStr">
        <is>
          <t>Synthetic cooling knit</t>
        </is>
      </c>
      <c r="G59" s="39" t="inlineStr">
        <is>
          <t>Same product (pillowcase) in the same material family: Synthetic cooling knit (product page material: Arc-Chill Cooling Fabric); ours: BreezeWeave cooling fabric, nylon-spandex like CooLoom (confirmed Oct 15, 2026).</t>
        </is>
      </c>
      <c r="H59" s="107" t="inlineStr">
        <is>
          <t>B0CP7J6RB8</t>
        </is>
      </c>
      <c r="I59" s="107" t="inlineStr">
        <is>
          <t>B0CH8B5HZB</t>
        </is>
      </c>
      <c r="J59" s="105" t="inlineStr">
        <is>
          <t>Queen(20"x30")</t>
        </is>
      </c>
      <c r="K59" s="105" t="inlineStr">
        <is>
          <t>Blue</t>
        </is>
      </c>
      <c r="L59" s="108" t="n">
        <v>18</v>
      </c>
      <c r="M59" s="39" t="inlineStr">
        <is>
          <t>B0CH8B5HZB (59%), B0CH87Q3JX (31%)</t>
        </is>
      </c>
      <c r="N59" s="109" t="n">
        <v>18.99</v>
      </c>
      <c r="O59" s="109" t="n"/>
      <c r="P59" s="110">
        <f>IF(AND(ISNUMBER(O59),ISNUMBER(N59),N(N59)&gt;0),O59/N59-1,"")</f>
        <v/>
      </c>
      <c r="Q59" s="111">
        <f>IF(P59="","No List Price",IF(P59&lt;=0,"At/below price",IF(P59&lt;=0.12,"&lt;=12% STR zone",IF(P59&lt;=0.25,"12-25%","&gt;25% over"))))</f>
        <v/>
      </c>
      <c r="R59" s="109" t="n">
        <v>21.99</v>
      </c>
      <c r="S59" s="112">
        <f>IF(AND(ISNUMBER(N59),ISNUMBER(R59),N(R59)&gt;0),N59/R59-1,"")</f>
        <v/>
      </c>
      <c r="T59" s="39" t="inlineStr">
        <is>
          <t>Same size (Queen). Ours live: catalog price, 2026-10-13; 1 child</t>
        </is>
      </c>
      <c r="U59" s="108" t="n">
        <v>54776</v>
      </c>
      <c r="V59" s="108" t="n">
        <v>35</v>
      </c>
      <c r="W59" s="113">
        <f>IF(AND(ISNUMBER(N59),ISNUMBER(V59)),N59*V59*52/12,"")</f>
        <v/>
      </c>
      <c r="X59" s="114" t="n">
        <v>4.5</v>
      </c>
      <c r="Y59" s="108" t="n">
        <v>707</v>
      </c>
      <c r="Z59" s="115" t="n">
        <v>46307</v>
      </c>
      <c r="AA59" s="115" t="n"/>
      <c r="AB59" s="105" t="n"/>
      <c r="AC59" s="105" t="n"/>
      <c r="AD59" s="108" t="n">
        <v>19441</v>
      </c>
      <c r="AE59" s="108" t="n">
        <v>911</v>
      </c>
      <c r="AF59" s="116" t="n">
        <v>0.4621178951700017</v>
      </c>
      <c r="AG59" s="116" t="n">
        <v>0.5378821048299984</v>
      </c>
      <c r="AH59" s="39" t="inlineStr">
        <is>
          <t>cooling pillow cases</t>
        </is>
      </c>
      <c r="AI59" s="116" t="n">
        <v>0.7438403374312021</v>
      </c>
      <c r="AJ59" s="116" t="n"/>
      <c r="AK59" s="116" t="n">
        <v>0.8985648886374158</v>
      </c>
      <c r="AL59" s="116" t="n">
        <v>0.0180031891363613</v>
      </c>
      <c r="AM59" s="108" t="n">
        <v>33</v>
      </c>
      <c r="AN59" s="108" t="n">
        <v>6</v>
      </c>
      <c r="AO59" s="108" t="n">
        <v>24</v>
      </c>
      <c r="AP59" s="108" t="n">
        <v>878</v>
      </c>
      <c r="AQ59" s="108" t="n">
        <v>301</v>
      </c>
      <c r="AR59" s="108" t="n">
        <v>1</v>
      </c>
      <c r="AS59" s="117" t="n">
        <v>0.5581395348837209</v>
      </c>
      <c r="AT59" s="112" t="n">
        <v>-0.140495867768595</v>
      </c>
      <c r="AU59" s="118" t="inlineStr">
        <is>
          <t>N</t>
        </is>
      </c>
      <c r="AV59" s="118" t="inlineStr">
        <is>
          <t>none</t>
        </is>
      </c>
      <c r="AW59" s="124" t="n"/>
      <c r="AX59" s="119" t="n">
        <v>18.99</v>
      </c>
      <c r="AY59" s="118" t="inlineStr">
        <is>
          <t>none</t>
        </is>
      </c>
      <c r="AZ59" s="118" t="inlineStr">
        <is>
          <t>Y</t>
        </is>
      </c>
      <c r="BA59" s="118" t="inlineStr">
        <is>
          <t>2026-10-13 23:38:09</t>
        </is>
      </c>
      <c r="BB59" s="120" t="inlineStr">
        <is>
          <t>Prime Exclusive Discount</t>
        </is>
      </c>
      <c r="BC59" s="120" t="inlineStr">
        <is>
          <t>11-23 to 12-05</t>
        </is>
      </c>
      <c r="BD59" s="121" t="n">
        <v>23.99</v>
      </c>
      <c r="BE59" s="121" t="n">
        <v>18.99</v>
      </c>
      <c r="BF59" s="110">
        <f>IF(AND(ISNUMBER(BD59),ISNUMBER(BE59),N(BD59)&gt;0),1-BE59/BD59,"")</f>
        <v/>
      </c>
      <c r="BG59" s="122" t="n">
        <v>75226</v>
      </c>
      <c r="BH59" s="122" t="n">
        <v>76542</v>
      </c>
      <c r="BI59" s="123">
        <f>IF(AND(ISNUMBER(BG59),ISNUMBER(BH59),N(BH59)&gt;0),BG59/BH59,"")</f>
        <v/>
      </c>
      <c r="BJ59" s="120" t="inlineStr">
        <is>
          <t>N</t>
        </is>
      </c>
      <c r="BK59" s="120" t="inlineStr">
        <is>
          <t>Lightning Deal 11-16 to 11-16; List Price $36.99</t>
        </is>
      </c>
    </row>
    <row r="60" ht="62" customHeight="1">
      <c r="A60" s="12">
        <f>_xlfn.IMAGE("https://images-na.ssl-images-amazon.com/images/I/61xlOGglCHL.jpg")</f>
        <v/>
      </c>
      <c r="B60" s="105" t="inlineStr">
        <is>
          <t>QUTOOL</t>
        </is>
      </c>
      <c r="C60" s="39" t="inlineStr">
        <is>
          <t>Luxury Cooling Pillowcases Queen Size 2 Pack, Q-Max&gt;0.4 Cool Touch for Hot Sleepers&amp;Night Sweats Beauty Sleep Anti-Frizz, Softer Than Silk Pillowcover Oeko-TEX Certified Light Gray</t>
        </is>
      </c>
      <c r="D60" s="105" t="inlineStr">
        <is>
          <t>Beatable</t>
        </is>
      </c>
      <c r="E60" s="106" t="inlineStr">
        <is>
          <t>Direct</t>
        </is>
      </c>
      <c r="F60" s="105" t="inlineStr">
        <is>
          <t>Synthetic cooling knit</t>
        </is>
      </c>
      <c r="G60" s="39" t="inlineStr">
        <is>
          <t>Same product (pillowcase) in the same material family: Synthetic cooling knit (title: Luxury Cooling Pillowcases Queen Size 2 Pack, Q-Max&gt;0.4 Cool); ours: BreezeWeave cooling fabric, nylon-spandex like CooLoom (confirmed Oct 15, 2026).</t>
        </is>
      </c>
      <c r="H60" s="107" t="inlineStr">
        <is>
          <t>B0DL5R7SSB</t>
        </is>
      </c>
      <c r="I60" s="107" t="inlineStr">
        <is>
          <t>B0DLB4PQS8</t>
        </is>
      </c>
      <c r="J60" s="105" t="inlineStr">
        <is>
          <t>Queen</t>
        </is>
      </c>
      <c r="K60" s="105" t="inlineStr">
        <is>
          <t>Gray</t>
        </is>
      </c>
      <c r="L60" s="108" t="n">
        <v>22</v>
      </c>
      <c r="M60" s="39" t="inlineStr">
        <is>
          <t>B0DLB4PQS8 (41%), B0FXWZM587 (16%), B0DL9Y3JVW (13%), B0DL9ZXKXM (12%)</t>
        </is>
      </c>
      <c r="N60" s="109" t="n">
        <v>16.99</v>
      </c>
      <c r="O60" s="109" t="n"/>
      <c r="P60" s="110">
        <f>IF(AND(ISNUMBER(O60),ISNUMBER(N60),N(N60)&gt;0),O60/N60-1,"")</f>
        <v/>
      </c>
      <c r="Q60" s="111">
        <f>IF(P60="","No List Price",IF(P60&lt;=0,"At/below price",IF(P60&lt;=0.12,"&lt;=12% STR zone",IF(P60&lt;=0.25,"12-25%","&gt;25% over"))))</f>
        <v/>
      </c>
      <c r="R60" s="109" t="n">
        <v>21.99</v>
      </c>
      <c r="S60" s="112">
        <f>IF(AND(ISNUMBER(N60),ISNUMBER(R60),N(R60)&gt;0),N60/R60-1,"")</f>
        <v/>
      </c>
      <c r="T60" s="39" t="inlineStr">
        <is>
          <t>Same size (Queen). Ours live: catalog price, 2026-10-13; 1 child</t>
        </is>
      </c>
      <c r="U60" s="108" t="n">
        <v>39446</v>
      </c>
      <c r="V60" s="108" t="n">
        <v>35</v>
      </c>
      <c r="W60" s="113">
        <f>IF(AND(ISNUMBER(N60),ISNUMBER(V60)),N60*V60*52/12,"")</f>
        <v/>
      </c>
      <c r="X60" s="114" t="n">
        <v>4.4</v>
      </c>
      <c r="Y60" s="108" t="n">
        <v>769</v>
      </c>
      <c r="Z60" s="115" t="n">
        <v>46307</v>
      </c>
      <c r="AA60" s="115" t="n">
        <v>45695</v>
      </c>
      <c r="AB60" s="105" t="inlineStr">
        <is>
          <t>FBA</t>
        </is>
      </c>
      <c r="AC60" s="105" t="inlineStr">
        <is>
          <t>CN</t>
        </is>
      </c>
      <c r="AD60" s="108" t="n">
        <v>15503</v>
      </c>
      <c r="AE60" s="108" t="n">
        <v>408</v>
      </c>
      <c r="AF60" s="116" t="n">
        <v>0.6025155131264917</v>
      </c>
      <c r="AG60" s="116" t="n">
        <v>0.3974844868735083</v>
      </c>
      <c r="AH60" s="39" t="inlineStr">
        <is>
          <t>cooling pillow cases</t>
        </is>
      </c>
      <c r="AI60" s="116" t="n">
        <v>0.7854608785396375</v>
      </c>
      <c r="AJ60" s="116" t="n">
        <v>0.05508611236534864</v>
      </c>
      <c r="AK60" s="116" t="n"/>
      <c r="AL60" s="116" t="n"/>
      <c r="AM60" s="108" t="n">
        <v>38</v>
      </c>
      <c r="AN60" s="108" t="n">
        <v>3</v>
      </c>
      <c r="AO60" s="108" t="n">
        <v>31</v>
      </c>
      <c r="AP60" s="108" t="n">
        <v>370</v>
      </c>
      <c r="AQ60" s="108" t="n">
        <v>71</v>
      </c>
      <c r="AR60" s="108" t="n">
        <v>2</v>
      </c>
      <c r="AS60" s="117" t="n"/>
      <c r="AT60" s="112" t="n">
        <v>3.611111111111112</v>
      </c>
      <c r="AU60" s="118" t="inlineStr">
        <is>
          <t>N</t>
        </is>
      </c>
      <c r="AV60" s="118" t="inlineStr">
        <is>
          <t>none</t>
        </is>
      </c>
      <c r="AW60" s="124" t="n"/>
      <c r="AX60" s="119" t="n">
        <v>16.99</v>
      </c>
      <c r="AY60" s="118" t="inlineStr">
        <is>
          <t>none</t>
        </is>
      </c>
      <c r="AZ60" s="118" t="inlineStr">
        <is>
          <t>Y</t>
        </is>
      </c>
      <c r="BA60" s="118" t="inlineStr">
        <is>
          <t>2026-10-13 23:39:01</t>
        </is>
      </c>
      <c r="BB60" s="120" t="inlineStr">
        <is>
          <t>Lightning Deal</t>
        </is>
      </c>
      <c r="BC60" s="120" t="inlineStr">
        <is>
          <t>11-22 to 11-22</t>
        </is>
      </c>
      <c r="BD60" s="121" t="n">
        <v>18.99</v>
      </c>
      <c r="BE60" s="121" t="n">
        <v>13.99</v>
      </c>
      <c r="BF60" s="110">
        <f>IF(AND(ISNUMBER(BD60),ISNUMBER(BE60),N(BD60)&gt;0),1-BE60/BD60,"")</f>
        <v/>
      </c>
      <c r="BG60" s="122" t="n">
        <v>40612</v>
      </c>
      <c r="BH60" s="122" t="n">
        <v>31411</v>
      </c>
      <c r="BI60" s="123">
        <f>IF(AND(ISNUMBER(BG60),ISNUMBER(BH60),N(BH60)&gt;0),BG60/BH60,"")</f>
        <v/>
      </c>
      <c r="BJ60" s="120" t="inlineStr">
        <is>
          <t>N</t>
        </is>
      </c>
      <c r="BK60" s="120" t="inlineStr">
        <is>
          <t>Prime Exclusive 11-23 to 12-01; Buy Box RAISED in BFCM week (median $19.99 vs $18.99 before); List Price $29.99</t>
        </is>
      </c>
    </row>
    <row r="61" ht="62" customHeight="1">
      <c r="A61" s="12">
        <f>_xlfn.IMAGE("https://m.media-amazon.com/images/I/71B3AMV8imL._AC_SL1500_.jpg")</f>
        <v/>
      </c>
      <c r="B61" s="105" t="inlineStr">
        <is>
          <t>Breescape</t>
        </is>
      </c>
      <c r="C61" s="39" t="inlineStr">
        <is>
          <t>Breescape Cooling Pillow Cases Queen Size Set of 2, BlendTek™ Cooling Technology</t>
        </is>
      </c>
      <c r="D61" s="105" t="inlineStr">
        <is>
          <t>Beatable</t>
        </is>
      </c>
      <c r="E61" s="106" t="inlineStr">
        <is>
          <t>Direct</t>
        </is>
      </c>
      <c r="F61" s="105" t="inlineStr">
        <is>
          <t>Synthetic cooling knit</t>
        </is>
      </c>
      <c r="G61" s="39" t="inlineStr">
        <is>
          <t>Same product (pillowcase) in the same material family: Synthetic cooling knit (product page material: BlendTek™ Fabric); ours: BreezeWeave cooling fabric, nylon-spandex like CooLoom (confirmed Oct 15, 2026).</t>
        </is>
      </c>
      <c r="H61" s="107" t="inlineStr">
        <is>
          <t>B0F53TNFSX</t>
        </is>
      </c>
      <c r="I61" s="107" t="inlineStr">
        <is>
          <t>B0DSQ12L6F</t>
        </is>
      </c>
      <c r="J61" s="105" t="inlineStr">
        <is>
          <t>King</t>
        </is>
      </c>
      <c r="K61" s="105" t="inlineStr">
        <is>
          <t>Misty Gray</t>
        </is>
      </c>
      <c r="L61" s="108" t="n">
        <v>13</v>
      </c>
      <c r="M61" s="39" t="inlineStr">
        <is>
          <t>B0DSQ112N7 (57%), B0DSQ178L4 (15%), B0DSQ1KYQ8 (5%), B0DSQ26ZYC (5%)</t>
        </is>
      </c>
      <c r="N61" s="109" t="n">
        <v>54.99</v>
      </c>
      <c r="O61" s="109" t="n"/>
      <c r="P61" s="110">
        <f>IF(AND(ISNUMBER(O61),ISNUMBER(N61),N(N61)&gt;0),O61/N61-1,"")</f>
        <v/>
      </c>
      <c r="Q61" s="111">
        <f>IF(P61="","No List Price",IF(P61&lt;=0,"At/below price",IF(P61&lt;=0.12,"&lt;=12% STR zone",IF(P61&lt;=0.25,"12-25%","&gt;25% over"))))</f>
        <v/>
      </c>
      <c r="R61" s="109" t="n">
        <v>23.99</v>
      </c>
      <c r="S61" s="112">
        <f>IF(AND(ISNUMBER(N61),ISNUMBER(R61),N(R61)&gt;0),N61/R61-1,"")</f>
        <v/>
      </c>
      <c r="T61" s="39" t="inlineStr">
        <is>
          <t>Same size (King). Ours live: catalog price, 2026-10-13; 2 children</t>
        </is>
      </c>
      <c r="U61" s="108" t="n">
        <v>132996</v>
      </c>
      <c r="V61" s="108" t="n">
        <v>18</v>
      </c>
      <c r="W61" s="113">
        <f>IF(AND(ISNUMBER(N61),ISNUMBER(V61)),N61*V61*52/12,"")</f>
        <v/>
      </c>
      <c r="X61" s="114" t="n">
        <v>4.4</v>
      </c>
      <c r="Y61" s="108" t="n">
        <v>305</v>
      </c>
      <c r="Z61" s="115" t="n">
        <v>46307</v>
      </c>
      <c r="AA61" s="115" t="n"/>
      <c r="AB61" s="105" t="n"/>
      <c r="AC61" s="105" t="n"/>
      <c r="AD61" s="108" t="n">
        <v>25040</v>
      </c>
      <c r="AE61" s="108" t="n">
        <v>1207</v>
      </c>
      <c r="AF61" s="116" t="n">
        <v>0.3706715455271565</v>
      </c>
      <c r="AG61" s="116" t="n">
        <v>0.6293284544728435</v>
      </c>
      <c r="AH61" s="39" t="inlineStr">
        <is>
          <t>cooling pillow cases</t>
        </is>
      </c>
      <c r="AI61" s="116" t="n">
        <v>0.9612220447284345</v>
      </c>
      <c r="AJ61" s="116" t="n">
        <v>0.6791932907348243</v>
      </c>
      <c r="AK61" s="116" t="n">
        <v>0.6243610223642172</v>
      </c>
      <c r="AL61" s="116" t="n">
        <v>0.006869009584664537</v>
      </c>
      <c r="AM61" s="108" t="n">
        <v>36</v>
      </c>
      <c r="AN61" s="108" t="n">
        <v>1</v>
      </c>
      <c r="AO61" s="108" t="n">
        <v>32</v>
      </c>
      <c r="AP61" s="108" t="n">
        <v>1171</v>
      </c>
      <c r="AQ61" s="108" t="n">
        <v>467</v>
      </c>
      <c r="AR61" s="108" t="n">
        <v>2</v>
      </c>
      <c r="AS61" s="117" t="n"/>
      <c r="AT61" s="112" t="n"/>
      <c r="AU61" s="118" t="inlineStr">
        <is>
          <t>N</t>
        </is>
      </c>
      <c r="AV61" s="118" t="inlineStr">
        <is>
          <t>none</t>
        </is>
      </c>
      <c r="AW61" s="124" t="n"/>
      <c r="AX61" s="119" t="n">
        <v>54.99</v>
      </c>
      <c r="AY61" s="118" t="inlineStr">
        <is>
          <t>none</t>
        </is>
      </c>
      <c r="AZ61" s="118" t="inlineStr">
        <is>
          <t>Y</t>
        </is>
      </c>
      <c r="BA61" s="118" t="inlineStr">
        <is>
          <t>2026-10-13 23:37:43</t>
        </is>
      </c>
      <c r="BB61" s="120" t="inlineStr">
        <is>
          <t>Prime Exclusive Discount</t>
        </is>
      </c>
      <c r="BC61" s="120" t="inlineStr">
        <is>
          <t>11-23 to 12-01</t>
        </is>
      </c>
      <c r="BD61" s="121" t="n">
        <v>38.49</v>
      </c>
      <c r="BE61" s="121" t="n">
        <v>36.56</v>
      </c>
      <c r="BF61" s="110">
        <f>IF(AND(ISNUMBER(BD61),ISNUMBER(BE61),N(BD61)&gt;0),1-BE61/BD61,"")</f>
        <v/>
      </c>
      <c r="BG61" s="122" t="n">
        <v>193609</v>
      </c>
      <c r="BH61" s="122" t="n">
        <v>143502</v>
      </c>
      <c r="BI61" s="123">
        <f>IF(AND(ISNUMBER(BG61),ISNUMBER(BH61),N(BH61)&gt;0),BG61/BH61,"")</f>
        <v/>
      </c>
      <c r="BJ61" s="120" t="inlineStr">
        <is>
          <t>N</t>
        </is>
      </c>
      <c r="BK61" s="120" t="inlineStr">
        <is>
          <t>Buy Box RAISED in BFCM week (median $54.99 vs $38.49 before); List Price $54.99</t>
        </is>
      </c>
    </row>
    <row r="62" ht="62" customHeight="1">
      <c r="A62" s="12">
        <f>_xlfn.IMAGE("https://images-na.ssl-images-amazon.com/images/I/71dsthjuVUL.jpg")</f>
        <v/>
      </c>
      <c r="B62" s="105" t="inlineStr">
        <is>
          <t>Fittia</t>
        </is>
      </c>
      <c r="C62" s="39" t="inlineStr">
        <is>
          <t>FITTIA Cooling Pillow Cases with Zipper, 2 Pack, Standard Size 20"x26"</t>
        </is>
      </c>
      <c r="D62" s="105" t="inlineStr">
        <is>
          <t>Beatable</t>
        </is>
      </c>
      <c r="E62" s="106" t="inlineStr">
        <is>
          <t>Direct</t>
        </is>
      </c>
      <c r="F62" s="105" t="inlineStr">
        <is>
          <t>Synthetic cooling knit</t>
        </is>
      </c>
      <c r="G62" s="39" t="inlineStr">
        <is>
          <t>Same product (pillowcase) in the same material family: Synthetic cooling knit (product page material: Both Sides Made of Q-max&gt;0.4 Cooling Fiber(50% Mica Cooling ); ours: BreezeWeave cooling fabric, nylon-spandex like CooLoom (confirmed Oct 15, 2026).</t>
        </is>
      </c>
      <c r="H62" s="107" t="inlineStr">
        <is>
          <t>B099JMGRBY</t>
        </is>
      </c>
      <c r="I62" s="107" t="inlineStr">
        <is>
          <t>B099J7KMK5</t>
        </is>
      </c>
      <c r="J62" s="105" t="inlineStr">
        <is>
          <t>Standard 20"x 26"</t>
        </is>
      </c>
      <c r="K62" s="105" t="inlineStr">
        <is>
          <t>Grey</t>
        </is>
      </c>
      <c r="L62" s="108" t="n">
        <v>16</v>
      </c>
      <c r="M62" s="39" t="inlineStr">
        <is>
          <t>B09DJY94HD (47%), B099J7KMK5 (30%), B099HV3SX9 (13%)</t>
        </is>
      </c>
      <c r="N62" s="109" t="n">
        <v>19.99</v>
      </c>
      <c r="O62" s="109" t="n"/>
      <c r="P62" s="110">
        <f>IF(AND(ISNUMBER(O62),ISNUMBER(N62),N(N62)&gt;0),O62/N62-1,"")</f>
        <v/>
      </c>
      <c r="Q62" s="111">
        <f>IF(P62="","No List Price",IF(P62&lt;=0,"At/below price",IF(P62&lt;=0.12,"&lt;=12% STR zone",IF(P62&lt;=0.25,"12-25%","&gt;25% over"))))</f>
        <v/>
      </c>
      <c r="R62" s="109" t="n">
        <v>20.87814814814815</v>
      </c>
      <c r="S62" s="112">
        <f>IF(AND(ISNUMBER(N62),ISNUMBER(R62),N(R62)&gt;0),N62/R62-1,"")</f>
        <v/>
      </c>
      <c r="T62" s="39" t="inlineStr">
        <is>
          <t>vs our blended price (market data, Mar 2026 - STALE)</t>
        </is>
      </c>
      <c r="U62" s="108" t="n">
        <v>156607</v>
      </c>
      <c r="V62" s="108" t="n">
        <v>18</v>
      </c>
      <c r="W62" s="113">
        <f>IF(AND(ISNUMBER(N62),ISNUMBER(V62)),N62*V62*52/12,"")</f>
        <v/>
      </c>
      <c r="X62" s="114" t="n">
        <v>4.3</v>
      </c>
      <c r="Y62" s="108" t="n">
        <v>1335</v>
      </c>
      <c r="Z62" s="115" t="n">
        <v>46307</v>
      </c>
      <c r="AA62" s="115" t="n">
        <v>44392</v>
      </c>
      <c r="AB62" s="105" t="inlineStr">
        <is>
          <t>FBA</t>
        </is>
      </c>
      <c r="AC62" s="105" t="inlineStr">
        <is>
          <t>CN</t>
        </is>
      </c>
      <c r="AD62" s="108" t="n">
        <v>16144</v>
      </c>
      <c r="AE62" s="108" t="n">
        <v>429</v>
      </c>
      <c r="AF62" s="116" t="n">
        <v>0.8876912784935578</v>
      </c>
      <c r="AG62" s="116" t="n">
        <v>0.112308721506442</v>
      </c>
      <c r="AH62" s="39" t="inlineStr">
        <is>
          <t>cooling pillow cases</t>
        </is>
      </c>
      <c r="AI62" s="116" t="n">
        <v>0.6258052527254707</v>
      </c>
      <c r="AJ62" s="116" t="n">
        <v>0.5755698711595639</v>
      </c>
      <c r="AK62" s="116" t="n"/>
      <c r="AL62" s="116" t="n"/>
      <c r="AM62" s="108" t="n">
        <v>33</v>
      </c>
      <c r="AN62" s="108" t="n">
        <v>5</v>
      </c>
      <c r="AO62" s="108" t="n">
        <v>25</v>
      </c>
      <c r="AP62" s="108" t="n">
        <v>396</v>
      </c>
      <c r="AQ62" s="108" t="n">
        <v>24</v>
      </c>
      <c r="AR62" s="108" t="n">
        <v>0</v>
      </c>
      <c r="AS62" s="117" t="n">
        <v>1.175373134328358</v>
      </c>
      <c r="AT62" s="112" t="n">
        <v>0.5863636363636362</v>
      </c>
      <c r="AU62" s="118" t="inlineStr">
        <is>
          <t>N</t>
        </is>
      </c>
      <c r="AV62" s="118" t="inlineStr">
        <is>
          <t>none</t>
        </is>
      </c>
      <c r="AW62" s="124" t="n"/>
      <c r="AX62" s="119" t="n">
        <v>19.99</v>
      </c>
      <c r="AY62" s="118" t="inlineStr">
        <is>
          <t>none</t>
        </is>
      </c>
      <c r="AZ62" s="118" t="inlineStr">
        <is>
          <t>Y</t>
        </is>
      </c>
      <c r="BA62" s="118" t="inlineStr">
        <is>
          <t>2026-10-13 23:38:34</t>
        </is>
      </c>
      <c r="BB62" s="120" t="inlineStr">
        <is>
          <t>None</t>
        </is>
      </c>
      <c r="BC62" s="125" t="n"/>
      <c r="BD62" s="121" t="n">
        <v>19.99</v>
      </c>
      <c r="BE62" s="121" t="n">
        <v>19.99</v>
      </c>
      <c r="BF62" s="110">
        <f>IF(AND(ISNUMBER(BD62),ISNUMBER(BE62),N(BD62)&gt;0),1-BE62/BD62,"")</f>
        <v/>
      </c>
      <c r="BG62" s="122" t="n">
        <v>77505</v>
      </c>
      <c r="BH62" s="122" t="n">
        <v>95152</v>
      </c>
      <c r="BI62" s="123">
        <f>IF(AND(ISNUMBER(BG62),ISNUMBER(BH62),N(BH62)&gt;0),BG62/BH62,"")</f>
        <v/>
      </c>
      <c r="BJ62" s="120" t="inlineStr">
        <is>
          <t>N</t>
        </is>
      </c>
      <c r="BK62" s="120" t="inlineStr">
        <is>
          <t>List Price $21.99</t>
        </is>
      </c>
    </row>
    <row r="63" ht="62" customHeight="1">
      <c r="A63" s="12">
        <f>_xlfn.IMAGE("https://images-na.ssl-images-amazon.com/images/I/81fWRYUTfVL.jpg")</f>
        <v/>
      </c>
      <c r="B63" s="105" t="inlineStr">
        <is>
          <t>Niagara Sleep Solution</t>
        </is>
      </c>
      <c r="C63" s="39" t="inlineStr">
        <is>
          <t>Niagara Set of 2 Cooling Pillow Cases Standard Size, CoolSpan™ Technology Q-Max 0.4 Cooling Pillowcases for Hot Sleepers, Hidden Zipper Pillow Covers, Soft, Anti-Static (20x26'') - Light Grey</t>
        </is>
      </c>
      <c r="D63" s="105" t="inlineStr">
        <is>
          <t>Beatable</t>
        </is>
      </c>
      <c r="E63" s="106" t="inlineStr">
        <is>
          <t>Direct</t>
        </is>
      </c>
      <c r="F63" s="105" t="inlineStr">
        <is>
          <t>Synthetic cooling knit</t>
        </is>
      </c>
      <c r="G63" s="39" t="inlineStr">
        <is>
          <t>Same product (pillowcase) in the same material family: Synthetic cooling knit (title: Niagara Set of 2 Cooling Pillow Cases Standard Size, CoolSpa); ours: BreezeWeave cooling fabric, nylon-spandex like CooLoom (confirmed Oct 15, 2026).</t>
        </is>
      </c>
      <c r="H63" s="107" t="inlineStr">
        <is>
          <t>B0CZB5B67X</t>
        </is>
      </c>
      <c r="I63" s="107" t="inlineStr">
        <is>
          <t>B0CZB5B67X</t>
        </is>
      </c>
      <c r="J63" s="105" t="inlineStr">
        <is>
          <t>Standard</t>
        </is>
      </c>
      <c r="K63" s="105" t="inlineStr">
        <is>
          <t>Grey</t>
        </is>
      </c>
      <c r="L63" s="108" t="n">
        <v>1</v>
      </c>
      <c r="M63" s="39" t="inlineStr"/>
      <c r="N63" s="109" t="n">
        <v>14.6</v>
      </c>
      <c r="O63" s="109" t="n"/>
      <c r="P63" s="110">
        <f>IF(AND(ISNUMBER(O63),ISNUMBER(N63),N(N63)&gt;0),O63/N63-1,"")</f>
        <v/>
      </c>
      <c r="Q63" s="111">
        <f>IF(P63="","No List Price",IF(P63&lt;=0,"At/below price",IF(P63&lt;=0.12,"&lt;=12% STR zone",IF(P63&lt;=0.25,"12-25%","&gt;25% over"))))</f>
        <v/>
      </c>
      <c r="R63" s="109" t="n">
        <v>16.99</v>
      </c>
      <c r="S63" s="112">
        <f>IF(AND(ISNUMBER(N63),ISNUMBER(R63),N(R63)&gt;0),N63/R63-1,"")</f>
        <v/>
      </c>
      <c r="T63" s="39" t="inlineStr">
        <is>
          <t>Same size (Standard). Ours: market data fee feed, Mar 2026 - STALE</t>
        </is>
      </c>
      <c r="U63" s="108" t="n">
        <v>1393717</v>
      </c>
      <c r="V63" s="108" t="n">
        <v>5</v>
      </c>
      <c r="W63" s="113">
        <f>IF(AND(ISNUMBER(N63),ISNUMBER(V63)),N63*V63*52/12,"")</f>
        <v/>
      </c>
      <c r="X63" s="114" t="n">
        <v>4.4</v>
      </c>
      <c r="Y63" s="108" t="n">
        <v>109</v>
      </c>
      <c r="Z63" s="115" t="n">
        <v>46307</v>
      </c>
      <c r="AA63" s="115" t="n">
        <v>45379</v>
      </c>
      <c r="AB63" s="105" t="inlineStr">
        <is>
          <t>FBM</t>
        </is>
      </c>
      <c r="AC63" s="105" t="inlineStr">
        <is>
          <t>N/A</t>
        </is>
      </c>
      <c r="AD63" s="108" t="n"/>
      <c r="AE63" s="108" t="n"/>
      <c r="AF63" s="116" t="n"/>
      <c r="AG63" s="116" t="n"/>
      <c r="AH63" s="39" t="n"/>
      <c r="AI63" s="116" t="n"/>
      <c r="AJ63" s="116" t="n"/>
      <c r="AK63" s="116" t="n"/>
      <c r="AL63" s="116" t="n"/>
      <c r="AM63" s="108" t="n"/>
      <c r="AN63" s="108" t="n"/>
      <c r="AO63" s="108" t="n"/>
      <c r="AP63" s="108" t="n"/>
      <c r="AQ63" s="108" t="n"/>
      <c r="AR63" s="108" t="n"/>
      <c r="AS63" s="117" t="n"/>
      <c r="AT63" s="112" t="n"/>
      <c r="AU63" s="118" t="inlineStr">
        <is>
          <t>N</t>
        </is>
      </c>
      <c r="AV63" s="118" t="inlineStr">
        <is>
          <t>none</t>
        </is>
      </c>
      <c r="AW63" s="124" t="n"/>
      <c r="AX63" s="124" t="n"/>
      <c r="AY63" s="118" t="inlineStr">
        <is>
          <t>none</t>
        </is>
      </c>
      <c r="AZ63" s="118" t="inlineStr">
        <is>
          <t>N</t>
        </is>
      </c>
      <c r="BA63" s="118" t="inlineStr">
        <is>
          <t>2026-10-13 23:38:55</t>
        </is>
      </c>
      <c r="BB63" s="120" t="inlineStr">
        <is>
          <t>None</t>
        </is>
      </c>
      <c r="BC63" s="125" t="n"/>
      <c r="BD63" s="121" t="n">
        <v>8.99</v>
      </c>
      <c r="BE63" s="121" t="n">
        <v>8.99</v>
      </c>
      <c r="BF63" s="110">
        <f>IF(AND(ISNUMBER(BD63),ISNUMBER(BE63),N(BD63)&gt;0),1-BE63/BD63,"")</f>
        <v/>
      </c>
      <c r="BG63" s="122" t="n">
        <v>120622</v>
      </c>
      <c r="BH63" s="122" t="n">
        <v>144150</v>
      </c>
      <c r="BI63" s="123">
        <f>IF(AND(ISNUMBER(BG63),ISNUMBER(BH63),N(BH63)&gt;0),BG63/BH63,"")</f>
        <v/>
      </c>
      <c r="BJ63" s="120" t="inlineStr">
        <is>
          <t>N</t>
        </is>
      </c>
      <c r="BK63" s="120" t="inlineStr">
        <is>
          <t>List Price $14.99</t>
        </is>
      </c>
    </row>
    <row r="64" ht="62" customHeight="1">
      <c r="A64" s="12">
        <f>_xlfn.IMAGE("https://m.media-amazon.com/images/I/71h5hh9havL._AC_SL1500_.jpg")</f>
        <v/>
      </c>
      <c r="B64" s="105" t="inlineStr">
        <is>
          <t>Topcee</t>
        </is>
      </c>
      <c r="C64" s="39" t="inlineStr">
        <is>
          <t>Topcee Cooling Pillowcases, 2 Packs Queen Size Arc-Chill Q-Max&gt;0.5 Ultra Soft Co</t>
        </is>
      </c>
      <c r="D64" s="105" t="inlineStr">
        <is>
          <t>Beatable</t>
        </is>
      </c>
      <c r="E64" s="106" t="inlineStr">
        <is>
          <t>Direct</t>
        </is>
      </c>
      <c r="F64" s="105" t="inlineStr">
        <is>
          <t>Synthetic cooling knit</t>
        </is>
      </c>
      <c r="G64" s="39" t="inlineStr">
        <is>
          <t>Same product (pillowcase) in the same material family: Synthetic cooling knit (product page material: One Side is Q-Max &gt;0.4 Arc-Chill Cooling Fibers, One Side is); ours: BreezeWeave cooling fabric, nylon-spandex like CooLoom (confirmed Oct 15, 2026).</t>
        </is>
      </c>
      <c r="H64" s="107" t="inlineStr">
        <is>
          <t>B0BR9J5DGW</t>
        </is>
      </c>
      <c r="I64" s="107" t="inlineStr">
        <is>
          <t>B0BR9J5DGW</t>
        </is>
      </c>
      <c r="J64" s="105" t="inlineStr">
        <is>
          <t>Queen(20"x30")</t>
        </is>
      </c>
      <c r="K64" s="105" t="inlineStr">
        <is>
          <t>Gray</t>
        </is>
      </c>
      <c r="L64" s="108" t="n"/>
      <c r="M64" s="39" t="inlineStr"/>
      <c r="N64" s="109" t="n">
        <v>18.95</v>
      </c>
      <c r="O64" s="109" t="n"/>
      <c r="P64" s="110">
        <f>IF(AND(ISNUMBER(O64),ISNUMBER(N64),N(N64)&gt;0),O64/N64-1,"")</f>
        <v/>
      </c>
      <c r="Q64" s="111">
        <f>IF(P64="","No List Price",IF(P64&lt;=0,"At/below price",IF(P64&lt;=0.12,"&lt;=12% STR zone",IF(P64&lt;=0.25,"12-25%","&gt;25% over"))))</f>
        <v/>
      </c>
      <c r="R64" s="109" t="n">
        <v>21.99</v>
      </c>
      <c r="S64" s="112">
        <f>IF(AND(ISNUMBER(N64),ISNUMBER(R64),N(R64)&gt;0),N64/R64-1,"")</f>
        <v/>
      </c>
      <c r="T64" s="39" t="inlineStr">
        <is>
          <t>Same size (Queen). Ours live: catalog price, 2026-10-13; 1 child</t>
        </is>
      </c>
      <c r="U64" s="108" t="n">
        <v>1292801</v>
      </c>
      <c r="V64" s="108" t="n">
        <v>5</v>
      </c>
      <c r="W64" s="113">
        <f>IF(AND(ISNUMBER(N64),ISNUMBER(V64)),N64*V64*52/12,"")</f>
        <v/>
      </c>
      <c r="X64" s="114" t="n">
        <v>4.2</v>
      </c>
      <c r="Y64" s="108" t="n">
        <v>227</v>
      </c>
      <c r="Z64" s="115" t="n">
        <v>46307</v>
      </c>
      <c r="AA64" s="115" t="n"/>
      <c r="AB64" s="105" t="n"/>
      <c r="AC64" s="105" t="n"/>
      <c r="AD64" s="108" t="n"/>
      <c r="AE64" s="108" t="n"/>
      <c r="AF64" s="116" t="n"/>
      <c r="AG64" s="116" t="n"/>
      <c r="AH64" s="39" t="n"/>
      <c r="AI64" s="116" t="n"/>
      <c r="AJ64" s="116" t="n"/>
      <c r="AK64" s="116" t="n"/>
      <c r="AL64" s="116" t="n"/>
      <c r="AM64" s="108" t="n"/>
      <c r="AN64" s="108" t="n"/>
      <c r="AO64" s="108" t="n"/>
      <c r="AP64" s="108" t="n"/>
      <c r="AQ64" s="108" t="n"/>
      <c r="AR64" s="108" t="n"/>
      <c r="AS64" s="117" t="n"/>
      <c r="AT64" s="112" t="n"/>
      <c r="AU64" s="118" t="inlineStr">
        <is>
          <t>N</t>
        </is>
      </c>
      <c r="AV64" s="118" t="inlineStr">
        <is>
          <t>none</t>
        </is>
      </c>
      <c r="AW64" s="124" t="n"/>
      <c r="AX64" s="124" t="n"/>
      <c r="AY64" s="118" t="inlineStr">
        <is>
          <t>none</t>
        </is>
      </c>
      <c r="AZ64" s="118" t="inlineStr">
        <is>
          <t>N</t>
        </is>
      </c>
      <c r="BA64" s="118" t="inlineStr">
        <is>
          <t>2026-10-13 23:39:16</t>
        </is>
      </c>
      <c r="BB64" s="120" t="inlineStr">
        <is>
          <t>None</t>
        </is>
      </c>
      <c r="BC64" s="125" t="n"/>
      <c r="BD64" s="121" t="n">
        <v>13.99</v>
      </c>
      <c r="BE64" s="121" t="n">
        <v>13.99</v>
      </c>
      <c r="BF64" s="110">
        <f>IF(AND(ISNUMBER(BD64),ISNUMBER(BE64),N(BD64)&gt;0),1-BE64/BD64,"")</f>
        <v/>
      </c>
      <c r="BG64" s="122" t="n">
        <v>379308</v>
      </c>
      <c r="BH64" s="122" t="n">
        <v>458147</v>
      </c>
      <c r="BI64" s="123">
        <f>IF(AND(ISNUMBER(BG64),ISNUMBER(BH64),N(BH64)&gt;0),BG64/BH64,"")</f>
        <v/>
      </c>
      <c r="BJ64" s="120" t="inlineStr">
        <is>
          <t>N</t>
        </is>
      </c>
      <c r="BK64" s="120" t="inlineStr">
        <is>
          <t>List Price $29.99</t>
        </is>
      </c>
    </row>
    <row r="65" ht="62" customHeight="1">
      <c r="A65" s="12">
        <f>_xlfn.IMAGE("https://m.media-amazon.com/images/I/71Q9BFvL64L._AC_SL1500_.jpg")</f>
        <v/>
      </c>
      <c r="B65" s="105" t="inlineStr">
        <is>
          <t>LUXEAR</t>
        </is>
      </c>
      <c r="C65" s="39" t="inlineStr">
        <is>
          <t>LUXEAR 2 Pack Cooling Pillow Cases for Hot Sleepers, Arc-Chill Q-Max &gt; 0.5 Cool</t>
        </is>
      </c>
      <c r="D65" s="105" t="inlineStr">
        <is>
          <t>Untiered</t>
        </is>
      </c>
      <c r="E65" s="106" t="inlineStr">
        <is>
          <t>Direct</t>
        </is>
      </c>
      <c r="F65" s="105" t="inlineStr">
        <is>
          <t>Synthetic cooling knit</t>
        </is>
      </c>
      <c r="G65" s="39" t="inlineStr">
        <is>
          <t>Same product (pillowcase) in the same material family: Synthetic cooling knit (product page material: One Side is Q-Max &gt;0.5 Arc-Chill Cooling Fibers, One Side is); ours: BreezeWeave cooling fabric, nylon-spandex like CooLoom (confirmed Oct 15, 2026).</t>
        </is>
      </c>
      <c r="H65" s="107" t="inlineStr">
        <is>
          <t>B0H8YXSQ1P</t>
        </is>
      </c>
      <c r="I65" s="107" t="inlineStr">
        <is>
          <t>B07V6SKZ7V</t>
        </is>
      </c>
      <c r="J65" s="105" t="inlineStr">
        <is>
          <t>Standard (20" X 26")</t>
        </is>
      </c>
      <c r="K65" s="105" t="inlineStr">
        <is>
          <t>Gray</t>
        </is>
      </c>
      <c r="L65" s="108" t="n"/>
      <c r="M65" s="39" t="inlineStr"/>
      <c r="N65" s="109" t="n">
        <v>15.95</v>
      </c>
      <c r="O65" s="109" t="n"/>
      <c r="P65" s="110">
        <f>IF(AND(ISNUMBER(O65),ISNUMBER(N65),N(N65)&gt;0),O65/N65-1,"")</f>
        <v/>
      </c>
      <c r="Q65" s="111">
        <f>IF(P65="","No List Price",IF(P65&lt;=0,"At/below price",IF(P65&lt;=0.12,"&lt;=12% STR zone",IF(P65&lt;=0.25,"12-25%","&gt;25% over"))))</f>
        <v/>
      </c>
      <c r="R65" s="109" t="n">
        <v>20.87814814814815</v>
      </c>
      <c r="S65" s="112">
        <f>IF(AND(ISNUMBER(N65),ISNUMBER(R65),N(R65)&gt;0),N65/R65-1,"")</f>
        <v/>
      </c>
      <c r="T65" s="39" t="inlineStr">
        <is>
          <t>vs our blended price (market data, Mar 2026 - STALE)</t>
        </is>
      </c>
      <c r="U65" s="108" t="n">
        <v>50724</v>
      </c>
      <c r="V65" s="108" t="n">
        <v>35</v>
      </c>
      <c r="W65" s="113">
        <f>IF(AND(ISNUMBER(N65),ISNUMBER(V65)),N65*V65*52/12,"")</f>
        <v/>
      </c>
      <c r="X65" s="114" t="n">
        <v>4.2</v>
      </c>
      <c r="Y65" s="108" t="n">
        <v>6718</v>
      </c>
      <c r="Z65" s="115" t="n">
        <v>46307</v>
      </c>
      <c r="AA65" s="115" t="n"/>
      <c r="AB65" s="105" t="n"/>
      <c r="AC65" s="105" t="n"/>
      <c r="AD65" s="108" t="n"/>
      <c r="AE65" s="108" t="n"/>
      <c r="AF65" s="116" t="n"/>
      <c r="AG65" s="116" t="n"/>
      <c r="AH65" s="39" t="n"/>
      <c r="AI65" s="116" t="n"/>
      <c r="AJ65" s="116" t="n"/>
      <c r="AK65" s="116" t="n"/>
      <c r="AL65" s="116" t="n"/>
      <c r="AM65" s="108" t="n"/>
      <c r="AN65" s="108" t="n"/>
      <c r="AO65" s="108" t="n"/>
      <c r="AP65" s="108" t="n"/>
      <c r="AQ65" s="108" t="n"/>
      <c r="AR65" s="108" t="n"/>
      <c r="AS65" s="117" t="n"/>
      <c r="AT65" s="112" t="n"/>
      <c r="AU65" s="118" t="inlineStr">
        <is>
          <t>N</t>
        </is>
      </c>
      <c r="AV65" s="118" t="inlineStr">
        <is>
          <t>none</t>
        </is>
      </c>
      <c r="AW65" s="124" t="n"/>
      <c r="AX65" s="119" t="n">
        <v>15.95</v>
      </c>
      <c r="AY65" s="118" t="inlineStr">
        <is>
          <t>none</t>
        </is>
      </c>
      <c r="AZ65" s="118" t="inlineStr">
        <is>
          <t>Y</t>
        </is>
      </c>
      <c r="BA65" s="118" t="inlineStr">
        <is>
          <t>2026-10-13 23:38:46</t>
        </is>
      </c>
      <c r="BB65" s="120" t="inlineStr">
        <is>
          <t>None</t>
        </is>
      </c>
      <c r="BC65" s="125" t="n"/>
      <c r="BD65" s="121" t="n">
        <v>15.95</v>
      </c>
      <c r="BE65" s="121" t="n">
        <v>15.95</v>
      </c>
      <c r="BF65" s="110">
        <f>IF(AND(ISNUMBER(BD65),ISNUMBER(BE65),N(BD65)&gt;0),1-BE65/BD65,"")</f>
        <v/>
      </c>
      <c r="BG65" s="122" t="n">
        <v>43917</v>
      </c>
      <c r="BH65" s="122" t="n">
        <v>48224</v>
      </c>
      <c r="BI65" s="123">
        <f>IF(AND(ISNUMBER(BG65),ISNUMBER(BH65),N(BH65)&gt;0),BG65/BH65,"")</f>
        <v/>
      </c>
      <c r="BJ65" s="120" t="inlineStr">
        <is>
          <t>N</t>
        </is>
      </c>
      <c r="BK65" s="120" t="inlineStr">
        <is>
          <t>List Price $24.99</t>
        </is>
      </c>
    </row>
    <row r="66" ht="62" customHeight="1">
      <c r="A66" s="12">
        <f>_xlfn.IMAGE("https://images-na.ssl-images-amazon.com/images/I/71eYQFtuPxL.jpg")</f>
        <v/>
      </c>
      <c r="B66" s="105" t="inlineStr">
        <is>
          <t>REST</t>
        </is>
      </c>
      <c r="C66" s="39" t="inlineStr">
        <is>
          <t>REST® Evercool®+ Cooling Pillowcases for Hot Sleepers, Standard, 2PCS</t>
        </is>
      </c>
      <c r="D66" s="105" t="inlineStr">
        <is>
          <t>Beatable</t>
        </is>
      </c>
      <c r="E66" s="127" t="inlineStr">
        <is>
          <t>Material not verified</t>
        </is>
      </c>
      <c r="F66" s="105" t="n"/>
      <c r="G66" s="39" t="inlineStr">
        <is>
          <t>Pillowcase like ours, but the material is not stated (material not stated on the page or in the title); verify before treating as direct.</t>
        </is>
      </c>
      <c r="H66" s="107" t="inlineStr">
        <is>
          <t>B0C13Y18JW</t>
        </is>
      </c>
      <c r="I66" s="107" t="inlineStr">
        <is>
          <t>B0C141VGM6</t>
        </is>
      </c>
      <c r="J66" s="105" t="inlineStr">
        <is>
          <t>Standard (2 pcs)</t>
        </is>
      </c>
      <c r="K66" s="105" t="inlineStr">
        <is>
          <t>Light Gray</t>
        </is>
      </c>
      <c r="L66" s="108" t="n">
        <v>12</v>
      </c>
      <c r="M66" s="39" t="inlineStr">
        <is>
          <t>B0C141VGM6 (29%), B0C144NQ87 (22%), B0C144HZHL (11%), B0D4YFNCW6 (9%), B0D4YCZSLY (7%)</t>
        </is>
      </c>
      <c r="N66" s="109" t="n">
        <v>59.25</v>
      </c>
      <c r="O66" s="109" t="n">
        <v>79</v>
      </c>
      <c r="P66" s="110">
        <f>IF(AND(ISNUMBER(O66),ISNUMBER(N66),N(N66)&gt;0),O66/N66-1,"")</f>
        <v/>
      </c>
      <c r="Q66" s="111">
        <f>IF(P66="","No List Price",IF(P66&lt;=0,"At/below price",IF(P66&lt;=0.12,"&lt;=12% STR zone",IF(P66&lt;=0.25,"12-25%","&gt;25% over"))))</f>
        <v/>
      </c>
      <c r="R66" s="109" t="n">
        <v>20.87814814814815</v>
      </c>
      <c r="S66" s="112">
        <f>IF(AND(ISNUMBER(N66),ISNUMBER(R66),N(R66)&gt;0),N66/R66-1,"")</f>
        <v/>
      </c>
      <c r="T66" s="39" t="inlineStr">
        <is>
          <t>vs our blended price (market data, Mar 2026 - STALE)</t>
        </is>
      </c>
      <c r="U66" s="108" t="n">
        <v>4369</v>
      </c>
      <c r="V66" s="108" t="n">
        <v>208</v>
      </c>
      <c r="W66" s="113">
        <f>IF(AND(ISNUMBER(N66),ISNUMBER(V66)),N66*V66*52/12,"")</f>
        <v/>
      </c>
      <c r="X66" s="114" t="n">
        <v>4.4</v>
      </c>
      <c r="Y66" s="108" t="n">
        <v>1226</v>
      </c>
      <c r="Z66" s="115" t="n">
        <v>46307</v>
      </c>
      <c r="AA66" s="115" t="n">
        <v>45016</v>
      </c>
      <c r="AB66" s="105" t="inlineStr">
        <is>
          <t>FBA</t>
        </is>
      </c>
      <c r="AC66" s="105" t="inlineStr">
        <is>
          <t>HK</t>
        </is>
      </c>
      <c r="AD66" s="108" t="n">
        <v>345367</v>
      </c>
      <c r="AE66" s="108" t="n">
        <v>4235</v>
      </c>
      <c r="AF66" s="116" t="n">
        <v>0.2641106081356929</v>
      </c>
      <c r="AG66" s="116" t="n">
        <v>0.7358896698294859</v>
      </c>
      <c r="AH66" s="39" t="inlineStr">
        <is>
          <t>cooling pillow cases</t>
        </is>
      </c>
      <c r="AI66" s="116" t="n">
        <v>0.8527276780931589</v>
      </c>
      <c r="AJ66" s="116" t="n">
        <v>0.9219902306821439</v>
      </c>
      <c r="AK66" s="116" t="n">
        <v>0.6144159690995376</v>
      </c>
      <c r="AL66" s="116" t="n">
        <v>0.01558921379286382</v>
      </c>
      <c r="AM66" s="108" t="n">
        <v>44</v>
      </c>
      <c r="AN66" s="108" t="n">
        <v>2</v>
      </c>
      <c r="AO66" s="108" t="n">
        <v>40</v>
      </c>
      <c r="AP66" s="108" t="n">
        <v>4191</v>
      </c>
      <c r="AQ66" s="108" t="n">
        <v>1942</v>
      </c>
      <c r="AR66" s="108" t="n">
        <v>2</v>
      </c>
      <c r="AS66" s="117" t="n">
        <v>2.252856054836253</v>
      </c>
      <c r="AT66" s="112" t="n">
        <v>0.8507734303912649</v>
      </c>
      <c r="AU66" s="118" t="inlineStr">
        <is>
          <t>Y</t>
        </is>
      </c>
      <c r="AV66" s="118" t="inlineStr">
        <is>
          <t>List Price</t>
        </is>
      </c>
      <c r="AW66" s="119" t="n">
        <v>79</v>
      </c>
      <c r="AX66" s="119" t="n">
        <v>59.25</v>
      </c>
      <c r="AY66" s="118" t="inlineStr">
        <is>
          <t>none</t>
        </is>
      </c>
      <c r="AZ66" s="118" t="inlineStr">
        <is>
          <t>Y</t>
        </is>
      </c>
      <c r="BA66" s="118" t="inlineStr">
        <is>
          <t>2026-10-13 23:39:04</t>
        </is>
      </c>
      <c r="BB66" s="120" t="inlineStr">
        <is>
          <t>Price cut only</t>
        </is>
      </c>
      <c r="BC66" s="120" t="inlineStr">
        <is>
          <t>11-20 to 12-01</t>
        </is>
      </c>
      <c r="BD66" s="121" t="n">
        <v>79</v>
      </c>
      <c r="BE66" s="121" t="n">
        <v>55.3</v>
      </c>
      <c r="BF66" s="110">
        <f>IF(AND(ISNUMBER(BD66),ISNUMBER(BE66),N(BD66)&gt;0),1-BE66/BD66,"")</f>
        <v/>
      </c>
      <c r="BG66" s="122" t="n">
        <v>19299</v>
      </c>
      <c r="BH66" s="122" t="n">
        <v>9572</v>
      </c>
      <c r="BI66" s="123">
        <f>IF(AND(ISNUMBER(BG66),ISNUMBER(BH66),N(BH66)&gt;0),BG66/BH66,"")</f>
        <v/>
      </c>
      <c r="BJ66" s="120" t="inlineStr">
        <is>
          <t>N</t>
        </is>
      </c>
      <c r="BK66" s="120" t="inlineStr">
        <is>
          <t>Lightning Deal 11-15 to 11-15; List Price $79.00</t>
        </is>
      </c>
    </row>
    <row r="67" ht="62" customHeight="1">
      <c r="A67" s="12">
        <f>_xlfn.IMAGE("https://images-na.ssl-images-amazon.com/images/I/818UAaS5dSL.jpg")</f>
        <v/>
      </c>
      <c r="B67" s="105" t="inlineStr">
        <is>
          <t>HOMFINE</t>
        </is>
      </c>
      <c r="C67" s="39" t="inlineStr">
        <is>
          <t>HOMFINE Cooling Pillowcases for Hot Sleepers King Size Set of 2, Grey</t>
        </is>
      </c>
      <c r="D67" s="105" t="inlineStr">
        <is>
          <t>Beatable</t>
        </is>
      </c>
      <c r="E67" s="127" t="inlineStr">
        <is>
          <t>Material not verified</t>
        </is>
      </c>
      <c r="F67" s="105" t="n"/>
      <c r="G67" s="39" t="inlineStr">
        <is>
          <t>Pillowcase like ours, but the material is not stated (material not stated on the page or in the title); verify before treating as direct.</t>
        </is>
      </c>
      <c r="H67" s="107" t="inlineStr">
        <is>
          <t>B0CN6YFBVJ</t>
        </is>
      </c>
      <c r="I67" s="107" t="inlineStr">
        <is>
          <t>B0BLT2MCT6</t>
        </is>
      </c>
      <c r="J67" s="105" t="inlineStr">
        <is>
          <t>King</t>
        </is>
      </c>
      <c r="K67" s="105" t="inlineStr">
        <is>
          <t>Grey</t>
        </is>
      </c>
      <c r="L67" s="108" t="n">
        <v>22</v>
      </c>
      <c r="M67" s="39" t="inlineStr">
        <is>
          <t>B0BLT2MCT6 (55%), B0DJ7B3X2K (15%), B0FRLJV2B3 (15%)</t>
        </is>
      </c>
      <c r="N67" s="109" t="n">
        <v>9.99</v>
      </c>
      <c r="O67" s="109" t="n"/>
      <c r="P67" s="110">
        <f>IF(AND(ISNUMBER(O67),ISNUMBER(N67),N(N67)&gt;0),O67/N67-1,"")</f>
        <v/>
      </c>
      <c r="Q67" s="111">
        <f>IF(P67="","No List Price",IF(P67&lt;=0,"At/below price",IF(P67&lt;=0.12,"&lt;=12% STR zone",IF(P67&lt;=0.25,"12-25%","&gt;25% over"))))</f>
        <v/>
      </c>
      <c r="R67" s="109" t="n">
        <v>23.99</v>
      </c>
      <c r="S67" s="112">
        <f>IF(AND(ISNUMBER(N67),ISNUMBER(R67),N(R67)&gt;0),N67/R67-1,"")</f>
        <v/>
      </c>
      <c r="T67" s="39" t="inlineStr">
        <is>
          <t>Same size (King). Ours live: catalog price, 2026-10-13; 2 children</t>
        </is>
      </c>
      <c r="U67" s="108" t="n">
        <v>31417</v>
      </c>
      <c r="V67" s="108" t="n">
        <v>81</v>
      </c>
      <c r="W67" s="113">
        <f>IF(AND(ISNUMBER(N67),ISNUMBER(V67)),N67*V67*52/12,"")</f>
        <v/>
      </c>
      <c r="X67" s="114" t="n">
        <v>4.3</v>
      </c>
      <c r="Y67" s="108" t="n">
        <v>1309</v>
      </c>
      <c r="Z67" s="115" t="n">
        <v>46307</v>
      </c>
      <c r="AA67" s="115" t="n"/>
      <c r="AB67" s="105" t="n"/>
      <c r="AC67" s="105" t="n"/>
      <c r="AD67" s="108" t="n">
        <v>17008</v>
      </c>
      <c r="AE67" s="108" t="n">
        <v>741</v>
      </c>
      <c r="AF67" s="116" t="n">
        <v>0.9595514640169331</v>
      </c>
      <c r="AG67" s="116" t="n">
        <v>0.04045323965192851</v>
      </c>
      <c r="AH67" s="39" t="inlineStr">
        <is>
          <t>cooling pillow cases</t>
        </is>
      </c>
      <c r="AI67" s="116" t="n">
        <v>0.2387699905926623</v>
      </c>
      <c r="AJ67" s="116" t="n">
        <v>0.2089604891815616</v>
      </c>
      <c r="AK67" s="116" t="n">
        <v>0.1087135465663217</v>
      </c>
      <c r="AL67" s="116" t="n">
        <v>0.001528692380056444</v>
      </c>
      <c r="AM67" s="108" t="n">
        <v>42</v>
      </c>
      <c r="AN67" s="108" t="n">
        <v>2</v>
      </c>
      <c r="AO67" s="108" t="n">
        <v>37</v>
      </c>
      <c r="AP67" s="108" t="n">
        <v>699</v>
      </c>
      <c r="AQ67" s="108" t="n">
        <v>26</v>
      </c>
      <c r="AR67" s="108" t="n">
        <v>0</v>
      </c>
      <c r="AS67" s="117" t="n">
        <v>0.8495145631067961</v>
      </c>
      <c r="AT67" s="112" t="n">
        <v>0.4323144104803494</v>
      </c>
      <c r="AU67" s="118" t="inlineStr">
        <is>
          <t>Y</t>
        </is>
      </c>
      <c r="AV67" s="118" t="inlineStr">
        <is>
          <t>Typical price</t>
        </is>
      </c>
      <c r="AW67" s="119" t="n">
        <v>12.99</v>
      </c>
      <c r="AX67" s="119" t="n">
        <v>9.99</v>
      </c>
      <c r="AY67" s="118" t="inlineStr">
        <is>
          <t>none</t>
        </is>
      </c>
      <c r="AZ67" s="118" t="inlineStr">
        <is>
          <t>Y</t>
        </is>
      </c>
      <c r="BA67" s="118" t="inlineStr">
        <is>
          <t>2026-10-13 23:38:40</t>
        </is>
      </c>
      <c r="BB67" s="120" t="inlineStr">
        <is>
          <t>Prime Exclusive Discount</t>
        </is>
      </c>
      <c r="BC67" s="120" t="inlineStr">
        <is>
          <t>11-22 to 12-01</t>
        </is>
      </c>
      <c r="BD67" s="121" t="n">
        <v>23.99</v>
      </c>
      <c r="BE67" s="121" t="n">
        <v>18.23</v>
      </c>
      <c r="BF67" s="110">
        <f>IF(AND(ISNUMBER(BD67),ISNUMBER(BE67),N(BD67)&gt;0),1-BE67/BD67,"")</f>
        <v/>
      </c>
      <c r="BG67" s="122" t="n">
        <v>68682</v>
      </c>
      <c r="BH67" s="122" t="n">
        <v>67893</v>
      </c>
      <c r="BI67" s="123">
        <f>IF(AND(ISNUMBER(BG67),ISNUMBER(BH67),N(BH67)&gt;0),BG67/BH67,"")</f>
        <v/>
      </c>
      <c r="BJ67" s="120" t="inlineStr">
        <is>
          <t>N</t>
        </is>
      </c>
      <c r="BK67" s="120" t="inlineStr">
        <is>
          <t>Coupon 20%, 24% (11-01 to 11-19); List Price $24.99</t>
        </is>
      </c>
    </row>
    <row r="68" ht="62" customHeight="1">
      <c r="A68" s="12">
        <f>_xlfn.IMAGE("https://images-na.ssl-images-amazon.com/images/I/81lPRf0QezL.jpg")</f>
        <v/>
      </c>
      <c r="B68" s="105" t="inlineStr">
        <is>
          <t>Bedsure</t>
        </is>
      </c>
      <c r="C68" s="39" t="inlineStr">
        <is>
          <t>Bedsure Cooling Pillow Cases Queen Size Set of 2 for Hot Sleepers, Grey</t>
        </is>
      </c>
      <c r="D68" s="105" t="inlineStr">
        <is>
          <t>Beatable</t>
        </is>
      </c>
      <c r="E68" s="127" t="inlineStr">
        <is>
          <t>Material not verified</t>
        </is>
      </c>
      <c r="F68" s="105" t="n"/>
      <c r="G68" s="39" t="inlineStr">
        <is>
          <t>Pillowcase like ours, but the material is not stated (material not stated on the page or in the title); verify before treating as direct.</t>
        </is>
      </c>
      <c r="H68" s="107" t="inlineStr">
        <is>
          <t>B0GS2D7MBT</t>
        </is>
      </c>
      <c r="I68" s="107" t="inlineStr">
        <is>
          <t>B0CP3NX181</t>
        </is>
      </c>
      <c r="J68" s="105" t="inlineStr">
        <is>
          <t>Queen</t>
        </is>
      </c>
      <c r="K68" s="105" t="inlineStr">
        <is>
          <t>Grey</t>
        </is>
      </c>
      <c r="L68" s="108" t="n">
        <v>7</v>
      </c>
      <c r="M68" s="39" t="inlineStr">
        <is>
          <t>B0CP3NQSTG (62%), B0CP3P1HRF (34%)</t>
        </is>
      </c>
      <c r="N68" s="109" t="n">
        <v>18.99</v>
      </c>
      <c r="O68" s="109" t="n">
        <v>24.99</v>
      </c>
      <c r="P68" s="110">
        <f>IF(AND(ISNUMBER(O68),ISNUMBER(N68),N(N68)&gt;0),O68/N68-1,"")</f>
        <v/>
      </c>
      <c r="Q68" s="111">
        <f>IF(P68="","No List Price",IF(P68&lt;=0,"At/below price",IF(P68&lt;=0.12,"&lt;=12% STR zone",IF(P68&lt;=0.25,"12-25%","&gt;25% over"))))</f>
        <v/>
      </c>
      <c r="R68" s="109" t="n">
        <v>21.99</v>
      </c>
      <c r="S68" s="112">
        <f>IF(AND(ISNUMBER(N68),ISNUMBER(R68),N(R68)&gt;0),N68/R68-1,"")</f>
        <v/>
      </c>
      <c r="T68" s="39" t="inlineStr">
        <is>
          <t>Same size (Queen). Ours live: catalog price, 2026-10-13; 1 child</t>
        </is>
      </c>
      <c r="U68" s="108" t="n">
        <v>156798</v>
      </c>
      <c r="V68" s="108" t="n">
        <v>5</v>
      </c>
      <c r="W68" s="113">
        <f>IF(AND(ISNUMBER(N68),ISNUMBER(V68)),N68*V68*52/12,"")</f>
        <v/>
      </c>
      <c r="X68" s="114" t="n">
        <v>4.5</v>
      </c>
      <c r="Y68" s="108" t="n">
        <v>676</v>
      </c>
      <c r="Z68" s="115" t="n">
        <v>46307</v>
      </c>
      <c r="AA68" s="115" t="n"/>
      <c r="AB68" s="105" t="n"/>
      <c r="AC68" s="105" t="n"/>
      <c r="AD68" s="108" t="n">
        <v>38313</v>
      </c>
      <c r="AE68" s="108" t="n">
        <v>2045</v>
      </c>
      <c r="AF68" s="116" t="n">
        <v>0.4058418317542347</v>
      </c>
      <c r="AG68" s="116" t="n">
        <v>0.5941581682457653</v>
      </c>
      <c r="AH68" s="39" t="inlineStr">
        <is>
          <t>cooling pillow cases</t>
        </is>
      </c>
      <c r="AI68" s="116" t="n">
        <v>0.2079450839140762</v>
      </c>
      <c r="AJ68" s="116" t="n">
        <v>0.6478218881319656</v>
      </c>
      <c r="AK68" s="116" t="n"/>
      <c r="AL68" s="116" t="n"/>
      <c r="AM68" s="108" t="n">
        <v>41</v>
      </c>
      <c r="AN68" s="108" t="n">
        <v>2</v>
      </c>
      <c r="AO68" s="108" t="n">
        <v>36</v>
      </c>
      <c r="AP68" s="108" t="n">
        <v>2004</v>
      </c>
      <c r="AQ68" s="108" t="n">
        <v>785</v>
      </c>
      <c r="AR68" s="108" t="n">
        <v>0</v>
      </c>
      <c r="AS68" s="117" t="n"/>
      <c r="AT68" s="112" t="n"/>
      <c r="AU68" s="118" t="inlineStr">
        <is>
          <t>unknown</t>
        </is>
      </c>
      <c r="AV68" s="125" t="n"/>
      <c r="AW68" s="124" t="n"/>
      <c r="AX68" s="124" t="n"/>
      <c r="AY68" s="125" t="n"/>
      <c r="AZ68" s="125" t="n"/>
      <c r="BA68" s="118" t="inlineStr">
        <is>
          <t>2026-10-13 23:37:18</t>
        </is>
      </c>
      <c r="BB68" s="120" t="inlineStr">
        <is>
          <t>None</t>
        </is>
      </c>
      <c r="BC68" s="125" t="n"/>
      <c r="BD68" s="124" t="n"/>
      <c r="BE68" s="121" t="n">
        <v>24.99</v>
      </c>
      <c r="BF68" s="110">
        <f>IF(AND(ISNUMBER(BD68),ISNUMBER(BE68),N(BD68)&gt;0),1-BE68/BD68,"")</f>
        <v/>
      </c>
      <c r="BG68" s="122" t="n">
        <v>71196</v>
      </c>
      <c r="BH68" s="122" t="n">
        <v>84389</v>
      </c>
      <c r="BI68" s="123">
        <f>IF(AND(ISNUMBER(BG68),ISNUMBER(BH68),N(BH68)&gt;0),BG68/BH68,"")</f>
        <v/>
      </c>
      <c r="BJ68" s="120" t="inlineStr">
        <is>
          <t>Y</t>
        </is>
      </c>
      <c r="BK68" s="120" t="inlineStr">
        <is>
          <t>List Price $32.99</t>
        </is>
      </c>
    </row>
    <row r="69" ht="62" customHeight="1">
      <c r="A69" s="12">
        <f>_xlfn.IMAGE("https://m.media-amazon.com/images/I/51JlZslZgfL._AC_SL1005_.jpg")</f>
        <v/>
      </c>
      <c r="B69" s="105" t="inlineStr">
        <is>
          <t>Coop Home Goods</t>
        </is>
      </c>
      <c r="C69" s="39" t="inlineStr">
        <is>
          <t>Coop Home Goods Cool Side Pillowcase, Queen Size Cooling Pillow Case for Hot Sle</t>
        </is>
      </c>
      <c r="D69" s="105" t="inlineStr">
        <is>
          <t>Beatable</t>
        </is>
      </c>
      <c r="E69" s="127" t="inlineStr">
        <is>
          <t>Material not verified</t>
        </is>
      </c>
      <c r="F69" s="105" t="n"/>
      <c r="G69" s="39" t="inlineStr">
        <is>
          <t>Pillowcase like ours, but the material is not stated (material not stated on the page or in the title); verify before treating as direct.</t>
        </is>
      </c>
      <c r="H69" s="107" t="inlineStr">
        <is>
          <t>B0DGH3JKZ5</t>
        </is>
      </c>
      <c r="I69" s="107" t="inlineStr">
        <is>
          <t>B08B448344</t>
        </is>
      </c>
      <c r="J69" s="105" t="inlineStr">
        <is>
          <t>Queen</t>
        </is>
      </c>
      <c r="K69" s="105" t="inlineStr">
        <is>
          <t>Standard</t>
        </is>
      </c>
      <c r="L69" s="108" t="n">
        <v>7</v>
      </c>
      <c r="M69" s="39" t="inlineStr">
        <is>
          <t>B0CQBCS63N (34%), B08B448344 (27%), B0CQB8LNYY (15%), B0CQB3P54Y (11%)</t>
        </is>
      </c>
      <c r="N69" s="109" t="n">
        <v>25.5</v>
      </c>
      <c r="O69" s="109" t="n"/>
      <c r="P69" s="110">
        <f>IF(AND(ISNUMBER(O69),ISNUMBER(N69),N(N69)&gt;0),O69/N69-1,"")</f>
        <v/>
      </c>
      <c r="Q69" s="111">
        <f>IF(P69="","No List Price",IF(P69&lt;=0,"At/below price",IF(P69&lt;=0.12,"&lt;=12% STR zone",IF(P69&lt;=0.25,"12-25%","&gt;25% over"))))</f>
        <v/>
      </c>
      <c r="R69" s="109" t="n">
        <v>21.99</v>
      </c>
      <c r="S69" s="112">
        <f>IF(AND(ISNUMBER(N69),ISNUMBER(R69),N(R69)&gt;0),N69/R69-1,"")</f>
        <v/>
      </c>
      <c r="T69" s="39" t="inlineStr">
        <is>
          <t>Same size (Queen). Ours live: catalog price, 2026-10-13; 1 child</t>
        </is>
      </c>
      <c r="U69" s="108" t="n">
        <v>66369</v>
      </c>
      <c r="V69" s="108" t="n">
        <v>5</v>
      </c>
      <c r="W69" s="113">
        <f>IF(AND(ISNUMBER(N69),ISNUMBER(V69)),N69*V69*52/12,"")</f>
        <v/>
      </c>
      <c r="X69" s="114" t="n">
        <v>4.3</v>
      </c>
      <c r="Y69" s="108" t="n">
        <v>1158</v>
      </c>
      <c r="Z69" s="115" t="n">
        <v>46307</v>
      </c>
      <c r="AA69" s="115" t="n"/>
      <c r="AB69" s="105" t="n"/>
      <c r="AC69" s="105" t="n"/>
      <c r="AD69" s="108" t="n">
        <v>26180</v>
      </c>
      <c r="AE69" s="108" t="n">
        <v>214</v>
      </c>
      <c r="AF69" s="116" t="n">
        <v>0.9925127425515661</v>
      </c>
      <c r="AG69" s="116" t="n">
        <v>0.00748725744843392</v>
      </c>
      <c r="AH69" s="39" t="inlineStr">
        <is>
          <t>coop pillow</t>
        </is>
      </c>
      <c r="AI69" s="116" t="n">
        <v>0.00385790679908327</v>
      </c>
      <c r="AJ69" s="116" t="n"/>
      <c r="AK69" s="116" t="n"/>
      <c r="AL69" s="116" t="n"/>
      <c r="AM69" s="108" t="n">
        <v>29</v>
      </c>
      <c r="AN69" s="108" t="n">
        <v>3</v>
      </c>
      <c r="AO69" s="108" t="n">
        <v>22</v>
      </c>
      <c r="AP69" s="108" t="n">
        <v>185</v>
      </c>
      <c r="AQ69" s="108" t="n">
        <v>15</v>
      </c>
      <c r="AR69" s="108" t="n">
        <v>0</v>
      </c>
      <c r="AS69" s="117" t="n">
        <v>0.6264367816091955</v>
      </c>
      <c r="AT69" s="112" t="n">
        <v>-0.07100591715976323</v>
      </c>
      <c r="AU69" s="118" t="inlineStr">
        <is>
          <t>Y</t>
        </is>
      </c>
      <c r="AV69" s="118" t="inlineStr">
        <is>
          <t>List Price</t>
        </is>
      </c>
      <c r="AW69" s="119" t="n">
        <v>30</v>
      </c>
      <c r="AX69" s="119" t="n">
        <v>25.5</v>
      </c>
      <c r="AY69" s="118" t="inlineStr">
        <is>
          <t>Limited time deal</t>
        </is>
      </c>
      <c r="AZ69" s="118" t="inlineStr">
        <is>
          <t>Y</t>
        </is>
      </c>
      <c r="BA69" s="118" t="inlineStr">
        <is>
          <t>2026-10-13 23:38:02</t>
        </is>
      </c>
      <c r="BB69" s="120" t="inlineStr">
        <is>
          <t>Prime Exclusive Discount</t>
        </is>
      </c>
      <c r="BC69" s="120" t="inlineStr">
        <is>
          <t>11-22 to 12-01</t>
        </is>
      </c>
      <c r="BD69" s="121" t="n">
        <v>30</v>
      </c>
      <c r="BE69" s="121" t="n">
        <v>24</v>
      </c>
      <c r="BF69" s="110">
        <f>IF(AND(ISNUMBER(BD69),ISNUMBER(BE69),N(BD69)&gt;0),1-BE69/BD69,"")</f>
        <v/>
      </c>
      <c r="BG69" s="122" t="n">
        <v>50852</v>
      </c>
      <c r="BH69" s="122" t="n">
        <v>45892</v>
      </c>
      <c r="BI69" s="123">
        <f>IF(AND(ISNUMBER(BG69),ISNUMBER(BH69),N(BH69)&gt;0),BG69/BH69,"")</f>
        <v/>
      </c>
      <c r="BJ69" s="120" t="inlineStr">
        <is>
          <t>N</t>
        </is>
      </c>
      <c r="BK69" s="120" t="inlineStr">
        <is>
          <t>Lightning Deal 11-01 to 11-07; List Price $30.00</t>
        </is>
      </c>
    </row>
    <row r="70" ht="62" customHeight="1">
      <c r="A70" s="12">
        <f>_xlfn.IMAGE("https://m.media-amazon.com/images/I/51lX1uo9xJL._AC_SL1500_.jpg")</f>
        <v/>
      </c>
      <c r="B70" s="105" t="inlineStr">
        <is>
          <t>WISHSMILE</t>
        </is>
      </c>
      <c r="C70" s="39" t="inlineStr">
        <is>
          <t>WishSmile Cooling Queen Pillowcases Set of 2 Breathable Cool Silky Soft Rayon De</t>
        </is>
      </c>
      <c r="D70" s="105" t="inlineStr">
        <is>
          <t>Aspirational</t>
        </is>
      </c>
      <c r="E70" s="128" t="inlineStr">
        <is>
          <t>Alternative material</t>
        </is>
      </c>
      <c r="F70" s="105" t="inlineStr">
        <is>
          <t>Bamboo viscose</t>
        </is>
      </c>
      <c r="G70" s="39" t="inlineStr">
        <is>
          <t>Pillowcase in Bamboo viscose (product page material: Rayon derived from bamboo); ours is Synthetic cooling knit (BreezeWeave cooling fabric, nylon-spandex like CooLoom (confirmed Oct 15, 2026)). Shopper may cross-shop, but not like-for-like.</t>
        </is>
      </c>
      <c r="H70" s="107" t="inlineStr">
        <is>
          <t>B09BKQK7RZ</t>
        </is>
      </c>
      <c r="I70" s="107" t="inlineStr">
        <is>
          <t>B09BL2SMVG</t>
        </is>
      </c>
      <c r="J70" s="105" t="inlineStr">
        <is>
          <t>1 Pack Body(20x54)-Regular</t>
        </is>
      </c>
      <c r="K70" s="105" t="inlineStr">
        <is>
          <t>Dark Grey</t>
        </is>
      </c>
      <c r="L70" s="108" t="n">
        <v>41</v>
      </c>
      <c r="M70" s="39" t="inlineStr">
        <is>
          <t>B09BL2SMVG (51%), B09BKY53J5 (20%), B09BKXKF1P (6%), B09BKV27TP (4%)</t>
        </is>
      </c>
      <c r="N70" s="109" t="n">
        <v>12.99</v>
      </c>
      <c r="O70" s="109" t="n"/>
      <c r="P70" s="110">
        <f>IF(AND(ISNUMBER(O70),ISNUMBER(N70),N(N70)&gt;0),O70/N70-1,"")</f>
        <v/>
      </c>
      <c r="Q70" s="111">
        <f>IF(P70="","No List Price",IF(P70&lt;=0,"At/below price",IF(P70&lt;=0.12,"&lt;=12% STR zone",IF(P70&lt;=0.25,"12-25%","&gt;25% over"))))</f>
        <v/>
      </c>
      <c r="R70" s="109" t="n">
        <v>20.87814814814815</v>
      </c>
      <c r="S70" s="112">
        <f>IF(AND(ISNUMBER(N70),ISNUMBER(R70),N(R70)&gt;0),N70/R70-1,"")</f>
        <v/>
      </c>
      <c r="T70" s="39" t="inlineStr">
        <is>
          <t>vs our blended price (market data, Mar 2026 - STALE)</t>
        </is>
      </c>
      <c r="U70" s="108" t="n">
        <v>2467</v>
      </c>
      <c r="V70" s="108" t="n">
        <v>809</v>
      </c>
      <c r="W70" s="113">
        <f>IF(AND(ISNUMBER(N70),ISNUMBER(V70)),N70*V70*52/12,"")</f>
        <v/>
      </c>
      <c r="X70" s="114" t="n">
        <v>4.4</v>
      </c>
      <c r="Y70" s="108" t="n">
        <v>7225</v>
      </c>
      <c r="Z70" s="115" t="n">
        <v>46307</v>
      </c>
      <c r="AA70" s="115" t="n"/>
      <c r="AB70" s="105" t="n"/>
      <c r="AC70" s="105" t="n"/>
      <c r="AD70" s="108" t="n">
        <v>151964</v>
      </c>
      <c r="AE70" s="108" t="n">
        <v>1980</v>
      </c>
      <c r="AF70" s="116" t="n">
        <v>0.8020060705167013</v>
      </c>
      <c r="AG70" s="116" t="n">
        <v>0.1979940979442499</v>
      </c>
      <c r="AH70" s="39" t="inlineStr">
        <is>
          <t>body pillow pillowcase</t>
        </is>
      </c>
      <c r="AI70" s="116" t="n">
        <v>0.8215695822694848</v>
      </c>
      <c r="AJ70" s="116" t="n">
        <v>0.5012437156168567</v>
      </c>
      <c r="AK70" s="116" t="n">
        <v>0.8610986812666158</v>
      </c>
      <c r="AL70" s="116" t="n">
        <v>0.02574951962306862</v>
      </c>
      <c r="AM70" s="108" t="n">
        <v>42</v>
      </c>
      <c r="AN70" s="108" t="n">
        <v>2</v>
      </c>
      <c r="AO70" s="108" t="n">
        <v>37</v>
      </c>
      <c r="AP70" s="108" t="n">
        <v>1938</v>
      </c>
      <c r="AQ70" s="108" t="n">
        <v>526</v>
      </c>
      <c r="AR70" s="108" t="n">
        <v>2</v>
      </c>
      <c r="AS70" s="117" t="n">
        <v>1.226522481502561</v>
      </c>
      <c r="AT70" s="112" t="n">
        <v>1.045692883895131</v>
      </c>
      <c r="AU70" s="118" t="inlineStr">
        <is>
          <t>N</t>
        </is>
      </c>
      <c r="AV70" s="118" t="inlineStr">
        <is>
          <t>none</t>
        </is>
      </c>
      <c r="AW70" s="124" t="n"/>
      <c r="AX70" s="119" t="n">
        <v>12.99</v>
      </c>
      <c r="AY70" s="118" t="inlineStr">
        <is>
          <t>none</t>
        </is>
      </c>
      <c r="AZ70" s="118" t="inlineStr">
        <is>
          <t>Y</t>
        </is>
      </c>
      <c r="BA70" s="118" t="inlineStr">
        <is>
          <t>2026-10-13 23:37:09</t>
        </is>
      </c>
      <c r="BB70" s="120" t="inlineStr">
        <is>
          <t>Prime Exclusive Discount</t>
        </is>
      </c>
      <c r="BC70" s="120" t="inlineStr">
        <is>
          <t>11-20 to 12-01</t>
        </is>
      </c>
      <c r="BD70" s="121" t="n">
        <v>11.99</v>
      </c>
      <c r="BE70" s="121" t="n">
        <v>10.19</v>
      </c>
      <c r="BF70" s="110">
        <f>IF(AND(ISNUMBER(BD70),ISNUMBER(BE70),N(BD70)&gt;0),1-BE70/BD70,"")</f>
        <v/>
      </c>
      <c r="BG70" s="122" t="n">
        <v>4924</v>
      </c>
      <c r="BH70" s="122" t="n">
        <v>4617</v>
      </c>
      <c r="BI70" s="123">
        <f>IF(AND(ISNUMBER(BG70),ISNUMBER(BH70),N(BH70)&gt;0),BG70/BH70,"")</f>
        <v/>
      </c>
      <c r="BJ70" s="120" t="inlineStr">
        <is>
          <t>N</t>
        </is>
      </c>
      <c r="BK70" s="120" t="inlineStr">
        <is>
          <t>Buy Box RAISED in BFCM week (median $13.99 vs $11.99 before); List Price $17.99</t>
        </is>
      </c>
    </row>
    <row r="71" ht="62" customHeight="1">
      <c r="A71" s="12">
        <f>_xlfn.IMAGE("https://m.media-amazon.com/images/I/71ShKn05Z2L._AC_SL1500_.jpg")</f>
        <v/>
      </c>
      <c r="B71" s="105" t="inlineStr">
        <is>
          <t>ELIBABA</t>
        </is>
      </c>
      <c r="C71" s="39" t="inlineStr">
        <is>
          <t>Cooling Side Sleeper Pillow Cases - Curved Rayon Derived from Bamboo Pillowcase</t>
        </is>
      </c>
      <c r="D71" s="105" t="inlineStr">
        <is>
          <t>Beatable</t>
        </is>
      </c>
      <c r="E71" s="128" t="inlineStr">
        <is>
          <t>Alternative material</t>
        </is>
      </c>
      <c r="F71" s="105" t="inlineStr">
        <is>
          <t>Bamboo viscose</t>
        </is>
      </c>
      <c r="G71" s="39" t="inlineStr">
        <is>
          <t>Pillowcase in Bamboo viscose (product page material: rayon derived from bamboo); ours is Synthetic cooling knit (BreezeWeave cooling fabric, nylon-spandex like CooLoom (confirmed Oct 15, 2026)). Shopper may cross-shop, but not like-for-like.</t>
        </is>
      </c>
      <c r="H71" s="107" t="inlineStr">
        <is>
          <t>B0HGLD1P8V</t>
        </is>
      </c>
      <c r="I71" s="107" t="inlineStr">
        <is>
          <t>B0CQK3KHHH</t>
        </is>
      </c>
      <c r="J71" s="105" t="inlineStr">
        <is>
          <t>1 Pack Queen (20 x 30)</t>
        </is>
      </c>
      <c r="K71" s="105" t="inlineStr">
        <is>
          <t>Dark Grey</t>
        </is>
      </c>
      <c r="L71" s="108" t="n">
        <v>25</v>
      </c>
      <c r="M71" s="39" t="inlineStr">
        <is>
          <t>B0CQK3KHHH (38%), B0B8Y484FV (19%), B0BJ6PPDL4 (12%), B0DSSYCX22 (9%), B0DSVP4PKM (5%)</t>
        </is>
      </c>
      <c r="N71" s="109" t="n">
        <v>17.99</v>
      </c>
      <c r="O71" s="109" t="n"/>
      <c r="P71" s="110">
        <f>IF(AND(ISNUMBER(O71),ISNUMBER(N71),N(N71)&gt;0),O71/N71-1,"")</f>
        <v/>
      </c>
      <c r="Q71" s="111">
        <f>IF(P71="","No List Price",IF(P71&lt;=0,"At/below price",IF(P71&lt;=0.12,"&lt;=12% STR zone",IF(P71&lt;=0.25,"12-25%","&gt;25% over"))))</f>
        <v/>
      </c>
      <c r="R71" s="109" t="n">
        <v>20.87814814814815</v>
      </c>
      <c r="S71" s="112">
        <f>IF(AND(ISNUMBER(N71),ISNUMBER(R71),N(R71)&gt;0),N71/R71-1,"")</f>
        <v/>
      </c>
      <c r="T71" s="39" t="inlineStr">
        <is>
          <t>vs our blended price (market data, Mar 2026 - STALE)</t>
        </is>
      </c>
      <c r="U71" s="108" t="n">
        <v>12744</v>
      </c>
      <c r="V71" s="108" t="n">
        <v>92</v>
      </c>
      <c r="W71" s="113">
        <f>IF(AND(ISNUMBER(N71),ISNUMBER(V71)),N71*V71*52/12,"")</f>
        <v/>
      </c>
      <c r="X71" s="114" t="n">
        <v>4.2</v>
      </c>
      <c r="Y71" s="108" t="n">
        <v>1630</v>
      </c>
      <c r="Z71" s="115" t="n">
        <v>46307</v>
      </c>
      <c r="AA71" s="115" t="n"/>
      <c r="AB71" s="105" t="n"/>
      <c r="AC71" s="105" t="n"/>
      <c r="AD71" s="108" t="n">
        <v>15537</v>
      </c>
      <c r="AE71" s="108" t="n">
        <v>438</v>
      </c>
      <c r="AF71" s="116" t="n">
        <v>0.770486258608483</v>
      </c>
      <c r="AG71" s="116" t="n">
        <v>0.229513741391517</v>
      </c>
      <c r="AH71" s="39" t="inlineStr">
        <is>
          <t>curved pillow case</t>
        </is>
      </c>
      <c r="AI71" s="116" t="n">
        <v>0.7482783034047757</v>
      </c>
      <c r="AJ71" s="116" t="n">
        <v>0.4866447834202227</v>
      </c>
      <c r="AK71" s="116" t="n">
        <v>0.2338289245027998</v>
      </c>
      <c r="AL71" s="116" t="n">
        <v>0.3666087404260797</v>
      </c>
      <c r="AM71" s="108" t="n">
        <v>34</v>
      </c>
      <c r="AN71" s="108" t="n">
        <v>5</v>
      </c>
      <c r="AO71" s="108" t="n">
        <v>25</v>
      </c>
      <c r="AP71" s="108" t="n">
        <v>404</v>
      </c>
      <c r="AQ71" s="108" t="n">
        <v>34</v>
      </c>
      <c r="AR71" s="108" t="n">
        <v>0</v>
      </c>
      <c r="AS71" s="117" t="n">
        <v>0.8564593301435407</v>
      </c>
      <c r="AT71" s="112" t="n">
        <v>-0.2191358024691358</v>
      </c>
      <c r="AU71" s="118" t="inlineStr">
        <is>
          <t>N</t>
        </is>
      </c>
      <c r="AV71" s="118" t="inlineStr">
        <is>
          <t>none</t>
        </is>
      </c>
      <c r="AW71" s="124" t="n"/>
      <c r="AX71" s="119" t="n">
        <v>17.99</v>
      </c>
      <c r="AY71" s="118" t="inlineStr">
        <is>
          <t>none</t>
        </is>
      </c>
      <c r="AZ71" s="118" t="inlineStr">
        <is>
          <t>Y</t>
        </is>
      </c>
      <c r="BA71" s="118" t="inlineStr">
        <is>
          <t>2026-10-13 23:36:15</t>
        </is>
      </c>
      <c r="BB71" s="120" t="inlineStr">
        <is>
          <t>Prime Exclusive Discount</t>
        </is>
      </c>
      <c r="BC71" s="120" t="inlineStr">
        <is>
          <t>11-26 to 12-01</t>
        </is>
      </c>
      <c r="BD71" s="121" t="n">
        <v>18.99</v>
      </c>
      <c r="BE71" s="121" t="n">
        <v>15.19</v>
      </c>
      <c r="BF71" s="110">
        <f>IF(AND(ISNUMBER(BD71),ISNUMBER(BE71),N(BD71)&gt;0),1-BE71/BD71,"")</f>
        <v/>
      </c>
      <c r="BG71" s="122" t="n">
        <v>14286</v>
      </c>
      <c r="BH71" s="122" t="n">
        <v>13324</v>
      </c>
      <c r="BI71" s="123">
        <f>IF(AND(ISNUMBER(BG71),ISNUMBER(BH71),N(BH71)&gt;0),BG71/BH71,"")</f>
        <v/>
      </c>
      <c r="BJ71" s="120" t="inlineStr">
        <is>
          <t>N</t>
        </is>
      </c>
      <c r="BK71" s="120" t="inlineStr">
        <is>
          <t>List Price $22.99</t>
        </is>
      </c>
    </row>
    <row r="72" ht="62" customHeight="1">
      <c r="A72" s="12">
        <f>_xlfn.IMAGE("https://m.media-amazon.com/images/I/81UrnfqGQGL._AC_SL1500_.jpg")</f>
        <v/>
      </c>
      <c r="B72" s="105" t="inlineStr">
        <is>
          <t>Marchpower</t>
        </is>
      </c>
      <c r="C72" s="39" t="inlineStr">
        <is>
          <t>Marchpower Cooling Pillow Cases for Hot Sleepers, Japanese Arc Chill Cooling Pil</t>
        </is>
      </c>
      <c r="D72" s="105" t="inlineStr">
        <is>
          <t>Beatable</t>
        </is>
      </c>
      <c r="E72" s="128" t="inlineStr">
        <is>
          <t>Alternative material</t>
        </is>
      </c>
      <c r="F72" s="105" t="inlineStr">
        <is>
          <t>Cotton</t>
        </is>
      </c>
      <c r="G72" s="39" t="inlineStr">
        <is>
          <t>Pillowcase in Cotton (product page material: Cooling Fabric &amp; 100% Cotton); ours is Synthetic cooling knit (BreezeWeave cooling fabric, nylon-spandex like CooLoom (confirmed Oct 15, 2026)). Shopper may cross-shop, but not like-for-like.</t>
        </is>
      </c>
      <c r="H72" s="107" t="inlineStr">
        <is>
          <t>B0CFY7SVV7</t>
        </is>
      </c>
      <c r="I72" s="107" t="inlineStr">
        <is>
          <t>B095GTMX4Y</t>
        </is>
      </c>
      <c r="J72" s="105" t="inlineStr">
        <is>
          <t>Standard 20"x 26"</t>
        </is>
      </c>
      <c r="K72" s="105" t="inlineStr">
        <is>
          <t>Green</t>
        </is>
      </c>
      <c r="L72" s="108" t="n">
        <v>9</v>
      </c>
      <c r="M72" s="39" t="inlineStr">
        <is>
          <t>B0BVB4W16P (75%), B08B7VPPND (24%)</t>
        </is>
      </c>
      <c r="N72" s="109" t="n">
        <v>19.99</v>
      </c>
      <c r="O72" s="109" t="n"/>
      <c r="P72" s="110">
        <f>IF(AND(ISNUMBER(O72),ISNUMBER(N72),N(N72)&gt;0),O72/N72-1,"")</f>
        <v/>
      </c>
      <c r="Q72" s="111">
        <f>IF(P72="","No List Price",IF(P72&lt;=0,"At/below price",IF(P72&lt;=0.12,"&lt;=12% STR zone",IF(P72&lt;=0.25,"12-25%","&gt;25% over"))))</f>
        <v/>
      </c>
      <c r="R72" s="109" t="n">
        <v>20.87814814814815</v>
      </c>
      <c r="S72" s="112">
        <f>IF(AND(ISNUMBER(N72),ISNUMBER(R72),N(R72)&gt;0),N72/R72-1,"")</f>
        <v/>
      </c>
      <c r="T72" s="39" t="inlineStr">
        <is>
          <t>vs our blended price (market data, Mar 2026 - STALE)</t>
        </is>
      </c>
      <c r="U72" s="108" t="n">
        <v>265537</v>
      </c>
      <c r="V72" s="108" t="n">
        <v>5</v>
      </c>
      <c r="W72" s="113">
        <f>IF(AND(ISNUMBER(N72),ISNUMBER(V72)),N72*V72*52/12,"")</f>
        <v/>
      </c>
      <c r="X72" s="114" t="n">
        <v>4.3</v>
      </c>
      <c r="Y72" s="108" t="n">
        <v>1247</v>
      </c>
      <c r="Z72" s="115" t="n">
        <v>46307</v>
      </c>
      <c r="AA72" s="115" t="n"/>
      <c r="AB72" s="105" t="n"/>
      <c r="AC72" s="105" t="n"/>
      <c r="AD72" s="108" t="n">
        <v>5423</v>
      </c>
      <c r="AE72" s="108" t="n">
        <v>205</v>
      </c>
      <c r="AF72" s="116" t="n">
        <v>0.9321121519454174</v>
      </c>
      <c r="AG72" s="116" t="n">
        <v>0.06788784805458234</v>
      </c>
      <c r="AH72" s="39" t="inlineStr">
        <is>
          <t>cooling pillow cases</t>
        </is>
      </c>
      <c r="AI72" s="116" t="n">
        <v>0.7855430573483312</v>
      </c>
      <c r="AJ72" s="116" t="n"/>
      <c r="AK72" s="116" t="n"/>
      <c r="AL72" s="116" t="n"/>
      <c r="AM72" s="108" t="n">
        <v>36</v>
      </c>
      <c r="AN72" s="108" t="n">
        <v>4</v>
      </c>
      <c r="AO72" s="108" t="n">
        <v>26</v>
      </c>
      <c r="AP72" s="108" t="n">
        <v>169</v>
      </c>
      <c r="AQ72" s="108" t="n">
        <v>42</v>
      </c>
      <c r="AR72" s="108" t="n">
        <v>1</v>
      </c>
      <c r="AS72" s="117" t="n"/>
      <c r="AT72" s="112" t="n"/>
      <c r="AU72" s="118" t="inlineStr">
        <is>
          <t>N</t>
        </is>
      </c>
      <c r="AV72" s="118" t="inlineStr">
        <is>
          <t>none</t>
        </is>
      </c>
      <c r="AW72" s="124" t="n"/>
      <c r="AX72" s="119" t="n">
        <v>19.99</v>
      </c>
      <c r="AY72" s="118" t="inlineStr">
        <is>
          <t>none</t>
        </is>
      </c>
      <c r="AZ72" s="118" t="inlineStr">
        <is>
          <t>Y</t>
        </is>
      </c>
      <c r="BA72" s="118" t="inlineStr">
        <is>
          <t>2026-10-13 23:38:52</t>
        </is>
      </c>
      <c r="BB72" s="125" t="n"/>
      <c r="BC72" s="125" t="n"/>
      <c r="BD72" s="124" t="n"/>
      <c r="BE72" s="124" t="n"/>
      <c r="BF72" s="110">
        <f>IF(AND(ISNUMBER(BD72),ISNUMBER(BE72),N(BD72)&gt;0),1-BE72/BD72,"")</f>
        <v/>
      </c>
      <c r="BG72" s="122" t="n">
        <v>270000</v>
      </c>
      <c r="BH72" s="122" t="n">
        <v>188101</v>
      </c>
      <c r="BI72" s="123">
        <f>IF(AND(ISNUMBER(BG72),ISNUMBER(BH72),N(BH72)&gt;0),BG72/BH72,"")</f>
        <v/>
      </c>
      <c r="BJ72" s="120" t="inlineStr">
        <is>
          <t>Y</t>
        </is>
      </c>
      <c r="BK72" s="120" t="inlineStr">
        <is>
          <t>No Buy Box history in price history for BFCM 2025; List Price $29.99</t>
        </is>
      </c>
    </row>
    <row r="73" ht="62" customHeight="1">
      <c r="A73" s="12">
        <f>_xlfn.IMAGE("https://images-na.ssl-images-amazon.com/images/I/71JIe-f4CUL.jpg")</f>
        <v/>
      </c>
      <c r="B73" s="105" t="inlineStr">
        <is>
          <t>Rifens</t>
        </is>
      </c>
      <c r="C73" s="39" t="inlineStr">
        <is>
          <t>Ice Cooling Pillowcase for Hot Sleepers, Instantly Cool, Stay Cold All Night, Softer Than Silk Pillow Cases, Pillow Covers with Invisible Zipper, Gift for Men &amp; Women - Standard, Light Gray (1 Pack)</t>
        </is>
      </c>
      <c r="D73" s="105" t="inlineStr">
        <is>
          <t>Beatable</t>
        </is>
      </c>
      <c r="E73" s="128" t="inlineStr">
        <is>
          <t>Alternative material</t>
        </is>
      </c>
      <c r="F73" s="105" t="inlineStr">
        <is>
          <t>Silk</t>
        </is>
      </c>
      <c r="G73" s="39" t="inlineStr">
        <is>
          <t>Pillowcase in Silk (title: Ice Cooling Pillowcase for Hot Sleepers, Instantly Cool, Sta); ours is Synthetic cooling knit (BreezeWeave cooling fabric, nylon-spandex like CooLoom (confirmed Oct 15, 2026)). Shopper may cross-shop, but not like-for-like.</t>
        </is>
      </c>
      <c r="H73" s="107" t="inlineStr">
        <is>
          <t>B0DJ933TY2</t>
        </is>
      </c>
      <c r="I73" s="107" t="inlineStr">
        <is>
          <t>B0DJ933TY2</t>
        </is>
      </c>
      <c r="J73" s="105" t="inlineStr">
        <is>
          <t>Standard</t>
        </is>
      </c>
      <c r="K73" s="105" t="inlineStr">
        <is>
          <t>Gray</t>
        </is>
      </c>
      <c r="L73" s="108" t="n">
        <v>1</v>
      </c>
      <c r="M73" s="39" t="inlineStr">
        <is>
          <t>B0DJ933TY2 (100%)</t>
        </is>
      </c>
      <c r="N73" s="109" t="n">
        <v>18.99</v>
      </c>
      <c r="O73" s="109" t="n"/>
      <c r="P73" s="110">
        <f>IF(AND(ISNUMBER(O73),ISNUMBER(N73),N(N73)&gt;0),O73/N73-1,"")</f>
        <v/>
      </c>
      <c r="Q73" s="111">
        <f>IF(P73="","No List Price",IF(P73&lt;=0,"At/below price",IF(P73&lt;=0.12,"&lt;=12% STR zone",IF(P73&lt;=0.25,"12-25%","&gt;25% over"))))</f>
        <v/>
      </c>
      <c r="R73" s="109" t="n">
        <v>16.99</v>
      </c>
      <c r="S73" s="112">
        <f>IF(AND(ISNUMBER(N73),ISNUMBER(R73),N(R73)&gt;0),N73/R73-1,"")</f>
        <v/>
      </c>
      <c r="T73" s="39" t="inlineStr">
        <is>
          <t>Same size (Standard). Ours: market data fee feed, Mar 2026 - STALE</t>
        </is>
      </c>
      <c r="U73" s="108" t="n">
        <v>519777</v>
      </c>
      <c r="V73" s="108" t="n">
        <v>5</v>
      </c>
      <c r="W73" s="113">
        <f>IF(AND(ISNUMBER(N73),ISNUMBER(V73)),N73*V73*52/12,"")</f>
        <v/>
      </c>
      <c r="X73" s="114" t="n">
        <v>4.6</v>
      </c>
      <c r="Y73" s="108" t="n">
        <v>219</v>
      </c>
      <c r="Z73" s="115" t="n">
        <v>46307</v>
      </c>
      <c r="AA73" s="115" t="n">
        <v>45565</v>
      </c>
      <c r="AB73" s="105" t="inlineStr">
        <is>
          <t>FBM</t>
        </is>
      </c>
      <c r="AC73" s="105" t="inlineStr">
        <is>
          <t>N/A</t>
        </is>
      </c>
      <c r="AD73" s="108" t="n">
        <v>8663</v>
      </c>
      <c r="AE73" s="108" t="n">
        <v>164</v>
      </c>
      <c r="AF73" s="116" t="n">
        <v>1</v>
      </c>
      <c r="AG73" s="116" t="n">
        <v>0</v>
      </c>
      <c r="AH73" s="39" t="inlineStr">
        <is>
          <t>cooling pillow cases</t>
        </is>
      </c>
      <c r="AI73" s="116" t="n"/>
      <c r="AJ73" s="116" t="n"/>
      <c r="AK73" s="116" t="n"/>
      <c r="AL73" s="116" t="n">
        <v>0.02297125707029897</v>
      </c>
      <c r="AM73" s="108" t="n">
        <v>29</v>
      </c>
      <c r="AN73" s="108" t="n">
        <v>4</v>
      </c>
      <c r="AO73" s="108" t="n">
        <v>23</v>
      </c>
      <c r="AP73" s="108" t="n">
        <v>135</v>
      </c>
      <c r="AQ73" s="108" t="n">
        <v>0</v>
      </c>
      <c r="AR73" s="108" t="n">
        <v>0</v>
      </c>
      <c r="AS73" s="117" t="n"/>
      <c r="AT73" s="112" t="n"/>
      <c r="AU73" s="118" t="inlineStr">
        <is>
          <t>N</t>
        </is>
      </c>
      <c r="AV73" s="118" t="inlineStr">
        <is>
          <t>none</t>
        </is>
      </c>
      <c r="AW73" s="124" t="n"/>
      <c r="AX73" s="124" t="n"/>
      <c r="AY73" s="118" t="inlineStr">
        <is>
          <t>none</t>
        </is>
      </c>
      <c r="AZ73" s="118" t="inlineStr">
        <is>
          <t>N</t>
        </is>
      </c>
      <c r="BA73" s="118" t="inlineStr">
        <is>
          <t>2026-10-13 23:39:10</t>
        </is>
      </c>
      <c r="BB73" s="120" t="inlineStr">
        <is>
          <t>Price cut only</t>
        </is>
      </c>
      <c r="BC73" s="120" t="inlineStr">
        <is>
          <t>11-20 to 12-01</t>
        </is>
      </c>
      <c r="BD73" s="121" t="n">
        <v>14.99</v>
      </c>
      <c r="BE73" s="121" t="n">
        <v>10.78</v>
      </c>
      <c r="BF73" s="110">
        <f>IF(AND(ISNUMBER(BD73),ISNUMBER(BE73),N(BD73)&gt;0),1-BE73/BD73,"")</f>
        <v/>
      </c>
      <c r="BG73" s="122" t="n">
        <v>10056</v>
      </c>
      <c r="BH73" s="122" t="n">
        <v>11370</v>
      </c>
      <c r="BI73" s="123">
        <f>IF(AND(ISNUMBER(BG73),ISNUMBER(BH73),N(BH73)&gt;0),BG73/BH73,"")</f>
        <v/>
      </c>
      <c r="BJ73" s="120" t="inlineStr">
        <is>
          <t>N</t>
        </is>
      </c>
      <c r="BK73" s="120" t="inlineStr">
        <is>
          <t>List Price $25.99</t>
        </is>
      </c>
    </row>
    <row r="74"/>
    <row r="75" ht="22" customHeight="1">
      <c r="A75" s="65" t="inlineStr">
        <is>
          <t>5 ▼</t>
        </is>
      </c>
      <c r="B75" s="66" t="inlineStr">
        <is>
          <t>WHAT THIS MEANS FOR BFCM</t>
        </is>
      </c>
      <c r="C75" s="67" t="n"/>
      <c r="D75" s="67" t="n"/>
      <c r="E75" s="67" t="n"/>
      <c r="F75" s="67" t="n"/>
      <c r="G75" s="67" t="n"/>
      <c r="H75" s="67" t="n"/>
      <c r="I75" s="67" t="n"/>
      <c r="J75" s="67" t="n"/>
      <c r="K75" s="67" t="n"/>
      <c r="L75" s="67" t="n"/>
      <c r="M75" s="67" t="n"/>
      <c r="N75" s="67" t="n"/>
      <c r="O75" s="67" t="n"/>
      <c r="P75" s="67" t="n"/>
      <c r="Q75" s="67" t="n"/>
      <c r="R75" s="67" t="n"/>
      <c r="S75" s="67" t="n"/>
      <c r="T75" s="67" t="n"/>
      <c r="U75" s="67" t="n"/>
      <c r="V75" s="67" t="n"/>
      <c r="W75" s="67" t="n"/>
      <c r="X75" s="67" t="n"/>
      <c r="Y75" s="67" t="n"/>
      <c r="Z75" s="67" t="n"/>
      <c r="AA75" s="67" t="n"/>
      <c r="AB75" s="67" t="n"/>
      <c r="AC75" s="67" t="n"/>
      <c r="AD75" s="67" t="n"/>
      <c r="AE75" s="67" t="n"/>
      <c r="AF75" s="67" t="n"/>
      <c r="AG75" s="67" t="n"/>
      <c r="AH75" s="67" t="n"/>
      <c r="AI75" s="67" t="n"/>
      <c r="AJ75" s="67" t="n"/>
      <c r="AK75" s="67" t="n"/>
      <c r="AL75" s="67" t="n"/>
      <c r="AM75" s="67" t="n"/>
      <c r="AN75" s="67" t="n"/>
      <c r="AO75" s="67" t="n"/>
      <c r="AP75" s="67" t="n"/>
      <c r="AQ75" s="67" t="n"/>
      <c r="AR75" s="67" t="n"/>
      <c r="AS75" s="67" t="n"/>
      <c r="AT75" s="67" t="n"/>
      <c r="AU75" s="67" t="n"/>
      <c r="AV75" s="67" t="n"/>
      <c r="AW75" s="67" t="n"/>
      <c r="AX75" s="67" t="n"/>
      <c r="AY75" s="67" t="n"/>
      <c r="AZ75" s="67" t="n"/>
      <c r="BA75" s="67" t="n"/>
      <c r="BB75" s="67" t="n"/>
      <c r="BC75" s="67" t="n"/>
      <c r="BD75" s="67" t="n"/>
      <c r="BE75" s="67" t="n"/>
      <c r="BF75" s="67" t="n"/>
      <c r="BG75" s="67" t="n"/>
      <c r="BH75" s="67" t="n"/>
      <c r="BI75" s="67" t="n"/>
      <c r="BJ75" s="67" t="n"/>
      <c r="BK75" s="67" t="n"/>
    </row>
    <row r="76" ht="30" customHeight="1">
      <c r="A76" s="129" t="inlineStr">
        <is>
          <t>• Who sells most: Serta ~1,040/wk at $19.02; WISHSMILE ~809/wk at $12.99; REST ~208/wk at $59.25 (List $79.00, +33%); Avolare ~173/wk at $17.52 (List $19.99, +14%); CHOSHOME ~104/wk at $14.60. Tracked rivals ~2,909 units/wk; we sell ~14/wk (0.5% of the tracked set).</t>
        </is>
      </c>
    </row>
    <row r="77" ht="18" customHeight="1">
      <c r="A77" s="129" t="inlineStr">
        <is>
          <t>• Strikethrough: 5 of 21 rivals set a List Price above price; 0 within 12%.</t>
        </is>
      </c>
    </row>
    <row r="78" ht="30" customHeight="1">
      <c r="A78" s="129" t="inlineStr">
        <is>
          <t>• Price: 16 of 21 rivals sit below our price today (same size where the title states one). Cheapest strong rivals: HOMFINE $9.99, WISHSMILE $12.99, CHOSHOME $14.60, Niagara Sleep Solution $14.60.</t>
        </is>
      </c>
    </row>
    <row r="79" ht="30" customHeight="1">
      <c r="A79" s="129" t="inlineStr">
        <is>
          <t>• Strikethrough on the page today (Oct 13 check): 5 of 20 checked rivals show one: Elegear List Price $18.75 vs $16.88 (+11%), Coop Home Goods Typical price $39.00 vs $33.15 (+18%) with deal, REST List Price $79.00 vs $59.25 (+33%), HOMFINE Typical price $12.99 vs $9.99 (+30%), Coop Home Goods List Price $30.00 vs $25.50 (+18%) with deal.</t>
        </is>
      </c>
    </row>
    <row r="80" ht="30" customHeight="1">
      <c r="A80" s="129" t="inlineStr">
        <is>
          <t>• Search: we lose most shared keywords to REST (we win 2, lose 40), Serta (we win 2, lose 38), Avolare (we win 3, lose 38). Biggest ad gaps (they advertise where we don't or harder): REST 1,942 + 2 KWs, Serta 699 + 2 KWs, Coop Home Goods 710 + 0 KWs.</t>
        </is>
      </c>
    </row>
    <row r="81" ht="30" customHeight="1">
      <c r="A81" s="129" t="inlineStr">
        <is>
          <t>• Brand ads: Serta (SB 0%, SBV 60%), Avolare (SB 69%, SBV 0%), Cozy Bliss (SB 0%, SBV 90%), Breescape (SB 68%, SBV 62%), Fittia (SB 58%, SBV 0%) hold Sponsored Brands / video on most of their traffic - the plan has our SB, SBV and display live by Nov 1.</t>
        </is>
      </c>
    </row>
    <row r="82" ht="18" customHeight="1">
      <c r="A82" s="129" t="inlineStr">
        <is>
          <t>• Our BFCM 2025: 0.77x.</t>
        </is>
      </c>
    </row>
    <row r="83" ht="30" customHeight="1">
      <c r="A83" s="129" t="inlineStr">
        <is>
          <t>• BFCM 2025, 19 rivals with price history history: Prime Exclusive Discount 10, None 6, Price cut only 2, Lightning Deal 1. Median depth vs their Nov 1-19 price 15%; median BSR lift 1.01x. 3 raised their Buy Box in BFCM week, so their deal looked deeper than it was.</t>
        </is>
      </c>
    </row>
    <row r="84" ht="18" customHeight="1">
      <c r="A84" s="129" t="inlineStr">
        <is>
          <t>• 1 rival not in the price history pulls yet (yellow BFCM 2025 columns) - remaining P2 batches,.</t>
        </is>
      </c>
    </row>
  </sheetData>
  <autoFilter ref="B52:BK73"/>
  <mergeCells count="65">
    <mergeCell ref="A77:BK77"/>
    <mergeCell ref="A82:BK82"/>
    <mergeCell ref="A37:C37"/>
    <mergeCell ref="L5:Q5"/>
    <mergeCell ref="A51:K51"/>
    <mergeCell ref="Q11:T11"/>
    <mergeCell ref="A45:BK45"/>
    <mergeCell ref="L8:Q8"/>
    <mergeCell ref="A79:BK79"/>
    <mergeCell ref="AD51:AT51"/>
    <mergeCell ref="L4:Q4"/>
    <mergeCell ref="D7:I7"/>
    <mergeCell ref="A13:D13"/>
    <mergeCell ref="I13:L13"/>
    <mergeCell ref="A78:BK78"/>
    <mergeCell ref="A33:C33"/>
    <mergeCell ref="A41:BK41"/>
    <mergeCell ref="D4:I4"/>
    <mergeCell ref="L10:Q10"/>
    <mergeCell ref="E12:H12"/>
    <mergeCell ref="Q13:T13"/>
    <mergeCell ref="A32:C32"/>
    <mergeCell ref="A46:BK46"/>
    <mergeCell ref="D9:I9"/>
    <mergeCell ref="A84:BK84"/>
    <mergeCell ref="U12:X12"/>
    <mergeCell ref="L9:Q9"/>
    <mergeCell ref="Q12:T12"/>
    <mergeCell ref="A80:BK80"/>
    <mergeCell ref="A11:D11"/>
    <mergeCell ref="A35:C35"/>
    <mergeCell ref="I11:L11"/>
    <mergeCell ref="A38:C38"/>
    <mergeCell ref="D8:I8"/>
    <mergeCell ref="L6:Q6"/>
    <mergeCell ref="A4:B9"/>
    <mergeCell ref="AU51:BA51"/>
    <mergeCell ref="AA51:AC51"/>
    <mergeCell ref="T6:Y6"/>
    <mergeCell ref="N51:Z51"/>
    <mergeCell ref="D5:I5"/>
    <mergeCell ref="A42:BK42"/>
    <mergeCell ref="A40:C40"/>
    <mergeCell ref="A76:BK76"/>
    <mergeCell ref="M11:P11"/>
    <mergeCell ref="U11:X11"/>
    <mergeCell ref="A34:C34"/>
    <mergeCell ref="A39:C39"/>
    <mergeCell ref="E13:H13"/>
    <mergeCell ref="D10:I10"/>
    <mergeCell ref="L7:Q7"/>
    <mergeCell ref="T5:Y5"/>
    <mergeCell ref="BB51:BK51"/>
    <mergeCell ref="A43:BK43"/>
    <mergeCell ref="A81:BK81"/>
    <mergeCell ref="A12:D12"/>
    <mergeCell ref="M13:P13"/>
    <mergeCell ref="I12:L12"/>
    <mergeCell ref="U13:X13"/>
    <mergeCell ref="M12:P12"/>
    <mergeCell ref="A44:BK44"/>
    <mergeCell ref="T4:Y4"/>
    <mergeCell ref="D6:I6"/>
    <mergeCell ref="E11:H11"/>
    <mergeCell ref="A83:BK83"/>
  </mergeCells>
  <conditionalFormatting sqref="Q53:Q73">
    <cfRule type="expression" priority="1" dxfId="1">
      <formula>Q53="&lt;=12% STR zone"</formula>
    </cfRule>
  </conditionalFormatting>
  <conditionalFormatting sqref="Z53:Z73">
    <cfRule type="expression" priority="2" dxfId="0">
      <formula>AND(ISNUMBER(Z53),Z53&lt;DATE(2026,10,6))</formula>
    </cfRule>
  </conditionalFormatting>
  <conditionalFormatting sqref="T53:T73">
    <cfRule type="expression" priority="3" dxfId="0">
      <formula>ISNUMBER(SEARCH("STALE",T53))</formula>
    </cfRule>
  </conditionalFormatting>
  <conditionalFormatting sqref="S53:S73">
    <cfRule type="expression" priority="4" dxfId="0">
      <formula>AND(ISNUMBER(S53),S53&lt;0)</formula>
    </cfRule>
  </conditionalFormatting>
  <dataValidations count="3">
    <dataValidation sqref="AU53:AU73 BJ53:BJ73" showDropDown="0" showInputMessage="0" showErrorMessage="0" allowBlank="1" type="list">
      <formula1>"Y,N"</formula1>
    </dataValidation>
    <dataValidation sqref="AV53:AV73" showDropDown="0" showInputMessage="0" showErrorMessage="0" allowBlank="1" type="list">
      <formula1>"List Price,Typical price,Was price,None"</formula1>
    </dataValidation>
    <dataValidation sqref="BB53:BB73"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Cooling Pillowcase'!A3" display="1 Our product ↓"/>
    <hyperlink ref="D2" location="'US SL Cooling Pillowcase'!A15" display="2 Our variations ↓"/>
    <hyperlink ref="E2" location="'US SL Cooling Pillowcase'!A31" display="3 Our BFCM 2025 ↓"/>
    <hyperlink ref="F2" location="'US SL Cooling Pillowcase'!A49" display="4 COMPETITORS (21 mapped) ↓"/>
    <hyperlink ref="G2" location="'US SL Cooling Pillowcase'!A75" display="5 What it means ↓"/>
    <hyperlink xmlns:r="http://schemas.openxmlformats.org/officeDocument/2006/relationships" ref="H53" r:id="rId1"/>
    <hyperlink xmlns:r="http://schemas.openxmlformats.org/officeDocument/2006/relationships" ref="I53" r:id="rId2"/>
    <hyperlink xmlns:r="http://schemas.openxmlformats.org/officeDocument/2006/relationships" ref="H54" r:id="rId3"/>
    <hyperlink xmlns:r="http://schemas.openxmlformats.org/officeDocument/2006/relationships" ref="I54" r:id="rId4"/>
    <hyperlink xmlns:r="http://schemas.openxmlformats.org/officeDocument/2006/relationships" ref="H55" r:id="rId5"/>
    <hyperlink xmlns:r="http://schemas.openxmlformats.org/officeDocument/2006/relationships" ref="I55" r:id="rId6"/>
    <hyperlink xmlns:r="http://schemas.openxmlformats.org/officeDocument/2006/relationships" ref="H56" r:id="rId7"/>
    <hyperlink xmlns:r="http://schemas.openxmlformats.org/officeDocument/2006/relationships" ref="I56" r:id="rId8"/>
    <hyperlink xmlns:r="http://schemas.openxmlformats.org/officeDocument/2006/relationships" ref="H57" r:id="rId9"/>
    <hyperlink xmlns:r="http://schemas.openxmlformats.org/officeDocument/2006/relationships" ref="I57" r:id="rId10"/>
    <hyperlink xmlns:r="http://schemas.openxmlformats.org/officeDocument/2006/relationships" ref="H58" r:id="rId11"/>
    <hyperlink xmlns:r="http://schemas.openxmlformats.org/officeDocument/2006/relationships" ref="I58" r:id="rId12"/>
    <hyperlink xmlns:r="http://schemas.openxmlformats.org/officeDocument/2006/relationships" ref="H59" r:id="rId13"/>
    <hyperlink xmlns:r="http://schemas.openxmlformats.org/officeDocument/2006/relationships" ref="I59" r:id="rId14"/>
    <hyperlink xmlns:r="http://schemas.openxmlformats.org/officeDocument/2006/relationships" ref="H60" r:id="rId15"/>
    <hyperlink xmlns:r="http://schemas.openxmlformats.org/officeDocument/2006/relationships" ref="I60" r:id="rId16"/>
    <hyperlink xmlns:r="http://schemas.openxmlformats.org/officeDocument/2006/relationships" ref="H61" r:id="rId17"/>
    <hyperlink xmlns:r="http://schemas.openxmlformats.org/officeDocument/2006/relationships" ref="I61" r:id="rId18"/>
    <hyperlink xmlns:r="http://schemas.openxmlformats.org/officeDocument/2006/relationships" ref="H62" r:id="rId19"/>
    <hyperlink xmlns:r="http://schemas.openxmlformats.org/officeDocument/2006/relationships" ref="I62" r:id="rId20"/>
    <hyperlink xmlns:r="http://schemas.openxmlformats.org/officeDocument/2006/relationships" ref="H63" r:id="rId21"/>
    <hyperlink xmlns:r="http://schemas.openxmlformats.org/officeDocument/2006/relationships" ref="I63" r:id="rId22"/>
    <hyperlink xmlns:r="http://schemas.openxmlformats.org/officeDocument/2006/relationships" ref="H64" r:id="rId23"/>
    <hyperlink xmlns:r="http://schemas.openxmlformats.org/officeDocument/2006/relationships" ref="I64" r:id="rId24"/>
    <hyperlink xmlns:r="http://schemas.openxmlformats.org/officeDocument/2006/relationships" ref="H65" r:id="rId25"/>
    <hyperlink xmlns:r="http://schemas.openxmlformats.org/officeDocument/2006/relationships" ref="I65" r:id="rId26"/>
    <hyperlink xmlns:r="http://schemas.openxmlformats.org/officeDocument/2006/relationships" ref="H66" r:id="rId27"/>
    <hyperlink xmlns:r="http://schemas.openxmlformats.org/officeDocument/2006/relationships" ref="I66" r:id="rId28"/>
    <hyperlink xmlns:r="http://schemas.openxmlformats.org/officeDocument/2006/relationships" ref="H67" r:id="rId29"/>
    <hyperlink xmlns:r="http://schemas.openxmlformats.org/officeDocument/2006/relationships" ref="I67" r:id="rId30"/>
    <hyperlink xmlns:r="http://schemas.openxmlformats.org/officeDocument/2006/relationships" ref="H68" r:id="rId31"/>
    <hyperlink xmlns:r="http://schemas.openxmlformats.org/officeDocument/2006/relationships" ref="I68" r:id="rId32"/>
    <hyperlink xmlns:r="http://schemas.openxmlformats.org/officeDocument/2006/relationships" ref="H69" r:id="rId33"/>
    <hyperlink xmlns:r="http://schemas.openxmlformats.org/officeDocument/2006/relationships" ref="I69" r:id="rId34"/>
    <hyperlink xmlns:r="http://schemas.openxmlformats.org/officeDocument/2006/relationships" ref="H70" r:id="rId35"/>
    <hyperlink xmlns:r="http://schemas.openxmlformats.org/officeDocument/2006/relationships" ref="I70" r:id="rId36"/>
    <hyperlink xmlns:r="http://schemas.openxmlformats.org/officeDocument/2006/relationships" ref="H71" r:id="rId37"/>
    <hyperlink xmlns:r="http://schemas.openxmlformats.org/officeDocument/2006/relationships" ref="I71" r:id="rId38"/>
    <hyperlink xmlns:r="http://schemas.openxmlformats.org/officeDocument/2006/relationships" ref="H72" r:id="rId39"/>
    <hyperlink xmlns:r="http://schemas.openxmlformats.org/officeDocument/2006/relationships" ref="I72" r:id="rId40"/>
    <hyperlink xmlns:r="http://schemas.openxmlformats.org/officeDocument/2006/relationships" ref="H73" r:id="rId41"/>
    <hyperlink xmlns:r="http://schemas.openxmlformats.org/officeDocument/2006/relationships" ref="I73" r:id="rId42"/>
  </hyperlink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9DC3E6"/>
    <outlinePr summaryBelow="1" summaryRight="1"/>
    <pageSetUpPr/>
  </sheetPr>
  <dimension ref="A1:BK92"/>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Cooling Comforter · Amazon.com (US) · Cooling · BFCM role: Off-season (lost $2.4K at BFCM 2025)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(18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_xlfn.IMAGE("https://images-na.ssl-images-amazon.com/images/I/81srgWQ0iXL.jpg")</f>
        <v/>
      </c>
      <c r="C4" s="13" t="inlineStr">
        <is>
          <t>Title</t>
        </is>
      </c>
      <c r="D4" s="14" t="inlineStr">
        <is>
          <t>SLEEPHORIA Cooling Comforter - BreezeWeave Cooling Blanket King Size for Hot Sleepers &amp; Deep Rest - Cloud Soft, Breathable, Ultra Durable, Easy Care, Reversible - 108 x 90 in (Light Grey &amp; Dark Grey)</t>
        </is>
      </c>
      <c r="K4" s="13" t="inlineStr">
        <is>
          <t>Sizes</t>
        </is>
      </c>
      <c r="L4" s="68" t="inlineStr">
        <is>
          <t>Full, King, Queen, Twin</t>
        </is>
      </c>
      <c r="S4" s="13" t="inlineStr">
        <is>
          <t>Break-even ACoS</t>
        </is>
      </c>
      <c r="T4" s="68" t="inlineStr">
        <is>
          <t>22%</t>
        </is>
      </c>
    </row>
    <row r="5" ht="22" customHeight="1">
      <c r="C5" s="13" t="inlineStr">
        <is>
          <t>Brand</t>
        </is>
      </c>
      <c r="D5" s="68" t="inlineStr">
        <is>
          <t>Sleephoria</t>
        </is>
      </c>
      <c r="K5" s="13" t="inlineStr">
        <is>
          <t>Colours</t>
        </is>
      </c>
      <c r="L5" s="68" t="inlineStr">
        <is>
          <t>Blue &amp; Dark Grey, Blue &amp; Light Grey, Light Grey &amp; Dark Grey, Mint Green &amp; Dark Grey, Pink &amp; Beige</t>
        </is>
      </c>
      <c r="S5" s="13" t="inlineStr">
        <is>
          <t>Units last 28 days</t>
        </is>
      </c>
      <c r="T5" s="68" t="inlineStr">
        <is>
          <t>78</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B0GHSH1BJK (one of our child ASINs, not the Amazon parent)</t>
        </is>
      </c>
    </row>
    <row r="7" ht="22" customHeight="1">
      <c r="C7" s="13" t="inlineStr">
        <is>
          <t>Parent ASIN (Amazon)</t>
        </is>
      </c>
      <c r="D7" s="68" t="inlineStr">
        <is>
          <t>B0FTG1NNKG</t>
        </is>
      </c>
      <c r="K7" s="13" t="inlineStr">
        <is>
          <t>Rating / reviews now</t>
        </is>
      </c>
      <c r="L7" s="68" t="inlineStr">
        <is>
          <t>Not checked yet</t>
        </is>
      </c>
    </row>
    <row r="8" ht="22" customHeight="1">
      <c r="C8" s="13" t="inlineStr">
        <is>
          <t>Best-selling child ASIN</t>
        </is>
      </c>
      <c r="D8" s="68" t="inlineStr">
        <is>
          <t>B0F7M4Q2HQ</t>
        </is>
      </c>
      <c r="K8" s="13" t="inlineStr">
        <is>
          <t>Live prices held</t>
        </is>
      </c>
      <c r="L8" s="68" t="inlineStr">
        <is>
          <t>14 of 20 variations</t>
        </is>
      </c>
    </row>
    <row r="9" ht="22" customHeight="1">
      <c r="C9" s="13" t="inlineStr">
        <is>
          <t>Stage</t>
        </is>
      </c>
      <c r="D9" s="68" t="inlineStr">
        <is>
          <t>Re-Launch</t>
        </is>
      </c>
      <c r="K9" s="13" t="inlineStr">
        <is>
          <t>Blended price (market data)</t>
        </is>
      </c>
      <c r="L9" s="68" t="inlineStr">
        <is>
          <t>$67.68 - fee feed as of 2026-03-30, STALE</t>
        </is>
      </c>
    </row>
    <row r="10">
      <c r="C10" s="13" t="inlineStr">
        <is>
          <t>Total variations (SKUs)</t>
        </is>
      </c>
      <c r="D10" s="68" t="n">
        <v>20</v>
      </c>
      <c r="K10" s="13" t="inlineStr">
        <is>
          <t>Contribution / unit</t>
        </is>
      </c>
      <c r="L10" s="68" t="inlineStr">
        <is>
          <t>$15.06</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3.39x</t>
        </is>
      </c>
      <c r="E12" s="70" t="inlineStr">
        <is>
          <t>12.3%</t>
        </is>
      </c>
      <c r="I12" s="70" t="inlineStr">
        <is>
          <t>4.21x</t>
        </is>
      </c>
      <c r="M12" s="70" t="inlineStr">
        <is>
          <t>18</t>
        </is>
      </c>
      <c r="Q12" s="70" t="inlineStr">
        <is>
          <t>16</t>
        </is>
      </c>
      <c r="U12" s="70" t="inlineStr">
        <is>
          <t>0</t>
        </is>
      </c>
    </row>
    <row r="13">
      <c r="A13" s="71" t="inlineStr">
        <is>
          <t>daily sales, BFCM wk vs 30 days before (account data actual)</t>
        </is>
      </c>
      <c r="E13" s="71" t="inlineStr">
        <is>
          <t>vs 27.0%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(20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_xlfn.IMAGE("https://m.media-amazon.com/images/I/813fNrG6DwL.jpg")</f>
        <v/>
      </c>
      <c r="B18" s="39" t="inlineStr">
        <is>
          <t>B0F7M4Q2HQ</t>
        </is>
      </c>
      <c r="C18" s="39" t="inlineStr">
        <is>
          <t>SL-CLG-COMF-LIGHT-GREY/DARK-GREY-KING</t>
        </is>
      </c>
      <c r="D18" s="39" t="inlineStr">
        <is>
          <t>SLEEPHORIA Cooling Comforter - BreezeWeave Cooling Blanket King Size for Hot Sleepers &amp; Deep Rest - Cloud Soft, Breathable, Ultra Durable, Easy Care, Reversible - 108 x 90 in (Light Grey &amp; Dark Grey)</t>
        </is>
      </c>
      <c r="E18" s="39" t="inlineStr">
        <is>
          <t>King</t>
        </is>
      </c>
      <c r="F18" s="39" t="inlineStr">
        <is>
          <t>Light Grey &amp; Dark Grey</t>
        </is>
      </c>
      <c r="G18" s="40" t="n"/>
      <c r="H18" s="39" t="n"/>
      <c r="I18" s="74" t="n">
        <v>69.98999999999999</v>
      </c>
      <c r="J18" s="75" t="inlineStr">
        <is>
          <t>2026-03-18</t>
        </is>
      </c>
      <c r="K18" s="40" t="n">
        <v>13.29</v>
      </c>
      <c r="L18" s="76" t="n">
        <v>0.1898842691813116</v>
      </c>
      <c r="M18" s="77" t="n">
        <v>34</v>
      </c>
      <c r="N18" s="39" t="inlineStr">
        <is>
          <t>Active</t>
        </is>
      </c>
      <c r="O18" s="39" t="inlineStr">
        <is>
          <t>Yes (55%)</t>
        </is>
      </c>
      <c r="P18" s="78" t="n"/>
      <c r="Q18" s="77" t="n"/>
      <c r="R18" s="77" t="n"/>
      <c r="S18" s="77" t="n"/>
      <c r="T18" s="39" t="n"/>
    </row>
    <row r="19" ht="62" customHeight="1">
      <c r="A19" s="12">
        <f>_xlfn.IMAGE("https://m.media-amazon.com/images/I/813fNrG6DwL.jpg")</f>
        <v/>
      </c>
      <c r="B19" s="39" t="inlineStr">
        <is>
          <t>B0F7M5T8FH</t>
        </is>
      </c>
      <c r="C19" s="39" t="inlineStr">
        <is>
          <t>SL-CLG-COMF-LIGHT-GREY/DARK-GREY-QUEEN</t>
        </is>
      </c>
      <c r="D19" s="39" t="inlineStr">
        <is>
          <t>SLEEPHORIA Cooling Comforter - BreezeWeave Cooling Blanket Queen Size for Hot Sleepers &amp; Deep Rest - Cloud Soft, Breathable, Ultra Durable, Easy Care, Reversible - 90 x 90 in (Light Grey &amp; Dark Grey)</t>
        </is>
      </c>
      <c r="E19" s="39" t="inlineStr">
        <is>
          <t>Queen</t>
        </is>
      </c>
      <c r="F19" s="39" t="inlineStr">
        <is>
          <t>Light Grey &amp; Dark Grey</t>
        </is>
      </c>
      <c r="G19" s="73" t="n">
        <v>69.98999999999999</v>
      </c>
      <c r="H19" s="39" t="inlineStr">
        <is>
          <t>catalog price, 2026-10-13</t>
        </is>
      </c>
      <c r="I19" s="74" t="n">
        <v>74.98999999999999</v>
      </c>
      <c r="J19" s="75" t="inlineStr">
        <is>
          <t>2026-03-30</t>
        </is>
      </c>
      <c r="K19" s="40" t="n">
        <v>24.44999999999999</v>
      </c>
      <c r="L19" s="76" t="n">
        <v>0.326043472462995</v>
      </c>
      <c r="M19" s="77" t="n">
        <v>12</v>
      </c>
      <c r="N19" s="39" t="inlineStr">
        <is>
          <t>Active</t>
        </is>
      </c>
      <c r="O19" s="39" t="inlineStr">
        <is>
          <t>Yes (23%)</t>
        </is>
      </c>
      <c r="P19" s="78" t="n">
        <v>4.5</v>
      </c>
      <c r="Q19" s="77" t="n">
        <v>661</v>
      </c>
      <c r="R19" s="77" t="n">
        <v>372957</v>
      </c>
      <c r="S19" s="77" t="n">
        <v>0.9996</v>
      </c>
      <c r="T19" s="39" t="n"/>
    </row>
    <row r="20" ht="62" customHeight="1">
      <c r="A20" s="12">
        <f>_xlfn.IMAGE("https://m.media-amazon.com/images/I/813fNrG6DwL.jpg")</f>
        <v/>
      </c>
      <c r="B20" s="39" t="inlineStr">
        <is>
          <t>B0GHSG5G12</t>
        </is>
      </c>
      <c r="C20" s="39" t="inlineStr">
        <is>
          <t>SL-CLG-COMF-LIGHT-GREY/DARK-GREY-FULL</t>
        </is>
      </c>
      <c r="D20" s="39" t="inlineStr">
        <is>
          <t>SLEEPHORIA Cooling Comforter - BreezeWeave Cooling Blanket Full Size for Hot Sleepers &amp; Deep Rest - Cloud Soft, Breathable, Ultra Durable, Easy Care, Reversible - 86 x 82 in (Light Grey &amp; Dark Grey)</t>
        </is>
      </c>
      <c r="E20" s="39" t="inlineStr">
        <is>
          <t>Full</t>
        </is>
      </c>
      <c r="F20" s="39" t="inlineStr">
        <is>
          <t>Light Grey &amp; Dark Grey</t>
        </is>
      </c>
      <c r="G20" s="73" t="n">
        <v>64.98999999999999</v>
      </c>
      <c r="H20" s="39" t="inlineStr">
        <is>
          <t>catalog price, 2026-10-13</t>
        </is>
      </c>
      <c r="I20" s="40" t="n"/>
      <c r="J20" s="39" t="n"/>
      <c r="K20" s="40" t="n"/>
      <c r="L20" s="76" t="n"/>
      <c r="M20" s="77" t="n">
        <v>5</v>
      </c>
      <c r="N20" s="39" t="inlineStr">
        <is>
          <t>Active</t>
        </is>
      </c>
      <c r="O20" s="39" t="inlineStr">
        <is>
          <t>Yes (6%)</t>
        </is>
      </c>
      <c r="P20" s="78" t="n">
        <v>4.5</v>
      </c>
      <c r="Q20" s="77" t="n">
        <v>661</v>
      </c>
      <c r="R20" s="77" t="n">
        <v>372957</v>
      </c>
      <c r="S20" s="77" t="n">
        <v>4</v>
      </c>
      <c r="T20" s="39" t="n"/>
    </row>
    <row r="21" ht="62" customHeight="1">
      <c r="A21" s="12">
        <f>_xlfn.IMAGE("https://m.media-amazon.com/images/I/81d0MVyOz-L.jpg")</f>
        <v/>
      </c>
      <c r="B21" s="39" t="inlineStr">
        <is>
          <t>B0F7M56896</t>
        </is>
      </c>
      <c r="C21" s="39" t="inlineStr">
        <is>
          <t>SL-CLG-COMF-BLUE/DARK-GREY-QUEEN</t>
        </is>
      </c>
      <c r="D21" s="39" t="inlineStr">
        <is>
          <t>SLEEPHORIA Cooling Comforter - BreezeWeave Cooling Blanket Queen Size for Hot Sleepers &amp; Deep Rest - Cloud Soft, Breathable, Ultra Durable, Easy Care, Reversible - 90 x 90 in (Blue &amp; Dark Grey)</t>
        </is>
      </c>
      <c r="E21" s="39" t="inlineStr">
        <is>
          <t>Queen</t>
        </is>
      </c>
      <c r="F21" s="39" t="inlineStr">
        <is>
          <t>Blue &amp; Dark Grey</t>
        </is>
      </c>
      <c r="G21" s="73" t="n">
        <v>69.98999999999999</v>
      </c>
      <c r="H21" s="39" t="inlineStr">
        <is>
          <t>catalog price, 2026-10-13</t>
        </is>
      </c>
      <c r="I21" s="74" t="n">
        <v>59.99</v>
      </c>
      <c r="J21" s="75" t="inlineStr">
        <is>
          <t>2026-03-12</t>
        </is>
      </c>
      <c r="K21" s="40" t="n">
        <v>11.71</v>
      </c>
      <c r="L21" s="76" t="n">
        <v>0.1951991998666445</v>
      </c>
      <c r="M21" s="77" t="n">
        <v>5</v>
      </c>
      <c r="N21" s="39" t="inlineStr">
        <is>
          <t>Active</t>
        </is>
      </c>
      <c r="O21" s="39" t="n"/>
      <c r="P21" s="78" t="n">
        <v>4.5</v>
      </c>
      <c r="Q21" s="77" t="n">
        <v>661</v>
      </c>
      <c r="R21" s="77" t="n">
        <v>372944</v>
      </c>
      <c r="S21" s="77" t="n">
        <v>1</v>
      </c>
      <c r="T21" s="39" t="n"/>
    </row>
    <row r="22" ht="62" customHeight="1">
      <c r="A22" s="12">
        <f>_xlfn.IMAGE("https://m.media-amazon.com/images/I/81OsrLXSJgL.jpg")</f>
        <v/>
      </c>
      <c r="B22" s="39" t="inlineStr">
        <is>
          <t>B0F7M5KWRR</t>
        </is>
      </c>
      <c r="C22" s="39" t="inlineStr">
        <is>
          <t>SL-CLG-COMF-PINK/BEIGE-QUEEN</t>
        </is>
      </c>
      <c r="D22" s="39" t="inlineStr">
        <is>
          <t>SLEEPHORIA Cooling Comforter - BreezeWeave Cooling Blanket Queen Size for Hot Sleepers &amp; Deep Rest - Cloud Soft, Breathable, Ultra Durable, Easy Care, Reversible - 90 x 90 in (Pink &amp; Beige)</t>
        </is>
      </c>
      <c r="E22" s="39" t="inlineStr">
        <is>
          <t>Queen</t>
        </is>
      </c>
      <c r="F22" s="39" t="inlineStr">
        <is>
          <t>Pink &amp; Beige</t>
        </is>
      </c>
      <c r="G22" s="73" t="n">
        <v>69.98999999999999</v>
      </c>
      <c r="H22" s="39" t="inlineStr">
        <is>
          <t>catalog price, 2026-10-13</t>
        </is>
      </c>
      <c r="I22" s="74" t="n">
        <v>59.99</v>
      </c>
      <c r="J22" s="75" t="inlineStr">
        <is>
          <t>2026-03-30</t>
        </is>
      </c>
      <c r="K22" s="40" t="n">
        <v>11.7</v>
      </c>
      <c r="L22" s="76" t="n">
        <v>0.1950325054175696</v>
      </c>
      <c r="M22" s="77" t="n">
        <v>5</v>
      </c>
      <c r="N22" s="39" t="inlineStr">
        <is>
          <t>Active</t>
        </is>
      </c>
      <c r="O22" s="39" t="n"/>
      <c r="P22" s="78" t="n">
        <v>4.5</v>
      </c>
      <c r="Q22" s="77" t="n">
        <v>661</v>
      </c>
      <c r="R22" s="77" t="n">
        <v>372944</v>
      </c>
      <c r="S22" s="77" t="n">
        <v>1</v>
      </c>
      <c r="T22" s="39" t="n"/>
    </row>
    <row r="23" ht="62" customHeight="1">
      <c r="A23" s="12">
        <f>_xlfn.IMAGE("https://m.media-amazon.com/images/I/81l2CcE6y7L.jpg")</f>
        <v/>
      </c>
      <c r="B23" s="39" t="inlineStr">
        <is>
          <t>B0GHSLKMHJ</t>
        </is>
      </c>
      <c r="C23" s="39" t="inlineStr">
        <is>
          <t>SL-CLG-COMF-BLUE/LIGHT-GREY-FULL</t>
        </is>
      </c>
      <c r="D23" s="39" t="inlineStr">
        <is>
          <t>SLEEPHORIA Cooling Comforter - BreezeWeave Cooling Blanket Full Size for Hot Sleepers &amp; Deep Rest - Cloud Soft, Breathable, Ultra Durable, Easy Care, Reversible - 86 x 82 in (Blue &amp; Light Grey)</t>
        </is>
      </c>
      <c r="E23" s="39" t="inlineStr">
        <is>
          <t>Full</t>
        </is>
      </c>
      <c r="F23" s="39" t="inlineStr">
        <is>
          <t>Blue &amp; Light Grey</t>
        </is>
      </c>
      <c r="G23" s="73" t="n">
        <v>64.98999999999999</v>
      </c>
      <c r="H23" s="39" t="inlineStr">
        <is>
          <t>catalog price, 2026-10-13</t>
        </is>
      </c>
      <c r="I23" s="40" t="n"/>
      <c r="J23" s="39" t="n"/>
      <c r="K23" s="40" t="n"/>
      <c r="L23" s="76" t="n"/>
      <c r="M23" s="77" t="n">
        <v>4</v>
      </c>
      <c r="N23" s="39" t="inlineStr">
        <is>
          <t>Active</t>
        </is>
      </c>
      <c r="O23" s="39" t="n"/>
      <c r="P23" s="78" t="n">
        <v>4.5</v>
      </c>
      <c r="Q23" s="77" t="n">
        <v>661</v>
      </c>
      <c r="R23" s="77" t="n">
        <v>372944</v>
      </c>
      <c r="S23" s="77" t="n">
        <v>4</v>
      </c>
      <c r="T23" s="39" t="n"/>
    </row>
    <row r="24" ht="62" customHeight="1">
      <c r="A24" s="12">
        <f>_xlfn.IMAGE("https://m.media-amazon.com/images/I/81fhXz9G1-L.jpg")</f>
        <v/>
      </c>
      <c r="B24" s="39" t="inlineStr">
        <is>
          <t>B0GHSTYXM8</t>
        </is>
      </c>
      <c r="C24" s="39" t="inlineStr">
        <is>
          <t>SL-CLG-COMF-MINT-GREEN/DARK-GREY-FULL</t>
        </is>
      </c>
      <c r="D24" s="39" t="inlineStr">
        <is>
          <t>SLEEPHORIA Cooling Comforter - BreezeWeave Cooling Blanket Full Size for Hot Sleepers &amp; Deep Rest - Cloud Soft, Breathable, Ultra Durable, Easy Care, Reversible - 86 x 82 in (Mint Green &amp; Dark Grey)</t>
        </is>
      </c>
      <c r="E24" s="39" t="inlineStr">
        <is>
          <t>Full</t>
        </is>
      </c>
      <c r="F24" s="39" t="inlineStr">
        <is>
          <t>Mint Green &amp; Dark Grey</t>
        </is>
      </c>
      <c r="G24" s="73" t="n">
        <v>64.98999999999999</v>
      </c>
      <c r="H24" s="39" t="inlineStr">
        <is>
          <t>catalog price, 2026-10-13</t>
        </is>
      </c>
      <c r="I24" s="40" t="n"/>
      <c r="J24" s="39" t="n"/>
      <c r="K24" s="40" t="n"/>
      <c r="L24" s="76" t="n"/>
      <c r="M24" s="77" t="n">
        <v>2</v>
      </c>
      <c r="N24" s="39" t="inlineStr">
        <is>
          <t>Active</t>
        </is>
      </c>
      <c r="O24" s="39" t="n"/>
      <c r="P24" s="78" t="n">
        <v>4.5</v>
      </c>
      <c r="Q24" s="77" t="n">
        <v>661</v>
      </c>
      <c r="R24" s="77" t="n">
        <v>372944</v>
      </c>
      <c r="S24" s="77" t="n">
        <v>4</v>
      </c>
      <c r="T24" s="39" t="n"/>
    </row>
    <row r="25" ht="62" customHeight="1">
      <c r="A25" s="12">
        <f>_xlfn.IMAGE("https://m.media-amazon.com/images/I/81OsrLXSJgL.jpg")</f>
        <v/>
      </c>
      <c r="B25" s="39" t="inlineStr">
        <is>
          <t>B0GHSDK4V9</t>
        </is>
      </c>
      <c r="C25" s="39" t="inlineStr">
        <is>
          <t>SL-CLG-COMF-PINK/BEIGE-FULL</t>
        </is>
      </c>
      <c r="D25" s="39" t="inlineStr">
        <is>
          <t>SLEEPHORIA Cooling Comforter - BreezeWeave Cooling Blanket Full Size for Hot Sleepers &amp; Deep Rest - Cloud Soft, Breathable, Ultra Durable, Easy Care, Reversible - 86 x 82 in (Pink &amp; Beige)</t>
        </is>
      </c>
      <c r="E25" s="39" t="inlineStr">
        <is>
          <t>Full</t>
        </is>
      </c>
      <c r="F25" s="39" t="inlineStr">
        <is>
          <t>Pink &amp; Beige</t>
        </is>
      </c>
      <c r="G25" s="73" t="n">
        <v>64.98999999999999</v>
      </c>
      <c r="H25" s="39" t="inlineStr">
        <is>
          <t>catalog price, 2026-10-13</t>
        </is>
      </c>
      <c r="I25" s="40" t="n"/>
      <c r="J25" s="39" t="n"/>
      <c r="K25" s="40" t="n"/>
      <c r="L25" s="76" t="n"/>
      <c r="M25" s="77" t="n">
        <v>2</v>
      </c>
      <c r="N25" s="39" t="inlineStr">
        <is>
          <t>Active</t>
        </is>
      </c>
      <c r="O25" s="39" t="n"/>
      <c r="P25" s="78" t="n">
        <v>4.5</v>
      </c>
      <c r="Q25" s="77" t="n">
        <v>661</v>
      </c>
      <c r="R25" s="77" t="n">
        <v>372944</v>
      </c>
      <c r="S25" s="77" t="n">
        <v>4</v>
      </c>
      <c r="T25" s="39" t="n"/>
    </row>
    <row r="26" ht="62" customHeight="1">
      <c r="A26" s="12">
        <f>_xlfn.IMAGE("https://m.media-amazon.com/images/I/81fhXz9G1-L.jpg")</f>
        <v/>
      </c>
      <c r="B26" s="39" t="inlineStr">
        <is>
          <t>B0F7M61RFP</t>
        </is>
      </c>
      <c r="C26" s="39" t="inlineStr">
        <is>
          <t>SL-CLG-COMF-MINT-GREEN/DARK-GREY-QUEEN</t>
        </is>
      </c>
      <c r="D26" s="39" t="inlineStr">
        <is>
          <t>SLEEPHORIA Cooling Comforter - BreezeWeave Cooling Blanket Queen Size for Hot Sleepers &amp; Deep Rest - Cloud Soft, Breathable, Ultra Durable, Easy Care, Reversible - 90 x 90 in (Mint Green &amp; Dark Grey)</t>
        </is>
      </c>
      <c r="E26" s="39" t="inlineStr">
        <is>
          <t>Queen</t>
        </is>
      </c>
      <c r="F26" s="39" t="inlineStr">
        <is>
          <t>Mint Green &amp; Dark Grey</t>
        </is>
      </c>
      <c r="G26" s="40" t="n"/>
      <c r="H26" s="39" t="n"/>
      <c r="I26" s="74" t="n">
        <v>59.99</v>
      </c>
      <c r="J26" s="75" t="inlineStr">
        <is>
          <t>2026-03-12</t>
        </is>
      </c>
      <c r="K26" s="40" t="n">
        <v>11.69</v>
      </c>
      <c r="L26" s="76" t="n">
        <v>0.1948658109684948</v>
      </c>
      <c r="M26" s="77" t="n">
        <v>2</v>
      </c>
      <c r="N26" s="39" t="inlineStr">
        <is>
          <t>Inactive</t>
        </is>
      </c>
      <c r="O26" s="39" t="n"/>
      <c r="P26" s="78" t="n"/>
      <c r="Q26" s="77" t="n"/>
      <c r="R26" s="77" t="n"/>
      <c r="S26" s="77" t="n"/>
      <c r="T26" s="39" t="n"/>
    </row>
    <row r="27" ht="62" customHeight="1">
      <c r="A27" s="12">
        <f>_xlfn.IMAGE("https://m.media-amazon.com/images/I/813fNrG6DwL.jpg")</f>
        <v/>
      </c>
      <c r="B27" s="39" t="inlineStr">
        <is>
          <t>B0F7M4N52F</t>
        </is>
      </c>
      <c r="C27" s="39" t="inlineStr">
        <is>
          <t>SL-CLG-COMF-LIGHT-GREY/DARK-GREY-TWIN</t>
        </is>
      </c>
      <c r="D27" s="39" t="inlineStr">
        <is>
          <t>SLEEPHORIA Cooling Comforter - BreezeWeave Cooling Blanket Twin Size for Hot Sleepers &amp; Deep Rest - Cloud Soft, Breathable, Ultra Durable, Easy Care, Reversible - 68 x 90 in (Light Grey &amp; Dark Grey)</t>
        </is>
      </c>
      <c r="E27" s="39" t="inlineStr">
        <is>
          <t>Twin</t>
        </is>
      </c>
      <c r="F27" s="39" t="inlineStr">
        <is>
          <t>Light Grey &amp; Dark Grey</t>
        </is>
      </c>
      <c r="G27" s="73" t="n">
        <v>64.98999999999999</v>
      </c>
      <c r="H27" s="39" t="inlineStr">
        <is>
          <t>catalog price, 2026-10-13</t>
        </is>
      </c>
      <c r="I27" s="74" t="n">
        <v>54.99</v>
      </c>
      <c r="J27" s="75" t="inlineStr">
        <is>
          <t>2026-03-30</t>
        </is>
      </c>
      <c r="K27" s="40" t="n">
        <v>13.25</v>
      </c>
      <c r="L27" s="76" t="n">
        <v>0.2409529005273686</v>
      </c>
      <c r="M27" s="77" t="n">
        <v>2</v>
      </c>
      <c r="N27" s="39" t="inlineStr">
        <is>
          <t>Active</t>
        </is>
      </c>
      <c r="O27" s="39" t="n"/>
      <c r="P27" s="78" t="n">
        <v>4.5</v>
      </c>
      <c r="Q27" s="77" t="n">
        <v>661</v>
      </c>
      <c r="R27" s="77" t="n">
        <v>372944</v>
      </c>
      <c r="S27" s="77" t="n">
        <v>4</v>
      </c>
      <c r="T27" s="39" t="n"/>
    </row>
    <row r="28" ht="62" customHeight="1">
      <c r="A28" s="12">
        <f>_xlfn.IMAGE("https://m.media-amazon.com/images/I/81OsrLXSJgL.jpg")</f>
        <v/>
      </c>
      <c r="B28" s="39" t="inlineStr">
        <is>
          <t>B0F7M32FVR</t>
        </is>
      </c>
      <c r="C28" s="39" t="inlineStr">
        <is>
          <t>SL-CLG-COMF-PINK/BEIGE-TWIN</t>
        </is>
      </c>
      <c r="D28" s="39" t="inlineStr">
        <is>
          <t>SLEEPHORIA Cooling Comforter - BreezeWeave Cooling Blanket Twin Size for Hot Sleepers &amp; Deep Rest - Cloud Soft, Breathable, Ultra Durable, Easy Care, Reversible - 68 x 90 in (Pink &amp; Beige)</t>
        </is>
      </c>
      <c r="E28" s="39" t="inlineStr">
        <is>
          <t>Twin</t>
        </is>
      </c>
      <c r="F28" s="39" t="inlineStr">
        <is>
          <t>Pink &amp; Beige</t>
        </is>
      </c>
      <c r="G28" s="73" t="n">
        <v>64.98999999999999</v>
      </c>
      <c r="H28" s="39" t="inlineStr">
        <is>
          <t>catalog price, 2026-10-13</t>
        </is>
      </c>
      <c r="I28" s="74" t="n">
        <v>54.99</v>
      </c>
      <c r="J28" s="75" t="inlineStr">
        <is>
          <t>2026-03-30</t>
        </is>
      </c>
      <c r="K28" s="40" t="n">
        <v>13.19</v>
      </c>
      <c r="L28" s="76" t="n">
        <v>0.2398617930532825</v>
      </c>
      <c r="M28" s="77" t="n">
        <v>2</v>
      </c>
      <c r="N28" s="39" t="inlineStr">
        <is>
          <t>Active</t>
        </is>
      </c>
      <c r="O28" s="39" t="n"/>
      <c r="P28" s="78" t="n">
        <v>4.5</v>
      </c>
      <c r="Q28" s="77" t="n">
        <v>661</v>
      </c>
      <c r="R28" s="77" t="n">
        <v>372944</v>
      </c>
      <c r="S28" s="77" t="n">
        <v>4</v>
      </c>
      <c r="T28" s="39" t="n"/>
    </row>
    <row r="29" ht="62" customHeight="1">
      <c r="A29" s="12">
        <f>_xlfn.IMAGE("https://m.media-amazon.com/images/I/81OsrLXSJgL.jpg")</f>
        <v/>
      </c>
      <c r="B29" s="39" t="inlineStr">
        <is>
          <t>B0F7M5L5Q9</t>
        </is>
      </c>
      <c r="C29" s="39" t="inlineStr">
        <is>
          <t>SL-CLG-COMF-PINK/BEIGE-KING</t>
        </is>
      </c>
      <c r="D29" s="39" t="inlineStr">
        <is>
          <t>SLEEPHORIA Cooling Comforter - BreezeWeave Cooling Blanket King Size for Hot Sleepers &amp; Deep Rest - Cloud Soft, Breathable, Ultra Durable, Easy Care, Reversible - 108 x 90 in (Pink &amp; Beige)</t>
        </is>
      </c>
      <c r="E29" s="39" t="inlineStr">
        <is>
          <t>King</t>
        </is>
      </c>
      <c r="F29" s="39" t="inlineStr">
        <is>
          <t>Pink &amp; Beige</t>
        </is>
      </c>
      <c r="G29" s="73" t="n">
        <v>79.98999999999999</v>
      </c>
      <c r="H29" s="39" t="inlineStr">
        <is>
          <t>catalog price, 2026-10-13</t>
        </is>
      </c>
      <c r="I29" s="74" t="n">
        <v>69.98999999999999</v>
      </c>
      <c r="J29" s="75" t="inlineStr">
        <is>
          <t>2026-03-30</t>
        </is>
      </c>
      <c r="K29" s="40" t="n">
        <v>13.91</v>
      </c>
      <c r="L29" s="76" t="n">
        <v>0.1987426775253607</v>
      </c>
      <c r="M29" s="77" t="n">
        <v>1</v>
      </c>
      <c r="N29" s="39" t="inlineStr">
        <is>
          <t>Active</t>
        </is>
      </c>
      <c r="O29" s="39" t="n"/>
      <c r="P29" s="78" t="n">
        <v>4.5</v>
      </c>
      <c r="Q29" s="77" t="n">
        <v>661</v>
      </c>
      <c r="R29" s="77" t="n">
        <v>372944</v>
      </c>
      <c r="S29" s="77" t="n">
        <v>0.6781</v>
      </c>
      <c r="T29" s="39" t="n"/>
    </row>
    <row r="30" ht="62" customHeight="1">
      <c r="A30" s="12">
        <f>_xlfn.IMAGE("https://m.media-amazon.com/images/I/81d0MVyOz-L.jpg")</f>
        <v/>
      </c>
      <c r="B30" s="39" t="inlineStr">
        <is>
          <t>B0F7M4CNFT</t>
        </is>
      </c>
      <c r="C30" s="39" t="inlineStr">
        <is>
          <t>SL-CLG-COMF-BLUE/DARK-GREY-TWIN</t>
        </is>
      </c>
      <c r="D30" s="39" t="inlineStr">
        <is>
          <t>SLEEPHORIA Cooling Comforter - BreezeWeave Cooling Blanket Twin Size for Hot Sleepers &amp; Deep Rest - Cloud Soft, Breathable, Ultra Durable, Easy Care, Reversible - 68 x 90 in (Blue &amp; Dark Grey)</t>
        </is>
      </c>
      <c r="E30" s="39" t="inlineStr">
        <is>
          <t>Twin</t>
        </is>
      </c>
      <c r="F30" s="39" t="inlineStr">
        <is>
          <t>Blue &amp; Dark Grey</t>
        </is>
      </c>
      <c r="G30" s="73" t="n">
        <v>64.98999999999999</v>
      </c>
      <c r="H30" s="39" t="inlineStr">
        <is>
          <t>catalog price, 2026-10-13</t>
        </is>
      </c>
      <c r="I30" s="74" t="n">
        <v>54.99</v>
      </c>
      <c r="J30" s="75" t="inlineStr">
        <is>
          <t>2026-03-30</t>
        </is>
      </c>
      <c r="K30" s="40" t="n">
        <v>13.25</v>
      </c>
      <c r="L30" s="76" t="n">
        <v>0.2409529005273686</v>
      </c>
      <c r="M30" s="77" t="n">
        <v>1</v>
      </c>
      <c r="N30" s="39" t="inlineStr">
        <is>
          <t>Active</t>
        </is>
      </c>
      <c r="O30" s="39" t="n"/>
      <c r="P30" s="78" t="n">
        <v>4.5</v>
      </c>
      <c r="Q30" s="77" t="n">
        <v>661</v>
      </c>
      <c r="R30" s="77" t="n">
        <v>372944</v>
      </c>
      <c r="S30" s="77" t="n">
        <v>4</v>
      </c>
      <c r="T30" s="39" t="n"/>
    </row>
    <row r="31" ht="62" customHeight="1">
      <c r="A31" s="12">
        <f>_xlfn.IMAGE("https://m.media-amazon.com/images/I/81fhXz9G1-L.jpg")</f>
        <v/>
      </c>
      <c r="B31" s="39" t="inlineStr">
        <is>
          <t>B0F7M7C4ZC</t>
        </is>
      </c>
      <c r="C31" s="39" t="inlineStr">
        <is>
          <t>SL-CLG-COMF-MINT-GREEN/DARK-GREY-TWIN</t>
        </is>
      </c>
      <c r="D31" s="39" t="inlineStr">
        <is>
          <t>SLEEPHORIA Cooling Comforter - BreezeWeave Cooling Blanket Twin Size for Hot Sleepers &amp; Deep Rest - Cloud Soft, Breathable, Ultra Durable, Easy Care, Reversible - 68 x 90 in (Mint Green &amp; Dark Grey)</t>
        </is>
      </c>
      <c r="E31" s="39" t="inlineStr">
        <is>
          <t>Twin</t>
        </is>
      </c>
      <c r="F31" s="39" t="inlineStr">
        <is>
          <t>Mint Green &amp; Dark Grey</t>
        </is>
      </c>
      <c r="G31" s="73" t="n">
        <v>64.98999999999999</v>
      </c>
      <c r="H31" s="39" t="inlineStr">
        <is>
          <t>catalog price, 2026-10-13</t>
        </is>
      </c>
      <c r="I31" s="74" t="n">
        <v>54.99</v>
      </c>
      <c r="J31" s="75" t="inlineStr">
        <is>
          <t>2026-03-30</t>
        </is>
      </c>
      <c r="K31" s="40" t="n">
        <v>13.16</v>
      </c>
      <c r="L31" s="76" t="n">
        <v>0.2393162393162394</v>
      </c>
      <c r="M31" s="77" t="n">
        <v>1</v>
      </c>
      <c r="N31" s="39" t="inlineStr">
        <is>
          <t>Active</t>
        </is>
      </c>
      <c r="O31" s="39" t="n"/>
      <c r="P31" s="78" t="n">
        <v>4.5</v>
      </c>
      <c r="Q31" s="77" t="n">
        <v>661</v>
      </c>
      <c r="R31" s="77" t="n">
        <v>372944</v>
      </c>
      <c r="S31" s="77" t="n">
        <v>4</v>
      </c>
      <c r="T31" s="39" t="n"/>
    </row>
    <row r="32" ht="62" customHeight="1">
      <c r="A32" s="12">
        <f>_xlfn.IMAGE("https://m.media-amazon.com/images/I/81d0MVyOz-L.jpg")</f>
        <v/>
      </c>
      <c r="B32" s="39" t="inlineStr">
        <is>
          <t>B0GHSH1BJK</t>
        </is>
      </c>
      <c r="C32" s="39" t="inlineStr">
        <is>
          <t>SL-CLG-COMF-BLUE/DARK-GREY-FULL</t>
        </is>
      </c>
      <c r="D32" s="39" t="inlineStr">
        <is>
          <t>SLEEPHORIA Cooling Comforter - BreezeWeave Cooling Blanket Full Size for Hot Sleepers &amp; Deep Rest - Cloud Soft, Breathable, Ultra Durable, Easy Care, Reversible - 86 x 82 in (Blue &amp; Dark Grey)</t>
        </is>
      </c>
      <c r="E32" s="39" t="inlineStr">
        <is>
          <t>Full</t>
        </is>
      </c>
      <c r="F32" s="39" t="inlineStr">
        <is>
          <t>Blue &amp; Dark Grey</t>
        </is>
      </c>
      <c r="G32" s="40" t="n"/>
      <c r="H32" s="39" t="n"/>
      <c r="I32" s="40" t="n"/>
      <c r="J32" s="39" t="n"/>
      <c r="K32" s="40" t="n"/>
      <c r="L32" s="76" t="n"/>
      <c r="M32" s="77" t="n"/>
      <c r="N32" s="39" t="inlineStr">
        <is>
          <t>Inactive</t>
        </is>
      </c>
      <c r="O32" s="39" t="n"/>
      <c r="P32" s="78" t="n"/>
      <c r="Q32" s="77" t="n"/>
      <c r="R32" s="77" t="n"/>
      <c r="S32" s="77" t="n"/>
      <c r="T32" s="39" t="n"/>
    </row>
    <row r="33" ht="62" customHeight="1">
      <c r="A33" s="12">
        <f>_xlfn.IMAGE("https://m.media-amazon.com/images/I/81d0MVyOz-L.jpg")</f>
        <v/>
      </c>
      <c r="B33" s="39" t="inlineStr">
        <is>
          <t>B0F7M3JPFY</t>
        </is>
      </c>
      <c r="C33" s="39" t="inlineStr">
        <is>
          <t>SL-CLG-COMF-BLUE/DARK-GREY-KING</t>
        </is>
      </c>
      <c r="D33" s="39" t="inlineStr">
        <is>
          <t>SLEEPHORIA Cooling Comforter - BreezeWeave Cooling Blanket King Size for Hot Sleepers &amp; Deep Rest - Cloud Soft, Breathable, Ultra Durable, Easy Care, Reversible - 108 x 90 in (Blue &amp; Dark Grey)</t>
        </is>
      </c>
      <c r="E33" s="39" t="inlineStr">
        <is>
          <t>King</t>
        </is>
      </c>
      <c r="F33" s="39" t="inlineStr">
        <is>
          <t>Blue &amp; Dark Grey</t>
        </is>
      </c>
      <c r="G33" s="40" t="n"/>
      <c r="H33" s="39" t="n"/>
      <c r="I33" s="74" t="n">
        <v>69.98999999999999</v>
      </c>
      <c r="J33" s="75" t="inlineStr">
        <is>
          <t>2026-03-30</t>
        </is>
      </c>
      <c r="K33" s="40" t="n">
        <v>14.15999999999999</v>
      </c>
      <c r="L33" s="76" t="n">
        <v>0.2023146163737675</v>
      </c>
      <c r="M33" s="77" t="n"/>
      <c r="N33" s="39" t="inlineStr">
        <is>
          <t>Inactive</t>
        </is>
      </c>
      <c r="O33" s="39" t="n"/>
      <c r="P33" s="78" t="n"/>
      <c r="Q33" s="77" t="n"/>
      <c r="R33" s="77" t="n"/>
      <c r="S33" s="77" t="n"/>
      <c r="T33" s="39" t="n"/>
    </row>
    <row r="34" ht="62" customHeight="1">
      <c r="A34" s="12">
        <f>_xlfn.IMAGE("https://m.media-amazon.com/images/I/81l2CcE6y7L.jpg")</f>
        <v/>
      </c>
      <c r="B34" s="39" t="inlineStr">
        <is>
          <t>B0F7M5WGD8</t>
        </is>
      </c>
      <c r="C34" s="39" t="inlineStr">
        <is>
          <t>SL-CLG-COMF-BLUE/LIGHT-GREY-KING</t>
        </is>
      </c>
      <c r="D34" s="39" t="inlineStr">
        <is>
          <t>SLEEPHORIA Cooling Comforter - BreezeWeave Cooling Blanket King Size for Hot Sleepers &amp; Deep Rest - Cloud Soft, Breathable, Ultra Durable, Easy Care, Reversible - 108 x 90 in (Blue &amp; Light Grey)</t>
        </is>
      </c>
      <c r="E34" s="39" t="inlineStr">
        <is>
          <t>King</t>
        </is>
      </c>
      <c r="F34" s="39" t="inlineStr">
        <is>
          <t>Blue &amp; Light Grey</t>
        </is>
      </c>
      <c r="G34" s="40" t="n"/>
      <c r="H34" s="39" t="n"/>
      <c r="I34" s="74" t="n">
        <v>69.98999999999999</v>
      </c>
      <c r="J34" s="75" t="inlineStr">
        <is>
          <t>2026-03-20</t>
        </is>
      </c>
      <c r="K34" s="40" t="n">
        <v>14.15999999999999</v>
      </c>
      <c r="L34" s="76" t="n">
        <v>0.2023146163737675</v>
      </c>
      <c r="M34" s="77" t="n">
        <v>0</v>
      </c>
      <c r="N34" s="39" t="inlineStr">
        <is>
          <t>Inactive</t>
        </is>
      </c>
      <c r="O34" s="39" t="n"/>
      <c r="P34" s="78" t="n"/>
      <c r="Q34" s="77" t="n"/>
      <c r="R34" s="77" t="n"/>
      <c r="S34" s="77" t="n"/>
      <c r="T34" s="39" t="n"/>
    </row>
    <row r="35" ht="62" customHeight="1">
      <c r="A35" s="12">
        <f>_xlfn.IMAGE("https://m.media-amazon.com/images/I/81fhXz9G1-L.jpg")</f>
        <v/>
      </c>
      <c r="B35" s="39" t="inlineStr">
        <is>
          <t>B0F7M3DJGP</t>
        </is>
      </c>
      <c r="C35" s="39" t="inlineStr">
        <is>
          <t>SL-CLG-COMF-MINT-GREEN/DARK-GREY-KING</t>
        </is>
      </c>
      <c r="D35" s="39" t="inlineStr">
        <is>
          <t>SLEEPHORIA Cooling Comforter - BreezeWeave Cooling Blanket King Size for Hot Sleepers &amp; Deep Rest - Cloud Soft, Breathable, Ultra Durable, Easy Care, Reversible - 108 x 90 in (Mint Green &amp; Dark Grey)</t>
        </is>
      </c>
      <c r="E35" s="39" t="inlineStr">
        <is>
          <t>King</t>
        </is>
      </c>
      <c r="F35" s="39" t="inlineStr">
        <is>
          <t>Mint Green &amp; Dark Grey</t>
        </is>
      </c>
      <c r="G35" s="73" t="n">
        <v>79.98999999999999</v>
      </c>
      <c r="H35" s="39" t="inlineStr">
        <is>
          <t>catalog price, 2026-10-13</t>
        </is>
      </c>
      <c r="I35" s="74" t="n">
        <v>69.98999999999999</v>
      </c>
      <c r="J35" s="75" t="inlineStr">
        <is>
          <t>2026-03-10</t>
        </is>
      </c>
      <c r="K35" s="40" t="n">
        <v>13.93999999999999</v>
      </c>
      <c r="L35" s="76" t="n">
        <v>0.1991713101871695</v>
      </c>
      <c r="M35" s="77" t="n">
        <v>0</v>
      </c>
      <c r="N35" s="39" t="inlineStr">
        <is>
          <t>Active</t>
        </is>
      </c>
      <c r="O35" s="39" t="n"/>
      <c r="P35" s="78" t="n">
        <v>4.5</v>
      </c>
      <c r="Q35" s="77" t="n">
        <v>661</v>
      </c>
      <c r="R35" s="77" t="n">
        <v>372944</v>
      </c>
      <c r="S35" s="77" t="n">
        <v>0.681</v>
      </c>
      <c r="T35" s="39" t="n"/>
    </row>
    <row r="36" ht="62" customHeight="1">
      <c r="A36" s="12">
        <f>_xlfn.IMAGE("https://m.media-amazon.com/images/I/81l2CcE6y7L.jpg")</f>
        <v/>
      </c>
      <c r="B36" s="39" t="inlineStr">
        <is>
          <t>B0F7M6XS6X</t>
        </is>
      </c>
      <c r="C36" s="39" t="inlineStr">
        <is>
          <t>SL-CLG-COMF-BLUE/LIGHT-GREY-QUEEN</t>
        </is>
      </c>
      <c r="D36" s="39" t="inlineStr">
        <is>
          <t>SLEEPHORIA Cooling Comforter - BreezeWeave Cooling Blanket Queen Size for Hot Sleepers &amp; Deep Rest - Cloud Soft, Breathable, Ultra Durable, Easy Care, Reversible - 90 x 90 in (Blue &amp; Light Grey)</t>
        </is>
      </c>
      <c r="E36" s="39" t="inlineStr">
        <is>
          <t>Queen</t>
        </is>
      </c>
      <c r="F36" s="39" t="inlineStr">
        <is>
          <t>Blue &amp; Light Grey</t>
        </is>
      </c>
      <c r="G36" s="40" t="n"/>
      <c r="H36" s="39" t="n"/>
      <c r="I36" s="74" t="n">
        <v>59.99</v>
      </c>
      <c r="J36" s="75" t="inlineStr">
        <is>
          <t>2026-03-20</t>
        </is>
      </c>
      <c r="K36" s="40" t="n">
        <v>11.65</v>
      </c>
      <c r="L36" s="76" t="n">
        <v>0.1941990331721954</v>
      </c>
      <c r="M36" s="77" t="n">
        <v>0</v>
      </c>
      <c r="N36" s="39" t="inlineStr">
        <is>
          <t>Inactive</t>
        </is>
      </c>
      <c r="O36" s="39" t="n"/>
      <c r="P36" s="78" t="n"/>
      <c r="Q36" s="77" t="n"/>
      <c r="R36" s="77" t="n"/>
      <c r="S36" s="77" t="n"/>
      <c r="T36" s="39" t="n"/>
    </row>
    <row r="37" ht="62" customHeight="1">
      <c r="A37" s="12">
        <f>_xlfn.IMAGE("https://m.media-amazon.com/images/I/81l2CcE6y7L.jpg")</f>
        <v/>
      </c>
      <c r="B37" s="39" t="inlineStr">
        <is>
          <t>B0F7M5S7FT</t>
        </is>
      </c>
      <c r="C37" s="39" t="inlineStr">
        <is>
          <t>SL-CLG-COMF-BLUE/LIGHT-GREY-TWIN</t>
        </is>
      </c>
      <c r="D37" s="39" t="inlineStr">
        <is>
          <t>SLEEPHORIA Cooling Comforter - BreezeWeave Cooling Blanket Twin Size for Hot Sleepers &amp; Deep Rest - Cloud Soft, Breathable, Ultra Durable, Easy Care, Reversible - 68 x 90 in (Blue &amp; Light Grey)</t>
        </is>
      </c>
      <c r="E37" s="39" t="inlineStr">
        <is>
          <t>Twin</t>
        </is>
      </c>
      <c r="F37" s="39" t="inlineStr">
        <is>
          <t>Blue &amp; Light Grey</t>
        </is>
      </c>
      <c r="G37" s="73" t="n">
        <v>64.98999999999999</v>
      </c>
      <c r="H37" s="39" t="inlineStr">
        <is>
          <t>catalog price, 2026-10-13</t>
        </is>
      </c>
      <c r="I37" s="74" t="n">
        <v>54.99</v>
      </c>
      <c r="J37" s="75" t="inlineStr">
        <is>
          <t>2026-03-30</t>
        </is>
      </c>
      <c r="K37" s="40" t="n">
        <v>13.17</v>
      </c>
      <c r="L37" s="76" t="n">
        <v>0.2394980905619204</v>
      </c>
      <c r="M37" s="77" t="n">
        <v>0</v>
      </c>
      <c r="N37" s="39" t="inlineStr">
        <is>
          <t>Active</t>
        </is>
      </c>
      <c r="O37" s="39" t="n"/>
      <c r="P37" s="78" t="n">
        <v>4.5</v>
      </c>
      <c r="Q37" s="77" t="n">
        <v>661</v>
      </c>
      <c r="R37" s="77" t="n">
        <v>372944</v>
      </c>
      <c r="S37" s="77" t="n">
        <v>4</v>
      </c>
      <c r="T37" s="39" t="n"/>
    </row>
    <row r="38"/>
    <row r="39" ht="22" customHeight="1">
      <c r="A39" s="65" t="inlineStr">
        <is>
          <t>3 ▼</t>
        </is>
      </c>
      <c r="B39" s="66" t="inlineStr">
        <is>
          <t>OUR BFCM 2025 RESULT &amp; EVENT VISIBILITY</t>
        </is>
      </c>
      <c r="C39" s="67" t="n"/>
      <c r="D39" s="67" t="n"/>
      <c r="E39" s="67" t="n"/>
      <c r="F39" s="67" t="n"/>
      <c r="G39" s="67" t="n"/>
      <c r="H39" s="67" t="n"/>
      <c r="I39" s="67" t="n"/>
      <c r="J39" s="67" t="n"/>
      <c r="K39" s="67" t="n"/>
      <c r="L39" s="67" t="n"/>
      <c r="M39" s="67" t="n"/>
      <c r="N39" s="67" t="n"/>
      <c r="O39" s="67" t="n"/>
      <c r="P39" s="67" t="n"/>
      <c r="Q39" s="67" t="n"/>
      <c r="R39" s="67" t="n"/>
      <c r="S39" s="67" t="n"/>
      <c r="T39" s="67" t="n"/>
      <c r="U39" s="67" t="n"/>
      <c r="V39" s="67" t="n"/>
      <c r="W39" s="67" t="n"/>
      <c r="X39" s="67" t="n"/>
      <c r="Y39" s="67" t="n"/>
      <c r="Z39" s="67" t="n"/>
      <c r="AA39" s="67" t="n"/>
      <c r="AB39" s="67" t="n"/>
      <c r="AC39" s="67" t="n"/>
      <c r="AD39" s="67" t="n"/>
      <c r="AE39" s="67" t="n"/>
      <c r="AF39" s="67" t="n"/>
      <c r="AG39" s="67" t="n"/>
      <c r="AH39" s="67" t="n"/>
      <c r="AI39" s="67" t="n"/>
      <c r="AJ39" s="67" t="n"/>
      <c r="AK39" s="67" t="n"/>
      <c r="AL39" s="67" t="n"/>
      <c r="AM39" s="67" t="n"/>
      <c r="AN39" s="67" t="n"/>
      <c r="AO39" s="67" t="n"/>
      <c r="AP39" s="67" t="n"/>
      <c r="AQ39" s="67" t="n"/>
      <c r="AR39" s="67" t="n"/>
      <c r="AS39" s="67" t="n"/>
      <c r="AT39" s="67" t="n"/>
      <c r="AU39" s="67" t="n"/>
      <c r="AV39" s="67" t="n"/>
      <c r="AW39" s="67" t="n"/>
      <c r="AX39" s="67" t="n"/>
      <c r="AY39" s="67" t="n"/>
      <c r="AZ39" s="67" t="n"/>
      <c r="BA39" s="67" t="n"/>
      <c r="BB39" s="67" t="n"/>
      <c r="BC39" s="67" t="n"/>
      <c r="BD39" s="67" t="n"/>
      <c r="BE39" s="67" t="n"/>
      <c r="BF39" s="67" t="n"/>
      <c r="BG39" s="67" t="n"/>
      <c r="BH39" s="67" t="n"/>
      <c r="BI39" s="67" t="n"/>
      <c r="BJ39" s="67" t="n"/>
      <c r="BK39" s="67" t="n"/>
    </row>
    <row r="40">
      <c r="A40" s="80" t="inlineStr">
        <is>
          <t>Window</t>
        </is>
      </c>
      <c r="B40" s="81" t="n"/>
      <c r="C40" s="82" t="n"/>
      <c r="D40" s="80" t="inlineStr">
        <is>
          <t>Ad spend</t>
        </is>
      </c>
      <c r="E40" s="80" t="inlineStr">
        <is>
          <t>Ad sales</t>
        </is>
      </c>
      <c r="F40" s="80" t="inlineStr">
        <is>
          <t>ACoS</t>
        </is>
      </c>
      <c r="G40" s="80" t="inlineStr">
        <is>
          <t>TACoS</t>
        </is>
      </c>
      <c r="H40" s="80" t="inlineStr">
        <is>
          <t>Total sales (derived)</t>
        </is>
      </c>
      <c r="J40" s="80" t="inlineStr">
        <is>
          <t>Ad orders</t>
        </is>
      </c>
      <c r="K40" s="80" t="inlineStr">
        <is>
          <t>CVR</t>
        </is>
      </c>
    </row>
    <row r="41">
      <c r="A41" s="83" t="inlineStr">
        <is>
          <t>Pre-event Oct 21 - Nov 19, 2025 (30d)</t>
        </is>
      </c>
      <c r="B41" s="81" t="n"/>
      <c r="C41" s="82" t="n"/>
      <c r="D41" s="84" t="n">
        <v>4436.54</v>
      </c>
      <c r="E41" s="84" t="n">
        <v>8307.099999999999</v>
      </c>
      <c r="F41" s="85" t="n">
        <v>53.4</v>
      </c>
      <c r="G41" s="85" t="n">
        <v>26.95627975705845</v>
      </c>
      <c r="H41" s="84" t="n">
        <v>16458.28</v>
      </c>
      <c r="J41" s="86" t="n">
        <v>143</v>
      </c>
      <c r="K41" s="87" t="n">
        <v>10.14</v>
      </c>
    </row>
    <row r="42">
      <c r="A42" s="83" t="inlineStr">
        <is>
          <t>BFCM week Nov 20 - Dec 1, 2025 (12d)</t>
        </is>
      </c>
      <c r="B42" s="81" t="n"/>
      <c r="C42" s="82" t="n"/>
      <c r="D42" s="84" t="n">
        <v>2744.45</v>
      </c>
      <c r="E42" s="84" t="n">
        <v>5895.059999999999</v>
      </c>
      <c r="F42" s="85" t="n">
        <v>46.6</v>
      </c>
      <c r="G42" s="85" t="n">
        <v>12.28370527521909</v>
      </c>
      <c r="H42" s="84" t="n">
        <v>22342.2</v>
      </c>
      <c r="J42" s="86" t="n">
        <v>121</v>
      </c>
      <c r="K42" s="87" t="n">
        <v>11.97</v>
      </c>
    </row>
    <row r="43">
      <c r="A43" s="83" t="inlineStr">
        <is>
          <t>December 2 - 31, 2025 (30d)</t>
        </is>
      </c>
      <c r="B43" s="81" t="n"/>
      <c r="C43" s="82" t="n"/>
      <c r="D43" s="84" t="n">
        <v>8916.02</v>
      </c>
      <c r="E43" s="84" t="n">
        <v>27042.28000000001</v>
      </c>
      <c r="F43" s="85" t="n">
        <v>33</v>
      </c>
      <c r="G43" s="85" t="n">
        <v>12.86234037519403</v>
      </c>
      <c r="H43" s="84" t="n">
        <v>69318.8</v>
      </c>
      <c r="J43" s="86" t="n">
        <v>437</v>
      </c>
      <c r="K43" s="87" t="n">
        <v>8.66</v>
      </c>
    </row>
    <row r="44"/>
    <row r="45">
      <c r="A45" s="80" t="inlineStr">
        <is>
          <t>Actual sales (account data)</t>
        </is>
      </c>
      <c r="B45" s="81" t="n"/>
      <c r="C45" s="82" t="n"/>
      <c r="D45" s="80" t="inlineStr">
        <is>
          <t>Sales</t>
        </is>
      </c>
      <c r="E45" s="80" t="inlineStr">
        <is>
          <t>Units</t>
        </is>
      </c>
      <c r="F45" s="80" t="inlineStr">
        <is>
          <t>Organic units</t>
        </is>
      </c>
      <c r="G45" s="80" t="inlineStr">
        <is>
          <t>Ad units</t>
        </is>
      </c>
      <c r="H45" s="80" t="inlineStr">
        <is>
          <t>Ad cost</t>
        </is>
      </c>
      <c r="J45" s="80" t="inlineStr">
        <is>
          <t>TACoS (actual)</t>
        </is>
      </c>
      <c r="K45" s="80" t="inlineStr">
        <is>
          <t>Sessions</t>
        </is>
      </c>
      <c r="L45" s="80" t="inlineStr">
        <is>
          <t>Unit session %</t>
        </is>
      </c>
      <c r="M45" s="80" t="inlineStr">
        <is>
          <t>Avg price</t>
        </is>
      </c>
      <c r="N45" s="80" t="inlineStr">
        <is>
          <t>Refunds</t>
        </is>
      </c>
    </row>
    <row r="46">
      <c r="A46" s="83" t="inlineStr">
        <is>
          <t>Pre-event Oct 21 - Nov 19, 2025 (30d)</t>
        </is>
      </c>
      <c r="B46" s="81" t="n"/>
      <c r="C46" s="82" t="n"/>
      <c r="D46" s="84" t="n">
        <v>16458.28</v>
      </c>
      <c r="E46" s="86" t="n">
        <v>274</v>
      </c>
      <c r="F46" s="86" t="n">
        <v>222</v>
      </c>
      <c r="G46" s="86" t="n">
        <v>52</v>
      </c>
      <c r="H46" s="84" t="n">
        <v>4436.54</v>
      </c>
      <c r="J46" s="88" t="n">
        <v>0.2695627975705845</v>
      </c>
      <c r="K46" s="86" t="n">
        <v>6705</v>
      </c>
      <c r="L46" s="88" t="n">
        <v>0.04086502609992543</v>
      </c>
      <c r="M46" s="89" t="n">
        <v>60.06671532846715</v>
      </c>
      <c r="N46" s="86" t="n">
        <v>13</v>
      </c>
    </row>
    <row r="47">
      <c r="A47" s="83" t="inlineStr">
        <is>
          <t>BFCM week Nov 20 - Dec 1, 2025 (12d)</t>
        </is>
      </c>
      <c r="B47" s="81" t="n"/>
      <c r="C47" s="82" t="n"/>
      <c r="D47" s="84" t="n">
        <v>22342.2</v>
      </c>
      <c r="E47" s="86" t="n">
        <v>459</v>
      </c>
      <c r="F47" s="86" t="n">
        <v>411</v>
      </c>
      <c r="G47" s="86" t="n">
        <v>48</v>
      </c>
      <c r="H47" s="84" t="n">
        <v>2744.45</v>
      </c>
      <c r="J47" s="88" t="n">
        <v>0.1228370527521909</v>
      </c>
      <c r="K47" s="86" t="n">
        <v>7753</v>
      </c>
      <c r="L47" s="88" t="n">
        <v>0.05920288920417903</v>
      </c>
      <c r="M47" s="89" t="n">
        <v>48.67581699346405</v>
      </c>
      <c r="N47" s="86" t="n">
        <v>3</v>
      </c>
    </row>
    <row r="48">
      <c r="A48" s="83" t="inlineStr">
        <is>
          <t>December 2 - 31, 2025 (30d)</t>
        </is>
      </c>
      <c r="B48" s="81" t="n"/>
      <c r="C48" s="82" t="n"/>
      <c r="D48" s="84" t="n">
        <v>69318.8</v>
      </c>
      <c r="E48" s="86" t="n">
        <v>1125</v>
      </c>
      <c r="F48" s="86" t="n">
        <v>984</v>
      </c>
      <c r="G48" s="86" t="n">
        <v>141</v>
      </c>
      <c r="H48" s="84" t="n">
        <v>8916.02</v>
      </c>
      <c r="J48" s="88" t="n">
        <v>0.1286234037519403</v>
      </c>
      <c r="K48" s="86" t="n">
        <v>23974</v>
      </c>
      <c r="L48" s="88" t="n">
        <v>0.04692583632268291</v>
      </c>
      <c r="M48" s="89" t="n">
        <v>61.61671111111112</v>
      </c>
      <c r="N48" s="86" t="n">
        <v>38</v>
      </c>
    </row>
    <row r="49">
      <c r="A49" s="90" t="inlineStr">
        <is>
          <t>account data, Amazon parent B0FTG1NNKG plus any of this product's child ASINs account data lists on their own, UTC days. Lift above uses these actual sales (3.39x; the ad-spend estimate was 3.39x).</t>
        </is>
      </c>
    </row>
    <row r="50" ht="18" customHeight="1">
      <c r="A50" s="91" t="inlineStr">
        <is>
          <t>Deals Nov 1 - Dec 5, 2025: no record returned by the deal records promotions feed. Unknown, not proof that no deal ran.</t>
        </is>
      </c>
    </row>
    <row r="51" ht="18" customHeight="1">
      <c r="A51" s="92" t="inlineStr">
        <is>
          <t>BFCM 2026 plan: Best Deal 11/19-11/30. Deal price and depth not yet given; not yet visible in Amazon's deal feed.</t>
        </is>
      </c>
    </row>
    <row r="52" ht="30" customHeight="1">
      <c r="A52" s="94" t="inlineStr">
        <is>
          <t>BFCM 2026 stock (account data, Oct 15): 883 units at Amazon + 1,151 already sent (no ETA in account data); selling 3.8 a day; need about 283 to Nov 30 with a 3.39x BFCM lift (own BFCM 2025 lift (account data)). Variations: 12 covered, 1 need the inbound in time, 4 short even with inbound (149 units), 2 out of stock now. Detail: BFCM Stock tab.</t>
        </is>
      </c>
    </row>
    <row r="53" ht="18" customHeight="1">
      <c r="A53" s="95" t="inlineStr">
        <is>
          <t>ASSUMED 2026 deal prices, until the team's final: B0F7M5T8FH today $69.99; $59.49 at 15% off (Nov 19-26) and $55.99 at 20% off (Nov 27-30, Black Friday to Cyber Monday). Rule: team rule agreed Oct 15, 2026. Evidence: our BFCM 2025 deal on B0F7M4Q2HQ (US, price history): $64.99 before, $51.99 during, 20% off; US competitors' median price cut in BFCM 2025: 15% (4 rivals). Amazon may use a lower reference price than today's (it sets it the day before the deal), which would lower the deal price.</t>
        </is>
      </c>
    </row>
    <row r="54" ht="30" customHeight="1">
      <c r="A54" s="91" t="inlineStr">
        <is>
          <t>Our hero child B0F7M4Q2HQ in price history (market data, US): price $64.99 before (median Nov 1-19) → $51.99 in BFCM week (median Nov 20 - Dec 1), 20% lower; lowest $51.99; Best Seller Rank 130,761 → 86,410 (1.51x better); Prime Exclusive price seen 11-24 to 12-01 (8 days). Price is price history's lowest new offer (price history holds no Buy Box series for our own ASINs; we are the only seller).</t>
        </is>
      </c>
    </row>
    <row r="55" ht="30" customHeight="1">
      <c r="A55" s="130" t="inlineStr">
        <is>
          <t>Prime Exclusive Discount seen in price history, BFCM 2025 (not in the deal records deal feed): B0F7M4Q2HQ $51.99 11-22 to 12-02 (5 separate spells). price history observation only - campaign, scheduled dates and discount depth not confirmed.</t>
        </is>
      </c>
    </row>
    <row r="56" ht="40" customHeight="1">
      <c r="A56" s="91" t="inlineStr">
        <is>
          <t>Stock in BFCM week 2025 (FBA inventory snapshots, child-ASIN level, revision 2): 0 of 15 variations hit zero FBA stock on at least one observed day; weighted by today's sales mix that is ~0.0% of variation-days lost. Days with no snapshot (Nov 26-27 and Dec 1, Cyber Monday), inferred from sales that day and the readings either side: 45 of 45 variation-days in stock, 0 out of stock, 0 unknown. Inferred, not a stock reading.</t>
        </is>
      </c>
    </row>
    <row r="57">
      <c r="A57" s="90" t="inlineStr">
        <is>
          <t>market data visibility for our best child B0F7M4Q2HQ: organic score 15.4 before BFCM 2025 → 30.2 in BFCM week; Prime Day 2026 6.7 → 21.8; Aug-Sep 2026 37.8.</t>
        </is>
      </c>
    </row>
    <row r="58"/>
    <row r="59" ht="22" customHeight="1">
      <c r="A59" s="65" t="inlineStr">
        <is>
          <t>4 ▼</t>
        </is>
      </c>
      <c r="B59" s="66" t="inlineStr">
        <is>
          <t>COMPETITOR LANDSCAPE (18 mapped)</t>
        </is>
      </c>
      <c r="C59" s="67" t="n"/>
      <c r="D59" s="67" t="n"/>
      <c r="E59" s="67" t="n"/>
      <c r="F59" s="67" t="n"/>
      <c r="G59" s="67" t="n"/>
      <c r="H59" s="67" t="n"/>
      <c r="I59" s="67" t="n"/>
      <c r="J59" s="67" t="n"/>
      <c r="K59" s="67" t="n"/>
      <c r="L59" s="67" t="n"/>
      <c r="M59" s="67" t="n"/>
      <c r="N59" s="67" t="n"/>
      <c r="O59" s="67" t="n"/>
      <c r="P59" s="67" t="n"/>
      <c r="Q59" s="67" t="n"/>
      <c r="R59" s="67" t="n"/>
      <c r="S59" s="67" t="n"/>
      <c r="T59" s="67" t="n"/>
      <c r="U59" s="67" t="n"/>
      <c r="V59" s="67" t="n"/>
      <c r="W59" s="67" t="n"/>
      <c r="X59" s="67" t="n"/>
      <c r="Y59" s="67" t="n"/>
      <c r="Z59" s="67" t="n"/>
      <c r="AA59" s="67" t="n"/>
      <c r="AB59" s="67" t="n"/>
      <c r="AC59" s="67" t="n"/>
      <c r="AD59" s="67" t="n"/>
      <c r="AE59" s="67" t="n"/>
      <c r="AF59" s="67" t="n"/>
      <c r="AG59" s="67" t="n"/>
      <c r="AH59" s="67" t="n"/>
      <c r="AI59" s="67" t="n"/>
      <c r="AJ59" s="67" t="n"/>
      <c r="AK59" s="67" t="n"/>
      <c r="AL59" s="67" t="n"/>
      <c r="AM59" s="67" t="n"/>
      <c r="AN59" s="67" t="n"/>
      <c r="AO59" s="67" t="n"/>
      <c r="AP59" s="67" t="n"/>
      <c r="AQ59" s="67" t="n"/>
      <c r="AR59" s="67" t="n"/>
      <c r="AS59" s="67" t="n"/>
      <c r="AT59" s="67" t="n"/>
      <c r="AU59" s="67" t="n"/>
      <c r="AV59" s="67" t="n"/>
      <c r="AW59" s="67" t="n"/>
      <c r="AX59" s="67" t="n"/>
      <c r="AY59" s="67" t="n"/>
      <c r="AZ59" s="67" t="n"/>
      <c r="BA59" s="67" t="n"/>
      <c r="BB59" s="67" t="n"/>
      <c r="BC59" s="67" t="n"/>
      <c r="BD59" s="67" t="n"/>
      <c r="BE59" s="67" t="n"/>
      <c r="BF59" s="67" t="n"/>
      <c r="BG59" s="67" t="n"/>
      <c r="BH59" s="67" t="n"/>
      <c r="BI59" s="67" t="n"/>
      <c r="BJ59" s="67" t="n"/>
      <c r="BK59" s="67" t="n"/>
    </row>
    <row r="60" ht="20" customHeight="1">
      <c r="A60" s="96" t="inlineStr">
        <is>
          <t>▼▼▼</t>
        </is>
      </c>
      <c r="B60" s="97" t="inlineStr">
        <is>
          <t>COMPETITOR DATA BELOW: one row per competitor (12 direct first, then alternative material). Scroll right for listing, search, strikethrough now and BFCM 2025 history (deal type, price, discount, rank change).</t>
        </is>
      </c>
      <c r="C60" s="98" t="n"/>
      <c r="D60" s="98" t="n"/>
      <c r="E60" s="98" t="n"/>
      <c r="F60" s="98" t="n"/>
      <c r="G60" s="98" t="n"/>
      <c r="H60" s="98" t="n"/>
      <c r="I60" s="98" t="n"/>
      <c r="J60" s="98" t="n"/>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98" t="n"/>
      <c r="AM60" s="98" t="n"/>
      <c r="AN60" s="98" t="n"/>
      <c r="AO60" s="98" t="n"/>
      <c r="AP60" s="98" t="n"/>
      <c r="AQ60" s="98" t="n"/>
      <c r="AR60" s="98" t="n"/>
      <c r="AS60" s="98" t="n"/>
      <c r="AT60" s="98" t="n"/>
      <c r="AU60" s="98" t="n"/>
      <c r="AV60" s="98" t="n"/>
      <c r="AW60" s="98" t="n"/>
      <c r="AX60" s="98" t="n"/>
      <c r="AY60" s="98" t="n"/>
      <c r="AZ60" s="98" t="n"/>
      <c r="BA60" s="98" t="n"/>
      <c r="BB60" s="98" t="n"/>
      <c r="BC60" s="98" t="n"/>
      <c r="BD60" s="98" t="n"/>
      <c r="BE60" s="98" t="n"/>
      <c r="BF60" s="98" t="n"/>
      <c r="BG60" s="98" t="n"/>
      <c r="BH60" s="98" t="n"/>
      <c r="BI60" s="98" t="n"/>
      <c r="BJ60" s="98" t="n"/>
      <c r="BK60" s="98" t="n"/>
    </row>
    <row r="61">
      <c r="A61" s="99" t="inlineStr">
        <is>
          <t>COMPETITOR</t>
        </is>
      </c>
      <c r="L61" s="100" t="inlineStr">
        <is>
          <t>LISTING - catalog data</t>
        </is>
      </c>
      <c r="M61" s="101" t="inlineStr">
        <is>
          <t>SEARCH STRATEGY - market data search data</t>
        </is>
      </c>
      <c r="N61" s="102" t="inlineStr">
        <is>
          <t>PRICE &amp; SALES - market data snapshot (date per row)</t>
        </is>
      </c>
      <c r="AA61" s="100" t="inlineStr">
        <is>
          <t>LISTING - catalog data</t>
        </is>
      </c>
      <c r="AD61" s="101" t="inlineStr">
        <is>
          <t>SEARCH STRATEGY - market data search data</t>
        </is>
      </c>
      <c r="AU61" s="103" t="inlineStr">
        <is>
          <t>STR NOW - Amazon page check (Oct 13, P1 + P2)</t>
        </is>
      </c>
      <c r="BB61" s="104" t="inlineStr">
        <is>
          <t>BFCM 2025 - price history (P1 filled; yellow = not pulled yet)</t>
        </is>
      </c>
    </row>
    <row r="62" ht="48" customHeight="1">
      <c r="A62" s="26" t="inlineStr">
        <is>
          <t>Image</t>
        </is>
      </c>
      <c r="B62" s="26" t="inlineStr">
        <is>
          <t>Brand</t>
        </is>
      </c>
      <c r="C62" s="26" t="inlineStr">
        <is>
          <t>Product title</t>
        </is>
      </c>
      <c r="D62" s="26" t="inlineStr">
        <is>
          <t>Tier</t>
        </is>
      </c>
      <c r="E62" s="26" t="inlineStr">
        <is>
          <t>Competitor type</t>
        </is>
      </c>
      <c r="F62" s="26" t="inlineStr">
        <is>
          <t>Material</t>
        </is>
      </c>
      <c r="G62" s="26" t="inlineStr">
        <is>
          <t>Why this type</t>
        </is>
      </c>
      <c r="H62" s="26" t="inlineStr">
        <is>
          <t>Parent ASIN</t>
        </is>
      </c>
      <c r="I62" s="26" t="inlineStr">
        <is>
          <t>Tracked child ASIN</t>
        </is>
      </c>
      <c r="J62" s="26" t="inlineStr">
        <is>
          <t>Size</t>
        </is>
      </c>
      <c r="K62" s="26" t="inlineStr">
        <is>
          <t>Colour</t>
        </is>
      </c>
      <c r="L62" s="26" t="inlineStr">
        <is>
          <t>Variations</t>
        </is>
      </c>
      <c r="M62" s="26" t="inlineStr">
        <is>
          <t>Hero child ASINs (share of their visibility)</t>
        </is>
      </c>
      <c r="N62" s="26" t="inlineStr">
        <is>
          <t>Price ($)</t>
        </is>
      </c>
      <c r="O62" s="26" t="inlineStr">
        <is>
          <t>List Price ($)</t>
        </is>
      </c>
      <c r="P62" s="26" t="inlineStr">
        <is>
          <t>List Price % over</t>
        </is>
      </c>
      <c r="Q62" s="26" t="inlineStr">
        <is>
          <t>STR band</t>
        </is>
      </c>
      <c r="R62" s="26" t="inlineStr">
        <is>
          <t>Our price, same size ($)</t>
        </is>
      </c>
      <c r="S62" s="26" t="inlineStr">
        <is>
          <t>Their price vs ours</t>
        </is>
      </c>
      <c r="T62" s="26" t="inlineStr">
        <is>
          <t>Comparison basis</t>
        </is>
      </c>
      <c r="U62" s="26" t="inlineStr">
        <is>
          <t>BSR</t>
        </is>
      </c>
      <c r="V62" s="26" t="inlineStr">
        <is>
          <t>Est weekly units</t>
        </is>
      </c>
      <c r="W62" s="26" t="inlineStr">
        <is>
          <t>Est monthly revenue ($)</t>
        </is>
      </c>
      <c r="X62" s="26" t="inlineStr">
        <is>
          <t>Rating</t>
        </is>
      </c>
      <c r="Y62" s="26" t="inlineStr">
        <is>
          <t>Reviews</t>
        </is>
      </c>
      <c r="Z62" s="26" t="inlineStr">
        <is>
          <t>Snapshot date</t>
        </is>
      </c>
      <c r="AA62" s="26" t="inlineStr">
        <is>
          <t>Listed</t>
        </is>
      </c>
      <c r="AB62" s="26" t="inlineStr">
        <is>
          <t>Fulfil.</t>
        </is>
      </c>
      <c r="AC62" s="26" t="inlineStr">
        <is>
          <t>Seller country</t>
        </is>
      </c>
      <c r="AD62" s="26" t="inlineStr">
        <is>
          <t>search data 7d traffic</t>
        </is>
      </c>
      <c r="AE62" s="26" t="inlineStr">
        <is>
          <t>Keywords ranked</t>
        </is>
      </c>
      <c r="AF62" s="26" t="inlineStr">
        <is>
          <t>Organic share of traffic</t>
        </is>
      </c>
      <c r="AG62" s="26" t="inlineStr">
        <is>
          <t>Ad share of traffic</t>
        </is>
      </c>
      <c r="AH62" s="26" t="inlineStr">
        <is>
          <t>Top keyword</t>
        </is>
      </c>
      <c r="AI62" s="26" t="inlineStr">
        <is>
          <t>SP reach</t>
        </is>
      </c>
      <c r="AJ62" s="26" t="inlineStr">
        <is>
          <t>SB reach</t>
        </is>
      </c>
      <c r="AK62" s="26" t="inlineStr">
        <is>
          <t>SB video reach</t>
        </is>
      </c>
      <c r="AL62" s="26" t="inlineStr">
        <is>
          <t>Amazon's Choice reach</t>
        </is>
      </c>
      <c r="AM62" s="26" t="inlineStr">
        <is>
          <t>Shared keywords</t>
        </is>
      </c>
      <c r="AN62" s="26" t="inlineStr">
        <is>
          <t>We win</t>
        </is>
      </c>
      <c r="AO62" s="26" t="inlineStr">
        <is>
          <t>We lose</t>
        </is>
      </c>
      <c r="AP62" s="26" t="inlineStr">
        <is>
          <t>Their keywords we miss</t>
        </is>
      </c>
      <c r="AQ62" s="26" t="inlineStr">
        <is>
          <t>KWs they advertise, we don't</t>
        </is>
      </c>
      <c r="AR62" s="26" t="inlineStr">
        <is>
          <t>KWs they out-advertise us</t>
        </is>
      </c>
      <c r="AS62" s="26" t="inlineStr">
        <is>
          <t>Prime Day 2026 organic vis lift</t>
        </is>
      </c>
      <c r="AT62" s="26" t="inlineStr">
        <is>
          <t>Organic trend (Aug-Sep vs Q2)</t>
        </is>
      </c>
      <c r="AU62" s="26" t="inlineStr">
        <is>
          <t>STR showing now? (Y/N)</t>
        </is>
      </c>
      <c r="AV62" s="26" t="inlineStr">
        <is>
          <t>STR label</t>
        </is>
      </c>
      <c r="AW62" s="26" t="inlineStr">
        <is>
          <t>Strikethrough price ($)</t>
        </is>
      </c>
      <c r="AX62" s="26" t="inlineStr">
        <is>
          <t>Page price at check ($)</t>
        </is>
      </c>
      <c r="AY62" s="26" t="inlineStr">
        <is>
          <t>Deal / coupon now</t>
        </is>
      </c>
      <c r="AZ62" s="26" t="inlineStr">
        <is>
          <t>Orderable now (Y/N)</t>
        </is>
      </c>
      <c r="BA62" s="26" t="inlineStr">
        <is>
          <t>Checked (ET)</t>
        </is>
      </c>
      <c r="BB62" s="26" t="inlineStr">
        <is>
          <t>BFCM 2025 deal type</t>
        </is>
      </c>
      <c r="BC62" s="26" t="inlineStr">
        <is>
          <t>BFCM 2025 deal dates</t>
        </is>
      </c>
      <c r="BD62" s="26" t="inlineStr">
        <is>
          <t>Pre-event price ($)</t>
        </is>
      </c>
      <c r="BE62" s="26" t="inlineStr">
        <is>
          <t>BFCM 2025 low ($)</t>
        </is>
      </c>
      <c r="BF62" s="26" t="inlineStr">
        <is>
          <t>BFCM 2025 discount</t>
        </is>
      </c>
      <c r="BG62" s="26" t="inlineStr">
        <is>
          <t>BSR pre-event</t>
        </is>
      </c>
      <c r="BH62" s="26" t="inlineStr">
        <is>
          <t>BSR BFCM wk</t>
        </is>
      </c>
      <c r="BI62" s="26" t="inlineStr">
        <is>
          <t>BSR lift (x)</t>
        </is>
      </c>
      <c r="BJ62" s="26" t="inlineStr">
        <is>
          <t>OOS in BFCM? (Y/N)</t>
        </is>
      </c>
      <c r="BK62" s="26" t="inlineStr">
        <is>
          <t>Notes</t>
        </is>
      </c>
    </row>
    <row r="63" ht="62" customHeight="1">
      <c r="A63" s="12">
        <f>_xlfn.IMAGE("https://m.media-amazon.com/images/I/61QNA5R3yLL._AC_SL1500_.jpg")</f>
        <v/>
      </c>
      <c r="B63" s="105" t="inlineStr">
        <is>
          <t>Cozy Bliss</t>
        </is>
      </c>
      <c r="C63" s="39" t="inlineStr">
        <is>
          <t>SL Cooling Comforter</t>
        </is>
      </c>
      <c r="D63" s="105" t="inlineStr">
        <is>
          <t>Aspirational</t>
        </is>
      </c>
      <c r="E63" s="106" t="inlineStr">
        <is>
          <t>Direct</t>
        </is>
      </c>
      <c r="F63" s="105" t="inlineStr">
        <is>
          <t>Synthetic cooling knit</t>
        </is>
      </c>
      <c r="G63" s="39" t="inlineStr">
        <is>
          <t>Same product (comforter) in the same material family: Synthetic cooling knit (product page material: Nylon); ours: BreezeWeave cooling fabric, nylon-spandex like CooLoom (confirmed Oct 15, 2026).</t>
        </is>
      </c>
      <c r="H63" s="107" t="inlineStr">
        <is>
          <t>B0BVQMYKYS</t>
        </is>
      </c>
      <c r="I63" s="107" t="inlineStr">
        <is>
          <t>B0BVQMB99W</t>
        </is>
      </c>
      <c r="J63" s="105" t="inlineStr">
        <is>
          <t>Queen(90"*90")</t>
        </is>
      </c>
      <c r="K63" s="105" t="inlineStr">
        <is>
          <t>Blue</t>
        </is>
      </c>
      <c r="L63" s="108" t="n">
        <v>26</v>
      </c>
      <c r="M63" s="39" t="inlineStr">
        <is>
          <t>B0CH8BK2PG (37%), B0BVQMB99W (36%), B0BVQQQQM6 (11%)</t>
        </is>
      </c>
      <c r="N63" s="109" t="n">
        <v>59.99</v>
      </c>
      <c r="O63" s="109" t="n">
        <v>79.98999999999999</v>
      </c>
      <c r="P63" s="110">
        <f>IF(AND(ISNUMBER(O63),ISNUMBER(N63),N(N63)&gt;0),O63/N63-1,"")</f>
        <v/>
      </c>
      <c r="Q63" s="111">
        <f>IF(P63="","No List Price",IF(P63&lt;=0,"At/below price",IF(P63&lt;=0.12,"&lt;=12% STR zone",IF(P63&lt;=0.25,"12-25%","&gt;25% over"))))</f>
        <v/>
      </c>
      <c r="R63" s="109" t="n">
        <v>69.98999999999999</v>
      </c>
      <c r="S63" s="112">
        <f>IF(AND(ISNUMBER(N63),ISNUMBER(R63),N(R63)&gt;0),N63/R63-1,"")</f>
        <v/>
      </c>
      <c r="T63" s="39" t="inlineStr">
        <is>
          <t>Same size (Queen). Ours live: catalog price, 2026-10-13; 3 children</t>
        </is>
      </c>
      <c r="U63" s="108" t="n">
        <v>7806</v>
      </c>
      <c r="V63" s="108" t="n">
        <v>104</v>
      </c>
      <c r="W63" s="113">
        <f>IF(AND(ISNUMBER(N63),ISNUMBER(V63)),N63*V63*52/12,"")</f>
        <v/>
      </c>
      <c r="X63" s="114" t="n">
        <v>4.5</v>
      </c>
      <c r="Y63" s="108" t="n">
        <v>2707</v>
      </c>
      <c r="Z63" s="115" t="n">
        <v>46307</v>
      </c>
      <c r="AA63" s="115" t="n"/>
      <c r="AB63" s="105" t="n"/>
      <c r="AC63" s="105" t="n"/>
      <c r="AD63" s="108" t="n">
        <v>338464</v>
      </c>
      <c r="AE63" s="108" t="n">
        <v>2185</v>
      </c>
      <c r="AF63" s="116" t="n">
        <v>0.6728438451356722</v>
      </c>
      <c r="AG63" s="116" t="n">
        <v>0.3271561832277584</v>
      </c>
      <c r="AH63" s="39" t="inlineStr">
        <is>
          <t>cooling blanket</t>
        </is>
      </c>
      <c r="AI63" s="116" t="n">
        <v>0.9430485960102108</v>
      </c>
      <c r="AJ63" s="116" t="n"/>
      <c r="AK63" s="116" t="n">
        <v>0.881334499385459</v>
      </c>
      <c r="AL63" s="116" t="n">
        <v>0.166005838139359</v>
      </c>
      <c r="AM63" s="108" t="n">
        <v>252</v>
      </c>
      <c r="AN63" s="108" t="n">
        <v>13</v>
      </c>
      <c r="AO63" s="108" t="n">
        <v>225</v>
      </c>
      <c r="AP63" s="108" t="n">
        <v>1933</v>
      </c>
      <c r="AQ63" s="108" t="n">
        <v>819</v>
      </c>
      <c r="AR63" s="108" t="n">
        <v>6</v>
      </c>
      <c r="AS63" s="117" t="n">
        <v>0.4224883566200932</v>
      </c>
      <c r="AT63" s="112" t="n">
        <v>-0.3379554982263786</v>
      </c>
      <c r="AU63" s="118" t="inlineStr">
        <is>
          <t>Y</t>
        </is>
      </c>
      <c r="AV63" s="118" t="inlineStr">
        <is>
          <t>List Price</t>
        </is>
      </c>
      <c r="AW63" s="119" t="n">
        <v>79.98999999999999</v>
      </c>
      <c r="AX63" s="119" t="n">
        <v>59.99</v>
      </c>
      <c r="AY63" s="118" t="inlineStr">
        <is>
          <t>none</t>
        </is>
      </c>
      <c r="AZ63" s="118" t="inlineStr">
        <is>
          <t>Y</t>
        </is>
      </c>
      <c r="BA63" s="118" t="inlineStr">
        <is>
          <t>2026-10-13 23:38:12</t>
        </is>
      </c>
      <c r="BB63" s="120" t="inlineStr">
        <is>
          <t>Prime Exclusive Discount</t>
        </is>
      </c>
      <c r="BC63" s="120" t="inlineStr">
        <is>
          <t>11-01 to 12-05</t>
        </is>
      </c>
      <c r="BD63" s="121" t="n">
        <v>49.09</v>
      </c>
      <c r="BE63" s="121" t="n">
        <v>46.63</v>
      </c>
      <c r="BF63" s="110">
        <f>IF(AND(ISNUMBER(BD63),ISNUMBER(BE63),N(BD63)&gt;0),1-BE63/BD63,"")</f>
        <v/>
      </c>
      <c r="BG63" s="122" t="n">
        <v>7052</v>
      </c>
      <c r="BH63" s="122" t="n">
        <v>6704</v>
      </c>
      <c r="BI63" s="123">
        <f>IF(AND(ISNUMBER(BG63),ISNUMBER(BH63),N(BH63)&gt;0),BG63/BH63,"")</f>
        <v/>
      </c>
      <c r="BJ63" s="120" t="inlineStr">
        <is>
          <t>N</t>
        </is>
      </c>
      <c r="BK63" s="120" t="inlineStr">
        <is>
          <t>Prime Exclusive already running before BFCM week; Buy Box RAISED in BFCM week (median $68.99 vs $49.09 before); List Price $84.99</t>
        </is>
      </c>
    </row>
    <row r="64" ht="62" customHeight="1">
      <c r="A64" s="12">
        <f>_xlfn.IMAGE("https://m.media-amazon.com/images/I/812J9qTg99L._AC_SL1500_.jpg")</f>
        <v/>
      </c>
      <c r="B64" s="105" t="inlineStr">
        <is>
          <t>Bedsure</t>
        </is>
      </c>
      <c r="C64" s="39" t="inlineStr">
        <is>
          <t>Cooling Comforter</t>
        </is>
      </c>
      <c r="D64" s="105" t="inlineStr">
        <is>
          <t>Beatable</t>
        </is>
      </c>
      <c r="E64" s="106" t="inlineStr">
        <is>
          <t>Direct</t>
        </is>
      </c>
      <c r="F64" s="105" t="inlineStr">
        <is>
          <t>Synthetic cooling knit</t>
        </is>
      </c>
      <c r="G64" s="39" t="inlineStr">
        <is>
          <t>Same product (comforter) in the same material family: Synthetic cooling knit (product page material: 85% Nylon, 15% Spandex); ours: BreezeWeave cooling fabric, nylon-spandex like CooLoom (confirmed Oct 15, 2026).</t>
        </is>
      </c>
      <c r="H64" s="107" t="inlineStr">
        <is>
          <t>B0G3WWQ7DL</t>
        </is>
      </c>
      <c r="I64" s="107" t="inlineStr">
        <is>
          <t>B0G3W85TSH</t>
        </is>
      </c>
      <c r="J64" s="105" t="inlineStr">
        <is>
          <t>King(102"x90")</t>
        </is>
      </c>
      <c r="K64" s="105" t="inlineStr">
        <is>
          <t>Grey</t>
        </is>
      </c>
      <c r="L64" s="108" t="n">
        <v>6</v>
      </c>
      <c r="M64" s="39" t="inlineStr">
        <is>
          <t>B0G3W85TSH (89%)</t>
        </is>
      </c>
      <c r="N64" s="109" t="n">
        <v>44.99</v>
      </c>
      <c r="O64" s="109" t="n">
        <v>59.99</v>
      </c>
      <c r="P64" s="110">
        <f>IF(AND(ISNUMBER(O64),ISNUMBER(N64),N(N64)&gt;0),O64/N64-1,"")</f>
        <v/>
      </c>
      <c r="Q64" s="111">
        <f>IF(P64="","No List Price",IF(P64&lt;=0,"At/below price",IF(P64&lt;=0.12,"&lt;=12% STR zone",IF(P64&lt;=0.25,"12-25%","&gt;25% over"))))</f>
        <v/>
      </c>
      <c r="R64" s="109" t="n">
        <v>79.98999999999999</v>
      </c>
      <c r="S64" s="112">
        <f>IF(AND(ISNUMBER(N64),ISNUMBER(R64),N(R64)&gt;0),N64/R64-1,"")</f>
        <v/>
      </c>
      <c r="T64" s="39" t="inlineStr">
        <is>
          <t>Same size (King). Ours live: catalog price, 2026-10-13; 2 children</t>
        </is>
      </c>
      <c r="U64" s="108" t="n">
        <v>58503</v>
      </c>
      <c r="V64" s="108" t="n">
        <v>185</v>
      </c>
      <c r="W64" s="113">
        <f>IF(AND(ISNUMBER(N64),ISNUMBER(V64)),N64*V64*52/12,"")</f>
        <v/>
      </c>
      <c r="X64" s="114" t="n">
        <v>4.5</v>
      </c>
      <c r="Y64" s="108" t="n">
        <v>142</v>
      </c>
      <c r="Z64" s="115" t="n">
        <v>46307</v>
      </c>
      <c r="AA64" s="115" t="n"/>
      <c r="AB64" s="105" t="n"/>
      <c r="AC64" s="105" t="n"/>
      <c r="AD64" s="108" t="n">
        <v>68067</v>
      </c>
      <c r="AE64" s="108" t="n">
        <v>948</v>
      </c>
      <c r="AF64" s="116" t="n">
        <v>0.4309867248446382</v>
      </c>
      <c r="AG64" s="116" t="n">
        <v>0.5690132751553616</v>
      </c>
      <c r="AH64" s="39" t="inlineStr">
        <is>
          <t>cooling comforter</t>
        </is>
      </c>
      <c r="AI64" s="116" t="n">
        <v>0.8533650667724448</v>
      </c>
      <c r="AJ64" s="116" t="n">
        <v>0.708390262535443</v>
      </c>
      <c r="AK64" s="116" t="n">
        <v>0.6444532592886421</v>
      </c>
      <c r="AL64" s="116" t="n"/>
      <c r="AM64" s="108" t="n">
        <v>208</v>
      </c>
      <c r="AN64" s="108" t="n">
        <v>30</v>
      </c>
      <c r="AO64" s="108" t="n">
        <v>147</v>
      </c>
      <c r="AP64" s="108" t="n">
        <v>740</v>
      </c>
      <c r="AQ64" s="108" t="n">
        <v>118</v>
      </c>
      <c r="AR64" s="108" t="n">
        <v>8</v>
      </c>
      <c r="AS64" s="117" t="n">
        <v>1.660633484162896</v>
      </c>
      <c r="AT64" s="112" t="n">
        <v>1.731751824817518</v>
      </c>
      <c r="AU64" s="118" t="inlineStr">
        <is>
          <t>Y</t>
        </is>
      </c>
      <c r="AV64" s="118" t="inlineStr">
        <is>
          <t>List Price</t>
        </is>
      </c>
      <c r="AW64" s="119" t="n">
        <v>59.99</v>
      </c>
      <c r="AX64" s="119" t="n">
        <v>44.99</v>
      </c>
      <c r="AY64" s="118" t="inlineStr">
        <is>
          <t>Limited time deal</t>
        </is>
      </c>
      <c r="AZ64" s="118" t="inlineStr">
        <is>
          <t>Y</t>
        </is>
      </c>
      <c r="BA64" s="118" t="inlineStr">
        <is>
          <t>2026-10-13 23:37:22</t>
        </is>
      </c>
      <c r="BB64" s="120" t="inlineStr">
        <is>
          <t>Not live in 2025</t>
        </is>
      </c>
      <c r="BC64" s="125" t="n"/>
      <c r="BD64" s="124" t="n"/>
      <c r="BE64" s="124" t="n"/>
      <c r="BF64" s="110">
        <f>IF(AND(ISNUMBER(BD64),ISNUMBER(BE64),N(BD64)&gt;0),1-BE64/BD64,"")</f>
        <v/>
      </c>
      <c r="BG64" s="126" t="n"/>
      <c r="BH64" s="126" t="n"/>
      <c r="BI64" s="123">
        <f>IF(AND(ISNUMBER(BG64),ISNUMBER(BH64),N(BH64)&gt;0),BG64/BH64,"")</f>
        <v/>
      </c>
      <c r="BJ64" s="125" t="n"/>
      <c r="BK64" s="125" t="n"/>
    </row>
    <row r="65" ht="62" customHeight="1">
      <c r="A65" s="12">
        <f>_xlfn.IMAGE("https://m.media-amazon.com/images/I/71EMZA5-oPL._AC_SL1500_.jpg")</f>
        <v/>
      </c>
      <c r="B65" s="105" t="inlineStr">
        <is>
          <t>bedsmile</t>
        </is>
      </c>
      <c r="C65" s="39" t="inlineStr">
        <is>
          <t>SL Cooling Comforter</t>
        </is>
      </c>
      <c r="D65" s="105" t="inlineStr">
        <is>
          <t>Beatable</t>
        </is>
      </c>
      <c r="E65" s="106" t="inlineStr">
        <is>
          <t>Direct</t>
        </is>
      </c>
      <c r="F65" s="105" t="inlineStr">
        <is>
          <t>Synthetic cooling knit</t>
        </is>
      </c>
      <c r="G65" s="39" t="inlineStr">
        <is>
          <t>Same product (comforter) in the same material family: Synthetic cooling knit (product page material: Nylon); ours: BreezeWeave cooling fabric, nylon-spandex like CooLoom (confirmed Oct 15, 2026).</t>
        </is>
      </c>
      <c r="H65" s="107" t="inlineStr">
        <is>
          <t>B0DWNGWXVQ</t>
        </is>
      </c>
      <c r="I65" s="107" t="inlineStr">
        <is>
          <t>B0DWNFHNXL</t>
        </is>
      </c>
      <c r="J65" s="105" t="inlineStr">
        <is>
          <t>Queen(90"x90")</t>
        </is>
      </c>
      <c r="K65" s="105" t="inlineStr">
        <is>
          <t>Dark Gray</t>
        </is>
      </c>
      <c r="L65" s="108" t="n">
        <v>19</v>
      </c>
      <c r="M65" s="39" t="inlineStr">
        <is>
          <t>B0DWNFHNXL (66%), B0DWNHX37J (13%), B0DWNHXMS8 (6%)</t>
        </is>
      </c>
      <c r="N65" s="109" t="n">
        <v>44.99</v>
      </c>
      <c r="O65" s="109" t="n"/>
      <c r="P65" s="110">
        <f>IF(AND(ISNUMBER(O65),ISNUMBER(N65),N(N65)&gt;0),O65/N65-1,"")</f>
        <v/>
      </c>
      <c r="Q65" s="111">
        <f>IF(P65="","No List Price",IF(P65&lt;=0,"At/below price",IF(P65&lt;=0.12,"&lt;=12% STR zone",IF(P65&lt;=0.25,"12-25%","&gt;25% over"))))</f>
        <v/>
      </c>
      <c r="R65" s="109" t="n">
        <v>69.98999999999999</v>
      </c>
      <c r="S65" s="112">
        <f>IF(AND(ISNUMBER(N65),ISNUMBER(R65),N(R65)&gt;0),N65/R65-1,"")</f>
        <v/>
      </c>
      <c r="T65" s="39" t="inlineStr">
        <is>
          <t>Same size (Queen). Ours live: catalog price, 2026-10-13; 3 children</t>
        </is>
      </c>
      <c r="U65" s="108" t="n">
        <v>25690</v>
      </c>
      <c r="V65" s="108" t="n">
        <v>92</v>
      </c>
      <c r="W65" s="113">
        <f>IF(AND(ISNUMBER(N65),ISNUMBER(V65)),N65*V65*52/12,"")</f>
        <v/>
      </c>
      <c r="X65" s="114" t="n">
        <v>4.3</v>
      </c>
      <c r="Y65" s="108" t="n">
        <v>741</v>
      </c>
      <c r="Z65" s="115" t="n">
        <v>46307</v>
      </c>
      <c r="AA65" s="115" t="n"/>
      <c r="AB65" s="105" t="n"/>
      <c r="AC65" s="105" t="n"/>
      <c r="AD65" s="108" t="n">
        <v>150494</v>
      </c>
      <c r="AE65" s="108" t="n">
        <v>1199</v>
      </c>
      <c r="AF65" s="116" t="n">
        <v>0.7684716287692533</v>
      </c>
      <c r="AG65" s="116" t="n">
        <v>0.2315283712307469</v>
      </c>
      <c r="AH65" s="39" t="inlineStr">
        <is>
          <t>cooling blanket</t>
        </is>
      </c>
      <c r="AI65" s="116" t="n">
        <v>0.9441572421491887</v>
      </c>
      <c r="AJ65" s="116" t="n"/>
      <c r="AK65" s="116" t="n">
        <v>0.3917166132869084</v>
      </c>
      <c r="AL65" s="116" t="n">
        <v>0.003847329461639667</v>
      </c>
      <c r="AM65" s="108" t="n">
        <v>215</v>
      </c>
      <c r="AN65" s="108" t="n">
        <v>15</v>
      </c>
      <c r="AO65" s="108" t="n">
        <v>190</v>
      </c>
      <c r="AP65" s="108" t="n">
        <v>984</v>
      </c>
      <c r="AQ65" s="108" t="n">
        <v>309</v>
      </c>
      <c r="AR65" s="108" t="n">
        <v>3</v>
      </c>
      <c r="AS65" s="117" t="n"/>
      <c r="AT65" s="112" t="n"/>
      <c r="AU65" s="118" t="inlineStr">
        <is>
          <t>Y</t>
        </is>
      </c>
      <c r="AV65" s="118" t="inlineStr">
        <is>
          <t>List Price</t>
        </is>
      </c>
      <c r="AW65" s="119" t="n">
        <v>59.99</v>
      </c>
      <c r="AX65" s="119" t="n">
        <v>44.99</v>
      </c>
      <c r="AY65" s="118" t="inlineStr">
        <is>
          <t>none</t>
        </is>
      </c>
      <c r="AZ65" s="118" t="inlineStr">
        <is>
          <t>Y</t>
        </is>
      </c>
      <c r="BA65" s="118" t="inlineStr">
        <is>
          <t>2026-10-13 23:39:26</t>
        </is>
      </c>
      <c r="BB65" s="120" t="inlineStr">
        <is>
          <t>Lightning Deal</t>
        </is>
      </c>
      <c r="BC65" s="120" t="inlineStr">
        <is>
          <t>11-24 to 11-24</t>
        </is>
      </c>
      <c r="BD65" s="121" t="n">
        <v>39.99</v>
      </c>
      <c r="BE65" s="121" t="n">
        <v>37.04</v>
      </c>
      <c r="BF65" s="110">
        <f>IF(AND(ISNUMBER(BD65),ISNUMBER(BE65),N(BD65)&gt;0),1-BE65/BD65,"")</f>
        <v/>
      </c>
      <c r="BG65" s="122" t="n">
        <v>25725</v>
      </c>
      <c r="BH65" s="122" t="n">
        <v>25906</v>
      </c>
      <c r="BI65" s="123">
        <f>IF(AND(ISNUMBER(BG65),ISNUMBER(BH65),N(BH65)&gt;0),BG65/BH65,"")</f>
        <v/>
      </c>
      <c r="BJ65" s="120" t="inlineStr">
        <is>
          <t>N</t>
        </is>
      </c>
      <c r="BK65" s="120" t="inlineStr">
        <is>
          <t>Prime Exclusive 11-03 to 12-05; Prime Exclusive already running before BFCM week; List Price $59.99</t>
        </is>
      </c>
    </row>
    <row r="66" ht="62" customHeight="1">
      <c r="A66" s="12">
        <f>_xlfn.IMAGE("https://m.media-amazon.com/images/I/71gyU+FTBWL._AC_SL1500_.jpg")</f>
        <v/>
      </c>
      <c r="B66" s="105" t="inlineStr">
        <is>
          <t>EASELAND</t>
        </is>
      </c>
      <c r="C66" s="39" t="inlineStr">
        <is>
          <t>SL Cooling Comforter</t>
        </is>
      </c>
      <c r="D66" s="105" t="inlineStr">
        <is>
          <t>Beatable</t>
        </is>
      </c>
      <c r="E66" s="106" t="inlineStr">
        <is>
          <t>Direct</t>
        </is>
      </c>
      <c r="F66" s="105" t="inlineStr">
        <is>
          <t>Synthetic cooling knit</t>
        </is>
      </c>
      <c r="G66" s="39" t="inlineStr">
        <is>
          <t>Same product (comforter) in the same material family: Synthetic cooling knit (product page material: 90% Cooling Nylon,10% Spandex); ours: BreezeWeave cooling fabric, nylon-spandex like CooLoom (confirmed Oct 15, 2026).</t>
        </is>
      </c>
      <c r="H66" s="107" t="inlineStr">
        <is>
          <t>B0HFJBMMDZ</t>
        </is>
      </c>
      <c r="I66" s="107" t="inlineStr">
        <is>
          <t>B0BQ6YY21S</t>
        </is>
      </c>
      <c r="J66" s="105" t="inlineStr">
        <is>
          <t>90"x90"</t>
        </is>
      </c>
      <c r="K66" s="105" t="inlineStr">
        <is>
          <t>Grey</t>
        </is>
      </c>
      <c r="L66" s="108" t="n">
        <v>9</v>
      </c>
      <c r="M66" s="39" t="inlineStr">
        <is>
          <t>B0BQ6YY21S (53%), B0BQ6ZKNS2 (40%)</t>
        </is>
      </c>
      <c r="N66" s="109" t="n">
        <v>48.9</v>
      </c>
      <c r="O66" s="109" t="n"/>
      <c r="P66" s="110">
        <f>IF(AND(ISNUMBER(O66),ISNUMBER(N66),N(N66)&gt;0),O66/N66-1,"")</f>
        <v/>
      </c>
      <c r="Q66" s="111">
        <f>IF(P66="","No List Price",IF(P66&lt;=0,"At/below price",IF(P66&lt;=0.12,"&lt;=12% STR zone",IF(P66&lt;=0.25,"12-25%","&gt;25% over"))))</f>
        <v/>
      </c>
      <c r="R66" s="109" t="n">
        <v>67.68230769230767</v>
      </c>
      <c r="S66" s="112">
        <f>IF(AND(ISNUMBER(N66),ISNUMBER(R66),N(R66)&gt;0),N66/R66-1,"")</f>
        <v/>
      </c>
      <c r="T66" s="39" t="inlineStr">
        <is>
          <t>vs our blended price (market data, Mar 2026 - STALE)</t>
        </is>
      </c>
      <c r="U66" s="108" t="n">
        <v>33756</v>
      </c>
      <c r="V66" s="108" t="n">
        <v>81</v>
      </c>
      <c r="W66" s="113">
        <f>IF(AND(ISNUMBER(N66),ISNUMBER(V66)),N66*V66*52/12,"")</f>
        <v/>
      </c>
      <c r="X66" s="114" t="n">
        <v>4.4</v>
      </c>
      <c r="Y66" s="108" t="n">
        <v>1093</v>
      </c>
      <c r="Z66" s="115" t="n">
        <v>46307</v>
      </c>
      <c r="AA66" s="115" t="n"/>
      <c r="AB66" s="105" t="n"/>
      <c r="AC66" s="105" t="n"/>
      <c r="AD66" s="108" t="n">
        <v>110161</v>
      </c>
      <c r="AE66" s="108" t="n">
        <v>1781</v>
      </c>
      <c r="AF66" s="116" t="n">
        <v>0.8081959241473839</v>
      </c>
      <c r="AG66" s="116" t="n">
        <v>0.1918040758526158</v>
      </c>
      <c r="AH66" s="39" t="inlineStr">
        <is>
          <t>cooling blanket</t>
        </is>
      </c>
      <c r="AI66" s="116" t="n">
        <v>0.9762892493713746</v>
      </c>
      <c r="AJ66" s="116" t="n"/>
      <c r="AK66" s="116" t="n">
        <v>0.616906164613611</v>
      </c>
      <c r="AL66" s="116" t="n">
        <v>0.0102849465781901</v>
      </c>
      <c r="AM66" s="108" t="n">
        <v>258</v>
      </c>
      <c r="AN66" s="108" t="n">
        <v>34</v>
      </c>
      <c r="AO66" s="108" t="n">
        <v>186</v>
      </c>
      <c r="AP66" s="108" t="n">
        <v>1523</v>
      </c>
      <c r="AQ66" s="108" t="n">
        <v>401</v>
      </c>
      <c r="AR66" s="108" t="n">
        <v>3</v>
      </c>
      <c r="AS66" s="117" t="n">
        <v>0.8732339089481946</v>
      </c>
      <c r="AT66" s="112" t="n">
        <v>0.9522502744237102</v>
      </c>
      <c r="AU66" s="118" t="inlineStr">
        <is>
          <t>N</t>
        </is>
      </c>
      <c r="AV66" s="118" t="inlineStr">
        <is>
          <t>none</t>
        </is>
      </c>
      <c r="AW66" s="124" t="n"/>
      <c r="AX66" s="119" t="n">
        <v>48.9</v>
      </c>
      <c r="AY66" s="118" t="inlineStr">
        <is>
          <t>none</t>
        </is>
      </c>
      <c r="AZ66" s="118" t="inlineStr">
        <is>
          <t>Y</t>
        </is>
      </c>
      <c r="BA66" s="118" t="inlineStr">
        <is>
          <t>2026-10-13 23:38:24</t>
        </is>
      </c>
      <c r="BB66" s="120" t="inlineStr">
        <is>
          <t>Prime Exclusive Discount</t>
        </is>
      </c>
      <c r="BC66" s="120" t="inlineStr">
        <is>
          <t>11-21 to 12-01</t>
        </is>
      </c>
      <c r="BD66" s="121" t="n">
        <v>37.56</v>
      </c>
      <c r="BE66" s="121" t="n">
        <v>35.59</v>
      </c>
      <c r="BF66" s="110">
        <f>IF(AND(ISNUMBER(BD66),ISNUMBER(BE66),N(BD66)&gt;0),1-BE66/BD66,"")</f>
        <v/>
      </c>
      <c r="BG66" s="122" t="n">
        <v>59295</v>
      </c>
      <c r="BH66" s="122" t="n">
        <v>46804</v>
      </c>
      <c r="BI66" s="123">
        <f>IF(AND(ISNUMBER(BG66),ISNUMBER(BH66),N(BH66)&gt;0),BG66/BH66,"")</f>
        <v/>
      </c>
      <c r="BJ66" s="120" t="inlineStr">
        <is>
          <t>N</t>
        </is>
      </c>
      <c r="BK66" s="120" t="inlineStr">
        <is>
          <t>Lightning Deal 11-08 to 11-08; Buy Box RAISED in BFCM week (median $65.90 vs $37.56 before); List Price $69.90</t>
        </is>
      </c>
    </row>
    <row r="67" ht="62" customHeight="1">
      <c r="A67" s="12">
        <f>_xlfn.IMAGE("https://m.media-amazon.com/images/I/71B7Gv9AHOL._AC_SL1500_.jpg")</f>
        <v/>
      </c>
      <c r="B67" s="105" t="inlineStr">
        <is>
          <t>Elegear</t>
        </is>
      </c>
      <c r="C67" s="39" t="inlineStr">
        <is>
          <t>SL Cooling Comforter</t>
        </is>
      </c>
      <c r="D67" s="105" t="inlineStr">
        <is>
          <t>Beatable</t>
        </is>
      </c>
      <c r="E67" s="106" t="inlineStr">
        <is>
          <t>Direct</t>
        </is>
      </c>
      <c r="F67" s="105" t="inlineStr">
        <is>
          <t>Synthetic cooling knit</t>
        </is>
      </c>
      <c r="G67" s="39" t="inlineStr">
        <is>
          <t>Same product (comforter) in the same material family: Synthetic cooling knit (product page material: Arc-Chill® 3.0 Cool Fabric); ours: BreezeWeave cooling fabric, nylon-spandex like CooLoom (confirmed Oct 15, 2026).</t>
        </is>
      </c>
      <c r="H67" s="107" t="inlineStr">
        <is>
          <t>B0D4J5Q1TK</t>
        </is>
      </c>
      <c r="I67" s="107" t="inlineStr">
        <is>
          <t>B094C72SZ4</t>
        </is>
      </c>
      <c r="J67" s="105" t="inlineStr">
        <is>
          <t>Queen 79'' x 86''</t>
        </is>
      </c>
      <c r="K67" s="105" t="inlineStr">
        <is>
          <t>Dark Gray</t>
        </is>
      </c>
      <c r="L67" s="108" t="n">
        <v>14</v>
      </c>
      <c r="M67" s="39" t="inlineStr">
        <is>
          <t>B0BYDLNKXY (52%), B094C72SZ4 (35%)</t>
        </is>
      </c>
      <c r="N67" s="109" t="n">
        <v>39.98</v>
      </c>
      <c r="O67" s="109" t="n">
        <v>44.89</v>
      </c>
      <c r="P67" s="110">
        <f>IF(AND(ISNUMBER(O67),ISNUMBER(N67),N(N67)&gt;0),O67/N67-1,"")</f>
        <v/>
      </c>
      <c r="Q67" s="111">
        <f>IF(P67="","No List Price",IF(P67&lt;=0,"At/below price",IF(P67&lt;=0.12,"&lt;=12% STR zone",IF(P67&lt;=0.25,"12-25%","&gt;25% over"))))</f>
        <v/>
      </c>
      <c r="R67" s="109" t="n">
        <v>69.98999999999999</v>
      </c>
      <c r="S67" s="112">
        <f>IF(AND(ISNUMBER(N67),ISNUMBER(R67),N(R67)&gt;0),N67/R67-1,"")</f>
        <v/>
      </c>
      <c r="T67" s="39" t="inlineStr">
        <is>
          <t>Same size (Queen). Ours live: catalog price, 2026-10-13; 3 children</t>
        </is>
      </c>
      <c r="U67" s="108" t="n">
        <v>90652</v>
      </c>
      <c r="V67" s="108" t="n">
        <v>35</v>
      </c>
      <c r="W67" s="113">
        <f>IF(AND(ISNUMBER(N67),ISNUMBER(V67)),N67*V67*52/12,"")</f>
        <v/>
      </c>
      <c r="X67" s="114" t="n">
        <v>4.2</v>
      </c>
      <c r="Y67" s="108" t="n">
        <v>1487</v>
      </c>
      <c r="Z67" s="115" t="n">
        <v>46307</v>
      </c>
      <c r="AA67" s="115" t="n"/>
      <c r="AB67" s="105" t="n"/>
      <c r="AC67" s="105" t="n"/>
      <c r="AD67" s="108" t="n">
        <v>25258</v>
      </c>
      <c r="AE67" s="108" t="n">
        <v>577</v>
      </c>
      <c r="AF67" s="116" t="n">
        <v>0.8588992715179345</v>
      </c>
      <c r="AG67" s="116" t="n">
        <v>0.1411007284820651</v>
      </c>
      <c r="AH67" s="39" t="inlineStr">
        <is>
          <t>cooling blanket</t>
        </is>
      </c>
      <c r="AI67" s="116" t="n">
        <v>0.7770211418164542</v>
      </c>
      <c r="AJ67" s="116" t="n">
        <v>0.8134056536542877</v>
      </c>
      <c r="AK67" s="116" t="n"/>
      <c r="AL67" s="116" t="n"/>
      <c r="AM67" s="108" t="n">
        <v>169</v>
      </c>
      <c r="AN67" s="108" t="n">
        <v>63</v>
      </c>
      <c r="AO67" s="108" t="n">
        <v>83</v>
      </c>
      <c r="AP67" s="108" t="n">
        <v>408</v>
      </c>
      <c r="AQ67" s="108" t="n">
        <v>138</v>
      </c>
      <c r="AR67" s="108" t="n">
        <v>4</v>
      </c>
      <c r="AS67" s="117" t="n"/>
      <c r="AT67" s="112" t="n"/>
      <c r="AU67" s="118" t="inlineStr">
        <is>
          <t>Y</t>
        </is>
      </c>
      <c r="AV67" s="118" t="inlineStr">
        <is>
          <t>Typical price</t>
        </is>
      </c>
      <c r="AW67" s="119" t="n">
        <v>44.89</v>
      </c>
      <c r="AX67" s="119" t="n">
        <v>39.98</v>
      </c>
      <c r="AY67" s="118" t="inlineStr">
        <is>
          <t>none</t>
        </is>
      </c>
      <c r="AZ67" s="118" t="inlineStr">
        <is>
          <t>Y</t>
        </is>
      </c>
      <c r="BA67" s="118" t="inlineStr">
        <is>
          <t>2026-10-13 23:38:31</t>
        </is>
      </c>
      <c r="BB67" s="120" t="inlineStr">
        <is>
          <t>Prime Exclusive Discount</t>
        </is>
      </c>
      <c r="BC67" s="120" t="inlineStr">
        <is>
          <t>11-01 to 12-05</t>
        </is>
      </c>
      <c r="BD67" s="121" t="n">
        <v>39.59</v>
      </c>
      <c r="BE67" s="121" t="n">
        <v>29.99</v>
      </c>
      <c r="BF67" s="110">
        <f>IF(AND(ISNUMBER(BD67),ISNUMBER(BE67),N(BD67)&gt;0),1-BE67/BD67,"")</f>
        <v/>
      </c>
      <c r="BG67" s="122" t="n">
        <v>108211</v>
      </c>
      <c r="BH67" s="122" t="n">
        <v>84946</v>
      </c>
      <c r="BI67" s="123">
        <f>IF(AND(ISNUMBER(BG67),ISNUMBER(BH67),N(BH67)&gt;0),BG67/BH67,"")</f>
        <v/>
      </c>
      <c r="BJ67" s="120" t="inlineStr">
        <is>
          <t>N</t>
        </is>
      </c>
      <c r="BK67" s="120" t="inlineStr">
        <is>
          <t>Prime Exclusive already running before BFCM week; List Price $58.99</t>
        </is>
      </c>
    </row>
    <row r="68" ht="62" customHeight="1">
      <c r="A68" s="12">
        <f>_xlfn.IMAGE("https://m.media-amazon.com/images/I/71Aydw6Ao8L._AC_SL1500_.jpg")</f>
        <v/>
      </c>
      <c r="B68" s="105" t="inlineStr">
        <is>
          <t>Gehtmnl</t>
        </is>
      </c>
      <c r="C68" s="39" t="inlineStr">
        <is>
          <t>SL Cooling Comforter</t>
        </is>
      </c>
      <c r="D68" s="105" t="inlineStr">
        <is>
          <t>Beatable</t>
        </is>
      </c>
      <c r="E68" s="106" t="inlineStr">
        <is>
          <t>Direct</t>
        </is>
      </c>
      <c r="F68" s="105" t="inlineStr">
        <is>
          <t>Synthetic cooling knit</t>
        </is>
      </c>
      <c r="G68" s="39" t="inlineStr">
        <is>
          <t>Same product (comforter) in the same material family: Synthetic cooling knit (product page material: Nylon); ours: BreezeWeave cooling fabric, nylon-spandex like CooLoom (confirmed Oct 15, 2026).</t>
        </is>
      </c>
      <c r="H68" s="107" t="inlineStr">
        <is>
          <t>B0GKFXT56N</t>
        </is>
      </c>
      <c r="I68" s="107" t="inlineStr">
        <is>
          <t>B0GKHZKQ9W</t>
        </is>
      </c>
      <c r="J68" s="105" t="inlineStr">
        <is>
          <t>Queen(90"x90")</t>
        </is>
      </c>
      <c r="K68" s="105" t="inlineStr">
        <is>
          <t>Frosty Light Grey</t>
        </is>
      </c>
      <c r="L68" s="108" t="n">
        <v>16</v>
      </c>
      <c r="M68" s="39" t="inlineStr">
        <is>
          <t>B0GKHZKQ9W (82%)</t>
        </is>
      </c>
      <c r="N68" s="109" t="n">
        <v>53.99</v>
      </c>
      <c r="O68" s="109" t="n"/>
      <c r="P68" s="110">
        <f>IF(AND(ISNUMBER(O68),ISNUMBER(N68),N(N68)&gt;0),O68/N68-1,"")</f>
        <v/>
      </c>
      <c r="Q68" s="111">
        <f>IF(P68="","No List Price",IF(P68&lt;=0,"At/below price",IF(P68&lt;=0.12,"&lt;=12% STR zone",IF(P68&lt;=0.25,"12-25%","&gt;25% over"))))</f>
        <v/>
      </c>
      <c r="R68" s="109" t="n">
        <v>69.98999999999999</v>
      </c>
      <c r="S68" s="112">
        <f>IF(AND(ISNUMBER(N68),ISNUMBER(R68),N(R68)&gt;0),N68/R68-1,"")</f>
        <v/>
      </c>
      <c r="T68" s="39" t="inlineStr">
        <is>
          <t>Same size (Queen). Ours live: catalog price, 2026-10-13; 3 children</t>
        </is>
      </c>
      <c r="U68" s="108" t="n">
        <v>74902</v>
      </c>
      <c r="V68" s="108" t="n">
        <v>35</v>
      </c>
      <c r="W68" s="113">
        <f>IF(AND(ISNUMBER(N68),ISNUMBER(V68)),N68*V68*52/12,"")</f>
        <v/>
      </c>
      <c r="X68" s="114" t="n">
        <v>4.4</v>
      </c>
      <c r="Y68" s="108" t="n">
        <v>655</v>
      </c>
      <c r="Z68" s="115" t="n">
        <v>46307</v>
      </c>
      <c r="AA68" s="115" t="n"/>
      <c r="AB68" s="105" t="n"/>
      <c r="AC68" s="105" t="n"/>
      <c r="AD68" s="108" t="n">
        <v>69715</v>
      </c>
      <c r="AE68" s="108" t="n">
        <v>1511</v>
      </c>
      <c r="AF68" s="116" t="n">
        <v>0.7072078304525564</v>
      </c>
      <c r="AG68" s="116" t="n">
        <v>0.2927921695474431</v>
      </c>
      <c r="AH68" s="39" t="inlineStr">
        <is>
          <t>cooling blanket</t>
        </is>
      </c>
      <c r="AI68" s="116" t="n">
        <v>0.9338449401133185</v>
      </c>
      <c r="AJ68" s="116" t="n">
        <v>0.2034999641397117</v>
      </c>
      <c r="AK68" s="116" t="n">
        <v>0.006727390088216309</v>
      </c>
      <c r="AL68" s="116" t="n">
        <v>0.05787850534318296</v>
      </c>
      <c r="AM68" s="108" t="n">
        <v>219</v>
      </c>
      <c r="AN68" s="108" t="n">
        <v>52</v>
      </c>
      <c r="AO68" s="108" t="n">
        <v>114</v>
      </c>
      <c r="AP68" s="108" t="n">
        <v>1292</v>
      </c>
      <c r="AQ68" s="108" t="n">
        <v>256</v>
      </c>
      <c r="AR68" s="108" t="n">
        <v>8</v>
      </c>
      <c r="AS68" s="117" t="n">
        <v>1.454662104362703</v>
      </c>
      <c r="AT68" s="112" t="n">
        <v>-0.04446742502585321</v>
      </c>
      <c r="AU68" s="118" t="inlineStr">
        <is>
          <t>N</t>
        </is>
      </c>
      <c r="AV68" s="118" t="inlineStr">
        <is>
          <t>none</t>
        </is>
      </c>
      <c r="AW68" s="124" t="n"/>
      <c r="AX68" s="119" t="n">
        <v>59.99</v>
      </c>
      <c r="AY68" s="118" t="inlineStr">
        <is>
          <t>none</t>
        </is>
      </c>
      <c r="AZ68" s="118" t="inlineStr">
        <is>
          <t>Y</t>
        </is>
      </c>
      <c r="BA68" s="118" t="inlineStr">
        <is>
          <t>2026-10-13 23:38:37</t>
        </is>
      </c>
      <c r="BB68" s="120" t="inlineStr">
        <is>
          <t>Not live in 2025</t>
        </is>
      </c>
      <c r="BC68" s="125" t="n"/>
      <c r="BD68" s="124" t="n"/>
      <c r="BE68" s="124" t="n"/>
      <c r="BF68" s="110">
        <f>IF(AND(ISNUMBER(BD68),ISNUMBER(BE68),N(BD68)&gt;0),1-BE68/BD68,"")</f>
        <v/>
      </c>
      <c r="BG68" s="126" t="n"/>
      <c r="BH68" s="126" t="n"/>
      <c r="BI68" s="123">
        <f>IF(AND(ISNUMBER(BG68),ISNUMBER(BH68),N(BH68)&gt;0),BG68/BH68,"")</f>
        <v/>
      </c>
      <c r="BJ68" s="125" t="n"/>
      <c r="BK68" s="125" t="n"/>
    </row>
    <row r="69" ht="62" customHeight="1">
      <c r="A69" s="12">
        <f>_xlfn.IMAGE("https://m.media-amazon.com/images/I/61859HweXCL._AC_SL1500_.jpg")</f>
        <v/>
      </c>
      <c r="B69" s="105" t="inlineStr">
        <is>
          <t>Vine Voice</t>
        </is>
      </c>
      <c r="C69" s="39" t="inlineStr">
        <is>
          <t>SL Cooling Comforter</t>
        </is>
      </c>
      <c r="D69" s="105" t="inlineStr">
        <is>
          <t>Beatable</t>
        </is>
      </c>
      <c r="E69" s="106" t="inlineStr">
        <is>
          <t>Direct</t>
        </is>
      </c>
      <c r="F69" s="105" t="inlineStr">
        <is>
          <t>Synthetic cooling knit</t>
        </is>
      </c>
      <c r="G69" s="39" t="inlineStr">
        <is>
          <t>Same product (comforter) in the same material family: Synthetic cooling knit (product page material: Nylon); ours: BreezeWeave cooling fabric, nylon-spandex like CooLoom (confirmed Oct 15, 2026).</t>
        </is>
      </c>
      <c r="H69" s="107" t="inlineStr">
        <is>
          <t>B0GVYJX6MB</t>
        </is>
      </c>
      <c r="I69" s="107" t="inlineStr">
        <is>
          <t>B0GK9776YF</t>
        </is>
      </c>
      <c r="J69" s="105" t="inlineStr">
        <is>
          <t>Full / Queen (90"x90")</t>
        </is>
      </c>
      <c r="K69" s="105" t="inlineStr">
        <is>
          <t>Silver Gray</t>
        </is>
      </c>
      <c r="L69" s="108" t="n">
        <v>39</v>
      </c>
      <c r="M69" s="39" t="inlineStr">
        <is>
          <t>B0DX27SVYV (44%), B0GK9776YF (18%), B0GK9JCTXC (9%), B0DX26NBM3 (7%), B0DX28SGQH (6%)</t>
        </is>
      </c>
      <c r="N69" s="109" t="n">
        <v>56.99</v>
      </c>
      <c r="O69" s="109" t="n"/>
      <c r="P69" s="110">
        <f>IF(AND(ISNUMBER(O69),ISNUMBER(N69),N(N69)&gt;0),O69/N69-1,"")</f>
        <v/>
      </c>
      <c r="Q69" s="111">
        <f>IF(P69="","No List Price",IF(P69&lt;=0,"At/below price",IF(P69&lt;=0.12,"&lt;=12% STR zone",IF(P69&lt;=0.25,"12-25%","&gt;25% over"))))</f>
        <v/>
      </c>
      <c r="R69" s="109" t="n">
        <v>64.98999999999999</v>
      </c>
      <c r="S69" s="112">
        <f>IF(AND(ISNUMBER(N69),ISNUMBER(R69),N(R69)&gt;0),N69/R69-1,"")</f>
        <v/>
      </c>
      <c r="T69" s="39" t="inlineStr">
        <is>
          <t>Same size (Full). Ours live: catalog price, 2026-10-13; 4 children</t>
        </is>
      </c>
      <c r="U69" s="108" t="n">
        <v>28045</v>
      </c>
      <c r="V69" s="108" t="n">
        <v>35</v>
      </c>
      <c r="W69" s="113">
        <f>IF(AND(ISNUMBER(N69),ISNUMBER(V69)),N69*V69*52/12,"")</f>
        <v/>
      </c>
      <c r="X69" s="114" t="n">
        <v>4.4</v>
      </c>
      <c r="Y69" s="108" t="n">
        <v>888</v>
      </c>
      <c r="Z69" s="115" t="n">
        <v>46307</v>
      </c>
      <c r="AA69" s="115" t="n"/>
      <c r="AB69" s="105" t="n"/>
      <c r="AC69" s="105" t="n"/>
      <c r="AD69" s="108" t="n">
        <v>149817</v>
      </c>
      <c r="AE69" s="108" t="n">
        <v>1397</v>
      </c>
      <c r="AF69" s="116" t="n">
        <v>0.7796245933372051</v>
      </c>
      <c r="AG69" s="116" t="n">
        <v>0.2203758552100228</v>
      </c>
      <c r="AH69" s="39" t="inlineStr">
        <is>
          <t>cooling blanket</t>
        </is>
      </c>
      <c r="AI69" s="116" t="n">
        <v>0.9663389334988686</v>
      </c>
      <c r="AJ69" s="116" t="n">
        <v>0.5016720398886642</v>
      </c>
      <c r="AK69" s="116" t="n">
        <v>0.006087426660525841</v>
      </c>
      <c r="AL69" s="116" t="n">
        <v>0.03079757303910771</v>
      </c>
      <c r="AM69" s="108" t="n">
        <v>219</v>
      </c>
      <c r="AN69" s="108" t="n">
        <v>11</v>
      </c>
      <c r="AO69" s="108" t="n">
        <v>189</v>
      </c>
      <c r="AP69" s="108" t="n">
        <v>1178</v>
      </c>
      <c r="AQ69" s="108" t="n">
        <v>292</v>
      </c>
      <c r="AR69" s="108" t="n">
        <v>5</v>
      </c>
      <c r="AS69" s="117" t="n"/>
      <c r="AT69" s="112" t="n"/>
      <c r="AU69" s="118" t="inlineStr">
        <is>
          <t>Y</t>
        </is>
      </c>
      <c r="AV69" s="118" t="inlineStr">
        <is>
          <t>Typical price</t>
        </is>
      </c>
      <c r="AW69" s="119" t="n">
        <v>62.29</v>
      </c>
      <c r="AX69" s="119" t="n">
        <v>51.43</v>
      </c>
      <c r="AY69" s="118" t="inlineStr">
        <is>
          <t>none</t>
        </is>
      </c>
      <c r="AZ69" s="118" t="inlineStr">
        <is>
          <t>Y</t>
        </is>
      </c>
      <c r="BA69" s="118" t="inlineStr">
        <is>
          <t>2026-10-13 23:39:20</t>
        </is>
      </c>
      <c r="BB69" s="120" t="inlineStr">
        <is>
          <t>Not live in 2025</t>
        </is>
      </c>
      <c r="BC69" s="125" t="n"/>
      <c r="BD69" s="124" t="n"/>
      <c r="BE69" s="124" t="n"/>
      <c r="BF69" s="110">
        <f>IF(AND(ISNUMBER(BD69),ISNUMBER(BE69),N(BD69)&gt;0),1-BE69/BD69,"")</f>
        <v/>
      </c>
      <c r="BG69" s="126" t="n"/>
      <c r="BH69" s="126" t="n"/>
      <c r="BI69" s="123">
        <f>IF(AND(ISNUMBER(BG69),ISNUMBER(BH69),N(BH69)&gt;0),BG69/BH69,"")</f>
        <v/>
      </c>
      <c r="BJ69" s="125" t="n"/>
      <c r="BK69" s="125" t="n"/>
    </row>
    <row r="70" ht="62" customHeight="1">
      <c r="A70" s="12">
        <f>_xlfn.IMAGE("https://m.media-amazon.com/images/I/71MQ5TmOMXL._AC_SL1500_.jpg")</f>
        <v/>
      </c>
      <c r="B70" s="105" t="inlineStr">
        <is>
          <t>Breescape</t>
        </is>
      </c>
      <c r="C70" s="39" t="inlineStr">
        <is>
          <t>SL Cooling Comforter</t>
        </is>
      </c>
      <c r="D70" s="105" t="inlineStr">
        <is>
          <t>Beatable</t>
        </is>
      </c>
      <c r="E70" s="106" t="inlineStr">
        <is>
          <t>Direct</t>
        </is>
      </c>
      <c r="F70" s="105" t="inlineStr">
        <is>
          <t>Synthetic cooling knit</t>
        </is>
      </c>
      <c r="G70" s="39" t="inlineStr">
        <is>
          <t>Same product (comforter) in the same material family: Synthetic cooling knit (product page material: BlendTek Fabric); ours: BreezeWeave cooling fabric, nylon-spandex like CooLoom (confirmed Oct 15, 2026).</t>
        </is>
      </c>
      <c r="H70" s="107" t="inlineStr">
        <is>
          <t>B0F38CR981</t>
        </is>
      </c>
      <c r="I70" s="107" t="inlineStr">
        <is>
          <t>B0DSPZQ9JG</t>
        </is>
      </c>
      <c r="J70" s="105" t="inlineStr">
        <is>
          <t>King / Cali King (96"x106")</t>
        </is>
      </c>
      <c r="K70" s="105" t="inlineStr">
        <is>
          <t>Misty Gray</t>
        </is>
      </c>
      <c r="L70" s="108" t="n">
        <v>19</v>
      </c>
      <c r="M70" s="39" t="inlineStr">
        <is>
          <t>B0DSPZQ9JG (61%), B0DSPZWJ9F (23%)</t>
        </is>
      </c>
      <c r="N70" s="109" t="n">
        <v>149.99</v>
      </c>
      <c r="O70" s="109" t="n"/>
      <c r="P70" s="110">
        <f>IF(AND(ISNUMBER(O70),ISNUMBER(N70),N(N70)&gt;0),O70/N70-1,"")</f>
        <v/>
      </c>
      <c r="Q70" s="111">
        <f>IF(P70="","No List Price",IF(P70&lt;=0,"At/below price",IF(P70&lt;=0.12,"&lt;=12% STR zone",IF(P70&lt;=0.25,"12-25%","&gt;25% over"))))</f>
        <v/>
      </c>
      <c r="R70" s="109" t="n">
        <v>79.98999999999999</v>
      </c>
      <c r="S70" s="112">
        <f>IF(AND(ISNUMBER(N70),ISNUMBER(R70),N(R70)&gt;0),N70/R70-1,"")</f>
        <v/>
      </c>
      <c r="T70" s="39" t="inlineStr">
        <is>
          <t>Same size (King). Ours live: catalog price, 2026-10-13; 2 children</t>
        </is>
      </c>
      <c r="U70" s="108" t="n">
        <v>110181</v>
      </c>
      <c r="V70" s="108" t="n">
        <v>18</v>
      </c>
      <c r="W70" s="113">
        <f>IF(AND(ISNUMBER(N70),ISNUMBER(V70)),N70*V70*52/12,"")</f>
        <v/>
      </c>
      <c r="X70" s="114" t="n">
        <v>4.4</v>
      </c>
      <c r="Y70" s="108" t="n">
        <v>343</v>
      </c>
      <c r="Z70" s="115" t="n">
        <v>46307</v>
      </c>
      <c r="AA70" s="115" t="n"/>
      <c r="AB70" s="105" t="n"/>
      <c r="AC70" s="105" t="n"/>
      <c r="AD70" s="108" t="n">
        <v>87874</v>
      </c>
      <c r="AE70" s="108" t="n">
        <v>3067</v>
      </c>
      <c r="AF70" s="116" t="n">
        <v>0.2855783553724651</v>
      </c>
      <c r="AG70" s="116" t="n">
        <v>0.7144216810433121</v>
      </c>
      <c r="AH70" s="39" t="inlineStr">
        <is>
          <t>breescape cooling comforter blanket</t>
        </is>
      </c>
      <c r="AI70" s="116" t="n">
        <v>0.8754239024057173</v>
      </c>
      <c r="AJ70" s="116" t="n">
        <v>0.1968955549992034</v>
      </c>
      <c r="AK70" s="116" t="n">
        <v>0.2405148280492523</v>
      </c>
      <c r="AL70" s="116" t="n">
        <v>0.1635751189202722</v>
      </c>
      <c r="AM70" s="108" t="n">
        <v>262</v>
      </c>
      <c r="AN70" s="108" t="n">
        <v>47</v>
      </c>
      <c r="AO70" s="108" t="n">
        <v>183</v>
      </c>
      <c r="AP70" s="108" t="n">
        <v>2805</v>
      </c>
      <c r="AQ70" s="108" t="n">
        <v>1556</v>
      </c>
      <c r="AR70" s="108" t="n">
        <v>7</v>
      </c>
      <c r="AS70" s="117" t="n">
        <v>1.336633663366336</v>
      </c>
      <c r="AT70" s="112" t="n">
        <v>-0.1874272409778813</v>
      </c>
      <c r="AU70" s="118" t="inlineStr">
        <is>
          <t>N</t>
        </is>
      </c>
      <c r="AV70" s="118" t="inlineStr">
        <is>
          <t>none</t>
        </is>
      </c>
      <c r="AW70" s="124" t="n"/>
      <c r="AX70" s="119" t="n">
        <v>149.99</v>
      </c>
      <c r="AY70" s="118" t="inlineStr">
        <is>
          <t>none</t>
        </is>
      </c>
      <c r="AZ70" s="118" t="inlineStr">
        <is>
          <t>Y</t>
        </is>
      </c>
      <c r="BA70" s="118" t="inlineStr">
        <is>
          <t>2026-10-13 23:37:47</t>
        </is>
      </c>
      <c r="BB70" s="120" t="inlineStr">
        <is>
          <t>Price cut only</t>
        </is>
      </c>
      <c r="BC70" s="120" t="inlineStr">
        <is>
          <t>11-20 to 12-01</t>
        </is>
      </c>
      <c r="BD70" s="121" t="n">
        <v>139.99</v>
      </c>
      <c r="BE70" s="121" t="n">
        <v>132.99</v>
      </c>
      <c r="BF70" s="110">
        <f>IF(AND(ISNUMBER(BD70),ISNUMBER(BE70),N(BD70)&gt;0),1-BE70/BD70,"")</f>
        <v/>
      </c>
      <c r="BG70" s="122" t="n">
        <v>127247</v>
      </c>
      <c r="BH70" s="122" t="n">
        <v>98246</v>
      </c>
      <c r="BI70" s="123">
        <f>IF(AND(ISNUMBER(BG70),ISNUMBER(BH70),N(BH70)&gt;0),BG70/BH70,"")</f>
        <v/>
      </c>
      <c r="BJ70" s="120" t="inlineStr">
        <is>
          <t>N</t>
        </is>
      </c>
      <c r="BK70" s="120" t="inlineStr">
        <is>
          <t>List Price $199.99</t>
        </is>
      </c>
    </row>
    <row r="71" ht="62" customHeight="1">
      <c r="A71" s="12">
        <f>_xlfn.IMAGE("https://m.media-amazon.com/images/I/81aCc4lf8iL._AC_SL1500_.jpg")</f>
        <v/>
      </c>
      <c r="B71" s="105" t="inlineStr">
        <is>
          <t>Bedsure</t>
        </is>
      </c>
      <c r="C71" s="39" t="inlineStr">
        <is>
          <t>SL Cooling Comforter</t>
        </is>
      </c>
      <c r="D71" s="105" t="inlineStr">
        <is>
          <t>Beatable</t>
        </is>
      </c>
      <c r="E71" s="106" t="inlineStr">
        <is>
          <t>Direct</t>
        </is>
      </c>
      <c r="F71" s="105" t="inlineStr">
        <is>
          <t>Synthetic cooling knit</t>
        </is>
      </c>
      <c r="G71" s="39" t="inlineStr">
        <is>
          <t>Same product (comforter) in the same material family: Synthetic cooling knit (product page material: Nylon); ours: BreezeWeave cooling fabric, nylon-spandex like CooLoom (confirmed Oct 15, 2026).</t>
        </is>
      </c>
      <c r="H71" s="107" t="inlineStr">
        <is>
          <t>B0DYZMVM53</t>
        </is>
      </c>
      <c r="I71" s="107" t="inlineStr">
        <is>
          <t>B0DFW11ZMW</t>
        </is>
      </c>
      <c r="J71" s="105" t="inlineStr">
        <is>
          <t>Full/Queen(88"x88")</t>
        </is>
      </c>
      <c r="K71" s="105" t="inlineStr">
        <is>
          <t>Gray</t>
        </is>
      </c>
      <c r="L71" s="108" t="n">
        <v>5</v>
      </c>
      <c r="M71" s="39" t="inlineStr">
        <is>
          <t>B0DFQ32464 (54%), B0DFW11ZMW (24%), B0DFXWHG34 (11%)</t>
        </is>
      </c>
      <c r="N71" s="109" t="n">
        <v>41.85</v>
      </c>
      <c r="O71" s="109" t="n"/>
      <c r="P71" s="110">
        <f>IF(AND(ISNUMBER(O71),ISNUMBER(N71),N(N71)&gt;0),O71/N71-1,"")</f>
        <v/>
      </c>
      <c r="Q71" s="111">
        <f>IF(P71="","No List Price",IF(P71&lt;=0,"At/below price",IF(P71&lt;=0.12,"&lt;=12% STR zone",IF(P71&lt;=0.25,"12-25%","&gt;25% over"))))</f>
        <v/>
      </c>
      <c r="R71" s="109" t="n">
        <v>64.98999999999999</v>
      </c>
      <c r="S71" s="112">
        <f>IF(AND(ISNUMBER(N71),ISNUMBER(R71),N(R71)&gt;0),N71/R71-1,"")</f>
        <v/>
      </c>
      <c r="T71" s="39" t="inlineStr">
        <is>
          <t>Same size (Full). Ours live: catalog price, 2026-10-13; 4 children</t>
        </is>
      </c>
      <c r="U71" s="108" t="n">
        <v>225567</v>
      </c>
      <c r="V71" s="108" t="n">
        <v>5</v>
      </c>
      <c r="W71" s="113">
        <f>IF(AND(ISNUMBER(N71),ISNUMBER(V71)),N71*V71*52/12,"")</f>
        <v/>
      </c>
      <c r="X71" s="114" t="n">
        <v>4.4</v>
      </c>
      <c r="Y71" s="108" t="n">
        <v>282</v>
      </c>
      <c r="Z71" s="115" t="n">
        <v>46307</v>
      </c>
      <c r="AA71" s="115" t="n"/>
      <c r="AB71" s="105" t="n"/>
      <c r="AC71" s="105" t="n"/>
      <c r="AD71" s="108" t="n">
        <v>18504</v>
      </c>
      <c r="AE71" s="108" t="n">
        <v>357</v>
      </c>
      <c r="AF71" s="116" t="n">
        <v>0.9711953307392996</v>
      </c>
      <c r="AG71" s="116" t="n">
        <v>0.02880466926070039</v>
      </c>
      <c r="AH71" s="39" t="inlineStr">
        <is>
          <t>marshmallow comforter</t>
        </is>
      </c>
      <c r="AI71" s="116" t="n"/>
      <c r="AJ71" s="116" t="n">
        <v>0.064526588845655</v>
      </c>
      <c r="AK71" s="116" t="n">
        <v>0.064526588845655</v>
      </c>
      <c r="AL71" s="116" t="n"/>
      <c r="AM71" s="108" t="n">
        <v>105</v>
      </c>
      <c r="AN71" s="108" t="n">
        <v>41</v>
      </c>
      <c r="AO71" s="108" t="n">
        <v>52</v>
      </c>
      <c r="AP71" s="108" t="n">
        <v>252</v>
      </c>
      <c r="AQ71" s="108" t="n">
        <v>1</v>
      </c>
      <c r="AR71" s="108" t="n">
        <v>0</v>
      </c>
      <c r="AS71" s="117" t="n"/>
      <c r="AT71" s="112" t="n"/>
      <c r="AU71" s="118" t="inlineStr">
        <is>
          <t>N</t>
        </is>
      </c>
      <c r="AV71" s="118" t="inlineStr">
        <is>
          <t>none</t>
        </is>
      </c>
      <c r="AW71" s="124" t="n"/>
      <c r="AX71" s="119" t="n">
        <v>41.85</v>
      </c>
      <c r="AY71" s="118" t="inlineStr">
        <is>
          <t>none</t>
        </is>
      </c>
      <c r="AZ71" s="118" t="inlineStr">
        <is>
          <t>Y</t>
        </is>
      </c>
      <c r="BA71" s="118" t="inlineStr">
        <is>
          <t>2026-10-13 23:37:25</t>
        </is>
      </c>
      <c r="BB71" s="125" t="n"/>
      <c r="BC71" s="125" t="n"/>
      <c r="BD71" s="121" t="n">
        <v>75.98999999999999</v>
      </c>
      <c r="BE71" s="124" t="n"/>
      <c r="BF71" s="110">
        <f>IF(AND(ISNUMBER(BD71),ISNUMBER(BE71),N(BD71)&gt;0),1-BE71/BD71,"")</f>
        <v/>
      </c>
      <c r="BG71" s="122" t="n">
        <v>487334</v>
      </c>
      <c r="BH71" s="122" t="n">
        <v>583186</v>
      </c>
      <c r="BI71" s="123">
        <f>IF(AND(ISNUMBER(BG71),ISNUMBER(BH71),N(BH71)&gt;0),BG71/BH71,"")</f>
        <v/>
      </c>
      <c r="BJ71" s="120" t="inlineStr">
        <is>
          <t>Y</t>
        </is>
      </c>
      <c r="BK71" s="120" t="inlineStr">
        <is>
          <t>No Buy Box history in price history for BFCM 2025; List Price $82.99</t>
        </is>
      </c>
    </row>
    <row r="72" ht="62" customHeight="1">
      <c r="A72" s="12">
        <f>_xlfn.IMAGE("https://m.media-amazon.com/images/I/81yu1O856KL._AC_SL1500_.jpg")</f>
        <v/>
      </c>
      <c r="B72" s="105" t="inlineStr">
        <is>
          <t>DOWNCOOL</t>
        </is>
      </c>
      <c r="C72" s="39" t="inlineStr">
        <is>
          <t>SL Cooling Comforter</t>
        </is>
      </c>
      <c r="D72" s="105" t="inlineStr">
        <is>
          <t>Untiered</t>
        </is>
      </c>
      <c r="E72" s="106" t="inlineStr">
        <is>
          <t>Direct</t>
        </is>
      </c>
      <c r="F72" s="105" t="inlineStr">
        <is>
          <t>Synthetic cooling knit</t>
        </is>
      </c>
      <c r="G72" s="39" t="inlineStr">
        <is>
          <t>Same product (comforter) in the same material family: Synthetic cooling knit (product page material: Nylon); ours: BreezeWeave cooling fabric, nylon-spandex like CooLoom (confirmed Oct 15, 2026).</t>
        </is>
      </c>
      <c r="H72" s="107" t="inlineStr">
        <is>
          <t>B0H71QH7J8</t>
        </is>
      </c>
      <c r="I72" s="107" t="inlineStr">
        <is>
          <t>B0G7YZWPHK</t>
        </is>
      </c>
      <c r="J72" s="105" t="inlineStr">
        <is>
          <t>Full/Queen(90"x90")</t>
        </is>
      </c>
      <c r="K72" s="105" t="inlineStr">
        <is>
          <t>01dark Grey</t>
        </is>
      </c>
      <c r="L72" s="108" t="n"/>
      <c r="M72" s="39" t="inlineStr"/>
      <c r="N72" s="109" t="n">
        <v>31.99</v>
      </c>
      <c r="O72" s="109" t="n">
        <v>39.99</v>
      </c>
      <c r="P72" s="110">
        <f>IF(AND(ISNUMBER(O72),ISNUMBER(N72),N(N72)&gt;0),O72/N72-1,"")</f>
        <v/>
      </c>
      <c r="Q72" s="111">
        <f>IF(P72="","No List Price",IF(P72&lt;=0,"At/below price",IF(P72&lt;=0.12,"&lt;=12% STR zone",IF(P72&lt;=0.25,"12-25%","&gt;25% over"))))</f>
        <v/>
      </c>
      <c r="R72" s="109" t="n">
        <v>64.98999999999999</v>
      </c>
      <c r="S72" s="112">
        <f>IF(AND(ISNUMBER(N72),ISNUMBER(R72),N(R72)&gt;0),N72/R72-1,"")</f>
        <v/>
      </c>
      <c r="T72" s="39" t="inlineStr">
        <is>
          <t>Same size (Full). Ours live: catalog price, 2026-10-13; 4 children</t>
        </is>
      </c>
      <c r="U72" s="108" t="n">
        <v>14419</v>
      </c>
      <c r="V72" s="108" t="n">
        <v>104</v>
      </c>
      <c r="W72" s="113">
        <f>IF(AND(ISNUMBER(N72),ISNUMBER(V72)),N72*V72*52/12,"")</f>
        <v/>
      </c>
      <c r="X72" s="114" t="n">
        <v>4.4</v>
      </c>
      <c r="Y72" s="108" t="n">
        <v>904</v>
      </c>
      <c r="Z72" s="115" t="n">
        <v>46307</v>
      </c>
      <c r="AA72" s="115" t="n"/>
      <c r="AB72" s="105" t="n"/>
      <c r="AC72" s="105" t="n"/>
      <c r="AD72" s="108" t="n"/>
      <c r="AE72" s="108" t="n"/>
      <c r="AF72" s="116" t="n"/>
      <c r="AG72" s="116" t="n"/>
      <c r="AH72" s="39" t="n"/>
      <c r="AI72" s="116" t="n"/>
      <c r="AJ72" s="116" t="n"/>
      <c r="AK72" s="116" t="n"/>
      <c r="AL72" s="116" t="n"/>
      <c r="AM72" s="108" t="n"/>
      <c r="AN72" s="108" t="n"/>
      <c r="AO72" s="108" t="n"/>
      <c r="AP72" s="108" t="n"/>
      <c r="AQ72" s="108" t="n"/>
      <c r="AR72" s="108" t="n"/>
      <c r="AS72" s="117" t="n"/>
      <c r="AT72" s="112" t="n"/>
      <c r="AU72" s="118" t="inlineStr">
        <is>
          <t>Y</t>
        </is>
      </c>
      <c r="AV72" s="118" t="inlineStr">
        <is>
          <t>List Price</t>
        </is>
      </c>
      <c r="AW72" s="119" t="n">
        <v>39.99</v>
      </c>
      <c r="AX72" s="119" t="n">
        <v>31.99</v>
      </c>
      <c r="AY72" s="118" t="inlineStr">
        <is>
          <t>Limited time deal</t>
        </is>
      </c>
      <c r="AZ72" s="118" t="inlineStr">
        <is>
          <t>Y</t>
        </is>
      </c>
      <c r="BA72" s="118" t="inlineStr">
        <is>
          <t>2026-10-13 23:38:18</t>
        </is>
      </c>
      <c r="BB72" s="120" t="inlineStr">
        <is>
          <t>Not live in 2025</t>
        </is>
      </c>
      <c r="BC72" s="125" t="n"/>
      <c r="BD72" s="124" t="n"/>
      <c r="BE72" s="124" t="n"/>
      <c r="BF72" s="110">
        <f>IF(AND(ISNUMBER(BD72),ISNUMBER(BE72),N(BD72)&gt;0),1-BE72/BD72,"")</f>
        <v/>
      </c>
      <c r="BG72" s="126" t="n"/>
      <c r="BH72" s="126" t="n"/>
      <c r="BI72" s="123">
        <f>IF(AND(ISNUMBER(BG72),ISNUMBER(BH72),N(BH72)&gt;0),BG72/BH72,"")</f>
        <v/>
      </c>
      <c r="BJ72" s="125" t="n"/>
      <c r="BK72" s="125" t="n"/>
    </row>
    <row r="73" ht="62" customHeight="1">
      <c r="A73" s="12">
        <f>_xlfn.IMAGE("https://m.media-amazon.com/images/I/81FADKRDqtL._AC_SL1500_.jpg")</f>
        <v/>
      </c>
      <c r="B73" s="105" t="inlineStr">
        <is>
          <t>MASVIS</t>
        </is>
      </c>
      <c r="C73" s="39" t="inlineStr">
        <is>
          <t>SL Cooling Comforter</t>
        </is>
      </c>
      <c r="D73" s="105" t="inlineStr">
        <is>
          <t>Untiered</t>
        </is>
      </c>
      <c r="E73" s="106" t="inlineStr">
        <is>
          <t>Direct</t>
        </is>
      </c>
      <c r="F73" s="105" t="inlineStr">
        <is>
          <t>Synthetic cooling knit</t>
        </is>
      </c>
      <c r="G73" s="39" t="inlineStr">
        <is>
          <t>Same product (comforter) in the same material family: Synthetic cooling knit (product page material: Nylon); ours: BreezeWeave cooling fabric, nylon-spandex like CooLoom (confirmed Oct 15, 2026).</t>
        </is>
      </c>
      <c r="H73" s="107" t="inlineStr">
        <is>
          <t>B0GBWB3NSS</t>
        </is>
      </c>
      <c r="I73" s="107" t="inlineStr">
        <is>
          <t>B0GBV12MKL</t>
        </is>
      </c>
      <c r="J73" s="105" t="inlineStr">
        <is>
          <t>Queen (90"x90")</t>
        </is>
      </c>
      <c r="K73" s="105" t="inlineStr">
        <is>
          <t>Beige</t>
        </is>
      </c>
      <c r="L73" s="108" t="n"/>
      <c r="M73" s="39" t="inlineStr"/>
      <c r="N73" s="109" t="n">
        <v>66.98999999999999</v>
      </c>
      <c r="O73" s="109" t="n"/>
      <c r="P73" s="110">
        <f>IF(AND(ISNUMBER(O73),ISNUMBER(N73),N(N73)&gt;0),O73/N73-1,"")</f>
        <v/>
      </c>
      <c r="Q73" s="111">
        <f>IF(P73="","No List Price",IF(P73&lt;=0,"At/below price",IF(P73&lt;=0.12,"&lt;=12% STR zone",IF(P73&lt;=0.25,"12-25%","&gt;25% over"))))</f>
        <v/>
      </c>
      <c r="R73" s="109" t="n">
        <v>69.98999999999999</v>
      </c>
      <c r="S73" s="112">
        <f>IF(AND(ISNUMBER(N73),ISNUMBER(R73),N(R73)&gt;0),N73/R73-1,"")</f>
        <v/>
      </c>
      <c r="T73" s="39" t="inlineStr">
        <is>
          <t>Same size (Queen). Ours live: catalog price, 2026-10-13; 3 children</t>
        </is>
      </c>
      <c r="U73" s="108" t="n">
        <v>469677</v>
      </c>
      <c r="V73" s="108" t="n">
        <v>5</v>
      </c>
      <c r="W73" s="113">
        <f>IF(AND(ISNUMBER(N73),ISNUMBER(V73)),N73*V73*52/12,"")</f>
        <v/>
      </c>
      <c r="X73" s="114" t="n">
        <v>4.5</v>
      </c>
      <c r="Y73" s="108" t="n">
        <v>204</v>
      </c>
      <c r="Z73" s="115" t="n">
        <v>46307</v>
      </c>
      <c r="AA73" s="115" t="n"/>
      <c r="AB73" s="105" t="n"/>
      <c r="AC73" s="105" t="n"/>
      <c r="AD73" s="108" t="n"/>
      <c r="AE73" s="108" t="n"/>
      <c r="AF73" s="116" t="n"/>
      <c r="AG73" s="116" t="n"/>
      <c r="AH73" s="39" t="n"/>
      <c r="AI73" s="116" t="n"/>
      <c r="AJ73" s="116" t="n"/>
      <c r="AK73" s="116" t="n"/>
      <c r="AL73" s="116" t="n"/>
      <c r="AM73" s="108" t="n"/>
      <c r="AN73" s="108" t="n"/>
      <c r="AO73" s="108" t="n"/>
      <c r="AP73" s="108" t="n"/>
      <c r="AQ73" s="108" t="n"/>
      <c r="AR73" s="108" t="n"/>
      <c r="AS73" s="117" t="n"/>
      <c r="AT73" s="112" t="n"/>
      <c r="AU73" s="118" t="inlineStr">
        <is>
          <t>N</t>
        </is>
      </c>
      <c r="AV73" s="118" t="inlineStr">
        <is>
          <t>none</t>
        </is>
      </c>
      <c r="AW73" s="124" t="n"/>
      <c r="AX73" s="119" t="n">
        <v>66.98999999999999</v>
      </c>
      <c r="AY73" s="118" t="inlineStr">
        <is>
          <t>none</t>
        </is>
      </c>
      <c r="AZ73" s="118" t="inlineStr">
        <is>
          <t>Y</t>
        </is>
      </c>
      <c r="BA73" s="118" t="inlineStr">
        <is>
          <t>2026-10-13 23:48:06</t>
        </is>
      </c>
      <c r="BB73" s="120" t="inlineStr">
        <is>
          <t>Not live in 2025</t>
        </is>
      </c>
      <c r="BC73" s="125" t="n"/>
      <c r="BD73" s="124" t="n"/>
      <c r="BE73" s="124" t="n"/>
      <c r="BF73" s="110">
        <f>IF(AND(ISNUMBER(BD73),ISNUMBER(BE73),N(BD73)&gt;0),1-BE73/BD73,"")</f>
        <v/>
      </c>
      <c r="BG73" s="126" t="n"/>
      <c r="BH73" s="126" t="n"/>
      <c r="BI73" s="123">
        <f>IF(AND(ISNUMBER(BG73),ISNUMBER(BH73),N(BH73)&gt;0),BG73/BH73,"")</f>
        <v/>
      </c>
      <c r="BJ73" s="125" t="n"/>
      <c r="BK73" s="125" t="n"/>
    </row>
    <row r="74" ht="62" customHeight="1">
      <c r="A74" s="12">
        <f>_xlfn.IMAGE("https://m.media-amazon.com/images/I/71kB930U55L._AC_SL1500_.jpg")</f>
        <v/>
      </c>
      <c r="B74" s="105" t="inlineStr">
        <is>
          <t>Wolliwa</t>
        </is>
      </c>
      <c r="C74" s="39" t="inlineStr">
        <is>
          <t>SL Cooling Comforter</t>
        </is>
      </c>
      <c r="D74" s="105" t="inlineStr">
        <is>
          <t>Untiered</t>
        </is>
      </c>
      <c r="E74" s="106" t="inlineStr">
        <is>
          <t>Direct</t>
        </is>
      </c>
      <c r="F74" s="105" t="inlineStr">
        <is>
          <t>Synthetic cooling knit</t>
        </is>
      </c>
      <c r="G74" s="39" t="inlineStr">
        <is>
          <t>Same product (comforter) in the same material family: Synthetic cooling knit (product page material: Double-sided Cold Tech Fabric,Fabric is 90% nylon +10% spand); ours: BreezeWeave cooling fabric, nylon-spandex like CooLoom (confirmed Oct 15, 2026).</t>
        </is>
      </c>
      <c r="H74" s="107" t="inlineStr">
        <is>
          <t>B0FDWBSS6T</t>
        </is>
      </c>
      <c r="I74" s="107" t="inlineStr">
        <is>
          <t>B0DYNVCJG9</t>
        </is>
      </c>
      <c r="J74" s="105" t="inlineStr">
        <is>
          <t>108"x90“</t>
        </is>
      </c>
      <c r="K74" s="105" t="inlineStr">
        <is>
          <t>Light Blue</t>
        </is>
      </c>
      <c r="L74" s="108" t="n"/>
      <c r="M74" s="39" t="inlineStr"/>
      <c r="N74" s="109" t="n">
        <v>40.37</v>
      </c>
      <c r="O74" s="109" t="n"/>
      <c r="P74" s="110">
        <f>IF(AND(ISNUMBER(O74),ISNUMBER(N74),N(N74)&gt;0),O74/N74-1,"")</f>
        <v/>
      </c>
      <c r="Q74" s="111">
        <f>IF(P74="","No List Price",IF(P74&lt;=0,"At/below price",IF(P74&lt;=0.12,"&lt;=12% STR zone",IF(P74&lt;=0.25,"12-25%","&gt;25% over"))))</f>
        <v/>
      </c>
      <c r="R74" s="109" t="n">
        <v>67.68230769230767</v>
      </c>
      <c r="S74" s="112">
        <f>IF(AND(ISNUMBER(N74),ISNUMBER(R74),N(R74)&gt;0),N74/R74-1,"")</f>
        <v/>
      </c>
      <c r="T74" s="39" t="inlineStr">
        <is>
          <t>vs our blended price (market data, Mar 2026 - STALE)</t>
        </is>
      </c>
      <c r="U74" s="108" t="n">
        <v>587105</v>
      </c>
      <c r="V74" s="108" t="n">
        <v>5</v>
      </c>
      <c r="W74" s="113">
        <f>IF(AND(ISNUMBER(N74),ISNUMBER(V74)),N74*V74*52/12,"")</f>
        <v/>
      </c>
      <c r="X74" s="114" t="n">
        <v>4.5</v>
      </c>
      <c r="Y74" s="108" t="n">
        <v>384</v>
      </c>
      <c r="Z74" s="115" t="n">
        <v>46307</v>
      </c>
      <c r="AA74" s="115" t="n"/>
      <c r="AB74" s="105" t="n"/>
      <c r="AC74" s="105" t="n"/>
      <c r="AD74" s="108" t="n"/>
      <c r="AE74" s="108" t="n"/>
      <c r="AF74" s="116" t="n"/>
      <c r="AG74" s="116" t="n"/>
      <c r="AH74" s="39" t="n"/>
      <c r="AI74" s="116" t="n"/>
      <c r="AJ74" s="116" t="n"/>
      <c r="AK74" s="116" t="n"/>
      <c r="AL74" s="116" t="n"/>
      <c r="AM74" s="108" t="n"/>
      <c r="AN74" s="108" t="n"/>
      <c r="AO74" s="108" t="n"/>
      <c r="AP74" s="108" t="n"/>
      <c r="AQ74" s="108" t="n"/>
      <c r="AR74" s="108" t="n"/>
      <c r="AS74" s="117" t="n"/>
      <c r="AT74" s="112" t="n"/>
      <c r="AU74" s="118" t="inlineStr">
        <is>
          <t>N</t>
        </is>
      </c>
      <c r="AV74" s="118" t="inlineStr">
        <is>
          <t>none</t>
        </is>
      </c>
      <c r="AW74" s="124" t="n"/>
      <c r="AX74" s="119" t="n">
        <v>40.37</v>
      </c>
      <c r="AY74" s="118" t="inlineStr">
        <is>
          <t>none</t>
        </is>
      </c>
      <c r="AZ74" s="118" t="inlineStr">
        <is>
          <t>Y</t>
        </is>
      </c>
      <c r="BA74" s="118" t="inlineStr">
        <is>
          <t>2026-10-13 23:39:23</t>
        </is>
      </c>
      <c r="BB74" s="120" t="inlineStr">
        <is>
          <t>None</t>
        </is>
      </c>
      <c r="BC74" s="125" t="n"/>
      <c r="BD74" s="121" t="n">
        <v>69.98999999999999</v>
      </c>
      <c r="BE74" s="121" t="n">
        <v>69.98999999999999</v>
      </c>
      <c r="BF74" s="110">
        <f>IF(AND(ISNUMBER(BD74),ISNUMBER(BE74),N(BD74)&gt;0),1-BE74/BD74,"")</f>
        <v/>
      </c>
      <c r="BG74" s="122" t="n">
        <v>162827</v>
      </c>
      <c r="BH74" s="122" t="n">
        <v>217899</v>
      </c>
      <c r="BI74" s="123">
        <f>IF(AND(ISNUMBER(BG74),ISNUMBER(BH74),N(BH74)&gt;0),BG74/BH74,"")</f>
        <v/>
      </c>
      <c r="BJ74" s="120" t="inlineStr">
        <is>
          <t>Y</t>
        </is>
      </c>
      <c r="BK74" s="120" t="inlineStr">
        <is>
          <t>List Price $69.99</t>
        </is>
      </c>
    </row>
    <row r="75" ht="62" customHeight="1">
      <c r="A75" s="12">
        <f>_xlfn.IMAGE("https://m.media-amazon.com/images/I/71hHyI4f4WL._AC_SL1500_.jpg")</f>
        <v/>
      </c>
      <c r="B75" s="105" t="inlineStr">
        <is>
          <t>REST</t>
        </is>
      </c>
      <c r="C75" s="39" t="inlineStr">
        <is>
          <t>SL Cooling Comforter</t>
        </is>
      </c>
      <c r="D75" s="105" t="inlineStr">
        <is>
          <t>Beatable</t>
        </is>
      </c>
      <c r="E75" s="127" t="inlineStr">
        <is>
          <t>Material not verified</t>
        </is>
      </c>
      <c r="F75" s="105" t="n"/>
      <c r="G75" s="39" t="inlineStr">
        <is>
          <t>Comforter like ours, but the material is not stated (material not stated on the page or in the title); verify before treating as direct.</t>
        </is>
      </c>
      <c r="H75" s="107" t="inlineStr">
        <is>
          <t>B0B5TLCZ4X</t>
        </is>
      </c>
      <c r="I75" s="107" t="inlineStr">
        <is>
          <t>B0B5TG8ZVW</t>
        </is>
      </c>
      <c r="J75" s="105" t="inlineStr">
        <is>
          <t>King / Cali King (106"x90")</t>
        </is>
      </c>
      <c r="K75" s="105" t="inlineStr">
        <is>
          <t>Cool Gray</t>
        </is>
      </c>
      <c r="L75" s="108" t="n">
        <v>18</v>
      </c>
      <c r="M75" s="39" t="inlineStr">
        <is>
          <t>B0B5TG8ZVW (13%), B0B5THLW19 (11%), B0CMTR1KLG (7%), B09X2WT2P7 (7%), B09X2WNLMM (7%)</t>
        </is>
      </c>
      <c r="N75" s="109" t="n">
        <v>186.75</v>
      </c>
      <c r="O75" s="109" t="n">
        <v>249</v>
      </c>
      <c r="P75" s="110">
        <f>IF(AND(ISNUMBER(O75),ISNUMBER(N75),N(N75)&gt;0),O75/N75-1,"")</f>
        <v/>
      </c>
      <c r="Q75" s="111">
        <f>IF(P75="","No List Price",IF(P75&lt;=0,"At/below price",IF(P75&lt;=0.12,"&lt;=12% STR zone",IF(P75&lt;=0.25,"12-25%","&gt;25% over"))))</f>
        <v/>
      </c>
      <c r="R75" s="109" t="n">
        <v>79.98999999999999</v>
      </c>
      <c r="S75" s="112">
        <f>IF(AND(ISNUMBER(N75),ISNUMBER(R75),N(R75)&gt;0),N75/R75-1,"")</f>
        <v/>
      </c>
      <c r="T75" s="39" t="inlineStr">
        <is>
          <t>Same size (King). Ours live: catalog price, 2026-10-13; 2 children</t>
        </is>
      </c>
      <c r="U75" s="108" t="n">
        <v>2263</v>
      </c>
      <c r="V75" s="108" t="n">
        <v>220</v>
      </c>
      <c r="W75" s="113">
        <f>IF(AND(ISNUMBER(N75),ISNUMBER(V75)),N75*V75*52/12,"")</f>
        <v/>
      </c>
      <c r="X75" s="114" t="n">
        <v>4.3</v>
      </c>
      <c r="Y75" s="108" t="n">
        <v>4110</v>
      </c>
      <c r="Z75" s="115" t="n">
        <v>46307</v>
      </c>
      <c r="AA75" s="115" t="n"/>
      <c r="AB75" s="105" t="n"/>
      <c r="AC75" s="105" t="n"/>
      <c r="AD75" s="108" t="n">
        <v>1443297</v>
      </c>
      <c r="AE75" s="108" t="n">
        <v>7962</v>
      </c>
      <c r="AF75" s="116" t="n">
        <v>0.3077375513148022</v>
      </c>
      <c r="AG75" s="116" t="n">
        <v>0.6922624553366351</v>
      </c>
      <c r="AH75" s="39" t="inlineStr">
        <is>
          <t>cooling blanket</t>
        </is>
      </c>
      <c r="AI75" s="116" t="n">
        <v>0.861086110481765</v>
      </c>
      <c r="AJ75" s="116" t="n">
        <v>0.9551367459365605</v>
      </c>
      <c r="AK75" s="116" t="n">
        <v>0.730965975817867</v>
      </c>
      <c r="AL75" s="116" t="n">
        <v>0.05441153137573209</v>
      </c>
      <c r="AM75" s="108" t="n">
        <v>288</v>
      </c>
      <c r="AN75" s="108" t="n">
        <v>7</v>
      </c>
      <c r="AO75" s="108" t="n">
        <v>254</v>
      </c>
      <c r="AP75" s="108" t="n">
        <v>7674</v>
      </c>
      <c r="AQ75" s="108" t="n">
        <v>2643</v>
      </c>
      <c r="AR75" s="108" t="n">
        <v>11</v>
      </c>
      <c r="AS75" s="117" t="n">
        <v>1.413290113452188</v>
      </c>
      <c r="AT75" s="112" t="n">
        <v>-0.0784577018990984</v>
      </c>
      <c r="AU75" s="118" t="inlineStr">
        <is>
          <t>Y</t>
        </is>
      </c>
      <c r="AV75" s="118" t="inlineStr">
        <is>
          <t>List Price</t>
        </is>
      </c>
      <c r="AW75" s="119" t="n">
        <v>249</v>
      </c>
      <c r="AX75" s="119" t="n">
        <v>186.75</v>
      </c>
      <c r="AY75" s="118" t="inlineStr">
        <is>
          <t>none</t>
        </is>
      </c>
      <c r="AZ75" s="118" t="inlineStr">
        <is>
          <t>Y</t>
        </is>
      </c>
      <c r="BA75" s="118" t="inlineStr">
        <is>
          <t>2026-10-13 23:39:07</t>
        </is>
      </c>
      <c r="BB75" s="120" t="inlineStr">
        <is>
          <t>Price cut only</t>
        </is>
      </c>
      <c r="BC75" s="120" t="inlineStr">
        <is>
          <t>11-20 to 12-01</t>
        </is>
      </c>
      <c r="BD75" s="121" t="n">
        <v>249</v>
      </c>
      <c r="BE75" s="121" t="n">
        <v>165.58</v>
      </c>
      <c r="BF75" s="110">
        <f>IF(AND(ISNUMBER(BD75),ISNUMBER(BE75),N(BD75)&gt;0),1-BE75/BD75,"")</f>
        <v/>
      </c>
      <c r="BG75" s="122" t="n">
        <v>6772</v>
      </c>
      <c r="BH75" s="122" t="n">
        <v>2672</v>
      </c>
      <c r="BI75" s="123">
        <f>IF(AND(ISNUMBER(BG75),ISNUMBER(BH75),N(BH75)&gt;0),BG75/BH75,"")</f>
        <v/>
      </c>
      <c r="BJ75" s="120" t="inlineStr">
        <is>
          <t>N</t>
        </is>
      </c>
      <c r="BK75" s="120" t="inlineStr">
        <is>
          <t>Lightning Deal 11-06 to 11-11; List Price $249.00</t>
        </is>
      </c>
    </row>
    <row r="76" ht="62" customHeight="1">
      <c r="A76" s="12">
        <f>_xlfn.IMAGE("https://m.media-amazon.com/images/I/71sXVoE-fEL._AC_SL1500_.jpg")</f>
        <v/>
      </c>
      <c r="B76" s="105" t="inlineStr">
        <is>
          <t>Bedtter</t>
        </is>
      </c>
      <c r="C76" s="39" t="inlineStr">
        <is>
          <t>Cooling Comforter</t>
        </is>
      </c>
      <c r="D76" s="105" t="inlineStr">
        <is>
          <t>Beatable</t>
        </is>
      </c>
      <c r="E76" s="127" t="inlineStr">
        <is>
          <t>Material not verified</t>
        </is>
      </c>
      <c r="F76" s="105" t="n"/>
      <c r="G76" s="39" t="inlineStr">
        <is>
          <t>Comforter like ours, but the material is not stated (material not stated on the page or in the title); verify before treating as direct.</t>
        </is>
      </c>
      <c r="H76" s="107" t="inlineStr">
        <is>
          <t>B0F7GKNYTQ</t>
        </is>
      </c>
      <c r="I76" s="107" t="inlineStr">
        <is>
          <t>B0F7GKNYTQ</t>
        </is>
      </c>
      <c r="J76" s="105" t="inlineStr">
        <is>
          <t>Twin</t>
        </is>
      </c>
      <c r="K76" s="105" t="inlineStr">
        <is>
          <t>Grey Stripes</t>
        </is>
      </c>
      <c r="L76" s="108" t="n">
        <v>17</v>
      </c>
      <c r="M76" s="39" t="inlineStr">
        <is>
          <t>B0CZ7BR3C1 (21%), B0CZ7BTVWW (18%), B0CZ7BHMW2 (16%), B0CZ78MKHK (16%), B0CZ7BG45B (6%)</t>
        </is>
      </c>
      <c r="N76" s="109" t="n">
        <v>44.99</v>
      </c>
      <c r="O76" s="109" t="n"/>
      <c r="P76" s="110">
        <f>IF(AND(ISNUMBER(O76),ISNUMBER(N76),N(N76)&gt;0),O76/N76-1,"")</f>
        <v/>
      </c>
      <c r="Q76" s="111">
        <f>IF(P76="","No List Price",IF(P76&lt;=0,"At/below price",IF(P76&lt;=0.12,"&lt;=12% STR zone",IF(P76&lt;=0.25,"12-25%","&gt;25% over"))))</f>
        <v/>
      </c>
      <c r="R76" s="109" t="n">
        <v>64.98999999999999</v>
      </c>
      <c r="S76" s="112">
        <f>IF(AND(ISNUMBER(N76),ISNUMBER(R76),N(R76)&gt;0),N76/R76-1,"")</f>
        <v/>
      </c>
      <c r="T76" s="39" t="inlineStr">
        <is>
          <t>Same size (Twin). Ours live: catalog price, 2026-10-13; 5 children</t>
        </is>
      </c>
      <c r="U76" s="108" t="n">
        <v>2319142</v>
      </c>
      <c r="V76" s="108" t="n">
        <v>5</v>
      </c>
      <c r="W76" s="113">
        <f>IF(AND(ISNUMBER(N76),ISNUMBER(V76)),N76*V76*52/12,"")</f>
        <v/>
      </c>
      <c r="X76" s="114" t="n">
        <v>4.5</v>
      </c>
      <c r="Y76" s="108" t="n">
        <v>12</v>
      </c>
      <c r="Z76" s="115" t="n">
        <v>46307</v>
      </c>
      <c r="AA76" s="115" t="n"/>
      <c r="AB76" s="105" t="n"/>
      <c r="AC76" s="105" t="n"/>
      <c r="AD76" s="108" t="n">
        <v>178117</v>
      </c>
      <c r="AE76" s="108" t="n">
        <v>2017</v>
      </c>
      <c r="AF76" s="116" t="n">
        <v>0.2390197437639301</v>
      </c>
      <c r="AG76" s="116" t="n">
        <v>0.7609802562360694</v>
      </c>
      <c r="AH76" s="39" t="inlineStr">
        <is>
          <t>cooling blanket</t>
        </is>
      </c>
      <c r="AI76" s="116" t="n">
        <v>0.9566015596489947</v>
      </c>
      <c r="AJ76" s="116" t="n">
        <v>0.4590297388795005</v>
      </c>
      <c r="AK76" s="116" t="n">
        <v>0.4395425478758344</v>
      </c>
      <c r="AL76" s="116" t="n">
        <v>0.02501164964601919</v>
      </c>
      <c r="AM76" s="108" t="n">
        <v>252</v>
      </c>
      <c r="AN76" s="108" t="n">
        <v>38</v>
      </c>
      <c r="AO76" s="108" t="n">
        <v>181</v>
      </c>
      <c r="AP76" s="108" t="n">
        <v>1765</v>
      </c>
      <c r="AQ76" s="108" t="n">
        <v>1057</v>
      </c>
      <c r="AR76" s="108" t="n">
        <v>10</v>
      </c>
      <c r="AS76" s="117" t="n"/>
      <c r="AT76" s="112" t="n"/>
      <c r="AU76" s="118" t="inlineStr">
        <is>
          <t>N</t>
        </is>
      </c>
      <c r="AV76" s="118" t="inlineStr">
        <is>
          <t>none</t>
        </is>
      </c>
      <c r="AW76" s="124" t="n"/>
      <c r="AX76" s="124" t="n"/>
      <c r="AY76" s="118" t="inlineStr">
        <is>
          <t>none</t>
        </is>
      </c>
      <c r="AZ76" s="118" t="inlineStr">
        <is>
          <t>N</t>
        </is>
      </c>
      <c r="BA76" s="118" t="inlineStr">
        <is>
          <t>2026-10-13 23:37:34</t>
        </is>
      </c>
      <c r="BB76" s="120" t="inlineStr">
        <is>
          <t>Prime Exclusive Discount</t>
        </is>
      </c>
      <c r="BC76" s="120" t="inlineStr">
        <is>
          <t>11-21 to 12-01</t>
        </is>
      </c>
      <c r="BD76" s="121" t="n">
        <v>209</v>
      </c>
      <c r="BE76" s="121" t="n">
        <v>87.90000000000001</v>
      </c>
      <c r="BF76" s="110">
        <f>IF(AND(ISNUMBER(BD76),ISNUMBER(BE76),N(BD76)&gt;0),1-BE76/BD76,"")</f>
        <v/>
      </c>
      <c r="BG76" s="122" t="n">
        <v>2332342</v>
      </c>
      <c r="BH76" s="122" t="n">
        <v>617553</v>
      </c>
      <c r="BI76" s="123">
        <f>IF(AND(ISNUMBER(BG76),ISNUMBER(BH76),N(BH76)&gt;0),BG76/BH76,"")</f>
        <v/>
      </c>
      <c r="BJ76" s="120" t="inlineStr">
        <is>
          <t>N</t>
        </is>
      </c>
      <c r="BK76" s="120" t="inlineStr">
        <is>
          <t>Coupon 80.00 USD (11-01 to 11-17); List Price $140.00</t>
        </is>
      </c>
    </row>
    <row r="77" ht="62" customHeight="1">
      <c r="A77" s="12">
        <f>_xlfn.IMAGE("https://m.media-amazon.com/images/I/81hCz+bp4cL._AC_SL1500_.jpg")</f>
        <v/>
      </c>
      <c r="B77" s="105" t="inlineStr">
        <is>
          <t>jiaao</t>
        </is>
      </c>
      <c r="C77" s="39" t="inlineStr">
        <is>
          <t>Cooling Comforter</t>
        </is>
      </c>
      <c r="D77" s="105" t="inlineStr">
        <is>
          <t>Untiered</t>
        </is>
      </c>
      <c r="E77" s="127" t="inlineStr">
        <is>
          <t>Material not verified</t>
        </is>
      </c>
      <c r="F77" s="105" t="n"/>
      <c r="G77" s="39" t="inlineStr">
        <is>
          <t>Comforter like ours, but the material is not stated (material not stated on the page or in the title); verify before treating as direct.</t>
        </is>
      </c>
      <c r="H77" s="107" t="inlineStr">
        <is>
          <t>B0GR4L84HS</t>
        </is>
      </c>
      <c r="I77" s="107" t="inlineStr">
        <is>
          <t>B0GR4L84HS</t>
        </is>
      </c>
      <c r="J77" s="105" t="inlineStr">
        <is>
          <t>Queen Size(90" X90“)</t>
        </is>
      </c>
      <c r="K77" s="105" t="inlineStr">
        <is>
          <t>Light Grey</t>
        </is>
      </c>
      <c r="L77" s="108" t="n">
        <v>1</v>
      </c>
      <c r="M77" s="39" t="inlineStr">
        <is>
          <t>B0GR4L84HS (100%)</t>
        </is>
      </c>
      <c r="N77" s="109" t="n">
        <v>40</v>
      </c>
      <c r="O77" s="109" t="n"/>
      <c r="P77" s="110">
        <f>IF(AND(ISNUMBER(O77),ISNUMBER(N77),N(N77)&gt;0),O77/N77-1,"")</f>
        <v/>
      </c>
      <c r="Q77" s="111">
        <f>IF(P77="","No List Price",IF(P77&lt;=0,"At/below price",IF(P77&lt;=0.12,"&lt;=12% STR zone",IF(P77&lt;=0.25,"12-25%","&gt;25% over"))))</f>
        <v/>
      </c>
      <c r="R77" s="109" t="n">
        <v>69.98999999999999</v>
      </c>
      <c r="S77" s="112">
        <f>IF(AND(ISNUMBER(N77),ISNUMBER(R77),N(R77)&gt;0),N77/R77-1,"")</f>
        <v/>
      </c>
      <c r="T77" s="39" t="inlineStr">
        <is>
          <t>Same size (Queen). Ours live: catalog price, 2026-10-13; 3 children</t>
        </is>
      </c>
      <c r="U77" s="108" t="n">
        <v>764449</v>
      </c>
      <c r="V77" s="108" t="n">
        <v>5</v>
      </c>
      <c r="W77" s="113">
        <f>IF(AND(ISNUMBER(N77),ISNUMBER(V77)),N77*V77*52/12,"")</f>
        <v/>
      </c>
      <c r="X77" s="114" t="n">
        <v>4</v>
      </c>
      <c r="Y77" s="108" t="n">
        <v>83</v>
      </c>
      <c r="Z77" s="115" t="n">
        <v>46307</v>
      </c>
      <c r="AA77" s="115" t="n"/>
      <c r="AB77" s="105" t="n"/>
      <c r="AC77" s="105" t="n"/>
      <c r="AD77" s="108" t="n">
        <v>19888</v>
      </c>
      <c r="AE77" s="108" t="n">
        <v>295</v>
      </c>
      <c r="AF77" s="116" t="n">
        <v>1</v>
      </c>
      <c r="AG77" s="116" t="n">
        <v>0</v>
      </c>
      <c r="AH77" s="39" t="inlineStr">
        <is>
          <t>cooling blanket</t>
        </is>
      </c>
      <c r="AI77" s="116" t="n">
        <v>0</v>
      </c>
      <c r="AJ77" s="116" t="n"/>
      <c r="AK77" s="116" t="n"/>
      <c r="AL77" s="116" t="n"/>
      <c r="AM77" s="108" t="n">
        <v>127</v>
      </c>
      <c r="AN77" s="108" t="n">
        <v>38</v>
      </c>
      <c r="AO77" s="108" t="n">
        <v>70</v>
      </c>
      <c r="AP77" s="108" t="n">
        <v>168</v>
      </c>
      <c r="AQ77" s="108" t="n">
        <v>0</v>
      </c>
      <c r="AR77" s="108" t="n">
        <v>0</v>
      </c>
      <c r="AS77" s="117" t="n"/>
      <c r="AT77" s="112" t="n"/>
      <c r="AU77" s="118" t="inlineStr">
        <is>
          <t>N</t>
        </is>
      </c>
      <c r="AV77" s="118" t="inlineStr">
        <is>
          <t>none</t>
        </is>
      </c>
      <c r="AW77" s="124" t="n"/>
      <c r="AX77" s="119" t="n">
        <v>40</v>
      </c>
      <c r="AY77" s="118" t="inlineStr">
        <is>
          <t>none</t>
        </is>
      </c>
      <c r="AZ77" s="118" t="inlineStr">
        <is>
          <t>Y</t>
        </is>
      </c>
      <c r="BA77" s="118" t="inlineStr">
        <is>
          <t>2026-10-13 23:39:29</t>
        </is>
      </c>
      <c r="BB77" s="120" t="inlineStr">
        <is>
          <t>Not live in 2025</t>
        </is>
      </c>
      <c r="BC77" s="125" t="n"/>
      <c r="BD77" s="124" t="n"/>
      <c r="BE77" s="124" t="n"/>
      <c r="BF77" s="110">
        <f>IF(AND(ISNUMBER(BD77),ISNUMBER(BE77),N(BD77)&gt;0),1-BE77/BD77,"")</f>
        <v/>
      </c>
      <c r="BG77" s="126" t="n"/>
      <c r="BH77" s="126" t="n"/>
      <c r="BI77" s="123">
        <f>IF(AND(ISNUMBER(BG77),ISNUMBER(BH77),N(BH77)&gt;0),BG77/BH77,"")</f>
        <v/>
      </c>
      <c r="BJ77" s="125" t="n"/>
      <c r="BK77" s="125" t="n"/>
    </row>
    <row r="78" ht="62" customHeight="1">
      <c r="A78" s="12">
        <f>_xlfn.IMAGE("https://m.media-amazon.com/images/I/71ujOWiAvrL._AC_SL1500_.jpg")</f>
        <v/>
      </c>
      <c r="B78" s="105" t="inlineStr">
        <is>
          <t>HOMFINE</t>
        </is>
      </c>
      <c r="C78" s="39" t="inlineStr">
        <is>
          <t>Cooling Comforter</t>
        </is>
      </c>
      <c r="D78" s="105" t="inlineStr">
        <is>
          <t>Beatable</t>
        </is>
      </c>
      <c r="E78" s="128" t="inlineStr">
        <is>
          <t>Alternative material</t>
        </is>
      </c>
      <c r="F78" s="105" t="inlineStr">
        <is>
          <t>Microfiber / polyester</t>
        </is>
      </c>
      <c r="G78" s="39" t="inlineStr">
        <is>
          <t>Comforter in Microfiber / polyester (product page material: Polyester); ours is Synthetic cooling knit (BreezeWeave cooling fabric, nylon-spandex like CooLoom (confirmed Oct 15, 2026)). Shopper may cross-shop, but not like-for-like.</t>
        </is>
      </c>
      <c r="H78" s="107" t="inlineStr">
        <is>
          <t>B0HCMWRT6G</t>
        </is>
      </c>
      <c r="I78" s="107" t="inlineStr">
        <is>
          <t>B0C3RB67HV</t>
        </is>
      </c>
      <c r="J78" s="105" t="inlineStr">
        <is>
          <t>Queen (90"x90")</t>
        </is>
      </c>
      <c r="K78" s="105" t="inlineStr">
        <is>
          <t>Gray</t>
        </is>
      </c>
      <c r="L78" s="108" t="n">
        <v>17</v>
      </c>
      <c r="M78" s="39" t="inlineStr">
        <is>
          <t>B0C3RB67HV (69%), B0G1BFGHM2 (14%)</t>
        </is>
      </c>
      <c r="N78" s="109" t="n">
        <v>51.99</v>
      </c>
      <c r="O78" s="109" t="n"/>
      <c r="P78" s="110">
        <f>IF(AND(ISNUMBER(O78),ISNUMBER(N78),N(N78)&gt;0),O78/N78-1,"")</f>
        <v/>
      </c>
      <c r="Q78" s="111">
        <f>IF(P78="","No List Price",IF(P78&lt;=0,"At/below price",IF(P78&lt;=0.12,"&lt;=12% STR zone",IF(P78&lt;=0.25,"12-25%","&gt;25% over"))))</f>
        <v/>
      </c>
      <c r="R78" s="109" t="n">
        <v>69.98999999999999</v>
      </c>
      <c r="S78" s="112">
        <f>IF(AND(ISNUMBER(N78),ISNUMBER(R78),N(R78)&gt;0),N78/R78-1,"")</f>
        <v/>
      </c>
      <c r="T78" s="39" t="inlineStr">
        <is>
          <t>Same size (Queen). Ours live: catalog price, 2026-10-13; 3 children</t>
        </is>
      </c>
      <c r="U78" s="108" t="n">
        <v>15665</v>
      </c>
      <c r="V78" s="108" t="n">
        <v>185</v>
      </c>
      <c r="W78" s="113">
        <f>IF(AND(ISNUMBER(N78),ISNUMBER(V78)),N78*V78*52/12,"")</f>
        <v/>
      </c>
      <c r="X78" s="114" t="n">
        <v>4.5</v>
      </c>
      <c r="Y78" s="108" t="n">
        <v>1560</v>
      </c>
      <c r="Z78" s="115" t="n">
        <v>46307</v>
      </c>
      <c r="AA78" s="115" t="n"/>
      <c r="AB78" s="105" t="n"/>
      <c r="AC78" s="105" t="n"/>
      <c r="AD78" s="108" t="n">
        <v>273765</v>
      </c>
      <c r="AE78" s="108" t="n">
        <v>1624</v>
      </c>
      <c r="AF78" s="116" t="n">
        <v>0.4184264584588973</v>
      </c>
      <c r="AG78" s="116" t="n">
        <v>0.5815735415411022</v>
      </c>
      <c r="AH78" s="39" t="inlineStr">
        <is>
          <t>cooling blanket</t>
        </is>
      </c>
      <c r="AI78" s="116" t="n">
        <v>0.9619783390864427</v>
      </c>
      <c r="AJ78" s="116" t="n">
        <v>0.7293846912497945</v>
      </c>
      <c r="AK78" s="116" t="n">
        <v>0.6641097291472613</v>
      </c>
      <c r="AL78" s="116" t="n">
        <v>0.03137362336310339</v>
      </c>
      <c r="AM78" s="108" t="n">
        <v>236</v>
      </c>
      <c r="AN78" s="108" t="n">
        <v>26</v>
      </c>
      <c r="AO78" s="108" t="n">
        <v>184</v>
      </c>
      <c r="AP78" s="108" t="n">
        <v>1388</v>
      </c>
      <c r="AQ78" s="108" t="n">
        <v>461</v>
      </c>
      <c r="AR78" s="108" t="n">
        <v>8</v>
      </c>
      <c r="AS78" s="117" t="n">
        <v>1.540563459907661</v>
      </c>
      <c r="AT78" s="112" t="n">
        <v>-0.1668729008308291</v>
      </c>
      <c r="AU78" s="118" t="inlineStr">
        <is>
          <t>N</t>
        </is>
      </c>
      <c r="AV78" s="118" t="inlineStr">
        <is>
          <t>none</t>
        </is>
      </c>
      <c r="AW78" s="124" t="n"/>
      <c r="AX78" s="119" t="n">
        <v>51.99</v>
      </c>
      <c r="AY78" s="118" t="inlineStr">
        <is>
          <t>none</t>
        </is>
      </c>
      <c r="AZ78" s="118" t="inlineStr">
        <is>
          <t>Y</t>
        </is>
      </c>
      <c r="BA78" s="118" t="inlineStr">
        <is>
          <t>2026-10-13 23:38:43</t>
        </is>
      </c>
      <c r="BB78" s="120" t="inlineStr">
        <is>
          <t>Prime Exclusive Discount</t>
        </is>
      </c>
      <c r="BC78" s="120" t="inlineStr">
        <is>
          <t>11-04 to 11-20</t>
        </is>
      </c>
      <c r="BD78" s="121" t="n">
        <v>53.59</v>
      </c>
      <c r="BE78" s="121" t="n">
        <v>53.59</v>
      </c>
      <c r="BF78" s="110">
        <f>IF(AND(ISNUMBER(BD78),ISNUMBER(BE78),N(BD78)&gt;0),1-BE78/BD78,"")</f>
        <v/>
      </c>
      <c r="BG78" s="122" t="n">
        <v>33042</v>
      </c>
      <c r="BH78" s="122" t="n">
        <v>25524</v>
      </c>
      <c r="BI78" s="123">
        <f>IF(AND(ISNUMBER(BG78),ISNUMBER(BH78),N(BH78)&gt;0),BG78/BH78,"")</f>
        <v/>
      </c>
      <c r="BJ78" s="120" t="inlineStr">
        <is>
          <t>N</t>
        </is>
      </c>
      <c r="BK78" s="120" t="inlineStr">
        <is>
          <t>Coupon 20% (11-01 to 11-02); Prime Exclusive already running before BFCM week; List Price $67.99</t>
        </is>
      </c>
    </row>
    <row r="79" ht="62" customHeight="1">
      <c r="A79" s="12">
        <f>_xlfn.IMAGE("https://m.media-amazon.com/images/I/61CJL0I7RHL._AC_SL1500_.jpg")</f>
        <v/>
      </c>
      <c r="B79" s="105" t="inlineStr">
        <is>
          <t>Cozy Bliss</t>
        </is>
      </c>
      <c r="C79" s="39" t="inlineStr">
        <is>
          <t>SL Cooling Comforter</t>
        </is>
      </c>
      <c r="D79" s="105" t="inlineStr">
        <is>
          <t>Beatable</t>
        </is>
      </c>
      <c r="E79" s="128" t="inlineStr">
        <is>
          <t>Alternative material</t>
        </is>
      </c>
      <c r="F79" s="105" t="inlineStr">
        <is>
          <t>Microfiber / polyester</t>
        </is>
      </c>
      <c r="G79" s="39" t="inlineStr">
        <is>
          <t>Comforter in Microfiber / polyester (product page material: Polyester); ours is Synthetic cooling knit (BreezeWeave cooling fabric, nylon-spandex like CooLoom (confirmed Oct 15, 2026)). Shopper may cross-shop, but not like-for-like.</t>
        </is>
      </c>
      <c r="H79" s="107" t="inlineStr">
        <is>
          <t>B0DVSHCVND</t>
        </is>
      </c>
      <c r="I79" s="107" t="inlineStr">
        <is>
          <t>B0DMCWVMVH</t>
        </is>
      </c>
      <c r="J79" s="105" t="inlineStr">
        <is>
          <t>Queen(90"*90")</t>
        </is>
      </c>
      <c r="K79" s="105" t="inlineStr">
        <is>
          <t>Creamy Ivory/Soft Apricot</t>
        </is>
      </c>
      <c r="L79" s="108" t="n">
        <v>14</v>
      </c>
      <c r="M79" s="39" t="inlineStr">
        <is>
          <t>B0DMCKB3Z8 (55%), B0DMCDH3N3 (18%), B0DMCWVMVH (14%)</t>
        </is>
      </c>
      <c r="N79" s="109" t="n">
        <v>49.99</v>
      </c>
      <c r="O79" s="109" t="n"/>
      <c r="P79" s="110">
        <f>IF(AND(ISNUMBER(O79),ISNUMBER(N79),N(N79)&gt;0),O79/N79-1,"")</f>
        <v/>
      </c>
      <c r="Q79" s="111">
        <f>IF(P79="","No List Price",IF(P79&lt;=0,"At/below price",IF(P79&lt;=0.12,"&lt;=12% STR zone",IF(P79&lt;=0.25,"12-25%","&gt;25% over"))))</f>
        <v/>
      </c>
      <c r="R79" s="109" t="n">
        <v>69.98999999999999</v>
      </c>
      <c r="S79" s="112">
        <f>IF(AND(ISNUMBER(N79),ISNUMBER(R79),N(R79)&gt;0),N79/R79-1,"")</f>
        <v/>
      </c>
      <c r="T79" s="39" t="inlineStr">
        <is>
          <t>Same size (Queen). Ours live: catalog price, 2026-10-13; 3 children</t>
        </is>
      </c>
      <c r="U79" s="108" t="n">
        <v>69052</v>
      </c>
      <c r="V79" s="108" t="n">
        <v>81</v>
      </c>
      <c r="W79" s="113">
        <f>IF(AND(ISNUMBER(N79),ISNUMBER(V79)),N79*V79*52/12,"")</f>
        <v/>
      </c>
      <c r="X79" s="114" t="n">
        <v>4.5</v>
      </c>
      <c r="Y79" s="108" t="n">
        <v>442</v>
      </c>
      <c r="Z79" s="115" t="n">
        <v>46307</v>
      </c>
      <c r="AA79" s="115" t="n"/>
      <c r="AB79" s="105" t="n"/>
      <c r="AC79" s="105" t="n"/>
      <c r="AD79" s="108" t="n">
        <v>80120</v>
      </c>
      <c r="AE79" s="108" t="n">
        <v>895</v>
      </c>
      <c r="AF79" s="116" t="n">
        <v>0.4955746293060403</v>
      </c>
      <c r="AG79" s="116" t="n">
        <v>0.5044254106340494</v>
      </c>
      <c r="AH79" s="39" t="inlineStr">
        <is>
          <t>cooling blanket</t>
        </is>
      </c>
      <c r="AI79" s="116" t="n">
        <v>0.8833000499251124</v>
      </c>
      <c r="AJ79" s="116" t="n">
        <v>0.458736894658013</v>
      </c>
      <c r="AK79" s="116" t="n">
        <v>0.7495631552670994</v>
      </c>
      <c r="AL79" s="116" t="n">
        <v>0.01394158761857214</v>
      </c>
      <c r="AM79" s="108" t="n">
        <v>210</v>
      </c>
      <c r="AN79" s="108" t="n">
        <v>32</v>
      </c>
      <c r="AO79" s="108" t="n">
        <v>155</v>
      </c>
      <c r="AP79" s="108" t="n">
        <v>685</v>
      </c>
      <c r="AQ79" s="108" t="n">
        <v>292</v>
      </c>
      <c r="AR79" s="108" t="n">
        <v>7</v>
      </c>
      <c r="AS79" s="117" t="n"/>
      <c r="AT79" s="112" t="n">
        <v>0.08771929824561409</v>
      </c>
      <c r="AU79" s="118" t="inlineStr">
        <is>
          <t>Y</t>
        </is>
      </c>
      <c r="AV79" s="118" t="inlineStr">
        <is>
          <t>Typical price</t>
        </is>
      </c>
      <c r="AW79" s="119" t="n">
        <v>69.98999999999999</v>
      </c>
      <c r="AX79" s="119" t="n">
        <v>49.99</v>
      </c>
      <c r="AY79" s="118" t="inlineStr">
        <is>
          <t>none</t>
        </is>
      </c>
      <c r="AZ79" s="118" t="inlineStr">
        <is>
          <t>Y</t>
        </is>
      </c>
      <c r="BA79" s="118" t="inlineStr">
        <is>
          <t>2026-10-13 23:38:15</t>
        </is>
      </c>
      <c r="BB79" s="120" t="inlineStr">
        <is>
          <t>Price cut only</t>
        </is>
      </c>
      <c r="BC79" s="120" t="inlineStr">
        <is>
          <t>11-20 to 12-01</t>
        </is>
      </c>
      <c r="BD79" s="121" t="n">
        <v>49.99</v>
      </c>
      <c r="BE79" s="121" t="n">
        <v>47.49</v>
      </c>
      <c r="BF79" s="110">
        <f>IF(AND(ISNUMBER(BD79),ISNUMBER(BE79),N(BD79)&gt;0),1-BE79/BD79,"")</f>
        <v/>
      </c>
      <c r="BG79" s="122" t="n">
        <v>82174</v>
      </c>
      <c r="BH79" s="122" t="n">
        <v>30785</v>
      </c>
      <c r="BI79" s="123">
        <f>IF(AND(ISNUMBER(BG79),ISNUMBER(BH79),N(BH79)&gt;0),BG79/BH79,"")</f>
        <v/>
      </c>
      <c r="BJ79" s="120" t="inlineStr">
        <is>
          <t>N</t>
        </is>
      </c>
      <c r="BK79" s="120" t="inlineStr">
        <is>
          <t>Prime Exclusive 11-01 to 11-19; Lightning Deal 11-09 to 11-15; Prime Exclusive already running before BFCM week; List Price $99.99</t>
        </is>
      </c>
    </row>
    <row r="80" ht="62" customHeight="1">
      <c r="A80" s="12">
        <f>_xlfn.IMAGE("https://m.media-amazon.com/images/I/91hq2AOKs0L._AC_SL1500_.jpg")</f>
        <v/>
      </c>
      <c r="B80" s="105" t="inlineStr">
        <is>
          <t>Bedsure</t>
        </is>
      </c>
      <c r="C80" s="39" t="inlineStr">
        <is>
          <t>SL Cooling Comforter</t>
        </is>
      </c>
      <c r="D80" s="105" t="inlineStr">
        <is>
          <t>Untiered</t>
        </is>
      </c>
      <c r="E80" s="128" t="inlineStr">
        <is>
          <t>Alternative material</t>
        </is>
      </c>
      <c r="F80" s="105" t="inlineStr">
        <is>
          <t>Microfiber / polyester</t>
        </is>
      </c>
      <c r="G80" s="39" t="inlineStr">
        <is>
          <t>Comforter in Microfiber / polyester (product page material: Polyester); ours is Synthetic cooling knit (BreezeWeave cooling fabric, nylon-spandex like CooLoom (confirmed Oct 15, 2026)). Shopper may cross-shop, but not like-for-like.</t>
        </is>
      </c>
      <c r="H80" s="107" t="inlineStr">
        <is>
          <t>B0H9S19J4V</t>
        </is>
      </c>
      <c r="I80" s="107" t="inlineStr">
        <is>
          <t>B0BN5TKJ8D</t>
        </is>
      </c>
      <c r="J80" s="105" t="inlineStr">
        <is>
          <t>Queen</t>
        </is>
      </c>
      <c r="K80" s="105" t="inlineStr">
        <is>
          <t>Charcoal Black</t>
        </is>
      </c>
      <c r="L80" s="108" t="n">
        <v>18</v>
      </c>
      <c r="M80" s="39" t="inlineStr">
        <is>
          <t>B0BN5TKJ8D (64%), B0BN5XYC3T (31%)</t>
        </is>
      </c>
      <c r="N80" s="109" t="n">
        <v>55.79</v>
      </c>
      <c r="O80" s="109" t="n"/>
      <c r="P80" s="110">
        <f>IF(AND(ISNUMBER(O80),ISNUMBER(N80),N(N80)&gt;0),O80/N80-1,"")</f>
        <v/>
      </c>
      <c r="Q80" s="111">
        <f>IF(P80="","No List Price",IF(P80&lt;=0,"At/below price",IF(P80&lt;=0.12,"&lt;=12% STR zone",IF(P80&lt;=0.25,"12-25%","&gt;25% over"))))</f>
        <v/>
      </c>
      <c r="R80" s="109" t="n">
        <v>69.98999999999999</v>
      </c>
      <c r="S80" s="112">
        <f>IF(AND(ISNUMBER(N80),ISNUMBER(R80),N(R80)&gt;0),N80/R80-1,"")</f>
        <v/>
      </c>
      <c r="T80" s="39" t="inlineStr">
        <is>
          <t>Same size (Queen). Ours live: catalog price, 2026-10-13; 3 children</t>
        </is>
      </c>
      <c r="U80" s="108" t="n">
        <v>12115</v>
      </c>
      <c r="V80" s="108" t="n">
        <v>347</v>
      </c>
      <c r="W80" s="113">
        <f>IF(AND(ISNUMBER(N80),ISNUMBER(V80)),N80*V80*52/12,"")</f>
        <v/>
      </c>
      <c r="X80" s="114" t="n">
        <v>4.4</v>
      </c>
      <c r="Y80" s="108" t="n">
        <v>3538</v>
      </c>
      <c r="Z80" s="115" t="n">
        <v>46307</v>
      </c>
      <c r="AA80" s="115" t="n"/>
      <c r="AB80" s="105" t="n"/>
      <c r="AC80" s="105" t="n"/>
      <c r="AD80" s="108" t="n">
        <v>643949</v>
      </c>
      <c r="AE80" s="108" t="n">
        <v>5481</v>
      </c>
      <c r="AF80" s="116" t="n">
        <v>0.7308647324555207</v>
      </c>
      <c r="AG80" s="116" t="n">
        <v>0.2691352725138173</v>
      </c>
      <c r="AH80" s="39" t="inlineStr">
        <is>
          <t>queen comforter set</t>
        </is>
      </c>
      <c r="AI80" s="116" t="n">
        <v>0.7493295276489287</v>
      </c>
      <c r="AJ80" s="116" t="n">
        <v>0.8924138402264775</v>
      </c>
      <c r="AK80" s="116" t="n"/>
      <c r="AL80" s="116" t="n">
        <v>0.1016819654972676</v>
      </c>
      <c r="AM80" s="108" t="n">
        <v>232</v>
      </c>
      <c r="AN80" s="108" t="n">
        <v>17</v>
      </c>
      <c r="AO80" s="108" t="n">
        <v>176</v>
      </c>
      <c r="AP80" s="108" t="n">
        <v>5249</v>
      </c>
      <c r="AQ80" s="108" t="n">
        <v>1401</v>
      </c>
      <c r="AR80" s="108" t="n">
        <v>0</v>
      </c>
      <c r="AS80" s="117" t="n">
        <v>1.066945606694561</v>
      </c>
      <c r="AT80" s="112" t="n">
        <v>0.3142331022530329</v>
      </c>
      <c r="AU80" s="118" t="inlineStr">
        <is>
          <t>Y</t>
        </is>
      </c>
      <c r="AV80" s="118" t="inlineStr">
        <is>
          <t>List Price</t>
        </is>
      </c>
      <c r="AW80" s="119" t="n">
        <v>89.98999999999999</v>
      </c>
      <c r="AX80" s="119" t="n">
        <v>55.79</v>
      </c>
      <c r="AY80" s="118" t="inlineStr">
        <is>
          <t>Limited time deal</t>
        </is>
      </c>
      <c r="AZ80" s="118" t="inlineStr">
        <is>
          <t>Y</t>
        </is>
      </c>
      <c r="BA80" s="118" t="inlineStr">
        <is>
          <t>2026-10-13 23:37:28</t>
        </is>
      </c>
      <c r="BB80" s="120" t="inlineStr">
        <is>
          <t>Price cut only</t>
        </is>
      </c>
      <c r="BC80" s="120" t="inlineStr">
        <is>
          <t>11-20 to 12-01</t>
        </is>
      </c>
      <c r="BD80" s="121" t="n">
        <v>59.99</v>
      </c>
      <c r="BE80" s="121" t="n">
        <v>44.99</v>
      </c>
      <c r="BF80" s="110">
        <f>IF(AND(ISNUMBER(BD80),ISNUMBER(BE80),N(BD80)&gt;0),1-BE80/BD80,"")</f>
        <v/>
      </c>
      <c r="BG80" s="122" t="n">
        <v>431</v>
      </c>
      <c r="BH80" s="122" t="n">
        <v>375</v>
      </c>
      <c r="BI80" s="123">
        <f>IF(AND(ISNUMBER(BG80),ISNUMBER(BH80),N(BH80)&gt;0),BG80/BH80,"")</f>
        <v/>
      </c>
      <c r="BJ80" s="120" t="inlineStr">
        <is>
          <t>N</t>
        </is>
      </c>
      <c r="BK80" s="120" t="inlineStr">
        <is>
          <t>Lightning Deal 11-05 to 11-12; List Price $58.99</t>
        </is>
      </c>
    </row>
    <row r="81"/>
    <row r="82" ht="22" customHeight="1">
      <c r="A82" s="65" t="inlineStr">
        <is>
          <t>5 ▼</t>
        </is>
      </c>
      <c r="B82" s="66" t="inlineStr">
        <is>
          <t>WHAT THIS MEANS FOR BFCM</t>
        </is>
      </c>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c r="AC82" s="67" t="n"/>
      <c r="AD82" s="67" t="n"/>
      <c r="AE82" s="67" t="n"/>
      <c r="AF82" s="67" t="n"/>
      <c r="AG82" s="67" t="n"/>
      <c r="AH82" s="67" t="n"/>
      <c r="AI82" s="67" t="n"/>
      <c r="AJ82" s="67" t="n"/>
      <c r="AK82" s="67" t="n"/>
      <c r="AL82" s="67" t="n"/>
      <c r="AM82" s="67" t="n"/>
      <c r="AN82" s="67" t="n"/>
      <c r="AO82" s="67" t="n"/>
      <c r="AP82" s="67" t="n"/>
      <c r="AQ82" s="67" t="n"/>
      <c r="AR82" s="67" t="n"/>
      <c r="AS82" s="67" t="n"/>
      <c r="AT82" s="67" t="n"/>
      <c r="AU82" s="67" t="n"/>
      <c r="AV82" s="67" t="n"/>
      <c r="AW82" s="67" t="n"/>
      <c r="AX82" s="67" t="n"/>
      <c r="AY82" s="67" t="n"/>
      <c r="AZ82" s="67" t="n"/>
      <c r="BA82" s="67" t="n"/>
      <c r="BB82" s="67" t="n"/>
      <c r="BC82" s="67" t="n"/>
      <c r="BD82" s="67" t="n"/>
      <c r="BE82" s="67" t="n"/>
      <c r="BF82" s="67" t="n"/>
      <c r="BG82" s="67" t="n"/>
      <c r="BH82" s="67" t="n"/>
      <c r="BI82" s="67" t="n"/>
      <c r="BJ82" s="67" t="n"/>
      <c r="BK82" s="67" t="n"/>
    </row>
    <row r="83" ht="30" customHeight="1">
      <c r="A83" s="129" t="inlineStr">
        <is>
          <t>• Who sells most: Bedsure ~347/wk at $55.79; REST ~220/wk at $186.75 (List $249.00, +33%); Bedsure ~185/wk at $44.99 (List $59.99, +33%); HOMFINE ~185/wk at $51.99; Cozy Bliss ~104/wk at $59.99 (List $79.99, +33%). Tracked rivals ~1,547 units/wk; we sell ~20/wk (1.2% of the tracked set).</t>
        </is>
      </c>
    </row>
    <row r="84" ht="18" customHeight="1">
      <c r="A84" s="129" t="inlineStr">
        <is>
          <t>• Strikethrough: 5 of 18 rivals set a List Price above price; 0 within 12%.</t>
        </is>
      </c>
    </row>
    <row r="85" ht="18" customHeight="1">
      <c r="A85" s="129" t="inlineStr">
        <is>
          <t>• Price: 16 of 18 rivals sit below our price today (same size where the title states one). Cheapest strong rivals: Elegear $39.98, Bedsure $41.85, Bedsure $44.99, bedsmile $44.99.</t>
        </is>
      </c>
    </row>
    <row r="86" ht="30" customHeight="1">
      <c r="A86" s="129" t="inlineStr">
        <is>
          <t>• Strikethrough on the page today (Oct 13 check): 9 of 18 checked rivals show one: Cozy Bliss List Price $79.99 vs $59.99 (+33%), Bedsure List Price $59.99 vs $44.99 (+33%) with deal, bedsmile List Price $59.99 vs $44.99 (+33%), Elegear Typical price $44.89 vs $39.98 (+12%), Vine Voice Typical price $62.29 vs $51.43 (+21%), DOWNCOOL List Price $39.99 vs $31.99 (+25%) with deal.</t>
        </is>
      </c>
    </row>
    <row r="87" ht="30" customHeight="1">
      <c r="A87" s="129" t="inlineStr">
        <is>
          <t>• Search: we lose most shared keywords to REST (we win 7, lose 254), Cozy Bliss (we win 13, lose 225), bedsmile (we win 15, lose 190). Biggest ad gaps (they advertise where we don't or harder): REST 2,643 + 11 KWs, Bedsure 1,401 + 0 KWs, HOMFINE 461 + 8 KWs.</t>
        </is>
      </c>
    </row>
    <row r="88" ht="30" customHeight="1">
      <c r="A88" s="129" t="inlineStr">
        <is>
          <t>• Brand ads: Cozy Bliss (SB 0%, SBV 88%), Bedsure (SB 71%, SBV 64%), EASELAND (SB 0%, SBV 62%), Elegear (SB 81%, SBV 0%), Vine Voice (SB 50%, SBV 1%) hold Sponsored Brands / video on most of their traffic - the plan has our SB, SBV and display live by Nov 1.</t>
        </is>
      </c>
    </row>
    <row r="89" ht="18" customHeight="1">
      <c r="A89" s="129" t="inlineStr">
        <is>
          <t>• Our BFCM 2025: 3.39x daily sales in BFCM week vs the 30 days before; TACoS 12.3% vs 27.0% before; December 4.21x.</t>
        </is>
      </c>
    </row>
    <row r="90" ht="18" customHeight="1">
      <c r="A90" s="129" t="inlineStr">
        <is>
          <t>• Prime Day 2026: our organic visibility 3.25x vs rivals' median 1.37x (n=8) - we held or out-gained rivals.</t>
        </is>
      </c>
    </row>
    <row r="91" ht="30" customHeight="1">
      <c r="A91" s="129" t="inlineStr">
        <is>
          <t>• BFCM 2025, 11 rivals with price history history: Prime Exclusive Discount 5, Price cut only 4, Lightning Deal 1, None 1. Median depth vs their Nov 1-19 price 5%; median BSR lift 1.27x. 2 raised their Buy Box in BFCM week, so their deal looked deeper than it was.</t>
        </is>
      </c>
    </row>
    <row r="92" ht="18" customHeight="1">
      <c r="A92" s="129" t="inlineStr">
        <is>
          <t>• 1 rival not in the price history pulls yet (yellow BFCM 2025 columns) - remaining P2 batches,.</t>
        </is>
      </c>
    </row>
  </sheetData>
  <autoFilter ref="B62:BK80"/>
  <mergeCells count="69">
    <mergeCell ref="A92:BK92"/>
    <mergeCell ref="A41:C41"/>
    <mergeCell ref="A46:C46"/>
    <mergeCell ref="L5:Q5"/>
    <mergeCell ref="A49:BK49"/>
    <mergeCell ref="A51:BK51"/>
    <mergeCell ref="Q11:T11"/>
    <mergeCell ref="L8:Q8"/>
    <mergeCell ref="BB61:BK61"/>
    <mergeCell ref="L4:Q4"/>
    <mergeCell ref="D7:I7"/>
    <mergeCell ref="A13:D13"/>
    <mergeCell ref="A88:BK88"/>
    <mergeCell ref="A61:K61"/>
    <mergeCell ref="I13:L13"/>
    <mergeCell ref="A42:C42"/>
    <mergeCell ref="A87:BK87"/>
    <mergeCell ref="A47:C47"/>
    <mergeCell ref="D4:I4"/>
    <mergeCell ref="L10:Q10"/>
    <mergeCell ref="E12:H12"/>
    <mergeCell ref="Q13:T13"/>
    <mergeCell ref="A54:BK54"/>
    <mergeCell ref="AU61:BA61"/>
    <mergeCell ref="D9:I9"/>
    <mergeCell ref="A84:BK84"/>
    <mergeCell ref="A90:BK90"/>
    <mergeCell ref="U12:X12"/>
    <mergeCell ref="L9:Q9"/>
    <mergeCell ref="Q12:T12"/>
    <mergeCell ref="A11:D11"/>
    <mergeCell ref="A89:BK89"/>
    <mergeCell ref="I11:L11"/>
    <mergeCell ref="A43:C43"/>
    <mergeCell ref="D8:I8"/>
    <mergeCell ref="L6:Q6"/>
    <mergeCell ref="A4:B9"/>
    <mergeCell ref="A50:BK50"/>
    <mergeCell ref="A56:BK56"/>
    <mergeCell ref="T6:Y6"/>
    <mergeCell ref="A55:BK55"/>
    <mergeCell ref="A86:BK86"/>
    <mergeCell ref="A57:BK57"/>
    <mergeCell ref="D5:I5"/>
    <mergeCell ref="A85:BK85"/>
    <mergeCell ref="A40:C40"/>
    <mergeCell ref="AA61:AC61"/>
    <mergeCell ref="M11:P11"/>
    <mergeCell ref="U11:X11"/>
    <mergeCell ref="A48:C48"/>
    <mergeCell ref="A91:BK91"/>
    <mergeCell ref="E13:H13"/>
    <mergeCell ref="D10:I10"/>
    <mergeCell ref="L7:Q7"/>
    <mergeCell ref="T5:Y5"/>
    <mergeCell ref="A53:BK53"/>
    <mergeCell ref="AD61:AT61"/>
    <mergeCell ref="A45:C45"/>
    <mergeCell ref="N61:Z61"/>
    <mergeCell ref="A12:D12"/>
    <mergeCell ref="M13:P13"/>
    <mergeCell ref="A52:BK52"/>
    <mergeCell ref="I12:L12"/>
    <mergeCell ref="U13:X13"/>
    <mergeCell ref="M12:P12"/>
    <mergeCell ref="T4:Y4"/>
    <mergeCell ref="D6:I6"/>
    <mergeCell ref="E11:H11"/>
    <mergeCell ref="A83:BK83"/>
  </mergeCells>
  <conditionalFormatting sqref="Q63:Q80">
    <cfRule type="expression" priority="1" dxfId="1">
      <formula>Q63="&lt;=12% STR zone"</formula>
    </cfRule>
  </conditionalFormatting>
  <conditionalFormatting sqref="Z63:Z80">
    <cfRule type="expression" priority="2" dxfId="0">
      <formula>AND(ISNUMBER(Z63),Z63&lt;DATE(2026,10,6))</formula>
    </cfRule>
  </conditionalFormatting>
  <conditionalFormatting sqref="T63:T80">
    <cfRule type="expression" priority="3" dxfId="0">
      <formula>ISNUMBER(SEARCH("STALE",T63))</formula>
    </cfRule>
  </conditionalFormatting>
  <conditionalFormatting sqref="S63:S80">
    <cfRule type="expression" priority="4" dxfId="0">
      <formula>AND(ISNUMBER(S63),S63&lt;0)</formula>
    </cfRule>
  </conditionalFormatting>
  <dataValidations count="3">
    <dataValidation sqref="AU63:AU80 BJ63:BJ80" showDropDown="0" showInputMessage="0" showErrorMessage="0" allowBlank="1" type="list">
      <formula1>"Y,N"</formula1>
    </dataValidation>
    <dataValidation sqref="AV63:AV80" showDropDown="0" showInputMessage="0" showErrorMessage="0" allowBlank="1" type="list">
      <formula1>"List Price,Typical price,Was price,None"</formula1>
    </dataValidation>
    <dataValidation sqref="BB63:BB80"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Cooling Comforter'!A3" display="1 Our product ↓"/>
    <hyperlink ref="D2" location="'US SL Cooling Comforter'!A15" display="2 Our variations ↓"/>
    <hyperlink ref="E2" location="'US SL Cooling Comforter'!A39" display="3 Our BFCM 2025 ↓"/>
    <hyperlink ref="F2" location="'US SL Cooling Comforter'!A59" display="4 COMPETITORS (18 mapped) ↓"/>
    <hyperlink ref="G2" location="'US SL Cooling Comforter'!A82" display="5 What it means ↓"/>
    <hyperlink xmlns:r="http://schemas.openxmlformats.org/officeDocument/2006/relationships" ref="H63" r:id="rId1"/>
    <hyperlink xmlns:r="http://schemas.openxmlformats.org/officeDocument/2006/relationships" ref="I63" r:id="rId2"/>
    <hyperlink xmlns:r="http://schemas.openxmlformats.org/officeDocument/2006/relationships" ref="H64" r:id="rId3"/>
    <hyperlink xmlns:r="http://schemas.openxmlformats.org/officeDocument/2006/relationships" ref="I64" r:id="rId4"/>
    <hyperlink xmlns:r="http://schemas.openxmlformats.org/officeDocument/2006/relationships" ref="H65" r:id="rId5"/>
    <hyperlink xmlns:r="http://schemas.openxmlformats.org/officeDocument/2006/relationships" ref="I65" r:id="rId6"/>
    <hyperlink xmlns:r="http://schemas.openxmlformats.org/officeDocument/2006/relationships" ref="H66" r:id="rId7"/>
    <hyperlink xmlns:r="http://schemas.openxmlformats.org/officeDocument/2006/relationships" ref="I66" r:id="rId8"/>
    <hyperlink xmlns:r="http://schemas.openxmlformats.org/officeDocument/2006/relationships" ref="H67" r:id="rId9"/>
    <hyperlink xmlns:r="http://schemas.openxmlformats.org/officeDocument/2006/relationships" ref="I67" r:id="rId10"/>
    <hyperlink xmlns:r="http://schemas.openxmlformats.org/officeDocument/2006/relationships" ref="H68" r:id="rId11"/>
    <hyperlink xmlns:r="http://schemas.openxmlformats.org/officeDocument/2006/relationships" ref="I68" r:id="rId12"/>
    <hyperlink xmlns:r="http://schemas.openxmlformats.org/officeDocument/2006/relationships" ref="H69" r:id="rId13"/>
    <hyperlink xmlns:r="http://schemas.openxmlformats.org/officeDocument/2006/relationships" ref="I69" r:id="rId14"/>
    <hyperlink xmlns:r="http://schemas.openxmlformats.org/officeDocument/2006/relationships" ref="H70" r:id="rId15"/>
    <hyperlink xmlns:r="http://schemas.openxmlformats.org/officeDocument/2006/relationships" ref="I70" r:id="rId16"/>
    <hyperlink xmlns:r="http://schemas.openxmlformats.org/officeDocument/2006/relationships" ref="H71" r:id="rId17"/>
    <hyperlink xmlns:r="http://schemas.openxmlformats.org/officeDocument/2006/relationships" ref="I71" r:id="rId18"/>
    <hyperlink xmlns:r="http://schemas.openxmlformats.org/officeDocument/2006/relationships" ref="H72" r:id="rId19"/>
    <hyperlink xmlns:r="http://schemas.openxmlformats.org/officeDocument/2006/relationships" ref="I72" r:id="rId20"/>
    <hyperlink xmlns:r="http://schemas.openxmlformats.org/officeDocument/2006/relationships" ref="H73" r:id="rId21"/>
    <hyperlink xmlns:r="http://schemas.openxmlformats.org/officeDocument/2006/relationships" ref="I73" r:id="rId22"/>
    <hyperlink xmlns:r="http://schemas.openxmlformats.org/officeDocument/2006/relationships" ref="H74" r:id="rId23"/>
    <hyperlink xmlns:r="http://schemas.openxmlformats.org/officeDocument/2006/relationships" ref="I74" r:id="rId24"/>
    <hyperlink xmlns:r="http://schemas.openxmlformats.org/officeDocument/2006/relationships" ref="H75" r:id="rId25"/>
    <hyperlink xmlns:r="http://schemas.openxmlformats.org/officeDocument/2006/relationships" ref="I75" r:id="rId26"/>
    <hyperlink xmlns:r="http://schemas.openxmlformats.org/officeDocument/2006/relationships" ref="H76" r:id="rId27"/>
    <hyperlink xmlns:r="http://schemas.openxmlformats.org/officeDocument/2006/relationships" ref="I76" r:id="rId28"/>
    <hyperlink xmlns:r="http://schemas.openxmlformats.org/officeDocument/2006/relationships" ref="H77" r:id="rId29"/>
    <hyperlink xmlns:r="http://schemas.openxmlformats.org/officeDocument/2006/relationships" ref="I77" r:id="rId30"/>
    <hyperlink xmlns:r="http://schemas.openxmlformats.org/officeDocument/2006/relationships" ref="H78" r:id="rId31"/>
    <hyperlink xmlns:r="http://schemas.openxmlformats.org/officeDocument/2006/relationships" ref="I78" r:id="rId32"/>
    <hyperlink xmlns:r="http://schemas.openxmlformats.org/officeDocument/2006/relationships" ref="H79" r:id="rId33"/>
    <hyperlink xmlns:r="http://schemas.openxmlformats.org/officeDocument/2006/relationships" ref="I79" r:id="rId34"/>
    <hyperlink xmlns:r="http://schemas.openxmlformats.org/officeDocument/2006/relationships" ref="H80" r:id="rId35"/>
    <hyperlink xmlns:r="http://schemas.openxmlformats.org/officeDocument/2006/relationships" ref="I80" r:id="rId36"/>
  </hyperlink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9DC3E6"/>
    <outlinePr summaryBelow="1" summaryRight="1"/>
    <pageSetUpPr/>
  </sheetPr>
  <dimension ref="A1:BK12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Cooling Fitted Sheet · Amazon.com (US) · Cooling · BFCM role: Off-season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(11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_xlfn.IMAGE("https://m.media-amazon.com/images/I/81G7yE5OfqL._AC_SL1500_.jpg")</f>
        <v/>
      </c>
      <c r="C4" s="13" t="inlineStr">
        <is>
          <t>Title</t>
        </is>
      </c>
      <c r="D4" s="14" t="inlineStr">
        <is>
          <t>SLEEPHORIA Cooling Fitted Sheet King Size - 1 PC BreezeWeave Cooling Sheets for Hot Sleepers &amp; Cool Rest w/ 16 in Deep Pocket - Corner Straps, Cloud Soft, Ultra Durable - 73 x 77 in (White)</t>
        </is>
      </c>
      <c r="K4" s="13" t="inlineStr">
        <is>
          <t>Sizes</t>
        </is>
      </c>
      <c r="L4" s="68" t="inlineStr">
        <is>
          <t>Cal King, Full, King, Queen, Twin</t>
        </is>
      </c>
      <c r="S4" s="13" t="inlineStr">
        <is>
          <t>Break-even ACoS</t>
        </is>
      </c>
      <c r="T4" s="68" t="inlineStr">
        <is>
          <t>25%</t>
        </is>
      </c>
    </row>
    <row r="5" ht="22" customHeight="1">
      <c r="C5" s="13" t="inlineStr">
        <is>
          <t>Brand</t>
        </is>
      </c>
      <c r="D5" s="68" t="inlineStr">
        <is>
          <t>Sleephoria</t>
        </is>
      </c>
      <c r="K5" s="13" t="inlineStr">
        <is>
          <t>Colours</t>
        </is>
      </c>
      <c r="L5" s="68" t="inlineStr">
        <is>
          <t>Beige, Cool Blue, Cool Grey, Cream, Graphite, Light Blue, Light Grey, Light Pink, Midnight Black, Navy Blue, Regal Purple, Sage Green, White</t>
        </is>
      </c>
      <c r="S5" s="13" t="inlineStr">
        <is>
          <t>Units last 28 days</t>
        </is>
      </c>
      <c r="T5" s="68" t="inlineStr">
        <is>
          <t>513</t>
        </is>
      </c>
    </row>
    <row r="6" ht="22" customHeight="1">
      <c r="C6" s="13" t="inlineStr">
        <is>
          <t>Marketplace</t>
        </is>
      </c>
      <c r="D6" s="68" t="inlineStr">
        <is>
          <t>Amazon.com (US)</t>
        </is>
      </c>
      <c r="K6" s="13" t="inlineStr">
        <is>
          <t>Price now, best child</t>
        </is>
      </c>
      <c r="L6" s="68" t="inlineStr">
        <is>
          <t>$39.99 (catalog price, 2026-10-13)</t>
        </is>
      </c>
      <c r="S6" s="13" t="inlineStr">
        <is>
          <t>market data product ASIN</t>
        </is>
      </c>
      <c r="T6" s="68" t="inlineStr">
        <is>
          <t>B0F7M4DPM6 (one of our child ASINs, not the Amazon parent)</t>
        </is>
      </c>
    </row>
    <row r="7" ht="22" customHeight="1">
      <c r="C7" s="13" t="inlineStr">
        <is>
          <t>Parent ASIN (Amazon)</t>
        </is>
      </c>
      <c r="D7" s="68" t="inlineStr">
        <is>
          <t>B0GR6GBJYC</t>
        </is>
      </c>
      <c r="K7" s="13" t="inlineStr">
        <is>
          <t>Rating / reviews now</t>
        </is>
      </c>
      <c r="L7" s="68" t="inlineStr">
        <is>
          <t>4.6 / 496 (catalog price, 2026-10-13)</t>
        </is>
      </c>
    </row>
    <row r="8" ht="22" customHeight="1">
      <c r="C8" s="13" t="inlineStr">
        <is>
          <t>Best-selling child ASIN</t>
        </is>
      </c>
      <c r="D8" s="68" t="inlineStr">
        <is>
          <t>B0F7M3YQ5R</t>
        </is>
      </c>
      <c r="K8" s="13" t="inlineStr">
        <is>
          <t>Live prices held</t>
        </is>
      </c>
      <c r="L8" s="68" t="inlineStr">
        <is>
          <t>39 of 65 variations</t>
        </is>
      </c>
    </row>
    <row r="9" ht="22" customHeight="1">
      <c r="C9" s="13" t="inlineStr">
        <is>
          <t>Stage</t>
        </is>
      </c>
      <c r="D9" s="68" t="inlineStr">
        <is>
          <t>Re-Launch</t>
        </is>
      </c>
      <c r="K9" s="13" t="inlineStr">
        <is>
          <t>Blended price (market data)</t>
        </is>
      </c>
      <c r="L9" s="68" t="inlineStr">
        <is>
          <t>$33.23 - fee feed as of 2026-03-30, STALE</t>
        </is>
      </c>
    </row>
    <row r="10">
      <c r="C10" s="13" t="inlineStr">
        <is>
          <t>Total variations (SKUs)</t>
        </is>
      </c>
      <c r="D10" s="68" t="n">
        <v>65</v>
      </c>
      <c r="K10" s="13" t="inlineStr">
        <is>
          <t>Contribution / unit</t>
        </is>
      </c>
      <c r="L10" s="68" t="inlineStr">
        <is>
          <t>$8.37</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0.98x</t>
        </is>
      </c>
      <c r="E12" s="70" t="inlineStr">
        <is>
          <t>0.0%</t>
        </is>
      </c>
      <c r="I12" s="70" t="inlineStr">
        <is>
          <t>1.43x</t>
        </is>
      </c>
      <c r="M12" s="70" t="inlineStr">
        <is>
          <t>11</t>
        </is>
      </c>
      <c r="Q12" s="70" t="inlineStr">
        <is>
          <t>2</t>
        </is>
      </c>
      <c r="U12" s="70" t="inlineStr">
        <is>
          <t>1</t>
        </is>
      </c>
    </row>
    <row r="13">
      <c r="A13" s="71" t="inlineStr">
        <is>
          <t>daily sales, BFCM wk vs 30 days before (account data actual)</t>
        </is>
      </c>
      <c r="E13" s="71" t="inlineStr">
        <is>
          <t>vs 0.0% before</t>
        </is>
      </c>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(65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_xlfn.IMAGE("https://m.media-amazon.com/images/I/81G7yE5OfqL.jpg")</f>
        <v/>
      </c>
      <c r="B18" s="39" t="inlineStr">
        <is>
          <t>B0F7M3YQ5R</t>
        </is>
      </c>
      <c r="C18" s="39" t="inlineStr">
        <is>
          <t>SL-COOLING-FITTED-KING-WHITE</t>
        </is>
      </c>
      <c r="D18" s="39" t="inlineStr">
        <is>
          <t>SLEEPHORIA Cooling Fitted Sheet King Size - 1 PC BreezeWeave Cooling Sheets for Hot Sleepers &amp; Cool Rest w/ 16 in Deep Pocket - Corner Straps, Cloud Soft, Ultra Durable - 73 x 77 in (White)</t>
        </is>
      </c>
      <c r="E18" s="39" t="inlineStr">
        <is>
          <t>King</t>
        </is>
      </c>
      <c r="F18" s="39" t="inlineStr">
        <is>
          <t>White</t>
        </is>
      </c>
      <c r="G18" s="73" t="n">
        <v>39.99</v>
      </c>
      <c r="H18" s="39" t="inlineStr">
        <is>
          <t>catalog price, 2026-10-13</t>
        </is>
      </c>
      <c r="I18" s="74" t="n">
        <v>34.99</v>
      </c>
      <c r="J18" s="75" t="inlineStr">
        <is>
          <t>2026-03-30</t>
        </is>
      </c>
      <c r="K18" s="40" t="n">
        <v>9.180000000000001</v>
      </c>
      <c r="L18" s="76" t="n">
        <v>0.2623606744784224</v>
      </c>
      <c r="M18" s="77" t="n">
        <v>67</v>
      </c>
      <c r="N18" s="39" t="inlineStr">
        <is>
          <t>Active</t>
        </is>
      </c>
      <c r="O18" s="39" t="inlineStr">
        <is>
          <t>Yes (34%)</t>
        </is>
      </c>
      <c r="P18" s="78" t="n">
        <v>4.6</v>
      </c>
      <c r="Q18" s="77" t="n">
        <v>496</v>
      </c>
      <c r="R18" s="77" t="n">
        <v>49030</v>
      </c>
      <c r="S18" s="77" t="n">
        <v>138</v>
      </c>
      <c r="T18" s="39" t="n"/>
    </row>
    <row r="19" ht="62" customHeight="1">
      <c r="A19" s="12">
        <f>_xlfn.IMAGE("https://m.media-amazon.com/images/I/81G7yE5OfqL.jpg")</f>
        <v/>
      </c>
      <c r="B19" s="39" t="inlineStr">
        <is>
          <t>B0F7M5PNCT</t>
        </is>
      </c>
      <c r="C19" s="39" t="inlineStr">
        <is>
          <t>SL-COOLING-FITTED-QUEEN-WHITE</t>
        </is>
      </c>
      <c r="D19" s="39" t="inlineStr">
        <is>
          <t>SLEEPHORIA Cooling Fitted Sheet Queen Size - 1 PC BreezeWeave Cooling Sheets for Hot Sleepers &amp; Cool Rest w/ 16 in Deep Pocket - Corner Straps, Cloud Soft, Ultra Durable - 57 x 77 in (White)</t>
        </is>
      </c>
      <c r="E19" s="39" t="inlineStr">
        <is>
          <t>Queen</t>
        </is>
      </c>
      <c r="F19" s="39" t="inlineStr">
        <is>
          <t>White</t>
        </is>
      </c>
      <c r="G19" s="73" t="n">
        <v>37.99</v>
      </c>
      <c r="H19" s="39" t="inlineStr">
        <is>
          <t>catalog price, 2026-10-13</t>
        </is>
      </c>
      <c r="I19" s="74" t="n">
        <v>31.99</v>
      </c>
      <c r="J19" s="75" t="inlineStr">
        <is>
          <t>2026-03-30</t>
        </is>
      </c>
      <c r="K19" s="40" t="n">
        <v>8.309999999999995</v>
      </c>
      <c r="L19" s="76" t="n">
        <v>0.2597686777117848</v>
      </c>
      <c r="M19" s="77" t="n">
        <v>49</v>
      </c>
      <c r="N19" s="39" t="inlineStr">
        <is>
          <t>Active</t>
        </is>
      </c>
      <c r="O19" s="39" t="inlineStr">
        <is>
          <t>Yes (27%)</t>
        </is>
      </c>
      <c r="P19" s="78" t="n">
        <v>4.6</v>
      </c>
      <c r="Q19" s="77" t="n">
        <v>496</v>
      </c>
      <c r="R19" s="77" t="n">
        <v>49030</v>
      </c>
      <c r="S19" s="77" t="n">
        <v>87</v>
      </c>
      <c r="T19" s="39" t="n"/>
    </row>
    <row r="20" ht="62" customHeight="1">
      <c r="A20" s="12">
        <f>_xlfn.IMAGE("https://m.media-amazon.com/images/I/81AUUOONndL.jpg")</f>
        <v/>
      </c>
      <c r="B20" s="39" t="inlineStr">
        <is>
          <t>B0F7M6BF7C</t>
        </is>
      </c>
      <c r="C20" s="39" t="inlineStr">
        <is>
          <t>SL-COOLING-FITTED-KING-LIGHT-GREY</t>
        </is>
      </c>
      <c r="D20" s="39" t="inlineStr">
        <is>
          <t>SLEEPHORIA Cooling Fitted Sheet King Size - 1 PC BreezeWeave Cooling Sheets for Hot Sleepers &amp; Cool Rest w/ 16 in Deep Pocket - Corner Straps, Cloud Soft, Ultra Durable - 73 x 77 in (Light Grey)</t>
        </is>
      </c>
      <c r="E20" s="39" t="inlineStr">
        <is>
          <t>King</t>
        </is>
      </c>
      <c r="F20" s="39" t="inlineStr">
        <is>
          <t>Light Grey</t>
        </is>
      </c>
      <c r="G20" s="40" t="n"/>
      <c r="H20" s="39" t="n"/>
      <c r="I20" s="74" t="n">
        <v>34.99</v>
      </c>
      <c r="J20" s="75" t="inlineStr">
        <is>
          <t>2026-03-30</t>
        </is>
      </c>
      <c r="K20" s="40" t="n">
        <v>8.870000000000003</v>
      </c>
      <c r="L20" s="76" t="n">
        <v>0.253501000285796</v>
      </c>
      <c r="M20" s="77" t="n">
        <v>37</v>
      </c>
      <c r="N20" s="39" t="inlineStr">
        <is>
          <t>Active</t>
        </is>
      </c>
      <c r="O20" s="39" t="n"/>
      <c r="P20" s="78" t="n"/>
      <c r="Q20" s="77" t="n"/>
      <c r="R20" s="77" t="n"/>
      <c r="S20" s="77" t="n"/>
      <c r="T20" s="39" t="n"/>
    </row>
    <row r="21" ht="62" customHeight="1">
      <c r="A21" s="12">
        <f>_xlfn.IMAGE("https://m.media-amazon.com/images/I/81r690HkxWL.jpg")</f>
        <v/>
      </c>
      <c r="B21" s="39" t="inlineStr">
        <is>
          <t>B0F7M5SD7Q</t>
        </is>
      </c>
      <c r="C21" s="39" t="inlineStr">
        <is>
          <t>SL-COOLING-FITTED-KING-COOL-GREY</t>
        </is>
      </c>
      <c r="D21" s="39" t="inlineStr">
        <is>
          <t>SLEEPHORIA Cooling Fitted Sheet King Size - 1 PC BreezeWeave Cooling Sheets for Hot Sleepers &amp; Cool Rest w/ 16 in Deep Pocket - Corner Straps, Cloud Soft, Ultra Durable - 73 x 77 in (Cool Grey)</t>
        </is>
      </c>
      <c r="E21" s="39" t="inlineStr">
        <is>
          <t>King</t>
        </is>
      </c>
      <c r="F21" s="39" t="inlineStr">
        <is>
          <t>Cool Grey</t>
        </is>
      </c>
      <c r="G21" s="73" t="n">
        <v>39.99</v>
      </c>
      <c r="H21" s="39" t="inlineStr">
        <is>
          <t>catalog price, 2026-10-13</t>
        </is>
      </c>
      <c r="I21" s="74" t="n">
        <v>32.99</v>
      </c>
      <c r="J21" s="75" t="inlineStr">
        <is>
          <t>2026-03-22</t>
        </is>
      </c>
      <c r="K21" s="40" t="n">
        <v>7.250000000000002</v>
      </c>
      <c r="L21" s="76" t="n">
        <v>0.2197635647165808</v>
      </c>
      <c r="M21" s="77" t="n">
        <v>32</v>
      </c>
      <c r="N21" s="39" t="inlineStr">
        <is>
          <t>Active</t>
        </is>
      </c>
      <c r="O21" s="39" t="inlineStr">
        <is>
          <t>Yes (9%)</t>
        </is>
      </c>
      <c r="P21" s="78" t="n">
        <v>4.6</v>
      </c>
      <c r="Q21" s="77" t="n">
        <v>496</v>
      </c>
      <c r="R21" s="77" t="n">
        <v>49030</v>
      </c>
      <c r="S21" s="77" t="n">
        <v>87</v>
      </c>
      <c r="T21" s="39" t="n"/>
    </row>
    <row r="22" ht="62" customHeight="1">
      <c r="A22" s="12">
        <f>_xlfn.IMAGE("https://m.media-amazon.com/images/I/815Zr2bHyBL.jpg")</f>
        <v/>
      </c>
      <c r="B22" s="39" t="inlineStr">
        <is>
          <t>B0F7M8SJ5Q</t>
        </is>
      </c>
      <c r="C22" s="39" t="inlineStr">
        <is>
          <t>SL-COOLING-FITTED-KING-BEIGE</t>
        </is>
      </c>
      <c r="D22" s="39" t="inlineStr">
        <is>
          <t>SLEEPHORIA Cooling Fitted Sheet King Size - 1 PC BreezeWeave Cooling Sheets for Hot Sleepers &amp; Cool Rest w/ 16 in Deep Pocket - Corner Straps, Cloud Soft, Ultra Durable - 73 x 77 in (Beige)</t>
        </is>
      </c>
      <c r="E22" s="39" t="inlineStr">
        <is>
          <t>King</t>
        </is>
      </c>
      <c r="F22" s="39" t="inlineStr">
        <is>
          <t>Beige</t>
        </is>
      </c>
      <c r="G22" s="73" t="n">
        <v>39.99</v>
      </c>
      <c r="H22" s="39" t="inlineStr">
        <is>
          <t>catalog price, 2026-10-13</t>
        </is>
      </c>
      <c r="I22" s="74" t="n">
        <v>34.99</v>
      </c>
      <c r="J22" s="75" t="inlineStr">
        <is>
          <t>2026-03-30</t>
        </is>
      </c>
      <c r="K22" s="40" t="n">
        <v>8.870000000000003</v>
      </c>
      <c r="L22" s="76" t="n">
        <v>0.253501000285796</v>
      </c>
      <c r="M22" s="77" t="n">
        <v>31</v>
      </c>
      <c r="N22" s="39" t="inlineStr">
        <is>
          <t>Active</t>
        </is>
      </c>
      <c r="O22" s="39" t="n"/>
      <c r="P22" s="78" t="n">
        <v>4.6</v>
      </c>
      <c r="Q22" s="77" t="n">
        <v>496</v>
      </c>
      <c r="R22" s="77" t="n">
        <v>49030</v>
      </c>
      <c r="S22" s="77" t="n">
        <v>85</v>
      </c>
      <c r="T22" s="39" t="n"/>
    </row>
    <row r="23" ht="62" customHeight="1">
      <c r="A23" s="12">
        <f>_xlfn.IMAGE("https://m.media-amazon.com/images/I/81hT0qOPgZL.jpg")</f>
        <v/>
      </c>
      <c r="B23" s="39" t="inlineStr">
        <is>
          <t>B0F7M35CHR</t>
        </is>
      </c>
      <c r="C23" s="39" t="inlineStr">
        <is>
          <t>SL-COOLING-FITTED-QUEEN-MIDNIGHT-BLACK</t>
        </is>
      </c>
      <c r="D23" s="39" t="inlineStr">
        <is>
          <t>SLEEPHORIA Cooling Fitted Sheet Queen Size - 1 PC BreezeWeave Cooling Sheets for Hot Sleepers &amp; Cool Rest w/ 16 in Deep Pocket - Corner Straps, Cloud Soft, Ultra Durable - 57 x 77 in (Midnight Black)</t>
        </is>
      </c>
      <c r="E23" s="39" t="inlineStr">
        <is>
          <t>Queen</t>
        </is>
      </c>
      <c r="F23" s="39" t="inlineStr">
        <is>
          <t>Midnight Black</t>
        </is>
      </c>
      <c r="G23" s="73" t="n">
        <v>37.99</v>
      </c>
      <c r="H23" s="39" t="inlineStr">
        <is>
          <t>catalog price, 2026-10-13</t>
        </is>
      </c>
      <c r="I23" s="74" t="n">
        <v>31.99</v>
      </c>
      <c r="J23" s="75" t="inlineStr">
        <is>
          <t>2026-03-30</t>
        </is>
      </c>
      <c r="K23" s="40" t="n">
        <v>8.309999999999995</v>
      </c>
      <c r="L23" s="76" t="n">
        <v>0.2597686777117848</v>
      </c>
      <c r="M23" s="77" t="n">
        <v>27</v>
      </c>
      <c r="N23" s="39" t="inlineStr">
        <is>
          <t>Active</t>
        </is>
      </c>
      <c r="O23" s="39" t="n"/>
      <c r="P23" s="78" t="n">
        <v>4.6</v>
      </c>
      <c r="Q23" s="77" t="n">
        <v>496</v>
      </c>
      <c r="R23" s="77" t="n">
        <v>49030</v>
      </c>
      <c r="S23" s="77" t="n">
        <v>71</v>
      </c>
      <c r="T23" s="39" t="n"/>
    </row>
    <row r="24" ht="62" customHeight="1">
      <c r="A24" s="12">
        <f>_xlfn.IMAGE("https://m.media-amazon.com/images/I/81hT0qOPgZL.jpg")</f>
        <v/>
      </c>
      <c r="B24" s="39" t="inlineStr">
        <is>
          <t>B0F7M3CF1Q</t>
        </is>
      </c>
      <c r="C24" s="39" t="inlineStr">
        <is>
          <t>SL-COOLING-FITTED-KING-MIDNIGHT-BLACK</t>
        </is>
      </c>
      <c r="D24" s="39" t="inlineStr">
        <is>
          <t>SLEEPHORIA Cooling Fitted Sheet King Size - 1 PC BreezeWeave Cooling Sheets for Hot Sleepers &amp; Cool Rest w/ 16 in Deep Pocket - Corner Straps, Cloud Soft, Ultra Durable - 73 x 77 in (Midnight Black)</t>
        </is>
      </c>
      <c r="E24" s="39" t="inlineStr">
        <is>
          <t>King</t>
        </is>
      </c>
      <c r="F24" s="39" t="inlineStr">
        <is>
          <t>Midnight Black</t>
        </is>
      </c>
      <c r="G24" s="73" t="n">
        <v>39.99</v>
      </c>
      <c r="H24" s="39" t="inlineStr">
        <is>
          <t>catalog price, 2026-10-13</t>
        </is>
      </c>
      <c r="I24" s="74" t="n">
        <v>34.99</v>
      </c>
      <c r="J24" s="75" t="inlineStr">
        <is>
          <t>2026-03-30</t>
        </is>
      </c>
      <c r="K24" s="40" t="n">
        <v>9.100000000000003</v>
      </c>
      <c r="L24" s="76" t="n">
        <v>0.2600743069448415</v>
      </c>
      <c r="M24" s="77" t="n">
        <v>25</v>
      </c>
      <c r="N24" s="39" t="inlineStr">
        <is>
          <t>Active</t>
        </is>
      </c>
      <c r="O24" s="39" t="inlineStr">
        <is>
          <t>Yes (7%)</t>
        </is>
      </c>
      <c r="P24" s="78" t="n">
        <v>4.6</v>
      </c>
      <c r="Q24" s="77" t="n">
        <v>496</v>
      </c>
      <c r="R24" s="77" t="n">
        <v>49029</v>
      </c>
      <c r="S24" s="77" t="n">
        <v>83</v>
      </c>
      <c r="T24" s="39" t="n"/>
    </row>
    <row r="25" ht="62" customHeight="1">
      <c r="A25" s="12">
        <f>_xlfn.IMAGE("https://m.media-amazon.com/images/I/81-LAAiOPsL.jpg")</f>
        <v/>
      </c>
      <c r="B25" s="39" t="inlineStr">
        <is>
          <t>B0F7M87QYF</t>
        </is>
      </c>
      <c r="C25" s="39" t="inlineStr">
        <is>
          <t>SL-COOLING-FITTED-QUEEN-GRAPHITE</t>
        </is>
      </c>
      <c r="D25" s="39" t="inlineStr">
        <is>
          <t>SLEEPHORIA Cooling Fitted Sheet Queen Size - 1 PC BreezeWeave Cooling Sheets for Hot Sleepers &amp; Cool Rest w/ 16 in Deep Pocket - Corner Straps, Cloud Soft, Ultra Durable - 57 x 77 in (Graphite)</t>
        </is>
      </c>
      <c r="E25" s="39" t="inlineStr">
        <is>
          <t>Queen</t>
        </is>
      </c>
      <c r="F25" s="39" t="inlineStr">
        <is>
          <t>Graphite</t>
        </is>
      </c>
      <c r="G25" s="73" t="n">
        <v>37.99</v>
      </c>
      <c r="H25" s="39" t="inlineStr">
        <is>
          <t>catalog price, 2026-10-13</t>
        </is>
      </c>
      <c r="I25" s="74" t="n">
        <v>31.99</v>
      </c>
      <c r="J25" s="75" t="inlineStr">
        <is>
          <t>2026-03-30</t>
        </is>
      </c>
      <c r="K25" s="40" t="n">
        <v>8.449999999999996</v>
      </c>
      <c r="L25" s="76" t="n">
        <v>0.2641450453266644</v>
      </c>
      <c r="M25" s="77" t="n">
        <v>22</v>
      </c>
      <c r="N25" s="39" t="inlineStr">
        <is>
          <t>Active</t>
        </is>
      </c>
      <c r="O25" s="39" t="n"/>
      <c r="P25" s="78" t="n">
        <v>4.6</v>
      </c>
      <c r="Q25" s="77" t="n">
        <v>496</v>
      </c>
      <c r="R25" s="77" t="n">
        <v>49029</v>
      </c>
      <c r="S25" s="77" t="n">
        <v>11</v>
      </c>
      <c r="T25" s="39" t="n"/>
    </row>
    <row r="26" ht="62" customHeight="1">
      <c r="A26" s="12">
        <f>_xlfn.IMAGE("https://m.media-amazon.com/images/I/81Tr9Bh8YxL.jpg")</f>
        <v/>
      </c>
      <c r="B26" s="39" t="inlineStr">
        <is>
          <t>B0F7M6Q6G8</t>
        </is>
      </c>
      <c r="C26" s="39" t="inlineStr">
        <is>
          <t>SL-COOLING-FITTED-QUEEN-SAGE-GREEN</t>
        </is>
      </c>
      <c r="D26" s="39" t="inlineStr">
        <is>
          <t>SLEEPHORIA Cooling Fitted Sheet Queen Size - 1 PC BreezeWeave Cooling Sheets for Hot Sleepers &amp; Cool Rest w/ 16 in Deep Pocket - Corner Straps, Cloud Soft, Ultra Durable - 57 x 77 in (Sage Green)</t>
        </is>
      </c>
      <c r="E26" s="39" t="inlineStr">
        <is>
          <t>Queen</t>
        </is>
      </c>
      <c r="F26" s="39" t="inlineStr">
        <is>
          <t>Sage Green</t>
        </is>
      </c>
      <c r="G26" s="73" t="n">
        <v>37.99</v>
      </c>
      <c r="H26" s="39" t="inlineStr">
        <is>
          <t>catalog price, 2026-10-13</t>
        </is>
      </c>
      <c r="I26" s="74" t="n">
        <v>31.99</v>
      </c>
      <c r="J26" s="75" t="inlineStr">
        <is>
          <t>2026-03-30</t>
        </is>
      </c>
      <c r="K26" s="40" t="n">
        <v>8.449999999999996</v>
      </c>
      <c r="L26" s="76" t="n">
        <v>0.2641450453266644</v>
      </c>
      <c r="M26" s="77" t="n">
        <v>20</v>
      </c>
      <c r="N26" s="39" t="inlineStr">
        <is>
          <t>Active</t>
        </is>
      </c>
      <c r="O26" s="39" t="n"/>
      <c r="P26" s="78" t="n">
        <v>4.6</v>
      </c>
      <c r="Q26" s="77" t="n">
        <v>496</v>
      </c>
      <c r="R26" s="77" t="n">
        <v>49030</v>
      </c>
      <c r="S26" s="77" t="n">
        <v>9</v>
      </c>
      <c r="T26" s="39" t="n"/>
    </row>
    <row r="27" ht="62" customHeight="1">
      <c r="A27" s="12">
        <f>_xlfn.IMAGE("https://m.media-amazon.com/images/I/81Tr9Bh8YxL.jpg")</f>
        <v/>
      </c>
      <c r="B27" s="39" t="inlineStr">
        <is>
          <t>B0F7M6Q25P</t>
        </is>
      </c>
      <c r="C27" s="39" t="inlineStr">
        <is>
          <t>SL-COOLING-FITTED-KING-SAGE-GREEN</t>
        </is>
      </c>
      <c r="D27" s="39" t="inlineStr">
        <is>
          <t>SLEEPHORIA Cooling Fitted Sheet King Size - 1 PC BreezeWeave Cooling Sheets for Hot Sleepers &amp; Cool Rest w/ 16 in Deep Pocket - Corner Straps, Cloud Soft, Ultra Durable - 73 x 77 in (Sage Green)</t>
        </is>
      </c>
      <c r="E27" s="39" t="inlineStr">
        <is>
          <t>King</t>
        </is>
      </c>
      <c r="F27" s="39" t="inlineStr">
        <is>
          <t>Sage Green</t>
        </is>
      </c>
      <c r="G27" s="73" t="n">
        <v>41.59</v>
      </c>
      <c r="H27" s="39" t="inlineStr">
        <is>
          <t>catalog price, 2026-10-13</t>
        </is>
      </c>
      <c r="I27" s="74" t="n">
        <v>34.99</v>
      </c>
      <c r="J27" s="75" t="inlineStr">
        <is>
          <t>2026-03-30</t>
        </is>
      </c>
      <c r="K27" s="40" t="n">
        <v>8.870000000000003</v>
      </c>
      <c r="L27" s="76" t="n">
        <v>0.253501000285796</v>
      </c>
      <c r="M27" s="77" t="n">
        <v>19</v>
      </c>
      <c r="N27" s="39" t="inlineStr">
        <is>
          <t>Active</t>
        </is>
      </c>
      <c r="O27" s="39" t="n"/>
      <c r="P27" s="78" t="n">
        <v>4.6</v>
      </c>
      <c r="Q27" s="77" t="n">
        <v>496</v>
      </c>
      <c r="R27" s="77" t="n">
        <v>49030</v>
      </c>
      <c r="S27" s="77" t="n">
        <v>22</v>
      </c>
      <c r="T27" s="39" t="n"/>
    </row>
    <row r="28" ht="62" customHeight="1">
      <c r="A28" s="12">
        <f>_xlfn.IMAGE("https://m.media-amazon.com/images/I/8101fCLlt+L.jpg")</f>
        <v/>
      </c>
      <c r="B28" s="39" t="inlineStr">
        <is>
          <t>B0F7M55274</t>
        </is>
      </c>
      <c r="C28" s="39" t="inlineStr">
        <is>
          <t>SL-COOLING-FITTED-QUEEN-CREAM</t>
        </is>
      </c>
      <c r="D28" s="39" t="inlineStr">
        <is>
          <t>SLEEPHORIA Cooling Fitted Sheet Queen Size - 1 PC BreezeWeave Cooling Sheets for Hot Sleepers &amp; Cool Rest w/ 16 in Deep Pocket - Corner Straps, Cloud Soft, Ultra Durable - 57 x 77 in (Cream)</t>
        </is>
      </c>
      <c r="E28" s="39" t="inlineStr">
        <is>
          <t>Queen</t>
        </is>
      </c>
      <c r="F28" s="39" t="inlineStr">
        <is>
          <t>Cream</t>
        </is>
      </c>
      <c r="G28" s="73" t="n">
        <v>37.99</v>
      </c>
      <c r="H28" s="39" t="inlineStr">
        <is>
          <t>catalog price, 2026-10-13</t>
        </is>
      </c>
      <c r="I28" s="74" t="n">
        <v>31.99</v>
      </c>
      <c r="J28" s="75" t="inlineStr">
        <is>
          <t>2026-03-30</t>
        </is>
      </c>
      <c r="K28" s="40" t="n">
        <v>8.449999999999996</v>
      </c>
      <c r="L28" s="76" t="n">
        <v>0.2641450453266644</v>
      </c>
      <c r="M28" s="77" t="n">
        <v>19</v>
      </c>
      <c r="N28" s="39" t="inlineStr">
        <is>
          <t>Active</t>
        </is>
      </c>
      <c r="O28" s="39" t="n"/>
      <c r="P28" s="78" t="n">
        <v>4.6</v>
      </c>
      <c r="Q28" s="77" t="n">
        <v>496</v>
      </c>
      <c r="R28" s="77" t="n">
        <v>49030</v>
      </c>
      <c r="S28" s="77" t="n">
        <v>10</v>
      </c>
      <c r="T28" s="39" t="n"/>
    </row>
    <row r="29" ht="62" customHeight="1">
      <c r="A29" s="12">
        <f>_xlfn.IMAGE("https://m.media-amazon.com/images/I/81pizSJLziL.jpg")</f>
        <v/>
      </c>
      <c r="B29" s="39" t="inlineStr">
        <is>
          <t>B0F7M5V4JC</t>
        </is>
      </c>
      <c r="C29" s="39" t="inlineStr">
        <is>
          <t>SL-COOLING-FITTED-QUEEN-REGAL-PURPLE</t>
        </is>
      </c>
      <c r="D29" s="39" t="inlineStr">
        <is>
          <t>SLEEPHORIA Cooling Fitted Sheet Queen Size - 1 PC BreezeWeave Cooling Sheets for Hot Sleepers &amp; Cool Rest w/ 16 in Deep Pocket - Corner Straps, Cloud Soft, Ultra Durable - 57 x 77 in (Regal Purple)</t>
        </is>
      </c>
      <c r="E29" s="39" t="inlineStr">
        <is>
          <t>Queen</t>
        </is>
      </c>
      <c r="F29" s="39" t="inlineStr">
        <is>
          <t>Regal Purple</t>
        </is>
      </c>
      <c r="G29" s="73" t="n">
        <v>37.99</v>
      </c>
      <c r="H29" s="39" t="inlineStr">
        <is>
          <t>catalog price, 2026-10-13</t>
        </is>
      </c>
      <c r="I29" s="74" t="n">
        <v>31.99</v>
      </c>
      <c r="J29" s="75" t="inlineStr">
        <is>
          <t>2026-03-30</t>
        </is>
      </c>
      <c r="K29" s="40" t="n">
        <v>8.159999999999997</v>
      </c>
      <c r="L29" s="76" t="n">
        <v>0.2550797124101281</v>
      </c>
      <c r="M29" s="77" t="n">
        <v>15</v>
      </c>
      <c r="N29" s="39" t="inlineStr">
        <is>
          <t>Active</t>
        </is>
      </c>
      <c r="O29" s="39" t="inlineStr">
        <is>
          <t>Yes (6%)</t>
        </is>
      </c>
      <c r="P29" s="78" t="n">
        <v>4.6</v>
      </c>
      <c r="Q29" s="77" t="n">
        <v>496</v>
      </c>
      <c r="R29" s="77" t="n">
        <v>49029</v>
      </c>
      <c r="S29" s="77" t="n">
        <v>5</v>
      </c>
      <c r="T29" s="39" t="n"/>
    </row>
    <row r="30" ht="62" customHeight="1">
      <c r="A30" s="12">
        <f>_xlfn.IMAGE("https://m.media-amazon.com/images/I/81r690HkxWL.jpg")</f>
        <v/>
      </c>
      <c r="B30" s="39" t="inlineStr">
        <is>
          <t>B0F7M4H352</t>
        </is>
      </c>
      <c r="C30" s="39" t="inlineStr">
        <is>
          <t>SL-COOLING-FITTED-FULL-COOL-GREY</t>
        </is>
      </c>
      <c r="D30" s="39" t="inlineStr">
        <is>
          <t>SLEEPHORIA Cooling Fitted Sheet Full Size - 1 PC BreezeWeave Cooling Sheets for Hot Sleepers &amp; Cool Rest w/ 16 in Deep Pocket - Corner Straps, Cloud Soft, Ultra Durable - 52 x 72 in (Cool Grey)</t>
        </is>
      </c>
      <c r="E30" s="39" t="inlineStr">
        <is>
          <t>Full</t>
        </is>
      </c>
      <c r="F30" s="39" t="inlineStr">
        <is>
          <t>Cool Grey</t>
        </is>
      </c>
      <c r="G30" s="73" t="n">
        <v>35.99</v>
      </c>
      <c r="H30" s="39" t="inlineStr">
        <is>
          <t>catalog price, 2026-10-13</t>
        </is>
      </c>
      <c r="I30" s="74" t="n">
        <v>29.99</v>
      </c>
      <c r="J30" s="75" t="inlineStr">
        <is>
          <t>2026-03-30</t>
        </is>
      </c>
      <c r="K30" s="40" t="n">
        <v>7.799999999999997</v>
      </c>
      <c r="L30" s="76" t="n">
        <v>0.2600866955651883</v>
      </c>
      <c r="M30" s="77" t="n">
        <v>13</v>
      </c>
      <c r="N30" s="39" t="inlineStr">
        <is>
          <t>Active</t>
        </is>
      </c>
      <c r="O30" s="39" t="n"/>
      <c r="P30" s="78" t="n">
        <v>4.6</v>
      </c>
      <c r="Q30" s="77" t="n">
        <v>496</v>
      </c>
      <c r="R30" s="77" t="n">
        <v>49030</v>
      </c>
      <c r="S30" s="77" t="n">
        <v>14</v>
      </c>
      <c r="T30" s="39" t="n"/>
    </row>
    <row r="31" ht="62" customHeight="1">
      <c r="A31" s="12">
        <f>_xlfn.IMAGE("https://m.media-amazon.com/images/I/815Zr2bHyBL.jpg")</f>
        <v/>
      </c>
      <c r="B31" s="39" t="inlineStr">
        <is>
          <t>B0F7M4HC5F</t>
        </is>
      </c>
      <c r="C31" s="39" t="inlineStr">
        <is>
          <t>SL-COOLING-FITTED-QUEEN-BEIGE</t>
        </is>
      </c>
      <c r="D31" s="39" t="inlineStr">
        <is>
          <t>SLEEPHORIA Cooling Fitted Sheet Queen Size - 1 PC BreezeWeave Cooling Sheets for Hot Sleepers &amp; Cool Rest w/ 16 in Deep Pocket - Corner Straps, Cloud Soft, Ultra Durable - 57 x 77 in (Beige)</t>
        </is>
      </c>
      <c r="E31" s="39" t="inlineStr">
        <is>
          <t>Queen</t>
        </is>
      </c>
      <c r="F31" s="39" t="inlineStr">
        <is>
          <t>Beige</t>
        </is>
      </c>
      <c r="G31" s="73" t="n">
        <v>37.99</v>
      </c>
      <c r="H31" s="39" t="inlineStr">
        <is>
          <t>catalog price, 2026-10-13</t>
        </is>
      </c>
      <c r="I31" s="74" t="n">
        <v>31.99</v>
      </c>
      <c r="J31" s="75" t="inlineStr">
        <is>
          <t>2026-03-30</t>
        </is>
      </c>
      <c r="K31" s="40" t="n">
        <v>8.449999999999996</v>
      </c>
      <c r="L31" s="76" t="n">
        <v>0.2641450453266644</v>
      </c>
      <c r="M31" s="77" t="n">
        <v>13</v>
      </c>
      <c r="N31" s="39" t="inlineStr">
        <is>
          <t>Active</t>
        </is>
      </c>
      <c r="O31" s="39" t="n"/>
      <c r="P31" s="78" t="n">
        <v>4.6</v>
      </c>
      <c r="Q31" s="77" t="n">
        <v>496</v>
      </c>
      <c r="R31" s="77" t="n">
        <v>49030</v>
      </c>
      <c r="S31" s="77" t="n">
        <v>43</v>
      </c>
      <c r="T31" s="39" t="n"/>
    </row>
    <row r="32" ht="62" customHeight="1">
      <c r="A32" s="12">
        <f>_xlfn.IMAGE("https://m.media-amazon.com/images/I/81qB8822yoL.jpg")</f>
        <v/>
      </c>
      <c r="B32" s="39" t="inlineStr">
        <is>
          <t>B0F7M4WBKD</t>
        </is>
      </c>
      <c r="C32" s="39" t="inlineStr">
        <is>
          <t>SL-COOLING-FITTED-KING-LIGHT-BLUE</t>
        </is>
      </c>
      <c r="D32" s="39" t="inlineStr">
        <is>
          <t>SLEEPHORIA Cooling Fitted Sheet King Size - 1 PC BreezeWeave Cooling Sheets for Hot Sleepers &amp; Cool Rest w/ 16 in Deep Pocket - Corner Straps, Cloud Soft, Ultra Durable - 73 x 77 in (Light Blue)</t>
        </is>
      </c>
      <c r="E32" s="39" t="inlineStr">
        <is>
          <t>King</t>
        </is>
      </c>
      <c r="F32" s="39" t="inlineStr">
        <is>
          <t>Light Blue</t>
        </is>
      </c>
      <c r="G32" s="73" t="n">
        <v>39.99</v>
      </c>
      <c r="H32" s="39" t="inlineStr">
        <is>
          <t>catalog price, 2026-10-13</t>
        </is>
      </c>
      <c r="I32" s="74" t="n">
        <v>34.99</v>
      </c>
      <c r="J32" s="75" t="inlineStr">
        <is>
          <t>2026-03-30</t>
        </is>
      </c>
      <c r="K32" s="40" t="n">
        <v>8.870000000000003</v>
      </c>
      <c r="L32" s="76" t="n">
        <v>0.253501000285796</v>
      </c>
      <c r="M32" s="77" t="n">
        <v>12</v>
      </c>
      <c r="N32" s="39" t="inlineStr">
        <is>
          <t>Active</t>
        </is>
      </c>
      <c r="O32" s="39" t="n"/>
      <c r="P32" s="78" t="n">
        <v>4.6</v>
      </c>
      <c r="Q32" s="77" t="n">
        <v>496</v>
      </c>
      <c r="R32" s="77" t="n">
        <v>49030</v>
      </c>
      <c r="S32" s="77" t="n">
        <v>3</v>
      </c>
      <c r="T32" s="39" t="n"/>
    </row>
    <row r="33" ht="62" customHeight="1">
      <c r="A33" s="12">
        <f>_xlfn.IMAGE("https://m.media-amazon.com/images/I/81r690HkxWL.jpg")</f>
        <v/>
      </c>
      <c r="B33" s="39" t="inlineStr">
        <is>
          <t>B0F7M5TVQF</t>
        </is>
      </c>
      <c r="C33" s="39" t="inlineStr">
        <is>
          <t>SL-COOLING-FITTED-QUEEN-COOL-GREY</t>
        </is>
      </c>
      <c r="D33" s="39" t="inlineStr">
        <is>
          <t>SLEEPHORIA Cooling Fitted Sheet Queen Size - 1 PC BreezeWeave Cooling Sheets for Hot Sleepers &amp; Cool Rest w/ 16 in Deep Pocket - Corner Straps, Cloud Soft, Ultra Durable - 57 x 77 in (Cool Grey)</t>
        </is>
      </c>
      <c r="E33" s="39" t="inlineStr">
        <is>
          <t>Queen</t>
        </is>
      </c>
      <c r="F33" s="39" t="inlineStr">
        <is>
          <t>Cool Grey</t>
        </is>
      </c>
      <c r="G33" s="73" t="n">
        <v>37.99</v>
      </c>
      <c r="H33" s="39" t="inlineStr">
        <is>
          <t>catalog price, 2026-10-13</t>
        </is>
      </c>
      <c r="I33" s="74" t="n">
        <v>29.99</v>
      </c>
      <c r="J33" s="75" t="inlineStr">
        <is>
          <t>2026-03-24</t>
        </is>
      </c>
      <c r="K33" s="40" t="n">
        <v>6.749999999999996</v>
      </c>
      <c r="L33" s="76" t="n">
        <v>0.225075025008336</v>
      </c>
      <c r="M33" s="77" t="n">
        <v>12</v>
      </c>
      <c r="N33" s="39" t="inlineStr">
        <is>
          <t>Active</t>
        </is>
      </c>
      <c r="O33" s="39" t="n"/>
      <c r="P33" s="78" t="n">
        <v>4.6</v>
      </c>
      <c r="Q33" s="77" t="n">
        <v>496</v>
      </c>
      <c r="R33" s="77" t="n">
        <v>49030</v>
      </c>
      <c r="S33" s="77" t="n">
        <v>23</v>
      </c>
      <c r="T33" s="39" t="n"/>
    </row>
    <row r="34" ht="62" customHeight="1">
      <c r="A34" s="12">
        <f>_xlfn.IMAGE("https://m.media-amazon.com/images/I/81pizSJLziL.jpg")</f>
        <v/>
      </c>
      <c r="B34" s="39" t="inlineStr">
        <is>
          <t>B0F7M4DRJN</t>
        </is>
      </c>
      <c r="C34" s="39" t="inlineStr">
        <is>
          <t>SL-COOLING-FITTED-KING-REGAL-PURPLE</t>
        </is>
      </c>
      <c r="D34" s="39" t="inlineStr">
        <is>
          <t>SLEEPHORIA Cooling Fitted Sheet King Size - 1 PC BreezeWeave Cooling Sheets for Hot Sleepers &amp; Cool Rest w/ 16 in Deep Pocket - Corner Straps, Cloud Soft, Ultra Durable - 73 x 77 in (Regal Purple)</t>
        </is>
      </c>
      <c r="E34" s="39" t="inlineStr">
        <is>
          <t>King</t>
        </is>
      </c>
      <c r="F34" s="39" t="inlineStr">
        <is>
          <t>Regal Purple</t>
        </is>
      </c>
      <c r="G34" s="73" t="n">
        <v>39.99</v>
      </c>
      <c r="H34" s="39" t="inlineStr">
        <is>
          <t>catalog price, 2026-10-13</t>
        </is>
      </c>
      <c r="I34" s="74" t="n">
        <v>34.99</v>
      </c>
      <c r="J34" s="75" t="inlineStr">
        <is>
          <t>2026-03-30</t>
        </is>
      </c>
      <c r="K34" s="40" t="n">
        <v>9.100000000000003</v>
      </c>
      <c r="L34" s="76" t="n">
        <v>0.2600743069448415</v>
      </c>
      <c r="M34" s="77" t="n">
        <v>10</v>
      </c>
      <c r="N34" s="39" t="inlineStr">
        <is>
          <t>Active</t>
        </is>
      </c>
      <c r="O34" s="39" t="n"/>
      <c r="P34" s="78" t="n">
        <v>4.6</v>
      </c>
      <c r="Q34" s="77" t="n">
        <v>496</v>
      </c>
      <c r="R34" s="77" t="n">
        <v>49030</v>
      </c>
      <c r="S34" s="77" t="n">
        <v>6</v>
      </c>
      <c r="T34" s="39" t="n"/>
    </row>
    <row r="35" ht="62" customHeight="1">
      <c r="A35" s="12">
        <f>_xlfn.IMAGE("https://m.media-amazon.com/images/I/814rCVRR52L.jpg")</f>
        <v/>
      </c>
      <c r="B35" s="39" t="inlineStr">
        <is>
          <t>B0F7M3184Y</t>
        </is>
      </c>
      <c r="C35" s="39" t="inlineStr">
        <is>
          <t>SL-COOLING-FITTED-QUEEN-NAVY-BLUE</t>
        </is>
      </c>
      <c r="D35" s="39" t="inlineStr">
        <is>
          <t>SLEEPHORIA Cooling Fitted Sheet Queen Size - 1 PC BreezeWeave Cooling Sheets for Hot Sleepers &amp; Cool Rest w/ 16 in Deep Pocket - Corner Straps, Cloud Soft, Ultra Durable - 57 x 77 in (Navy Blue)</t>
        </is>
      </c>
      <c r="E35" s="39" t="inlineStr">
        <is>
          <t>Queen</t>
        </is>
      </c>
      <c r="F35" s="39" t="inlineStr">
        <is>
          <t>Navy Blue</t>
        </is>
      </c>
      <c r="G35" s="73" t="n">
        <v>37.99</v>
      </c>
      <c r="H35" s="39" t="inlineStr">
        <is>
          <t>catalog price, 2026-10-13</t>
        </is>
      </c>
      <c r="I35" s="74" t="n">
        <v>31.99</v>
      </c>
      <c r="J35" s="75" t="inlineStr">
        <is>
          <t>2026-03-30</t>
        </is>
      </c>
      <c r="K35" s="40" t="n">
        <v>8.449999999999996</v>
      </c>
      <c r="L35" s="76" t="n">
        <v>0.2641450453266644</v>
      </c>
      <c r="M35" s="77" t="n">
        <v>10</v>
      </c>
      <c r="N35" s="39" t="inlineStr">
        <is>
          <t>Active</t>
        </is>
      </c>
      <c r="O35" s="39" t="n"/>
      <c r="P35" s="78" t="n">
        <v>4.6</v>
      </c>
      <c r="Q35" s="77" t="n">
        <v>496</v>
      </c>
      <c r="R35" s="77" t="n">
        <v>49030</v>
      </c>
      <c r="S35" s="77" t="n">
        <v>16</v>
      </c>
      <c r="T35" s="39" t="n"/>
    </row>
    <row r="36" ht="62" customHeight="1">
      <c r="A36" s="12">
        <f>_xlfn.IMAGE("https://m.media-amazon.com/images/I/8101fCLlt+L.jpg")</f>
        <v/>
      </c>
      <c r="B36" s="39" t="inlineStr">
        <is>
          <t>B0F7M6BCNH</t>
        </is>
      </c>
      <c r="C36" s="39" t="inlineStr">
        <is>
          <t>SL-COOLING-FITTED-KING-CREAM</t>
        </is>
      </c>
      <c r="D36" s="39" t="inlineStr">
        <is>
          <t>SLEEPHORIA Cooling Fitted Sheet King Size - 1 PC BreezeWeave Cooling Sheets for Hot Sleepers &amp; Cool Rest w/ 16 in Deep Pocket - Corner Straps, Cloud Soft, Ultra Durable - 73 x 77 in (Cream)</t>
        </is>
      </c>
      <c r="E36" s="39" t="inlineStr">
        <is>
          <t>King</t>
        </is>
      </c>
      <c r="F36" s="39" t="inlineStr">
        <is>
          <t>Cream</t>
        </is>
      </c>
      <c r="G36" s="73" t="n">
        <v>39.99</v>
      </c>
      <c r="H36" s="39" t="inlineStr">
        <is>
          <t>catalog price, 2026-10-13</t>
        </is>
      </c>
      <c r="I36" s="74" t="n">
        <v>34.99</v>
      </c>
      <c r="J36" s="75" t="inlineStr">
        <is>
          <t>2026-03-30</t>
        </is>
      </c>
      <c r="K36" s="40" t="n">
        <v>8.950000000000001</v>
      </c>
      <c r="L36" s="76" t="n">
        <v>0.255787367819377</v>
      </c>
      <c r="M36" s="77" t="n">
        <v>9</v>
      </c>
      <c r="N36" s="39" t="inlineStr">
        <is>
          <t>Active</t>
        </is>
      </c>
      <c r="O36" s="39" t="n"/>
      <c r="P36" s="78" t="n">
        <v>4.6</v>
      </c>
      <c r="Q36" s="77" t="n">
        <v>496</v>
      </c>
      <c r="R36" s="77" t="n">
        <v>49030</v>
      </c>
      <c r="S36" s="77" t="n">
        <v>5</v>
      </c>
      <c r="T36" s="39" t="n"/>
    </row>
    <row r="37" ht="62" customHeight="1">
      <c r="A37" s="12">
        <f>_xlfn.IMAGE("https://m.media-amazon.com/images/I/81AUUOONndL.jpg")</f>
        <v/>
      </c>
      <c r="B37" s="39" t="inlineStr">
        <is>
          <t>B0F7M8GRL4</t>
        </is>
      </c>
      <c r="C37" s="39" t="inlineStr">
        <is>
          <t>SL-COOLING-FITTED-QUEEN-LIGHT-GREY</t>
        </is>
      </c>
      <c r="D37" s="39" t="inlineStr">
        <is>
          <t>SLEEPHORIA Cooling Fitted Sheet Queen Size - 1 PC BreezeWeave Cooling Sheets for Hot Sleepers &amp; Cool Rest w/ 16 in Deep Pocket - Corner Straps, Cloud Soft, Ultra Durable - 57 x 77 in (Light Grey)</t>
        </is>
      </c>
      <c r="E37" s="39" t="inlineStr">
        <is>
          <t>Queen</t>
        </is>
      </c>
      <c r="F37" s="39" t="inlineStr">
        <is>
          <t>Light Grey</t>
        </is>
      </c>
      <c r="G37" s="73" t="n">
        <v>37.99</v>
      </c>
      <c r="H37" s="39" t="inlineStr">
        <is>
          <t>catalog price, 2026-10-13</t>
        </is>
      </c>
      <c r="I37" s="74" t="n">
        <v>31.99</v>
      </c>
      <c r="J37" s="75" t="inlineStr">
        <is>
          <t>2026-03-30</t>
        </is>
      </c>
      <c r="K37" s="40" t="n">
        <v>8.449999999999996</v>
      </c>
      <c r="L37" s="76" t="n">
        <v>0.2641450453266644</v>
      </c>
      <c r="M37" s="77" t="n">
        <v>9</v>
      </c>
      <c r="N37" s="39" t="inlineStr">
        <is>
          <t>Active</t>
        </is>
      </c>
      <c r="O37" s="39" t="n"/>
      <c r="P37" s="78" t="n">
        <v>4.6</v>
      </c>
      <c r="Q37" s="77" t="n">
        <v>496</v>
      </c>
      <c r="R37" s="77" t="n">
        <v>49030</v>
      </c>
      <c r="S37" s="77" t="n">
        <v>9</v>
      </c>
      <c r="T37" s="39" t="n"/>
    </row>
    <row r="38" ht="62" customHeight="1">
      <c r="A38" s="12">
        <f>_xlfn.IMAGE("https://m.media-amazon.com/images/I/81AUUOONndL.jpg")</f>
        <v/>
      </c>
      <c r="B38" s="39" t="inlineStr">
        <is>
          <t>B0F7M4XKZ3</t>
        </is>
      </c>
      <c r="C38" s="39" t="inlineStr">
        <is>
          <t>SL-COOLING-FITTED-FULL-LIGHT-GREY</t>
        </is>
      </c>
      <c r="D38" s="39" t="inlineStr">
        <is>
          <t>SLEEPHORIA Cooling Fitted Sheet Full Size - 1 PC BreezeWeave Cooling Sheets for Hot Sleepers &amp; Cool Rest w/ 16 in Deep Pocket - Corner Straps, Cloud Soft, Ultra Durable - 52 x 72 in (Light Grey)</t>
        </is>
      </c>
      <c r="E38" s="39" t="inlineStr">
        <is>
          <t>Full</t>
        </is>
      </c>
      <c r="F38" s="39" t="inlineStr">
        <is>
          <t>Light Grey</t>
        </is>
      </c>
      <c r="G38" s="73" t="n">
        <v>35.99</v>
      </c>
      <c r="H38" s="39" t="inlineStr">
        <is>
          <t>catalog price, 2026-10-13</t>
        </is>
      </c>
      <c r="I38" s="74" t="n">
        <v>29.99</v>
      </c>
      <c r="J38" s="75" t="inlineStr">
        <is>
          <t>2026-03-30</t>
        </is>
      </c>
      <c r="K38" s="40" t="n">
        <v>7.659999999999997</v>
      </c>
      <c r="L38" s="76" t="n">
        <v>0.2554184728242747</v>
      </c>
      <c r="M38" s="77" t="n">
        <v>8</v>
      </c>
      <c r="N38" s="39" t="inlineStr">
        <is>
          <t>Active</t>
        </is>
      </c>
      <c r="O38" s="39" t="n"/>
      <c r="P38" s="78" t="n">
        <v>4.6</v>
      </c>
      <c r="Q38" s="77" t="n">
        <v>496</v>
      </c>
      <c r="R38" s="77" t="n">
        <v>49030</v>
      </c>
      <c r="S38" s="77" t="n">
        <v>14</v>
      </c>
      <c r="T38" s="39" t="n"/>
    </row>
    <row r="39" ht="62" customHeight="1">
      <c r="A39" s="12">
        <f>_xlfn.IMAGE("https://m.media-amazon.com/images/I/813+K0LTJzL.jpg")</f>
        <v/>
      </c>
      <c r="B39" s="39" t="inlineStr">
        <is>
          <t>B0F7M6DPPM</t>
        </is>
      </c>
      <c r="C39" s="39" t="inlineStr">
        <is>
          <t>SL-COOLING-FITTED-FULL-COOL-BLUE</t>
        </is>
      </c>
      <c r="D39" s="39" t="inlineStr">
        <is>
          <t>SLEEPHORIA Cooling Fitted Sheet Full Size - 1 PC BreezeWeave Cooling Sheets for Hot Sleepers &amp; Cool Rest w/ 16 in Deep Pocket - Corner Straps, Cloud Soft, Ultra Durable - 52 x 72 in (Cool Blue)</t>
        </is>
      </c>
      <c r="E39" s="39" t="inlineStr">
        <is>
          <t>Full</t>
        </is>
      </c>
      <c r="F39" s="39" t="inlineStr">
        <is>
          <t>Cool Blue</t>
        </is>
      </c>
      <c r="G39" s="73" t="n">
        <v>35.99</v>
      </c>
      <c r="H39" s="39" t="inlineStr">
        <is>
          <t>catalog price, 2026-10-13</t>
        </is>
      </c>
      <c r="I39" s="74" t="n">
        <v>29.99</v>
      </c>
      <c r="J39" s="75" t="inlineStr">
        <is>
          <t>2026-03-30</t>
        </is>
      </c>
      <c r="K39" s="40" t="n">
        <v>6.189999999999998</v>
      </c>
      <c r="L39" s="76" t="n">
        <v>0.2064021340446815</v>
      </c>
      <c r="M39" s="77" t="n">
        <v>7</v>
      </c>
      <c r="N39" s="39" t="inlineStr">
        <is>
          <t>Active</t>
        </is>
      </c>
      <c r="O39" s="39" t="n"/>
      <c r="P39" s="78" t="n">
        <v>4.6</v>
      </c>
      <c r="Q39" s="77" t="n">
        <v>496</v>
      </c>
      <c r="R39" s="77" t="n">
        <v>49030</v>
      </c>
      <c r="S39" s="77" t="n">
        <v>16</v>
      </c>
      <c r="T39" s="39" t="n"/>
    </row>
    <row r="40" ht="62" customHeight="1">
      <c r="A40" s="12">
        <f>_xlfn.IMAGE("https://m.media-amazon.com/images/I/81r690HkxWL.jpg")</f>
        <v/>
      </c>
      <c r="B40" s="39" t="inlineStr">
        <is>
          <t>B0F7M7SVHM</t>
        </is>
      </c>
      <c r="C40" s="39" t="inlineStr">
        <is>
          <t>SL-COOLING-FITTED-CAL-KING-COOL-GREY</t>
        </is>
      </c>
      <c r="D40" s="39" t="inlineStr">
        <is>
          <t>SLEEPHORIA Cooling Fitted Sheet Calfornia King Size - 1 PC BreezeWeave Cooling Sheets for Hot Sleepers &amp; Cool Rest w/ 16 in Deep Pocket - Corner Straps, Cloud Soft - 69 x 81 in (Cool Grey)</t>
        </is>
      </c>
      <c r="E40" s="39" t="inlineStr">
        <is>
          <t>Cal King</t>
        </is>
      </c>
      <c r="F40" s="39" t="inlineStr">
        <is>
          <t>Cool Grey</t>
        </is>
      </c>
      <c r="G40" s="73" t="n">
        <v>39.99</v>
      </c>
      <c r="H40" s="39" t="inlineStr">
        <is>
          <t>catalog price, 2026-10-13</t>
        </is>
      </c>
      <c r="I40" s="74" t="n">
        <v>35.99</v>
      </c>
      <c r="J40" s="75" t="inlineStr">
        <is>
          <t>2026-03-30</t>
        </is>
      </c>
      <c r="K40" s="40" t="n">
        <v>7.790000000000003</v>
      </c>
      <c r="L40" s="76" t="n">
        <v>0.2164490136148931</v>
      </c>
      <c r="M40" s="77" t="n">
        <v>6</v>
      </c>
      <c r="N40" s="39" t="inlineStr">
        <is>
          <t>Active</t>
        </is>
      </c>
      <c r="O40" s="39" t="n"/>
      <c r="P40" s="78" t="n">
        <v>4.6</v>
      </c>
      <c r="Q40" s="77" t="n">
        <v>496</v>
      </c>
      <c r="R40" s="77" t="n">
        <v>49029</v>
      </c>
      <c r="S40" s="77" t="n">
        <v>6</v>
      </c>
      <c r="T40" s="39" t="n"/>
    </row>
    <row r="41" ht="62" customHeight="1">
      <c r="A41" s="12">
        <f>_xlfn.IMAGE("https://m.media-amazon.com/images/I/81G7yE5OfqL.jpg")</f>
        <v/>
      </c>
      <c r="B41" s="39" t="inlineStr">
        <is>
          <t>B0F7M57Q9T</t>
        </is>
      </c>
      <c r="C41" s="39" t="inlineStr">
        <is>
          <t>SL-COOLING-FITTED-CAL-KING-WHITE</t>
        </is>
      </c>
      <c r="D41" s="39" t="inlineStr">
        <is>
          <t>SLEEPHORIA Cooling Fitted Sheet Calfornia King Size - 1 PC BreezeWeave Cooling Sheets for Hot Sleepers &amp; Cool Rest w/ 16 in Deep Pocket - Corner Straps, Cloud Soft - 69 x 81 in (White)</t>
        </is>
      </c>
      <c r="E41" s="39" t="inlineStr">
        <is>
          <t>Cal King</t>
        </is>
      </c>
      <c r="F41" s="39" t="inlineStr">
        <is>
          <t>White</t>
        </is>
      </c>
      <c r="G41" s="73" t="n">
        <v>39.99</v>
      </c>
      <c r="H41" s="39" t="inlineStr">
        <is>
          <t>catalog price, 2026-10-13</t>
        </is>
      </c>
      <c r="I41" s="74" t="n">
        <v>35.99</v>
      </c>
      <c r="J41" s="75" t="inlineStr">
        <is>
          <t>2026-03-30</t>
        </is>
      </c>
      <c r="K41" s="40" t="n">
        <v>7.560000000000002</v>
      </c>
      <c r="L41" s="76" t="n">
        <v>0.2100583495415394</v>
      </c>
      <c r="M41" s="77" t="n">
        <v>5</v>
      </c>
      <c r="N41" s="39" t="inlineStr">
        <is>
          <t>Active</t>
        </is>
      </c>
      <c r="O41" s="39" t="n"/>
      <c r="P41" s="78" t="n">
        <v>4.6</v>
      </c>
      <c r="Q41" s="77" t="n">
        <v>496</v>
      </c>
      <c r="R41" s="77" t="n">
        <v>49030</v>
      </c>
      <c r="S41" s="77" t="n">
        <v>6</v>
      </c>
      <c r="T41" s="39" t="n"/>
    </row>
    <row r="42" ht="62" customHeight="1">
      <c r="A42" s="12">
        <f>_xlfn.IMAGE("https://m.media-amazon.com/images/I/81hT0qOPgZL.jpg")</f>
        <v/>
      </c>
      <c r="B42" s="39" t="inlineStr">
        <is>
          <t>B0F7M4VHKW</t>
        </is>
      </c>
      <c r="C42" s="39" t="inlineStr">
        <is>
          <t>SL-COOLING-FITTED-TWIN-MIDNIGHT-BLACK</t>
        </is>
      </c>
      <c r="D42" s="39" t="inlineStr">
        <is>
          <t>SLEEPHORIA Cooling Fitted Sheet Twin Size - 1 PC BreezeWeave Cooling Sheets for Hot Sleepers &amp; Cool Rest w/ 16 in Deep Pocket - Corner Straps, Cloud Soft, Ultra Durable - 37 x 72 in (Midnight Black)</t>
        </is>
      </c>
      <c r="E42" s="39" t="inlineStr">
        <is>
          <t>Twin</t>
        </is>
      </c>
      <c r="F42" s="39" t="inlineStr">
        <is>
          <t>Midnight Black</t>
        </is>
      </c>
      <c r="G42" s="73" t="n">
        <v>32.99</v>
      </c>
      <c r="H42" s="39" t="inlineStr">
        <is>
          <t>catalog price, 2026-10-13</t>
        </is>
      </c>
      <c r="I42" s="74" t="n">
        <v>26.99</v>
      </c>
      <c r="J42" s="75" t="inlineStr">
        <is>
          <t>2026-03-30</t>
        </is>
      </c>
      <c r="K42" s="40" t="n">
        <v>6.909999999999997</v>
      </c>
      <c r="L42" s="76" t="n">
        <v>0.2560207484253426</v>
      </c>
      <c r="M42" s="77" t="n">
        <v>5</v>
      </c>
      <c r="N42" s="39" t="inlineStr">
        <is>
          <t>Active</t>
        </is>
      </c>
      <c r="O42" s="39" t="n"/>
      <c r="P42" s="78" t="n">
        <v>4.6</v>
      </c>
      <c r="Q42" s="77" t="n">
        <v>496</v>
      </c>
      <c r="R42" s="77" t="n">
        <v>49030</v>
      </c>
      <c r="S42" s="77" t="n">
        <v>13</v>
      </c>
      <c r="T42" s="39" t="n"/>
    </row>
    <row r="43" ht="62" customHeight="1">
      <c r="A43" s="12">
        <f>_xlfn.IMAGE("https://m.media-amazon.com/images/I/81AUUOONndL.jpg")</f>
        <v/>
      </c>
      <c r="B43" s="39" t="inlineStr">
        <is>
          <t>B0F7M7LLTQ</t>
        </is>
      </c>
      <c r="C43" s="39" t="inlineStr">
        <is>
          <t>SL-COOLING-FITTED-CAL-KING-LIGHT-GREY</t>
        </is>
      </c>
      <c r="D43" s="39" t="inlineStr">
        <is>
          <t>SLEEPHORIA Cooling Fitted Sheet Calfornia King Size - 1 PC BreezeWeave Cooling Sheets for Hot Sleepers &amp; Cool Rest w/ 16 in Deep Pocket - Corner Straps, Cloud Soft - 69 x 81 in (Light Grey)</t>
        </is>
      </c>
      <c r="E43" s="39" t="inlineStr">
        <is>
          <t>Cal King</t>
        </is>
      </c>
      <c r="F43" s="39" t="inlineStr">
        <is>
          <t>Light Grey</t>
        </is>
      </c>
      <c r="G43" s="73" t="n">
        <v>39.99</v>
      </c>
      <c r="H43" s="39" t="inlineStr">
        <is>
          <t>catalog price, 2026-10-13</t>
        </is>
      </c>
      <c r="I43" s="74" t="n">
        <v>35.99</v>
      </c>
      <c r="J43" s="75" t="inlineStr">
        <is>
          <t>2026-03-30</t>
        </is>
      </c>
      <c r="K43" s="40" t="n">
        <v>7.320000000000004</v>
      </c>
      <c r="L43" s="76" t="n">
        <v>0.2033898305084747</v>
      </c>
      <c r="M43" s="77" t="n">
        <v>4</v>
      </c>
      <c r="N43" s="39" t="inlineStr">
        <is>
          <t>Active</t>
        </is>
      </c>
      <c r="O43" s="39" t="n"/>
      <c r="P43" s="78" t="n">
        <v>4.6</v>
      </c>
      <c r="Q43" s="77" t="n">
        <v>496</v>
      </c>
      <c r="R43" s="77" t="n">
        <v>49030</v>
      </c>
      <c r="S43" s="77" t="n">
        <v>6</v>
      </c>
      <c r="T43" s="39" t="n"/>
    </row>
    <row r="44" ht="62" customHeight="1">
      <c r="A44" s="12">
        <f>_xlfn.IMAGE("https://m.media-amazon.com/images/I/81-LAAiOPsL.jpg")</f>
        <v/>
      </c>
      <c r="B44" s="39" t="inlineStr">
        <is>
          <t>B0F7M4BGMH</t>
        </is>
      </c>
      <c r="C44" s="39" t="inlineStr">
        <is>
          <t>SL-COOLING-FITTED-FULL-GRAPHITE</t>
        </is>
      </c>
      <c r="D44" s="39" t="inlineStr">
        <is>
          <t>SLEEPHORIA Cooling Fitted Sheet Full Size - 1 PC BreezeWeave Cooling Sheets for Hot Sleepers &amp; Cool Rest w/ 16 in Deep Pocket - Corner Straps, Cloud Soft, Ultra Durable - 52 x 72 in (Graphite)</t>
        </is>
      </c>
      <c r="E44" s="39" t="inlineStr">
        <is>
          <t>Full</t>
        </is>
      </c>
      <c r="F44" s="39" t="inlineStr">
        <is>
          <t>Graphite</t>
        </is>
      </c>
      <c r="G44" s="73" t="n">
        <v>35.99</v>
      </c>
      <c r="H44" s="39" t="inlineStr">
        <is>
          <t>catalog price, 2026-10-13</t>
        </is>
      </c>
      <c r="I44" s="74" t="n">
        <v>29.99</v>
      </c>
      <c r="J44" s="75" t="inlineStr">
        <is>
          <t>2026-03-30</t>
        </is>
      </c>
      <c r="K44" s="40" t="n">
        <v>7.799999999999997</v>
      </c>
      <c r="L44" s="76" t="n">
        <v>0.2600866955651883</v>
      </c>
      <c r="M44" s="77" t="n">
        <v>4</v>
      </c>
      <c r="N44" s="39" t="inlineStr">
        <is>
          <t>Active</t>
        </is>
      </c>
      <c r="O44" s="39" t="n"/>
      <c r="P44" s="78" t="n">
        <v>4.6</v>
      </c>
      <c r="Q44" s="77" t="n">
        <v>496</v>
      </c>
      <c r="R44" s="77" t="n">
        <v>49030</v>
      </c>
      <c r="S44" s="77" t="n">
        <v>12</v>
      </c>
      <c r="T44" s="39" t="n"/>
    </row>
    <row r="45" ht="62" customHeight="1">
      <c r="A45" s="12">
        <f>_xlfn.IMAGE("https://m.media-amazon.com/images/I/8101fCLlt+L.jpg")</f>
        <v/>
      </c>
      <c r="B45" s="39" t="inlineStr">
        <is>
          <t>B0F7M6TPFY</t>
        </is>
      </c>
      <c r="C45" s="39" t="inlineStr">
        <is>
          <t>SL-COOLING-FITTED-CAL-KING-CREAM</t>
        </is>
      </c>
      <c r="D45" s="39" t="inlineStr">
        <is>
          <t>SLEEPHORIA Cooling Fitted Sheet Calfornia King Size - 1 PC BreezeWeave Cooling Sheets for Hot Sleepers &amp; Cool Rest w/ 16 in Deep Pocket - Corner Straps, Cloud Soft - 69 x 81 in (Cream)</t>
        </is>
      </c>
      <c r="E45" s="39" t="inlineStr">
        <is>
          <t>Cal King</t>
        </is>
      </c>
      <c r="F45" s="39" t="inlineStr">
        <is>
          <t>Cream</t>
        </is>
      </c>
      <c r="G45" s="73" t="n">
        <v>39.99</v>
      </c>
      <c r="H45" s="39" t="inlineStr">
        <is>
          <t>catalog price, 2026-10-13</t>
        </is>
      </c>
      <c r="I45" s="74" t="n">
        <v>35.99</v>
      </c>
      <c r="J45" s="75" t="inlineStr">
        <is>
          <t>2026-03-30</t>
        </is>
      </c>
      <c r="K45" s="40" t="n">
        <v>7.320000000000004</v>
      </c>
      <c r="L45" s="76" t="n">
        <v>0.2033898305084747</v>
      </c>
      <c r="M45" s="77" t="n">
        <v>3</v>
      </c>
      <c r="N45" s="39" t="inlineStr">
        <is>
          <t>Active</t>
        </is>
      </c>
      <c r="O45" s="39" t="n"/>
      <c r="P45" s="78" t="n">
        <v>4.6</v>
      </c>
      <c r="Q45" s="77" t="n">
        <v>496</v>
      </c>
      <c r="R45" s="77" t="n">
        <v>49029</v>
      </c>
      <c r="S45" s="77" t="n">
        <v>7</v>
      </c>
      <c r="T45" s="39" t="n"/>
    </row>
    <row r="46" ht="62" customHeight="1">
      <c r="A46" s="12">
        <f>_xlfn.IMAGE("https://m.media-amazon.com/images/I/81yiInBJx6L.jpg")</f>
        <v/>
      </c>
      <c r="B46" s="39" t="inlineStr">
        <is>
          <t>B0F7M67GT2</t>
        </is>
      </c>
      <c r="C46" s="39" t="inlineStr">
        <is>
          <t>SL-COOLING-FITTED-CAL-KING-LIGHT-PINK</t>
        </is>
      </c>
      <c r="D46" s="39" t="inlineStr">
        <is>
          <t>SLEEPHORIA Cooling Fitted Sheet Calfornia King Size - 1 PC BreezeWeave Cooling Sheets for Hot Sleepers &amp; Cool Rest w/ 16 in Deep Pocket - Corner Straps, Cloud Soft - 69 x 81 in (Light Pink)</t>
        </is>
      </c>
      <c r="E46" s="39" t="inlineStr">
        <is>
          <t>Cal King</t>
        </is>
      </c>
      <c r="F46" s="39" t="inlineStr">
        <is>
          <t>Light Pink</t>
        </is>
      </c>
      <c r="G46" s="73" t="n">
        <v>39.99</v>
      </c>
      <c r="H46" s="39" t="inlineStr">
        <is>
          <t>catalog price, 2026-10-13</t>
        </is>
      </c>
      <c r="I46" s="74" t="n">
        <v>35.99</v>
      </c>
      <c r="J46" s="75" t="inlineStr">
        <is>
          <t>2026-03-30</t>
        </is>
      </c>
      <c r="K46" s="40" t="n">
        <v>7.550000000000004</v>
      </c>
      <c r="L46" s="76" t="n">
        <v>0.2097804945818284</v>
      </c>
      <c r="M46" s="77" t="n">
        <v>3</v>
      </c>
      <c r="N46" s="39" t="inlineStr">
        <is>
          <t>Active</t>
        </is>
      </c>
      <c r="O46" s="39" t="n"/>
      <c r="P46" s="78" t="n">
        <v>4.6</v>
      </c>
      <c r="Q46" s="77" t="n">
        <v>496</v>
      </c>
      <c r="R46" s="77" t="n">
        <v>49030</v>
      </c>
      <c r="S46" s="77" t="n">
        <v>6</v>
      </c>
      <c r="T46" s="39" t="n"/>
    </row>
    <row r="47" ht="62" customHeight="1">
      <c r="A47" s="12">
        <f>_xlfn.IMAGE("https://m.media-amazon.com/images/I/814rCVRR52L.jpg")</f>
        <v/>
      </c>
      <c r="B47" s="39" t="inlineStr">
        <is>
          <t>B0F7M4FY81</t>
        </is>
      </c>
      <c r="C47" s="39" t="inlineStr">
        <is>
          <t>SL-COOLING-FITTED-CAL-KING-NAVY-BLUE</t>
        </is>
      </c>
      <c r="D47" s="39" t="inlineStr">
        <is>
          <t>SLEEPHORIA Cooling Fitted Sheet Calfornia King Size - 1 PC BreezeWeave Cooling Sheets for Hot Sleepers &amp; Cool Rest w/ 16 in Deep Pocket - Corner Straps, Cloud Soft - 69 x 81 in (Navy Blue)</t>
        </is>
      </c>
      <c r="E47" s="39" t="inlineStr">
        <is>
          <t>Cal King</t>
        </is>
      </c>
      <c r="F47" s="39" t="inlineStr">
        <is>
          <t>Navy Blue</t>
        </is>
      </c>
      <c r="G47" s="73" t="n">
        <v>39.99</v>
      </c>
      <c r="H47" s="39" t="inlineStr">
        <is>
          <t>catalog price, 2026-10-13</t>
        </is>
      </c>
      <c r="I47" s="74" t="n">
        <v>35.99</v>
      </c>
      <c r="J47" s="75" t="inlineStr">
        <is>
          <t>2026-03-30</t>
        </is>
      </c>
      <c r="K47" s="40" t="n">
        <v>7.320000000000004</v>
      </c>
      <c r="L47" s="76" t="n">
        <v>0.2033898305084747</v>
      </c>
      <c r="M47" s="77" t="n">
        <v>3</v>
      </c>
      <c r="N47" s="39" t="inlineStr">
        <is>
          <t>Active</t>
        </is>
      </c>
      <c r="O47" s="39" t="n"/>
      <c r="P47" s="78" t="n">
        <v>4.6</v>
      </c>
      <c r="Q47" s="77" t="n">
        <v>496</v>
      </c>
      <c r="R47" s="77" t="n">
        <v>49030</v>
      </c>
      <c r="S47" s="77" t="n">
        <v>6</v>
      </c>
      <c r="T47" s="39" t="n"/>
    </row>
    <row r="48" ht="62" customHeight="1">
      <c r="A48" s="12">
        <f>_xlfn.IMAGE("https://m.media-amazon.com/images/I/8101fCLlt+L.jpg")</f>
        <v/>
      </c>
      <c r="B48" s="39" t="inlineStr">
        <is>
          <t>B0F7M664QG</t>
        </is>
      </c>
      <c r="C48" s="39" t="inlineStr">
        <is>
          <t>SL-COOLING-FITTED-FULL-CREAM</t>
        </is>
      </c>
      <c r="D48" s="39" t="inlineStr">
        <is>
          <t>SLEEPHORIA Cooling Fitted Sheet Full Size - 1 PC BreezeWeave Cooling Sheets for Hot Sleepers &amp; Cool Rest w/ 16 in Deep Pocket - Corner Straps, Cloud Soft, Ultra Durable - 52 x 72 in (Cream)</t>
        </is>
      </c>
      <c r="E48" s="39" t="inlineStr">
        <is>
          <t>Full</t>
        </is>
      </c>
      <c r="F48" s="39" t="inlineStr">
        <is>
          <t>Cream</t>
        </is>
      </c>
      <c r="G48" s="73" t="n">
        <v>35.99</v>
      </c>
      <c r="H48" s="39" t="inlineStr">
        <is>
          <t>catalog price, 2026-10-13</t>
        </is>
      </c>
      <c r="I48" s="74" t="n">
        <v>29.99</v>
      </c>
      <c r="J48" s="75" t="inlineStr">
        <is>
          <t>2026-03-30</t>
        </is>
      </c>
      <c r="K48" s="40" t="n">
        <v>6.179999999999998</v>
      </c>
      <c r="L48" s="76" t="n">
        <v>0.2060686895631877</v>
      </c>
      <c r="M48" s="77" t="n">
        <v>3</v>
      </c>
      <c r="N48" s="39" t="inlineStr">
        <is>
          <t>Active</t>
        </is>
      </c>
      <c r="O48" s="39" t="n"/>
      <c r="P48" s="78" t="n">
        <v>4.6</v>
      </c>
      <c r="Q48" s="77" t="n">
        <v>496</v>
      </c>
      <c r="R48" s="77" t="n">
        <v>49030</v>
      </c>
      <c r="S48" s="77" t="n">
        <v>15</v>
      </c>
      <c r="T48" s="39" t="n"/>
    </row>
    <row r="49" ht="62" customHeight="1">
      <c r="A49" s="12">
        <f>_xlfn.IMAGE("https://m.media-amazon.com/images/I/813+K0LTJzL.jpg")</f>
        <v/>
      </c>
      <c r="B49" s="39" t="inlineStr">
        <is>
          <t>B0F7M7Z55J</t>
        </is>
      </c>
      <c r="C49" s="39" t="inlineStr">
        <is>
          <t>SL-COOLING-FITTED-TWIN-COOL-BLUE</t>
        </is>
      </c>
      <c r="D49" s="39" t="inlineStr">
        <is>
          <t>SLEEPHORIA Cooling Fitted Sheet Twin Size - 1 PC BreezeWeave Cooling Sheets for Hot Sleepers &amp; Cool Rest w/ 16 in Deep Pocket - Corner Straps, Cloud Soft, Ultra Durable - 37 x 72 in (Cool Blue)</t>
        </is>
      </c>
      <c r="E49" s="39" t="inlineStr">
        <is>
          <t>Twin</t>
        </is>
      </c>
      <c r="F49" s="39" t="inlineStr">
        <is>
          <t>Cool Blue</t>
        </is>
      </c>
      <c r="G49" s="73" t="n">
        <v>32.99</v>
      </c>
      <c r="H49" s="39" t="inlineStr">
        <is>
          <t>catalog price, 2026-10-13</t>
        </is>
      </c>
      <c r="I49" s="74" t="n">
        <v>26.99</v>
      </c>
      <c r="J49" s="75" t="inlineStr">
        <is>
          <t>2026-03-30</t>
        </is>
      </c>
      <c r="K49" s="40" t="n">
        <v>6.909999999999997</v>
      </c>
      <c r="L49" s="76" t="n">
        <v>0.2560207484253426</v>
      </c>
      <c r="M49" s="77" t="n">
        <v>3</v>
      </c>
      <c r="N49" s="39" t="inlineStr">
        <is>
          <t>Active</t>
        </is>
      </c>
      <c r="O49" s="39" t="n"/>
      <c r="P49" s="78" t="n">
        <v>4.6</v>
      </c>
      <c r="Q49" s="77" t="n">
        <v>496</v>
      </c>
      <c r="R49" s="77" t="n">
        <v>49030</v>
      </c>
      <c r="S49" s="77" t="n">
        <v>5</v>
      </c>
      <c r="T49" s="39" t="n"/>
    </row>
    <row r="50" ht="62" customHeight="1">
      <c r="A50" s="12">
        <f>_xlfn.IMAGE("https://m.media-amazon.com/images/I/813+K0LTJzL.jpg")</f>
        <v/>
      </c>
      <c r="B50" s="39" t="inlineStr">
        <is>
          <t>B0F7M5PH28</t>
        </is>
      </c>
      <c r="C50" s="39" t="inlineStr">
        <is>
          <t>SL-COOLING-FITTED-CAL-KING-COOL-BLUE</t>
        </is>
      </c>
      <c r="D50" s="39" t="inlineStr">
        <is>
          <t>SLEEPHORIA Cooling Fitted Sheet Calfornia King Size - 1 PC BreezeWeave Cooling Sheets for Hot Sleepers &amp; Cool Rest w/ 16 in Deep Pocket - Corner Straps, Cloud Soft - 69 x 81 in (Cool Blue)</t>
        </is>
      </c>
      <c r="E50" s="39" t="inlineStr">
        <is>
          <t>Cal King</t>
        </is>
      </c>
      <c r="F50" s="39" t="inlineStr">
        <is>
          <t>Cool Blue</t>
        </is>
      </c>
      <c r="G50" s="73" t="n">
        <v>39.99</v>
      </c>
      <c r="H50" s="39" t="inlineStr">
        <is>
          <t>catalog price, 2026-10-13</t>
        </is>
      </c>
      <c r="I50" s="74" t="n">
        <v>35.99</v>
      </c>
      <c r="J50" s="75" t="inlineStr">
        <is>
          <t>2026-03-30</t>
        </is>
      </c>
      <c r="K50" s="40" t="n">
        <v>7.570000000000002</v>
      </c>
      <c r="L50" s="76" t="n">
        <v>0.2103362045012504</v>
      </c>
      <c r="M50" s="77" t="n">
        <v>2</v>
      </c>
      <c r="N50" s="39" t="inlineStr">
        <is>
          <t>Active</t>
        </is>
      </c>
      <c r="O50" s="39" t="n"/>
      <c r="P50" s="78" t="n">
        <v>4.6</v>
      </c>
      <c r="Q50" s="77" t="n">
        <v>496</v>
      </c>
      <c r="R50" s="77" t="n">
        <v>49030</v>
      </c>
      <c r="S50" s="77" t="n">
        <v>9</v>
      </c>
      <c r="T50" s="39" t="n"/>
    </row>
    <row r="51" ht="62" customHeight="1">
      <c r="A51" s="12">
        <f>_xlfn.IMAGE("https://m.media-amazon.com/images/I/81pizSJLziL.jpg")</f>
        <v/>
      </c>
      <c r="B51" s="39" t="inlineStr">
        <is>
          <t>B0F7M2P88B</t>
        </is>
      </c>
      <c r="C51" s="39" t="inlineStr">
        <is>
          <t>SL-COOLING-FITTED-CAL-KING-REGAL-PURPLE</t>
        </is>
      </c>
      <c r="D51" s="39" t="inlineStr">
        <is>
          <t>SLEEPHORIA Cooling Fitted Sheet Calfornia King Size - 1 PC BreezeWeave Cooling Sheets for Hot Sleepers &amp; Cool Rest w/ 16 in Deep Pocket - Corner Straps, Cloud Soft - 69 x 81 in (Regal Purple)</t>
        </is>
      </c>
      <c r="E51" s="39" t="inlineStr">
        <is>
          <t>Cal King</t>
        </is>
      </c>
      <c r="F51" s="39" t="inlineStr">
        <is>
          <t>Regal Purple</t>
        </is>
      </c>
      <c r="G51" s="40" t="n"/>
      <c r="H51" s="39" t="n"/>
      <c r="I51" s="74" t="n">
        <v>35.99</v>
      </c>
      <c r="J51" s="75" t="inlineStr">
        <is>
          <t>2026-03-30</t>
        </is>
      </c>
      <c r="K51" s="40" t="n">
        <v>7.560000000000002</v>
      </c>
      <c r="L51" s="76" t="n">
        <v>0.2100583495415394</v>
      </c>
      <c r="M51" s="77" t="n">
        <v>1</v>
      </c>
      <c r="N51" s="39" t="inlineStr">
        <is>
          <t>Inactive</t>
        </is>
      </c>
      <c r="O51" s="39" t="n"/>
      <c r="P51" s="78" t="n"/>
      <c r="Q51" s="77" t="n"/>
      <c r="R51" s="77" t="n"/>
      <c r="S51" s="77" t="n"/>
      <c r="T51" s="39" t="n"/>
    </row>
    <row r="52" ht="62" customHeight="1">
      <c r="A52" s="12">
        <f>_xlfn.IMAGE("https://m.media-amazon.com/images/I/81Tr9Bh8YxL.jpg")</f>
        <v/>
      </c>
      <c r="B52" s="39" t="inlineStr">
        <is>
          <t>B0F7M728YB</t>
        </is>
      </c>
      <c r="C52" s="39" t="inlineStr">
        <is>
          <t>SL-COOLING-FITTED-CAL-KING-SAGE-GREEN</t>
        </is>
      </c>
      <c r="D52" s="39" t="inlineStr">
        <is>
          <t>SLEEPHORIA Cooling Fitted Sheet Calfornia King Size - 1 PC BreezeWeave Cooling Sheets for Hot Sleepers &amp; Cool Rest w/ 16 in Deep Pocket - Corner Straps, Cloud Soft - 69 x 81 in (Sage Green)</t>
        </is>
      </c>
      <c r="E52" s="39" t="inlineStr">
        <is>
          <t>Cal King</t>
        </is>
      </c>
      <c r="F52" s="39" t="inlineStr">
        <is>
          <t>Sage Green</t>
        </is>
      </c>
      <c r="G52" s="73" t="n">
        <v>39.99</v>
      </c>
      <c r="H52" s="39" t="inlineStr">
        <is>
          <t>catalog price, 2026-10-13</t>
        </is>
      </c>
      <c r="I52" s="74" t="n">
        <v>35.99</v>
      </c>
      <c r="J52" s="75" t="inlineStr">
        <is>
          <t>2026-03-30</t>
        </is>
      </c>
      <c r="K52" s="40" t="n">
        <v>7.320000000000004</v>
      </c>
      <c r="L52" s="76" t="n">
        <v>0.2033898305084747</v>
      </c>
      <c r="M52" s="77" t="n">
        <v>1</v>
      </c>
      <c r="N52" s="39" t="inlineStr">
        <is>
          <t>Active</t>
        </is>
      </c>
      <c r="O52" s="39" t="n"/>
      <c r="P52" s="78" t="n">
        <v>4.6</v>
      </c>
      <c r="Q52" s="77" t="n">
        <v>496</v>
      </c>
      <c r="R52" s="77" t="n">
        <v>49029</v>
      </c>
      <c r="S52" s="77" t="n">
        <v>6</v>
      </c>
      <c r="T52" s="39" t="n"/>
    </row>
    <row r="53" ht="62" customHeight="1">
      <c r="A53" s="12">
        <f>_xlfn.IMAGE("https://m.media-amazon.com/images/I/81yiInBJx6L.jpg")</f>
        <v/>
      </c>
      <c r="B53" s="39" t="inlineStr">
        <is>
          <t>B0F7M26SWR</t>
        </is>
      </c>
      <c r="C53" s="39" t="inlineStr">
        <is>
          <t>SL-COOLING-FITTED-FULL-LIGHT-PINK</t>
        </is>
      </c>
      <c r="D53" s="39" t="inlineStr">
        <is>
          <t>SLEEPHORIA Cooling Fitted Sheet Full Size - 1 PC BreezeWeave Cooling Sheets for Hot Sleepers &amp; Cool Rest w/ 16 in Deep Pocket - Corner Straps, Cloud Soft, Ultra Durable - 52 x 72 in (Light Pink)</t>
        </is>
      </c>
      <c r="E53" s="39" t="inlineStr">
        <is>
          <t>Full</t>
        </is>
      </c>
      <c r="F53" s="39" t="inlineStr">
        <is>
          <t>Light Pink</t>
        </is>
      </c>
      <c r="G53" s="40" t="n"/>
      <c r="H53" s="39" t="n"/>
      <c r="I53" s="74" t="n">
        <v>29.99</v>
      </c>
      <c r="J53" s="75" t="inlineStr">
        <is>
          <t>2026-03-30</t>
        </is>
      </c>
      <c r="K53" s="40" t="n">
        <v>6.179999999999998</v>
      </c>
      <c r="L53" s="76" t="n">
        <v>0.2060686895631877</v>
      </c>
      <c r="M53" s="77" t="n">
        <v>1</v>
      </c>
      <c r="N53" s="39" t="inlineStr">
        <is>
          <t>Inactive</t>
        </is>
      </c>
      <c r="O53" s="39" t="n"/>
      <c r="P53" s="78" t="n"/>
      <c r="Q53" s="77" t="n"/>
      <c r="R53" s="77" t="n"/>
      <c r="S53" s="77" t="n"/>
      <c r="T53" s="39" t="n"/>
    </row>
    <row r="54" ht="62" customHeight="1">
      <c r="A54" s="12">
        <f>_xlfn.IMAGE("https://m.media-amazon.com/images/I/81pizSJLziL.jpg")</f>
        <v/>
      </c>
      <c r="B54" s="39" t="inlineStr">
        <is>
          <t>B0F7M4VKGL</t>
        </is>
      </c>
      <c r="C54" s="39" t="inlineStr">
        <is>
          <t>SL-COOLING-FITTED-FULL-REGAL-PURPLE</t>
        </is>
      </c>
      <c r="D54" s="39" t="inlineStr">
        <is>
          <t>SLEEPHORIA Cooling Fitted Sheet Full Size - 1 PC BreezeWeave Cooling Sheets for Hot Sleepers &amp; Cool Rest w/ 16 in Deep Pocket - Corner Straps, Cloud Soft, Ultra Durable - 52 x 72 in (Regal Purple)</t>
        </is>
      </c>
      <c r="E54" s="39" t="inlineStr">
        <is>
          <t>Full</t>
        </is>
      </c>
      <c r="F54" s="39" t="inlineStr">
        <is>
          <t>Regal Purple</t>
        </is>
      </c>
      <c r="G54" s="40" t="n"/>
      <c r="H54" s="39" t="n"/>
      <c r="I54" s="74" t="n">
        <v>29.99</v>
      </c>
      <c r="J54" s="75" t="inlineStr">
        <is>
          <t>2026-03-30</t>
        </is>
      </c>
      <c r="K54" s="40" t="n">
        <v>6.169999999999998</v>
      </c>
      <c r="L54" s="76" t="n">
        <v>0.2057352450816939</v>
      </c>
      <c r="M54" s="77" t="n">
        <v>1</v>
      </c>
      <c r="N54" s="39" t="inlineStr">
        <is>
          <t>Inactive</t>
        </is>
      </c>
      <c r="O54" s="39" t="n"/>
      <c r="P54" s="78" t="n"/>
      <c r="Q54" s="77" t="n"/>
      <c r="R54" s="77" t="n"/>
      <c r="S54" s="77" t="n"/>
      <c r="T54" s="39" t="n"/>
    </row>
    <row r="55" ht="62" customHeight="1">
      <c r="A55" s="12">
        <f>_xlfn.IMAGE("https://m.media-amazon.com/images/I/813+K0LTJzL.jpg")</f>
        <v/>
      </c>
      <c r="B55" s="39" t="inlineStr">
        <is>
          <t>B0F7M61LHQ</t>
        </is>
      </c>
      <c r="C55" s="39" t="inlineStr">
        <is>
          <t>SL-COOLING-FITTED-KING-COOL-BLUE</t>
        </is>
      </c>
      <c r="D55" s="39" t="inlineStr">
        <is>
          <t>SLEEPHORIA Cooling Fitted Sheet King Size - 1 PC BreezeWeave Cooling Sheets for Hot Sleepers &amp; Cool Rest w/ 16 in Deep Pocket - Corner Straps, Cloud Soft, Ultra Durable - 73 x 77 in (Cool Blue)</t>
        </is>
      </c>
      <c r="E55" s="39" t="inlineStr">
        <is>
          <t>King</t>
        </is>
      </c>
      <c r="F55" s="39" t="inlineStr">
        <is>
          <t>Cool Blue</t>
        </is>
      </c>
      <c r="G55" s="73" t="n">
        <v>39.99</v>
      </c>
      <c r="H55" s="39" t="inlineStr">
        <is>
          <t>catalog price, 2026-10-13</t>
        </is>
      </c>
      <c r="I55" s="74" t="n">
        <v>34.99</v>
      </c>
      <c r="J55" s="75" t="inlineStr">
        <is>
          <t>2026-03-30</t>
        </is>
      </c>
      <c r="K55" s="40" t="n">
        <v>9.180000000000001</v>
      </c>
      <c r="L55" s="76" t="n">
        <v>0.2623606744784224</v>
      </c>
      <c r="M55" s="77" t="n">
        <v>1</v>
      </c>
      <c r="N55" s="39" t="inlineStr">
        <is>
          <t>Active</t>
        </is>
      </c>
      <c r="O55" s="39" t="n"/>
      <c r="P55" s="78" t="n">
        <v>4.6</v>
      </c>
      <c r="Q55" s="77" t="n">
        <v>496</v>
      </c>
      <c r="R55" s="77" t="n">
        <v>49030</v>
      </c>
      <c r="S55" s="77" t="n">
        <v>2</v>
      </c>
      <c r="T55" s="39" t="n"/>
    </row>
    <row r="56" ht="62" customHeight="1">
      <c r="A56" s="12">
        <f>_xlfn.IMAGE("https://m.media-amazon.com/images/I/81r690HkxWL.jpg")</f>
        <v/>
      </c>
      <c r="B56" s="39" t="inlineStr">
        <is>
          <t>B0F7M4HC57</t>
        </is>
      </c>
      <c r="C56" s="39" t="inlineStr">
        <is>
          <t>SL-COOLING-FITTED-TWIN-COOL-GREY</t>
        </is>
      </c>
      <c r="D56" s="39" t="inlineStr">
        <is>
          <t>SLEEPHORIA Cooling Fitted Sheet Twin Size - 1 PC BreezeWeave Cooling Sheets for Hot Sleepers &amp; Cool Rest w/ 16 in Deep Pocket - Corner Straps, Cloud Soft, Ultra Durable - 37 x 72 in (Cool Grey)</t>
        </is>
      </c>
      <c r="E56" s="39" t="inlineStr">
        <is>
          <t>Twin</t>
        </is>
      </c>
      <c r="F56" s="39" t="inlineStr">
        <is>
          <t>Cool Grey</t>
        </is>
      </c>
      <c r="G56" s="40" t="n"/>
      <c r="H56" s="39" t="n"/>
      <c r="I56" s="74" t="n">
        <v>26.99</v>
      </c>
      <c r="J56" s="75" t="inlineStr">
        <is>
          <t>2026-03-30</t>
        </is>
      </c>
      <c r="K56" s="40" t="n">
        <v>6.929999999999996</v>
      </c>
      <c r="L56" s="76" t="n">
        <v>0.256761763616154</v>
      </c>
      <c r="M56" s="77" t="n">
        <v>1</v>
      </c>
      <c r="N56" s="39" t="inlineStr">
        <is>
          <t>Inactive</t>
        </is>
      </c>
      <c r="O56" s="39" t="n"/>
      <c r="P56" s="78" t="n"/>
      <c r="Q56" s="77" t="n"/>
      <c r="R56" s="77" t="n"/>
      <c r="S56" s="77" t="n"/>
      <c r="T56" s="39" t="n"/>
    </row>
    <row r="57" ht="62" customHeight="1">
      <c r="A57" s="12">
        <f>_xlfn.IMAGE("https://m.media-amazon.com/images/I/815Zr2bHyBL.jpg")</f>
        <v/>
      </c>
      <c r="B57" s="39" t="inlineStr">
        <is>
          <t>B0F7M4DPM6</t>
        </is>
      </c>
      <c r="C57" s="39" t="inlineStr">
        <is>
          <t>SL-COOLING-FITTED-CAL-KING-BEIGE</t>
        </is>
      </c>
      <c r="D57" s="39" t="inlineStr">
        <is>
          <t>SLEEPHORIA Cooling Fitted Sheet Calfornia King Size - 1 PC BreezeWeave Cooling Sheets for Hot Sleepers &amp; Cool Rest w/ 16 in Deep Pocket - Corner Straps, Cloud Soft - 69 x 81 in (Beige)</t>
        </is>
      </c>
      <c r="E57" s="39" t="inlineStr">
        <is>
          <t>Cal King</t>
        </is>
      </c>
      <c r="F57" s="39" t="inlineStr">
        <is>
          <t>Beige</t>
        </is>
      </c>
      <c r="G57" s="40" t="n"/>
      <c r="H57" s="39" t="n"/>
      <c r="I57" s="74" t="n">
        <v>35.99</v>
      </c>
      <c r="J57" s="75" t="inlineStr">
        <is>
          <t>2026-03-30</t>
        </is>
      </c>
      <c r="K57" s="40" t="n">
        <v>7.320000000000004</v>
      </c>
      <c r="L57" s="76" t="n">
        <v>0.2033898305084747</v>
      </c>
      <c r="M57" s="77" t="n">
        <v>0</v>
      </c>
      <c r="N57" s="39" t="inlineStr">
        <is>
          <t>Inactive</t>
        </is>
      </c>
      <c r="O57" s="39" t="n"/>
      <c r="P57" s="78" t="n"/>
      <c r="Q57" s="77" t="n"/>
      <c r="R57" s="77" t="n"/>
      <c r="S57" s="77" t="n"/>
      <c r="T57" s="39" t="n"/>
    </row>
    <row r="58" ht="62" customHeight="1">
      <c r="A58" s="12">
        <f>_xlfn.IMAGE("https://m.media-amazon.com/images/I/81-LAAiOPsL.jpg")</f>
        <v/>
      </c>
      <c r="B58" s="39" t="inlineStr">
        <is>
          <t>B0F7M5L5TP</t>
        </is>
      </c>
      <c r="C58" s="39" t="inlineStr">
        <is>
          <t>SL-COOLING-FITTED-CAL-KING-GRAPHITE</t>
        </is>
      </c>
      <c r="D58" s="39" t="inlineStr">
        <is>
          <t>SLEEPHORIA Cooling Fitted Sheet Calfornia King Size - 1 PC BreezeWeave Cooling Sheets for Hot Sleepers &amp; Cool Rest w/ 16 in Deep Pocket - Corner Straps, Cloud Soft - 69 x 81 in (Graphite)</t>
        </is>
      </c>
      <c r="E58" s="39" t="inlineStr">
        <is>
          <t>Cal King</t>
        </is>
      </c>
      <c r="F58" s="39" t="inlineStr">
        <is>
          <t>Graphite</t>
        </is>
      </c>
      <c r="G58" s="40" t="n"/>
      <c r="H58" s="39" t="n"/>
      <c r="I58" s="74" t="n">
        <v>35.99</v>
      </c>
      <c r="J58" s="75" t="inlineStr">
        <is>
          <t>2026-03-30</t>
        </is>
      </c>
      <c r="K58" s="40" t="n">
        <v>7.550000000000002</v>
      </c>
      <c r="L58" s="76" t="n">
        <v>0.2097804945818283</v>
      </c>
      <c r="M58" s="77" t="n"/>
      <c r="N58" s="39" t="inlineStr">
        <is>
          <t>Inactive</t>
        </is>
      </c>
      <c r="O58" s="39" t="n"/>
      <c r="P58" s="78" t="n"/>
      <c r="Q58" s="77" t="n"/>
      <c r="R58" s="77" t="n"/>
      <c r="S58" s="77" t="n"/>
      <c r="T58" s="39" t="n"/>
    </row>
    <row r="59" ht="62" customHeight="1">
      <c r="A59" s="12">
        <f>_xlfn.IMAGE("https://m.media-amazon.com/images/I/81qB8822yoL.jpg")</f>
        <v/>
      </c>
      <c r="B59" s="39" t="inlineStr">
        <is>
          <t>B0F7M35WZY</t>
        </is>
      </c>
      <c r="C59" s="39" t="inlineStr">
        <is>
          <t>SL-COOLING-FITTED-CAL-KING-LIGHT-BLUE</t>
        </is>
      </c>
      <c r="D59" s="39" t="inlineStr">
        <is>
          <t>SLEEPHORIA Cooling Fitted Sheet Calfornia King Size - 1 PC BreezeWeave Cooling Sheets for Hot Sleepers &amp; Cool Rest w/ 16 in Deep Pocket - Corner Straps, Cloud Soft - 69 x 81 in (Light Blue)</t>
        </is>
      </c>
      <c r="E59" s="39" t="inlineStr">
        <is>
          <t>Cal King</t>
        </is>
      </c>
      <c r="F59" s="39" t="inlineStr">
        <is>
          <t>Light Blue</t>
        </is>
      </c>
      <c r="G59" s="73" t="n">
        <v>39.99</v>
      </c>
      <c r="H59" s="39" t="inlineStr">
        <is>
          <t>catalog price, 2026-10-13</t>
        </is>
      </c>
      <c r="I59" s="74" t="n">
        <v>35.99</v>
      </c>
      <c r="J59" s="75" t="inlineStr">
        <is>
          <t>2026-03-30</t>
        </is>
      </c>
      <c r="K59" s="40" t="n">
        <v>7.320000000000004</v>
      </c>
      <c r="L59" s="76" t="n">
        <v>0.2033898305084747</v>
      </c>
      <c r="M59" s="77" t="n">
        <v>0</v>
      </c>
      <c r="N59" s="39" t="inlineStr">
        <is>
          <t>Active</t>
        </is>
      </c>
      <c r="O59" s="39" t="n"/>
      <c r="P59" s="78" t="n">
        <v>4.6</v>
      </c>
      <c r="Q59" s="77" t="n">
        <v>496</v>
      </c>
      <c r="R59" s="77" t="n">
        <v>49030</v>
      </c>
      <c r="S59" s="77" t="n">
        <v>6</v>
      </c>
      <c r="T59" s="39" t="n"/>
    </row>
    <row r="60" ht="62" customHeight="1">
      <c r="A60" s="12">
        <f>_xlfn.IMAGE("https://m.media-amazon.com/images/I/81hT0qOPgZL.jpg")</f>
        <v/>
      </c>
      <c r="B60" s="39" t="inlineStr">
        <is>
          <t>B0F7M5393W</t>
        </is>
      </c>
      <c r="C60" s="39" t="inlineStr">
        <is>
          <t>SL-COOLING-FITTED-CAL-KING-MIDNGHT-BLACK</t>
        </is>
      </c>
      <c r="D60" s="39" t="inlineStr">
        <is>
          <t>SLEEPHORIA Cooling Fitted Sheet Calfornia King Size - 1 PC BreezeWeave Cooling Sheets for Hot Sleepers &amp; Cool Rest w/ 16 in Deep Pocket - Corner Straps, Cloud Soft - 69 x 81 in (Midnight Black)</t>
        </is>
      </c>
      <c r="E60" s="39" t="inlineStr">
        <is>
          <t>Cal King</t>
        </is>
      </c>
      <c r="F60" s="39" t="inlineStr">
        <is>
          <t>Midnight Black</t>
        </is>
      </c>
      <c r="G60" s="73" t="n">
        <v>39.99</v>
      </c>
      <c r="H60" s="39" t="inlineStr">
        <is>
          <t>catalog price, 2026-10-13</t>
        </is>
      </c>
      <c r="I60" s="74" t="n">
        <v>35.99</v>
      </c>
      <c r="J60" s="75" t="inlineStr">
        <is>
          <t>2026-03-30</t>
        </is>
      </c>
      <c r="K60" s="40" t="n">
        <v>7.700000000000005</v>
      </c>
      <c r="L60" s="76" t="n">
        <v>0.2139483189774939</v>
      </c>
      <c r="M60" s="77" t="n">
        <v>0</v>
      </c>
      <c r="N60" s="39" t="inlineStr">
        <is>
          <t>Active</t>
        </is>
      </c>
      <c r="O60" s="39" t="n"/>
      <c r="P60" s="78" t="n">
        <v>4.6</v>
      </c>
      <c r="Q60" s="77" t="n">
        <v>496</v>
      </c>
      <c r="R60" s="77" t="n">
        <v>49029</v>
      </c>
      <c r="S60" s="77" t="n">
        <v>6</v>
      </c>
      <c r="T60" s="39" t="n"/>
    </row>
    <row r="61" ht="62" customHeight="1">
      <c r="A61" s="12">
        <f>_xlfn.IMAGE("https://m.media-amazon.com/images/I/815Zr2bHyBL.jpg")</f>
        <v/>
      </c>
      <c r="B61" s="39" t="inlineStr">
        <is>
          <t>B0F7M5TZQ4</t>
        </is>
      </c>
      <c r="C61" s="39" t="inlineStr">
        <is>
          <t>SL-COOLING-FITTED-FULL-BEIGE</t>
        </is>
      </c>
      <c r="D61" s="39" t="inlineStr">
        <is>
          <t>SLEEPHORIA Cooling Fitted Sheet Full Size - 1 PC BreezeWeave Cooling Sheets for Hot Sleepers &amp; Cool Rest w/ 16 in Deep Pocket - Corner Straps, Cloud Soft, Ultra Durable - 52 x 72 in (Beige)</t>
        </is>
      </c>
      <c r="E61" s="39" t="inlineStr">
        <is>
          <t>Full</t>
        </is>
      </c>
      <c r="F61" s="39" t="inlineStr">
        <is>
          <t>Beige</t>
        </is>
      </c>
      <c r="G61" s="40" t="n"/>
      <c r="H61" s="39" t="n"/>
      <c r="I61" s="74" t="n">
        <v>29.99</v>
      </c>
      <c r="J61" s="75" t="inlineStr">
        <is>
          <t>2026-03-30</t>
        </is>
      </c>
      <c r="K61" s="40" t="n">
        <v>6.179999999999998</v>
      </c>
      <c r="L61" s="76" t="n">
        <v>0.2060686895631877</v>
      </c>
      <c r="M61" s="77" t="n"/>
      <c r="N61" s="39" t="inlineStr">
        <is>
          <t>Inactive</t>
        </is>
      </c>
      <c r="O61" s="39" t="n"/>
      <c r="P61" s="78" t="n"/>
      <c r="Q61" s="77" t="n"/>
      <c r="R61" s="77" t="n"/>
      <c r="S61" s="77" t="n"/>
      <c r="T61" s="39" t="n"/>
    </row>
    <row r="62" ht="62" customHeight="1">
      <c r="A62" s="12">
        <f>_xlfn.IMAGE("https://m.media-amazon.com/images/I/81qB8822yoL.jpg")</f>
        <v/>
      </c>
      <c r="B62" s="39" t="inlineStr">
        <is>
          <t>B0F7M8R9FG</t>
        </is>
      </c>
      <c r="C62" s="39" t="inlineStr">
        <is>
          <t>SL-COOLING-FITTED-FULL-LIGHT-BLUE</t>
        </is>
      </c>
      <c r="D62" s="39" t="inlineStr">
        <is>
          <t>SLEEPHORIA Cooling Fitted Sheet Full Size - 1 PC BreezeWeave Cooling Sheets for Hot Sleepers &amp; Cool Rest w/ 16 in Deep Pocket - Corner Straps, Cloud Soft, Ultra Durable - 52 x 72 in (Light Blue)</t>
        </is>
      </c>
      <c r="E62" s="39" t="inlineStr">
        <is>
          <t>Full</t>
        </is>
      </c>
      <c r="F62" s="39" t="inlineStr">
        <is>
          <t>Light Blue</t>
        </is>
      </c>
      <c r="G62" s="40" t="n"/>
      <c r="H62" s="39" t="n"/>
      <c r="I62" s="74" t="n">
        <v>29.99</v>
      </c>
      <c r="J62" s="75" t="inlineStr">
        <is>
          <t>2026-03-30</t>
        </is>
      </c>
      <c r="K62" s="40" t="n">
        <v>6.179999999999998</v>
      </c>
      <c r="L62" s="76" t="n">
        <v>0.2060686895631877</v>
      </c>
      <c r="M62" s="77" t="n"/>
      <c r="N62" s="39" t="inlineStr">
        <is>
          <t>Inactive</t>
        </is>
      </c>
      <c r="O62" s="39" t="n"/>
      <c r="P62" s="78" t="n"/>
      <c r="Q62" s="77" t="n"/>
      <c r="R62" s="77" t="n"/>
      <c r="S62" s="77" t="n"/>
      <c r="T62" s="39" t="n"/>
    </row>
    <row r="63" ht="62" customHeight="1">
      <c r="A63" s="12">
        <f>_xlfn.IMAGE("https://m.media-amazon.com/images/I/81hT0qOPgZL.jpg")</f>
        <v/>
      </c>
      <c r="B63" s="39" t="inlineStr">
        <is>
          <t>B0F7M621N6</t>
        </is>
      </c>
      <c r="C63" s="39" t="inlineStr">
        <is>
          <t>SL-COOLING-FITTED-FULL-MIDNIGHT-BLACK</t>
        </is>
      </c>
      <c r="D63" s="39" t="inlineStr">
        <is>
          <t>SLEEPHORIA Cooling Fitted Sheet Full Size - 1 PC BreezeWeave Cooling Sheets for Hot Sleepers &amp; Cool Rest w/ 16 in Deep Pocket - Corner Straps, Cloud Soft, Ultra Durable - 52 x 72 in (Midnight Black)</t>
        </is>
      </c>
      <c r="E63" s="39" t="inlineStr">
        <is>
          <t>Full</t>
        </is>
      </c>
      <c r="F63" s="39" t="inlineStr">
        <is>
          <t>Midnight Black</t>
        </is>
      </c>
      <c r="G63" s="40" t="n"/>
      <c r="H63" s="39" t="n"/>
      <c r="I63" s="74" t="n">
        <v>29.99</v>
      </c>
      <c r="J63" s="75" t="inlineStr">
        <is>
          <t>2026-03-30</t>
        </is>
      </c>
      <c r="K63" s="40" t="n">
        <v>6.199999999999998</v>
      </c>
      <c r="L63" s="76" t="n">
        <v>0.2067355785261754</v>
      </c>
      <c r="M63" s="77" t="n"/>
      <c r="N63" s="39" t="inlineStr">
        <is>
          <t>Inactive</t>
        </is>
      </c>
      <c r="O63" s="39" t="n"/>
      <c r="P63" s="78" t="n"/>
      <c r="Q63" s="77" t="n"/>
      <c r="R63" s="77" t="n"/>
      <c r="S63" s="77" t="n"/>
      <c r="T63" s="39" t="n"/>
    </row>
    <row r="64" ht="62" customHeight="1">
      <c r="A64" s="12">
        <f>_xlfn.IMAGE("https://m.media-amazon.com/images/I/814rCVRR52L.jpg")</f>
        <v/>
      </c>
      <c r="B64" s="39" t="inlineStr">
        <is>
          <t>B0F7M6N7BG</t>
        </is>
      </c>
      <c r="C64" s="39" t="inlineStr">
        <is>
          <t>SL-COOLING-FITTED-FULL-NAVY-BLUE</t>
        </is>
      </c>
      <c r="D64" s="39" t="inlineStr">
        <is>
          <t>SLEEPHORIA Cooling Fitted Sheet Full Size - 1 PC BreezeWeave Cooling Sheets for Hot Sleepers &amp; Cool Rest w/ 16 in Deep Pocket - Corner Straps, Cloud Soft, Ultra Durable - 52 x 72 in (Navy Blue)</t>
        </is>
      </c>
      <c r="E64" s="39" t="inlineStr">
        <is>
          <t>Full</t>
        </is>
      </c>
      <c r="F64" s="39" t="inlineStr">
        <is>
          <t>Navy Blue</t>
        </is>
      </c>
      <c r="G64" s="40" t="n"/>
      <c r="H64" s="39" t="n"/>
      <c r="I64" s="74" t="n">
        <v>29.99</v>
      </c>
      <c r="J64" s="75" t="inlineStr">
        <is>
          <t>2026-03-30</t>
        </is>
      </c>
      <c r="K64" s="40" t="n">
        <v>6.179999999999998</v>
      </c>
      <c r="L64" s="76" t="n">
        <v>0.2060686895631877</v>
      </c>
      <c r="M64" s="77" t="n"/>
      <c r="N64" s="39" t="inlineStr">
        <is>
          <t>Inactive</t>
        </is>
      </c>
      <c r="O64" s="39" t="n"/>
      <c r="P64" s="78" t="n"/>
      <c r="Q64" s="77" t="n"/>
      <c r="R64" s="77" t="n"/>
      <c r="S64" s="77" t="n"/>
      <c r="T64" s="39" t="n"/>
    </row>
    <row r="65" ht="62" customHeight="1">
      <c r="A65" s="12">
        <f>_xlfn.IMAGE("https://m.media-amazon.com/images/I/81Tr9Bh8YxL.jpg")</f>
        <v/>
      </c>
      <c r="B65" s="39" t="inlineStr">
        <is>
          <t>B0F7M3HDB5</t>
        </is>
      </c>
      <c r="C65" s="39" t="inlineStr">
        <is>
          <t>SL-COOLING-FITTED-FULL-SAGE-GREEN</t>
        </is>
      </c>
      <c r="D65" s="39" t="inlineStr">
        <is>
          <t>SLEEPHORIA Cooling Fitted Sheet Full Size - 1 PC BreezeWeave Cooling Sheets for Hot Sleepers &amp; Cool Rest w/ 16 in Deep Pocket - Corner Straps, Cloud Soft, Ultra Durable - 52 x 72 in (Sage Green)</t>
        </is>
      </c>
      <c r="E65" s="39" t="inlineStr">
        <is>
          <t>Full</t>
        </is>
      </c>
      <c r="F65" s="39" t="inlineStr">
        <is>
          <t>Sage Green</t>
        </is>
      </c>
      <c r="G65" s="40" t="n"/>
      <c r="H65" s="39" t="n"/>
      <c r="I65" s="74" t="n">
        <v>29.99</v>
      </c>
      <c r="J65" s="75" t="inlineStr">
        <is>
          <t>2026-03-30</t>
        </is>
      </c>
      <c r="K65" s="40" t="n">
        <v>6.179999999999998</v>
      </c>
      <c r="L65" s="76" t="n">
        <v>0.2060686895631877</v>
      </c>
      <c r="M65" s="77" t="n"/>
      <c r="N65" s="39" t="inlineStr">
        <is>
          <t>Inactive</t>
        </is>
      </c>
      <c r="O65" s="39" t="n"/>
      <c r="P65" s="78" t="n"/>
      <c r="Q65" s="77" t="n"/>
      <c r="R65" s="77" t="n"/>
      <c r="S65" s="77" t="n"/>
      <c r="T65" s="39" t="n"/>
    </row>
    <row r="66" ht="62" customHeight="1">
      <c r="A66" s="12">
        <f>_xlfn.IMAGE("https://m.media-amazon.com/images/I/81G7yE5OfqL.jpg")</f>
        <v/>
      </c>
      <c r="B66" s="39" t="inlineStr">
        <is>
          <t>B0F7M5XJFG</t>
        </is>
      </c>
      <c r="C66" s="39" t="inlineStr">
        <is>
          <t>SL-COOLING-FITTED-FULL-WHITE</t>
        </is>
      </c>
      <c r="D66" s="39" t="inlineStr">
        <is>
          <t>SLEEPHORIA Cooling Fitted Sheet Full Size - 1 PC BreezeWeave Cooling Sheets for Hot Sleepers &amp; Cool Rest w/ 16 in Deep Pocket - Corner Straps, Cloud Soft, Ultra Durable - 52 x 72 in (White)</t>
        </is>
      </c>
      <c r="E66" s="39" t="inlineStr">
        <is>
          <t>Full</t>
        </is>
      </c>
      <c r="F66" s="39" t="inlineStr">
        <is>
          <t>White</t>
        </is>
      </c>
      <c r="G66" s="40" t="n"/>
      <c r="H66" s="39" t="n"/>
      <c r="I66" s="74" t="n">
        <v>29.99</v>
      </c>
      <c r="J66" s="75" t="inlineStr">
        <is>
          <t>2026-03-30</t>
        </is>
      </c>
      <c r="K66" s="40" t="n">
        <v>6.189999999999998</v>
      </c>
      <c r="L66" s="76" t="n">
        <v>0.2064021340446815</v>
      </c>
      <c r="M66" s="77" t="n"/>
      <c r="N66" s="39" t="inlineStr">
        <is>
          <t>Inactive</t>
        </is>
      </c>
      <c r="O66" s="39" t="n"/>
      <c r="P66" s="78" t="n"/>
      <c r="Q66" s="77" t="n"/>
      <c r="R66" s="77" t="n"/>
      <c r="S66" s="77" t="n"/>
      <c r="T66" s="39" t="n"/>
    </row>
    <row r="67" ht="62" customHeight="1">
      <c r="A67" s="12">
        <f>_xlfn.IMAGE("https://m.media-amazon.com/images/I/81-LAAiOPsL.jpg")</f>
        <v/>
      </c>
      <c r="B67" s="39" t="inlineStr">
        <is>
          <t>B0F7M34BND</t>
        </is>
      </c>
      <c r="C67" s="39" t="inlineStr">
        <is>
          <t>SL-COOLING-FITTED-KING-GRAPHITE</t>
        </is>
      </c>
      <c r="D67" s="39" t="inlineStr">
        <is>
          <t>SLEEPHORIA Cooling Fitted Sheet King Size - 1 PC BreezeWeave Cooling Sheets for Hot Sleepers &amp; Cool Rest w/ 16 in Deep Pocket - Corner Straps, Cloud Soft, Ultra Durable - 73 x 77 in (Graphite)</t>
        </is>
      </c>
      <c r="E67" s="39" t="inlineStr">
        <is>
          <t>King</t>
        </is>
      </c>
      <c r="F67" s="39" t="inlineStr">
        <is>
          <t>Graphite</t>
        </is>
      </c>
      <c r="G67" s="40" t="n"/>
      <c r="H67" s="39" t="n"/>
      <c r="I67" s="40" t="n"/>
      <c r="J67" s="39" t="n"/>
      <c r="K67" s="40" t="n"/>
      <c r="L67" s="76" t="n"/>
      <c r="M67" s="77" t="n"/>
      <c r="N67" s="39" t="inlineStr">
        <is>
          <t>Inactive</t>
        </is>
      </c>
      <c r="O67" s="39" t="n"/>
      <c r="P67" s="78" t="n"/>
      <c r="Q67" s="77" t="n"/>
      <c r="R67" s="77" t="n"/>
      <c r="S67" s="77" t="n"/>
      <c r="T67" s="39" t="n"/>
    </row>
    <row r="68" ht="62" customHeight="1">
      <c r="A68" s="12">
        <f>_xlfn.IMAGE("https://m.media-amazon.com/images/I/81yiInBJx6L.jpg")</f>
        <v/>
      </c>
      <c r="B68" s="39" t="inlineStr">
        <is>
          <t>B0F7M5CDV3</t>
        </is>
      </c>
      <c r="C68" s="39" t="inlineStr">
        <is>
          <t>SL-COOLING-FITTED-KING-LIGHT-PINK</t>
        </is>
      </c>
      <c r="D68" s="39" t="inlineStr">
        <is>
          <t>SLEEPHORIA Cooling Fitted Sheet King Size - 1 PC BreezeWeave Cooling Sheets for Hot Sleepers &amp; Cool Rest w/ 16 in Deep Pocket - Corner Straps, Cloud Soft, Ultra Durable - 73 x 77 in (Light Pink)</t>
        </is>
      </c>
      <c r="E68" s="39" t="inlineStr">
        <is>
          <t>King</t>
        </is>
      </c>
      <c r="F68" s="39" t="inlineStr">
        <is>
          <t>Light Pink</t>
        </is>
      </c>
      <c r="G68" s="40" t="n"/>
      <c r="H68" s="39" t="n"/>
      <c r="I68" s="74" t="n">
        <v>34.99</v>
      </c>
      <c r="J68" s="75" t="inlineStr">
        <is>
          <t>2026-03-30</t>
        </is>
      </c>
      <c r="K68" s="40" t="n">
        <v>6.950000000000003</v>
      </c>
      <c r="L68" s="76" t="n">
        <v>0.1986281794798515</v>
      </c>
      <c r="M68" s="77" t="n"/>
      <c r="N68" s="39" t="inlineStr">
        <is>
          <t>Inactive</t>
        </is>
      </c>
      <c r="O68" s="39" t="n"/>
      <c r="P68" s="78" t="n"/>
      <c r="Q68" s="77" t="n"/>
      <c r="R68" s="77" t="n"/>
      <c r="S68" s="77" t="n"/>
      <c r="T68" s="39" t="n"/>
    </row>
    <row r="69" ht="62" customHeight="1">
      <c r="A69" s="12">
        <f>_xlfn.IMAGE("https://m.media-amazon.com/images/I/814rCVRR52L.jpg")</f>
        <v/>
      </c>
      <c r="B69" s="39" t="inlineStr">
        <is>
          <t>B0F7M5M7G1</t>
        </is>
      </c>
      <c r="C69" s="39" t="inlineStr">
        <is>
          <t>SL-COOLING-FITTED-KING-NAVY-BLUE</t>
        </is>
      </c>
      <c r="D69" s="39" t="inlineStr">
        <is>
          <t>SLEEPHORIA Cooling Fitted Sheet King Size - 1 PC BreezeWeave Cooling Sheets for Hot Sleepers &amp; Cool Rest w/ 16 in Deep Pocket - Corner Straps, Cloud Soft, Ultra Durable - 73 x 77 in (Navy Blue)</t>
        </is>
      </c>
      <c r="E69" s="39" t="inlineStr">
        <is>
          <t>King</t>
        </is>
      </c>
      <c r="F69" s="39" t="inlineStr">
        <is>
          <t>Navy Blue</t>
        </is>
      </c>
      <c r="G69" s="73" t="n">
        <v>39.99</v>
      </c>
      <c r="H69" s="39" t="inlineStr">
        <is>
          <t>catalog price, 2026-10-13</t>
        </is>
      </c>
      <c r="I69" s="74" t="n">
        <v>34.99</v>
      </c>
      <c r="J69" s="75" t="inlineStr">
        <is>
          <t>2026-03-30</t>
        </is>
      </c>
      <c r="K69" s="40" t="n">
        <v>8.870000000000003</v>
      </c>
      <c r="L69" s="76" t="n">
        <v>0.253501000285796</v>
      </c>
      <c r="M69" s="77" t="n">
        <v>0</v>
      </c>
      <c r="N69" s="39" t="inlineStr">
        <is>
          <t>Active</t>
        </is>
      </c>
      <c r="O69" s="39" t="n"/>
      <c r="P69" s="78" t="n">
        <v>4.6</v>
      </c>
      <c r="Q69" s="77" t="n">
        <v>496</v>
      </c>
      <c r="R69" s="77" t="n">
        <v>49030</v>
      </c>
      <c r="S69" s="77" t="n">
        <v>2</v>
      </c>
      <c r="T69" s="39" t="n"/>
    </row>
    <row r="70" ht="62" customHeight="1">
      <c r="A70" s="12">
        <f>_xlfn.IMAGE("https://m.media-amazon.com/images/I/813+K0LTJzL.jpg")</f>
        <v/>
      </c>
      <c r="B70" s="39" t="inlineStr">
        <is>
          <t>B0F7M6FFVL</t>
        </is>
      </c>
      <c r="C70" s="39" t="inlineStr">
        <is>
          <t>SL-COOLING-FITTED-QUEEN-COOL-BLUE</t>
        </is>
      </c>
      <c r="D70" s="39" t="inlineStr">
        <is>
          <t>SLEEPHORIA Cooling Fitted Sheet Queen Size - 1 PC BreezeWeave Cooling Sheets for Hot Sleepers &amp; Cool Rest w/ 16 in Deep Pocket - Corner Straps, Cloud Soft, Ultra Durable - 57 x 77 in (Cool Blue)</t>
        </is>
      </c>
      <c r="E70" s="39" t="inlineStr">
        <is>
          <t>Queen</t>
        </is>
      </c>
      <c r="F70" s="39" t="inlineStr">
        <is>
          <t>Cool Blue</t>
        </is>
      </c>
      <c r="G70" s="40" t="n"/>
      <c r="H70" s="39" t="n"/>
      <c r="I70" s="74" t="n">
        <v>31.99</v>
      </c>
      <c r="J70" s="75" t="inlineStr">
        <is>
          <t>2026-03-30</t>
        </is>
      </c>
      <c r="K70" s="40" t="n">
        <v>6.659999999999997</v>
      </c>
      <c r="L70" s="76" t="n">
        <v>0.2081900593935604</v>
      </c>
      <c r="M70" s="77" t="n">
        <v>0</v>
      </c>
      <c r="N70" s="39" t="inlineStr">
        <is>
          <t>Inactive</t>
        </is>
      </c>
      <c r="O70" s="39" t="n"/>
      <c r="P70" s="78" t="n"/>
      <c r="Q70" s="77" t="n"/>
      <c r="R70" s="77" t="n"/>
      <c r="S70" s="77" t="n"/>
      <c r="T70" s="39" t="n"/>
    </row>
    <row r="71" ht="62" customHeight="1">
      <c r="A71" s="12">
        <f>_xlfn.IMAGE("https://m.media-amazon.com/images/I/81qB8822yoL.jpg")</f>
        <v/>
      </c>
      <c r="B71" s="39" t="inlineStr">
        <is>
          <t>B0F7M51ZQR</t>
        </is>
      </c>
      <c r="C71" s="39" t="inlineStr">
        <is>
          <t>SL-COOLING-FITTED-QUEEN-LIGHT-BLUE</t>
        </is>
      </c>
      <c r="D71" s="39" t="inlineStr">
        <is>
          <t>SLEEPHORIA Cooling Fitted Sheet Queen Size - 1 PC BreezeWeave Cooling Sheets for Hot Sleepers &amp; Cool Rest w/ 16 in Deep Pocket - Corner Straps, Cloud Soft, Ultra Durable - 57 x 77 in (Light Blue)</t>
        </is>
      </c>
      <c r="E71" s="39" t="inlineStr">
        <is>
          <t>Queen</t>
        </is>
      </c>
      <c r="F71" s="39" t="inlineStr">
        <is>
          <t>Light Blue</t>
        </is>
      </c>
      <c r="G71" s="40" t="n"/>
      <c r="H71" s="39" t="n"/>
      <c r="I71" s="74" t="n">
        <v>31.99</v>
      </c>
      <c r="J71" s="75" t="inlineStr">
        <is>
          <t>2026-03-30</t>
        </is>
      </c>
      <c r="K71" s="40" t="n">
        <v>6.649999999999997</v>
      </c>
      <c r="L71" s="76" t="n">
        <v>0.2078774617067833</v>
      </c>
      <c r="M71" s="77" t="n"/>
      <c r="N71" s="39" t="inlineStr">
        <is>
          <t>Inactive</t>
        </is>
      </c>
      <c r="O71" s="39" t="n"/>
      <c r="P71" s="78" t="n"/>
      <c r="Q71" s="77" t="n"/>
      <c r="R71" s="77" t="n"/>
      <c r="S71" s="77" t="n"/>
      <c r="T71" s="39" t="n"/>
    </row>
    <row r="72" ht="62" customHeight="1">
      <c r="A72" s="12">
        <f>_xlfn.IMAGE("https://m.media-amazon.com/images/I/81yiInBJx6L.jpg")</f>
        <v/>
      </c>
      <c r="B72" s="39" t="inlineStr">
        <is>
          <t>B0F7M2K6G1</t>
        </is>
      </c>
      <c r="C72" s="39" t="inlineStr">
        <is>
          <t>SL-COOLING-FITTED-QUEEN-LIGHT-PINK</t>
        </is>
      </c>
      <c r="D72" s="39" t="inlineStr">
        <is>
          <t>SLEEPHORIA Cooling Fitted Sheet Queen Size - 1 PC BreezeWeave Cooling Sheets for Hot Sleepers &amp; Cool Rest w/ 16 in Deep Pocket - Corner Straps, Cloud Soft, Ultra Durable - 57 x 77 in (Light Pink)</t>
        </is>
      </c>
      <c r="E72" s="39" t="inlineStr">
        <is>
          <t>Queen</t>
        </is>
      </c>
      <c r="F72" s="39" t="inlineStr">
        <is>
          <t>Light Pink</t>
        </is>
      </c>
      <c r="G72" s="40" t="n"/>
      <c r="H72" s="39" t="n"/>
      <c r="I72" s="74" t="n">
        <v>31.99</v>
      </c>
      <c r="J72" s="75" t="inlineStr">
        <is>
          <t>2026-03-30</t>
        </is>
      </c>
      <c r="K72" s="40" t="n">
        <v>6.649999999999997</v>
      </c>
      <c r="L72" s="76" t="n">
        <v>0.2078774617067833</v>
      </c>
      <c r="M72" s="77" t="n"/>
      <c r="N72" s="39" t="inlineStr">
        <is>
          <t>Inactive</t>
        </is>
      </c>
      <c r="O72" s="39" t="n"/>
      <c r="P72" s="78" t="n"/>
      <c r="Q72" s="77" t="n"/>
      <c r="R72" s="77" t="n"/>
      <c r="S72" s="77" t="n"/>
      <c r="T72" s="39" t="n"/>
    </row>
    <row r="73" ht="62" customHeight="1">
      <c r="A73" s="12">
        <f>_xlfn.IMAGE("https://m.media-amazon.com/images/I/815Zr2bHyBL.jpg")</f>
        <v/>
      </c>
      <c r="B73" s="39" t="inlineStr">
        <is>
          <t>B0F7M2XVCN</t>
        </is>
      </c>
      <c r="C73" s="39" t="inlineStr">
        <is>
          <t>SL-COOLING-FITTED-TWIN-BEIGE</t>
        </is>
      </c>
      <c r="D73" s="39" t="inlineStr">
        <is>
          <t>SLEEPHORIA Cooling Fitted Sheet Twin Size - 1 PC BreezeWeave Cooling Sheets for Hot Sleepers &amp; Cool Rest w/ 16 in Deep Pocket - Corner Straps, Cloud Soft, Ultra Durable - 37 x 72 in (Beige)</t>
        </is>
      </c>
      <c r="E73" s="39" t="inlineStr">
        <is>
          <t>Twin</t>
        </is>
      </c>
      <c r="F73" s="39" t="inlineStr">
        <is>
          <t>Beige</t>
        </is>
      </c>
      <c r="G73" s="40" t="n"/>
      <c r="H73" s="39" t="n"/>
      <c r="I73" s="74" t="n">
        <v>26.99</v>
      </c>
      <c r="J73" s="75" t="inlineStr">
        <is>
          <t>2026-03-30</t>
        </is>
      </c>
      <c r="K73" s="40" t="n">
        <v>5.609999999999998</v>
      </c>
      <c r="L73" s="76" t="n">
        <v>0.2078547610226009</v>
      </c>
      <c r="M73" s="77" t="n"/>
      <c r="N73" s="39" t="inlineStr">
        <is>
          <t>Inactive</t>
        </is>
      </c>
      <c r="O73" s="39" t="n"/>
      <c r="P73" s="78" t="n"/>
      <c r="Q73" s="77" t="n"/>
      <c r="R73" s="77" t="n"/>
      <c r="S73" s="77" t="n"/>
      <c r="T73" s="39" t="n"/>
    </row>
    <row r="74" ht="62" customHeight="1">
      <c r="A74" s="12">
        <f>_xlfn.IMAGE("https://m.media-amazon.com/images/I/8101fCLlt+L.jpg")</f>
        <v/>
      </c>
      <c r="B74" s="39" t="inlineStr">
        <is>
          <t>B0F7M3LR2T</t>
        </is>
      </c>
      <c r="C74" s="39" t="inlineStr">
        <is>
          <t>SL-COOLING-FITTED-TWIN-CREAM</t>
        </is>
      </c>
      <c r="D74" s="39" t="inlineStr">
        <is>
          <t>SLEEPHORIA Cooling Fitted Sheet Twin Size - 1 PC BreezeWeave Cooling Sheets for Hot Sleepers &amp; Cool Rest w/ 16 in Deep Pocket - Corner Straps, Cloud Soft, Ultra Durable - 37 x 72 in (Cream)</t>
        </is>
      </c>
      <c r="E74" s="39" t="inlineStr">
        <is>
          <t>Twin</t>
        </is>
      </c>
      <c r="F74" s="39" t="inlineStr">
        <is>
          <t>Cream</t>
        </is>
      </c>
      <c r="G74" s="40" t="n"/>
      <c r="H74" s="39" t="n"/>
      <c r="I74" s="74" t="n">
        <v>26.99</v>
      </c>
      <c r="J74" s="75" t="inlineStr">
        <is>
          <t>2026-03-30</t>
        </is>
      </c>
      <c r="K74" s="40" t="n">
        <v>5.609999999999998</v>
      </c>
      <c r="L74" s="76" t="n">
        <v>0.2078547610226009</v>
      </c>
      <c r="M74" s="77" t="n"/>
      <c r="N74" s="39" t="inlineStr">
        <is>
          <t>Inactive</t>
        </is>
      </c>
      <c r="O74" s="39" t="n"/>
      <c r="P74" s="78" t="n"/>
      <c r="Q74" s="77" t="n"/>
      <c r="R74" s="77" t="n"/>
      <c r="S74" s="77" t="n"/>
      <c r="T74" s="39" t="n"/>
    </row>
    <row r="75" ht="62" customHeight="1">
      <c r="A75" s="12">
        <f>_xlfn.IMAGE("https://m.media-amazon.com/images/I/81-LAAiOPsL.jpg")</f>
        <v/>
      </c>
      <c r="B75" s="39" t="inlineStr">
        <is>
          <t>B0F7M6WTWR</t>
        </is>
      </c>
      <c r="C75" s="39" t="inlineStr">
        <is>
          <t>SL-COOLING-FITTED-TWIN-GRAPHITE</t>
        </is>
      </c>
      <c r="D75" s="39" t="inlineStr">
        <is>
          <t>SLEEPHORIA Cooling Fitted Sheet Twin Size - 1 PC BreezeWeave Cooling Sheets for Hot Sleepers &amp; Cool Rest w/ 16 in Deep Pocket - Corner Straps, Cloud Soft, Ultra Durable - 37 x 72 in (Graphite)</t>
        </is>
      </c>
      <c r="E75" s="39" t="inlineStr">
        <is>
          <t>Twin</t>
        </is>
      </c>
      <c r="F75" s="39" t="inlineStr">
        <is>
          <t>Graphite</t>
        </is>
      </c>
      <c r="G75" s="40" t="n"/>
      <c r="H75" s="39" t="n"/>
      <c r="I75" s="74" t="n">
        <v>26.99</v>
      </c>
      <c r="J75" s="75" t="inlineStr">
        <is>
          <t>2026-03-30</t>
        </is>
      </c>
      <c r="K75" s="40" t="n">
        <v>6.909999999999997</v>
      </c>
      <c r="L75" s="76" t="n">
        <v>0.2560207484253426</v>
      </c>
      <c r="M75" s="77" t="n"/>
      <c r="N75" s="39" t="inlineStr">
        <is>
          <t>Inactive</t>
        </is>
      </c>
      <c r="O75" s="39" t="n"/>
      <c r="P75" s="78" t="n"/>
      <c r="Q75" s="77" t="n"/>
      <c r="R75" s="77" t="n"/>
      <c r="S75" s="77" t="n"/>
      <c r="T75" s="39" t="n"/>
    </row>
    <row r="76" ht="62" customHeight="1">
      <c r="A76" s="12">
        <f>_xlfn.IMAGE("https://m.media-amazon.com/images/I/81qB8822yoL.jpg")</f>
        <v/>
      </c>
      <c r="B76" s="39" t="inlineStr">
        <is>
          <t>B0F7M5CWG3</t>
        </is>
      </c>
      <c r="C76" s="39" t="inlineStr">
        <is>
          <t>SL-COOLING-FITTED-TWIN-LIGHT-BLUE</t>
        </is>
      </c>
      <c r="D76" s="39" t="inlineStr">
        <is>
          <t>SLEEPHORIA Cooling Fitted Sheet Twin Size - 1 PC BreezeWeave Cooling Sheets for Hot Sleepers &amp; Cool Rest w/ 16 in Deep Pocket - Corner Straps, Cloud Soft, Ultra Durable - 37 x 72 in (Light Blue)</t>
        </is>
      </c>
      <c r="E76" s="39" t="inlineStr">
        <is>
          <t>Twin</t>
        </is>
      </c>
      <c r="F76" s="39" t="inlineStr">
        <is>
          <t>Light Blue</t>
        </is>
      </c>
      <c r="G76" s="40" t="n"/>
      <c r="H76" s="39" t="n"/>
      <c r="I76" s="74" t="n">
        <v>26.99</v>
      </c>
      <c r="J76" s="75" t="inlineStr">
        <is>
          <t>2026-03-30</t>
        </is>
      </c>
      <c r="K76" s="40" t="n">
        <v>6.909999999999997</v>
      </c>
      <c r="L76" s="76" t="n">
        <v>0.2560207484253426</v>
      </c>
      <c r="M76" s="77" t="n"/>
      <c r="N76" s="39" t="inlineStr">
        <is>
          <t>Inactive</t>
        </is>
      </c>
      <c r="O76" s="39" t="n"/>
      <c r="P76" s="78" t="n"/>
      <c r="Q76" s="77" t="n"/>
      <c r="R76" s="77" t="n"/>
      <c r="S76" s="77" t="n"/>
      <c r="T76" s="39" t="n"/>
    </row>
    <row r="77" ht="62" customHeight="1">
      <c r="A77" s="12">
        <f>_xlfn.IMAGE("https://m.media-amazon.com/images/I/81AUUOONndL.jpg")</f>
        <v/>
      </c>
      <c r="B77" s="39" t="inlineStr">
        <is>
          <t>B0F7M3YTBN</t>
        </is>
      </c>
      <c r="C77" s="39" t="inlineStr">
        <is>
          <t>SL-COOLING-FITTED-TWIN-LIGHT-GREY</t>
        </is>
      </c>
      <c r="D77" s="39" t="inlineStr">
        <is>
          <t>SLEEPHORIA Cooling Fitted Sheet Twin Size - 1 PC BreezeWeave Cooling Sheets for Hot Sleepers &amp; Cool Rest w/ 16 in Deep Pocket - Corner Straps, Cloud Soft, Ultra Durable - 37 x 72 in (Light Grey)</t>
        </is>
      </c>
      <c r="E77" s="39" t="inlineStr">
        <is>
          <t>Twin</t>
        </is>
      </c>
      <c r="F77" s="39" t="inlineStr">
        <is>
          <t>Light Grey</t>
        </is>
      </c>
      <c r="G77" s="40" t="n"/>
      <c r="H77" s="39" t="n"/>
      <c r="I77" s="74" t="n">
        <v>26.99</v>
      </c>
      <c r="J77" s="75" t="inlineStr">
        <is>
          <t>2026-03-30</t>
        </is>
      </c>
      <c r="K77" s="40" t="n">
        <v>6.909999999999997</v>
      </c>
      <c r="L77" s="76" t="n">
        <v>0.2560207484253426</v>
      </c>
      <c r="M77" s="77" t="n"/>
      <c r="N77" s="39" t="inlineStr">
        <is>
          <t>Inactive</t>
        </is>
      </c>
      <c r="O77" s="39" t="n"/>
      <c r="P77" s="78" t="n"/>
      <c r="Q77" s="77" t="n"/>
      <c r="R77" s="77" t="n"/>
      <c r="S77" s="77" t="n"/>
      <c r="T77" s="39" t="n"/>
    </row>
    <row r="78" ht="62" customHeight="1">
      <c r="A78" s="12">
        <f>_xlfn.IMAGE("https://m.media-amazon.com/images/I/81yiInBJx6L.jpg")</f>
        <v/>
      </c>
      <c r="B78" s="39" t="inlineStr">
        <is>
          <t>B0F7M5ZRB9</t>
        </is>
      </c>
      <c r="C78" s="39" t="inlineStr">
        <is>
          <t>SL-COOLING-FITTED-TWIN-LIGHT-PINK</t>
        </is>
      </c>
      <c r="D78" s="39" t="inlineStr">
        <is>
          <t>SLEEPHORIA Cooling Fitted Sheet Twin Size - 1 PC BreezeWeave Cooling Sheets for Hot Sleepers &amp; Cool Rest w/ 16 in Deep Pocket - Corner Straps, Cloud Soft, Ultra Durable - 37 x 72 in (Light Pink)</t>
        </is>
      </c>
      <c r="E78" s="39" t="inlineStr">
        <is>
          <t>Twin</t>
        </is>
      </c>
      <c r="F78" s="39" t="inlineStr">
        <is>
          <t>Light Pink</t>
        </is>
      </c>
      <c r="G78" s="73" t="n">
        <v>32.99</v>
      </c>
      <c r="H78" s="39" t="inlineStr">
        <is>
          <t>catalog price, 2026-10-13</t>
        </is>
      </c>
      <c r="I78" s="74" t="n">
        <v>26.99</v>
      </c>
      <c r="J78" s="75" t="inlineStr">
        <is>
          <t>2026-03-30</t>
        </is>
      </c>
      <c r="K78" s="40" t="n">
        <v>6.909999999999997</v>
      </c>
      <c r="L78" s="76" t="n">
        <v>0.2560207484253426</v>
      </c>
      <c r="M78" s="77" t="n">
        <v>0</v>
      </c>
      <c r="N78" s="39" t="inlineStr">
        <is>
          <t>Active</t>
        </is>
      </c>
      <c r="O78" s="39" t="n"/>
      <c r="P78" s="78" t="n">
        <v>4.6</v>
      </c>
      <c r="Q78" s="77" t="n">
        <v>496</v>
      </c>
      <c r="R78" s="77" t="n">
        <v>49030</v>
      </c>
      <c r="S78" s="77" t="n">
        <v>5</v>
      </c>
      <c r="T78" s="39" t="n"/>
    </row>
    <row r="79" ht="62" customHeight="1">
      <c r="A79" s="12">
        <f>_xlfn.IMAGE("https://m.media-amazon.com/images/I/814rCVRR52L.jpg")</f>
        <v/>
      </c>
      <c r="B79" s="39" t="inlineStr">
        <is>
          <t>B0F7M4R2SS</t>
        </is>
      </c>
      <c r="C79" s="39" t="inlineStr">
        <is>
          <t>SL-COOLING-FITTED-TWIN-NAVY-BLUE</t>
        </is>
      </c>
      <c r="D79" s="39" t="inlineStr">
        <is>
          <t>SLEEPHORIA Cooling Fitted Sheet Twin Size - 1 PC BreezeWeave Cooling Sheets for Hot Sleepers &amp; Cool Rest w/ 16 in Deep Pocket - Corner Straps, Cloud Soft, Ultra Durable - 37 x 72 in (Navy Blue)</t>
        </is>
      </c>
      <c r="E79" s="39" t="inlineStr">
        <is>
          <t>Twin</t>
        </is>
      </c>
      <c r="F79" s="39" t="inlineStr">
        <is>
          <t>Navy Blue</t>
        </is>
      </c>
      <c r="G79" s="40" t="n"/>
      <c r="H79" s="39" t="n"/>
      <c r="I79" s="74" t="n">
        <v>26.99</v>
      </c>
      <c r="J79" s="75" t="inlineStr">
        <is>
          <t>2026-03-30</t>
        </is>
      </c>
      <c r="K79" s="40" t="n">
        <v>6.909999999999997</v>
      </c>
      <c r="L79" s="76" t="n">
        <v>0.2560207484253426</v>
      </c>
      <c r="M79" s="77" t="n"/>
      <c r="N79" s="39" t="inlineStr">
        <is>
          <t>Inactive</t>
        </is>
      </c>
      <c r="O79" s="39" t="n"/>
      <c r="P79" s="78" t="n"/>
      <c r="Q79" s="77" t="n"/>
      <c r="R79" s="77" t="n"/>
      <c r="S79" s="77" t="n"/>
      <c r="T79" s="39" t="n"/>
    </row>
    <row r="80" ht="62" customHeight="1">
      <c r="A80" s="12">
        <f>_xlfn.IMAGE("https://m.media-amazon.com/images/I/81pizSJLziL.jpg")</f>
        <v/>
      </c>
      <c r="B80" s="39" t="inlineStr">
        <is>
          <t>B0F7M5MGSY</t>
        </is>
      </c>
      <c r="C80" s="39" t="inlineStr">
        <is>
          <t>SL-COOLING-FITTED-TWIN-REGAL-PURPLE</t>
        </is>
      </c>
      <c r="D80" s="39" t="inlineStr">
        <is>
          <t>SLEEPHORIA Cooling Fitted Sheet Twin Size - 1 PC BreezeWeave Cooling Sheets for Hot Sleepers &amp; Cool Rest w/ 16 in Deep Pocket - Corner Straps, Cloud Soft, Ultra Durable - 37 x 72 in (Regal Purple)</t>
        </is>
      </c>
      <c r="E80" s="39" t="inlineStr">
        <is>
          <t>Twin</t>
        </is>
      </c>
      <c r="F80" s="39" t="inlineStr">
        <is>
          <t>Regal Purple</t>
        </is>
      </c>
      <c r="G80" s="40" t="n"/>
      <c r="H80" s="39" t="n"/>
      <c r="I80" s="74" t="n">
        <v>26.99</v>
      </c>
      <c r="J80" s="75" t="inlineStr">
        <is>
          <t>2026-03-30</t>
        </is>
      </c>
      <c r="K80" s="40" t="n">
        <v>6.909999999999997</v>
      </c>
      <c r="L80" s="76" t="n">
        <v>0.2560207484253426</v>
      </c>
      <c r="M80" s="77" t="n"/>
      <c r="N80" s="39" t="inlineStr">
        <is>
          <t>Inactive</t>
        </is>
      </c>
      <c r="O80" s="39" t="n"/>
      <c r="P80" s="78" t="n"/>
      <c r="Q80" s="77" t="n"/>
      <c r="R80" s="77" t="n"/>
      <c r="S80" s="77" t="n"/>
      <c r="T80" s="39" t="n"/>
    </row>
    <row r="81" ht="62" customHeight="1">
      <c r="A81" s="12">
        <f>_xlfn.IMAGE("https://m.media-amazon.com/images/I/81Tr9Bh8YxL.jpg")</f>
        <v/>
      </c>
      <c r="B81" s="39" t="inlineStr">
        <is>
          <t>B0F7M5DG4X</t>
        </is>
      </c>
      <c r="C81" s="39" t="inlineStr">
        <is>
          <t>SL-COOLING-FITTED-TWIN-SAGE-GREEN</t>
        </is>
      </c>
      <c r="D81" s="39" t="inlineStr">
        <is>
          <t>SLEEPHORIA Cooling Fitted Sheet Twin Size - 1 PC BreezeWeave Cooling Sheets for Hot Sleepers &amp; Cool Rest w/ 16 in Deep Pocket - Corner Straps, Cloud Soft, Ultra Durable - 37 x 72 in (Sage Green)</t>
        </is>
      </c>
      <c r="E81" s="39" t="inlineStr">
        <is>
          <t>Twin</t>
        </is>
      </c>
      <c r="F81" s="39" t="inlineStr">
        <is>
          <t>Sage Green</t>
        </is>
      </c>
      <c r="G81" s="40" t="n"/>
      <c r="H81" s="39" t="n"/>
      <c r="I81" s="74" t="n">
        <v>26.99</v>
      </c>
      <c r="J81" s="75" t="inlineStr">
        <is>
          <t>2026-03-30</t>
        </is>
      </c>
      <c r="K81" s="40" t="n">
        <v>6.909999999999997</v>
      </c>
      <c r="L81" s="76" t="n">
        <v>0.2560207484253426</v>
      </c>
      <c r="M81" s="77" t="n"/>
      <c r="N81" s="39" t="inlineStr">
        <is>
          <t>Inactive</t>
        </is>
      </c>
      <c r="O81" s="39" t="n"/>
      <c r="P81" s="78" t="n"/>
      <c r="Q81" s="77" t="n"/>
      <c r="R81" s="77" t="n"/>
      <c r="S81" s="77" t="n"/>
      <c r="T81" s="39" t="n"/>
    </row>
    <row r="82" ht="62" customHeight="1">
      <c r="A82" s="12">
        <f>_xlfn.IMAGE("https://m.media-amazon.com/images/I/81G7yE5OfqL.jpg")</f>
        <v/>
      </c>
      <c r="B82" s="39" t="inlineStr">
        <is>
          <t>B0F7M77MRJ</t>
        </is>
      </c>
      <c r="C82" s="39" t="inlineStr">
        <is>
          <t>SL-COOLING-FITTED-TWIN-WHITE</t>
        </is>
      </c>
      <c r="D82" s="39" t="inlineStr">
        <is>
          <t>SLEEPHORIA Cooling Fitted Sheet Twin Size - 1 PC BreezeWeave Cooling Sheets for Hot Sleepers &amp; Cool Rest w/ 16 in Deep Pocket - Corner Straps, Cloud Soft, Ultra Durable - 37 x 72 in (White)</t>
        </is>
      </c>
      <c r="E82" s="39" t="inlineStr">
        <is>
          <t>Twin</t>
        </is>
      </c>
      <c r="F82" s="39" t="inlineStr">
        <is>
          <t>White</t>
        </is>
      </c>
      <c r="G82" s="73" t="n">
        <v>32.99</v>
      </c>
      <c r="H82" s="39" t="inlineStr">
        <is>
          <t>catalog price, 2026-10-13</t>
        </is>
      </c>
      <c r="I82" s="74" t="n">
        <v>26.99</v>
      </c>
      <c r="J82" s="75" t="inlineStr">
        <is>
          <t>2026-03-30</t>
        </is>
      </c>
      <c r="K82" s="40" t="n">
        <v>6.909999999999997</v>
      </c>
      <c r="L82" s="76" t="n">
        <v>0.2560207484253426</v>
      </c>
      <c r="M82" s="77" t="n">
        <v>0</v>
      </c>
      <c r="N82" s="39" t="inlineStr">
        <is>
          <t>Active</t>
        </is>
      </c>
      <c r="O82" s="39" t="n"/>
      <c r="P82" s="78" t="n">
        <v>4.6</v>
      </c>
      <c r="Q82" s="77" t="n">
        <v>496</v>
      </c>
      <c r="R82" s="77" t="n">
        <v>49030</v>
      </c>
      <c r="S82" s="77" t="n">
        <v>27</v>
      </c>
      <c r="T82" s="39" t="n"/>
    </row>
    <row r="83"/>
    <row r="84" ht="22" customHeight="1">
      <c r="A84" s="65" t="inlineStr">
        <is>
          <t>3 ▼</t>
        </is>
      </c>
      <c r="B84" s="66" t="inlineStr">
        <is>
          <t>OUR BFCM 2025 RESULT &amp; EVENT VISIBILITY</t>
        </is>
      </c>
      <c r="C84" s="67" t="n"/>
      <c r="D84" s="67" t="n"/>
      <c r="E84" s="67" t="n"/>
      <c r="F84" s="67" t="n"/>
      <c r="G84" s="67" t="n"/>
      <c r="H84" s="67" t="n"/>
      <c r="I84" s="67" t="n"/>
      <c r="J84" s="67" t="n"/>
      <c r="K84" s="67" t="n"/>
      <c r="L84" s="67" t="n"/>
      <c r="M84" s="67" t="n"/>
      <c r="N84" s="67" t="n"/>
      <c r="O84" s="67" t="n"/>
      <c r="P84" s="67" t="n"/>
      <c r="Q84" s="67" t="n"/>
      <c r="R84" s="67" t="n"/>
      <c r="S84" s="67" t="n"/>
      <c r="T84" s="67" t="n"/>
      <c r="U84" s="67" t="n"/>
      <c r="V84" s="67" t="n"/>
      <c r="W84" s="67" t="n"/>
      <c r="X84" s="67" t="n"/>
      <c r="Y84" s="67" t="n"/>
      <c r="Z84" s="67" t="n"/>
      <c r="AA84" s="67" t="n"/>
      <c r="AB84" s="67" t="n"/>
      <c r="AC84" s="67" t="n"/>
      <c r="AD84" s="67" t="n"/>
      <c r="AE84" s="67" t="n"/>
      <c r="AF84" s="67" t="n"/>
      <c r="AG84" s="67" t="n"/>
      <c r="AH84" s="67" t="n"/>
      <c r="AI84" s="67" t="n"/>
      <c r="AJ84" s="67" t="n"/>
      <c r="AK84" s="67" t="n"/>
      <c r="AL84" s="67" t="n"/>
      <c r="AM84" s="67" t="n"/>
      <c r="AN84" s="67" t="n"/>
      <c r="AO84" s="67" t="n"/>
      <c r="AP84" s="67" t="n"/>
      <c r="AQ84" s="67" t="n"/>
      <c r="AR84" s="67" t="n"/>
      <c r="AS84" s="67" t="n"/>
      <c r="AT84" s="67" t="n"/>
      <c r="AU84" s="67" t="n"/>
      <c r="AV84" s="67" t="n"/>
      <c r="AW84" s="67" t="n"/>
      <c r="AX84" s="67" t="n"/>
      <c r="AY84" s="67" t="n"/>
      <c r="AZ84" s="67" t="n"/>
      <c r="BA84" s="67" t="n"/>
      <c r="BB84" s="67" t="n"/>
      <c r="BC84" s="67" t="n"/>
      <c r="BD84" s="67" t="n"/>
      <c r="BE84" s="67" t="n"/>
      <c r="BF84" s="67" t="n"/>
      <c r="BG84" s="67" t="n"/>
      <c r="BH84" s="67" t="n"/>
      <c r="BI84" s="67" t="n"/>
      <c r="BJ84" s="67" t="n"/>
      <c r="BK84" s="67" t="n"/>
    </row>
    <row r="85">
      <c r="A85" s="80" t="inlineStr">
        <is>
          <t>Window</t>
        </is>
      </c>
      <c r="B85" s="81" t="n"/>
      <c r="C85" s="82" t="n"/>
      <c r="D85" s="80" t="inlineStr">
        <is>
          <t>Ad spend</t>
        </is>
      </c>
      <c r="E85" s="80" t="inlineStr">
        <is>
          <t>Ad sales</t>
        </is>
      </c>
      <c r="F85" s="80" t="inlineStr">
        <is>
          <t>ACoS</t>
        </is>
      </c>
      <c r="G85" s="80" t="inlineStr">
        <is>
          <t>TACoS</t>
        </is>
      </c>
      <c r="H85" s="80" t="inlineStr">
        <is>
          <t>Total sales (derived)</t>
        </is>
      </c>
      <c r="J85" s="80" t="inlineStr">
        <is>
          <t>Ad orders</t>
        </is>
      </c>
      <c r="K85" s="80" t="inlineStr">
        <is>
          <t>CVR</t>
        </is>
      </c>
    </row>
    <row r="86">
      <c r="A86" s="83" t="inlineStr">
        <is>
          <t>Pre-event Oct 21 - Nov 19, 2025 (30d)</t>
        </is>
      </c>
      <c r="B86" s="81" t="n"/>
      <c r="C86" s="82" t="n"/>
      <c r="D86" s="84" t="n">
        <v>0</v>
      </c>
      <c r="E86" s="84" t="n">
        <v>0</v>
      </c>
      <c r="F86" s="85" t="n"/>
      <c r="G86" s="85" t="n">
        <v>0</v>
      </c>
      <c r="H86" s="84" t="n"/>
      <c r="J86" s="86" t="n">
        <v>0</v>
      </c>
      <c r="K86" s="87" t="n"/>
    </row>
    <row r="87">
      <c r="A87" s="83" t="inlineStr">
        <is>
          <t>BFCM week Nov 20 - Dec 1, 2025 (12d)</t>
        </is>
      </c>
      <c r="B87" s="81" t="n"/>
      <c r="C87" s="82" t="n"/>
      <c r="D87" s="84" t="n">
        <v>0</v>
      </c>
      <c r="E87" s="84" t="n">
        <v>0</v>
      </c>
      <c r="F87" s="85" t="n"/>
      <c r="G87" s="85" t="n">
        <v>0</v>
      </c>
      <c r="H87" s="84" t="n"/>
      <c r="J87" s="86" t="n">
        <v>0</v>
      </c>
      <c r="K87" s="87" t="n"/>
    </row>
    <row r="88">
      <c r="A88" s="83" t="inlineStr">
        <is>
          <t>December 2 - 31, 2025 (30d)</t>
        </is>
      </c>
      <c r="B88" s="81" t="n"/>
      <c r="C88" s="82" t="n"/>
      <c r="D88" s="84" t="n">
        <v>0</v>
      </c>
      <c r="E88" s="84" t="n">
        <v>0</v>
      </c>
      <c r="F88" s="85" t="n"/>
      <c r="G88" s="85" t="n">
        <v>0</v>
      </c>
      <c r="H88" s="84" t="n"/>
      <c r="J88" s="86" t="n">
        <v>0</v>
      </c>
      <c r="K88" s="87" t="n"/>
    </row>
    <row r="89"/>
    <row r="90">
      <c r="A90" s="80" t="inlineStr">
        <is>
          <t>Actual sales (account data)</t>
        </is>
      </c>
      <c r="B90" s="81" t="n"/>
      <c r="C90" s="82" t="n"/>
      <c r="D90" s="80" t="inlineStr">
        <is>
          <t>Sales</t>
        </is>
      </c>
      <c r="E90" s="80" t="inlineStr">
        <is>
          <t>Units</t>
        </is>
      </c>
      <c r="F90" s="80" t="inlineStr">
        <is>
          <t>Organic units</t>
        </is>
      </c>
      <c r="G90" s="80" t="inlineStr">
        <is>
          <t>Ad units</t>
        </is>
      </c>
      <c r="H90" s="80" t="inlineStr">
        <is>
          <t>Ad cost</t>
        </is>
      </c>
      <c r="J90" s="80" t="inlineStr">
        <is>
          <t>TACoS (actual)</t>
        </is>
      </c>
      <c r="K90" s="80" t="inlineStr">
        <is>
          <t>Sessions</t>
        </is>
      </c>
      <c r="L90" s="80" t="inlineStr">
        <is>
          <t>Unit session %</t>
        </is>
      </c>
      <c r="M90" s="80" t="inlineStr">
        <is>
          <t>Avg price</t>
        </is>
      </c>
      <c r="N90" s="80" t="inlineStr">
        <is>
          <t>Refunds</t>
        </is>
      </c>
    </row>
    <row r="91">
      <c r="A91" s="83" t="inlineStr">
        <is>
          <t>Pre-event Oct 21 - Nov 19, 2025 (30d)</t>
        </is>
      </c>
      <c r="B91" s="81" t="n"/>
      <c r="C91" s="82" t="n"/>
      <c r="D91" s="84" t="n">
        <v>6199.32</v>
      </c>
      <c r="E91" s="86" t="n">
        <v>269</v>
      </c>
      <c r="F91" s="86" t="n">
        <v>269</v>
      </c>
      <c r="G91" s="86" t="n">
        <v>0</v>
      </c>
      <c r="H91" s="84" t="n">
        <v>0</v>
      </c>
      <c r="J91" s="88" t="n">
        <v>0</v>
      </c>
      <c r="K91" s="86" t="n">
        <v>3758</v>
      </c>
      <c r="L91" s="88" t="n">
        <v>0.07158062799361363</v>
      </c>
      <c r="M91" s="89" t="n">
        <v>23.04579925650557</v>
      </c>
      <c r="N91" s="86" t="n">
        <v>5</v>
      </c>
    </row>
    <row r="92">
      <c r="A92" s="83" t="inlineStr">
        <is>
          <t>BFCM week Nov 20 - Dec 1, 2025 (12d)</t>
        </is>
      </c>
      <c r="B92" s="81" t="n"/>
      <c r="C92" s="82" t="n"/>
      <c r="D92" s="84" t="n">
        <v>2436.98</v>
      </c>
      <c r="E92" s="86" t="n">
        <v>102</v>
      </c>
      <c r="F92" s="86" t="n">
        <v>102</v>
      </c>
      <c r="G92" s="86" t="n">
        <v>0</v>
      </c>
      <c r="H92" s="84" t="n">
        <v>0</v>
      </c>
      <c r="J92" s="88" t="n">
        <v>0</v>
      </c>
      <c r="K92" s="86" t="n">
        <v>753</v>
      </c>
      <c r="L92" s="88" t="n">
        <v>0.1354581673306773</v>
      </c>
      <c r="M92" s="89" t="n">
        <v>23.89196078431372</v>
      </c>
      <c r="N92" s="86" t="n">
        <v>2</v>
      </c>
    </row>
    <row r="93">
      <c r="A93" s="83" t="inlineStr">
        <is>
          <t>December 2 - 31, 2025 (30d)</t>
        </is>
      </c>
      <c r="B93" s="81" t="n"/>
      <c r="C93" s="82" t="n"/>
      <c r="D93" s="84" t="n">
        <v>8842.280000000001</v>
      </c>
      <c r="E93" s="86" t="n">
        <v>373</v>
      </c>
      <c r="F93" s="86" t="n">
        <v>373</v>
      </c>
      <c r="G93" s="86" t="n">
        <v>0</v>
      </c>
      <c r="H93" s="84" t="n">
        <v>0</v>
      </c>
      <c r="J93" s="88" t="n">
        <v>0</v>
      </c>
      <c r="K93" s="86" t="n">
        <v>2737</v>
      </c>
      <c r="L93" s="88" t="n">
        <v>0.1362805991962002</v>
      </c>
      <c r="M93" s="89" t="n">
        <v>23.70584450402145</v>
      </c>
      <c r="N93" s="86" t="n">
        <v>14</v>
      </c>
    </row>
    <row r="94">
      <c r="A94" s="90" t="inlineStr">
        <is>
          <t>account data, Amazon parent B0GR6GBJYC plus any of this product's child ASINs account data lists on their own, UTC days. Lift above uses these actual sales.</t>
        </is>
      </c>
    </row>
    <row r="95" ht="18" customHeight="1">
      <c r="A95" s="92" t="inlineStr">
        <is>
          <t>BFCM 2026 plan: Lightning Deal 11/25 (Best Deal requested: Lightning Deal Nov 25 cancelled in Seller Central while a Best Deal is pursued; if not granted it is rescheduled as a Lightning Deal). Deal price and depth not yet given; not yet visible in Amazon's deal feed.</t>
        </is>
      </c>
    </row>
    <row r="96" ht="30" customHeight="1">
      <c r="A96" s="93" t="inlineStr">
        <is>
          <t>BFCM deal status: Nov 25 Lightning Deal cancelled in Seller Central while a Best Deal is pursued; if not granted it is rescheduled as a Lightning Deal.</t>
        </is>
      </c>
    </row>
    <row r="97" ht="30" customHeight="1">
      <c r="A97" s="94" t="inlineStr">
        <is>
          <t>BFCM 2026 stock (account data, Oct 15): 2,604 units at Amazon + 1,461 already sent (no ETA in account data); selling 26.2 a day; need about 1,198 to Nov 30 with a 0.98x BFCM lift (own BFCM 2025 lift (account data)). Variations: 42 covered, 0 need the inbound in time, 6 short even with inbound (77 units), 3 out of stock now. Detail: BFCM Stock tab.</t>
        </is>
      </c>
    </row>
    <row r="98" ht="18" customHeight="1">
      <c r="A98" s="95" t="inlineStr">
        <is>
          <t>ASSUMED 2026 deal prices, until the team's final: B0F7M3YQ5R today $39.99; $33.99 at 15% off (Nov 19-26) and $31.99 at 20% off (Nov 27-30, Black Friday to Cyber Monday). Rule: team rule agreed Oct 15, 2026. Evidence: our BFCM 2025 deal on B0F7M3YQ5R (US, price history): $24.99 before, $24.99 during, 0% off; US competitors' median price cut in BFCM 2025: 17% (2 rivals). Amazon may use a lower reference price than today's (it sets it the day before the deal), which would lower the deal price.</t>
        </is>
      </c>
    </row>
    <row r="99" ht="30" customHeight="1">
      <c r="A99" s="91" t="inlineStr">
        <is>
          <t>Our hero child B0F7M3YQ5R in price history (market data, US): price $24.99 before (median Nov 1-19) → $24.99 in BFCM week (median Nov 20 - Dec 1), no cut; lowest $24.99. Price is price history's lowest new offer (price history holds no Buy Box series for our own ASINs; we are the only seller).</t>
        </is>
      </c>
    </row>
    <row r="100" ht="40" customHeight="1">
      <c r="A100" s="91" t="inlineStr">
        <is>
          <t>Stock in BFCM week 2025 (FBA inventory snapshots, child-ASIN level, revision 2): 0 of 65 variations hit zero FBA stock on at least one observed day; weighted by today's sales mix that is ~0.0% of variation-days lost. Days with no snapshot (Nov 26-27 and Dec 1, Cyber Monday), inferred from sales that day and the readings either side: 192 of 195 variation-days in stock, 0 out of stock, 3 unknown. Inferred, not a stock reading.</t>
        </is>
      </c>
    </row>
    <row r="101">
      <c r="A101" s="90" t="inlineStr">
        <is>
          <t>market data visibility for our best child B0F7M3YQ5R: organic score None before BFCM 2025 → None in BFCM week; Prime Day 2026 0.0 → 0.0; Aug-Sep 2026 30.2.</t>
        </is>
      </c>
    </row>
    <row r="102"/>
    <row r="103" ht="22" customHeight="1">
      <c r="A103" s="65" t="inlineStr">
        <is>
          <t>4 ▼</t>
        </is>
      </c>
      <c r="B103" s="66" t="inlineStr">
        <is>
          <t>COMPETITOR LANDSCAPE (11 mapped)</t>
        </is>
      </c>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c r="AL103" s="67" t="n"/>
      <c r="AM103" s="67" t="n"/>
      <c r="AN103" s="67" t="n"/>
      <c r="AO103" s="67" t="n"/>
      <c r="AP103" s="67" t="n"/>
      <c r="AQ103" s="67" t="n"/>
      <c r="AR103" s="67" t="n"/>
      <c r="AS103" s="67" t="n"/>
      <c r="AT103" s="67" t="n"/>
      <c r="AU103" s="67" t="n"/>
      <c r="AV103" s="67" t="n"/>
      <c r="AW103" s="67" t="n"/>
      <c r="AX103" s="67" t="n"/>
      <c r="AY103" s="67" t="n"/>
      <c r="AZ103" s="67" t="n"/>
      <c r="BA103" s="67" t="n"/>
      <c r="BB103" s="67" t="n"/>
      <c r="BC103" s="67" t="n"/>
      <c r="BD103" s="67" t="n"/>
      <c r="BE103" s="67" t="n"/>
      <c r="BF103" s="67" t="n"/>
      <c r="BG103" s="67" t="n"/>
      <c r="BH103" s="67" t="n"/>
      <c r="BI103" s="67" t="n"/>
      <c r="BJ103" s="67" t="n"/>
      <c r="BK103" s="67" t="n"/>
    </row>
    <row r="104" ht="20" customHeight="1">
      <c r="A104" s="96" t="inlineStr">
        <is>
          <t>▼▼▼</t>
        </is>
      </c>
      <c r="B104" s="97" t="inlineStr">
        <is>
          <t>COMPETITOR DATA BELOW: one row per competitor (3 direct first, then alternative material). Scroll right for listing, search, strikethrough now and BFCM 2025 history (deal type, price, discount, rank change).</t>
        </is>
      </c>
      <c r="C104" s="98" t="n"/>
      <c r="D104" s="98" t="n"/>
      <c r="E104" s="98" t="n"/>
      <c r="F104" s="98" t="n"/>
      <c r="G104" s="98" t="n"/>
      <c r="H104" s="98" t="n"/>
      <c r="I104" s="98" t="n"/>
      <c r="J104" s="98" t="n"/>
      <c r="K104" s="98" t="n"/>
      <c r="L104" s="98" t="n"/>
      <c r="M104" s="98" t="n"/>
      <c r="N104" s="98" t="n"/>
      <c r="O104" s="98" t="n"/>
      <c r="P104" s="98" t="n"/>
      <c r="Q104" s="98" t="n"/>
      <c r="R104" s="98" t="n"/>
      <c r="S104" s="98" t="n"/>
      <c r="T104" s="98" t="n"/>
      <c r="U104" s="98" t="n"/>
      <c r="V104" s="98" t="n"/>
      <c r="W104" s="98" t="n"/>
      <c r="X104" s="98" t="n"/>
      <c r="Y104" s="98" t="n"/>
      <c r="Z104" s="98" t="n"/>
      <c r="AA104" s="98" t="n"/>
      <c r="AB104" s="98" t="n"/>
      <c r="AC104" s="98" t="n"/>
      <c r="AD104" s="98" t="n"/>
      <c r="AE104" s="98" t="n"/>
      <c r="AF104" s="98" t="n"/>
      <c r="AG104" s="98" t="n"/>
      <c r="AH104" s="98" t="n"/>
      <c r="AI104" s="98" t="n"/>
      <c r="AJ104" s="98" t="n"/>
      <c r="AK104" s="98" t="n"/>
      <c r="AL104" s="98" t="n"/>
      <c r="AM104" s="98" t="n"/>
      <c r="AN104" s="98" t="n"/>
      <c r="AO104" s="98" t="n"/>
      <c r="AP104" s="98" t="n"/>
      <c r="AQ104" s="98" t="n"/>
      <c r="AR104" s="98" t="n"/>
      <c r="AS104" s="98" t="n"/>
      <c r="AT104" s="98" t="n"/>
      <c r="AU104" s="98" t="n"/>
      <c r="AV104" s="98" t="n"/>
      <c r="AW104" s="98" t="n"/>
      <c r="AX104" s="98" t="n"/>
      <c r="AY104" s="98" t="n"/>
      <c r="AZ104" s="98" t="n"/>
      <c r="BA104" s="98" t="n"/>
      <c r="BB104" s="98" t="n"/>
      <c r="BC104" s="98" t="n"/>
      <c r="BD104" s="98" t="n"/>
      <c r="BE104" s="98" t="n"/>
      <c r="BF104" s="98" t="n"/>
      <c r="BG104" s="98" t="n"/>
      <c r="BH104" s="98" t="n"/>
      <c r="BI104" s="98" t="n"/>
      <c r="BJ104" s="98" t="n"/>
      <c r="BK104" s="98" t="n"/>
    </row>
    <row r="105">
      <c r="A105" s="99" t="inlineStr">
        <is>
          <t>COMPETITOR</t>
        </is>
      </c>
      <c r="L105" s="100" t="inlineStr">
        <is>
          <t>LISTING - catalog data</t>
        </is>
      </c>
      <c r="M105" s="101" t="inlineStr">
        <is>
          <t>SEARCH STRATEGY - market data search data</t>
        </is>
      </c>
      <c r="N105" s="102" t="inlineStr">
        <is>
          <t>PRICE &amp; SALES - market data snapshot (date per row)</t>
        </is>
      </c>
      <c r="AA105" s="100" t="inlineStr">
        <is>
          <t>LISTING - catalog data</t>
        </is>
      </c>
      <c r="AD105" s="101" t="inlineStr">
        <is>
          <t>SEARCH STRATEGY - market data search data</t>
        </is>
      </c>
      <c r="AU105" s="103" t="inlineStr">
        <is>
          <t>STR NOW - Amazon page check (Oct 13, P1 + P2)</t>
        </is>
      </c>
      <c r="BB105" s="104" t="inlineStr">
        <is>
          <t>BFCM 2025 - price history (P1 filled; yellow = not pulled yet)</t>
        </is>
      </c>
    </row>
    <row r="106" ht="48" customHeight="1">
      <c r="A106" s="26" t="inlineStr">
        <is>
          <t>Image</t>
        </is>
      </c>
      <c r="B106" s="26" t="inlineStr">
        <is>
          <t>Brand</t>
        </is>
      </c>
      <c r="C106" s="26" t="inlineStr">
        <is>
          <t>Product title</t>
        </is>
      </c>
      <c r="D106" s="26" t="inlineStr">
        <is>
          <t>Tier</t>
        </is>
      </c>
      <c r="E106" s="26" t="inlineStr">
        <is>
          <t>Competitor type</t>
        </is>
      </c>
      <c r="F106" s="26" t="inlineStr">
        <is>
          <t>Material</t>
        </is>
      </c>
      <c r="G106" s="26" t="inlineStr">
        <is>
          <t>Why this type</t>
        </is>
      </c>
      <c r="H106" s="26" t="inlineStr">
        <is>
          <t>Parent ASIN</t>
        </is>
      </c>
      <c r="I106" s="26" t="inlineStr">
        <is>
          <t>Tracked child ASIN</t>
        </is>
      </c>
      <c r="J106" s="26" t="inlineStr">
        <is>
          <t>Size</t>
        </is>
      </c>
      <c r="K106" s="26" t="inlineStr">
        <is>
          <t>Colour</t>
        </is>
      </c>
      <c r="L106" s="26" t="inlineStr">
        <is>
          <t>Variations</t>
        </is>
      </c>
      <c r="M106" s="26" t="inlineStr">
        <is>
          <t>Hero child ASINs (share of their visibility)</t>
        </is>
      </c>
      <c r="N106" s="26" t="inlineStr">
        <is>
          <t>Price ($)</t>
        </is>
      </c>
      <c r="O106" s="26" t="inlineStr">
        <is>
          <t>List Price ($)</t>
        </is>
      </c>
      <c r="P106" s="26" t="inlineStr">
        <is>
          <t>List Price % over</t>
        </is>
      </c>
      <c r="Q106" s="26" t="inlineStr">
        <is>
          <t>STR band</t>
        </is>
      </c>
      <c r="R106" s="26" t="inlineStr">
        <is>
          <t>Our price, same size ($)</t>
        </is>
      </c>
      <c r="S106" s="26" t="inlineStr">
        <is>
          <t>Their price vs ours</t>
        </is>
      </c>
      <c r="T106" s="26" t="inlineStr">
        <is>
          <t>Comparison basis</t>
        </is>
      </c>
      <c r="U106" s="26" t="inlineStr">
        <is>
          <t>BSR</t>
        </is>
      </c>
      <c r="V106" s="26" t="inlineStr">
        <is>
          <t>Est weekly units</t>
        </is>
      </c>
      <c r="W106" s="26" t="inlineStr">
        <is>
          <t>Est monthly revenue ($)</t>
        </is>
      </c>
      <c r="X106" s="26" t="inlineStr">
        <is>
          <t>Rating</t>
        </is>
      </c>
      <c r="Y106" s="26" t="inlineStr">
        <is>
          <t>Reviews</t>
        </is>
      </c>
      <c r="Z106" s="26" t="inlineStr">
        <is>
          <t>Snapshot date</t>
        </is>
      </c>
      <c r="AA106" s="26" t="inlineStr">
        <is>
          <t>Listed</t>
        </is>
      </c>
      <c r="AB106" s="26" t="inlineStr">
        <is>
          <t>Fulfil.</t>
        </is>
      </c>
      <c r="AC106" s="26" t="inlineStr">
        <is>
          <t>Seller country</t>
        </is>
      </c>
      <c r="AD106" s="26" t="inlineStr">
        <is>
          <t>search data 7d traffic</t>
        </is>
      </c>
      <c r="AE106" s="26" t="inlineStr">
        <is>
          <t>Keywords ranked</t>
        </is>
      </c>
      <c r="AF106" s="26" t="inlineStr">
        <is>
          <t>Organic share of traffic</t>
        </is>
      </c>
      <c r="AG106" s="26" t="inlineStr">
        <is>
          <t>Ad share of traffic</t>
        </is>
      </c>
      <c r="AH106" s="26" t="inlineStr">
        <is>
          <t>Top keyword</t>
        </is>
      </c>
      <c r="AI106" s="26" t="inlineStr">
        <is>
          <t>SP reach</t>
        </is>
      </c>
      <c r="AJ106" s="26" t="inlineStr">
        <is>
          <t>SB reach</t>
        </is>
      </c>
      <c r="AK106" s="26" t="inlineStr">
        <is>
          <t>SB video reach</t>
        </is>
      </c>
      <c r="AL106" s="26" t="inlineStr">
        <is>
          <t>Amazon's Choice reach</t>
        </is>
      </c>
      <c r="AM106" s="26" t="inlineStr">
        <is>
          <t>Shared keywords</t>
        </is>
      </c>
      <c r="AN106" s="26" t="inlineStr">
        <is>
          <t>We win</t>
        </is>
      </c>
      <c r="AO106" s="26" t="inlineStr">
        <is>
          <t>We lose</t>
        </is>
      </c>
      <c r="AP106" s="26" t="inlineStr">
        <is>
          <t>Their keywords we miss</t>
        </is>
      </c>
      <c r="AQ106" s="26" t="inlineStr">
        <is>
          <t>KWs they advertise, we don't</t>
        </is>
      </c>
      <c r="AR106" s="26" t="inlineStr">
        <is>
          <t>KWs they out-advertise us</t>
        </is>
      </c>
      <c r="AS106" s="26" t="inlineStr">
        <is>
          <t>Prime Day 2026 organic vis lift</t>
        </is>
      </c>
      <c r="AT106" s="26" t="inlineStr">
        <is>
          <t>Organic trend (Aug-Sep vs Q2)</t>
        </is>
      </c>
      <c r="AU106" s="26" t="inlineStr">
        <is>
          <t>STR showing now? (Y/N)</t>
        </is>
      </c>
      <c r="AV106" s="26" t="inlineStr">
        <is>
          <t>STR label</t>
        </is>
      </c>
      <c r="AW106" s="26" t="inlineStr">
        <is>
          <t>Strikethrough price ($)</t>
        </is>
      </c>
      <c r="AX106" s="26" t="inlineStr">
        <is>
          <t>Page price at check ($)</t>
        </is>
      </c>
      <c r="AY106" s="26" t="inlineStr">
        <is>
          <t>Deal / coupon now</t>
        </is>
      </c>
      <c r="AZ106" s="26" t="inlineStr">
        <is>
          <t>Orderable now (Y/N)</t>
        </is>
      </c>
      <c r="BA106" s="26" t="inlineStr">
        <is>
          <t>Checked (ET)</t>
        </is>
      </c>
      <c r="BB106" s="26" t="inlineStr">
        <is>
          <t>BFCM 2025 deal type</t>
        </is>
      </c>
      <c r="BC106" s="26" t="inlineStr">
        <is>
          <t>BFCM 2025 deal dates</t>
        </is>
      </c>
      <c r="BD106" s="26" t="inlineStr">
        <is>
          <t>Pre-event price ($)</t>
        </is>
      </c>
      <c r="BE106" s="26" t="inlineStr">
        <is>
          <t>BFCM 2025 low ($)</t>
        </is>
      </c>
      <c r="BF106" s="26" t="inlineStr">
        <is>
          <t>BFCM 2025 discount</t>
        </is>
      </c>
      <c r="BG106" s="26" t="inlineStr">
        <is>
          <t>BSR pre-event</t>
        </is>
      </c>
      <c r="BH106" s="26" t="inlineStr">
        <is>
          <t>BSR BFCM wk</t>
        </is>
      </c>
      <c r="BI106" s="26" t="inlineStr">
        <is>
          <t>BSR lift (x)</t>
        </is>
      </c>
      <c r="BJ106" s="26" t="inlineStr">
        <is>
          <t>OOS in BFCM? (Y/N)</t>
        </is>
      </c>
      <c r="BK106" s="26" t="inlineStr">
        <is>
          <t>Notes</t>
        </is>
      </c>
    </row>
    <row r="107" ht="62" customHeight="1">
      <c r="A107" s="12">
        <f>_xlfn.IMAGE("https://m.media-amazon.com/images/I/61L1TXtZ28L._AC_SL1500_.jpg")</f>
        <v/>
      </c>
      <c r="B107" s="105" t="inlineStr">
        <is>
          <t>REST</t>
        </is>
      </c>
      <c r="C107" s="39" t="inlineStr">
        <is>
          <t>REST® Evercool®+ Fitted Sheet, Full Size, Light Blue, 15" Deep (up to 18’’), Bre</t>
        </is>
      </c>
      <c r="D107" s="105" t="inlineStr">
        <is>
          <t>Beatable</t>
        </is>
      </c>
      <c r="E107" s="106" t="inlineStr">
        <is>
          <t>Direct</t>
        </is>
      </c>
      <c r="F107" s="105" t="inlineStr">
        <is>
          <t>Synthetic cooling knit</t>
        </is>
      </c>
      <c r="G107" s="39" t="inlineStr">
        <is>
          <t>Same product (fitted sheet) in the same material family: Synthetic cooling knit (product page material: IONIC+ silver yarn, superfine denier nylon, spandex, Skin Fr); ours: BreezeWeave cooling fabric, nylon-spandex like CooLoom (confirmed Oct 15, 2026).</t>
        </is>
      </c>
      <c r="H107" s="107" t="inlineStr">
        <is>
          <t>B0C14HFDS1</t>
        </is>
      </c>
      <c r="I107" s="107" t="inlineStr">
        <is>
          <t>B0D4Y6RKLL</t>
        </is>
      </c>
      <c r="J107" s="105" t="inlineStr">
        <is>
          <t>King</t>
        </is>
      </c>
      <c r="K107" s="105" t="inlineStr">
        <is>
          <t>Arctic White</t>
        </is>
      </c>
      <c r="L107" s="108" t="n">
        <v>36</v>
      </c>
      <c r="M107" s="39" t="inlineStr">
        <is>
          <t>B0BW997FWC (40%), B0BW995YFQ (25%), B0C14BKYXL (10%), B0C14BV615 (10%)</t>
        </is>
      </c>
      <c r="N107" s="109" t="n">
        <v>111.2</v>
      </c>
      <c r="O107" s="109" t="n">
        <v>139</v>
      </c>
      <c r="P107" s="110">
        <f>IF(AND(ISNUMBER(O107),ISNUMBER(N107),N(N107)&gt;0),O107/N107-1,"")</f>
        <v/>
      </c>
      <c r="Q107" s="111">
        <f>IF(P107="","No List Price",IF(P107&lt;=0,"At/below price",IF(P107&lt;=0.12,"&lt;=12% STR zone",IF(P107&lt;=0.25,"12-25%","&gt;25% over"))))</f>
        <v/>
      </c>
      <c r="R107" s="109" t="n">
        <v>39.99</v>
      </c>
      <c r="S107" s="112">
        <f>IF(AND(ISNUMBER(N107),ISNUMBER(R107),N(R107)&gt;0),N107/R107-1,"")</f>
        <v/>
      </c>
      <c r="T107" s="39" t="inlineStr">
        <is>
          <t>Same size (King). Ours live: catalog price, 2026-10-13; 10 children</t>
        </is>
      </c>
      <c r="U107" s="108" t="n">
        <v>22651</v>
      </c>
      <c r="V107" s="108" t="n">
        <v>35</v>
      </c>
      <c r="W107" s="113">
        <f>IF(AND(ISNUMBER(N107),ISNUMBER(V107)),N107*V107*52/12,"")</f>
        <v/>
      </c>
      <c r="X107" s="114" t="n">
        <v>4.4</v>
      </c>
      <c r="Y107" s="108" t="n">
        <v>663</v>
      </c>
      <c r="Z107" s="115" t="n">
        <v>46307</v>
      </c>
      <c r="AA107" s="115" t="n"/>
      <c r="AB107" s="105" t="n"/>
      <c r="AC107" s="105" t="n"/>
      <c r="AD107" s="108" t="n">
        <v>110996</v>
      </c>
      <c r="AE107" s="108" t="n">
        <v>2646</v>
      </c>
      <c r="AF107" s="116" t="n">
        <v>0.5327084201232477</v>
      </c>
      <c r="AG107" s="116" t="n">
        <v>0.4672916087066201</v>
      </c>
      <c r="AH107" s="39" t="inlineStr">
        <is>
          <t>sheets</t>
        </is>
      </c>
      <c r="AI107" s="116" t="n">
        <v>0.6569516018595265</v>
      </c>
      <c r="AJ107" s="116" t="n">
        <v>0.6046073732386753</v>
      </c>
      <c r="AK107" s="116" t="n"/>
      <c r="AL107" s="116" t="n">
        <v>0.009036361670690836</v>
      </c>
      <c r="AM107" s="108" t="n">
        <v>256</v>
      </c>
      <c r="AN107" s="108" t="n">
        <v>102</v>
      </c>
      <c r="AO107" s="108" t="n">
        <v>119</v>
      </c>
      <c r="AP107" s="108" t="n">
        <v>2390</v>
      </c>
      <c r="AQ107" s="108" t="n">
        <v>766</v>
      </c>
      <c r="AR107" s="108" t="n">
        <v>6</v>
      </c>
      <c r="AS107" s="117" t="n"/>
      <c r="AT107" s="112" t="n"/>
      <c r="AU107" s="118" t="inlineStr">
        <is>
          <t>Y</t>
        </is>
      </c>
      <c r="AV107" s="118" t="inlineStr">
        <is>
          <t>List Price</t>
        </is>
      </c>
      <c r="AW107" s="119" t="n">
        <v>139</v>
      </c>
      <c r="AX107" s="119" t="n">
        <v>111.2</v>
      </c>
      <c r="AY107" s="118" t="inlineStr">
        <is>
          <t>none</t>
        </is>
      </c>
      <c r="AZ107" s="118" t="inlineStr">
        <is>
          <t>Y</t>
        </is>
      </c>
      <c r="BA107" s="118" t="inlineStr">
        <is>
          <t>2026-10-13 23:36:46</t>
        </is>
      </c>
      <c r="BB107" s="120" t="inlineStr">
        <is>
          <t>Price cut only</t>
        </is>
      </c>
      <c r="BC107" s="120" t="inlineStr">
        <is>
          <t>11-20 to 12-01</t>
        </is>
      </c>
      <c r="BD107" s="121" t="n">
        <v>111.2</v>
      </c>
      <c r="BE107" s="121" t="n">
        <v>104.25</v>
      </c>
      <c r="BF107" s="110">
        <f>IF(AND(ISNUMBER(BD107),ISNUMBER(BE107),N(BD107)&gt;0),1-BE107/BD107,"")</f>
        <v/>
      </c>
      <c r="BG107" s="122" t="n">
        <v>60121</v>
      </c>
      <c r="BH107" s="122" t="n">
        <v>38546</v>
      </c>
      <c r="BI107" s="123">
        <f>IF(AND(ISNUMBER(BG107),ISNUMBER(BH107),N(BH107)&gt;0),BG107/BH107,"")</f>
        <v/>
      </c>
      <c r="BJ107" s="120" t="inlineStr">
        <is>
          <t>N</t>
        </is>
      </c>
      <c r="BK107" s="120" t="inlineStr">
        <is>
          <t>Lightning Deal 11-09 to 11-10; List Price $139.00</t>
        </is>
      </c>
    </row>
    <row r="108" ht="62" customHeight="1">
      <c r="A108" s="12">
        <f>_xlfn.IMAGE("https://m.media-amazon.com/images/I/71EKXfc2t8L._AC_SL1500_.jpg")</f>
        <v/>
      </c>
      <c r="B108" s="105" t="inlineStr">
        <is>
          <t>Cozy Bliss</t>
        </is>
      </c>
      <c r="C108" s="39" t="inlineStr">
        <is>
          <t>Cooling Fitted Sheet</t>
        </is>
      </c>
      <c r="D108" s="105" t="inlineStr">
        <is>
          <t>Beatable</t>
        </is>
      </c>
      <c r="E108" s="106" t="inlineStr">
        <is>
          <t>Direct</t>
        </is>
      </c>
      <c r="F108" s="105" t="inlineStr">
        <is>
          <t>Synthetic cooling knit</t>
        </is>
      </c>
      <c r="G108" s="39" t="inlineStr">
        <is>
          <t>Same product (fitted sheet) in the same material family: Synthetic cooling knit (product page material: 90%Nylon 10%Spandex); ours: BreezeWeave cooling fabric, nylon-spandex like CooLoom (confirmed Oct 15, 2026).</t>
        </is>
      </c>
      <c r="H108" s="107" t="inlineStr">
        <is>
          <t>B0DT14Y4VJ</t>
        </is>
      </c>
      <c r="I108" s="107" t="inlineStr">
        <is>
          <t>B0DMNMPVJP</t>
        </is>
      </c>
      <c r="J108" s="105" t="inlineStr">
        <is>
          <t>Queen(no Flat Sheet)</t>
        </is>
      </c>
      <c r="K108" s="105" t="inlineStr">
        <is>
          <t>Cool Blue</t>
        </is>
      </c>
      <c r="L108" s="108" t="n">
        <v>23</v>
      </c>
      <c r="M108" s="39" t="inlineStr">
        <is>
          <t>B0DMNPF218 (54%), B0DMNQDZNB (21%), B0GFDTCKDD (9%)</t>
        </is>
      </c>
      <c r="N108" s="109" t="n">
        <v>74.98999999999999</v>
      </c>
      <c r="O108" s="109" t="n"/>
      <c r="P108" s="110">
        <f>IF(AND(ISNUMBER(O108),ISNUMBER(N108),N(N108)&gt;0),O108/N108-1,"")</f>
        <v/>
      </c>
      <c r="Q108" s="111">
        <f>IF(P108="","No List Price",IF(P108&lt;=0,"At/below price",IF(P108&lt;=0.12,"&lt;=12% STR zone",IF(P108&lt;=0.25,"12-25%","&gt;25% over"))))</f>
        <v/>
      </c>
      <c r="R108" s="109" t="n">
        <v>37.99</v>
      </c>
      <c r="S108" s="112">
        <f>IF(AND(ISNUMBER(N108),ISNUMBER(R108),N(R108)&gt;0),N108/R108-1,"")</f>
        <v/>
      </c>
      <c r="T108" s="39" t="inlineStr">
        <is>
          <t>Same size (Queen). Ours live: catalog price, 2026-10-13; 10 children</t>
        </is>
      </c>
      <c r="U108" s="108" t="n">
        <v>100300</v>
      </c>
      <c r="V108" s="108" t="n">
        <v>5</v>
      </c>
      <c r="W108" s="113">
        <f>IF(AND(ISNUMBER(N108),ISNUMBER(V108)),N108*V108*52/12,"")</f>
        <v/>
      </c>
      <c r="X108" s="114" t="n">
        <v>4.5</v>
      </c>
      <c r="Y108" s="108" t="n">
        <v>456</v>
      </c>
      <c r="Z108" s="115" t="n">
        <v>46307</v>
      </c>
      <c r="AA108" s="115" t="n"/>
      <c r="AB108" s="105" t="n"/>
      <c r="AC108" s="105" t="n"/>
      <c r="AD108" s="108" t="n">
        <v>14965</v>
      </c>
      <c r="AE108" s="108" t="n">
        <v>410</v>
      </c>
      <c r="AF108" s="116" t="n">
        <v>0.8178404944871368</v>
      </c>
      <c r="AG108" s="116" t="n">
        <v>0.1821595055128634</v>
      </c>
      <c r="AH108" s="39" t="inlineStr">
        <is>
          <t>cooling sheets</t>
        </is>
      </c>
      <c r="AI108" s="116" t="n">
        <v>0.307584363514868</v>
      </c>
      <c r="AJ108" s="116" t="n"/>
      <c r="AK108" s="116" t="n">
        <v>0.6962245238890745</v>
      </c>
      <c r="AL108" s="116" t="n">
        <v>0.03200801871032409</v>
      </c>
      <c r="AM108" s="108" t="n">
        <v>138</v>
      </c>
      <c r="AN108" s="108" t="n">
        <v>83</v>
      </c>
      <c r="AO108" s="108" t="n">
        <v>29</v>
      </c>
      <c r="AP108" s="108" t="n">
        <v>272</v>
      </c>
      <c r="AQ108" s="108" t="n">
        <v>67</v>
      </c>
      <c r="AR108" s="108" t="n">
        <v>2</v>
      </c>
      <c r="AS108" s="117" t="n"/>
      <c r="AT108" s="112" t="n"/>
      <c r="AU108" s="118" t="inlineStr">
        <is>
          <t>N</t>
        </is>
      </c>
      <c r="AV108" s="118" t="inlineStr">
        <is>
          <t>none</t>
        </is>
      </c>
      <c r="AW108" s="124" t="n"/>
      <c r="AX108" s="119" t="n">
        <v>74.98999999999999</v>
      </c>
      <c r="AY108" s="118" t="inlineStr">
        <is>
          <t>none</t>
        </is>
      </c>
      <c r="AZ108" s="118" t="inlineStr">
        <is>
          <t>Y</t>
        </is>
      </c>
      <c r="BA108" s="118" t="inlineStr">
        <is>
          <t>2026-10-13 23:36:02</t>
        </is>
      </c>
      <c r="BB108" s="125" t="n"/>
      <c r="BC108" s="125" t="n"/>
      <c r="BD108" s="124" t="n"/>
      <c r="BE108" s="124" t="n"/>
      <c r="BF108" s="110">
        <f>IF(AND(ISNUMBER(BD108),ISNUMBER(BE108),N(BD108)&gt;0),1-BE108/BD108,"")</f>
        <v/>
      </c>
      <c r="BG108" s="122" t="n">
        <v>144127</v>
      </c>
      <c r="BH108" s="122" t="n">
        <v>128889</v>
      </c>
      <c r="BI108" s="123">
        <f>IF(AND(ISNUMBER(BG108),ISNUMBER(BH108),N(BH108)&gt;0),BG108/BH108,"")</f>
        <v/>
      </c>
      <c r="BJ108" s="120" t="inlineStr">
        <is>
          <t>Y</t>
        </is>
      </c>
      <c r="BK108" s="120" t="inlineStr">
        <is>
          <t>No Buy Box history in price history for BFCM 2025; List Price $89.99</t>
        </is>
      </c>
    </row>
    <row r="109" ht="62" customHeight="1">
      <c r="A109" s="12">
        <f>_xlfn.IMAGE("https://m.media-amazon.com/images/I/81X83saQSpL._AC_SL1500_.jpg")</f>
        <v/>
      </c>
      <c r="B109" s="105" t="inlineStr">
        <is>
          <t>Bedsure</t>
        </is>
      </c>
      <c r="C109" s="39" t="inlineStr">
        <is>
          <t>Cooling Fitted Sheet</t>
        </is>
      </c>
      <c r="D109" s="105" t="inlineStr">
        <is>
          <t>Poor</t>
        </is>
      </c>
      <c r="E109" s="106" t="inlineStr">
        <is>
          <t>Direct</t>
        </is>
      </c>
      <c r="F109" s="105" t="inlineStr">
        <is>
          <t>Synthetic cooling knit</t>
        </is>
      </c>
      <c r="G109" s="39" t="inlineStr">
        <is>
          <t>Same product (fitted sheet) in the same material family: Synthetic cooling knit (product page material: 90% Nylon, 10% Spandex); ours: BreezeWeave cooling fabric, nylon-spandex like CooLoom (confirmed Oct 15, 2026).</t>
        </is>
      </c>
      <c r="H109" s="107" t="inlineStr">
        <is>
          <t>B0GNMKSLRZ</t>
        </is>
      </c>
      <c r="I109" s="107" t="inlineStr">
        <is>
          <t>B0FQPCYCVQ</t>
        </is>
      </c>
      <c r="J109" s="105" t="inlineStr">
        <is>
          <t>King (78x80+16)</t>
        </is>
      </c>
      <c r="K109" s="105" t="inlineStr">
        <is>
          <t>04 - Blue</t>
        </is>
      </c>
      <c r="L109" s="108" t="n"/>
      <c r="M109" s="39" t="inlineStr"/>
      <c r="N109" s="109" t="n">
        <v>29.99</v>
      </c>
      <c r="O109" s="109" t="n"/>
      <c r="P109" s="110">
        <f>IF(AND(ISNUMBER(O109),ISNUMBER(N109),N(N109)&gt;0),O109/N109-1,"")</f>
        <v/>
      </c>
      <c r="Q109" s="111">
        <f>IF(P109="","No List Price",IF(P109&lt;=0,"At/below price",IF(P109&lt;=0.12,"&lt;=12% STR zone",IF(P109&lt;=0.25,"12-25%","&gt;25% over"))))</f>
        <v/>
      </c>
      <c r="R109" s="109" t="n">
        <v>39.99</v>
      </c>
      <c r="S109" s="112">
        <f>IF(AND(ISNUMBER(N109),ISNUMBER(R109),N(R109)&gt;0),N109/R109-1,"")</f>
        <v/>
      </c>
      <c r="T109" s="39" t="inlineStr">
        <is>
          <t>Same size (King). Ours live: catalog price, 2026-10-13; 10 children</t>
        </is>
      </c>
      <c r="U109" s="108" t="n">
        <v>616342</v>
      </c>
      <c r="V109" s="108" t="n">
        <v>5</v>
      </c>
      <c r="W109" s="113">
        <f>IF(AND(ISNUMBER(N109),ISNUMBER(V109)),N109*V109*52/12,"")</f>
        <v/>
      </c>
      <c r="X109" s="114" t="n">
        <v>4.3</v>
      </c>
      <c r="Y109" s="108" t="n">
        <v>111</v>
      </c>
      <c r="Z109" s="115" t="n">
        <v>46307</v>
      </c>
      <c r="AA109" s="115" t="n"/>
      <c r="AB109" s="105" t="n"/>
      <c r="AC109" s="105" t="n"/>
      <c r="AD109" s="108" t="n"/>
      <c r="AE109" s="108" t="n"/>
      <c r="AF109" s="116" t="n"/>
      <c r="AG109" s="116" t="n"/>
      <c r="AH109" s="39" t="n"/>
      <c r="AI109" s="116" t="n"/>
      <c r="AJ109" s="116" t="n"/>
      <c r="AK109" s="116" t="n"/>
      <c r="AL109" s="116" t="n"/>
      <c r="AM109" s="108" t="n"/>
      <c r="AN109" s="108" t="n"/>
      <c r="AO109" s="108" t="n"/>
      <c r="AP109" s="108" t="n"/>
      <c r="AQ109" s="108" t="n"/>
      <c r="AR109" s="108" t="n"/>
      <c r="AS109" s="117" t="n"/>
      <c r="AT109" s="112" t="n"/>
      <c r="AU109" s="118" t="inlineStr">
        <is>
          <t>N</t>
        </is>
      </c>
      <c r="AV109" s="118" t="inlineStr">
        <is>
          <t>none</t>
        </is>
      </c>
      <c r="AW109" s="124" t="n"/>
      <c r="AX109" s="124" t="n"/>
      <c r="AY109" s="118" t="inlineStr">
        <is>
          <t>none</t>
        </is>
      </c>
      <c r="AZ109" s="118" t="inlineStr">
        <is>
          <t>N</t>
        </is>
      </c>
      <c r="BA109" s="118" t="inlineStr">
        <is>
          <t>2026-10-13 23:37:31</t>
        </is>
      </c>
      <c r="BB109" s="120" t="inlineStr">
        <is>
          <t>Not live in 2025</t>
        </is>
      </c>
      <c r="BC109" s="125" t="n"/>
      <c r="BD109" s="124" t="n"/>
      <c r="BE109" s="124" t="n"/>
      <c r="BF109" s="110">
        <f>IF(AND(ISNUMBER(BD109),ISNUMBER(BE109),N(BD109)&gt;0),1-BE109/BD109,"")</f>
        <v/>
      </c>
      <c r="BG109" s="126" t="n"/>
      <c r="BH109" s="126" t="n"/>
      <c r="BI109" s="123">
        <f>IF(AND(ISNUMBER(BG109),ISNUMBER(BH109),N(BH109)&gt;0),BG109/BH109,"")</f>
        <v/>
      </c>
      <c r="BJ109" s="125" t="n"/>
      <c r="BK109" s="125" t="n"/>
    </row>
    <row r="110" ht="62" customHeight="1">
      <c r="A110" s="12">
        <f>_xlfn.IMAGE("https://images-na.ssl-images-amazon.com/images/I/81UgXZwkGpL.jpg")</f>
        <v/>
      </c>
      <c r="B110" s="105" t="inlineStr">
        <is>
          <t>Zaizaihome</t>
        </is>
      </c>
      <c r="C110" s="39" t="inlineStr">
        <is>
          <t>Bamboo Viscose Cooling Fitted Sheet King Size Only</t>
        </is>
      </c>
      <c r="D110" s="105" t="inlineStr">
        <is>
          <t>Beatable</t>
        </is>
      </c>
      <c r="E110" s="128" t="inlineStr">
        <is>
          <t>Alternative material</t>
        </is>
      </c>
      <c r="F110" s="105" t="inlineStr">
        <is>
          <t>Bamboo viscose</t>
        </is>
      </c>
      <c r="G110" s="39" t="inlineStr">
        <is>
          <t>Fitted sheet in Bamboo viscose (product page material: Viscose Derived from Bamboo); ours is Synthetic cooling knit (BreezeWeave cooling fabric, nylon-spandex like CooLoom (confirmed Oct 15, 2026)). Shopper may cross-shop, but not like-for-like.</t>
        </is>
      </c>
      <c r="H110" s="107" t="inlineStr">
        <is>
          <t>B0CXPDKH51</t>
        </is>
      </c>
      <c r="I110" s="107" t="inlineStr">
        <is>
          <t>B0CXPKK5DD</t>
        </is>
      </c>
      <c r="J110" s="105" t="inlineStr">
        <is>
          <t>King</t>
        </is>
      </c>
      <c r="K110" s="105" t="inlineStr">
        <is>
          <t>Dark Grey</t>
        </is>
      </c>
      <c r="L110" s="108" t="n">
        <v>79</v>
      </c>
      <c r="M110" s="39" t="inlineStr">
        <is>
          <t>B0CXPB1BGB (23%), B0CXNY88FM (22%), B0CXPKK5DD (18%), B0D9RVK2M1 (15%), B0CXPL68WG (10%)</t>
        </is>
      </c>
      <c r="N110" s="109" t="n">
        <v>29.99</v>
      </c>
      <c r="O110" s="109" t="n"/>
      <c r="P110" s="110">
        <f>IF(AND(ISNUMBER(O110),ISNUMBER(N110),N(N110)&gt;0),O110/N110-1,"")</f>
        <v/>
      </c>
      <c r="Q110" s="111">
        <f>IF(P110="","No List Price",IF(P110&lt;=0,"At/below price",IF(P110&lt;=0.12,"&lt;=12% STR zone",IF(P110&lt;=0.25,"12-25%","&gt;25% over"))))</f>
        <v/>
      </c>
      <c r="R110" s="109" t="n">
        <v>39.99</v>
      </c>
      <c r="S110" s="112">
        <f>IF(AND(ISNUMBER(N110),ISNUMBER(R110),N(R110)&gt;0),N110/R110-1,"")</f>
        <v/>
      </c>
      <c r="T110" s="39" t="inlineStr">
        <is>
          <t>Same size (King). Ours live: catalog price, 2026-10-13; 10 children</t>
        </is>
      </c>
      <c r="U110" s="108" t="n">
        <v>9600</v>
      </c>
      <c r="V110" s="108" t="n">
        <v>81</v>
      </c>
      <c r="W110" s="113">
        <f>IF(AND(ISNUMBER(N110),ISNUMBER(V110)),N110*V110*52/12,"")</f>
        <v/>
      </c>
      <c r="X110" s="114" t="n">
        <v>4.3</v>
      </c>
      <c r="Y110" s="108" t="n">
        <v>1029</v>
      </c>
      <c r="Z110" s="115" t="n">
        <v>46307</v>
      </c>
      <c r="AA110" s="115" t="n">
        <v>45362</v>
      </c>
      <c r="AB110" s="105" t="inlineStr">
        <is>
          <t>FBA</t>
        </is>
      </c>
      <c r="AC110" s="105" t="inlineStr">
        <is>
          <t>CN</t>
        </is>
      </c>
      <c r="AD110" s="108" t="n">
        <v>80454</v>
      </c>
      <c r="AE110" s="108" t="n">
        <v>892</v>
      </c>
      <c r="AF110" s="116" t="n">
        <v>0.9934371106470778</v>
      </c>
      <c r="AG110" s="116" t="n">
        <v>0.006562889352922167</v>
      </c>
      <c r="AH110" s="39" t="inlineStr">
        <is>
          <t>bamboo sheets</t>
        </is>
      </c>
      <c r="AI110" s="116" t="n">
        <v>0.05738682974121859</v>
      </c>
      <c r="AJ110" s="116" t="n"/>
      <c r="AK110" s="116" t="n"/>
      <c r="AL110" s="116" t="n">
        <v>0.1354811445049345</v>
      </c>
      <c r="AM110" s="108" t="n">
        <v>274</v>
      </c>
      <c r="AN110" s="108" t="n">
        <v>39</v>
      </c>
      <c r="AO110" s="108" t="n">
        <v>214</v>
      </c>
      <c r="AP110" s="108" t="n">
        <v>618</v>
      </c>
      <c r="AQ110" s="108" t="n">
        <v>39</v>
      </c>
      <c r="AR110" s="108" t="n">
        <v>0</v>
      </c>
      <c r="AS110" s="117" t="n">
        <v>0.9810017271157168</v>
      </c>
      <c r="AT110" s="112" t="n">
        <v>-0.07202680067001677</v>
      </c>
      <c r="AU110" s="118" t="inlineStr">
        <is>
          <t>N</t>
        </is>
      </c>
      <c r="AV110" s="118" t="inlineStr">
        <is>
          <t>none</t>
        </is>
      </c>
      <c r="AW110" s="124" t="n"/>
      <c r="AX110" s="119" t="n">
        <v>29.99</v>
      </c>
      <c r="AY110" s="118" t="inlineStr">
        <is>
          <t>none</t>
        </is>
      </c>
      <c r="AZ110" s="118" t="inlineStr">
        <is>
          <t>Y</t>
        </is>
      </c>
      <c r="BA110" s="118" t="inlineStr">
        <is>
          <t>2026-10-13 23:37:12</t>
        </is>
      </c>
      <c r="BB110" s="120" t="inlineStr">
        <is>
          <t>Prime Exclusive Discount</t>
        </is>
      </c>
      <c r="BC110" s="120" t="inlineStr">
        <is>
          <t>11-26 to 12-01</t>
        </is>
      </c>
      <c r="BD110" s="121" t="n">
        <v>27.59</v>
      </c>
      <c r="BE110" s="121" t="n">
        <v>23.69</v>
      </c>
      <c r="BF110" s="110">
        <f>IF(AND(ISNUMBER(BD110),ISNUMBER(BE110),N(BD110)&gt;0),1-BE110/BD110,"")</f>
        <v/>
      </c>
      <c r="BG110" s="122" t="n">
        <v>20417</v>
      </c>
      <c r="BH110" s="122" t="n">
        <v>21270</v>
      </c>
      <c r="BI110" s="123">
        <f>IF(AND(ISNUMBER(BG110),ISNUMBER(BH110),N(BH110)&gt;0),BG110/BH110,"")</f>
        <v/>
      </c>
      <c r="BJ110" s="120" t="inlineStr">
        <is>
          <t>N</t>
        </is>
      </c>
      <c r="BK110" s="120" t="inlineStr">
        <is>
          <t>Buy Box RAISED in BFCM week (median $29.99 vs $27.59 before); List Price $29.99</t>
        </is>
      </c>
    </row>
    <row r="111" ht="62" customHeight="1">
      <c r="A111" s="12">
        <f>_xlfn.IMAGE("https://images-na.ssl-images-amazon.com/images/I/81OVUx9lkCL.jpg")</f>
        <v/>
      </c>
      <c r="B111" s="105" t="inlineStr">
        <is>
          <t>Bedsure</t>
        </is>
      </c>
      <c r="C111" s="39" t="inlineStr">
        <is>
          <t>Bedsure PureWoven Queen Fitted Sheet Qnly, 100% Rayon Derived from Bamboo</t>
        </is>
      </c>
      <c r="D111" s="105" t="inlineStr">
        <is>
          <t>Beatable</t>
        </is>
      </c>
      <c r="E111" s="128" t="inlineStr">
        <is>
          <t>Alternative material</t>
        </is>
      </c>
      <c r="F111" s="105" t="inlineStr">
        <is>
          <t>Bamboo viscose</t>
        </is>
      </c>
      <c r="G111" s="39" t="inlineStr">
        <is>
          <t>Fitted sheet in Bamboo viscose (product page material: Rayon Derived from Bamboo); ours is Synthetic cooling knit (BreezeWeave cooling fabric, nylon-spandex like CooLoom (confirmed Oct 15, 2026)). Shopper may cross-shop, but not like-for-like.</t>
        </is>
      </c>
      <c r="H111" s="107" t="inlineStr">
        <is>
          <t>B0FW3SSM8K</t>
        </is>
      </c>
      <c r="I111" s="107" t="inlineStr">
        <is>
          <t>B0FW38KM4S</t>
        </is>
      </c>
      <c r="J111" s="105" t="inlineStr">
        <is>
          <t>Queen (1 PC)</t>
        </is>
      </c>
      <c r="K111" s="105" t="inlineStr">
        <is>
          <t>01 - Grey</t>
        </is>
      </c>
      <c r="L111" s="108" t="n">
        <v>24</v>
      </c>
      <c r="M111" s="39" t="inlineStr">
        <is>
          <t>B0FW38KM4S (53%), B0FVX8LSVV (17%), B0FW3WF617 (12%)</t>
        </is>
      </c>
      <c r="N111" s="109" t="n">
        <v>44.99</v>
      </c>
      <c r="O111" s="109" t="n"/>
      <c r="P111" s="110">
        <f>IF(AND(ISNUMBER(O111),ISNUMBER(N111),N(N111)&gt;0),O111/N111-1,"")</f>
        <v/>
      </c>
      <c r="Q111" s="111">
        <f>IF(P111="","No List Price",IF(P111&lt;=0,"At/below price",IF(P111&lt;=0.12,"&lt;=12% STR zone",IF(P111&lt;=0.25,"12-25%","&gt;25% over"))))</f>
        <v/>
      </c>
      <c r="R111" s="109" t="n">
        <v>37.99</v>
      </c>
      <c r="S111" s="112">
        <f>IF(AND(ISNUMBER(N111),ISNUMBER(R111),N(R111)&gt;0),N111/R111-1,"")</f>
        <v/>
      </c>
      <c r="T111" s="39" t="inlineStr">
        <is>
          <t>Same size (Queen). Ours live: catalog price, 2026-10-13; 10 children</t>
        </is>
      </c>
      <c r="U111" s="108" t="n">
        <v>19075</v>
      </c>
      <c r="V111" s="108" t="n">
        <v>81</v>
      </c>
      <c r="W111" s="113">
        <f>IF(AND(ISNUMBER(N111),ISNUMBER(V111)),N111*V111*52/12,"")</f>
        <v/>
      </c>
      <c r="X111" s="114" t="n">
        <v>4.4</v>
      </c>
      <c r="Y111" s="108" t="n">
        <v>168</v>
      </c>
      <c r="Z111" s="115" t="n">
        <v>46307</v>
      </c>
      <c r="AA111" s="115" t="n">
        <v>46069</v>
      </c>
      <c r="AB111" s="105" t="inlineStr">
        <is>
          <t>FBA</t>
        </is>
      </c>
      <c r="AC111" s="105" t="inlineStr">
        <is>
          <t>US</t>
        </is>
      </c>
      <c r="AD111" s="108" t="n">
        <v>95724</v>
      </c>
      <c r="AE111" s="108" t="n">
        <v>951</v>
      </c>
      <c r="AF111" s="116" t="n">
        <v>0.3728984204588193</v>
      </c>
      <c r="AG111" s="116" t="n">
        <v>0.6271016129706236</v>
      </c>
      <c r="AH111" s="39" t="inlineStr">
        <is>
          <t>fitted sheet queen</t>
        </is>
      </c>
      <c r="AI111" s="116" t="n">
        <v>0.7297856336968785</v>
      </c>
      <c r="AJ111" s="116" t="n">
        <v>0.5296686306464419</v>
      </c>
      <c r="AK111" s="116" t="n"/>
      <c r="AL111" s="116" t="n">
        <v>0.02295140194726505</v>
      </c>
      <c r="AM111" s="108" t="n">
        <v>319</v>
      </c>
      <c r="AN111" s="108" t="n">
        <v>56</v>
      </c>
      <c r="AO111" s="108" t="n">
        <v>240</v>
      </c>
      <c r="AP111" s="108" t="n">
        <v>632</v>
      </c>
      <c r="AQ111" s="108" t="n">
        <v>438</v>
      </c>
      <c r="AR111" s="108" t="n">
        <v>12</v>
      </c>
      <c r="AS111" s="117" t="n">
        <v>1.177319587628866</v>
      </c>
      <c r="AT111" s="112" t="n">
        <v>0.0270270270270272</v>
      </c>
      <c r="AU111" s="118" t="inlineStr">
        <is>
          <t>Y</t>
        </is>
      </c>
      <c r="AV111" s="118" t="inlineStr">
        <is>
          <t>List Price</t>
        </is>
      </c>
      <c r="AW111" s="119" t="n">
        <v>49.99</v>
      </c>
      <c r="AX111" s="119" t="n">
        <v>44.99</v>
      </c>
      <c r="AY111" s="118" t="inlineStr">
        <is>
          <t>none</t>
        </is>
      </c>
      <c r="AZ111" s="118" t="inlineStr">
        <is>
          <t>Y</t>
        </is>
      </c>
      <c r="BA111" s="118" t="inlineStr">
        <is>
          <t>2026-10-13 23:35:19</t>
        </is>
      </c>
      <c r="BB111" s="120" t="inlineStr">
        <is>
          <t>Not live in 2025</t>
        </is>
      </c>
      <c r="BC111" s="125" t="n"/>
      <c r="BD111" s="124" t="n"/>
      <c r="BE111" s="124" t="n"/>
      <c r="BF111" s="110">
        <f>IF(AND(ISNUMBER(BD111),ISNUMBER(BE111),N(BD111)&gt;0),1-BE111/BD111,"")</f>
        <v/>
      </c>
      <c r="BG111" s="126" t="n"/>
      <c r="BH111" s="126" t="n"/>
      <c r="BI111" s="123">
        <f>IF(AND(ISNUMBER(BG111),ISNUMBER(BH111),N(BH111)&gt;0),BG111/BH111,"")</f>
        <v/>
      </c>
      <c r="BJ111" s="125" t="n"/>
      <c r="BK111" s="125" t="n"/>
    </row>
    <row r="112" ht="62" customHeight="1">
      <c r="A112" s="12">
        <f>_xlfn.IMAGE("https://images-na.ssl-images-amazon.com/images/I/71AIQ3TCTsL.jpg")</f>
        <v/>
      </c>
      <c r="B112" s="105" t="inlineStr">
        <is>
          <t>BC BELLA COTERIE</t>
        </is>
      </c>
      <c r="C112" s="39" t="inlineStr">
        <is>
          <t>Bella Coterie | Luxury Bamboo Viscose King Size Fitted Sheet Only</t>
        </is>
      </c>
      <c r="D112" s="105" t="inlineStr">
        <is>
          <t>Untiered</t>
        </is>
      </c>
      <c r="E112" s="128" t="inlineStr">
        <is>
          <t>Alternative material</t>
        </is>
      </c>
      <c r="F112" s="105" t="inlineStr">
        <is>
          <t>Bamboo viscose</t>
        </is>
      </c>
      <c r="G112" s="39" t="inlineStr">
        <is>
          <t>Fitted sheet in Bamboo viscose (product page material: Organically Grown Viscose Made From Bamboo); ours is Synthetic cooling knit (BreezeWeave cooling fabric, nylon-spandex like CooLoom (confirmed Oct 15, 2026)). Shopper may cross-shop, but not like-for-like.</t>
        </is>
      </c>
      <c r="H112" s="107" t="inlineStr">
        <is>
          <t>B0FP7WBFNJ</t>
        </is>
      </c>
      <c r="I112" s="107" t="inlineStr">
        <is>
          <t>B0CZXZCTJP</t>
        </is>
      </c>
      <c r="J112" s="105" t="inlineStr">
        <is>
          <t>King</t>
        </is>
      </c>
      <c r="K112" s="105" t="inlineStr">
        <is>
          <t>Ivory</t>
        </is>
      </c>
      <c r="L112" s="108" t="n">
        <v>126</v>
      </c>
      <c r="M112" s="39" t="inlineStr">
        <is>
          <t>B0CZY15Z61 (17%), B0CZXZB79R (16%), B0CZXZCTJP (12%), B0CZY1CFH6 (7%), B0CZY1F63K (7%)</t>
        </is>
      </c>
      <c r="N112" s="109" t="n">
        <v>54.99</v>
      </c>
      <c r="O112" s="109" t="n"/>
      <c r="P112" s="110">
        <f>IF(AND(ISNUMBER(O112),ISNUMBER(N112),N(N112)&gt;0),O112/N112-1,"")</f>
        <v/>
      </c>
      <c r="Q112" s="111">
        <f>IF(P112="","No List Price",IF(P112&lt;=0,"At/below price",IF(P112&lt;=0.12,"&lt;=12% STR zone",IF(P112&lt;=0.25,"12-25%","&gt;25% over"))))</f>
        <v/>
      </c>
      <c r="R112" s="109" t="n">
        <v>39.99</v>
      </c>
      <c r="S112" s="112">
        <f>IF(AND(ISNUMBER(N112),ISNUMBER(R112),N(R112)&gt;0),N112/R112-1,"")</f>
        <v/>
      </c>
      <c r="T112" s="39" t="inlineStr">
        <is>
          <t>Same size (King). Ours live: catalog price, 2026-10-13; 10 children</t>
        </is>
      </c>
      <c r="U112" s="108" t="n">
        <v>13383</v>
      </c>
      <c r="V112" s="108" t="n">
        <v>35</v>
      </c>
      <c r="W112" s="113">
        <f>IF(AND(ISNUMBER(N112),ISNUMBER(V112)),N112*V112*52/12,"")</f>
        <v/>
      </c>
      <c r="X112" s="114" t="n">
        <v>4.5</v>
      </c>
      <c r="Y112" s="108" t="n">
        <v>331</v>
      </c>
      <c r="Z112" s="115" t="n">
        <v>46307</v>
      </c>
      <c r="AA112" s="115" t="n">
        <v>45387</v>
      </c>
      <c r="AB112" s="105" t="inlineStr">
        <is>
          <t>FBA</t>
        </is>
      </c>
      <c r="AC112" s="105" t="inlineStr">
        <is>
          <t>US</t>
        </is>
      </c>
      <c r="AD112" s="108" t="n">
        <v>157609</v>
      </c>
      <c r="AE112" s="108" t="n">
        <v>2308</v>
      </c>
      <c r="AF112" s="116" t="n">
        <v>0.3003846861537098</v>
      </c>
      <c r="AG112" s="116" t="n">
        <v>0.6996153544531084</v>
      </c>
      <c r="AH112" s="39" t="inlineStr">
        <is>
          <t>fitted sheet queen</t>
        </is>
      </c>
      <c r="AI112" s="116" t="n">
        <v>0.85385986840853</v>
      </c>
      <c r="AJ112" s="116" t="n">
        <v>0.1863916400713157</v>
      </c>
      <c r="AK112" s="116" t="n"/>
      <c r="AL112" s="116" t="n">
        <v>0.009263430387858561</v>
      </c>
      <c r="AM112" s="108" t="n">
        <v>329</v>
      </c>
      <c r="AN112" s="108" t="n">
        <v>67</v>
      </c>
      <c r="AO112" s="108" t="n">
        <v>227</v>
      </c>
      <c r="AP112" s="108" t="n">
        <v>1979</v>
      </c>
      <c r="AQ112" s="108" t="n">
        <v>950</v>
      </c>
      <c r="AR112" s="108" t="n">
        <v>13</v>
      </c>
      <c r="AS112" s="117" t="n">
        <v>1.303030303030303</v>
      </c>
      <c r="AT112" s="112" t="n">
        <v>-0.07523510971786829</v>
      </c>
      <c r="AU112" s="118" t="inlineStr">
        <is>
          <t>N</t>
        </is>
      </c>
      <c r="AV112" s="118" t="inlineStr">
        <is>
          <t>none</t>
        </is>
      </c>
      <c r="AW112" s="124" t="n"/>
      <c r="AX112" s="119" t="n">
        <v>54.99</v>
      </c>
      <c r="AY112" s="118" t="inlineStr">
        <is>
          <t>coupon $15</t>
        </is>
      </c>
      <c r="AZ112" s="118" t="inlineStr">
        <is>
          <t>Y</t>
        </is>
      </c>
      <c r="BA112" s="118" t="inlineStr">
        <is>
          <t>2026-10-13 23:35:38</t>
        </is>
      </c>
      <c r="BB112" s="120" t="inlineStr">
        <is>
          <t>None</t>
        </is>
      </c>
      <c r="BC112" s="125" t="n"/>
      <c r="BD112" s="121" t="n">
        <v>54.99</v>
      </c>
      <c r="BE112" s="121" t="n">
        <v>54.99</v>
      </c>
      <c r="BF112" s="110">
        <f>IF(AND(ISNUMBER(BD112),ISNUMBER(BE112),N(BD112)&gt;0),1-BE112/BD112,"")</f>
        <v/>
      </c>
      <c r="BG112" s="122" t="n">
        <v>49325</v>
      </c>
      <c r="BH112" s="122" t="n">
        <v>57116</v>
      </c>
      <c r="BI112" s="123">
        <f>IF(AND(ISNUMBER(BG112),ISNUMBER(BH112),N(BH112)&gt;0),BG112/BH112,"")</f>
        <v/>
      </c>
      <c r="BJ112" s="120" t="inlineStr">
        <is>
          <t>N</t>
        </is>
      </c>
      <c r="BK112" s="120" t="inlineStr">
        <is>
          <t>List Price $54.99</t>
        </is>
      </c>
    </row>
    <row r="113" ht="62" customHeight="1">
      <c r="A113" s="12">
        <f>_xlfn.IMAGE("https://images-na.ssl-images-amazon.com/images/I/91dfner9BkL.jpg")</f>
        <v/>
      </c>
      <c r="B113" s="105" t="inlineStr">
        <is>
          <t>Pure Bamboo</t>
        </is>
      </c>
      <c r="C113" s="39" t="inlineStr">
        <is>
          <t>Pure Bamboo King Sheets, Genuine 100% Organic Viscose Derived from Bamboo Bed Sheet Set, Luxuriously Soft &amp; Cooling, Double Stitching, 2 Year Quality Promise (King, Ivory)</t>
        </is>
      </c>
      <c r="D113" s="105" t="inlineStr">
        <is>
          <t>Aspirational</t>
        </is>
      </c>
      <c r="E113" s="133" t="inlineStr">
        <is>
          <t>Different product type</t>
        </is>
      </c>
      <c r="F113" s="105" t="inlineStr">
        <is>
          <t>Bamboo viscose</t>
        </is>
      </c>
      <c r="G113" s="39" t="inlineStr">
        <is>
          <t>Sells a sheet set; ours is a fitted sheet.</t>
        </is>
      </c>
      <c r="H113" s="107" t="inlineStr">
        <is>
          <t>B0CZQ52MTQ</t>
        </is>
      </c>
      <c r="I113" s="107" t="inlineStr">
        <is>
          <t>B07DZTQ4JC</t>
        </is>
      </c>
      <c r="J113" s="105" t="inlineStr">
        <is>
          <t>King</t>
        </is>
      </c>
      <c r="K113" s="105" t="inlineStr">
        <is>
          <t>Ivory</t>
        </is>
      </c>
      <c r="L113" s="108" t="n">
        <v>181</v>
      </c>
      <c r="M113" s="39" t="inlineStr">
        <is>
          <t>B07MZ4GKZH (30%), B079RXWGSD (12%), B07DZTQ4JC (11%), B074CHDX7V (10%), B07DZMB498 (5%)</t>
        </is>
      </c>
      <c r="N113" s="109" t="n">
        <v>109.99</v>
      </c>
      <c r="O113" s="109" t="n"/>
      <c r="P113" s="110">
        <f>IF(AND(ISNUMBER(O113),ISNUMBER(N113),N(N113)&gt;0),O113/N113-1,"")</f>
        <v/>
      </c>
      <c r="Q113" s="111">
        <f>IF(P113="","No List Price",IF(P113&lt;=0,"At/below price",IF(P113&lt;=0.12,"&lt;=12% STR zone",IF(P113&lt;=0.25,"12-25%","&gt;25% over"))))</f>
        <v/>
      </c>
      <c r="R113" s="109" t="n">
        <v>39.99</v>
      </c>
      <c r="S113" s="112">
        <f>IF(AND(ISNUMBER(N113),ISNUMBER(R113),N(R113)&gt;0),N113/R113-1,"")</f>
        <v/>
      </c>
      <c r="T113" s="39" t="inlineStr">
        <is>
          <t>Same size (King). Ours live: catalog price, 2026-10-13; 10 children</t>
        </is>
      </c>
      <c r="U113" s="108" t="n">
        <v>304</v>
      </c>
      <c r="V113" s="108" t="n">
        <v>809</v>
      </c>
      <c r="W113" s="113">
        <f>IF(AND(ISNUMBER(N113),ISNUMBER(V113)),N113*V113*52/12,"")</f>
        <v/>
      </c>
      <c r="X113" s="114" t="n">
        <v>4.5</v>
      </c>
      <c r="Y113" s="108" t="n">
        <v>21927</v>
      </c>
      <c r="Z113" s="115" t="n">
        <v>46307</v>
      </c>
      <c r="AA113" s="115" t="n">
        <v>43281</v>
      </c>
      <c r="AB113" s="105" t="inlineStr">
        <is>
          <t>FBA</t>
        </is>
      </c>
      <c r="AC113" s="105" t="inlineStr">
        <is>
          <t>US</t>
        </is>
      </c>
      <c r="AD113" s="108" t="n">
        <v>2565055</v>
      </c>
      <c r="AE113" s="108" t="n">
        <v>8283</v>
      </c>
      <c r="AF113" s="116" t="n">
        <v>0.4648594811807159</v>
      </c>
      <c r="AG113" s="116" t="n">
        <v>0.5351407059497737</v>
      </c>
      <c r="AH113" s="39" t="inlineStr">
        <is>
          <t>bamboo sheets</t>
        </is>
      </c>
      <c r="AI113" s="116" t="n">
        <v>0.8806310196077667</v>
      </c>
      <c r="AJ113" s="116" t="n">
        <v>0.8210506207469236</v>
      </c>
      <c r="AK113" s="116" t="n">
        <v>0.8831019217911507</v>
      </c>
      <c r="AL113" s="116" t="n">
        <v>0.2663467255088098</v>
      </c>
      <c r="AM113" s="108" t="n">
        <v>372</v>
      </c>
      <c r="AN113" s="108" t="n">
        <v>56</v>
      </c>
      <c r="AO113" s="108" t="n">
        <v>287</v>
      </c>
      <c r="AP113" s="108" t="n">
        <v>7911</v>
      </c>
      <c r="AQ113" s="108" t="n">
        <v>3797</v>
      </c>
      <c r="AR113" s="108" t="n">
        <v>16</v>
      </c>
      <c r="AS113" s="117" t="n">
        <v>1.180104147961932</v>
      </c>
      <c r="AT113" s="112" t="n">
        <v>1.570823710546574</v>
      </c>
      <c r="AU113" s="118" t="inlineStr">
        <is>
          <t>N</t>
        </is>
      </c>
      <c r="AV113" s="118" t="inlineStr">
        <is>
          <t>none</t>
        </is>
      </c>
      <c r="AW113" s="124" t="n"/>
      <c r="AX113" s="119" t="n">
        <v>109.99</v>
      </c>
      <c r="AY113" s="118" t="inlineStr">
        <is>
          <t>none</t>
        </is>
      </c>
      <c r="AZ113" s="118" t="inlineStr">
        <is>
          <t>Y</t>
        </is>
      </c>
      <c r="BA113" s="118" t="inlineStr">
        <is>
          <t>2026-10-13 12:11:16</t>
        </is>
      </c>
      <c r="BB113" s="120" t="inlineStr">
        <is>
          <t>None</t>
        </is>
      </c>
      <c r="BC113" s="125" t="n"/>
      <c r="BD113" s="121" t="n">
        <v>109.99</v>
      </c>
      <c r="BE113" s="121" t="n">
        <v>109.99</v>
      </c>
      <c r="BF113" s="110">
        <f>IF(AND(ISNUMBER(BD113),ISNUMBER(BE113),N(BD113)&gt;0),1-BE113/BD113,"")</f>
        <v/>
      </c>
      <c r="BG113" s="122" t="n">
        <v>287</v>
      </c>
      <c r="BH113" s="122" t="n">
        <v>598</v>
      </c>
      <c r="BI113" s="123">
        <f>IF(AND(ISNUMBER(BG113),ISNUMBER(BH113),N(BH113)&gt;0),BG113/BH113,"")</f>
        <v/>
      </c>
      <c r="BJ113" s="120" t="inlineStr">
        <is>
          <t>N</t>
        </is>
      </c>
      <c r="BK113" s="120" t="inlineStr">
        <is>
          <t>List Price $139.99/$149.99</t>
        </is>
      </c>
    </row>
    <row r="114" ht="62" customHeight="1">
      <c r="A114" s="12">
        <f>_xlfn.IMAGE("https://images-na.ssl-images-amazon.com/images/I/81suQgVR0GL.jpg")</f>
        <v/>
      </c>
      <c r="B114" s="105" t="inlineStr">
        <is>
          <t>Bedsure</t>
        </is>
      </c>
      <c r="C114" s="39" t="inlineStr">
        <is>
          <t>Bedsure PureWoven Organically Grown Bamboo Viscose Queen Sheet Set, 4PCS</t>
        </is>
      </c>
      <c r="D114" s="105" t="inlineStr">
        <is>
          <t>Beatable</t>
        </is>
      </c>
      <c r="E114" s="133" t="inlineStr">
        <is>
          <t>Different product type</t>
        </is>
      </c>
      <c r="F114" s="105" t="inlineStr">
        <is>
          <t>Bamboo viscose</t>
        </is>
      </c>
      <c r="G114" s="39" t="inlineStr">
        <is>
          <t>Sells a sheet set; ours is a fitted sheet.</t>
        </is>
      </c>
      <c r="H114" s="107" t="inlineStr">
        <is>
          <t>B0FB8XS4D1</t>
        </is>
      </c>
      <c r="I114" s="107" t="inlineStr">
        <is>
          <t>B0FB8XR43Q</t>
        </is>
      </c>
      <c r="J114" s="105" t="inlineStr">
        <is>
          <t>Queen</t>
        </is>
      </c>
      <c r="K114" s="105" t="inlineStr">
        <is>
          <t>01 - White</t>
        </is>
      </c>
      <c r="L114" s="108" t="n">
        <v>39</v>
      </c>
      <c r="M114" s="39" t="inlineStr">
        <is>
          <t>B0FB8XR43Q (31%), B0FB8ZTD7M (18%), B0GLN6VP9Y (11%), B0FB8YV6C7 (10%), B0FB8Z4GGW (10%)</t>
        </is>
      </c>
      <c r="N114" s="109" t="n">
        <v>89.98999999999999</v>
      </c>
      <c r="O114" s="109" t="n">
        <v>119.99</v>
      </c>
      <c r="P114" s="110">
        <f>IF(AND(ISNUMBER(O114),ISNUMBER(N114),N(N114)&gt;0),O114/N114-1,"")</f>
        <v/>
      </c>
      <c r="Q114" s="111">
        <f>IF(P114="","No List Price",IF(P114&lt;=0,"At/below price",IF(P114&lt;=0.12,"&lt;=12% STR zone",IF(P114&lt;=0.25,"12-25%","&gt;25% over"))))</f>
        <v/>
      </c>
      <c r="R114" s="109" t="n">
        <v>37.99</v>
      </c>
      <c r="S114" s="112">
        <f>IF(AND(ISNUMBER(N114),ISNUMBER(R114),N(R114)&gt;0),N114/R114-1,"")</f>
        <v/>
      </c>
      <c r="T114" s="39" t="inlineStr">
        <is>
          <t>Same size (Queen). Ours live: catalog price, 2026-10-13; 10 children</t>
        </is>
      </c>
      <c r="U114" s="108" t="n">
        <v>8938</v>
      </c>
      <c r="V114" s="108" t="n">
        <v>104</v>
      </c>
      <c r="W114" s="113">
        <f>IF(AND(ISNUMBER(N114),ISNUMBER(V114)),N114*V114*52/12,"")</f>
        <v/>
      </c>
      <c r="X114" s="114" t="n">
        <v>4.5</v>
      </c>
      <c r="Y114" s="108" t="n">
        <v>588</v>
      </c>
      <c r="Z114" s="115" t="n">
        <v>46307</v>
      </c>
      <c r="AA114" s="115" t="n">
        <v>45936</v>
      </c>
      <c r="AB114" s="105" t="inlineStr">
        <is>
          <t>FBA</t>
        </is>
      </c>
      <c r="AC114" s="105" t="inlineStr">
        <is>
          <t>US</t>
        </is>
      </c>
      <c r="AD114" s="108" t="n">
        <v>840292</v>
      </c>
      <c r="AE114" s="108" t="n">
        <v>3961</v>
      </c>
      <c r="AF114" s="116" t="n">
        <v>0.1404099194089678</v>
      </c>
      <c r="AG114" s="116" t="n">
        <v>0.8595901834124341</v>
      </c>
      <c r="AH114" s="39" t="inlineStr">
        <is>
          <t>bamboo sheets</t>
        </is>
      </c>
      <c r="AI114" s="116" t="n">
        <v>0.9284082199997143</v>
      </c>
      <c r="AJ114" s="116" t="n">
        <v>0.9843340172225845</v>
      </c>
      <c r="AK114" s="116" t="n">
        <v>0.5269953777972419</v>
      </c>
      <c r="AL114" s="116" t="n">
        <v>0.000478405125837209</v>
      </c>
      <c r="AM114" s="108" t="n">
        <v>348</v>
      </c>
      <c r="AN114" s="108" t="n">
        <v>58</v>
      </c>
      <c r="AO114" s="108" t="n">
        <v>268</v>
      </c>
      <c r="AP114" s="108" t="n">
        <v>3613</v>
      </c>
      <c r="AQ114" s="108" t="n">
        <v>2465</v>
      </c>
      <c r="AR114" s="108" t="n">
        <v>18</v>
      </c>
      <c r="AS114" s="117" t="n">
        <v>1.764832022873481</v>
      </c>
      <c r="AT114" s="112" t="n">
        <v>-0.09047044632086854</v>
      </c>
      <c r="AU114" s="118" t="inlineStr">
        <is>
          <t>Y</t>
        </is>
      </c>
      <c r="AV114" s="118" t="inlineStr">
        <is>
          <t>List Price</t>
        </is>
      </c>
      <c r="AW114" s="119" t="n">
        <v>119.99</v>
      </c>
      <c r="AX114" s="119" t="n">
        <v>89.98999999999999</v>
      </c>
      <c r="AY114" s="118" t="inlineStr">
        <is>
          <t>none</t>
        </is>
      </c>
      <c r="AZ114" s="118" t="inlineStr">
        <is>
          <t>Y</t>
        </is>
      </c>
      <c r="BA114" s="118" t="inlineStr">
        <is>
          <t>2026-10-13 12:10:38</t>
        </is>
      </c>
      <c r="BB114" s="120" t="inlineStr">
        <is>
          <t>Prime Exclusive Discount</t>
        </is>
      </c>
      <c r="BC114" s="120" t="inlineStr">
        <is>
          <t>11-10 to 12-05</t>
        </is>
      </c>
      <c r="BD114" s="121" t="n">
        <v>99.98999999999999</v>
      </c>
      <c r="BE114" s="121" t="n">
        <v>72.64</v>
      </c>
      <c r="BF114" s="110">
        <f>IF(AND(ISNUMBER(BD114),ISNUMBER(BE114),N(BD114)&gt;0),1-BE114/BD114,"")</f>
        <v/>
      </c>
      <c r="BG114" s="122" t="n">
        <v>53160</v>
      </c>
      <c r="BH114" s="122" t="n">
        <v>53782</v>
      </c>
      <c r="BI114" s="123">
        <f>IF(AND(ISNUMBER(BG114),ISNUMBER(BH114),N(BH114)&gt;0),BG114/BH114,"")</f>
        <v/>
      </c>
      <c r="BJ114" s="120" t="inlineStr">
        <is>
          <t>N</t>
        </is>
      </c>
      <c r="BK114" s="120" t="inlineStr">
        <is>
          <t>Prime Exclusive already running before BFCM week; List Price $114.99</t>
        </is>
      </c>
    </row>
    <row r="115" ht="62" customHeight="1">
      <c r="A115" s="12">
        <f>_xlfn.IMAGE("https://m.media-amazon.com/images/I/818EX2hLSoL._AC_SL1500_.jpg")</f>
        <v/>
      </c>
      <c r="B115" s="105" t="inlineStr">
        <is>
          <t>OMERAI</t>
        </is>
      </c>
      <c r="C115" s="39" t="inlineStr">
        <is>
          <t>Cooling Sheets</t>
        </is>
      </c>
      <c r="D115" s="105" t="inlineStr">
        <is>
          <t>Beatable</t>
        </is>
      </c>
      <c r="E115" s="133" t="inlineStr">
        <is>
          <t>Different product type</t>
        </is>
      </c>
      <c r="F115" s="105" t="inlineStr">
        <is>
          <t>Microfiber / polyester</t>
        </is>
      </c>
      <c r="G115" s="39" t="inlineStr">
        <is>
          <t>Sells a sheet set; ours is a fitted sheet.</t>
        </is>
      </c>
      <c r="H115" s="107" t="inlineStr">
        <is>
          <t>B0HDC7BMTC</t>
        </is>
      </c>
      <c r="I115" s="107" t="inlineStr">
        <is>
          <t>B0FX8K1CG9</t>
        </is>
      </c>
      <c r="J115" s="105" t="inlineStr">
        <is>
          <t>King 4 PC</t>
        </is>
      </c>
      <c r="K115" s="105" t="inlineStr">
        <is>
          <t>Blue</t>
        </is>
      </c>
      <c r="L115" s="108" t="n">
        <v>10</v>
      </c>
      <c r="M115" s="39" t="inlineStr">
        <is>
          <t>B0BM9K24ST (46%), B0BM9GLKYV (43%)</t>
        </is>
      </c>
      <c r="N115" s="109" t="n">
        <v>42.99</v>
      </c>
      <c r="O115" s="109" t="n">
        <v>59.99</v>
      </c>
      <c r="P115" s="110">
        <f>IF(AND(ISNUMBER(O115),ISNUMBER(N115),N(N115)&gt;0),O115/N115-1,"")</f>
        <v/>
      </c>
      <c r="Q115" s="111">
        <f>IF(P115="","No List Price",IF(P115&lt;=0,"At/below price",IF(P115&lt;=0.12,"&lt;=12% STR zone",IF(P115&lt;=0.25,"12-25%","&gt;25% over"))))</f>
        <v/>
      </c>
      <c r="R115" s="109" t="n">
        <v>39.99</v>
      </c>
      <c r="S115" s="112">
        <f>IF(AND(ISNUMBER(N115),ISNUMBER(R115),N(R115)&gt;0),N115/R115-1,"")</f>
        <v/>
      </c>
      <c r="T115" s="39" t="inlineStr">
        <is>
          <t>Same size (King). Ours live: catalog price, 2026-10-13; 10 children</t>
        </is>
      </c>
      <c r="U115" s="108" t="n">
        <v>115669</v>
      </c>
      <c r="V115" s="108" t="n">
        <v>5</v>
      </c>
      <c r="W115" s="113">
        <f>IF(AND(ISNUMBER(N115),ISNUMBER(V115)),N115*V115*52/12,"")</f>
        <v/>
      </c>
      <c r="X115" s="114" t="n">
        <v>4.7</v>
      </c>
      <c r="Y115" s="108" t="n">
        <v>4</v>
      </c>
      <c r="Z115" s="115" t="n">
        <v>46307</v>
      </c>
      <c r="AA115" s="115" t="n"/>
      <c r="AB115" s="105" t="n"/>
      <c r="AC115" s="105" t="n"/>
      <c r="AD115" s="108" t="n">
        <v>13712</v>
      </c>
      <c r="AE115" s="108" t="n">
        <v>332</v>
      </c>
      <c r="AF115" s="116" t="n">
        <v>0.8852072199533255</v>
      </c>
      <c r="AG115" s="116" t="n">
        <v>0.1147927800466745</v>
      </c>
      <c r="AH115" s="39" t="inlineStr">
        <is>
          <t>cooling sheets queen</t>
        </is>
      </c>
      <c r="AI115" s="116" t="n">
        <v>0.8668319719953326</v>
      </c>
      <c r="AJ115" s="116" t="n"/>
      <c r="AK115" s="116" t="n"/>
      <c r="AL115" s="116" t="n"/>
      <c r="AM115" s="108" t="n">
        <v>113</v>
      </c>
      <c r="AN115" s="108" t="n">
        <v>40</v>
      </c>
      <c r="AO115" s="108" t="n">
        <v>65</v>
      </c>
      <c r="AP115" s="108" t="n">
        <v>219</v>
      </c>
      <c r="AQ115" s="108" t="n">
        <v>56</v>
      </c>
      <c r="AR115" s="108" t="n">
        <v>6</v>
      </c>
      <c r="AS115" s="117" t="n"/>
      <c r="AT115" s="112" t="n"/>
      <c r="AU115" s="118" t="inlineStr">
        <is>
          <t>Y</t>
        </is>
      </c>
      <c r="AV115" s="118" t="inlineStr">
        <is>
          <t>List Price</t>
        </is>
      </c>
      <c r="AW115" s="119" t="n">
        <v>59.99</v>
      </c>
      <c r="AX115" s="119" t="n">
        <v>42.99</v>
      </c>
      <c r="AY115" s="118" t="inlineStr">
        <is>
          <t>coupon 20%</t>
        </is>
      </c>
      <c r="AZ115" s="118" t="inlineStr">
        <is>
          <t>Y</t>
        </is>
      </c>
      <c r="BA115" s="118" t="inlineStr">
        <is>
          <t>2026-10-13 12:12:04</t>
        </is>
      </c>
      <c r="BB115" s="120" t="inlineStr">
        <is>
          <t>Not live in 2025</t>
        </is>
      </c>
      <c r="BC115" s="125" t="n"/>
      <c r="BD115" s="124" t="n"/>
      <c r="BE115" s="124" t="n"/>
      <c r="BF115" s="110">
        <f>IF(AND(ISNUMBER(BD115),ISNUMBER(BE115),N(BD115)&gt;0),1-BE115/BD115,"")</f>
        <v/>
      </c>
      <c r="BG115" s="126" t="n"/>
      <c r="BH115" s="126" t="n"/>
      <c r="BI115" s="123">
        <f>IF(AND(ISNUMBER(BG115),ISNUMBER(BH115),N(BH115)&gt;0),BG115/BH115,"")</f>
        <v/>
      </c>
      <c r="BJ115" s="125" t="n"/>
      <c r="BK115" s="125" t="n"/>
    </row>
    <row r="116" ht="62" customHeight="1">
      <c r="A116" s="12">
        <f>_xlfn.IMAGE("https://images-na.ssl-images-amazon.com/images/I/81L2xb5ly6L.jpg")</f>
        <v/>
      </c>
      <c r="B116" s="105" t="inlineStr">
        <is>
          <t>Bedsure</t>
        </is>
      </c>
      <c r="C116" s="39" t="inlineStr">
        <is>
          <t>Bedsure PureWoven 100% Rayon Derived from Bamboo, Queen Sheets, 4 Pieces</t>
        </is>
      </c>
      <c r="D116" s="105" t="inlineStr">
        <is>
          <t>Untiered</t>
        </is>
      </c>
      <c r="E116" s="133" t="inlineStr">
        <is>
          <t>Different product type</t>
        </is>
      </c>
      <c r="F116" s="105" t="inlineStr">
        <is>
          <t>Bamboo viscose</t>
        </is>
      </c>
      <c r="G116" s="39" t="inlineStr">
        <is>
          <t>Sells a sheet set; ours is a fitted sheet.</t>
        </is>
      </c>
      <c r="H116" s="107" t="inlineStr">
        <is>
          <t>B0BZ8T5BJ6</t>
        </is>
      </c>
      <c r="I116" s="107" t="inlineStr">
        <is>
          <t>B07YK8VTJV</t>
        </is>
      </c>
      <c r="J116" s="105" t="inlineStr">
        <is>
          <t>Queen</t>
        </is>
      </c>
      <c r="K116" s="105" t="inlineStr">
        <is>
          <t>02 - White</t>
        </is>
      </c>
      <c r="L116" s="108" t="n">
        <v>131</v>
      </c>
      <c r="M116" s="39" t="inlineStr">
        <is>
          <t>B07YKCZHGK (29%), B07YK8VTJV (19%), B07YKCQBBL (14%), B07YKCB6GL (9%), B08CXWHQT2 (6%)</t>
        </is>
      </c>
      <c r="N116" s="109" t="n">
        <v>62.99</v>
      </c>
      <c r="O116" s="109" t="n">
        <v>69.98999999999999</v>
      </c>
      <c r="P116" s="110">
        <f>IF(AND(ISNUMBER(O116),ISNUMBER(N116),N(N116)&gt;0),O116/N116-1,"")</f>
        <v/>
      </c>
      <c r="Q116" s="111">
        <f>IF(P116="","No List Price",IF(P116&lt;=0,"At/below price",IF(P116&lt;=0.12,"&lt;=12% STR zone",IF(P116&lt;=0.25,"12-25%","&gt;25% over"))))</f>
        <v/>
      </c>
      <c r="R116" s="109" t="n">
        <v>37.99</v>
      </c>
      <c r="S116" s="112">
        <f>IF(AND(ISNUMBER(N116),ISNUMBER(R116),N(R116)&gt;0),N116/R116-1,"")</f>
        <v/>
      </c>
      <c r="T116" s="39" t="inlineStr">
        <is>
          <t>Same size (Queen). Ours live: catalog price, 2026-10-13; 10 children</t>
        </is>
      </c>
      <c r="U116" s="108" t="n">
        <v>256</v>
      </c>
      <c r="V116" s="108" t="n">
        <v>809</v>
      </c>
      <c r="W116" s="113">
        <f>IF(AND(ISNUMBER(N116),ISNUMBER(V116)),N116*V116*52/12,"")</f>
        <v/>
      </c>
      <c r="X116" s="114" t="n">
        <v>4.4</v>
      </c>
      <c r="Y116" s="108" t="n">
        <v>65061</v>
      </c>
      <c r="Z116" s="115" t="n">
        <v>46307</v>
      </c>
      <c r="AA116" s="115" t="n">
        <v>43348</v>
      </c>
      <c r="AB116" s="105" t="inlineStr">
        <is>
          <t>FBA</t>
        </is>
      </c>
      <c r="AC116" s="105" t="inlineStr">
        <is>
          <t>US</t>
        </is>
      </c>
      <c r="AD116" s="108" t="n">
        <v>2166046</v>
      </c>
      <c r="AE116" s="108" t="n">
        <v>6935</v>
      </c>
      <c r="AF116" s="116" t="n">
        <v>0.5902383405984899</v>
      </c>
      <c r="AG116" s="116" t="n">
        <v>0.4097618027040986</v>
      </c>
      <c r="AH116" s="39" t="inlineStr">
        <is>
          <t>bamboo sheets</t>
        </is>
      </c>
      <c r="AI116" s="116" t="n">
        <v>0.9388327856379781</v>
      </c>
      <c r="AJ116" s="116" t="n">
        <v>0.9371818511702891</v>
      </c>
      <c r="AK116" s="116" t="n">
        <v>0.6488394059959945</v>
      </c>
      <c r="AL116" s="116" t="n">
        <v>0.3206907886536112</v>
      </c>
      <c r="AM116" s="108" t="n">
        <v>383</v>
      </c>
      <c r="AN116" s="108" t="n">
        <v>47</v>
      </c>
      <c r="AO116" s="108" t="n">
        <v>301</v>
      </c>
      <c r="AP116" s="108" t="n">
        <v>6552</v>
      </c>
      <c r="AQ116" s="108" t="n">
        <v>3470</v>
      </c>
      <c r="AR116" s="108" t="n">
        <v>14</v>
      </c>
      <c r="AS116" s="117" t="n">
        <v>1.066623404715553</v>
      </c>
      <c r="AT116" s="112" t="n">
        <v>-0.05727665706051865</v>
      </c>
      <c r="AU116" s="118" t="inlineStr">
        <is>
          <t>Y</t>
        </is>
      </c>
      <c r="AV116" s="118" t="inlineStr">
        <is>
          <t>List Price</t>
        </is>
      </c>
      <c r="AW116" s="119" t="n">
        <v>69.98999999999999</v>
      </c>
      <c r="AX116" s="119" t="n">
        <v>62.99</v>
      </c>
      <c r="AY116" s="118" t="inlineStr">
        <is>
          <t>none</t>
        </is>
      </c>
      <c r="AZ116" s="118" t="inlineStr">
        <is>
          <t>Y</t>
        </is>
      </c>
      <c r="BA116" s="118" t="inlineStr">
        <is>
          <t>2026-10-13 12:10:35</t>
        </is>
      </c>
      <c r="BB116" s="120" t="inlineStr">
        <is>
          <t>Prime Exclusive Discount</t>
        </is>
      </c>
      <c r="BC116" s="120" t="inlineStr">
        <is>
          <t>11-23 to 12-01</t>
        </is>
      </c>
      <c r="BD116" s="121" t="n">
        <v>66.48999999999999</v>
      </c>
      <c r="BE116" s="121" t="n">
        <v>55.99</v>
      </c>
      <c r="BF116" s="110">
        <f>IF(AND(ISNUMBER(BD116),ISNUMBER(BE116),N(BD116)&gt;0),1-BE116/BD116,"")</f>
        <v/>
      </c>
      <c r="BG116" s="122" t="n">
        <v>156</v>
      </c>
      <c r="BH116" s="122" t="n">
        <v>228</v>
      </c>
      <c r="BI116" s="123">
        <f>IF(AND(ISNUMBER(BG116),ISNUMBER(BH116),N(BH116)&gt;0),BG116/BH116,"")</f>
        <v/>
      </c>
      <c r="BJ116" s="120" t="inlineStr">
        <is>
          <t>N</t>
        </is>
      </c>
      <c r="BK116" s="120" t="inlineStr">
        <is>
          <t>Buy Box RAISED in BFCM week (median $69.99 vs $66.49 before); List Price $78.99</t>
        </is>
      </c>
    </row>
    <row r="117" ht="62" customHeight="1">
      <c r="A117" s="12">
        <f>_xlfn.IMAGE("https://m.media-amazon.com/images/I/71lWpVXtIFL._AC_SL1500_.jpg")</f>
        <v/>
      </c>
      <c r="B117" s="105" t="inlineStr">
        <is>
          <t>REST</t>
        </is>
      </c>
      <c r="C117" s="39" t="inlineStr">
        <is>
          <t>Cooling Sheets</t>
        </is>
      </c>
      <c r="D117" s="105" t="inlineStr">
        <is>
          <t>Untiered</t>
        </is>
      </c>
      <c r="E117" s="133" t="inlineStr">
        <is>
          <t>Different product type</t>
        </is>
      </c>
      <c r="F117" s="105" t="inlineStr">
        <is>
          <t>Synthetic cooling knit</t>
        </is>
      </c>
      <c r="G117" s="39" t="inlineStr">
        <is>
          <t>Sells a sheet set; ours is a fitted sheet.</t>
        </is>
      </c>
      <c r="H117" s="107" t="inlineStr">
        <is>
          <t>B0HC6866B7</t>
        </is>
      </c>
      <c r="I117" s="107" t="inlineStr">
        <is>
          <t>B0D9JHBBCZ</t>
        </is>
      </c>
      <c r="J117" s="105" t="inlineStr">
        <is>
          <t>Queen</t>
        </is>
      </c>
      <c r="K117" s="105" t="inlineStr">
        <is>
          <t>Midnight Blue</t>
        </is>
      </c>
      <c r="L117" s="108" t="n">
        <v>69</v>
      </c>
      <c r="M117" s="39" t="inlineStr">
        <is>
          <t>B0C56ZNQVQ (16%), B0BLYSGFRW (15%), B0BLYVMGYB (7%), B0BLYW9CJZ (7%), B0C56YLKZW (7%)</t>
        </is>
      </c>
      <c r="N117" s="109" t="n">
        <v>224.25</v>
      </c>
      <c r="O117" s="109" t="n">
        <v>299</v>
      </c>
      <c r="P117" s="110">
        <f>IF(AND(ISNUMBER(O117),ISNUMBER(N117),N(N117)&gt;0),O117/N117-1,"")</f>
        <v/>
      </c>
      <c r="Q117" s="111">
        <f>IF(P117="","No List Price",IF(P117&lt;=0,"At/below price",IF(P117&lt;=0.12,"&lt;=12% STR zone",IF(P117&lt;=0.25,"12-25%","&gt;25% over"))))</f>
        <v/>
      </c>
      <c r="R117" s="109" t="n">
        <v>37.99</v>
      </c>
      <c r="S117" s="112">
        <f>IF(AND(ISNUMBER(N117),ISNUMBER(R117),N(R117)&gt;0),N117/R117-1,"")</f>
        <v/>
      </c>
      <c r="T117" s="39" t="inlineStr">
        <is>
          <t>Same size (Queen). Ours live: catalog price, 2026-10-13; 10 children</t>
        </is>
      </c>
      <c r="U117" s="108" t="n">
        <v>5255</v>
      </c>
      <c r="V117" s="108" t="n">
        <v>81</v>
      </c>
      <c r="W117" s="113">
        <f>IF(AND(ISNUMBER(N117),ISNUMBER(V117)),N117*V117*52/12,"")</f>
        <v/>
      </c>
      <c r="X117" s="114" t="n">
        <v>4.3</v>
      </c>
      <c r="Y117" s="108" t="n">
        <v>1149</v>
      </c>
      <c r="Z117" s="115" t="n">
        <v>46307</v>
      </c>
      <c r="AA117" s="115" t="n"/>
      <c r="AB117" s="105" t="n"/>
      <c r="AC117" s="105" t="n"/>
      <c r="AD117" s="108" t="n">
        <v>522593</v>
      </c>
      <c r="AE117" s="108" t="n">
        <v>7281</v>
      </c>
      <c r="AF117" s="116" t="n">
        <v>0.2234137663535486</v>
      </c>
      <c r="AG117" s="116" t="n">
        <v>0.7765862336464519</v>
      </c>
      <c r="AH117" s="39" t="inlineStr">
        <is>
          <t>cooling sheets</t>
        </is>
      </c>
      <c r="AI117" s="116" t="n">
        <v>0.7800085343661319</v>
      </c>
      <c r="AJ117" s="116" t="n">
        <v>0.8614600654811679</v>
      </c>
      <c r="AK117" s="116" t="n">
        <v>0.4534561312531932</v>
      </c>
      <c r="AL117" s="116" t="n">
        <v>0.1182067115326841</v>
      </c>
      <c r="AM117" s="108" t="n">
        <v>257</v>
      </c>
      <c r="AN117" s="108" t="n">
        <v>69</v>
      </c>
      <c r="AO117" s="108" t="n">
        <v>162</v>
      </c>
      <c r="AP117" s="108" t="n">
        <v>7024</v>
      </c>
      <c r="AQ117" s="108" t="n">
        <v>3287</v>
      </c>
      <c r="AR117" s="108" t="n">
        <v>15</v>
      </c>
      <c r="AS117" s="117" t="n"/>
      <c r="AT117" s="112" t="n"/>
      <c r="AU117" s="118" t="inlineStr">
        <is>
          <t>Y</t>
        </is>
      </c>
      <c r="AV117" s="118" t="inlineStr">
        <is>
          <t>List Price</t>
        </is>
      </c>
      <c r="AW117" s="119" t="n">
        <v>299</v>
      </c>
      <c r="AX117" s="119" t="n">
        <v>224.25</v>
      </c>
      <c r="AY117" s="118" t="inlineStr">
        <is>
          <t>none</t>
        </is>
      </c>
      <c r="AZ117" s="118" t="inlineStr">
        <is>
          <t>Y</t>
        </is>
      </c>
      <c r="BA117" s="118" t="inlineStr">
        <is>
          <t>2026-10-13 12:12:07</t>
        </is>
      </c>
      <c r="BB117" s="120" t="inlineStr">
        <is>
          <t>Price cut only</t>
        </is>
      </c>
      <c r="BC117" s="120" t="inlineStr">
        <is>
          <t>11-20 to 12-01</t>
        </is>
      </c>
      <c r="BD117" s="121" t="n">
        <v>299</v>
      </c>
      <c r="BE117" s="121" t="n">
        <v>215.88</v>
      </c>
      <c r="BF117" s="110">
        <f>IF(AND(ISNUMBER(BD117),ISNUMBER(BE117),N(BD117)&gt;0),1-BE117/BD117,"")</f>
        <v/>
      </c>
      <c r="BG117" s="122" t="n">
        <v>30243</v>
      </c>
      <c r="BH117" s="122" t="n">
        <v>15706</v>
      </c>
      <c r="BI117" s="123">
        <f>IF(AND(ISNUMBER(BG117),ISNUMBER(BH117),N(BH117)&gt;0),BG117/BH117,"")</f>
        <v/>
      </c>
      <c r="BJ117" s="120" t="inlineStr">
        <is>
          <t>N</t>
        </is>
      </c>
      <c r="BK117" s="120" t="inlineStr">
        <is>
          <t>Lightning Deal 11-14 to 11-14; List Price $299.00</t>
        </is>
      </c>
    </row>
    <row r="118"/>
    <row r="119" ht="22" customHeight="1">
      <c r="A119" s="65" t="inlineStr">
        <is>
          <t>5 ▼</t>
        </is>
      </c>
      <c r="B119" s="66" t="inlineStr">
        <is>
          <t>WHAT THIS MEANS FOR BFCM</t>
        </is>
      </c>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c r="AC119" s="67" t="n"/>
      <c r="AD119" s="67" t="n"/>
      <c r="AE119" s="67" t="n"/>
      <c r="AF119" s="67" t="n"/>
      <c r="AG119" s="67" t="n"/>
      <c r="AH119" s="67" t="n"/>
      <c r="AI119" s="67" t="n"/>
      <c r="AJ119" s="67" t="n"/>
      <c r="AK119" s="67" t="n"/>
      <c r="AL119" s="67" t="n"/>
      <c r="AM119" s="67" t="n"/>
      <c r="AN119" s="67" t="n"/>
      <c r="AO119" s="67" t="n"/>
      <c r="AP119" s="67" t="n"/>
      <c r="AQ119" s="67" t="n"/>
      <c r="AR119" s="67" t="n"/>
      <c r="AS119" s="67" t="n"/>
      <c r="AT119" s="67" t="n"/>
      <c r="AU119" s="67" t="n"/>
      <c r="AV119" s="67" t="n"/>
      <c r="AW119" s="67" t="n"/>
      <c r="AX119" s="67" t="n"/>
      <c r="AY119" s="67" t="n"/>
      <c r="AZ119" s="67" t="n"/>
      <c r="BA119" s="67" t="n"/>
      <c r="BB119" s="67" t="n"/>
      <c r="BC119" s="67" t="n"/>
      <c r="BD119" s="67" t="n"/>
      <c r="BE119" s="67" t="n"/>
      <c r="BF119" s="67" t="n"/>
      <c r="BG119" s="67" t="n"/>
      <c r="BH119" s="67" t="n"/>
      <c r="BI119" s="67" t="n"/>
      <c r="BJ119" s="67" t="n"/>
      <c r="BK119" s="67" t="n"/>
    </row>
    <row r="120" ht="30" customHeight="1">
      <c r="A120" s="129" t="inlineStr">
        <is>
          <t>• Who sells most: Pure Bamboo ~809/wk at $109.99; Bedsure ~809/wk at $62.99 (List $69.99, +11%); Bedsure ~104/wk at $89.99 (List $119.99, +33%); Zaizaihome ~81/wk at $29.99; Bedsure ~81/wk at $44.99. Tracked rivals ~2,050 units/wk; we sell ~128/wk (5.9% of the tracked set).</t>
        </is>
      </c>
    </row>
    <row r="121" ht="18" customHeight="1">
      <c r="A121" s="129" t="inlineStr">
        <is>
          <t>• Strikethrough: 5 of 11 rivals set a List Price above price; 1 within 12%: Bedsure +11%.</t>
        </is>
      </c>
    </row>
    <row r="122" ht="18" customHeight="1">
      <c r="A122" s="129" t="inlineStr">
        <is>
          <t>• Price: 2 of 11 rivals sit below our price today (same size where the title states one). Cheapest strong rivals: Zaizaihome $29.99.</t>
        </is>
      </c>
    </row>
    <row r="123" ht="30" customHeight="1">
      <c r="A123" s="129" t="inlineStr">
        <is>
          <t>• Strikethrough on the page today (Oct 13 check): 6 of 11 checked rivals show one: REST List Price $139.00 vs $111.20 (+25%), Bedsure List Price $49.99 vs $44.99 (+11%), Bedsure List Price $119.99 vs $89.99 (+33%), OMERAI List Price $59.99 vs $42.99 (+40%), Bedsure List Price $69.99 vs $62.99 (+11%), REST List Price $299.00 vs $224.25 (+33%).</t>
        </is>
      </c>
    </row>
    <row r="124" ht="30" customHeight="1">
      <c r="A124" s="129" t="inlineStr">
        <is>
          <t>• Search: we lose most shared keywords to Bedsure (we win 47, lose 301), Pure Bamboo (we win 56, lose 287), Bedsure (we win 58, lose 268). Biggest ad gaps (they advertise where we don't or harder): Pure Bamboo 3,797 + 16 KWs, Bedsure 3,470 + 14 KWs, Bedsure 2,465 + 18 KWs.</t>
        </is>
      </c>
    </row>
    <row r="125" ht="30" customHeight="1">
      <c r="A125" s="129" t="inlineStr">
        <is>
          <t>• Brand ads: REST (SB 60%, SBV 0%), Cozy Bliss (SB 0%, SBV 70%), Bedsure (SB 53%, SBV 0%), Pure Bamboo (SB 82%, SBV 88%), Bedsure (SB 98%, SBV 53%) hold Sponsored Brands / video on most of their traffic - the plan has our SB, SBV and display live by Nov 1.</t>
        </is>
      </c>
    </row>
    <row r="126" ht="18" customHeight="1">
      <c r="A126" s="129" t="inlineStr">
        <is>
          <t>• Our BFCM 2025: 0.98x daily sales in BFCM week vs the 30 days before; TACoS 0.0% vs 0.0% before; December 1.43x.</t>
        </is>
      </c>
    </row>
    <row r="127" ht="30" customHeight="1">
      <c r="A127" s="129" t="inlineStr">
        <is>
          <t>• BFCM 2025, 7 rivals with price history history: Prime Exclusive Discount 3, Price cut only 2, None 2. Median depth vs their Nov 1-19 price 14%; median BSR lift 0.96x. 2 raised their Buy Box in BFCM week, so their deal looked deeper than it was.</t>
        </is>
      </c>
    </row>
    <row r="128" ht="18" customHeight="1">
      <c r="A128" s="129" t="inlineStr">
        <is>
          <t>• 1 rival not in the price history pulls yet (yellow BFCM 2025 columns) - remaining P2 batches,.</t>
        </is>
      </c>
    </row>
  </sheetData>
  <autoFilter ref="B106:BK117"/>
  <mergeCells count="67">
    <mergeCell ref="A90:C90"/>
    <mergeCell ref="L5:Q5"/>
    <mergeCell ref="A98:BK98"/>
    <mergeCell ref="A123:BK123"/>
    <mergeCell ref="Q11:T11"/>
    <mergeCell ref="A94:BK94"/>
    <mergeCell ref="L8:Q8"/>
    <mergeCell ref="BB105:BK105"/>
    <mergeCell ref="L4:Q4"/>
    <mergeCell ref="D7:I7"/>
    <mergeCell ref="A13:D13"/>
    <mergeCell ref="A86:C86"/>
    <mergeCell ref="I13:L13"/>
    <mergeCell ref="A124:BK124"/>
    <mergeCell ref="A85:C85"/>
    <mergeCell ref="D4:I4"/>
    <mergeCell ref="L10:Q10"/>
    <mergeCell ref="E12:H12"/>
    <mergeCell ref="Q13:T13"/>
    <mergeCell ref="A99:BK99"/>
    <mergeCell ref="D9:I9"/>
    <mergeCell ref="A128:BK128"/>
    <mergeCell ref="U12:X12"/>
    <mergeCell ref="L9:Q9"/>
    <mergeCell ref="Q12:T12"/>
    <mergeCell ref="A91:C91"/>
    <mergeCell ref="A11:D11"/>
    <mergeCell ref="A120:BK120"/>
    <mergeCell ref="I11:L11"/>
    <mergeCell ref="D8:I8"/>
    <mergeCell ref="L6:Q6"/>
    <mergeCell ref="A4:B9"/>
    <mergeCell ref="A101:BK101"/>
    <mergeCell ref="T6:Y6"/>
    <mergeCell ref="A105:K105"/>
    <mergeCell ref="A95:BK95"/>
    <mergeCell ref="A93:C93"/>
    <mergeCell ref="D5:I5"/>
    <mergeCell ref="AD105:AT105"/>
    <mergeCell ref="M11:P11"/>
    <mergeCell ref="A92:C92"/>
    <mergeCell ref="N105:Z105"/>
    <mergeCell ref="U11:X11"/>
    <mergeCell ref="A126:BK126"/>
    <mergeCell ref="A97:BK97"/>
    <mergeCell ref="AU105:BA105"/>
    <mergeCell ref="E13:H13"/>
    <mergeCell ref="A100:BK100"/>
    <mergeCell ref="AA105:AC105"/>
    <mergeCell ref="A96:BK96"/>
    <mergeCell ref="D10:I10"/>
    <mergeCell ref="L7:Q7"/>
    <mergeCell ref="T5:Y5"/>
    <mergeCell ref="A122:BK122"/>
    <mergeCell ref="A125:BK125"/>
    <mergeCell ref="A12:D12"/>
    <mergeCell ref="M13:P13"/>
    <mergeCell ref="A121:BK121"/>
    <mergeCell ref="I12:L12"/>
    <mergeCell ref="U13:X13"/>
    <mergeCell ref="A88:C88"/>
    <mergeCell ref="M12:P12"/>
    <mergeCell ref="T4:Y4"/>
    <mergeCell ref="D6:I6"/>
    <mergeCell ref="A87:C87"/>
    <mergeCell ref="E11:H11"/>
    <mergeCell ref="A127:BK127"/>
  </mergeCells>
  <conditionalFormatting sqref="Q107:Q117">
    <cfRule type="expression" priority="1" dxfId="1">
      <formula>Q107="&lt;=12% STR zone"</formula>
    </cfRule>
  </conditionalFormatting>
  <conditionalFormatting sqref="Z107:Z117">
    <cfRule type="expression" priority="2" dxfId="0">
      <formula>AND(ISNUMBER(Z107),Z107&lt;DATE(2026,10,6))</formula>
    </cfRule>
  </conditionalFormatting>
  <conditionalFormatting sqref="T107:T117">
    <cfRule type="expression" priority="3" dxfId="0">
      <formula>ISNUMBER(SEARCH("STALE",T107))</formula>
    </cfRule>
  </conditionalFormatting>
  <conditionalFormatting sqref="S107:S117">
    <cfRule type="expression" priority="4" dxfId="0">
      <formula>AND(ISNUMBER(S107),S107&lt;0)</formula>
    </cfRule>
  </conditionalFormatting>
  <dataValidations count="3">
    <dataValidation sqref="AU107:AU117 BJ107:BJ117" showDropDown="0" showInputMessage="0" showErrorMessage="0" allowBlank="1" type="list">
      <formula1>"Y,N"</formula1>
    </dataValidation>
    <dataValidation sqref="AV107:AV117" showDropDown="0" showInputMessage="0" showErrorMessage="0" allowBlank="1" type="list">
      <formula1>"List Price,Typical price,Was price,None"</formula1>
    </dataValidation>
    <dataValidation sqref="BB107:BB117"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Cooling Fitted'!A3" display="1 Our product ↓"/>
    <hyperlink ref="D2" location="'US SL Cooling Fitted'!A15" display="2 Our variations ↓"/>
    <hyperlink ref="E2" location="'US SL Cooling Fitted'!A84" display="3 Our BFCM 2025 ↓"/>
    <hyperlink ref="F2" location="'US SL Cooling Fitted'!A103" display="4 COMPETITORS (11 mapped) ↓"/>
    <hyperlink ref="G2" location="'US SL Cooling Fitted'!A119" display="5 What it means ↓"/>
    <hyperlink xmlns:r="http://schemas.openxmlformats.org/officeDocument/2006/relationships" ref="H107" r:id="rId1"/>
    <hyperlink xmlns:r="http://schemas.openxmlformats.org/officeDocument/2006/relationships" ref="I107" r:id="rId2"/>
    <hyperlink xmlns:r="http://schemas.openxmlformats.org/officeDocument/2006/relationships" ref="H108" r:id="rId3"/>
    <hyperlink xmlns:r="http://schemas.openxmlformats.org/officeDocument/2006/relationships" ref="I108" r:id="rId4"/>
    <hyperlink xmlns:r="http://schemas.openxmlformats.org/officeDocument/2006/relationships" ref="H109" r:id="rId5"/>
    <hyperlink xmlns:r="http://schemas.openxmlformats.org/officeDocument/2006/relationships" ref="I109" r:id="rId6"/>
    <hyperlink xmlns:r="http://schemas.openxmlformats.org/officeDocument/2006/relationships" ref="H110" r:id="rId7"/>
    <hyperlink xmlns:r="http://schemas.openxmlformats.org/officeDocument/2006/relationships" ref="I110" r:id="rId8"/>
    <hyperlink xmlns:r="http://schemas.openxmlformats.org/officeDocument/2006/relationships" ref="H111" r:id="rId9"/>
    <hyperlink xmlns:r="http://schemas.openxmlformats.org/officeDocument/2006/relationships" ref="I111" r:id="rId10"/>
    <hyperlink xmlns:r="http://schemas.openxmlformats.org/officeDocument/2006/relationships" ref="H112" r:id="rId11"/>
    <hyperlink xmlns:r="http://schemas.openxmlformats.org/officeDocument/2006/relationships" ref="I112" r:id="rId12"/>
    <hyperlink xmlns:r="http://schemas.openxmlformats.org/officeDocument/2006/relationships" ref="H113" r:id="rId13"/>
    <hyperlink xmlns:r="http://schemas.openxmlformats.org/officeDocument/2006/relationships" ref="I113" r:id="rId14"/>
    <hyperlink xmlns:r="http://schemas.openxmlformats.org/officeDocument/2006/relationships" ref="H114" r:id="rId15"/>
    <hyperlink xmlns:r="http://schemas.openxmlformats.org/officeDocument/2006/relationships" ref="I114" r:id="rId16"/>
    <hyperlink xmlns:r="http://schemas.openxmlformats.org/officeDocument/2006/relationships" ref="H115" r:id="rId17"/>
    <hyperlink xmlns:r="http://schemas.openxmlformats.org/officeDocument/2006/relationships" ref="I115" r:id="rId18"/>
    <hyperlink xmlns:r="http://schemas.openxmlformats.org/officeDocument/2006/relationships" ref="H116" r:id="rId19"/>
    <hyperlink xmlns:r="http://schemas.openxmlformats.org/officeDocument/2006/relationships" ref="I116" r:id="rId20"/>
    <hyperlink xmlns:r="http://schemas.openxmlformats.org/officeDocument/2006/relationships" ref="H117" r:id="rId21"/>
    <hyperlink xmlns:r="http://schemas.openxmlformats.org/officeDocument/2006/relationships" ref="I117" r:id="rId22"/>
  </hyperlink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9DC3E6"/>
    <outlinePr summaryBelow="1" summaryRight="1"/>
    <pageSetUpPr/>
  </sheetPr>
  <dimension ref="A1:BK8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Sleephoria Quilt Set · Amazon.com (US) · Other · BFCM role: Liquidation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(19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_xlfn.IMAGE("https://images-na.ssl-images-amazon.com/images/I/81RVSwrWFUL.jpg")</f>
        <v/>
      </c>
      <c r="C4" s="13" t="inlineStr">
        <is>
          <t>Title</t>
        </is>
      </c>
      <c r="D4" s="14" t="inlineStr">
        <is>
          <t>SLEEPHORIA Queen Quilt Bedding Set | Lightweight Summer Bedspread 3 Pc</t>
        </is>
      </c>
      <c r="K4" s="13" t="inlineStr">
        <is>
          <t>Sizes</t>
        </is>
      </c>
      <c r="L4" s="68" t="inlineStr">
        <is>
          <t>King, Queen, Twin</t>
        </is>
      </c>
      <c r="S4" s="13" t="inlineStr">
        <is>
          <t>Break-even ACoS</t>
        </is>
      </c>
      <c r="T4" s="68" t="inlineStr">
        <is>
          <t>5%</t>
        </is>
      </c>
    </row>
    <row r="5" ht="22" customHeight="1">
      <c r="C5" s="13" t="inlineStr">
        <is>
          <t>Brand</t>
        </is>
      </c>
      <c r="D5" s="68" t="inlineStr">
        <is>
          <t>Sleephoria</t>
        </is>
      </c>
      <c r="K5" s="13" t="inlineStr">
        <is>
          <t>Colours</t>
        </is>
      </c>
      <c r="L5" s="68" t="inlineStr">
        <is>
          <t>Black, Ivory, Light Grey, Navy Blue, Sage Green, Taupe, White</t>
        </is>
      </c>
      <c r="S5" s="13" t="inlineStr">
        <is>
          <t>Units last 28 days</t>
        </is>
      </c>
      <c r="T5" s="68" t="inlineStr">
        <is>
          <t>32</t>
        </is>
      </c>
    </row>
    <row r="6" ht="22" customHeight="1">
      <c r="C6" s="13" t="inlineStr">
        <is>
          <t>Marketplace</t>
        </is>
      </c>
      <c r="D6" s="68" t="inlineStr">
        <is>
          <t>Amazon.com (US)</t>
        </is>
      </c>
      <c r="K6" s="13" t="inlineStr">
        <is>
          <t>Price now, best child</t>
        </is>
      </c>
      <c r="L6" s="68" t="inlineStr">
        <is>
          <t>$41.99 (catalog price, 2026-10-13)</t>
        </is>
      </c>
      <c r="S6" s="13" t="inlineStr">
        <is>
          <t>market data product ASIN</t>
        </is>
      </c>
      <c r="T6" s="68" t="inlineStr">
        <is>
          <t>B0FGZF19SN (one of our child ASINs, not the Amazon parent)</t>
        </is>
      </c>
    </row>
    <row r="7" ht="22" customHeight="1">
      <c r="C7" s="13" t="inlineStr">
        <is>
          <t>Parent ASIN (Amazon)</t>
        </is>
      </c>
      <c r="D7" s="68" t="inlineStr">
        <is>
          <t>B0GZW9QWJM</t>
        </is>
      </c>
      <c r="K7" s="13" t="inlineStr">
        <is>
          <t>Rating / reviews now</t>
        </is>
      </c>
      <c r="L7" s="68" t="inlineStr">
        <is>
          <t>4.5 / 453 (catalog price, 2026-10-13)</t>
        </is>
      </c>
    </row>
    <row r="8" ht="22" customHeight="1">
      <c r="C8" s="13" t="inlineStr">
        <is>
          <t>Best-selling child ASIN</t>
        </is>
      </c>
      <c r="D8" s="68" t="inlineStr">
        <is>
          <t>B0FGZDR11L</t>
        </is>
      </c>
      <c r="K8" s="13" t="inlineStr">
        <is>
          <t>Live prices held</t>
        </is>
      </c>
      <c r="L8" s="68" t="inlineStr">
        <is>
          <t>11 of 21 variations</t>
        </is>
      </c>
    </row>
    <row r="9" ht="22" customHeight="1">
      <c r="C9" s="13" t="inlineStr">
        <is>
          <t>Stage</t>
        </is>
      </c>
      <c r="D9" s="68" t="inlineStr">
        <is>
          <t>Liquidation</t>
        </is>
      </c>
      <c r="K9" s="13" t="inlineStr">
        <is>
          <t>Blended price (market data)</t>
        </is>
      </c>
      <c r="L9" s="68" t="inlineStr">
        <is>
          <t>$29.02 - fee feed as of 2026-03-30, STALE</t>
        </is>
      </c>
    </row>
    <row r="10">
      <c r="C10" s="13" t="inlineStr">
        <is>
          <t>Total variations (SKUs)</t>
        </is>
      </c>
      <c r="D10" s="68" t="n">
        <v>21</v>
      </c>
      <c r="K10" s="13" t="inlineStr">
        <is>
          <t>Contribution / unit</t>
        </is>
      </c>
      <c r="L10" s="68" t="inlineStr">
        <is>
          <t>$1.49</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19</t>
        </is>
      </c>
      <c r="Q12" s="70" t="inlineStr">
        <is>
          <t>14</t>
        </is>
      </c>
      <c r="U12" s="70" t="inlineStr">
        <is>
          <t>2</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(21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_xlfn.IMAGE("https://m.media-amazon.com/images/I/81sffpiSOFL.jpg")</f>
        <v/>
      </c>
      <c r="B18" s="39" t="inlineStr">
        <is>
          <t>B0FGZDR11L</t>
        </is>
      </c>
      <c r="C18" s="39" t="inlineStr">
        <is>
          <t>SL-QUILT-SET-QUEEN-IVORY</t>
        </is>
      </c>
      <c r="D18" s="39" t="inlineStr">
        <is>
          <t>SLEEPHORIA Queen Quilt Bedding Set | Lightweight Summer Bedspread 3 Pc</t>
        </is>
      </c>
      <c r="E18" s="39" t="inlineStr">
        <is>
          <t>Queen</t>
        </is>
      </c>
      <c r="F18" s="39" t="inlineStr">
        <is>
          <t>Ivory</t>
        </is>
      </c>
      <c r="G18" s="73" t="n">
        <v>41.99</v>
      </c>
      <c r="H18" s="39" t="inlineStr">
        <is>
          <t>catalog price, 2026-10-13</t>
        </is>
      </c>
      <c r="I18" s="74" t="n">
        <v>28.99</v>
      </c>
      <c r="J18" s="75" t="inlineStr">
        <is>
          <t>2026-03-30</t>
        </is>
      </c>
      <c r="K18" s="40" t="n">
        <v>1.52</v>
      </c>
      <c r="L18" s="76" t="n">
        <v>0.05243187305967574</v>
      </c>
      <c r="M18" s="77" t="n">
        <v>6</v>
      </c>
      <c r="N18" s="39" t="inlineStr">
        <is>
          <t>Active</t>
        </is>
      </c>
      <c r="O18" s="39" t="n"/>
      <c r="P18" s="78" t="n">
        <v>4.5</v>
      </c>
      <c r="Q18" s="77" t="n">
        <v>453</v>
      </c>
      <c r="R18" s="77" t="n">
        <v>515609</v>
      </c>
      <c r="S18" s="77" t="n">
        <v>90</v>
      </c>
      <c r="T18" s="39" t="n"/>
    </row>
    <row r="19" ht="62" customHeight="1">
      <c r="A19" s="12">
        <f>_xlfn.IMAGE("https://m.media-amazon.com/images/I/81etdRrDqRL.jpg")</f>
        <v/>
      </c>
      <c r="B19" s="39" t="inlineStr">
        <is>
          <t>B0FGZQ1HTL</t>
        </is>
      </c>
      <c r="C19" s="39" t="inlineStr">
        <is>
          <t>SL-QUILT-SET-QUEEN-NAVY-BLUE</t>
        </is>
      </c>
      <c r="D19" s="39" t="inlineStr">
        <is>
          <t>SLEEPHORIA Queen Quilt Bedding Set | Lightweight Summer Bedspread 3 Pc</t>
        </is>
      </c>
      <c r="E19" s="39" t="inlineStr">
        <is>
          <t>Queen</t>
        </is>
      </c>
      <c r="F19" s="39" t="inlineStr">
        <is>
          <t>Navy Blue</t>
        </is>
      </c>
      <c r="G19" s="73" t="n">
        <v>41.99</v>
      </c>
      <c r="H19" s="39" t="inlineStr">
        <is>
          <t>catalog price, 2026-10-13</t>
        </is>
      </c>
      <c r="I19" s="74" t="n">
        <v>28.99</v>
      </c>
      <c r="J19" s="75" t="inlineStr">
        <is>
          <t>2026-03-30</t>
        </is>
      </c>
      <c r="K19" s="40" t="n">
        <v>2.82</v>
      </c>
      <c r="L19" s="76" t="n">
        <v>0.09727492238703002</v>
      </c>
      <c r="M19" s="77" t="n">
        <v>5</v>
      </c>
      <c r="N19" s="39" t="inlineStr">
        <is>
          <t>Active</t>
        </is>
      </c>
      <c r="O19" s="39" t="n"/>
      <c r="P19" s="78" t="n">
        <v>4.5</v>
      </c>
      <c r="Q19" s="77" t="n">
        <v>453</v>
      </c>
      <c r="R19" s="77" t="n">
        <v>515609</v>
      </c>
      <c r="S19" s="77" t="n">
        <v>22</v>
      </c>
      <c r="T19" s="39" t="n"/>
    </row>
    <row r="20" ht="62" customHeight="1">
      <c r="A20" s="12">
        <f>_xlfn.IMAGE("https://m.media-amazon.com/images/I/81sffpiSOFL.jpg")</f>
        <v/>
      </c>
      <c r="B20" s="39" t="inlineStr">
        <is>
          <t>B0FGZQDBY6</t>
        </is>
      </c>
      <c r="C20" s="39" t="inlineStr">
        <is>
          <t>SL-QUILT-SET-KING-IVORY</t>
        </is>
      </c>
      <c r="D20" s="39" t="inlineStr">
        <is>
          <t>SLEEPHORIA King Quilt Bedding Set | Lightweight Summer Bedspread 3 Pc</t>
        </is>
      </c>
      <c r="E20" s="39" t="inlineStr">
        <is>
          <t>King</t>
        </is>
      </c>
      <c r="F20" s="39" t="inlineStr">
        <is>
          <t>Ivory</t>
        </is>
      </c>
      <c r="G20" s="73" t="n">
        <v>44.99</v>
      </c>
      <c r="H20" s="39" t="inlineStr">
        <is>
          <t>catalog price, 2026-10-13</t>
        </is>
      </c>
      <c r="I20" s="74" t="n">
        <v>30.99</v>
      </c>
      <c r="J20" s="75" t="inlineStr">
        <is>
          <t>2026-03-30</t>
        </is>
      </c>
      <c r="K20" s="40" t="n">
        <v>1.049999999999995</v>
      </c>
      <c r="L20" s="76" t="n">
        <v>0.03388189738625348</v>
      </c>
      <c r="M20" s="77" t="n">
        <v>4</v>
      </c>
      <c r="N20" s="39" t="inlineStr">
        <is>
          <t>Active</t>
        </is>
      </c>
      <c r="O20" s="39" t="n"/>
      <c r="P20" s="78" t="n">
        <v>4.5</v>
      </c>
      <c r="Q20" s="77" t="n">
        <v>453</v>
      </c>
      <c r="R20" s="77" t="n">
        <v>515609</v>
      </c>
      <c r="S20" s="77" t="n">
        <v>4</v>
      </c>
      <c r="T20" s="39" t="n"/>
    </row>
    <row r="21" ht="62" customHeight="1">
      <c r="A21" s="12">
        <f>_xlfn.IMAGE("https://m.media-amazon.com/images/I/81NRwTJs8cL.jpg")</f>
        <v/>
      </c>
      <c r="B21" s="39" t="inlineStr">
        <is>
          <t>B0FGZNP934</t>
        </is>
      </c>
      <c r="C21" s="39" t="inlineStr">
        <is>
          <t>SL-QUILT-SET-TWIN-LIGHT-GREY</t>
        </is>
      </c>
      <c r="D21" s="39" t="inlineStr">
        <is>
          <t>SLEEPHORIA Twin Quilt Bedding Set | Lightweight Summer Bedspread 2 Pc</t>
        </is>
      </c>
      <c r="E21" s="39" t="inlineStr">
        <is>
          <t>Twin</t>
        </is>
      </c>
      <c r="F21" s="39" t="inlineStr">
        <is>
          <t>Light Grey</t>
        </is>
      </c>
      <c r="G21" s="73" t="n">
        <v>38.99</v>
      </c>
      <c r="H21" s="39" t="inlineStr">
        <is>
          <t>catalog price, 2026-10-13</t>
        </is>
      </c>
      <c r="I21" s="74" t="n">
        <v>25.99</v>
      </c>
      <c r="J21" s="75" t="inlineStr">
        <is>
          <t>2026-03-30</t>
        </is>
      </c>
      <c r="K21" s="40" t="n">
        <v>1.550000000000001</v>
      </c>
      <c r="L21" s="76" t="n">
        <v>0.05963832243170453</v>
      </c>
      <c r="M21" s="77" t="n">
        <v>4</v>
      </c>
      <c r="N21" s="39" t="inlineStr">
        <is>
          <t>Active</t>
        </is>
      </c>
      <c r="O21" s="39" t="n"/>
      <c r="P21" s="78" t="n">
        <v>4.5</v>
      </c>
      <c r="Q21" s="77" t="n">
        <v>453</v>
      </c>
      <c r="R21" s="77" t="n">
        <v>515609</v>
      </c>
      <c r="S21" s="77" t="n">
        <v>13</v>
      </c>
      <c r="T21" s="39" t="n"/>
    </row>
    <row r="22" ht="62" customHeight="1">
      <c r="A22" s="12">
        <f>_xlfn.IMAGE("https://m.media-amazon.com/images/I/81NRwTJs8cL.jpg")</f>
        <v/>
      </c>
      <c r="B22" s="39" t="inlineStr">
        <is>
          <t>B0FGZ6PCS1</t>
        </is>
      </c>
      <c r="C22" s="39" t="inlineStr">
        <is>
          <t>SL-QUILT-SET-KING-LIGHT-GREY</t>
        </is>
      </c>
      <c r="D22" s="39" t="inlineStr">
        <is>
          <t>SLEEPHORIA King Quilt Bedding Set | Lightweight Summer Bedspread 3 Pc</t>
        </is>
      </c>
      <c r="E22" s="39" t="inlineStr">
        <is>
          <t>King</t>
        </is>
      </c>
      <c r="F22" s="39" t="inlineStr">
        <is>
          <t>Light Grey</t>
        </is>
      </c>
      <c r="G22" s="40" t="n"/>
      <c r="H22" s="39" t="n"/>
      <c r="I22" s="74" t="n">
        <v>30.99</v>
      </c>
      <c r="J22" s="75" t="inlineStr">
        <is>
          <t>2026-03-30</t>
        </is>
      </c>
      <c r="K22" s="40" t="n">
        <v>1.049999999999995</v>
      </c>
      <c r="L22" s="76" t="n">
        <v>0.03388189738625348</v>
      </c>
      <c r="M22" s="77" t="n">
        <v>3</v>
      </c>
      <c r="N22" s="39" t="inlineStr">
        <is>
          <t>Inactive</t>
        </is>
      </c>
      <c r="O22" s="39" t="n"/>
      <c r="P22" s="78" t="n"/>
      <c r="Q22" s="77" t="n"/>
      <c r="R22" s="77" t="n"/>
      <c r="S22" s="77" t="n"/>
      <c r="T22" s="39" t="n"/>
    </row>
    <row r="23" ht="62" customHeight="1">
      <c r="A23" s="12">
        <f>_xlfn.IMAGE("https://m.media-amazon.com/images/I/81eBMUtvBcL.jpg")</f>
        <v/>
      </c>
      <c r="B23" s="39" t="inlineStr">
        <is>
          <t>B0FGZLXXSJ</t>
        </is>
      </c>
      <c r="C23" s="39" t="inlineStr">
        <is>
          <t>SL-QUILT-SET-QUEEN-WHITE</t>
        </is>
      </c>
      <c r="D23" s="39" t="inlineStr">
        <is>
          <t>SLEEPHORIA Queen Quilt Bedding Set | Lightweight Summer Bedspread 3 Pc</t>
        </is>
      </c>
      <c r="E23" s="39" t="inlineStr">
        <is>
          <t>Queen</t>
        </is>
      </c>
      <c r="F23" s="39" t="inlineStr">
        <is>
          <t>White</t>
        </is>
      </c>
      <c r="G23" s="73" t="n">
        <v>41.99</v>
      </c>
      <c r="H23" s="39" t="inlineStr">
        <is>
          <t>catalog price, 2026-10-13</t>
        </is>
      </c>
      <c r="I23" s="74" t="n">
        <v>28.99</v>
      </c>
      <c r="J23" s="75" t="inlineStr">
        <is>
          <t>2026-03-30</t>
        </is>
      </c>
      <c r="K23" s="40" t="n">
        <v>0.7599999999999998</v>
      </c>
      <c r="L23" s="76" t="n">
        <v>0.02621593652983787</v>
      </c>
      <c r="M23" s="77" t="n">
        <v>3</v>
      </c>
      <c r="N23" s="39" t="inlineStr">
        <is>
          <t>Active</t>
        </is>
      </c>
      <c r="O23" s="39" t="n"/>
      <c r="P23" s="78" t="n">
        <v>4.5</v>
      </c>
      <c r="Q23" s="77" t="n">
        <v>453</v>
      </c>
      <c r="R23" s="77" t="n">
        <v>515609</v>
      </c>
      <c r="S23" s="77" t="n">
        <v>6</v>
      </c>
      <c r="T23" s="39" t="n"/>
    </row>
    <row r="24" ht="62" customHeight="1">
      <c r="A24" s="12">
        <f>_xlfn.IMAGE("https://m.media-amazon.com/images/I/81GJQO49+lL.jpg")</f>
        <v/>
      </c>
      <c r="B24" s="39" t="inlineStr">
        <is>
          <t>B0FGZZRZML</t>
        </is>
      </c>
      <c r="C24" s="39" t="inlineStr">
        <is>
          <t>SL-QUILT-SET-QUEEN-SAGE-GREEN</t>
        </is>
      </c>
      <c r="D24" s="39" t="inlineStr">
        <is>
          <t>SLEEPHORIA Queen Quilt Bedding Set | Lightweight Summer Bedspread 3 Pc</t>
        </is>
      </c>
      <c r="E24" s="39" t="inlineStr">
        <is>
          <t>Queen</t>
        </is>
      </c>
      <c r="F24" s="39" t="inlineStr">
        <is>
          <t>Sage Green</t>
        </is>
      </c>
      <c r="G24" s="73" t="n">
        <v>41.99</v>
      </c>
      <c r="H24" s="39" t="inlineStr">
        <is>
          <t>catalog price, 2026-10-13</t>
        </is>
      </c>
      <c r="I24" s="74" t="n">
        <v>28.99</v>
      </c>
      <c r="J24" s="75" t="inlineStr">
        <is>
          <t>2026-03-30</t>
        </is>
      </c>
      <c r="K24" s="40" t="n">
        <v>1.140000000000001</v>
      </c>
      <c r="L24" s="76" t="n">
        <v>0.03932390479475684</v>
      </c>
      <c r="M24" s="77" t="n">
        <v>2</v>
      </c>
      <c r="N24" s="39" t="inlineStr">
        <is>
          <t>Active</t>
        </is>
      </c>
      <c r="O24" s="39" t="inlineStr">
        <is>
          <t>Yes (100%)</t>
        </is>
      </c>
      <c r="P24" s="78" t="n">
        <v>4.5</v>
      </c>
      <c r="Q24" s="77" t="n">
        <v>453</v>
      </c>
      <c r="R24" s="77" t="n">
        <v>515609</v>
      </c>
      <c r="S24" s="77" t="n">
        <v>77</v>
      </c>
      <c r="T24" s="39" t="n"/>
    </row>
    <row r="25" ht="62" customHeight="1">
      <c r="A25" s="12">
        <f>_xlfn.IMAGE("https://m.media-amazon.com/images/I/81GJQO49+lL.jpg")</f>
        <v/>
      </c>
      <c r="B25" s="39" t="inlineStr">
        <is>
          <t>B0FGZDYS73</t>
        </is>
      </c>
      <c r="C25" s="39" t="inlineStr">
        <is>
          <t>SL-QUILT-SET-KING-SAGE-GREEN</t>
        </is>
      </c>
      <c r="D25" s="39" t="inlineStr">
        <is>
          <t>SLEEPHORIA King Quilt Bedding Set | Lightweight Summer Bedspread 3 Pc</t>
        </is>
      </c>
      <c r="E25" s="39" t="inlineStr">
        <is>
          <t>King</t>
        </is>
      </c>
      <c r="F25" s="39" t="inlineStr">
        <is>
          <t>Sage Green</t>
        </is>
      </c>
      <c r="G25" s="73" t="n">
        <v>44.99</v>
      </c>
      <c r="H25" s="39" t="inlineStr">
        <is>
          <t>catalog price, 2026-10-13</t>
        </is>
      </c>
      <c r="I25" s="74" t="n">
        <v>30.99</v>
      </c>
      <c r="J25" s="75" t="inlineStr">
        <is>
          <t>2026-03-30</t>
        </is>
      </c>
      <c r="K25" s="40" t="n">
        <v>1.429999999999996</v>
      </c>
      <c r="L25" s="76" t="n">
        <v>0.04614391739270721</v>
      </c>
      <c r="M25" s="77" t="n">
        <v>1</v>
      </c>
      <c r="N25" s="39" t="inlineStr">
        <is>
          <t>Active</t>
        </is>
      </c>
      <c r="O25" s="39" t="n"/>
      <c r="P25" s="78" t="n">
        <v>4.5</v>
      </c>
      <c r="Q25" s="77" t="n">
        <v>453</v>
      </c>
      <c r="R25" s="77" t="n">
        <v>515609</v>
      </c>
      <c r="S25" s="77" t="n">
        <v>4</v>
      </c>
      <c r="T25" s="39" t="n"/>
    </row>
    <row r="26" ht="62" customHeight="1">
      <c r="A26" s="12">
        <f>_xlfn.IMAGE("https://m.media-amazon.com/images/I/81TrbsqTROL.jpg")</f>
        <v/>
      </c>
      <c r="B26" s="39" t="inlineStr">
        <is>
          <t>B0FGZTPZ63</t>
        </is>
      </c>
      <c r="C26" s="39" t="inlineStr">
        <is>
          <t>SL-QUILT-SET-QUEEN-BLACK</t>
        </is>
      </c>
      <c r="D26" s="39" t="inlineStr">
        <is>
          <t>SLEEPHORIA Queen Quilt Bedding Set | Lightweight Summer Bedspread 3 Pc</t>
        </is>
      </c>
      <c r="E26" s="39" t="inlineStr">
        <is>
          <t>Queen</t>
        </is>
      </c>
      <c r="F26" s="39" t="inlineStr">
        <is>
          <t>Black</t>
        </is>
      </c>
      <c r="G26" s="73" t="n">
        <v>41.99</v>
      </c>
      <c r="H26" s="39" t="inlineStr">
        <is>
          <t>catalog price, 2026-10-13</t>
        </is>
      </c>
      <c r="I26" s="74" t="n">
        <v>28.99</v>
      </c>
      <c r="J26" s="75" t="inlineStr">
        <is>
          <t>2026-03-30</t>
        </is>
      </c>
      <c r="K26" s="40" t="n">
        <v>1.140000000000001</v>
      </c>
      <c r="L26" s="76" t="n">
        <v>0.03932390479475684</v>
      </c>
      <c r="M26" s="77" t="n">
        <v>1</v>
      </c>
      <c r="N26" s="39" t="inlineStr">
        <is>
          <t>Active</t>
        </is>
      </c>
      <c r="O26" s="39" t="n"/>
      <c r="P26" s="78" t="n">
        <v>4.5</v>
      </c>
      <c r="Q26" s="77" t="n">
        <v>453</v>
      </c>
      <c r="R26" s="77" t="n">
        <v>515609</v>
      </c>
      <c r="S26" s="77" t="n">
        <v>7</v>
      </c>
      <c r="T26" s="39" t="n"/>
    </row>
    <row r="27" ht="62" customHeight="1">
      <c r="A27" s="12">
        <f>_xlfn.IMAGE("https://m.media-amazon.com/images/I/81NRwTJs8cL.jpg")</f>
        <v/>
      </c>
      <c r="B27" s="39" t="inlineStr">
        <is>
          <t>B0FGZMSDC8</t>
        </is>
      </c>
      <c r="C27" s="39" t="inlineStr">
        <is>
          <t>SL-QUILT-SET-QUEEN-LIGHT-GREY</t>
        </is>
      </c>
      <c r="D27" s="39" t="inlineStr">
        <is>
          <t>SLEEPHORIA Queen Quilt Bedding Set | Lightweight Summer Bedspread 3 Pc</t>
        </is>
      </c>
      <c r="E27" s="39" t="inlineStr">
        <is>
          <t>Queen</t>
        </is>
      </c>
      <c r="F27" s="39" t="inlineStr">
        <is>
          <t>Light Grey</t>
        </is>
      </c>
      <c r="G27" s="40" t="n"/>
      <c r="H27" s="39" t="n"/>
      <c r="I27" s="74" t="n">
        <v>28.99</v>
      </c>
      <c r="J27" s="75" t="inlineStr">
        <is>
          <t>2026-03-30</t>
        </is>
      </c>
      <c r="K27" s="40" t="n">
        <v>1.140000000000001</v>
      </c>
      <c r="L27" s="76" t="n">
        <v>0.03932390479475684</v>
      </c>
      <c r="M27" s="77" t="n">
        <v>1</v>
      </c>
      <c r="N27" s="39" t="inlineStr">
        <is>
          <t>Active</t>
        </is>
      </c>
      <c r="O27" s="39" t="n"/>
      <c r="P27" s="78" t="n"/>
      <c r="Q27" s="77" t="n"/>
      <c r="R27" s="77" t="n"/>
      <c r="S27" s="77" t="n"/>
      <c r="T27" s="39" t="n"/>
    </row>
    <row r="28" ht="62" customHeight="1">
      <c r="A28" s="12">
        <f>_xlfn.IMAGE("https://m.media-amazon.com/images/I/814X1vBUiQL.jpg")</f>
        <v/>
      </c>
      <c r="B28" s="39" t="inlineStr">
        <is>
          <t>B0FGZXMY7K</t>
        </is>
      </c>
      <c r="C28" s="39" t="inlineStr">
        <is>
          <t>SL-QUILT-SET-QUEEN-TAUPE</t>
        </is>
      </c>
      <c r="D28" s="39" t="inlineStr">
        <is>
          <t>SLEEPHORIA Queen Quilt Bedding Set | Lightweight Summer Bedspread 3 Pc</t>
        </is>
      </c>
      <c r="E28" s="39" t="inlineStr">
        <is>
          <t>Queen</t>
        </is>
      </c>
      <c r="F28" s="39" t="inlineStr">
        <is>
          <t>Taupe</t>
        </is>
      </c>
      <c r="G28" s="40" t="n"/>
      <c r="H28" s="39" t="n"/>
      <c r="I28" s="74" t="n">
        <v>28.99</v>
      </c>
      <c r="J28" s="75" t="inlineStr">
        <is>
          <t>2026-03-30</t>
        </is>
      </c>
      <c r="K28" s="40" t="n">
        <v>1.140000000000001</v>
      </c>
      <c r="L28" s="76" t="n">
        <v>0.03932390479475684</v>
      </c>
      <c r="M28" s="77" t="n">
        <v>1</v>
      </c>
      <c r="N28" s="39" t="inlineStr">
        <is>
          <t>Inactive</t>
        </is>
      </c>
      <c r="O28" s="39" t="n"/>
      <c r="P28" s="78" t="n">
        <v>4.5</v>
      </c>
      <c r="Q28" s="77" t="n">
        <v>453</v>
      </c>
      <c r="R28" s="77" t="n">
        <v>515609</v>
      </c>
      <c r="S28" s="77" t="n">
        <v>6</v>
      </c>
      <c r="T28" s="39" t="n"/>
    </row>
    <row r="29" ht="62" customHeight="1">
      <c r="A29" s="12">
        <f>_xlfn.IMAGE("https://m.media-amazon.com/images/I/81L2NmgILzL.jpg")</f>
        <v/>
      </c>
      <c r="B29" s="39" t="inlineStr">
        <is>
          <t>B0FGZLYL5C</t>
        </is>
      </c>
      <c r="C29" s="39" t="inlineStr">
        <is>
          <t>SL-QUILT-SET-TWIN-TAUPE</t>
        </is>
      </c>
      <c r="D29" s="39" t="inlineStr">
        <is>
          <t>SLEEPHORIA Twin Quilt Bedding Set | Lightweight Summer Bedspread 2 Pc</t>
        </is>
      </c>
      <c r="E29" s="39" t="inlineStr">
        <is>
          <t>Twin</t>
        </is>
      </c>
      <c r="F29" s="39" t="inlineStr">
        <is>
          <t>Taupe</t>
        </is>
      </c>
      <c r="G29" s="40" t="n"/>
      <c r="H29" s="39" t="n"/>
      <c r="I29" s="74" t="n">
        <v>25.99</v>
      </c>
      <c r="J29" s="75" t="inlineStr">
        <is>
          <t>2026-03-30</t>
        </is>
      </c>
      <c r="K29" s="40" t="n">
        <v>1.550000000000001</v>
      </c>
      <c r="L29" s="76" t="n">
        <v>0.05963832243170453</v>
      </c>
      <c r="M29" s="77" t="n">
        <v>1</v>
      </c>
      <c r="N29" s="39" t="inlineStr">
        <is>
          <t>Active</t>
        </is>
      </c>
      <c r="O29" s="39" t="n"/>
      <c r="P29" s="78" t="n"/>
      <c r="Q29" s="77" t="n"/>
      <c r="R29" s="77" t="n"/>
      <c r="S29" s="77" t="n"/>
      <c r="T29" s="39" t="n"/>
    </row>
    <row r="30" ht="62" customHeight="1">
      <c r="A30" s="12">
        <f>_xlfn.IMAGE("https://m.media-amazon.com/images/I/81kgxYenVRL.jpg")</f>
        <v/>
      </c>
      <c r="B30" s="39" t="inlineStr">
        <is>
          <t>B0FGZF19SN</t>
        </is>
      </c>
      <c r="C30" s="39" t="inlineStr">
        <is>
          <t>SL-QUILT-SET-KING-BLACK</t>
        </is>
      </c>
      <c r="D30" s="39" t="inlineStr">
        <is>
          <t>SLEEPHORIA King Quilt Bedding Set | Lightweight Summer Bedspread 3 Pc</t>
        </is>
      </c>
      <c r="E30" s="39" t="inlineStr">
        <is>
          <t>King</t>
        </is>
      </c>
      <c r="F30" s="39" t="inlineStr">
        <is>
          <t>Black</t>
        </is>
      </c>
      <c r="G30" s="40" t="n"/>
      <c r="H30" s="39" t="n"/>
      <c r="I30" s="74" t="n">
        <v>30.99</v>
      </c>
      <c r="J30" s="75" t="inlineStr">
        <is>
          <t>2026-03-30</t>
        </is>
      </c>
      <c r="K30" s="40" t="n">
        <v>1.049999999999995</v>
      </c>
      <c r="L30" s="76" t="n">
        <v>0.03388189738625348</v>
      </c>
      <c r="M30" s="77" t="n"/>
      <c r="N30" s="39" t="inlineStr">
        <is>
          <t>Inactive</t>
        </is>
      </c>
      <c r="O30" s="39" t="n"/>
      <c r="P30" s="78" t="n"/>
      <c r="Q30" s="77" t="n"/>
      <c r="R30" s="77" t="n"/>
      <c r="S30" s="77" t="n"/>
      <c r="T30" s="39" t="n"/>
    </row>
    <row r="31" ht="62" customHeight="1">
      <c r="A31" s="12">
        <f>_xlfn.IMAGE("https://m.media-amazon.com/images/I/81etdRrDqRL.jpg")</f>
        <v/>
      </c>
      <c r="B31" s="39" t="inlineStr">
        <is>
          <t>B0FGZMRVY7</t>
        </is>
      </c>
      <c r="C31" s="39" t="inlineStr">
        <is>
          <t>SL-QUILT-SET-KING-NAVY-BLUE</t>
        </is>
      </c>
      <c r="D31" s="39" t="inlineStr">
        <is>
          <t>SLEEPHORIA King Quilt Bedding Set | Lightweight Summer Bedspread 3 Pc</t>
        </is>
      </c>
      <c r="E31" s="39" t="inlineStr">
        <is>
          <t>King</t>
        </is>
      </c>
      <c r="F31" s="39" t="inlineStr">
        <is>
          <t>Navy Blue</t>
        </is>
      </c>
      <c r="G31" s="40" t="n"/>
      <c r="H31" s="39" t="n"/>
      <c r="I31" s="74" t="n">
        <v>30.99</v>
      </c>
      <c r="J31" s="75" t="inlineStr">
        <is>
          <t>2026-03-30</t>
        </is>
      </c>
      <c r="K31" s="40" t="n">
        <v>0.3799999999999955</v>
      </c>
      <c r="L31" s="76" t="n">
        <v>1.226202000645355</v>
      </c>
      <c r="M31" s="77" t="n">
        <v>0</v>
      </c>
      <c r="N31" s="39" t="inlineStr">
        <is>
          <t>Inactive</t>
        </is>
      </c>
      <c r="O31" s="39" t="n"/>
      <c r="P31" s="78" t="n"/>
      <c r="Q31" s="77" t="n"/>
      <c r="R31" s="77" t="n"/>
      <c r="S31" s="77" t="n"/>
      <c r="T31" s="39" t="n"/>
    </row>
    <row r="32" ht="62" customHeight="1">
      <c r="A32" s="12">
        <f>_xlfn.IMAGE("https://m.media-amazon.com/images/I/814X1vBUiQL.jpg")</f>
        <v/>
      </c>
      <c r="B32" s="39" t="inlineStr">
        <is>
          <t>B0FGZH4DM7</t>
        </is>
      </c>
      <c r="C32" s="39" t="inlineStr">
        <is>
          <t>SL-QUILT-SET-KING-TAUPE</t>
        </is>
      </c>
      <c r="D32" s="39" t="inlineStr">
        <is>
          <t>SLEEPHORIA King Quilt Bedding Set | Lightweight Summer Bedspread 3 Pc</t>
        </is>
      </c>
      <c r="E32" s="39" t="inlineStr">
        <is>
          <t>King</t>
        </is>
      </c>
      <c r="F32" s="39" t="inlineStr">
        <is>
          <t>Taupe</t>
        </is>
      </c>
      <c r="G32" s="73" t="n">
        <v>44.99</v>
      </c>
      <c r="H32" s="39" t="inlineStr">
        <is>
          <t>catalog price, 2026-10-13</t>
        </is>
      </c>
      <c r="I32" s="74" t="n">
        <v>30.99</v>
      </c>
      <c r="J32" s="75" t="inlineStr">
        <is>
          <t>2026-03-30</t>
        </is>
      </c>
      <c r="K32" s="40" t="n">
        <v>3.109999999999996</v>
      </c>
      <c r="L32" s="76" t="n">
        <v>0.100354953210713</v>
      </c>
      <c r="M32" s="77" t="n">
        <v>0</v>
      </c>
      <c r="N32" s="39" t="inlineStr">
        <is>
          <t>Active</t>
        </is>
      </c>
      <c r="O32" s="39" t="n"/>
      <c r="P32" s="78" t="n">
        <v>4.5</v>
      </c>
      <c r="Q32" s="77" t="n">
        <v>453</v>
      </c>
      <c r="R32" s="77" t="n">
        <v>515609</v>
      </c>
      <c r="S32" s="77" t="n">
        <v>3</v>
      </c>
      <c r="T32" s="39" t="n"/>
    </row>
    <row r="33" ht="62" customHeight="1">
      <c r="A33" s="12">
        <f>_xlfn.IMAGE("https://m.media-amazon.com/images/I/81LJ7MnsaDL.jpg")</f>
        <v/>
      </c>
      <c r="B33" s="39" t="inlineStr">
        <is>
          <t>B0FGZVN26F</t>
        </is>
      </c>
      <c r="C33" s="39" t="inlineStr">
        <is>
          <t>SL-QUILT-SET-KING-WHITE</t>
        </is>
      </c>
      <c r="D33" s="39" t="inlineStr">
        <is>
          <t>SLEEPHORIA King Quilt Bedding Set | Lightweight Summer Bedspread 3 Pc</t>
        </is>
      </c>
      <c r="E33" s="39" t="inlineStr">
        <is>
          <t>King</t>
        </is>
      </c>
      <c r="F33" s="39" t="inlineStr">
        <is>
          <t>White</t>
        </is>
      </c>
      <c r="G33" s="40" t="n"/>
      <c r="H33" s="39" t="n"/>
      <c r="I33" s="74" t="n">
        <v>30.99</v>
      </c>
      <c r="J33" s="75" t="inlineStr">
        <is>
          <t>2026-03-30</t>
        </is>
      </c>
      <c r="K33" s="40" t="n">
        <v>1.049999999999995</v>
      </c>
      <c r="L33" s="76" t="n">
        <v>0.03388189738625348</v>
      </c>
      <c r="M33" s="77" t="n">
        <v>0</v>
      </c>
      <c r="N33" s="39" t="inlineStr">
        <is>
          <t>Inactive</t>
        </is>
      </c>
      <c r="O33" s="39" t="n"/>
      <c r="P33" s="78" t="n"/>
      <c r="Q33" s="77" t="n"/>
      <c r="R33" s="77" t="n"/>
      <c r="S33" s="77" t="n"/>
      <c r="T33" s="39" t="n"/>
    </row>
    <row r="34" ht="62" customHeight="1">
      <c r="A34" s="12">
        <f>_xlfn.IMAGE("https://m.media-amazon.com/images/I/81kgxYenVRL.jpg")</f>
        <v/>
      </c>
      <c r="B34" s="39" t="inlineStr">
        <is>
          <t>B0FGZMX1XV</t>
        </is>
      </c>
      <c r="C34" s="39" t="inlineStr">
        <is>
          <t>SL-QUILT-SET-TWIN-BLACK</t>
        </is>
      </c>
      <c r="D34" s="39" t="inlineStr">
        <is>
          <t>SLEEPHORIA Twin Quilt Bedding Set | Lightweight Summer Bedspread 2 Pc</t>
        </is>
      </c>
      <c r="E34" s="39" t="inlineStr">
        <is>
          <t>Twin</t>
        </is>
      </c>
      <c r="F34" s="39" t="inlineStr">
        <is>
          <t>Black</t>
        </is>
      </c>
      <c r="G34" s="73" t="n">
        <v>38.99</v>
      </c>
      <c r="H34" s="39" t="inlineStr">
        <is>
          <t>catalog price, 2026-10-13</t>
        </is>
      </c>
      <c r="I34" s="74" t="n">
        <v>25.99</v>
      </c>
      <c r="J34" s="75" t="inlineStr">
        <is>
          <t>2026-03-30</t>
        </is>
      </c>
      <c r="K34" s="40" t="n">
        <v>1.17</v>
      </c>
      <c r="L34" s="76" t="n">
        <v>0.04501731435167372</v>
      </c>
      <c r="M34" s="77" t="n">
        <v>0</v>
      </c>
      <c r="N34" s="39" t="inlineStr">
        <is>
          <t>Active</t>
        </is>
      </c>
      <c r="O34" s="39" t="n"/>
      <c r="P34" s="78" t="n">
        <v>4.5</v>
      </c>
      <c r="Q34" s="77" t="n">
        <v>453</v>
      </c>
      <c r="R34" s="77" t="n">
        <v>515609</v>
      </c>
      <c r="S34" s="77" t="n">
        <v>10</v>
      </c>
      <c r="T34" s="39" t="n"/>
    </row>
    <row r="35" ht="62" customHeight="1">
      <c r="A35" s="12">
        <f>_xlfn.IMAGE("https://m.media-amazon.com/images/I/81+W74LqLNL.jpg")</f>
        <v/>
      </c>
      <c r="B35" s="39" t="inlineStr">
        <is>
          <t>B0FGZXM8LZ</t>
        </is>
      </c>
      <c r="C35" s="39" t="inlineStr">
        <is>
          <t>SL-QUILT-SET-TWIN-IVORY</t>
        </is>
      </c>
      <c r="D35" s="39" t="inlineStr">
        <is>
          <t>SLEEPHORIA Twin Quilt Bedding Set | Lightweight Summer Bedspread 2 Pc</t>
        </is>
      </c>
      <c r="E35" s="39" t="inlineStr">
        <is>
          <t>Twin</t>
        </is>
      </c>
      <c r="F35" s="39" t="inlineStr">
        <is>
          <t>Ivory</t>
        </is>
      </c>
      <c r="G35" s="73" t="n">
        <v>38.99</v>
      </c>
      <c r="H35" s="39" t="inlineStr">
        <is>
          <t>catalog price, 2026-10-13</t>
        </is>
      </c>
      <c r="I35" s="74" t="n">
        <v>25.99</v>
      </c>
      <c r="J35" s="75" t="inlineStr">
        <is>
          <t>2026-03-30</t>
        </is>
      </c>
      <c r="K35" s="40" t="n">
        <v>1.550000000000001</v>
      </c>
      <c r="L35" s="76" t="n">
        <v>0.05963832243170453</v>
      </c>
      <c r="M35" s="77" t="n">
        <v>0</v>
      </c>
      <c r="N35" s="39" t="inlineStr">
        <is>
          <t>Active</t>
        </is>
      </c>
      <c r="O35" s="39" t="n"/>
      <c r="P35" s="78" t="n">
        <v>4.5</v>
      </c>
      <c r="Q35" s="77" t="n">
        <v>453</v>
      </c>
      <c r="R35" s="77" t="n">
        <v>515609</v>
      </c>
      <c r="S35" s="77" t="n">
        <v>10</v>
      </c>
      <c r="T35" s="39" t="n"/>
    </row>
    <row r="36" ht="62" customHeight="1">
      <c r="A36" s="12">
        <f>_xlfn.IMAGE("https://m.media-amazon.com/images/I/81etdRrDqRL.jpg")</f>
        <v/>
      </c>
      <c r="B36" s="39" t="inlineStr">
        <is>
          <t>B0FGZM7H2T</t>
        </is>
      </c>
      <c r="C36" s="39" t="inlineStr">
        <is>
          <t>SL-QUILT-SET-TWIN-NAVY-BLUE</t>
        </is>
      </c>
      <c r="D36" s="39" t="inlineStr">
        <is>
          <t>SLEEPHORIA Twin Quilt Bedding Set | Lightweight Summer Bedspread 2 Pc</t>
        </is>
      </c>
      <c r="E36" s="39" t="inlineStr">
        <is>
          <t>Twin</t>
        </is>
      </c>
      <c r="F36" s="39" t="inlineStr">
        <is>
          <t>Navy Blue</t>
        </is>
      </c>
      <c r="G36" s="40" t="n"/>
      <c r="H36" s="39" t="n"/>
      <c r="I36" s="74" t="n">
        <v>25.99</v>
      </c>
      <c r="J36" s="75" t="inlineStr">
        <is>
          <t>2026-03-30</t>
        </is>
      </c>
      <c r="K36" s="40" t="n">
        <v>1.17</v>
      </c>
      <c r="L36" s="76" t="n">
        <v>0.04501731435167372</v>
      </c>
      <c r="M36" s="77" t="n"/>
      <c r="N36" s="39" t="inlineStr">
        <is>
          <t>Inactive</t>
        </is>
      </c>
      <c r="O36" s="39" t="n"/>
      <c r="P36" s="78" t="n"/>
      <c r="Q36" s="77" t="n"/>
      <c r="R36" s="77" t="n"/>
      <c r="S36" s="77" t="n"/>
      <c r="T36" s="39" t="n"/>
    </row>
    <row r="37" ht="62" customHeight="1">
      <c r="A37" s="12">
        <f>_xlfn.IMAGE("https://m.media-amazon.com/images/I/81GJQO49+lL.jpg")</f>
        <v/>
      </c>
      <c r="B37" s="39" t="inlineStr">
        <is>
          <t>B0FGZ64X53</t>
        </is>
      </c>
      <c r="C37" s="39" t="inlineStr">
        <is>
          <t>SL-QUILT-SET-TWIN-SAGE-GREEN</t>
        </is>
      </c>
      <c r="D37" s="39" t="inlineStr">
        <is>
          <t>SLEEPHORIA Twin Quilt Bedding Set | Lightweight Summer Bedspread 2 Pc</t>
        </is>
      </c>
      <c r="E37" s="39" t="inlineStr">
        <is>
          <t>Twin</t>
        </is>
      </c>
      <c r="F37" s="39" t="inlineStr">
        <is>
          <t>Sage Green</t>
        </is>
      </c>
      <c r="G37" s="40" t="n"/>
      <c r="H37" s="39" t="n"/>
      <c r="I37" s="74" t="n">
        <v>25.99</v>
      </c>
      <c r="J37" s="75" t="inlineStr">
        <is>
          <t>2026-03-30</t>
        </is>
      </c>
      <c r="K37" s="40" t="n">
        <v>3.23</v>
      </c>
      <c r="L37" s="76" t="n">
        <v>0.1242785686802616</v>
      </c>
      <c r="M37" s="77" t="n"/>
      <c r="N37" s="39" t="inlineStr">
        <is>
          <t>Inactive</t>
        </is>
      </c>
      <c r="O37" s="39" t="n"/>
      <c r="P37" s="78" t="n"/>
      <c r="Q37" s="77" t="n"/>
      <c r="R37" s="77" t="n"/>
      <c r="S37" s="77" t="n"/>
      <c r="T37" s="39" t="n"/>
    </row>
    <row r="38" ht="62" customHeight="1">
      <c r="A38" s="12">
        <f>_xlfn.IMAGE("https://m.media-amazon.com/images/I/81LJ7MnsaDL.jpg")</f>
        <v/>
      </c>
      <c r="B38" s="39" t="inlineStr">
        <is>
          <t>B0FGZFLZCT</t>
        </is>
      </c>
      <c r="C38" s="39" t="inlineStr">
        <is>
          <t>SL-QUILT-SET-TWIN-WHITE</t>
        </is>
      </c>
      <c r="D38" s="39" t="inlineStr">
        <is>
          <t>SLEEPHORIA Twin Quilt Bedding Set | Lightweight Summer Bedspread 2 Pc</t>
        </is>
      </c>
      <c r="E38" s="39" t="inlineStr">
        <is>
          <t>Twin</t>
        </is>
      </c>
      <c r="F38" s="39" t="inlineStr">
        <is>
          <t>White</t>
        </is>
      </c>
      <c r="G38" s="40" t="n"/>
      <c r="H38" s="39" t="n"/>
      <c r="I38" s="74" t="n">
        <v>25.99</v>
      </c>
      <c r="J38" s="75" t="inlineStr">
        <is>
          <t>2026-03-30</t>
        </is>
      </c>
      <c r="K38" s="40" t="n">
        <v>1.550000000000001</v>
      </c>
      <c r="L38" s="76" t="n">
        <v>0.05963832243170453</v>
      </c>
      <c r="M38" s="77" t="n">
        <v>0</v>
      </c>
      <c r="N38" s="39" t="inlineStr">
        <is>
          <t>Active</t>
        </is>
      </c>
      <c r="O38" s="39" t="n"/>
      <c r="P38" s="78" t="n"/>
      <c r="Q38" s="77" t="n"/>
      <c r="R38" s="77" t="n"/>
      <c r="S38" s="77" t="n"/>
      <c r="T38" s="39" t="n"/>
    </row>
    <row r="39"/>
    <row r="40" ht="22" customHeight="1">
      <c r="A40" s="65" t="inlineStr">
        <is>
          <t>3 ▼</t>
        </is>
      </c>
      <c r="B40" s="66" t="inlineStr">
        <is>
          <t>OUR BFCM 2025 RESULT &amp; EVENT VISIBILITY</t>
        </is>
      </c>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c r="AL40" s="67" t="n"/>
      <c r="AM40" s="67" t="n"/>
      <c r="AN40" s="67" t="n"/>
      <c r="AO40" s="67" t="n"/>
      <c r="AP40" s="67" t="n"/>
      <c r="AQ40" s="67" t="n"/>
      <c r="AR40" s="67" t="n"/>
      <c r="AS40" s="67" t="n"/>
      <c r="AT40" s="67" t="n"/>
      <c r="AU40" s="67" t="n"/>
      <c r="AV40" s="67" t="n"/>
      <c r="AW40" s="67" t="n"/>
      <c r="AX40" s="67" t="n"/>
      <c r="AY40" s="67" t="n"/>
      <c r="AZ40" s="67" t="n"/>
      <c r="BA40" s="67" t="n"/>
      <c r="BB40" s="67" t="n"/>
      <c r="BC40" s="67" t="n"/>
      <c r="BD40" s="67" t="n"/>
      <c r="BE40" s="67" t="n"/>
      <c r="BF40" s="67" t="n"/>
      <c r="BG40" s="67" t="n"/>
      <c r="BH40" s="67" t="n"/>
      <c r="BI40" s="67" t="n"/>
      <c r="BJ40" s="67" t="n"/>
      <c r="BK40" s="67" t="n"/>
    </row>
    <row r="41">
      <c r="A41" s="80" t="inlineStr">
        <is>
          <t>Window</t>
        </is>
      </c>
      <c r="B41" s="81" t="n"/>
      <c r="C41" s="82" t="n"/>
      <c r="D41" s="80" t="inlineStr">
        <is>
          <t>Ad spend</t>
        </is>
      </c>
      <c r="E41" s="80" t="inlineStr">
        <is>
          <t>Ad sales</t>
        </is>
      </c>
      <c r="F41" s="80" t="inlineStr">
        <is>
          <t>ACoS</t>
        </is>
      </c>
      <c r="G41" s="80" t="inlineStr">
        <is>
          <t>TACoS</t>
        </is>
      </c>
      <c r="H41" s="80" t="inlineStr">
        <is>
          <t>Total sales (derived)</t>
        </is>
      </c>
      <c r="J41" s="80" t="inlineStr">
        <is>
          <t>Ad orders</t>
        </is>
      </c>
      <c r="K41" s="80" t="inlineStr">
        <is>
          <t>CVR</t>
        </is>
      </c>
    </row>
    <row r="42">
      <c r="A42" s="83" t="inlineStr">
        <is>
          <t>Pre-event Oct 21 - Nov 19, 2025 (30d)</t>
        </is>
      </c>
      <c r="B42" s="81" t="n"/>
      <c r="C42" s="82" t="n"/>
      <c r="D42" s="84" t="n"/>
      <c r="E42" s="84" t="n"/>
      <c r="F42" s="85" t="n"/>
      <c r="G42" s="85" t="n"/>
      <c r="H42" s="84" t="n"/>
      <c r="J42" s="86" t="n"/>
      <c r="K42" s="87" t="n"/>
    </row>
    <row r="43">
      <c r="A43" s="83" t="inlineStr">
        <is>
          <t>BFCM week Nov 20 - Dec 1, 2025 (12d)</t>
        </is>
      </c>
      <c r="B43" s="81" t="n"/>
      <c r="C43" s="82" t="n"/>
      <c r="D43" s="84" t="n">
        <v>0</v>
      </c>
      <c r="E43" s="84" t="n">
        <v>0</v>
      </c>
      <c r="F43" s="85" t="n"/>
      <c r="G43" s="85" t="n">
        <v>0</v>
      </c>
      <c r="H43" s="84" t="n"/>
      <c r="J43" s="86" t="n">
        <v>0</v>
      </c>
      <c r="K43" s="87" t="n"/>
    </row>
    <row r="44">
      <c r="A44" s="83" t="inlineStr">
        <is>
          <t>December 2 - 31, 2025 (30d)</t>
        </is>
      </c>
      <c r="B44" s="81" t="n"/>
      <c r="C44" s="82" t="n"/>
      <c r="D44" s="84" t="n"/>
      <c r="E44" s="84" t="n"/>
      <c r="F44" s="85" t="n"/>
      <c r="G44" s="85" t="n"/>
      <c r="H44" s="84" t="n"/>
      <c r="J44" s="86" t="n"/>
      <c r="K44" s="87" t="n"/>
    </row>
    <row r="45"/>
    <row r="46">
      <c r="A46" s="80" t="inlineStr">
        <is>
          <t>Actual sales (account data)</t>
        </is>
      </c>
      <c r="B46" s="81" t="n"/>
      <c r="C46" s="82" t="n"/>
      <c r="D46" s="80" t="inlineStr">
        <is>
          <t>Sales</t>
        </is>
      </c>
      <c r="E46" s="80" t="inlineStr">
        <is>
          <t>Units</t>
        </is>
      </c>
      <c r="F46" s="80" t="inlineStr">
        <is>
          <t>Organic units</t>
        </is>
      </c>
      <c r="G46" s="80" t="inlineStr">
        <is>
          <t>Ad units</t>
        </is>
      </c>
      <c r="H46" s="80" t="inlineStr">
        <is>
          <t>Ad cost</t>
        </is>
      </c>
      <c r="J46" s="80" t="inlineStr">
        <is>
          <t>TACoS (actual)</t>
        </is>
      </c>
      <c r="K46" s="80" t="inlineStr">
        <is>
          <t>Sessions</t>
        </is>
      </c>
      <c r="L46" s="80" t="inlineStr">
        <is>
          <t>Unit session %</t>
        </is>
      </c>
      <c r="M46" s="80" t="inlineStr">
        <is>
          <t>Avg price</t>
        </is>
      </c>
      <c r="N46" s="80" t="inlineStr">
        <is>
          <t>Refunds</t>
        </is>
      </c>
    </row>
    <row r="47">
      <c r="A47" s="83" t="inlineStr">
        <is>
          <t>Pre-event Oct 21 - Nov 19, 2025 (30d)</t>
        </is>
      </c>
      <c r="B47" s="81" t="n"/>
      <c r="C47" s="82" t="n"/>
      <c r="D47" s="84" t="n">
        <v>0</v>
      </c>
      <c r="E47" s="86" t="n">
        <v>0</v>
      </c>
      <c r="F47" s="86" t="n">
        <v>0</v>
      </c>
      <c r="G47" s="86" t="n">
        <v>0</v>
      </c>
      <c r="H47" s="84" t="n">
        <v>0</v>
      </c>
      <c r="J47" s="88" t="n"/>
      <c r="K47" s="86" t="n">
        <v>0</v>
      </c>
      <c r="L47" s="88" t="n"/>
      <c r="M47" s="89" t="n"/>
      <c r="N47" s="86" t="n">
        <v>0</v>
      </c>
    </row>
    <row r="48">
      <c r="A48" s="83" t="inlineStr">
        <is>
          <t>BFCM week Nov 20 - Dec 1, 2025 (12d)</t>
        </is>
      </c>
      <c r="B48" s="81" t="n"/>
      <c r="C48" s="82" t="n"/>
      <c r="D48" s="84" t="n">
        <v>1186.59</v>
      </c>
      <c r="E48" s="86" t="n">
        <v>41</v>
      </c>
      <c r="F48" s="86" t="n">
        <v>41</v>
      </c>
      <c r="G48" s="86" t="n">
        <v>0</v>
      </c>
      <c r="H48" s="84" t="n">
        <v>0</v>
      </c>
      <c r="J48" s="88" t="n">
        <v>0</v>
      </c>
      <c r="K48" s="86" t="n">
        <v>147</v>
      </c>
      <c r="L48" s="88" t="n">
        <v>0.2789115646258503</v>
      </c>
      <c r="M48" s="89" t="n">
        <v>28.94121951219512</v>
      </c>
      <c r="N48" s="86" t="n">
        <v>0</v>
      </c>
    </row>
    <row r="49">
      <c r="A49" s="83" t="inlineStr">
        <is>
          <t>December 2 - 31, 2025 (30d)</t>
        </is>
      </c>
      <c r="B49" s="81" t="n"/>
      <c r="C49" s="82" t="n"/>
      <c r="D49" s="84" t="n">
        <v>3215.81</v>
      </c>
      <c r="E49" s="86" t="n">
        <v>119</v>
      </c>
      <c r="F49" s="86" t="n">
        <v>119</v>
      </c>
      <c r="G49" s="86" t="n">
        <v>0</v>
      </c>
      <c r="H49" s="84" t="n">
        <v>0</v>
      </c>
      <c r="J49" s="88" t="n">
        <v>0</v>
      </c>
      <c r="K49" s="86" t="n">
        <v>4324</v>
      </c>
      <c r="L49" s="88" t="n">
        <v>0.02752081406105458</v>
      </c>
      <c r="M49" s="89" t="n">
        <v>27.02361344537815</v>
      </c>
      <c r="N49" s="86" t="n">
        <v>4</v>
      </c>
    </row>
    <row r="50">
      <c r="A50" s="90" t="inlineStr">
        <is>
          <t>account data, Amazon parent B0GZW9QWJM plus any of this product's child ASINs account data lists on their own, UTC days. Lift above uses these actual sales.</t>
        </is>
      </c>
    </row>
    <row r="51" ht="18" customHeight="1">
      <c r="A51" s="92" t="inlineStr">
        <is>
          <t>BFCM 2026 plan: Best Deal 11/19-11/30. Deal price and depth not yet given; not yet visible in Amazon's deal feed.</t>
        </is>
      </c>
    </row>
    <row r="52" ht="18" customHeight="1">
      <c r="A52" s="93" t="inlineStr">
        <is>
          <t>Pre-BFCM deal decision: Oct 16-28 Best Deal: cancel proposed; only 42 units left across the parent after the liquidation.</t>
        </is>
      </c>
    </row>
    <row r="53" ht="30" customHeight="1">
      <c r="A53" s="94" t="inlineStr">
        <is>
          <t>BFCM 2026 stock (account data, Oct 15): 45 units at Amazon + 0 already sent (no ETA in account data); selling 1.1 a day; need about 71 to Nov 30 with a 2.74x BFCM lift (ASSUMED: account BFCM 2025 lift (US); product's own 2025 lift not available). Variations: 6 covered, 0 need the inbound in time, 6 short even with inbound (49 units), 6 out of stock now. Detail: BFCM Stock tab.</t>
        </is>
      </c>
    </row>
    <row r="54" ht="18" customHeight="1">
      <c r="A54" s="95" t="inlineStr">
        <is>
          <t>ASSUMED 2026 deal prices, until the team's final: B0FGZDR11L today $41.99; $35.69 at 15% off (Nov 19-26) and $33.59 at 20% off (Nov 27-30, Black Friday to Cyber Monday). Rule: team rule agreed Oct 15, 2026. Evidence: US competitors' median price cut in BFCM 2025: 13% (4 rivals). Amazon may use a lower reference price than today's (it sets it the day before the deal), which would lower the deal price.</t>
        </is>
      </c>
    </row>
    <row r="55">
      <c r="A55" s="90" t="inlineStr">
        <is>
          <t>No market data visibility history for our best child ASIN.</t>
        </is>
      </c>
    </row>
    <row r="56"/>
    <row r="57" ht="22" customHeight="1">
      <c r="A57" s="65" t="inlineStr">
        <is>
          <t>4 ▼</t>
        </is>
      </c>
      <c r="B57" s="66" t="inlineStr">
        <is>
          <t>COMPETITOR LANDSCAPE (19 mapped)</t>
        </is>
      </c>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c r="AC57" s="67" t="n"/>
      <c r="AD57" s="67" t="n"/>
      <c r="AE57" s="67" t="n"/>
      <c r="AF57" s="67" t="n"/>
      <c r="AG57" s="67" t="n"/>
      <c r="AH57" s="67" t="n"/>
      <c r="AI57" s="67" t="n"/>
      <c r="AJ57" s="67" t="n"/>
      <c r="AK57" s="67" t="n"/>
      <c r="AL57" s="67" t="n"/>
      <c r="AM57" s="67" t="n"/>
      <c r="AN57" s="67" t="n"/>
      <c r="AO57" s="67" t="n"/>
      <c r="AP57" s="67" t="n"/>
      <c r="AQ57" s="67" t="n"/>
      <c r="AR57" s="67" t="n"/>
      <c r="AS57" s="67" t="n"/>
      <c r="AT57" s="67" t="n"/>
      <c r="AU57" s="67" t="n"/>
      <c r="AV57" s="67" t="n"/>
      <c r="AW57" s="67" t="n"/>
      <c r="AX57" s="67" t="n"/>
      <c r="AY57" s="67" t="n"/>
      <c r="AZ57" s="67" t="n"/>
      <c r="BA57" s="67" t="n"/>
      <c r="BB57" s="67" t="n"/>
      <c r="BC57" s="67" t="n"/>
      <c r="BD57" s="67" t="n"/>
      <c r="BE57" s="67" t="n"/>
      <c r="BF57" s="67" t="n"/>
      <c r="BG57" s="67" t="n"/>
      <c r="BH57" s="67" t="n"/>
      <c r="BI57" s="67" t="n"/>
      <c r="BJ57" s="67" t="n"/>
      <c r="BK57" s="67" t="n"/>
    </row>
    <row r="58" ht="20" customHeight="1">
      <c r="A58" s="96" t="inlineStr">
        <is>
          <t>▼▼▼</t>
        </is>
      </c>
      <c r="B58" s="97" t="inlineStr">
        <is>
          <t>COMPETITOR DATA BELOW: one row per competitor (0 direct first, then alternative material). Scroll right for listing, search, strikethrough now and BFCM 2025 history (deal type, price, discount, rank change).</t>
        </is>
      </c>
      <c r="C58" s="98" t="n"/>
      <c r="D58" s="98" t="n"/>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98" t="n"/>
      <c r="AM58" s="98" t="n"/>
      <c r="AN58" s="98" t="n"/>
      <c r="AO58" s="98" t="n"/>
      <c r="AP58" s="98" t="n"/>
      <c r="AQ58" s="98" t="n"/>
      <c r="AR58" s="98" t="n"/>
      <c r="AS58" s="98" t="n"/>
      <c r="AT58" s="98" t="n"/>
      <c r="AU58" s="98" t="n"/>
      <c r="AV58" s="98" t="n"/>
      <c r="AW58" s="98" t="n"/>
      <c r="AX58" s="98" t="n"/>
      <c r="AY58" s="98" t="n"/>
      <c r="AZ58" s="98" t="n"/>
      <c r="BA58" s="98" t="n"/>
      <c r="BB58" s="98" t="n"/>
      <c r="BC58" s="98" t="n"/>
      <c r="BD58" s="98" t="n"/>
      <c r="BE58" s="98" t="n"/>
      <c r="BF58" s="98" t="n"/>
      <c r="BG58" s="98" t="n"/>
      <c r="BH58" s="98" t="n"/>
      <c r="BI58" s="98" t="n"/>
      <c r="BJ58" s="98" t="n"/>
      <c r="BK58" s="98" t="n"/>
    </row>
    <row r="59">
      <c r="A59" s="99" t="inlineStr">
        <is>
          <t>COMPETITOR</t>
        </is>
      </c>
      <c r="L59" s="100" t="inlineStr">
        <is>
          <t>LISTING - catalog data</t>
        </is>
      </c>
      <c r="M59" s="101" t="inlineStr">
        <is>
          <t>SEARCH STRATEGY - market data search data</t>
        </is>
      </c>
      <c r="N59" s="102" t="inlineStr">
        <is>
          <t>PRICE &amp; SALES - market data snapshot (date per row)</t>
        </is>
      </c>
      <c r="AA59" s="100" t="inlineStr">
        <is>
          <t>LISTING - catalog data</t>
        </is>
      </c>
      <c r="AD59" s="101" t="inlineStr">
        <is>
          <t>SEARCH STRATEGY - market data search data</t>
        </is>
      </c>
      <c r="AU59" s="103" t="inlineStr">
        <is>
          <t>STR NOW - Amazon page check (Oct 13, P1 + P2)</t>
        </is>
      </c>
      <c r="BB59" s="104" t="inlineStr">
        <is>
          <t>BFCM 2025 - price history (P1 filled; yellow = not pulled yet)</t>
        </is>
      </c>
    </row>
    <row r="60" ht="48" customHeight="1">
      <c r="A60" s="26" t="inlineStr">
        <is>
          <t>Image</t>
        </is>
      </c>
      <c r="B60" s="26" t="inlineStr">
        <is>
          <t>Brand</t>
        </is>
      </c>
      <c r="C60" s="26" t="inlineStr">
        <is>
          <t>Product title</t>
        </is>
      </c>
      <c r="D60" s="26" t="inlineStr">
        <is>
          <t>Tier</t>
        </is>
      </c>
      <c r="E60" s="26" t="inlineStr">
        <is>
          <t>Competitor type</t>
        </is>
      </c>
      <c r="F60" s="26" t="inlineStr">
        <is>
          <t>Material</t>
        </is>
      </c>
      <c r="G60" s="26" t="inlineStr">
        <is>
          <t>Why this type</t>
        </is>
      </c>
      <c r="H60" s="26" t="inlineStr">
        <is>
          <t>Parent ASIN</t>
        </is>
      </c>
      <c r="I60" s="26" t="inlineStr">
        <is>
          <t>Tracked child ASIN</t>
        </is>
      </c>
      <c r="J60" s="26" t="inlineStr">
        <is>
          <t>Size</t>
        </is>
      </c>
      <c r="K60" s="26" t="inlineStr">
        <is>
          <t>Colour</t>
        </is>
      </c>
      <c r="L60" s="26" t="inlineStr">
        <is>
          <t>Variations</t>
        </is>
      </c>
      <c r="M60" s="26" t="inlineStr">
        <is>
          <t>Hero child ASINs (share of their visibility)</t>
        </is>
      </c>
      <c r="N60" s="26" t="inlineStr">
        <is>
          <t>Price ($)</t>
        </is>
      </c>
      <c r="O60" s="26" t="inlineStr">
        <is>
          <t>List Price ($)</t>
        </is>
      </c>
      <c r="P60" s="26" t="inlineStr">
        <is>
          <t>List Price % over</t>
        </is>
      </c>
      <c r="Q60" s="26" t="inlineStr">
        <is>
          <t>STR band</t>
        </is>
      </c>
      <c r="R60" s="26" t="inlineStr">
        <is>
          <t>Our price, same size ($)</t>
        </is>
      </c>
      <c r="S60" s="26" t="inlineStr">
        <is>
          <t>Their price vs ours</t>
        </is>
      </c>
      <c r="T60" s="26" t="inlineStr">
        <is>
          <t>Comparison basis</t>
        </is>
      </c>
      <c r="U60" s="26" t="inlineStr">
        <is>
          <t>BSR</t>
        </is>
      </c>
      <c r="V60" s="26" t="inlineStr">
        <is>
          <t>Est weekly units</t>
        </is>
      </c>
      <c r="W60" s="26" t="inlineStr">
        <is>
          <t>Est monthly revenue ($)</t>
        </is>
      </c>
      <c r="X60" s="26" t="inlineStr">
        <is>
          <t>Rating</t>
        </is>
      </c>
      <c r="Y60" s="26" t="inlineStr">
        <is>
          <t>Reviews</t>
        </is>
      </c>
      <c r="Z60" s="26" t="inlineStr">
        <is>
          <t>Snapshot date</t>
        </is>
      </c>
      <c r="AA60" s="26" t="inlineStr">
        <is>
          <t>Listed</t>
        </is>
      </c>
      <c r="AB60" s="26" t="inlineStr">
        <is>
          <t>Fulfil.</t>
        </is>
      </c>
      <c r="AC60" s="26" t="inlineStr">
        <is>
          <t>Seller country</t>
        </is>
      </c>
      <c r="AD60" s="26" t="inlineStr">
        <is>
          <t>search data 7d traffic</t>
        </is>
      </c>
      <c r="AE60" s="26" t="inlineStr">
        <is>
          <t>Keywords ranked</t>
        </is>
      </c>
      <c r="AF60" s="26" t="inlineStr">
        <is>
          <t>Organic share of traffic</t>
        </is>
      </c>
      <c r="AG60" s="26" t="inlineStr">
        <is>
          <t>Ad share of traffic</t>
        </is>
      </c>
      <c r="AH60" s="26" t="inlineStr">
        <is>
          <t>Top keyword</t>
        </is>
      </c>
      <c r="AI60" s="26" t="inlineStr">
        <is>
          <t>SP reach</t>
        </is>
      </c>
      <c r="AJ60" s="26" t="inlineStr">
        <is>
          <t>SB reach</t>
        </is>
      </c>
      <c r="AK60" s="26" t="inlineStr">
        <is>
          <t>SB video reach</t>
        </is>
      </c>
      <c r="AL60" s="26" t="inlineStr">
        <is>
          <t>Amazon's Choice reach</t>
        </is>
      </c>
      <c r="AM60" s="26" t="inlineStr">
        <is>
          <t>Shared keywords</t>
        </is>
      </c>
      <c r="AN60" s="26" t="inlineStr">
        <is>
          <t>We win</t>
        </is>
      </c>
      <c r="AO60" s="26" t="inlineStr">
        <is>
          <t>We lose</t>
        </is>
      </c>
      <c r="AP60" s="26" t="inlineStr">
        <is>
          <t>Their keywords we miss</t>
        </is>
      </c>
      <c r="AQ60" s="26" t="inlineStr">
        <is>
          <t>KWs they advertise, we don't</t>
        </is>
      </c>
      <c r="AR60" s="26" t="inlineStr">
        <is>
          <t>KWs they out-advertise us</t>
        </is>
      </c>
      <c r="AS60" s="26" t="inlineStr">
        <is>
          <t>Prime Day 2026 organic vis lift</t>
        </is>
      </c>
      <c r="AT60" s="26" t="inlineStr">
        <is>
          <t>Organic trend (Aug-Sep vs Q2)</t>
        </is>
      </c>
      <c r="AU60" s="26" t="inlineStr">
        <is>
          <t>STR showing now? (Y/N)</t>
        </is>
      </c>
      <c r="AV60" s="26" t="inlineStr">
        <is>
          <t>STR label</t>
        </is>
      </c>
      <c r="AW60" s="26" t="inlineStr">
        <is>
          <t>Strikethrough price ($)</t>
        </is>
      </c>
      <c r="AX60" s="26" t="inlineStr">
        <is>
          <t>Page price at check ($)</t>
        </is>
      </c>
      <c r="AY60" s="26" t="inlineStr">
        <is>
          <t>Deal / coupon now</t>
        </is>
      </c>
      <c r="AZ60" s="26" t="inlineStr">
        <is>
          <t>Orderable now (Y/N)</t>
        </is>
      </c>
      <c r="BA60" s="26" t="inlineStr">
        <is>
          <t>Checked (ET)</t>
        </is>
      </c>
      <c r="BB60" s="26" t="inlineStr">
        <is>
          <t>BFCM 2025 deal type</t>
        </is>
      </c>
      <c r="BC60" s="26" t="inlineStr">
        <is>
          <t>BFCM 2025 deal dates</t>
        </is>
      </c>
      <c r="BD60" s="26" t="inlineStr">
        <is>
          <t>Pre-event price ($)</t>
        </is>
      </c>
      <c r="BE60" s="26" t="inlineStr">
        <is>
          <t>BFCM 2025 low ($)</t>
        </is>
      </c>
      <c r="BF60" s="26" t="inlineStr">
        <is>
          <t>BFCM 2025 discount</t>
        </is>
      </c>
      <c r="BG60" s="26" t="inlineStr">
        <is>
          <t>BSR pre-event</t>
        </is>
      </c>
      <c r="BH60" s="26" t="inlineStr">
        <is>
          <t>BSR BFCM wk</t>
        </is>
      </c>
      <c r="BI60" s="26" t="inlineStr">
        <is>
          <t>BSR lift (x)</t>
        </is>
      </c>
      <c r="BJ60" s="26" t="inlineStr">
        <is>
          <t>OOS in BFCM? (Y/N)</t>
        </is>
      </c>
      <c r="BK60" s="26" t="inlineStr">
        <is>
          <t>Notes</t>
        </is>
      </c>
    </row>
    <row r="61" ht="62" customHeight="1">
      <c r="A61" s="12">
        <f>_xlfn.IMAGE("https://images-na.ssl-images-amazon.com/images/I/91rbRjfsNlL.jpg")</f>
        <v/>
      </c>
      <c r="B61" s="105" t="inlineStr">
        <is>
          <t>Love's cabin</t>
        </is>
      </c>
      <c r="C61" s="39" t="inlineStr">
        <is>
          <t>Love's cabin Quilts for Queen Bed Blue Bedspreads - Soft Bed Summer Lightweight Bedspread Comforter - Modern Style Coin Pattern Coverlet for All Season - 3 Pieces (1 Quilt, 2 Pillow Shams)</t>
        </is>
      </c>
      <c r="D61" s="105" t="inlineStr">
        <is>
          <t>Aspirational</t>
        </is>
      </c>
      <c r="E61" s="134" t="inlineStr">
        <is>
          <t>Not classified</t>
        </is>
      </c>
      <c r="F61" s="105" t="n"/>
      <c r="G61" s="39" t="inlineStr">
        <is>
          <t>Not a sheet, pillowcase or comforter product; competitors are compared on price and sales only.</t>
        </is>
      </c>
      <c r="H61" s="107" t="inlineStr">
        <is>
          <t>B0859YNTXN</t>
        </is>
      </c>
      <c r="I61" s="107" t="inlineStr">
        <is>
          <t>B08LDD8HBW</t>
        </is>
      </c>
      <c r="J61" s="105" t="inlineStr">
        <is>
          <t>Queen</t>
        </is>
      </c>
      <c r="K61" s="105" t="inlineStr">
        <is>
          <t>Blue</t>
        </is>
      </c>
      <c r="L61" s="108" t="n">
        <v>280</v>
      </c>
      <c r="M61" s="39" t="inlineStr"/>
      <c r="N61" s="109" t="n">
        <v>25.99</v>
      </c>
      <c r="O61" s="109" t="n">
        <v>31.99</v>
      </c>
      <c r="P61" s="110">
        <f>IF(AND(ISNUMBER(O61),ISNUMBER(N61),N(N61)&gt;0),O61/N61-1,"")</f>
        <v/>
      </c>
      <c r="Q61" s="111">
        <f>IF(P61="","No List Price",IF(P61&lt;=0,"At/below price",IF(P61&lt;=0.12,"&lt;=12% STR zone",IF(P61&lt;=0.25,"12-25%","&gt;25% over"))))</f>
        <v/>
      </c>
      <c r="R61" s="109" t="n">
        <v>41.99</v>
      </c>
      <c r="S61" s="112">
        <f>IF(AND(ISNUMBER(N61),ISNUMBER(R61),N(R61)&gt;0),N61/R61-1,"")</f>
        <v/>
      </c>
      <c r="T61" s="39" t="inlineStr">
        <is>
          <t>Same size (Queen). Ours live: catalog price, 2026-10-13; 5 children</t>
        </is>
      </c>
      <c r="U61" s="108" t="n">
        <v>368</v>
      </c>
      <c r="V61" s="108" t="n">
        <v>809</v>
      </c>
      <c r="W61" s="113">
        <f>IF(AND(ISNUMBER(N61),ISNUMBER(V61)),N61*V61*52/12,"")</f>
        <v/>
      </c>
      <c r="X61" s="114" t="n">
        <v>4.6</v>
      </c>
      <c r="Y61" s="108" t="n">
        <v>9469</v>
      </c>
      <c r="Z61" s="115" t="n">
        <v>46307</v>
      </c>
      <c r="AA61" s="115" t="n">
        <v>44123</v>
      </c>
      <c r="AB61" s="105" t="inlineStr">
        <is>
          <t>FBA</t>
        </is>
      </c>
      <c r="AC61" s="105" t="inlineStr">
        <is>
          <t>CN</t>
        </is>
      </c>
      <c r="AD61" s="108" t="n"/>
      <c r="AE61" s="108" t="n"/>
      <c r="AF61" s="116" t="n"/>
      <c r="AG61" s="116" t="n"/>
      <c r="AH61" s="39" t="n"/>
      <c r="AI61" s="116" t="n"/>
      <c r="AJ61" s="116" t="n"/>
      <c r="AK61" s="116" t="n"/>
      <c r="AL61" s="116" t="n"/>
      <c r="AM61" s="108" t="n"/>
      <c r="AN61" s="108" t="n"/>
      <c r="AO61" s="108" t="n"/>
      <c r="AP61" s="108" t="n"/>
      <c r="AQ61" s="108" t="n"/>
      <c r="AR61" s="108" t="n"/>
      <c r="AS61" s="117" t="n">
        <v>0.9342541687491479</v>
      </c>
      <c r="AT61" s="112" t="n">
        <v>0.01769787532103662</v>
      </c>
      <c r="AU61" s="118" t="inlineStr">
        <is>
          <t>Y</t>
        </is>
      </c>
      <c r="AV61" s="118" t="inlineStr">
        <is>
          <t>List Price</t>
        </is>
      </c>
      <c r="AW61" s="119" t="n">
        <v>31.99</v>
      </c>
      <c r="AX61" s="119" t="n">
        <v>25.99</v>
      </c>
      <c r="AY61" s="118" t="inlineStr">
        <is>
          <t>none</t>
        </is>
      </c>
      <c r="AZ61" s="118" t="inlineStr">
        <is>
          <t>Y</t>
        </is>
      </c>
      <c r="BA61" s="118" t="inlineStr">
        <is>
          <t>2026-10-13 23:41:40</t>
        </is>
      </c>
      <c r="BB61" s="120" t="inlineStr">
        <is>
          <t>Prime Exclusive Discount</t>
        </is>
      </c>
      <c r="BC61" s="120" t="inlineStr">
        <is>
          <t>11-11 to 12-05</t>
        </is>
      </c>
      <c r="BD61" s="121" t="n">
        <v>27.54</v>
      </c>
      <c r="BE61" s="121" t="n">
        <v>27.54</v>
      </c>
      <c r="BF61" s="110">
        <f>IF(AND(ISNUMBER(BD61),ISNUMBER(BE61),N(BD61)&gt;0),1-BE61/BD61,"")</f>
        <v/>
      </c>
      <c r="BG61" s="122" t="n">
        <v>320</v>
      </c>
      <c r="BH61" s="122" t="n">
        <v>622</v>
      </c>
      <c r="BI61" s="123">
        <f>IF(AND(ISNUMBER(BG61),ISNUMBER(BH61),N(BH61)&gt;0),BG61/BH61,"")</f>
        <v/>
      </c>
      <c r="BJ61" s="120" t="inlineStr">
        <is>
          <t>N</t>
        </is>
      </c>
      <c r="BK61" s="120" t="inlineStr">
        <is>
          <t>Prime Exclusive already running before BFCM week; Buy Box RAISED in BFCM week (median $35.99 vs $27.54 before); List Price $35.99</t>
        </is>
      </c>
    </row>
    <row r="62" ht="62" customHeight="1">
      <c r="A62" s="12">
        <f>_xlfn.IMAGE("https://images-na.ssl-images-amazon.com/images/I/81FerbiIQ9L.jpg")</f>
        <v/>
      </c>
      <c r="B62" s="105" t="inlineStr">
        <is>
          <t>FLYMME</t>
        </is>
      </c>
      <c r="C62" s="39" t="inlineStr">
        <is>
          <t>FLYMME Quilts Queen Size - Ultra Soft Navy Blue Quilt Lightweight Microfiber Bedspreads, Classic Basket Weave Pattern Bedspread Bed Coverlet 3 Pieces for All-Season (1 Quilt, 2 Pillow Shams)</t>
        </is>
      </c>
      <c r="D62" s="105" t="inlineStr">
        <is>
          <t>Aspirational</t>
        </is>
      </c>
      <c r="E62" s="134" t="inlineStr">
        <is>
          <t>Not classified</t>
        </is>
      </c>
      <c r="F62" s="105" t="n"/>
      <c r="G62" s="39" t="inlineStr">
        <is>
          <t>Not a sheet, pillowcase or comforter product; competitors are compared on price and sales only.</t>
        </is>
      </c>
      <c r="H62" s="107" t="inlineStr">
        <is>
          <t>B0DS2L4CG2</t>
        </is>
      </c>
      <c r="I62" s="107" t="inlineStr">
        <is>
          <t>B0D8JF6DDS</t>
        </is>
      </c>
      <c r="J62" s="105" t="inlineStr">
        <is>
          <t>Queen</t>
        </is>
      </c>
      <c r="K62" s="105" t="inlineStr">
        <is>
          <t>Navy</t>
        </is>
      </c>
      <c r="L62" s="108" t="n">
        <v>113</v>
      </c>
      <c r="M62" s="39" t="inlineStr"/>
      <c r="N62" s="109" t="n">
        <v>27.99</v>
      </c>
      <c r="O62" s="109" t="n"/>
      <c r="P62" s="110">
        <f>IF(AND(ISNUMBER(O62),ISNUMBER(N62),N(N62)&gt;0),O62/N62-1,"")</f>
        <v/>
      </c>
      <c r="Q62" s="111">
        <f>IF(P62="","No List Price",IF(P62&lt;=0,"At/below price",IF(P62&lt;=0.12,"&lt;=12% STR zone",IF(P62&lt;=0.25,"12-25%","&gt;25% over"))))</f>
        <v/>
      </c>
      <c r="R62" s="109" t="n">
        <v>41.99</v>
      </c>
      <c r="S62" s="112">
        <f>IF(AND(ISNUMBER(N62),ISNUMBER(R62),N(R62)&gt;0),N62/R62-1,"")</f>
        <v/>
      </c>
      <c r="T62" s="39" t="inlineStr">
        <is>
          <t>Same size (Queen). Ours live: catalog price, 2026-10-13; 5 children</t>
        </is>
      </c>
      <c r="U62" s="108" t="n">
        <v>9598</v>
      </c>
      <c r="V62" s="108" t="n">
        <v>347</v>
      </c>
      <c r="W62" s="113">
        <f>IF(AND(ISNUMBER(N62),ISNUMBER(V62)),N62*V62*52/12,"")</f>
        <v/>
      </c>
      <c r="X62" s="114" t="n">
        <v>4.3</v>
      </c>
      <c r="Y62" s="108" t="n">
        <v>1454</v>
      </c>
      <c r="Z62" s="115" t="n">
        <v>46307</v>
      </c>
      <c r="AA62" s="115" t="n">
        <v>45474</v>
      </c>
      <c r="AB62" s="105" t="inlineStr">
        <is>
          <t>FBA</t>
        </is>
      </c>
      <c r="AC62" s="105" t="inlineStr">
        <is>
          <t>CN</t>
        </is>
      </c>
      <c r="AD62" s="108" t="n"/>
      <c r="AE62" s="108" t="n"/>
      <c r="AF62" s="116" t="n"/>
      <c r="AG62" s="116" t="n"/>
      <c r="AH62" s="39" t="n"/>
      <c r="AI62" s="116" t="n"/>
      <c r="AJ62" s="116" t="n"/>
      <c r="AK62" s="116" t="n"/>
      <c r="AL62" s="116" t="n"/>
      <c r="AM62" s="108" t="n"/>
      <c r="AN62" s="108" t="n"/>
      <c r="AO62" s="108" t="n"/>
      <c r="AP62" s="108" t="n"/>
      <c r="AQ62" s="108" t="n"/>
      <c r="AR62" s="108" t="n"/>
      <c r="AS62" s="117" t="n">
        <v>1.132025914901068</v>
      </c>
      <c r="AT62" s="112" t="n">
        <v>0.07937755422823001</v>
      </c>
      <c r="AU62" s="118" t="inlineStr">
        <is>
          <t>N</t>
        </is>
      </c>
      <c r="AV62" s="118" t="inlineStr">
        <is>
          <t>none</t>
        </is>
      </c>
      <c r="AW62" s="124" t="n"/>
      <c r="AX62" s="119" t="n">
        <v>27.99</v>
      </c>
      <c r="AY62" s="118" t="inlineStr">
        <is>
          <t>none</t>
        </is>
      </c>
      <c r="AZ62" s="118" t="inlineStr">
        <is>
          <t>Y</t>
        </is>
      </c>
      <c r="BA62" s="118" t="inlineStr">
        <is>
          <t>2026-10-13 23:40:32</t>
        </is>
      </c>
      <c r="BB62" s="120" t="inlineStr">
        <is>
          <t>None</t>
        </is>
      </c>
      <c r="BC62" s="125" t="n"/>
      <c r="BD62" s="121" t="n">
        <v>25.19</v>
      </c>
      <c r="BE62" s="121" t="n">
        <v>27.99</v>
      </c>
      <c r="BF62" s="110">
        <f>IF(AND(ISNUMBER(BD62),ISNUMBER(BE62),N(BD62)&gt;0),1-BE62/BD62,"")</f>
        <v/>
      </c>
      <c r="BG62" s="122" t="n">
        <v>17079</v>
      </c>
      <c r="BH62" s="122" t="n">
        <v>32604</v>
      </c>
      <c r="BI62" s="123">
        <f>IF(AND(ISNUMBER(BG62),ISNUMBER(BH62),N(BH62)&gt;0),BG62/BH62,"")</f>
        <v/>
      </c>
      <c r="BJ62" s="120" t="inlineStr">
        <is>
          <t>N</t>
        </is>
      </c>
      <c r="BK62" s="120" t="inlineStr">
        <is>
          <t>Prime Exclusive 11-01 to 11-11; Prime Exclusive already running before BFCM week; List Price $27.99</t>
        </is>
      </c>
    </row>
    <row r="63" ht="62" customHeight="1">
      <c r="A63" s="12">
        <f>_xlfn.IMAGE("https://images-na.ssl-images-amazon.com/images/I/71vQq9x6aXL.jpg")</f>
        <v/>
      </c>
      <c r="B63" s="105" t="inlineStr">
        <is>
          <t>HORIMOTE HOME</t>
        </is>
      </c>
      <c r="C63" s="39" t="inlineStr">
        <is>
          <t>HORIMOTE HOME Quilt Set Queen Size Navy Blue, Classic Geometric Diamond Stitched Pattern, Ultra Soft Microfiber Lightweight Bedding Bedspread Coverlet for All Season with 1 Quilt 2 Pillow Shams</t>
        </is>
      </c>
      <c r="D63" s="105" t="inlineStr">
        <is>
          <t>Aspirational</t>
        </is>
      </c>
      <c r="E63" s="134" t="inlineStr">
        <is>
          <t>Not classified</t>
        </is>
      </c>
      <c r="F63" s="105" t="n"/>
      <c r="G63" s="39" t="inlineStr">
        <is>
          <t>Not a sheet, pillowcase or comforter product; competitors are compared on price and sales only.</t>
        </is>
      </c>
      <c r="H63" s="107" t="inlineStr">
        <is>
          <t>B0BS5MVH9Q</t>
        </is>
      </c>
      <c r="I63" s="107" t="inlineStr">
        <is>
          <t>B085DLHZQ1</t>
        </is>
      </c>
      <c r="J63" s="105" t="inlineStr">
        <is>
          <t>Queen</t>
        </is>
      </c>
      <c r="K63" s="105" t="inlineStr">
        <is>
          <t>Navy</t>
        </is>
      </c>
      <c r="L63" s="108" t="n">
        <v>81</v>
      </c>
      <c r="M63" s="39" t="inlineStr"/>
      <c r="N63" s="109" t="n">
        <v>29.99</v>
      </c>
      <c r="O63" s="109" t="n"/>
      <c r="P63" s="110">
        <f>IF(AND(ISNUMBER(O63),ISNUMBER(N63),N(N63)&gt;0),O63/N63-1,"")</f>
        <v/>
      </c>
      <c r="Q63" s="111">
        <f>IF(P63="","No List Price",IF(P63&lt;=0,"At/below price",IF(P63&lt;=0.12,"&lt;=12% STR zone",IF(P63&lt;=0.25,"12-25%","&gt;25% over"))))</f>
        <v/>
      </c>
      <c r="R63" s="109" t="n">
        <v>41.99</v>
      </c>
      <c r="S63" s="112">
        <f>IF(AND(ISNUMBER(N63),ISNUMBER(R63),N(R63)&gt;0),N63/R63-1,"")</f>
        <v/>
      </c>
      <c r="T63" s="39" t="inlineStr">
        <is>
          <t>Same size (Queen). Ours live: catalog price, 2026-10-13; 5 children</t>
        </is>
      </c>
      <c r="U63" s="108" t="n">
        <v>5785</v>
      </c>
      <c r="V63" s="108" t="n">
        <v>185</v>
      </c>
      <c r="W63" s="113">
        <f>IF(AND(ISNUMBER(N63),ISNUMBER(V63)),N63*V63*52/12,"")</f>
        <v/>
      </c>
      <c r="X63" s="114" t="n">
        <v>4.6</v>
      </c>
      <c r="Y63" s="108" t="n">
        <v>9080</v>
      </c>
      <c r="Z63" s="115" t="n">
        <v>46307</v>
      </c>
      <c r="AA63" s="115" t="n">
        <v>43893</v>
      </c>
      <c r="AB63" s="105" t="inlineStr">
        <is>
          <t>FBA</t>
        </is>
      </c>
      <c r="AC63" s="105" t="inlineStr">
        <is>
          <t>CN</t>
        </is>
      </c>
      <c r="AD63" s="108" t="n"/>
      <c r="AE63" s="108" t="n"/>
      <c r="AF63" s="116" t="n"/>
      <c r="AG63" s="116" t="n"/>
      <c r="AH63" s="39" t="n"/>
      <c r="AI63" s="116" t="n"/>
      <c r="AJ63" s="116" t="n"/>
      <c r="AK63" s="116" t="n"/>
      <c r="AL63" s="116" t="n"/>
      <c r="AM63" s="108" t="n"/>
      <c r="AN63" s="108" t="n"/>
      <c r="AO63" s="108" t="n"/>
      <c r="AP63" s="108" t="n"/>
      <c r="AQ63" s="108" t="n"/>
      <c r="AR63" s="108" t="n"/>
      <c r="AS63" s="117" t="n">
        <v>1.138737985791893</v>
      </c>
      <c r="AT63" s="112" t="n">
        <v>-0.07805695142378566</v>
      </c>
      <c r="AU63" s="118" t="inlineStr">
        <is>
          <t>N</t>
        </is>
      </c>
      <c r="AV63" s="118" t="inlineStr">
        <is>
          <t>none</t>
        </is>
      </c>
      <c r="AW63" s="124" t="n"/>
      <c r="AX63" s="119" t="n">
        <v>29.99</v>
      </c>
      <c r="AY63" s="118" t="inlineStr">
        <is>
          <t>none</t>
        </is>
      </c>
      <c r="AZ63" s="118" t="inlineStr">
        <is>
          <t>Y</t>
        </is>
      </c>
      <c r="BA63" s="118" t="inlineStr">
        <is>
          <t>2026-10-13 23:41:06</t>
        </is>
      </c>
      <c r="BB63" s="120" t="inlineStr">
        <is>
          <t>Prime Exclusive Discount</t>
        </is>
      </c>
      <c r="BC63" s="120" t="inlineStr">
        <is>
          <t>11-20 to 12-01</t>
        </is>
      </c>
      <c r="BD63" s="121" t="n">
        <v>31.99</v>
      </c>
      <c r="BE63" s="121" t="n">
        <v>25.27</v>
      </c>
      <c r="BF63" s="110">
        <f>IF(AND(ISNUMBER(BD63),ISNUMBER(BE63),N(BD63)&gt;0),1-BE63/BD63,"")</f>
        <v/>
      </c>
      <c r="BG63" s="122" t="n">
        <v>4981</v>
      </c>
      <c r="BH63" s="122" t="n">
        <v>5998</v>
      </c>
      <c r="BI63" s="123">
        <f>IF(AND(ISNUMBER(BG63),ISNUMBER(BH63),N(BH63)&gt;0),BG63/BH63,"")</f>
        <v/>
      </c>
      <c r="BJ63" s="120" t="inlineStr">
        <is>
          <t>N</t>
        </is>
      </c>
      <c r="BK63" s="120" t="inlineStr">
        <is>
          <t>List Price $36.99</t>
        </is>
      </c>
    </row>
    <row r="64" ht="62" customHeight="1">
      <c r="A64" s="12">
        <f>_xlfn.IMAGE("https://images-na.ssl-images-amazon.com/images/I/81j7fsOEGfL.jpg")</f>
        <v/>
      </c>
      <c r="B64" s="105" t="inlineStr">
        <is>
          <t>Exclusivo Mezcla</t>
        </is>
      </c>
      <c r="C64" s="39" t="inlineStr">
        <is>
          <t>Exclusivo Mezcla Reversible Full Queen Quilt Bedding Set, Grey</t>
        </is>
      </c>
      <c r="D64" s="105" t="inlineStr">
        <is>
          <t>Aspirational</t>
        </is>
      </c>
      <c r="E64" s="134" t="inlineStr">
        <is>
          <t>Not classified</t>
        </is>
      </c>
      <c r="F64" s="105" t="n"/>
      <c r="G64" s="39" t="inlineStr">
        <is>
          <t>Not a sheet, pillowcase or comforter product; competitors are compared on price and sales only.</t>
        </is>
      </c>
      <c r="H64" s="107" t="inlineStr">
        <is>
          <t>B07TZHQQ2L</t>
        </is>
      </c>
      <c r="I64" s="107" t="inlineStr">
        <is>
          <t>B07S6N5C5P</t>
        </is>
      </c>
      <c r="J64" s="105" t="inlineStr">
        <is>
          <t>Full</t>
        </is>
      </c>
      <c r="K64" s="105" t="inlineStr">
        <is>
          <t>Grey</t>
        </is>
      </c>
      <c r="L64" s="108" t="n">
        <v>96</v>
      </c>
      <c r="M64" s="39" t="inlineStr"/>
      <c r="N64" s="109" t="n">
        <v>25.19</v>
      </c>
      <c r="O64" s="109" t="n">
        <v>27.99</v>
      </c>
      <c r="P64" s="110">
        <f>IF(AND(ISNUMBER(O64),ISNUMBER(N64),N(N64)&gt;0),O64/N64-1,"")</f>
        <v/>
      </c>
      <c r="Q64" s="111">
        <f>IF(P64="","No List Price",IF(P64&lt;=0,"At/below price",IF(P64&lt;=0.12,"&lt;=12% STR zone",IF(P64&lt;=0.25,"12-25%","&gt;25% over"))))</f>
        <v/>
      </c>
      <c r="R64" s="109" t="n">
        <v>29.02125</v>
      </c>
      <c r="S64" s="112">
        <f>IF(AND(ISNUMBER(N64),ISNUMBER(R64),N(R64)&gt;0),N64/R64-1,"")</f>
        <v/>
      </c>
      <c r="T64" s="39" t="inlineStr">
        <is>
          <t>vs our blended price (market data, Mar 2026 - STALE)</t>
        </is>
      </c>
      <c r="U64" s="108" t="n">
        <v>6071</v>
      </c>
      <c r="V64" s="108" t="n">
        <v>104</v>
      </c>
      <c r="W64" s="113">
        <f>IF(AND(ISNUMBER(N64),ISNUMBER(V64)),N64*V64*52/12,"")</f>
        <v/>
      </c>
      <c r="X64" s="114" t="n">
        <v>4.5</v>
      </c>
      <c r="Y64" s="108" t="n">
        <v>17360</v>
      </c>
      <c r="Z64" s="115" t="n">
        <v>46307</v>
      </c>
      <c r="AA64" s="115" t="n">
        <v>43612</v>
      </c>
      <c r="AB64" s="105" t="inlineStr">
        <is>
          <t>FBA</t>
        </is>
      </c>
      <c r="AC64" s="105" t="inlineStr">
        <is>
          <t>CN</t>
        </is>
      </c>
      <c r="AD64" s="108" t="n"/>
      <c r="AE64" s="108" t="n"/>
      <c r="AF64" s="116" t="n"/>
      <c r="AG64" s="116" t="n"/>
      <c r="AH64" s="39" t="n"/>
      <c r="AI64" s="116" t="n"/>
      <c r="AJ64" s="116" t="n"/>
      <c r="AK64" s="116" t="n"/>
      <c r="AL64" s="116" t="n"/>
      <c r="AM64" s="108" t="n"/>
      <c r="AN64" s="108" t="n"/>
      <c r="AO64" s="108" t="n"/>
      <c r="AP64" s="108" t="n"/>
      <c r="AQ64" s="108" t="n"/>
      <c r="AR64" s="108" t="n"/>
      <c r="AS64" s="117" t="n">
        <v>1.14822247706422</v>
      </c>
      <c r="AT64" s="112" t="n">
        <v>-0.2315270935960591</v>
      </c>
      <c r="AU64" s="118" t="inlineStr">
        <is>
          <t>Y</t>
        </is>
      </c>
      <c r="AV64" s="118" t="inlineStr">
        <is>
          <t>Typical price</t>
        </is>
      </c>
      <c r="AW64" s="119" t="n">
        <v>27.99</v>
      </c>
      <c r="AX64" s="119" t="n">
        <v>25.19</v>
      </c>
      <c r="AY64" s="118" t="inlineStr">
        <is>
          <t>none</t>
        </is>
      </c>
      <c r="AZ64" s="118" t="inlineStr">
        <is>
          <t>Y</t>
        </is>
      </c>
      <c r="BA64" s="118" t="inlineStr">
        <is>
          <t>2026-10-13 23:40:25</t>
        </is>
      </c>
      <c r="BB64" s="120" t="inlineStr">
        <is>
          <t>Price cut only</t>
        </is>
      </c>
      <c r="BC64" s="120" t="inlineStr">
        <is>
          <t>11-20 to 12-01</t>
        </is>
      </c>
      <c r="BD64" s="121" t="n">
        <v>29.99</v>
      </c>
      <c r="BE64" s="121" t="n">
        <v>24.98</v>
      </c>
      <c r="BF64" s="110">
        <f>IF(AND(ISNUMBER(BD64),ISNUMBER(BE64),N(BD64)&gt;0),1-BE64/BD64,"")</f>
        <v/>
      </c>
      <c r="BG64" s="122" t="n">
        <v>9153</v>
      </c>
      <c r="BH64" s="122" t="n">
        <v>4864</v>
      </c>
      <c r="BI64" s="123">
        <f>IF(AND(ISNUMBER(BG64),ISNUMBER(BH64),N(BH64)&gt;0),BG64/BH64,"")</f>
        <v/>
      </c>
      <c r="BJ64" s="120" t="inlineStr">
        <is>
          <t>N</t>
        </is>
      </c>
      <c r="BK64" s="120" t="inlineStr">
        <is>
          <t>List Price $37.99</t>
        </is>
      </c>
    </row>
    <row r="65" ht="62" customHeight="1">
      <c r="A65" s="12">
        <f>_xlfn.IMAGE("https://images-na.ssl-images-amazon.com/images/I/71PwPZaCa+L.jpg")</f>
        <v/>
      </c>
      <c r="B65" s="105" t="inlineStr">
        <is>
          <t>Maple&amp;Stone</t>
        </is>
      </c>
      <c r="C65" s="39" t="inlineStr">
        <is>
          <t>Maple&amp;Stone White Quilt Set Queen Size, Lightweight Bedspread</t>
        </is>
      </c>
      <c r="D65" s="105" t="inlineStr">
        <is>
          <t>Aspirational</t>
        </is>
      </c>
      <c r="E65" s="134" t="inlineStr">
        <is>
          <t>Not classified</t>
        </is>
      </c>
      <c r="F65" s="105" t="n"/>
      <c r="G65" s="39" t="inlineStr">
        <is>
          <t>Not a sheet, pillowcase or comforter product; competitors are compared on price and sales only.</t>
        </is>
      </c>
      <c r="H65" s="107" t="inlineStr">
        <is>
          <t>B09HGJGKYD</t>
        </is>
      </c>
      <c r="I65" s="107" t="inlineStr">
        <is>
          <t>B09P3NKL53</t>
        </is>
      </c>
      <c r="J65" s="105" t="inlineStr">
        <is>
          <t>Queen</t>
        </is>
      </c>
      <c r="K65" s="105" t="inlineStr">
        <is>
          <t>White</t>
        </is>
      </c>
      <c r="L65" s="108" t="n">
        <v>63</v>
      </c>
      <c r="M65" s="39" t="inlineStr"/>
      <c r="N65" s="109" t="n">
        <v>29.99</v>
      </c>
      <c r="O65" s="109" t="n"/>
      <c r="P65" s="110">
        <f>IF(AND(ISNUMBER(O65),ISNUMBER(N65),N(N65)&gt;0),O65/N65-1,"")</f>
        <v/>
      </c>
      <c r="Q65" s="111">
        <f>IF(P65="","No List Price",IF(P65&lt;=0,"At/below price",IF(P65&lt;=0.12,"&lt;=12% STR zone",IF(P65&lt;=0.25,"12-25%","&gt;25% over"))))</f>
        <v/>
      </c>
      <c r="R65" s="109" t="n">
        <v>41.99</v>
      </c>
      <c r="S65" s="112">
        <f>IF(AND(ISNUMBER(N65),ISNUMBER(R65),N(R65)&gt;0),N65/R65-1,"")</f>
        <v/>
      </c>
      <c r="T65" s="39" t="inlineStr">
        <is>
          <t>Same size (Queen). Ours live: catalog price, 2026-10-13; 5 children</t>
        </is>
      </c>
      <c r="U65" s="108" t="n">
        <v>25352</v>
      </c>
      <c r="V65" s="108" t="n">
        <v>104</v>
      </c>
      <c r="W65" s="113">
        <f>IF(AND(ISNUMBER(N65),ISNUMBER(V65)),N65*V65*52/12,"")</f>
        <v/>
      </c>
      <c r="X65" s="114" t="n">
        <v>4.4</v>
      </c>
      <c r="Y65" s="108" t="n">
        <v>2762</v>
      </c>
      <c r="Z65" s="115" t="n">
        <v>46307</v>
      </c>
      <c r="AA65" s="115" t="n">
        <v>44553</v>
      </c>
      <c r="AB65" s="105" t="inlineStr">
        <is>
          <t>FBA</t>
        </is>
      </c>
      <c r="AC65" s="105" t="inlineStr">
        <is>
          <t>CN</t>
        </is>
      </c>
      <c r="AD65" s="108" t="n"/>
      <c r="AE65" s="108" t="n"/>
      <c r="AF65" s="116" t="n"/>
      <c r="AG65" s="116" t="n"/>
      <c r="AH65" s="39" t="n"/>
      <c r="AI65" s="116" t="n"/>
      <c r="AJ65" s="116" t="n"/>
      <c r="AK65" s="116" t="n"/>
      <c r="AL65" s="116" t="n"/>
      <c r="AM65" s="108" t="n"/>
      <c r="AN65" s="108" t="n"/>
      <c r="AO65" s="108" t="n"/>
      <c r="AP65" s="108" t="n"/>
      <c r="AQ65" s="108" t="n"/>
      <c r="AR65" s="108" t="n"/>
      <c r="AS65" s="117" t="n">
        <v>1.059339177343223</v>
      </c>
      <c r="AT65" s="112" t="n">
        <v>-0.2658831003811944</v>
      </c>
      <c r="AU65" s="118" t="inlineStr">
        <is>
          <t>N</t>
        </is>
      </c>
      <c r="AV65" s="118" t="inlineStr">
        <is>
          <t>none</t>
        </is>
      </c>
      <c r="AW65" s="124" t="n"/>
      <c r="AX65" s="119" t="n">
        <v>29.99</v>
      </c>
      <c r="AY65" s="118" t="inlineStr">
        <is>
          <t>none</t>
        </is>
      </c>
      <c r="AZ65" s="118" t="inlineStr">
        <is>
          <t>Y</t>
        </is>
      </c>
      <c r="BA65" s="118" t="inlineStr">
        <is>
          <t>2026-10-13 23:41:56</t>
        </is>
      </c>
      <c r="BB65" s="120" t="inlineStr">
        <is>
          <t>Coupon only</t>
        </is>
      </c>
      <c r="BC65" s="120" t="inlineStr">
        <is>
          <t>11-12 to 11-20</t>
        </is>
      </c>
      <c r="BD65" s="121" t="n">
        <v>29.99</v>
      </c>
      <c r="BE65" s="121" t="n">
        <v>29.99</v>
      </c>
      <c r="BF65" s="110">
        <f>IF(AND(ISNUMBER(BD65),ISNUMBER(BE65),N(BD65)&gt;0),1-BE65/BD65,"")</f>
        <v/>
      </c>
      <c r="BG65" s="122" t="n">
        <v>20017</v>
      </c>
      <c r="BH65" s="122" t="n">
        <v>36089</v>
      </c>
      <c r="BI65" s="123">
        <f>IF(AND(ISNUMBER(BG65),ISNUMBER(BH65),N(BH65)&gt;0),BG65/BH65,"")</f>
        <v/>
      </c>
      <c r="BJ65" s="120" t="inlineStr">
        <is>
          <t>N</t>
        </is>
      </c>
      <c r="BK65" s="120" t="inlineStr">
        <is>
          <t>Coupon 10%; List Price $32.99</t>
        </is>
      </c>
    </row>
    <row r="66" ht="62" customHeight="1">
      <c r="A66" s="12">
        <f>_xlfn.IMAGE("https://images-na.ssl-images-amazon.com/images/I/9146yXrH8xL.jpg")</f>
        <v/>
      </c>
      <c r="B66" s="105" t="inlineStr">
        <is>
          <t>Mybedsoul</t>
        </is>
      </c>
      <c r="C66" s="39" t="inlineStr">
        <is>
          <t>Mybedsoul Boho Quilts Queen Size, Patchwork Floral Bedding Set, Blue</t>
        </is>
      </c>
      <c r="D66" s="105" t="inlineStr">
        <is>
          <t>Aspirational</t>
        </is>
      </c>
      <c r="E66" s="134" t="inlineStr">
        <is>
          <t>Not classified</t>
        </is>
      </c>
      <c r="F66" s="105" t="n"/>
      <c r="G66" s="39" t="inlineStr">
        <is>
          <t>Not a sheet, pillowcase or comforter product; competitors are compared on price and sales only.</t>
        </is>
      </c>
      <c r="H66" s="107" t="inlineStr">
        <is>
          <t>B0B4JBJGT9</t>
        </is>
      </c>
      <c r="I66" s="107" t="inlineStr">
        <is>
          <t>B0BGS9VP2S</t>
        </is>
      </c>
      <c r="J66" s="105" t="inlineStr">
        <is>
          <t>Queen</t>
        </is>
      </c>
      <c r="K66" s="105" t="inlineStr">
        <is>
          <t>Blue</t>
        </is>
      </c>
      <c r="L66" s="108" t="n">
        <v>79</v>
      </c>
      <c r="M66" s="39" t="inlineStr"/>
      <c r="N66" s="109" t="n">
        <v>35.99</v>
      </c>
      <c r="O66" s="109" t="n"/>
      <c r="P66" s="110">
        <f>IF(AND(ISNUMBER(O66),ISNUMBER(N66),N(N66)&gt;0),O66/N66-1,"")</f>
        <v/>
      </c>
      <c r="Q66" s="111">
        <f>IF(P66="","No List Price",IF(P66&lt;=0,"At/below price",IF(P66&lt;=0.12,"&lt;=12% STR zone",IF(P66&lt;=0.25,"12-25%","&gt;25% over"))))</f>
        <v/>
      </c>
      <c r="R66" s="109" t="n">
        <v>41.99</v>
      </c>
      <c r="S66" s="112">
        <f>IF(AND(ISNUMBER(N66),ISNUMBER(R66),N(R66)&gt;0),N66/R66-1,"")</f>
        <v/>
      </c>
      <c r="T66" s="39" t="inlineStr">
        <is>
          <t>Same size (Queen). Ours live: catalog price, 2026-10-13; 5 children</t>
        </is>
      </c>
      <c r="U66" s="108" t="n">
        <v>7768</v>
      </c>
      <c r="V66" s="108" t="n">
        <v>92</v>
      </c>
      <c r="W66" s="113">
        <f>IF(AND(ISNUMBER(N66),ISNUMBER(V66)),N66*V66*52/12,"")</f>
        <v/>
      </c>
      <c r="X66" s="114" t="n">
        <v>4.6</v>
      </c>
      <c r="Y66" s="108" t="n">
        <v>4352</v>
      </c>
      <c r="Z66" s="115" t="n">
        <v>46307</v>
      </c>
      <c r="AA66" s="115" t="n">
        <v>44833</v>
      </c>
      <c r="AB66" s="105" t="inlineStr">
        <is>
          <t>FBA</t>
        </is>
      </c>
      <c r="AC66" s="105" t="inlineStr">
        <is>
          <t>CN</t>
        </is>
      </c>
      <c r="AD66" s="108" t="n"/>
      <c r="AE66" s="108" t="n"/>
      <c r="AF66" s="116" t="n"/>
      <c r="AG66" s="116" t="n"/>
      <c r="AH66" s="39" t="n"/>
      <c r="AI66" s="116" t="n"/>
      <c r="AJ66" s="116" t="n"/>
      <c r="AK66" s="116" t="n"/>
      <c r="AL66" s="116" t="n"/>
      <c r="AM66" s="108" t="n"/>
      <c r="AN66" s="108" t="n"/>
      <c r="AO66" s="108" t="n"/>
      <c r="AP66" s="108" t="n"/>
      <c r="AQ66" s="108" t="n"/>
      <c r="AR66" s="108" t="n"/>
      <c r="AS66" s="117" t="n">
        <v>1.341538461538462</v>
      </c>
      <c r="AT66" s="112" t="n">
        <v>0.3506160164271048</v>
      </c>
      <c r="AU66" s="118" t="inlineStr">
        <is>
          <t>Y</t>
        </is>
      </c>
      <c r="AV66" s="118" t="inlineStr">
        <is>
          <t>List Price</t>
        </is>
      </c>
      <c r="AW66" s="119" t="n">
        <v>44.99</v>
      </c>
      <c r="AX66" s="119" t="n">
        <v>35.99</v>
      </c>
      <c r="AY66" s="118" t="inlineStr">
        <is>
          <t>none</t>
        </is>
      </c>
      <c r="AZ66" s="118" t="inlineStr">
        <is>
          <t>Y</t>
        </is>
      </c>
      <c r="BA66" s="118" t="inlineStr">
        <is>
          <t>2026-10-13 23:42:03</t>
        </is>
      </c>
      <c r="BB66" s="120" t="inlineStr">
        <is>
          <t>Prime Exclusive Discount</t>
        </is>
      </c>
      <c r="BC66" s="120" t="inlineStr">
        <is>
          <t>11-25 to 11-30</t>
        </is>
      </c>
      <c r="BD66" s="121" t="n">
        <v>35.99</v>
      </c>
      <c r="BE66" s="121" t="n">
        <v>32.39</v>
      </c>
      <c r="BF66" s="110">
        <f>IF(AND(ISNUMBER(BD66),ISNUMBER(BE66),N(BD66)&gt;0),1-BE66/BD66,"")</f>
        <v/>
      </c>
      <c r="BG66" s="122" t="n">
        <v>11528</v>
      </c>
      <c r="BH66" s="122" t="n">
        <v>12304</v>
      </c>
      <c r="BI66" s="123">
        <f>IF(AND(ISNUMBER(BG66),ISNUMBER(BH66),N(BH66)&gt;0),BG66/BH66,"")</f>
        <v/>
      </c>
      <c r="BJ66" s="120" t="inlineStr">
        <is>
          <t>N</t>
        </is>
      </c>
      <c r="BK66" s="120" t="inlineStr">
        <is>
          <t>Buy Box RAISED in BFCM week (median $44.99 vs $35.99 before); List Price $39.99</t>
        </is>
      </c>
    </row>
    <row r="67" ht="62" customHeight="1">
      <c r="A67" s="12">
        <f>_xlfn.IMAGE("https://m.media-amazon.com/images/I/81NPo9ZNhYL._AC_SL1500_.jpg")</f>
        <v/>
      </c>
      <c r="B67" s="105" t="inlineStr">
        <is>
          <t>Hansleep</t>
        </is>
      </c>
      <c r="C67" s="39" t="inlineStr">
        <is>
          <t>Bamboo Sheets</t>
        </is>
      </c>
      <c r="D67" s="105" t="inlineStr">
        <is>
          <t>Aspirational</t>
        </is>
      </c>
      <c r="E67" s="134" t="inlineStr">
        <is>
          <t>Not classified</t>
        </is>
      </c>
      <c r="F67" s="105" t="n"/>
      <c r="G67" s="39" t="inlineStr">
        <is>
          <t>Not a sheet, pillowcase or comforter product; competitors are compared on price and sales only.</t>
        </is>
      </c>
      <c r="H67" s="107" t="inlineStr">
        <is>
          <t>B089VRY7KD</t>
        </is>
      </c>
      <c r="I67" s="107" t="inlineStr">
        <is>
          <t>B089VT34WN</t>
        </is>
      </c>
      <c r="J67" s="105" t="inlineStr">
        <is>
          <t>Oversized King-106"x96"</t>
        </is>
      </c>
      <c r="K67" s="105" t="inlineStr">
        <is>
          <t>White</t>
        </is>
      </c>
      <c r="L67" s="108" t="n"/>
      <c r="M67" s="39" t="inlineStr"/>
      <c r="N67" s="109" t="n">
        <v>36.99</v>
      </c>
      <c r="O67" s="109" t="n"/>
      <c r="P67" s="110">
        <f>IF(AND(ISNUMBER(O67),ISNUMBER(N67),N(N67)&gt;0),O67/N67-1,"")</f>
        <v/>
      </c>
      <c r="Q67" s="111">
        <f>IF(P67="","No List Price",IF(P67&lt;=0,"At/below price",IF(P67&lt;=0.12,"&lt;=12% STR zone",IF(P67&lt;=0.25,"12-25%","&gt;25% over"))))</f>
        <v/>
      </c>
      <c r="R67" s="109" t="n">
        <v>29.02125</v>
      </c>
      <c r="S67" s="112">
        <f>IF(AND(ISNUMBER(N67),ISNUMBER(R67),N(R67)&gt;0),N67/R67-1,"")</f>
        <v/>
      </c>
      <c r="T67" s="39" t="inlineStr">
        <is>
          <t>vs our blended price (market data, Mar 2026 - STALE)</t>
        </is>
      </c>
      <c r="U67" s="108" t="n">
        <v>32750</v>
      </c>
      <c r="V67" s="108" t="n">
        <v>35</v>
      </c>
      <c r="W67" s="113">
        <f>IF(AND(ISNUMBER(N67),ISNUMBER(V67)),N67*V67*52/12,"")</f>
        <v/>
      </c>
      <c r="X67" s="114" t="n">
        <v>4.6</v>
      </c>
      <c r="Y67" s="108" t="n">
        <v>5920</v>
      </c>
      <c r="Z67" s="115" t="n">
        <v>46307</v>
      </c>
      <c r="AA67" s="115" t="n"/>
      <c r="AB67" s="105" t="n"/>
      <c r="AC67" s="105" t="n"/>
      <c r="AD67" s="108" t="n"/>
      <c r="AE67" s="108" t="n"/>
      <c r="AF67" s="116" t="n"/>
      <c r="AG67" s="116" t="n"/>
      <c r="AH67" s="39" t="n"/>
      <c r="AI67" s="116" t="n"/>
      <c r="AJ67" s="116" t="n"/>
      <c r="AK67" s="116" t="n"/>
      <c r="AL67" s="116" t="n"/>
      <c r="AM67" s="108" t="n"/>
      <c r="AN67" s="108" t="n"/>
      <c r="AO67" s="108" t="n"/>
      <c r="AP67" s="108" t="n"/>
      <c r="AQ67" s="108" t="n"/>
      <c r="AR67" s="108" t="n"/>
      <c r="AS67" s="117" t="n"/>
      <c r="AT67" s="112" t="n"/>
      <c r="AU67" s="118" t="inlineStr">
        <is>
          <t>N</t>
        </is>
      </c>
      <c r="AV67" s="118" t="inlineStr">
        <is>
          <t>none</t>
        </is>
      </c>
      <c r="AW67" s="124" t="n"/>
      <c r="AX67" s="119" t="n">
        <v>36.99</v>
      </c>
      <c r="AY67" s="118" t="inlineStr">
        <is>
          <t>none</t>
        </is>
      </c>
      <c r="AZ67" s="118" t="inlineStr">
        <is>
          <t>Y</t>
        </is>
      </c>
      <c r="BA67" s="118" t="inlineStr">
        <is>
          <t>2026-10-13 23:41:09</t>
        </is>
      </c>
      <c r="BB67" s="120" t="inlineStr">
        <is>
          <t>Prime Exclusive Discount</t>
        </is>
      </c>
      <c r="BC67" s="120" t="inlineStr">
        <is>
          <t>11-22 to 12-05</t>
        </is>
      </c>
      <c r="BD67" s="121" t="n">
        <v>44.99</v>
      </c>
      <c r="BE67" s="121" t="n">
        <v>27.64</v>
      </c>
      <c r="BF67" s="110">
        <f>IF(AND(ISNUMBER(BD67),ISNUMBER(BE67),N(BD67)&gt;0),1-BE67/BD67,"")</f>
        <v/>
      </c>
      <c r="BG67" s="122" t="n">
        <v>29693</v>
      </c>
      <c r="BH67" s="122" t="n">
        <v>25171</v>
      </c>
      <c r="BI67" s="123">
        <f>IF(AND(ISNUMBER(BG67),ISNUMBER(BH67),N(BH67)&gt;0),BG67/BH67,"")</f>
        <v/>
      </c>
      <c r="BJ67" s="120" t="inlineStr">
        <is>
          <t>N</t>
        </is>
      </c>
      <c r="BK67" s="120" t="inlineStr">
        <is>
          <t>Coupon 44% (11-07 to 11-15); List Price $34.99</t>
        </is>
      </c>
    </row>
    <row r="68" ht="62" customHeight="1">
      <c r="A68" s="12">
        <f>_xlfn.IMAGE("https://m.media-amazon.com/images/I/81vCprsAEzL._AC_SL1500_.jpg")</f>
        <v/>
      </c>
      <c r="B68" s="105" t="inlineStr">
        <is>
          <t>Wake In Cloud</t>
        </is>
      </c>
      <c r="C68" s="39" t="inlineStr">
        <is>
          <t>Bamboo Sheets</t>
        </is>
      </c>
      <c r="D68" s="105" t="inlineStr">
        <is>
          <t>Aspirational</t>
        </is>
      </c>
      <c r="E68" s="134" t="inlineStr">
        <is>
          <t>Not classified</t>
        </is>
      </c>
      <c r="F68" s="105" t="n"/>
      <c r="G68" s="39" t="inlineStr">
        <is>
          <t>Not a sheet, pillowcase or comforter product; competitors are compared on price and sales only.</t>
        </is>
      </c>
      <c r="H68" s="107" t="inlineStr">
        <is>
          <t>B0D7V5YL6V</t>
        </is>
      </c>
      <c r="I68" s="107" t="inlineStr">
        <is>
          <t>B0CRPTW9GV</t>
        </is>
      </c>
      <c r="J68" s="105" t="inlineStr">
        <is>
          <t>King</t>
        </is>
      </c>
      <c r="K68" s="105" t="inlineStr">
        <is>
          <t>Pink</t>
        </is>
      </c>
      <c r="L68" s="108" t="n"/>
      <c r="M68" s="39" t="inlineStr"/>
      <c r="N68" s="109" t="n">
        <v>27.99</v>
      </c>
      <c r="O68" s="109" t="n"/>
      <c r="P68" s="110">
        <f>IF(AND(ISNUMBER(O68),ISNUMBER(N68),N(N68)&gt;0),O68/N68-1,"")</f>
        <v/>
      </c>
      <c r="Q68" s="111">
        <f>IF(P68="","No List Price",IF(P68&lt;=0,"At/below price",IF(P68&lt;=0.12,"&lt;=12% STR zone",IF(P68&lt;=0.25,"12-25%","&gt;25% over"))))</f>
        <v/>
      </c>
      <c r="R68" s="109" t="n">
        <v>44.99</v>
      </c>
      <c r="S68" s="112">
        <f>IF(AND(ISNUMBER(N68),ISNUMBER(R68),N(R68)&gt;0),N68/R68-1,"")</f>
        <v/>
      </c>
      <c r="T68" s="39" t="inlineStr">
        <is>
          <t>Same size (King). Ours live: catalog price, 2026-10-13; 3 children</t>
        </is>
      </c>
      <c r="U68" s="108" t="n">
        <v>32539</v>
      </c>
      <c r="V68" s="108" t="n">
        <v>18</v>
      </c>
      <c r="W68" s="113">
        <f>IF(AND(ISNUMBER(N68),ISNUMBER(V68)),N68*V68*52/12,"")</f>
        <v/>
      </c>
      <c r="X68" s="114" t="n">
        <v>4.6</v>
      </c>
      <c r="Y68" s="108" t="n">
        <v>512</v>
      </c>
      <c r="Z68" s="115" t="n">
        <v>46307</v>
      </c>
      <c r="AA68" s="115" t="n"/>
      <c r="AB68" s="105" t="n"/>
      <c r="AC68" s="105" t="n"/>
      <c r="AD68" s="108" t="n"/>
      <c r="AE68" s="108" t="n"/>
      <c r="AF68" s="116" t="n"/>
      <c r="AG68" s="116" t="n"/>
      <c r="AH68" s="39" t="n"/>
      <c r="AI68" s="116" t="n"/>
      <c r="AJ68" s="116" t="n"/>
      <c r="AK68" s="116" t="n"/>
      <c r="AL68" s="116" t="n"/>
      <c r="AM68" s="108" t="n"/>
      <c r="AN68" s="108" t="n"/>
      <c r="AO68" s="108" t="n"/>
      <c r="AP68" s="108" t="n"/>
      <c r="AQ68" s="108" t="n"/>
      <c r="AR68" s="108" t="n"/>
      <c r="AS68" s="117" t="n"/>
      <c r="AT68" s="112" t="n"/>
      <c r="AU68" s="118" t="inlineStr">
        <is>
          <t>N</t>
        </is>
      </c>
      <c r="AV68" s="118" t="inlineStr">
        <is>
          <t>none</t>
        </is>
      </c>
      <c r="AW68" s="124" t="n"/>
      <c r="AX68" s="119" t="n">
        <v>27.99</v>
      </c>
      <c r="AY68" s="118" t="inlineStr">
        <is>
          <t>none</t>
        </is>
      </c>
      <c r="AZ68" s="118" t="inlineStr">
        <is>
          <t>Y</t>
        </is>
      </c>
      <c r="BA68" s="118" t="inlineStr">
        <is>
          <t>2026-10-13 23:43:39</t>
        </is>
      </c>
      <c r="BB68" s="120" t="inlineStr">
        <is>
          <t>None</t>
        </is>
      </c>
      <c r="BC68" s="125" t="n"/>
      <c r="BD68" s="121" t="n">
        <v>41.99</v>
      </c>
      <c r="BE68" s="121" t="n">
        <v>41.99</v>
      </c>
      <c r="BF68" s="110">
        <f>IF(AND(ISNUMBER(BD68),ISNUMBER(BE68),N(BD68)&gt;0),1-BE68/BD68,"")</f>
        <v/>
      </c>
      <c r="BG68" s="122" t="n">
        <v>32220</v>
      </c>
      <c r="BH68" s="122" t="n">
        <v>30444</v>
      </c>
      <c r="BI68" s="123">
        <f>IF(AND(ISNUMBER(BG68),ISNUMBER(BH68),N(BH68)&gt;0),BG68/BH68,"")</f>
        <v/>
      </c>
      <c r="BJ68" s="120" t="inlineStr">
        <is>
          <t>N</t>
        </is>
      </c>
      <c r="BK68" s="120" t="inlineStr">
        <is>
          <t>List Price $55.99</t>
        </is>
      </c>
    </row>
    <row r="69" ht="62" customHeight="1">
      <c r="A69" s="12">
        <f>_xlfn.IMAGE("https://images-na.ssl-images-amazon.com/images/I/81Vj1MSRN6L.jpg")</f>
        <v/>
      </c>
      <c r="B69" s="105" t="inlineStr">
        <is>
          <t>WDCOZY</t>
        </is>
      </c>
      <c r="C69" s="39" t="inlineStr">
        <is>
          <t>WDCOZY Beige Queen Size Quilts Bedding Sets with 2 Pillow Shams, Neutral Lightweight Soft Bedspread Coverlet, Quilted Blanket Thin Comforter Bed Cover for All Season, 3 Pieces, 90x90 inches</t>
        </is>
      </c>
      <c r="D69" s="105" t="inlineStr">
        <is>
          <t>Beatable</t>
        </is>
      </c>
      <c r="E69" s="134" t="inlineStr">
        <is>
          <t>Not classified</t>
        </is>
      </c>
      <c r="F69" s="105" t="n"/>
      <c r="G69" s="39" t="inlineStr">
        <is>
          <t>Not a sheet, pillowcase or comforter product; competitors are compared on price and sales only.</t>
        </is>
      </c>
      <c r="H69" s="107" t="inlineStr">
        <is>
          <t>B0CRH88PXZ</t>
        </is>
      </c>
      <c r="I69" s="107" t="inlineStr">
        <is>
          <t>B0DJ6XGCFD</t>
        </is>
      </c>
      <c r="J69" s="105" t="inlineStr">
        <is>
          <t>Queen</t>
        </is>
      </c>
      <c r="K69" s="105" t="inlineStr">
        <is>
          <t>Beige</t>
        </is>
      </c>
      <c r="L69" s="108" t="n">
        <v>79</v>
      </c>
      <c r="M69" s="39" t="inlineStr">
        <is>
          <t>B0DJ6WWZP2 (25%), B0B5LF9YXF (19%), B0DJ6XGCFD (17%), B0B5LDJ7CF (10%), B0FCLC6282 (5%)</t>
        </is>
      </c>
      <c r="N69" s="109" t="n">
        <v>44.99</v>
      </c>
      <c r="O69" s="109" t="n"/>
      <c r="P69" s="110">
        <f>IF(AND(ISNUMBER(O69),ISNUMBER(N69),N(N69)&gt;0),O69/N69-1,"")</f>
        <v/>
      </c>
      <c r="Q69" s="111">
        <f>IF(P69="","No List Price",IF(P69&lt;=0,"At/below price",IF(P69&lt;=0.12,"&lt;=12% STR zone",IF(P69&lt;=0.25,"12-25%","&gt;25% over"))))</f>
        <v/>
      </c>
      <c r="R69" s="109" t="n">
        <v>41.99</v>
      </c>
      <c r="S69" s="112">
        <f>IF(AND(ISNUMBER(N69),ISNUMBER(R69),N(R69)&gt;0),N69/R69-1,"")</f>
        <v/>
      </c>
      <c r="T69" s="39" t="inlineStr">
        <is>
          <t>Same size (Queen). Ours live: catalog price, 2026-10-13; 5 children</t>
        </is>
      </c>
      <c r="U69" s="108" t="n">
        <v>479</v>
      </c>
      <c r="V69" s="108" t="n">
        <v>347</v>
      </c>
      <c r="W69" s="113">
        <f>IF(AND(ISNUMBER(N69),ISNUMBER(V69)),N69*V69*52/12,"")</f>
        <v/>
      </c>
      <c r="X69" s="114" t="n">
        <v>4.4</v>
      </c>
      <c r="Y69" s="108" t="n">
        <v>5513</v>
      </c>
      <c r="Z69" s="115" t="n">
        <v>46307</v>
      </c>
      <c r="AA69" s="115" t="n">
        <v>45564</v>
      </c>
      <c r="AB69" s="105" t="inlineStr">
        <is>
          <t>FBA</t>
        </is>
      </c>
      <c r="AC69" s="105" t="inlineStr">
        <is>
          <t>HK</t>
        </is>
      </c>
      <c r="AD69" s="108" t="n">
        <v>691328</v>
      </c>
      <c r="AE69" s="108" t="n">
        <v>4114</v>
      </c>
      <c r="AF69" s="116" t="n">
        <v>0.9625961895077294</v>
      </c>
      <c r="AG69" s="116" t="n">
        <v>0.03740381049226995</v>
      </c>
      <c r="AH69" s="39" t="inlineStr">
        <is>
          <t>king size comforter set</t>
        </is>
      </c>
      <c r="AI69" s="116" t="n">
        <v>0.3829137543973338</v>
      </c>
      <c r="AJ69" s="116" t="n">
        <v>0.0570091186817256</v>
      </c>
      <c r="AK69" s="116" t="n"/>
      <c r="AL69" s="116" t="n">
        <v>0.02869549620440659</v>
      </c>
      <c r="AM69" s="108" t="n">
        <v>422</v>
      </c>
      <c r="AN69" s="108" t="n">
        <v>11</v>
      </c>
      <c r="AO69" s="108" t="n">
        <v>355</v>
      </c>
      <c r="AP69" s="108" t="n">
        <v>3692</v>
      </c>
      <c r="AQ69" s="108" t="n">
        <v>225</v>
      </c>
      <c r="AR69" s="108" t="n">
        <v>0</v>
      </c>
      <c r="AS69" s="117" t="n"/>
      <c r="AT69" s="112" t="n"/>
      <c r="AU69" s="118" t="inlineStr">
        <is>
          <t>N</t>
        </is>
      </c>
      <c r="AV69" s="118" t="inlineStr">
        <is>
          <t>none</t>
        </is>
      </c>
      <c r="AW69" s="124" t="n"/>
      <c r="AX69" s="119" t="n">
        <v>44.99</v>
      </c>
      <c r="AY69" s="118" t="inlineStr">
        <is>
          <t>none</t>
        </is>
      </c>
      <c r="AZ69" s="118" t="inlineStr">
        <is>
          <t>Y</t>
        </is>
      </c>
      <c r="BA69" s="118" t="inlineStr">
        <is>
          <t>2026-10-13 23:43:33</t>
        </is>
      </c>
      <c r="BB69" s="120" t="inlineStr">
        <is>
          <t>None</t>
        </is>
      </c>
      <c r="BC69" s="125" t="n"/>
      <c r="BD69" s="121" t="n">
        <v>44.99</v>
      </c>
      <c r="BE69" s="121" t="n">
        <v>44.99</v>
      </c>
      <c r="BF69" s="110">
        <f>IF(AND(ISNUMBER(BD69),ISNUMBER(BE69),N(BD69)&gt;0),1-BE69/BD69,"")</f>
        <v/>
      </c>
      <c r="BG69" s="122" t="n">
        <v>1654</v>
      </c>
      <c r="BH69" s="122" t="n">
        <v>1984</v>
      </c>
      <c r="BI69" s="123">
        <f>IF(AND(ISNUMBER(BG69),ISNUMBER(BH69),N(BH69)&gt;0),BG69/BH69,"")</f>
        <v/>
      </c>
      <c r="BJ69" s="120" t="inlineStr">
        <is>
          <t>N</t>
        </is>
      </c>
      <c r="BK69" s="120" t="inlineStr">
        <is>
          <t>List Price $41.99</t>
        </is>
      </c>
    </row>
    <row r="70" ht="62" customHeight="1">
      <c r="A70" s="12">
        <f>_xlfn.IMAGE("https://images-na.ssl-images-amazon.com/images/I/71ghS2nS1bL.jpg")</f>
        <v/>
      </c>
      <c r="B70" s="105" t="inlineStr">
        <is>
          <t>WRENSONGE</t>
        </is>
      </c>
      <c r="C70" s="39" t="inlineStr">
        <is>
          <t>Queen Quilt-Lightweight Bedspreads Olive Green Queen Size Quilt Bedding Set</t>
        </is>
      </c>
      <c r="D70" s="105" t="inlineStr">
        <is>
          <t>Beatable</t>
        </is>
      </c>
      <c r="E70" s="134" t="inlineStr">
        <is>
          <t>Not classified</t>
        </is>
      </c>
      <c r="F70" s="105" t="n"/>
      <c r="G70" s="39" t="inlineStr">
        <is>
          <t>Not a sheet, pillowcase or comforter product; competitors are compared on price and sales only.</t>
        </is>
      </c>
      <c r="H70" s="107" t="inlineStr">
        <is>
          <t>B0CQSZMYXD</t>
        </is>
      </c>
      <c r="I70" s="107" t="inlineStr">
        <is>
          <t>B0CQT8LKMK</t>
        </is>
      </c>
      <c r="J70" s="105" t="inlineStr">
        <is>
          <t>Queen</t>
        </is>
      </c>
      <c r="K70" s="105" t="inlineStr">
        <is>
          <t>Green</t>
        </is>
      </c>
      <c r="L70" s="108" t="n">
        <v>73</v>
      </c>
      <c r="M70" s="39" t="inlineStr"/>
      <c r="N70" s="109" t="n">
        <v>39.99</v>
      </c>
      <c r="O70" s="109" t="n"/>
      <c r="P70" s="110">
        <f>IF(AND(ISNUMBER(O70),ISNUMBER(N70),N(N70)&gt;0),O70/N70-1,"")</f>
        <v/>
      </c>
      <c r="Q70" s="111">
        <f>IF(P70="","No List Price",IF(P70&lt;=0,"At/below price",IF(P70&lt;=0.12,"&lt;=12% STR zone",IF(P70&lt;=0.25,"12-25%","&gt;25% over"))))</f>
        <v/>
      </c>
      <c r="R70" s="109" t="n">
        <v>41.99</v>
      </c>
      <c r="S70" s="112">
        <f>IF(AND(ISNUMBER(N70),ISNUMBER(R70),N(R70)&gt;0),N70/R70-1,"")</f>
        <v/>
      </c>
      <c r="T70" s="39" t="inlineStr">
        <is>
          <t>Same size (Queen). Ours live: catalog price, 2026-10-13; 5 children</t>
        </is>
      </c>
      <c r="U70" s="108" t="n">
        <v>5766</v>
      </c>
      <c r="V70" s="108" t="n">
        <v>220</v>
      </c>
      <c r="W70" s="113">
        <f>IF(AND(ISNUMBER(N70),ISNUMBER(V70)),N70*V70*52/12,"")</f>
        <v/>
      </c>
      <c r="X70" s="114" t="n">
        <v>4.5</v>
      </c>
      <c r="Y70" s="108" t="n">
        <v>942</v>
      </c>
      <c r="Z70" s="115" t="n">
        <v>46307</v>
      </c>
      <c r="AA70" s="115" t="n">
        <v>45282</v>
      </c>
      <c r="AB70" s="105" t="inlineStr">
        <is>
          <t>FBA</t>
        </is>
      </c>
      <c r="AC70" s="105" t="inlineStr">
        <is>
          <t>CN</t>
        </is>
      </c>
      <c r="AD70" s="108" t="n"/>
      <c r="AE70" s="108" t="n"/>
      <c r="AF70" s="116" t="n"/>
      <c r="AG70" s="116" t="n"/>
      <c r="AH70" s="39" t="n"/>
      <c r="AI70" s="116" t="n"/>
      <c r="AJ70" s="116" t="n"/>
      <c r="AK70" s="116" t="n"/>
      <c r="AL70" s="116" t="n"/>
      <c r="AM70" s="108" t="n"/>
      <c r="AN70" s="108" t="n"/>
      <c r="AO70" s="108" t="n"/>
      <c r="AP70" s="108" t="n"/>
      <c r="AQ70" s="108" t="n"/>
      <c r="AR70" s="108" t="n"/>
      <c r="AS70" s="117" t="n">
        <v>1.010340370529944</v>
      </c>
      <c r="AT70" s="112" t="n">
        <v>0.07320680305644567</v>
      </c>
      <c r="AU70" s="118" t="inlineStr">
        <is>
          <t>Y</t>
        </is>
      </c>
      <c r="AV70" s="118" t="inlineStr">
        <is>
          <t>List Price</t>
        </is>
      </c>
      <c r="AW70" s="119" t="n">
        <v>49.99</v>
      </c>
      <c r="AX70" s="119" t="n">
        <v>39.99</v>
      </c>
      <c r="AY70" s="118" t="inlineStr">
        <is>
          <t>none</t>
        </is>
      </c>
      <c r="AZ70" s="118" t="inlineStr">
        <is>
          <t>Y</t>
        </is>
      </c>
      <c r="BA70" s="118" t="inlineStr">
        <is>
          <t>2026-10-13 23:43:36</t>
        </is>
      </c>
      <c r="BB70" s="120" t="inlineStr">
        <is>
          <t>Price cut only</t>
        </is>
      </c>
      <c r="BC70" s="120" t="inlineStr">
        <is>
          <t>11-20 to 12-01</t>
        </is>
      </c>
      <c r="BD70" s="121" t="n">
        <v>39.99</v>
      </c>
      <c r="BE70" s="121" t="n">
        <v>37.98</v>
      </c>
      <c r="BF70" s="110">
        <f>IF(AND(ISNUMBER(BD70),ISNUMBER(BE70),N(BD70)&gt;0),1-BE70/BD70,"")</f>
        <v/>
      </c>
      <c r="BG70" s="122" t="n">
        <v>11285</v>
      </c>
      <c r="BH70" s="122" t="n">
        <v>9286</v>
      </c>
      <c r="BI70" s="123">
        <f>IF(AND(ISNUMBER(BG70),ISNUMBER(BH70),N(BH70)&gt;0),BG70/BH70,"")</f>
        <v/>
      </c>
      <c r="BJ70" s="120" t="inlineStr">
        <is>
          <t>N</t>
        </is>
      </c>
      <c r="BK70" s="120" t="inlineStr">
        <is>
          <t>Prime Exclusive 11-01 to 12-05; Lightning Deal 11-03 to 11-15; Prime Exclusive already running before BFCM week; List Price $49.99</t>
        </is>
      </c>
    </row>
    <row r="71" ht="62" customHeight="1">
      <c r="A71" s="12">
        <f>_xlfn.IMAGE("https://images-na.ssl-images-amazon.com/images/I/81fj2tyxBwL.jpg")</f>
        <v/>
      </c>
      <c r="B71" s="105" t="inlineStr">
        <is>
          <t>akkialla</t>
        </is>
      </c>
      <c r="C71" s="39" t="inlineStr">
        <is>
          <t>akkialla Full/Queen Size Quilt Bedding Set,Beige Lightweight Microfiber Soft Bedspread,Modern Style Geoetric Pattern Coverlet Set for All Seasons,3 Piece(1 Quilt,2 Pillow Shams)</t>
        </is>
      </c>
      <c r="D71" s="105" t="inlineStr">
        <is>
          <t>Beatable</t>
        </is>
      </c>
      <c r="E71" s="134" t="inlineStr">
        <is>
          <t>Not classified</t>
        </is>
      </c>
      <c r="F71" s="105" t="n"/>
      <c r="G71" s="39" t="inlineStr">
        <is>
          <t>Not a sheet, pillowcase or comforter product; competitors are compared on price and sales only.</t>
        </is>
      </c>
      <c r="H71" s="107" t="inlineStr">
        <is>
          <t>B0DKDSQXBH</t>
        </is>
      </c>
      <c r="I71" s="107" t="inlineStr">
        <is>
          <t>B0DD3YKGCZ</t>
        </is>
      </c>
      <c r="J71" s="105" t="inlineStr">
        <is>
          <t>Full</t>
        </is>
      </c>
      <c r="K71" s="105" t="inlineStr">
        <is>
          <t>Beige</t>
        </is>
      </c>
      <c r="L71" s="108" t="n">
        <v>116</v>
      </c>
      <c r="M71" s="39" t="inlineStr"/>
      <c r="N71" s="109" t="n">
        <v>27.99</v>
      </c>
      <c r="O71" s="109" t="n"/>
      <c r="P71" s="110">
        <f>IF(AND(ISNUMBER(O71),ISNUMBER(N71),N(N71)&gt;0),O71/N71-1,"")</f>
        <v/>
      </c>
      <c r="Q71" s="111">
        <f>IF(P71="","No List Price",IF(P71&lt;=0,"At/below price",IF(P71&lt;=0.12,"&lt;=12% STR zone",IF(P71&lt;=0.25,"12-25%","&gt;25% over"))))</f>
        <v/>
      </c>
      <c r="R71" s="109" t="n">
        <v>29.02125</v>
      </c>
      <c r="S71" s="112">
        <f>IF(AND(ISNUMBER(N71),ISNUMBER(R71),N(R71)&gt;0),N71/R71-1,"")</f>
        <v/>
      </c>
      <c r="T71" s="39" t="inlineStr">
        <is>
          <t>vs our blended price (market data, Mar 2026 - STALE)</t>
        </is>
      </c>
      <c r="U71" s="108" t="n">
        <v>9638</v>
      </c>
      <c r="V71" s="108" t="n">
        <v>197</v>
      </c>
      <c r="W71" s="113">
        <f>IF(AND(ISNUMBER(N71),ISNUMBER(V71)),N71*V71*52/12,"")</f>
        <v/>
      </c>
      <c r="X71" s="114" t="n">
        <v>4.4</v>
      </c>
      <c r="Y71" s="108" t="n">
        <v>1378</v>
      </c>
      <c r="Z71" s="115" t="n">
        <v>46307</v>
      </c>
      <c r="AA71" s="115" t="n">
        <v>45518</v>
      </c>
      <c r="AB71" s="105" t="inlineStr">
        <is>
          <t>FBA</t>
        </is>
      </c>
      <c r="AC71" s="105" t="inlineStr">
        <is>
          <t>CN</t>
        </is>
      </c>
      <c r="AD71" s="108" t="n"/>
      <c r="AE71" s="108" t="n"/>
      <c r="AF71" s="116" t="n"/>
      <c r="AG71" s="116" t="n"/>
      <c r="AH71" s="39" t="n"/>
      <c r="AI71" s="116" t="n"/>
      <c r="AJ71" s="116" t="n"/>
      <c r="AK71" s="116" t="n"/>
      <c r="AL71" s="116" t="n"/>
      <c r="AM71" s="108" t="n"/>
      <c r="AN71" s="108" t="n"/>
      <c r="AO71" s="108" t="n"/>
      <c r="AP71" s="108" t="n"/>
      <c r="AQ71" s="108" t="n"/>
      <c r="AR71" s="108" t="n"/>
      <c r="AS71" s="117" t="n">
        <v>1.10208030962748</v>
      </c>
      <c r="AT71" s="112" t="n">
        <v>0.9073083778966131</v>
      </c>
      <c r="AU71" s="118" t="inlineStr">
        <is>
          <t>N</t>
        </is>
      </c>
      <c r="AV71" s="118" t="inlineStr">
        <is>
          <t>none</t>
        </is>
      </c>
      <c r="AW71" s="124" t="n"/>
      <c r="AX71" s="119" t="n">
        <v>27.99</v>
      </c>
      <c r="AY71" s="118" t="inlineStr">
        <is>
          <t>none</t>
        </is>
      </c>
      <c r="AZ71" s="118" t="inlineStr">
        <is>
          <t>Y</t>
        </is>
      </c>
      <c r="BA71" s="118" t="inlineStr">
        <is>
          <t>2026-10-13 23:44:10</t>
        </is>
      </c>
      <c r="BB71" s="120" t="inlineStr">
        <is>
          <t>None</t>
        </is>
      </c>
      <c r="BC71" s="125" t="n"/>
      <c r="BD71" s="121" t="n">
        <v>27.99</v>
      </c>
      <c r="BE71" s="121" t="n">
        <v>27.99</v>
      </c>
      <c r="BF71" s="110">
        <f>IF(AND(ISNUMBER(BD71),ISNUMBER(BE71),N(BD71)&gt;0),1-BE71/BD71,"")</f>
        <v/>
      </c>
      <c r="BG71" s="122" t="n">
        <v>17940</v>
      </c>
      <c r="BH71" s="122" t="n">
        <v>23882</v>
      </c>
      <c r="BI71" s="123">
        <f>IF(AND(ISNUMBER(BG71),ISNUMBER(BH71),N(BH71)&gt;0),BG71/BH71,"")</f>
        <v/>
      </c>
      <c r="BJ71" s="120" t="inlineStr">
        <is>
          <t>N</t>
        </is>
      </c>
      <c r="BK71" s="120" t="inlineStr">
        <is>
          <t>List Price $27.99</t>
        </is>
      </c>
    </row>
    <row r="72" ht="62" customHeight="1">
      <c r="A72" s="12">
        <f>_xlfn.IMAGE("https://images-na.ssl-images-amazon.com/images/I/71Wz8MFCVVL.jpg")</f>
        <v/>
      </c>
      <c r="B72" s="105" t="inlineStr">
        <is>
          <t>EverGrace</t>
        </is>
      </c>
      <c r="C72" s="39" t="inlineStr">
        <is>
          <t>EverGrace Striped Channel Velvet Quilt Set, King Size, Urban Taupe</t>
        </is>
      </c>
      <c r="D72" s="105" t="inlineStr">
        <is>
          <t>Beatable</t>
        </is>
      </c>
      <c r="E72" s="134" t="inlineStr">
        <is>
          <t>Not classified</t>
        </is>
      </c>
      <c r="F72" s="105" t="n"/>
      <c r="G72" s="39" t="inlineStr">
        <is>
          <t>Not a sheet, pillowcase or comforter product; competitors are compared on price and sales only.</t>
        </is>
      </c>
      <c r="H72" s="107" t="inlineStr">
        <is>
          <t>B0C4L25XW9</t>
        </is>
      </c>
      <c r="I72" s="107" t="inlineStr">
        <is>
          <t>B0D14LPTLP</t>
        </is>
      </c>
      <c r="J72" s="105" t="inlineStr">
        <is>
          <t>King</t>
        </is>
      </c>
      <c r="K72" s="105" t="inlineStr">
        <is>
          <t>Taupe</t>
        </is>
      </c>
      <c r="L72" s="108" t="n">
        <v>30</v>
      </c>
      <c r="M72" s="39" t="inlineStr"/>
      <c r="N72" s="109" t="n">
        <v>88.34</v>
      </c>
      <c r="O72" s="109" t="n">
        <v>92.98999999999999</v>
      </c>
      <c r="P72" s="110">
        <f>IF(AND(ISNUMBER(O72),ISNUMBER(N72),N(N72)&gt;0),O72/N72-1,"")</f>
        <v/>
      </c>
      <c r="Q72" s="111">
        <f>IF(P72="","No List Price",IF(P72&lt;=0,"At/below price",IF(P72&lt;=0.12,"&lt;=12% STR zone",IF(P72&lt;=0.25,"12-25%","&gt;25% over"))))</f>
        <v/>
      </c>
      <c r="R72" s="109" t="n">
        <v>44.99</v>
      </c>
      <c r="S72" s="112">
        <f>IF(AND(ISNUMBER(N72),ISNUMBER(R72),N(R72)&gt;0),N72/R72-1,"")</f>
        <v/>
      </c>
      <c r="T72" s="39" t="inlineStr">
        <is>
          <t>Same size (King). Ours live: catalog price, 2026-10-13; 3 children</t>
        </is>
      </c>
      <c r="U72" s="108" t="n">
        <v>7973</v>
      </c>
      <c r="V72" s="108" t="n">
        <v>173</v>
      </c>
      <c r="W72" s="113">
        <f>IF(AND(ISNUMBER(N72),ISNUMBER(V72)),N72*V72*52/12,"")</f>
        <v/>
      </c>
      <c r="X72" s="114" t="n">
        <v>4.5</v>
      </c>
      <c r="Y72" s="108" t="n">
        <v>1097</v>
      </c>
      <c r="Z72" s="115" t="n">
        <v>46307</v>
      </c>
      <c r="AA72" s="115" t="n">
        <v>45390</v>
      </c>
      <c r="AB72" s="105" t="inlineStr">
        <is>
          <t>FBA</t>
        </is>
      </c>
      <c r="AC72" s="105" t="inlineStr">
        <is>
          <t>CN</t>
        </is>
      </c>
      <c r="AD72" s="108" t="n"/>
      <c r="AE72" s="108" t="n"/>
      <c r="AF72" s="116" t="n"/>
      <c r="AG72" s="116" t="n"/>
      <c r="AH72" s="39" t="n"/>
      <c r="AI72" s="116" t="n"/>
      <c r="AJ72" s="116" t="n"/>
      <c r="AK72" s="116" t="n"/>
      <c r="AL72" s="116" t="n"/>
      <c r="AM72" s="108" t="n"/>
      <c r="AN72" s="108" t="n"/>
      <c r="AO72" s="108" t="n"/>
      <c r="AP72" s="108" t="n"/>
      <c r="AQ72" s="108" t="n"/>
      <c r="AR72" s="108" t="n"/>
      <c r="AS72" s="117" t="n">
        <v>1.72992700729927</v>
      </c>
      <c r="AT72" s="112" t="n">
        <v>-0.2489510489510489</v>
      </c>
      <c r="AU72" s="118" t="inlineStr">
        <is>
          <t>Y</t>
        </is>
      </c>
      <c r="AV72" s="118" t="inlineStr">
        <is>
          <t>Typical price</t>
        </is>
      </c>
      <c r="AW72" s="119" t="n">
        <v>92.98999999999999</v>
      </c>
      <c r="AX72" s="119" t="n">
        <v>88.34</v>
      </c>
      <c r="AY72" s="118" t="inlineStr">
        <is>
          <t>none</t>
        </is>
      </c>
      <c r="AZ72" s="118" t="inlineStr">
        <is>
          <t>Y</t>
        </is>
      </c>
      <c r="BA72" s="118" t="inlineStr">
        <is>
          <t>2026-10-13 23:40:22</t>
        </is>
      </c>
      <c r="BB72" s="120" t="inlineStr">
        <is>
          <t>Price cut only</t>
        </is>
      </c>
      <c r="BC72" s="120" t="inlineStr">
        <is>
          <t>11-20 to 12-01</t>
        </is>
      </c>
      <c r="BD72" s="121" t="n">
        <v>93.98999999999999</v>
      </c>
      <c r="BE72" s="121" t="n">
        <v>79.03</v>
      </c>
      <c r="BF72" s="110">
        <f>IF(AND(ISNUMBER(BD72),ISNUMBER(BE72),N(BD72)&gt;0),1-BE72/BD72,"")</f>
        <v/>
      </c>
      <c r="BG72" s="122" t="n">
        <v>19116</v>
      </c>
      <c r="BH72" s="122" t="n">
        <v>10904</v>
      </c>
      <c r="BI72" s="123">
        <f>IF(AND(ISNUMBER(BG72),ISNUMBER(BH72),N(BH72)&gt;0),BG72/BH72,"")</f>
        <v/>
      </c>
      <c r="BJ72" s="120" t="inlineStr">
        <is>
          <t>N</t>
        </is>
      </c>
      <c r="BK72" s="120" t="inlineStr">
        <is>
          <t>Prime Exclusive 12-04 to 12-05; List Price $129.99</t>
        </is>
      </c>
    </row>
    <row r="73" ht="62" customHeight="1">
      <c r="A73" s="12">
        <f>_xlfn.IMAGE("https://m.media-amazon.com/images/I/81ESlc5bjTL._AC_SL1500_.jpg")</f>
        <v/>
      </c>
      <c r="B73" s="105" t="inlineStr">
        <is>
          <t>Bedsure</t>
        </is>
      </c>
      <c r="C73" s="39" t="inlineStr">
        <is>
          <t>Bamboo Sheets</t>
        </is>
      </c>
      <c r="D73" s="105" t="inlineStr">
        <is>
          <t>Beatable</t>
        </is>
      </c>
      <c r="E73" s="134" t="inlineStr">
        <is>
          <t>Not classified</t>
        </is>
      </c>
      <c r="F73" s="105" t="n"/>
      <c r="G73" s="39" t="inlineStr">
        <is>
          <t>Not a sheet, pillowcase or comforter product; competitors are compared on price and sales only.</t>
        </is>
      </c>
      <c r="H73" s="107" t="inlineStr">
        <is>
          <t>B0D14LL4GY</t>
        </is>
      </c>
      <c r="I73" s="107" t="inlineStr">
        <is>
          <t>B0FH51CVXT</t>
        </is>
      </c>
      <c r="J73" s="105" t="inlineStr">
        <is>
          <t>Queen / Full</t>
        </is>
      </c>
      <c r="K73" s="105" t="inlineStr">
        <is>
          <t>01 - Light Beige (Solid Border)</t>
        </is>
      </c>
      <c r="L73" s="108" t="n"/>
      <c r="M73" s="39" t="inlineStr"/>
      <c r="N73" s="109" t="n">
        <v>46.99</v>
      </c>
      <c r="O73" s="109" t="n"/>
      <c r="P73" s="110">
        <f>IF(AND(ISNUMBER(O73),ISNUMBER(N73),N(N73)&gt;0),O73/N73-1,"")</f>
        <v/>
      </c>
      <c r="Q73" s="111">
        <f>IF(P73="","No List Price",IF(P73&lt;=0,"At/below price",IF(P73&lt;=0.12,"&lt;=12% STR zone",IF(P73&lt;=0.25,"12-25%","&gt;25% over"))))</f>
        <v/>
      </c>
      <c r="R73" s="109" t="n">
        <v>41.99</v>
      </c>
      <c r="S73" s="112">
        <f>IF(AND(ISNUMBER(N73),ISNUMBER(R73),N(R73)&gt;0),N73/R73-1,"")</f>
        <v/>
      </c>
      <c r="T73" s="39" t="inlineStr">
        <is>
          <t>Same size (Queen). Ours live: catalog price, 2026-10-13; 5 children</t>
        </is>
      </c>
      <c r="U73" s="108" t="n">
        <v>41764</v>
      </c>
      <c r="V73" s="108" t="n">
        <v>81</v>
      </c>
      <c r="W73" s="113">
        <f>IF(AND(ISNUMBER(N73),ISNUMBER(V73)),N73*V73*52/12,"")</f>
        <v/>
      </c>
      <c r="X73" s="114" t="n">
        <v>4.6</v>
      </c>
      <c r="Y73" s="108" t="n">
        <v>1294</v>
      </c>
      <c r="Z73" s="115" t="n">
        <v>46307</v>
      </c>
      <c r="AA73" s="115" t="n"/>
      <c r="AB73" s="105" t="n"/>
      <c r="AC73" s="105" t="n"/>
      <c r="AD73" s="108" t="n"/>
      <c r="AE73" s="108" t="n"/>
      <c r="AF73" s="116" t="n"/>
      <c r="AG73" s="116" t="n"/>
      <c r="AH73" s="39" t="n"/>
      <c r="AI73" s="116" t="n"/>
      <c r="AJ73" s="116" t="n"/>
      <c r="AK73" s="116" t="n"/>
      <c r="AL73" s="116" t="n"/>
      <c r="AM73" s="108" t="n"/>
      <c r="AN73" s="108" t="n"/>
      <c r="AO73" s="108" t="n"/>
      <c r="AP73" s="108" t="n"/>
      <c r="AQ73" s="108" t="n"/>
      <c r="AR73" s="108" t="n"/>
      <c r="AS73" s="117" t="n">
        <v>0.9979818365287589</v>
      </c>
      <c r="AT73" s="112" t="n">
        <v>1.381868131868132</v>
      </c>
      <c r="AU73" s="118" t="inlineStr">
        <is>
          <t>Y</t>
        </is>
      </c>
      <c r="AV73" s="118" t="inlineStr">
        <is>
          <t>List Price</t>
        </is>
      </c>
      <c r="AW73" s="119" t="n">
        <v>58.99</v>
      </c>
      <c r="AX73" s="119" t="n">
        <v>46.99</v>
      </c>
      <c r="AY73" s="118" t="inlineStr">
        <is>
          <t>none</t>
        </is>
      </c>
      <c r="AZ73" s="118" t="inlineStr">
        <is>
          <t>Y</t>
        </is>
      </c>
      <c r="BA73" s="118" t="inlineStr">
        <is>
          <t>2026-10-13 23:39:48</t>
        </is>
      </c>
      <c r="BB73" s="120" t="inlineStr">
        <is>
          <t>Prime Exclusive Discount</t>
        </is>
      </c>
      <c r="BC73" s="120" t="inlineStr">
        <is>
          <t>11-22 to 11-26</t>
        </is>
      </c>
      <c r="BD73" s="121" t="n">
        <v>50.99</v>
      </c>
      <c r="BE73" s="121" t="n">
        <v>42.49</v>
      </c>
      <c r="BF73" s="110">
        <f>IF(AND(ISNUMBER(BD73),ISNUMBER(BE73),N(BD73)&gt;0),1-BE73/BD73,"")</f>
        <v/>
      </c>
      <c r="BG73" s="122" t="n">
        <v>39084</v>
      </c>
      <c r="BH73" s="122" t="n">
        <v>40583</v>
      </c>
      <c r="BI73" s="123">
        <f>IF(AND(ISNUMBER(BG73),ISNUMBER(BH73),N(BH73)&gt;0),BG73/BH73,"")</f>
        <v/>
      </c>
      <c r="BJ73" s="120" t="inlineStr">
        <is>
          <t>N</t>
        </is>
      </c>
      <c r="BK73" s="120" t="inlineStr">
        <is>
          <t>Buy Box RAISED in BFCM week (median $56.99 vs $50.99 before); List Price $56.99</t>
        </is>
      </c>
    </row>
    <row r="74" ht="62" customHeight="1">
      <c r="A74" s="12">
        <f>_xlfn.IMAGE("https://m.media-amazon.com/images/I/91ojjgNK4TL._AC_SL1500_.jpg")</f>
        <v/>
      </c>
      <c r="B74" s="105" t="inlineStr">
        <is>
          <t>Joyreap</t>
        </is>
      </c>
      <c r="C74" s="39" t="inlineStr">
        <is>
          <t>Bamboo Sheets</t>
        </is>
      </c>
      <c r="D74" s="105" t="inlineStr">
        <is>
          <t>Beatable</t>
        </is>
      </c>
      <c r="E74" s="134" t="inlineStr">
        <is>
          <t>Not classified</t>
        </is>
      </c>
      <c r="F74" s="105" t="n"/>
      <c r="G74" s="39" t="inlineStr">
        <is>
          <t>Not a sheet, pillowcase or comforter product; competitors are compared on price and sales only.</t>
        </is>
      </c>
      <c r="H74" s="107" t="inlineStr">
        <is>
          <t>B0D1KPS93N</t>
        </is>
      </c>
      <c r="I74" s="107" t="inlineStr">
        <is>
          <t>B0D1KHV9TM</t>
        </is>
      </c>
      <c r="J74" s="105" t="inlineStr">
        <is>
          <t>Queen-90"x90"</t>
        </is>
      </c>
      <c r="K74" s="105" t="inlineStr">
        <is>
          <t>Orange</t>
        </is>
      </c>
      <c r="L74" s="108" t="n"/>
      <c r="M74" s="39" t="inlineStr"/>
      <c r="N74" s="109" t="n">
        <v>29.99</v>
      </c>
      <c r="O74" s="109" t="n"/>
      <c r="P74" s="110">
        <f>IF(AND(ISNUMBER(O74),ISNUMBER(N74),N(N74)&gt;0),O74/N74-1,"")</f>
        <v/>
      </c>
      <c r="Q74" s="111">
        <f>IF(P74="","No List Price",IF(P74&lt;=0,"At/below price",IF(P74&lt;=0.12,"&lt;=12% STR zone",IF(P74&lt;=0.25,"12-25%","&gt;25% over"))))</f>
        <v/>
      </c>
      <c r="R74" s="109" t="n">
        <v>41.99</v>
      </c>
      <c r="S74" s="112">
        <f>IF(AND(ISNUMBER(N74),ISNUMBER(R74),N(R74)&gt;0),N74/R74-1,"")</f>
        <v/>
      </c>
      <c r="T74" s="39" t="inlineStr">
        <is>
          <t>Same size (Queen). Ours live: catalog price, 2026-10-13; 5 children</t>
        </is>
      </c>
      <c r="U74" s="108" t="n">
        <v>25190</v>
      </c>
      <c r="V74" s="108" t="n">
        <v>81</v>
      </c>
      <c r="W74" s="113">
        <f>IF(AND(ISNUMBER(N74),ISNUMBER(V74)),N74*V74*52/12,"")</f>
        <v/>
      </c>
      <c r="X74" s="114" t="n">
        <v>4.6</v>
      </c>
      <c r="Y74" s="108" t="n">
        <v>1595</v>
      </c>
      <c r="Z74" s="115" t="n">
        <v>46307</v>
      </c>
      <c r="AA74" s="115" t="n"/>
      <c r="AB74" s="105" t="n"/>
      <c r="AC74" s="105" t="n"/>
      <c r="AD74" s="108" t="n"/>
      <c r="AE74" s="108" t="n"/>
      <c r="AF74" s="116" t="n"/>
      <c r="AG74" s="116" t="n"/>
      <c r="AH74" s="39" t="n"/>
      <c r="AI74" s="116" t="n"/>
      <c r="AJ74" s="116" t="n"/>
      <c r="AK74" s="116" t="n"/>
      <c r="AL74" s="116" t="n"/>
      <c r="AM74" s="108" t="n"/>
      <c r="AN74" s="108" t="n"/>
      <c r="AO74" s="108" t="n"/>
      <c r="AP74" s="108" t="n"/>
      <c r="AQ74" s="108" t="n"/>
      <c r="AR74" s="108" t="n"/>
      <c r="AS74" s="117" t="n">
        <v>1.020408163265306</v>
      </c>
      <c r="AT74" s="112" t="n">
        <v>2.074829931972789</v>
      </c>
      <c r="AU74" s="118" t="inlineStr">
        <is>
          <t>N</t>
        </is>
      </c>
      <c r="AV74" s="118" t="inlineStr">
        <is>
          <t>none</t>
        </is>
      </c>
      <c r="AW74" s="124" t="n"/>
      <c r="AX74" s="119" t="n">
        <v>29.99</v>
      </c>
      <c r="AY74" s="118" t="inlineStr">
        <is>
          <t>none</t>
        </is>
      </c>
      <c r="AZ74" s="118" t="inlineStr">
        <is>
          <t>Y</t>
        </is>
      </c>
      <c r="BA74" s="118" t="inlineStr">
        <is>
          <t>2026-10-13 23:41:28</t>
        </is>
      </c>
      <c r="BB74" s="120" t="inlineStr">
        <is>
          <t>Price cut only</t>
        </is>
      </c>
      <c r="BC74" s="120" t="inlineStr">
        <is>
          <t>11-21 to 12-01</t>
        </is>
      </c>
      <c r="BD74" s="121" t="n">
        <v>32.99</v>
      </c>
      <c r="BE74" s="121" t="n">
        <v>29.99</v>
      </c>
      <c r="BF74" s="110">
        <f>IF(AND(ISNUMBER(BD74),ISNUMBER(BE74),N(BD74)&gt;0),1-BE74/BD74,"")</f>
        <v/>
      </c>
      <c r="BG74" s="122" t="n">
        <v>21921</v>
      </c>
      <c r="BH74" s="122" t="n">
        <v>27848</v>
      </c>
      <c r="BI74" s="123">
        <f>IF(AND(ISNUMBER(BG74),ISNUMBER(BH74),N(BH74)&gt;0),BG74/BH74,"")</f>
        <v/>
      </c>
      <c r="BJ74" s="120" t="inlineStr">
        <is>
          <t>N</t>
        </is>
      </c>
      <c r="BK74" s="125" t="n"/>
    </row>
    <row r="75" ht="62" customHeight="1">
      <c r="A75" s="12">
        <f>_xlfn.IMAGE("https://images-na.ssl-images-amazon.com/images/I/81S6ZErX1dL.jpg")</f>
        <v/>
      </c>
      <c r="B75" s="105" t="inlineStr">
        <is>
          <t>Tyrot</t>
        </is>
      </c>
      <c r="C75" s="39" t="inlineStr">
        <is>
          <t>Tyrot 3 Piece Black Boho Floral King Quilt Bedding Sets</t>
        </is>
      </c>
      <c r="D75" s="105" t="inlineStr">
        <is>
          <t>Beatable</t>
        </is>
      </c>
      <c r="E75" s="134" t="inlineStr">
        <is>
          <t>Not classified</t>
        </is>
      </c>
      <c r="F75" s="105" t="n"/>
      <c r="G75" s="39" t="inlineStr">
        <is>
          <t>Not a sheet, pillowcase or comforter product; competitors are compared on price and sales only.</t>
        </is>
      </c>
      <c r="H75" s="107" t="inlineStr">
        <is>
          <t>B0CY5H7RHH</t>
        </is>
      </c>
      <c r="I75" s="107" t="inlineStr">
        <is>
          <t>B0CY5BYX7W</t>
        </is>
      </c>
      <c r="J75" s="105" t="inlineStr">
        <is>
          <t>King</t>
        </is>
      </c>
      <c r="K75" s="105" t="inlineStr">
        <is>
          <t>Black</t>
        </is>
      </c>
      <c r="L75" s="108" t="n">
        <v>23</v>
      </c>
      <c r="M75" s="39" t="inlineStr"/>
      <c r="N75" s="109" t="n">
        <v>52.99</v>
      </c>
      <c r="O75" s="109" t="n"/>
      <c r="P75" s="110">
        <f>IF(AND(ISNUMBER(O75),ISNUMBER(N75),N(N75)&gt;0),O75/N75-1,"")</f>
        <v/>
      </c>
      <c r="Q75" s="111">
        <f>IF(P75="","No List Price",IF(P75&lt;=0,"At/below price",IF(P75&lt;=0.12,"&lt;=12% STR zone",IF(P75&lt;=0.25,"12-25%","&gt;25% over"))))</f>
        <v/>
      </c>
      <c r="R75" s="109" t="n">
        <v>44.99</v>
      </c>
      <c r="S75" s="112">
        <f>IF(AND(ISNUMBER(N75),ISNUMBER(R75),N(R75)&gt;0),N75/R75-1,"")</f>
        <v/>
      </c>
      <c r="T75" s="39" t="inlineStr">
        <is>
          <t>Same size (King). Ours live: catalog price, 2026-10-13; 3 children</t>
        </is>
      </c>
      <c r="U75" s="108" t="n">
        <v>18942</v>
      </c>
      <c r="V75" s="108" t="n">
        <v>81</v>
      </c>
      <c r="W75" s="113">
        <f>IF(AND(ISNUMBER(N75),ISNUMBER(V75)),N75*V75*52/12,"")</f>
        <v/>
      </c>
      <c r="X75" s="114" t="n">
        <v>4.7</v>
      </c>
      <c r="Y75" s="108" t="n">
        <v>1849</v>
      </c>
      <c r="Z75" s="115" t="n">
        <v>46307</v>
      </c>
      <c r="AA75" s="115" t="n">
        <v>45366</v>
      </c>
      <c r="AB75" s="105" t="inlineStr">
        <is>
          <t>FBA</t>
        </is>
      </c>
      <c r="AC75" s="105" t="inlineStr">
        <is>
          <t>CN</t>
        </is>
      </c>
      <c r="AD75" s="108" t="n"/>
      <c r="AE75" s="108" t="n"/>
      <c r="AF75" s="116" t="n"/>
      <c r="AG75" s="116" t="n"/>
      <c r="AH75" s="39" t="n"/>
      <c r="AI75" s="116" t="n"/>
      <c r="AJ75" s="116" t="n"/>
      <c r="AK75" s="116" t="n"/>
      <c r="AL75" s="116" t="n"/>
      <c r="AM75" s="108" t="n"/>
      <c r="AN75" s="108" t="n"/>
      <c r="AO75" s="108" t="n"/>
      <c r="AP75" s="108" t="n"/>
      <c r="AQ75" s="108" t="n"/>
      <c r="AR75" s="108" t="n"/>
      <c r="AS75" s="117" t="n"/>
      <c r="AT75" s="112" t="n"/>
      <c r="AU75" s="118" t="inlineStr">
        <is>
          <t>N</t>
        </is>
      </c>
      <c r="AV75" s="118" t="inlineStr">
        <is>
          <t>none</t>
        </is>
      </c>
      <c r="AW75" s="124" t="n"/>
      <c r="AX75" s="119" t="n">
        <v>52.99</v>
      </c>
      <c r="AY75" s="118" t="inlineStr">
        <is>
          <t>none</t>
        </is>
      </c>
      <c r="AZ75" s="118" t="inlineStr">
        <is>
          <t>Y</t>
        </is>
      </c>
      <c r="BA75" s="118" t="inlineStr">
        <is>
          <t>2026-10-13 23:43:30</t>
        </is>
      </c>
      <c r="BB75" s="120" t="inlineStr">
        <is>
          <t>Prime Exclusive Discount</t>
        </is>
      </c>
      <c r="BC75" s="120" t="inlineStr">
        <is>
          <t>11-29 to 12-01</t>
        </is>
      </c>
      <c r="BD75" s="121" t="n">
        <v>52.99</v>
      </c>
      <c r="BE75" s="121" t="n">
        <v>41.64</v>
      </c>
      <c r="BF75" s="110">
        <f>IF(AND(ISNUMBER(BD75),ISNUMBER(BE75),N(BD75)&gt;0),1-BE75/BD75,"")</f>
        <v/>
      </c>
      <c r="BG75" s="122" t="n">
        <v>26384</v>
      </c>
      <c r="BH75" s="122" t="n">
        <v>40580</v>
      </c>
      <c r="BI75" s="123">
        <f>IF(AND(ISNUMBER(BG75),ISNUMBER(BH75),N(BH75)&gt;0),BG75/BH75,"")</f>
        <v/>
      </c>
      <c r="BJ75" s="120" t="inlineStr">
        <is>
          <t>N</t>
        </is>
      </c>
      <c r="BK75" s="120" t="inlineStr">
        <is>
          <t>Lightning Deal 11-03 to 11-03; Coupon 10% (11-07 to 11-13); List Price $52.99</t>
        </is>
      </c>
    </row>
    <row r="76" ht="62" customHeight="1">
      <c r="A76" s="12">
        <f>_xlfn.IMAGE("https://images-na.ssl-images-amazon.com/images/I/71b4fXGePgL.jpg")</f>
        <v/>
      </c>
      <c r="B76" s="105" t="inlineStr">
        <is>
          <t>Luxudecor</t>
        </is>
      </c>
      <c r="C76" s="39" t="inlineStr">
        <is>
          <t>Luxudecor Quilts Queen Size Boho Sage Green Quilt Bedspreads Bedding Set, 3 Pieces Summer Queen Coverlet Sets with 2 Shams,Soft Lightweight Striped Patchwork Quilt for Bed 96"x90"</t>
        </is>
      </c>
      <c r="D76" s="105" t="inlineStr">
        <is>
          <t>Beatable</t>
        </is>
      </c>
      <c r="E76" s="134" t="inlineStr">
        <is>
          <t>Not classified</t>
        </is>
      </c>
      <c r="F76" s="105" t="n"/>
      <c r="G76" s="39" t="inlineStr">
        <is>
          <t>Not a sheet, pillowcase or comforter product; competitors are compared on price and sales only.</t>
        </is>
      </c>
      <c r="H76" s="107" t="inlineStr">
        <is>
          <t>B0GDXK4KHR</t>
        </is>
      </c>
      <c r="I76" s="107" t="inlineStr">
        <is>
          <t>B0FWQB61X1</t>
        </is>
      </c>
      <c r="J76" s="105" t="inlineStr">
        <is>
          <t>Queen</t>
        </is>
      </c>
      <c r="K76" s="105" t="inlineStr">
        <is>
          <t>Green</t>
        </is>
      </c>
      <c r="L76" s="108" t="n">
        <v>2</v>
      </c>
      <c r="M76" s="39" t="inlineStr"/>
      <c r="N76" s="109" t="n">
        <v>33.99</v>
      </c>
      <c r="O76" s="109" t="n"/>
      <c r="P76" s="110">
        <f>IF(AND(ISNUMBER(O76),ISNUMBER(N76),N(N76)&gt;0),O76/N76-1,"")</f>
        <v/>
      </c>
      <c r="Q76" s="111">
        <f>IF(P76="","No List Price",IF(P76&lt;=0,"At/below price",IF(P76&lt;=0.12,"&lt;=12% STR zone",IF(P76&lt;=0.25,"12-25%","&gt;25% over"))))</f>
        <v/>
      </c>
      <c r="R76" s="109" t="n">
        <v>41.99</v>
      </c>
      <c r="S76" s="112">
        <f>IF(AND(ISNUMBER(N76),ISNUMBER(R76),N(R76)&gt;0),N76/R76-1,"")</f>
        <v/>
      </c>
      <c r="T76" s="39" t="inlineStr">
        <is>
          <t>Same size (Queen). Ours live: catalog price, 2026-10-13; 5 children</t>
        </is>
      </c>
      <c r="U76" s="108" t="n">
        <v>1652676</v>
      </c>
      <c r="V76" s="108" t="n">
        <v>5</v>
      </c>
      <c r="W76" s="113">
        <f>IF(AND(ISNUMBER(N76),ISNUMBER(V76)),N76*V76*52/12,"")</f>
        <v/>
      </c>
      <c r="X76" s="114" t="n">
        <v>4.6</v>
      </c>
      <c r="Y76" s="108" t="n">
        <v>40</v>
      </c>
      <c r="Z76" s="115" t="n">
        <v>46307</v>
      </c>
      <c r="AA76" s="115" t="n">
        <v>45947</v>
      </c>
      <c r="AB76" s="105" t="inlineStr">
        <is>
          <t>FBM</t>
        </is>
      </c>
      <c r="AC76" s="105" t="inlineStr">
        <is>
          <t>N/A</t>
        </is>
      </c>
      <c r="AD76" s="108" t="n"/>
      <c r="AE76" s="108" t="n"/>
      <c r="AF76" s="116" t="n"/>
      <c r="AG76" s="116" t="n"/>
      <c r="AH76" s="39" t="n"/>
      <c r="AI76" s="116" t="n"/>
      <c r="AJ76" s="116" t="n"/>
      <c r="AK76" s="116" t="n"/>
      <c r="AL76" s="116" t="n"/>
      <c r="AM76" s="108" t="n"/>
      <c r="AN76" s="108" t="n"/>
      <c r="AO76" s="108" t="n"/>
      <c r="AP76" s="108" t="n"/>
      <c r="AQ76" s="108" t="n"/>
      <c r="AR76" s="108" t="n"/>
      <c r="AS76" s="117" t="n"/>
      <c r="AT76" s="112" t="n"/>
      <c r="AU76" s="118" t="inlineStr">
        <is>
          <t>N</t>
        </is>
      </c>
      <c r="AV76" s="118" t="inlineStr">
        <is>
          <t>none</t>
        </is>
      </c>
      <c r="AW76" s="124" t="n"/>
      <c r="AX76" s="124" t="n"/>
      <c r="AY76" s="118" t="inlineStr">
        <is>
          <t>none</t>
        </is>
      </c>
      <c r="AZ76" s="118" t="inlineStr">
        <is>
          <t>N</t>
        </is>
      </c>
      <c r="BA76" s="118" t="inlineStr">
        <is>
          <t>2026-10-13 23:41:43</t>
        </is>
      </c>
      <c r="BB76" s="120" t="inlineStr">
        <is>
          <t>Not live in 2025</t>
        </is>
      </c>
      <c r="BC76" s="125" t="n"/>
      <c r="BD76" s="124" t="n"/>
      <c r="BE76" s="124" t="n"/>
      <c r="BF76" s="110">
        <f>IF(AND(ISNUMBER(BD76),ISNUMBER(BE76),N(BD76)&gt;0),1-BE76/BD76,"")</f>
        <v/>
      </c>
      <c r="BG76" s="126" t="n"/>
      <c r="BH76" s="126" t="n"/>
      <c r="BI76" s="123">
        <f>IF(AND(ISNUMBER(BG76),ISNUMBER(BH76),N(BH76)&gt;0),BG76/BH76,"")</f>
        <v/>
      </c>
      <c r="BJ76" s="125" t="n"/>
      <c r="BK76" s="125" t="n"/>
    </row>
    <row r="77" ht="62" customHeight="1">
      <c r="A77" s="12">
        <f>_xlfn.IMAGE("https://m.media-amazon.com/images/I/81fCqpuz8GL._AC_SL1500_.jpg")</f>
        <v/>
      </c>
      <c r="B77" s="105" t="inlineStr">
        <is>
          <t>Ycosy</t>
        </is>
      </c>
      <c r="C77" s="39" t="inlineStr">
        <is>
          <t>Bamboo Sheets</t>
        </is>
      </c>
      <c r="D77" s="105" t="inlineStr">
        <is>
          <t>Beatable</t>
        </is>
      </c>
      <c r="E77" s="134" t="inlineStr">
        <is>
          <t>Not classified</t>
        </is>
      </c>
      <c r="F77" s="105" t="n"/>
      <c r="G77" s="39" t="inlineStr">
        <is>
          <t>Not a sheet, pillowcase or comforter product; competitors are compared on price and sales only.</t>
        </is>
      </c>
      <c r="H77" s="107" t="inlineStr">
        <is>
          <t>B08MX8D8KK</t>
        </is>
      </c>
      <c r="I77" s="107" t="inlineStr">
        <is>
          <t>B0FC6F4RYY</t>
        </is>
      </c>
      <c r="J77" s="105" t="inlineStr">
        <is>
          <t>King</t>
        </is>
      </c>
      <c r="K77" s="105" t="inlineStr">
        <is>
          <t>Grey Brown Plaid</t>
        </is>
      </c>
      <c r="L77" s="108" t="n"/>
      <c r="M77" s="39" t="inlineStr"/>
      <c r="N77" s="109" t="n">
        <v>32.99</v>
      </c>
      <c r="O77" s="109" t="n"/>
      <c r="P77" s="110">
        <f>IF(AND(ISNUMBER(O77),ISNUMBER(N77),N(N77)&gt;0),O77/N77-1,"")</f>
        <v/>
      </c>
      <c r="Q77" s="111">
        <f>IF(P77="","No List Price",IF(P77&lt;=0,"At/below price",IF(P77&lt;=0.12,"&lt;=12% STR zone",IF(P77&lt;=0.25,"12-25%","&gt;25% over"))))</f>
        <v/>
      </c>
      <c r="R77" s="109" t="n">
        <v>44.99</v>
      </c>
      <c r="S77" s="112">
        <f>IF(AND(ISNUMBER(N77),ISNUMBER(R77),N(R77)&gt;0),N77/R77-1,"")</f>
        <v/>
      </c>
      <c r="T77" s="39" t="inlineStr">
        <is>
          <t>Same size (King). Ours live: catalog price, 2026-10-13; 3 children</t>
        </is>
      </c>
      <c r="U77" s="108" t="n">
        <v>642294</v>
      </c>
      <c r="V77" s="108" t="n">
        <v>5</v>
      </c>
      <c r="W77" s="113">
        <f>IF(AND(ISNUMBER(N77),ISNUMBER(V77)),N77*V77*52/12,"")</f>
        <v/>
      </c>
      <c r="X77" s="114" t="n">
        <v>4.5</v>
      </c>
      <c r="Y77" s="108" t="n">
        <v>1264</v>
      </c>
      <c r="Z77" s="115" t="n">
        <v>46307</v>
      </c>
      <c r="AA77" s="115" t="n"/>
      <c r="AB77" s="105" t="n"/>
      <c r="AC77" s="105" t="n"/>
      <c r="AD77" s="108" t="n"/>
      <c r="AE77" s="108" t="n"/>
      <c r="AF77" s="116" t="n"/>
      <c r="AG77" s="116" t="n"/>
      <c r="AH77" s="39" t="n"/>
      <c r="AI77" s="116" t="n"/>
      <c r="AJ77" s="116" t="n"/>
      <c r="AK77" s="116" t="n"/>
      <c r="AL77" s="116" t="n"/>
      <c r="AM77" s="108" t="n"/>
      <c r="AN77" s="108" t="n"/>
      <c r="AO77" s="108" t="n"/>
      <c r="AP77" s="108" t="n"/>
      <c r="AQ77" s="108" t="n"/>
      <c r="AR77" s="108" t="n"/>
      <c r="AS77" s="117" t="n"/>
      <c r="AT77" s="112" t="n"/>
      <c r="AU77" s="118" t="inlineStr">
        <is>
          <t>N</t>
        </is>
      </c>
      <c r="AV77" s="118" t="inlineStr">
        <is>
          <t>none</t>
        </is>
      </c>
      <c r="AW77" s="124" t="n"/>
      <c r="AX77" s="124" t="n"/>
      <c r="AY77" s="118" t="inlineStr">
        <is>
          <t>none</t>
        </is>
      </c>
      <c r="AZ77" s="125" t="n"/>
      <c r="BA77" s="118" t="inlineStr">
        <is>
          <t>2026-10-13 23:49:11</t>
        </is>
      </c>
      <c r="BB77" s="120" t="inlineStr">
        <is>
          <t>Prime Exclusive Discount</t>
        </is>
      </c>
      <c r="BC77" s="120" t="inlineStr">
        <is>
          <t>11-24 to 12-01</t>
        </is>
      </c>
      <c r="BD77" s="121" t="n">
        <v>32.29</v>
      </c>
      <c r="BE77" s="121" t="n">
        <v>28.89</v>
      </c>
      <c r="BF77" s="110">
        <f>IF(AND(ISNUMBER(BD77),ISNUMBER(BE77),N(BD77)&gt;0),1-BE77/BD77,"")</f>
        <v/>
      </c>
      <c r="BG77" s="122" t="n">
        <v>154468</v>
      </c>
      <c r="BH77" s="122" t="n">
        <v>139207</v>
      </c>
      <c r="BI77" s="123">
        <f>IF(AND(ISNUMBER(BG77),ISNUMBER(BH77),N(BH77)&gt;0),BG77/BH77,"")</f>
        <v/>
      </c>
      <c r="BJ77" s="120" t="inlineStr">
        <is>
          <t>N</t>
        </is>
      </c>
      <c r="BK77" s="120" t="inlineStr">
        <is>
          <t>Buy Box RAISED in BFCM week (median $39.99 vs $32.29 before)</t>
        </is>
      </c>
    </row>
    <row r="78" ht="62" customHeight="1">
      <c r="A78" s="12">
        <f>_xlfn.IMAGE("https://m.media-amazon.com/images/I/81ccKlcUZYL._AC_SL1500_.jpg")</f>
        <v/>
      </c>
      <c r="B78" s="105" t="inlineStr">
        <is>
          <t>Anibedding</t>
        </is>
      </c>
      <c r="C78" s="39" t="inlineStr">
        <is>
          <t>Bamboo Sheets</t>
        </is>
      </c>
      <c r="D78" s="105" t="inlineStr">
        <is>
          <t>Poor</t>
        </is>
      </c>
      <c r="E78" s="134" t="inlineStr">
        <is>
          <t>Not classified</t>
        </is>
      </c>
      <c r="F78" s="105" t="n"/>
      <c r="G78" s="39" t="inlineStr">
        <is>
          <t>Not a sheet, pillowcase or comforter product; competitors are compared on price and sales only.</t>
        </is>
      </c>
      <c r="H78" s="107" t="inlineStr">
        <is>
          <t>B0F82F4MD4</t>
        </is>
      </c>
      <c r="I78" s="107" t="inlineStr">
        <is>
          <t>B0F8N6XCJ5</t>
        </is>
      </c>
      <c r="J78" s="105" t="inlineStr">
        <is>
          <t>Queen</t>
        </is>
      </c>
      <c r="K78" s="105" t="inlineStr">
        <is>
          <t>Pumpkin (Black and White)</t>
        </is>
      </c>
      <c r="L78" s="108" t="n"/>
      <c r="M78" s="39" t="inlineStr"/>
      <c r="N78" s="109" t="n">
        <v>32.28</v>
      </c>
      <c r="O78" s="109" t="n"/>
      <c r="P78" s="110">
        <f>IF(AND(ISNUMBER(O78),ISNUMBER(N78),N(N78)&gt;0),O78/N78-1,"")</f>
        <v/>
      </c>
      <c r="Q78" s="111">
        <f>IF(P78="","No List Price",IF(P78&lt;=0,"At/below price",IF(P78&lt;=0.12,"&lt;=12% STR zone",IF(P78&lt;=0.25,"12-25%","&gt;25% over"))))</f>
        <v/>
      </c>
      <c r="R78" s="109" t="n">
        <v>41.99</v>
      </c>
      <c r="S78" s="112">
        <f>IF(AND(ISNUMBER(N78),ISNUMBER(R78),N(R78)&gt;0),N78/R78-1,"")</f>
        <v/>
      </c>
      <c r="T78" s="39" t="inlineStr">
        <is>
          <t>Same size (Queen). Ours live: catalog price, 2026-10-13; 5 children</t>
        </is>
      </c>
      <c r="U78" s="108" t="n">
        <v>55055</v>
      </c>
      <c r="V78" s="108" t="n">
        <v>35</v>
      </c>
      <c r="W78" s="113">
        <f>IF(AND(ISNUMBER(N78),ISNUMBER(V78)),N78*V78*52/12,"")</f>
        <v/>
      </c>
      <c r="X78" s="114" t="n">
        <v>4.6</v>
      </c>
      <c r="Y78" s="108" t="n">
        <v>361</v>
      </c>
      <c r="Z78" s="115" t="n">
        <v>46307</v>
      </c>
      <c r="AA78" s="115" t="n"/>
      <c r="AB78" s="105" t="n"/>
      <c r="AC78" s="105" t="n"/>
      <c r="AD78" s="108" t="n"/>
      <c r="AE78" s="108" t="n"/>
      <c r="AF78" s="116" t="n"/>
      <c r="AG78" s="116" t="n"/>
      <c r="AH78" s="39" t="n"/>
      <c r="AI78" s="116" t="n"/>
      <c r="AJ78" s="116" t="n"/>
      <c r="AK78" s="116" t="n"/>
      <c r="AL78" s="116" t="n"/>
      <c r="AM78" s="108" t="n"/>
      <c r="AN78" s="108" t="n"/>
      <c r="AO78" s="108" t="n"/>
      <c r="AP78" s="108" t="n"/>
      <c r="AQ78" s="108" t="n"/>
      <c r="AR78" s="108" t="n"/>
      <c r="AS78" s="117" t="n"/>
      <c r="AT78" s="112" t="n"/>
      <c r="AU78" s="118" t="inlineStr">
        <is>
          <t>Y</t>
        </is>
      </c>
      <c r="AV78" s="118" t="inlineStr">
        <is>
          <t>List Price</t>
        </is>
      </c>
      <c r="AW78" s="119" t="n">
        <v>37.98</v>
      </c>
      <c r="AX78" s="119" t="n">
        <v>33.99</v>
      </c>
      <c r="AY78" s="118" t="inlineStr">
        <is>
          <t>none</t>
        </is>
      </c>
      <c r="AZ78" s="118" t="inlineStr">
        <is>
          <t>Y</t>
        </is>
      </c>
      <c r="BA78" s="118" t="inlineStr">
        <is>
          <t>2026-10-13 23:39:36</t>
        </is>
      </c>
      <c r="BB78" s="125" t="n"/>
      <c r="BC78" s="125" t="n"/>
      <c r="BD78" s="124" t="n"/>
      <c r="BE78" s="124" t="n"/>
      <c r="BF78" s="110">
        <f>IF(AND(ISNUMBER(BD78),ISNUMBER(BE78),N(BD78)&gt;0),1-BE78/BD78,"")</f>
        <v/>
      </c>
      <c r="BG78" s="122" t="n">
        <v>169693</v>
      </c>
      <c r="BH78" s="122" t="n">
        <v>156922</v>
      </c>
      <c r="BI78" s="123">
        <f>IF(AND(ISNUMBER(BG78),ISNUMBER(BH78),N(BH78)&gt;0),BG78/BH78,"")</f>
        <v/>
      </c>
      <c r="BJ78" s="120" t="inlineStr">
        <is>
          <t>Y</t>
        </is>
      </c>
      <c r="BK78" s="120" t="inlineStr">
        <is>
          <t>No Buy Box history in price history for BFCM 2025</t>
        </is>
      </c>
    </row>
    <row r="79" ht="62" customHeight="1">
      <c r="A79" s="12">
        <f>_xlfn.IMAGE("https://m.media-amazon.com/images/I/81Cb8CjVwcL._AC_SL1500_.jpg")</f>
        <v/>
      </c>
      <c r="B79" s="105" t="inlineStr">
        <is>
          <t>DJY</t>
        </is>
      </c>
      <c r="C79" s="39" t="inlineStr">
        <is>
          <t>Bamboo Sheets</t>
        </is>
      </c>
      <c r="D79" s="105" t="inlineStr">
        <is>
          <t>Poor</t>
        </is>
      </c>
      <c r="E79" s="134" t="inlineStr">
        <is>
          <t>Not classified</t>
        </is>
      </c>
      <c r="F79" s="105" t="n"/>
      <c r="G79" s="39" t="inlineStr">
        <is>
          <t>Not a sheet, pillowcase or comforter product; competitors are compared on price and sales only.</t>
        </is>
      </c>
      <c r="H79" s="107" t="inlineStr">
        <is>
          <t>B0DHCGW8HR</t>
        </is>
      </c>
      <c r="I79" s="107" t="inlineStr">
        <is>
          <t>B0DHCG7VDK</t>
        </is>
      </c>
      <c r="J79" s="105" t="inlineStr">
        <is>
          <t>Queen</t>
        </is>
      </c>
      <c r="K79" s="105" t="inlineStr">
        <is>
          <t>Green</t>
        </is>
      </c>
      <c r="L79" s="108" t="n"/>
      <c r="M79" s="39" t="inlineStr"/>
      <c r="N79" s="109" t="n">
        <v>29.85</v>
      </c>
      <c r="O79" s="109" t="n"/>
      <c r="P79" s="110">
        <f>IF(AND(ISNUMBER(O79),ISNUMBER(N79),N(N79)&gt;0),O79/N79-1,"")</f>
        <v/>
      </c>
      <c r="Q79" s="111">
        <f>IF(P79="","No List Price",IF(P79&lt;=0,"At/below price",IF(P79&lt;=0.12,"&lt;=12% STR zone",IF(P79&lt;=0.25,"12-25%","&gt;25% over"))))</f>
        <v/>
      </c>
      <c r="R79" s="109" t="n">
        <v>41.99</v>
      </c>
      <c r="S79" s="112">
        <f>IF(AND(ISNUMBER(N79),ISNUMBER(R79),N(R79)&gt;0),N79/R79-1,"")</f>
        <v/>
      </c>
      <c r="T79" s="39" t="inlineStr">
        <is>
          <t>Same size (Queen). Ours live: catalog price, 2026-10-13; 5 children</t>
        </is>
      </c>
      <c r="U79" s="108" t="n">
        <v>159647</v>
      </c>
      <c r="V79" s="108" t="n">
        <v>5</v>
      </c>
      <c r="W79" s="113">
        <f>IF(AND(ISNUMBER(N79),ISNUMBER(V79)),N79*V79*52/12,"")</f>
        <v/>
      </c>
      <c r="X79" s="114" t="n">
        <v>4.6</v>
      </c>
      <c r="Y79" s="108" t="n">
        <v>424</v>
      </c>
      <c r="Z79" s="115" t="n">
        <v>46307</v>
      </c>
      <c r="AA79" s="115" t="n"/>
      <c r="AB79" s="105" t="n"/>
      <c r="AC79" s="105" t="n"/>
      <c r="AD79" s="108" t="n"/>
      <c r="AE79" s="108" t="n"/>
      <c r="AF79" s="116" t="n"/>
      <c r="AG79" s="116" t="n"/>
      <c r="AH79" s="39" t="n"/>
      <c r="AI79" s="116" t="n"/>
      <c r="AJ79" s="116" t="n"/>
      <c r="AK79" s="116" t="n"/>
      <c r="AL79" s="116" t="n"/>
      <c r="AM79" s="108" t="n"/>
      <c r="AN79" s="108" t="n"/>
      <c r="AO79" s="108" t="n"/>
      <c r="AP79" s="108" t="n"/>
      <c r="AQ79" s="108" t="n"/>
      <c r="AR79" s="108" t="n"/>
      <c r="AS79" s="117" t="n"/>
      <c r="AT79" s="112" t="n"/>
      <c r="AU79" s="118" t="inlineStr">
        <is>
          <t>N</t>
        </is>
      </c>
      <c r="AV79" s="118" t="inlineStr">
        <is>
          <t>none</t>
        </is>
      </c>
      <c r="AW79" s="124" t="n"/>
      <c r="AX79" s="119" t="n">
        <v>36.98</v>
      </c>
      <c r="AY79" s="118" t="inlineStr">
        <is>
          <t>none</t>
        </is>
      </c>
      <c r="AZ79" s="118" t="inlineStr">
        <is>
          <t>Y</t>
        </is>
      </c>
      <c r="BA79" s="118" t="inlineStr">
        <is>
          <t>2026-10-13 23:40:07</t>
        </is>
      </c>
      <c r="BB79" s="120" t="inlineStr">
        <is>
          <t>Prime Exclusive Discount</t>
        </is>
      </c>
      <c r="BC79" s="120" t="inlineStr">
        <is>
          <t>11-22 to 12-02</t>
        </is>
      </c>
      <c r="BD79" s="121" t="n">
        <v>36.98</v>
      </c>
      <c r="BE79" s="121" t="n">
        <v>28.47</v>
      </c>
      <c r="BF79" s="110">
        <f>IF(AND(ISNUMBER(BD79),ISNUMBER(BE79),N(BD79)&gt;0),1-BE79/BD79,"")</f>
        <v/>
      </c>
      <c r="BG79" s="122" t="n">
        <v>106632</v>
      </c>
      <c r="BH79" s="122" t="n">
        <v>55598</v>
      </c>
      <c r="BI79" s="123">
        <f>IF(AND(ISNUMBER(BG79),ISNUMBER(BH79),N(BH79)&gt;0),BG79/BH79,"")</f>
        <v/>
      </c>
      <c r="BJ79" s="120" t="inlineStr">
        <is>
          <t>N</t>
        </is>
      </c>
      <c r="BK79" s="120" t="inlineStr">
        <is>
          <t>Coupon 20% (11-06 to 11-19); List Price $42.99</t>
        </is>
      </c>
    </row>
    <row r="80"/>
    <row r="81" ht="22" customHeight="1">
      <c r="A81" s="65" t="inlineStr">
        <is>
          <t>5 ▼</t>
        </is>
      </c>
      <c r="B81" s="66" t="inlineStr">
        <is>
          <t>WHAT THIS MEANS FOR BFCM</t>
        </is>
      </c>
      <c r="C81" s="67" t="n"/>
      <c r="D81" s="67" t="n"/>
      <c r="E81" s="67" t="n"/>
      <c r="F81" s="67" t="n"/>
      <c r="G81" s="67" t="n"/>
      <c r="H81" s="67" t="n"/>
      <c r="I81" s="67" t="n"/>
      <c r="J81" s="67" t="n"/>
      <c r="K81" s="67" t="n"/>
      <c r="L81" s="67" t="n"/>
      <c r="M81" s="67" t="n"/>
      <c r="N81" s="67" t="n"/>
      <c r="O81" s="67" t="n"/>
      <c r="P81" s="67" t="n"/>
      <c r="Q81" s="67" t="n"/>
      <c r="R81" s="67" t="n"/>
      <c r="S81" s="67" t="n"/>
      <c r="T81" s="67" t="n"/>
      <c r="U81" s="67" t="n"/>
      <c r="V81" s="67" t="n"/>
      <c r="W81" s="67" t="n"/>
      <c r="X81" s="67" t="n"/>
      <c r="Y81" s="67" t="n"/>
      <c r="Z81" s="67" t="n"/>
      <c r="AA81" s="67" t="n"/>
      <c r="AB81" s="67" t="n"/>
      <c r="AC81" s="67" t="n"/>
      <c r="AD81" s="67" t="n"/>
      <c r="AE81" s="67" t="n"/>
      <c r="AF81" s="67" t="n"/>
      <c r="AG81" s="67" t="n"/>
      <c r="AH81" s="67" t="n"/>
      <c r="AI81" s="67" t="n"/>
      <c r="AJ81" s="67" t="n"/>
      <c r="AK81" s="67" t="n"/>
      <c r="AL81" s="67" t="n"/>
      <c r="AM81" s="67" t="n"/>
      <c r="AN81" s="67" t="n"/>
      <c r="AO81" s="67" t="n"/>
      <c r="AP81" s="67" t="n"/>
      <c r="AQ81" s="67" t="n"/>
      <c r="AR81" s="67" t="n"/>
      <c r="AS81" s="67" t="n"/>
      <c r="AT81" s="67" t="n"/>
      <c r="AU81" s="67" t="n"/>
      <c r="AV81" s="67" t="n"/>
      <c r="AW81" s="67" t="n"/>
      <c r="AX81" s="67" t="n"/>
      <c r="AY81" s="67" t="n"/>
      <c r="AZ81" s="67" t="n"/>
      <c r="BA81" s="67" t="n"/>
      <c r="BB81" s="67" t="n"/>
      <c r="BC81" s="67" t="n"/>
      <c r="BD81" s="67" t="n"/>
      <c r="BE81" s="67" t="n"/>
      <c r="BF81" s="67" t="n"/>
      <c r="BG81" s="67" t="n"/>
      <c r="BH81" s="67" t="n"/>
      <c r="BI81" s="67" t="n"/>
      <c r="BJ81" s="67" t="n"/>
      <c r="BK81" s="67" t="n"/>
    </row>
    <row r="82" ht="30" customHeight="1">
      <c r="A82" s="129" t="inlineStr">
        <is>
          <t>• Who sells most: Love's cabin ~809/wk at $25.99 (List $31.99, +23%); FLYMME ~347/wk at $27.99; WDCOZY ~347/wk at $44.99; WRENSONGE ~220/wk at $39.99; akkialla ~197/wk at $27.99. Tracked rivals ~2,924 units/wk; we sell ~8/wk (0.3% of the tracked set).</t>
        </is>
      </c>
    </row>
    <row r="83" ht="18" customHeight="1">
      <c r="A83" s="129" t="inlineStr">
        <is>
          <t>• Strikethrough: 3 of 19 rivals set a List Price above price; 2 within 12%: Exclusivo Mezcla +11%, EverGrace +5%.</t>
        </is>
      </c>
    </row>
    <row r="84" ht="30" customHeight="1">
      <c r="A84" s="129" t="inlineStr">
        <is>
          <t>• Price: 14 of 19 rivals sit below our price today (same size where the title states one). Cheapest strong rivals: Exclusivo Mezcla $25.19, Love's cabin $25.99, FLYMME $27.99, Wake In Cloud $27.99.</t>
        </is>
      </c>
    </row>
    <row r="85" ht="30" customHeight="1">
      <c r="A85" s="129" t="inlineStr">
        <is>
          <t>• Strikethrough on the page today (Oct 13 check): 7 of 19 checked rivals show one: Love's cabin List Price $31.99 vs $25.99 (+23%), Exclusivo Mezcla Typical price $27.99 vs $25.19 (+11%), Mybedsoul List Price $44.99 vs $35.99 (+25%), WRENSONGE List Price $49.99 vs $39.99 (+25%), EverGrace Typical price $92.99 vs $88.34 (+5%), Bedsure List Price $58.99 vs $46.99 (+26%).</t>
        </is>
      </c>
    </row>
    <row r="86" ht="18" customHeight="1">
      <c r="A86" s="129" t="inlineStr">
        <is>
          <t>• Search: we lose most shared keywords to WDCOZY (we win 11, lose 355). Biggest ad gaps (they advertise where we don't or harder): WDCOZY 225 + 0 KWs.</t>
        </is>
      </c>
    </row>
    <row r="87" ht="30" customHeight="1">
      <c r="A87" s="129" t="inlineStr">
        <is>
          <t>• BFCM 2025, 17 rivals with price history history: Prime Exclusive Discount 8, None 4, Price cut only 4, Coupon only 1. Median depth vs their Nov 1-19 price 10%; median BSR lift 0.94x. 4 raised their Buy Box in BFCM week, so their deal looked deeper than it was.</t>
        </is>
      </c>
    </row>
    <row r="88" ht="18" customHeight="1">
      <c r="A88" s="129" t="inlineStr">
        <is>
          <t>• 1 rival not in the price history pulls yet (yellow BFCM 2025 columns) - remaining P2 batches,.</t>
        </is>
      </c>
    </row>
  </sheetData>
  <autoFilter ref="B60:BK79"/>
  <mergeCells count="63">
    <mergeCell ref="A41:C41"/>
    <mergeCell ref="BB59:BK59"/>
    <mergeCell ref="A82:BK82"/>
    <mergeCell ref="N59:Z59"/>
    <mergeCell ref="A46:C46"/>
    <mergeCell ref="L5:Q5"/>
    <mergeCell ref="A51:BK51"/>
    <mergeCell ref="A59:K59"/>
    <mergeCell ref="Q11:T11"/>
    <mergeCell ref="L8:Q8"/>
    <mergeCell ref="L4:Q4"/>
    <mergeCell ref="D7:I7"/>
    <mergeCell ref="A13:D13"/>
    <mergeCell ref="A88:BK88"/>
    <mergeCell ref="I13:L13"/>
    <mergeCell ref="A42:C42"/>
    <mergeCell ref="AA59:AC59"/>
    <mergeCell ref="A87:BK87"/>
    <mergeCell ref="A47:C47"/>
    <mergeCell ref="AD59:AT59"/>
    <mergeCell ref="D4:I4"/>
    <mergeCell ref="L10:Q10"/>
    <mergeCell ref="E12:H12"/>
    <mergeCell ref="Q13:T13"/>
    <mergeCell ref="A54:BK54"/>
    <mergeCell ref="D9:I9"/>
    <mergeCell ref="A84:BK84"/>
    <mergeCell ref="U12:X12"/>
    <mergeCell ref="L9:Q9"/>
    <mergeCell ref="Q12:T12"/>
    <mergeCell ref="A11:D11"/>
    <mergeCell ref="I11:L11"/>
    <mergeCell ref="A43:C43"/>
    <mergeCell ref="D8:I8"/>
    <mergeCell ref="L6:Q6"/>
    <mergeCell ref="A4:B9"/>
    <mergeCell ref="A50:BK50"/>
    <mergeCell ref="T6:Y6"/>
    <mergeCell ref="A55:BK55"/>
    <mergeCell ref="A86:BK86"/>
    <mergeCell ref="A44:C44"/>
    <mergeCell ref="D5:I5"/>
    <mergeCell ref="A85:BK85"/>
    <mergeCell ref="M11:P11"/>
    <mergeCell ref="U11:X11"/>
    <mergeCell ref="A48:C48"/>
    <mergeCell ref="E13:H13"/>
    <mergeCell ref="D10:I10"/>
    <mergeCell ref="L7:Q7"/>
    <mergeCell ref="T5:Y5"/>
    <mergeCell ref="A49:C49"/>
    <mergeCell ref="A53:BK53"/>
    <mergeCell ref="AU59:BA59"/>
    <mergeCell ref="A12:D12"/>
    <mergeCell ref="M13:P13"/>
    <mergeCell ref="A52:BK52"/>
    <mergeCell ref="I12:L12"/>
    <mergeCell ref="U13:X13"/>
    <mergeCell ref="M12:P12"/>
    <mergeCell ref="T4:Y4"/>
    <mergeCell ref="D6:I6"/>
    <mergeCell ref="E11:H11"/>
    <mergeCell ref="A83:BK83"/>
  </mergeCells>
  <conditionalFormatting sqref="Q61:Q79">
    <cfRule type="expression" priority="1" dxfId="1">
      <formula>Q61="&lt;=12% STR zone"</formula>
    </cfRule>
  </conditionalFormatting>
  <conditionalFormatting sqref="Z61:Z79">
    <cfRule type="expression" priority="2" dxfId="0">
      <formula>AND(ISNUMBER(Z61),Z61&lt;DATE(2026,10,6))</formula>
    </cfRule>
  </conditionalFormatting>
  <conditionalFormatting sqref="T61:T79">
    <cfRule type="expression" priority="3" dxfId="0">
      <formula>ISNUMBER(SEARCH("STALE",T61))</formula>
    </cfRule>
  </conditionalFormatting>
  <conditionalFormatting sqref="S61:S79">
    <cfRule type="expression" priority="4" dxfId="0">
      <formula>AND(ISNUMBER(S61),S61&lt;0)</formula>
    </cfRule>
  </conditionalFormatting>
  <dataValidations count="3">
    <dataValidation sqref="AU61:AU79 BJ61:BJ79" showDropDown="0" showInputMessage="0" showErrorMessage="0" allowBlank="1" type="list">
      <formula1>"Y,N"</formula1>
    </dataValidation>
    <dataValidation sqref="AV61:AV79" showDropDown="0" showInputMessage="0" showErrorMessage="0" allowBlank="1" type="list">
      <formula1>"List Price,Typical price,Was price,None"</formula1>
    </dataValidation>
    <dataValidation sqref="BB61:BB79"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SL Quilt Set'!A3" display="1 Our product ↓"/>
    <hyperlink ref="D2" location="'US SL Quilt Set'!A15" display="2 Our variations ↓"/>
    <hyperlink ref="E2" location="'US SL Quilt Set'!A40" display="3 Our BFCM 2025 ↓"/>
    <hyperlink ref="F2" location="'US SL Quilt Set'!A57" display="4 COMPETITORS (19 mapped) ↓"/>
    <hyperlink ref="G2" location="'US SL Quilt Set'!A81" display="5 What it means ↓"/>
    <hyperlink xmlns:r="http://schemas.openxmlformats.org/officeDocument/2006/relationships" ref="H61" r:id="rId1"/>
    <hyperlink xmlns:r="http://schemas.openxmlformats.org/officeDocument/2006/relationships" ref="I61" r:id="rId2"/>
    <hyperlink xmlns:r="http://schemas.openxmlformats.org/officeDocument/2006/relationships" ref="H62" r:id="rId3"/>
    <hyperlink xmlns:r="http://schemas.openxmlformats.org/officeDocument/2006/relationships" ref="I62" r:id="rId4"/>
    <hyperlink xmlns:r="http://schemas.openxmlformats.org/officeDocument/2006/relationships" ref="H63" r:id="rId5"/>
    <hyperlink xmlns:r="http://schemas.openxmlformats.org/officeDocument/2006/relationships" ref="I63" r:id="rId6"/>
    <hyperlink xmlns:r="http://schemas.openxmlformats.org/officeDocument/2006/relationships" ref="H64" r:id="rId7"/>
    <hyperlink xmlns:r="http://schemas.openxmlformats.org/officeDocument/2006/relationships" ref="I64" r:id="rId8"/>
    <hyperlink xmlns:r="http://schemas.openxmlformats.org/officeDocument/2006/relationships" ref="H65" r:id="rId9"/>
    <hyperlink xmlns:r="http://schemas.openxmlformats.org/officeDocument/2006/relationships" ref="I65" r:id="rId10"/>
    <hyperlink xmlns:r="http://schemas.openxmlformats.org/officeDocument/2006/relationships" ref="H66" r:id="rId11"/>
    <hyperlink xmlns:r="http://schemas.openxmlformats.org/officeDocument/2006/relationships" ref="I66" r:id="rId12"/>
    <hyperlink xmlns:r="http://schemas.openxmlformats.org/officeDocument/2006/relationships" ref="H67" r:id="rId13"/>
    <hyperlink xmlns:r="http://schemas.openxmlformats.org/officeDocument/2006/relationships" ref="I67" r:id="rId14"/>
    <hyperlink xmlns:r="http://schemas.openxmlformats.org/officeDocument/2006/relationships" ref="H68" r:id="rId15"/>
    <hyperlink xmlns:r="http://schemas.openxmlformats.org/officeDocument/2006/relationships" ref="I68" r:id="rId16"/>
    <hyperlink xmlns:r="http://schemas.openxmlformats.org/officeDocument/2006/relationships" ref="H69" r:id="rId17"/>
    <hyperlink xmlns:r="http://schemas.openxmlformats.org/officeDocument/2006/relationships" ref="I69" r:id="rId18"/>
    <hyperlink xmlns:r="http://schemas.openxmlformats.org/officeDocument/2006/relationships" ref="H70" r:id="rId19"/>
    <hyperlink xmlns:r="http://schemas.openxmlformats.org/officeDocument/2006/relationships" ref="I70" r:id="rId20"/>
    <hyperlink xmlns:r="http://schemas.openxmlformats.org/officeDocument/2006/relationships" ref="H71" r:id="rId21"/>
    <hyperlink xmlns:r="http://schemas.openxmlformats.org/officeDocument/2006/relationships" ref="I71" r:id="rId22"/>
    <hyperlink xmlns:r="http://schemas.openxmlformats.org/officeDocument/2006/relationships" ref="H72" r:id="rId23"/>
    <hyperlink xmlns:r="http://schemas.openxmlformats.org/officeDocument/2006/relationships" ref="I72" r:id="rId24"/>
    <hyperlink xmlns:r="http://schemas.openxmlformats.org/officeDocument/2006/relationships" ref="H73" r:id="rId25"/>
    <hyperlink xmlns:r="http://schemas.openxmlformats.org/officeDocument/2006/relationships" ref="I73" r:id="rId26"/>
    <hyperlink xmlns:r="http://schemas.openxmlformats.org/officeDocument/2006/relationships" ref="H74" r:id="rId27"/>
    <hyperlink xmlns:r="http://schemas.openxmlformats.org/officeDocument/2006/relationships" ref="I74" r:id="rId28"/>
    <hyperlink xmlns:r="http://schemas.openxmlformats.org/officeDocument/2006/relationships" ref="H75" r:id="rId29"/>
    <hyperlink xmlns:r="http://schemas.openxmlformats.org/officeDocument/2006/relationships" ref="I75" r:id="rId30"/>
    <hyperlink xmlns:r="http://schemas.openxmlformats.org/officeDocument/2006/relationships" ref="H76" r:id="rId31"/>
    <hyperlink xmlns:r="http://schemas.openxmlformats.org/officeDocument/2006/relationships" ref="I76" r:id="rId32"/>
    <hyperlink xmlns:r="http://schemas.openxmlformats.org/officeDocument/2006/relationships" ref="H77" r:id="rId33"/>
    <hyperlink xmlns:r="http://schemas.openxmlformats.org/officeDocument/2006/relationships" ref="I77" r:id="rId34"/>
    <hyperlink xmlns:r="http://schemas.openxmlformats.org/officeDocument/2006/relationships" ref="H78" r:id="rId35"/>
    <hyperlink xmlns:r="http://schemas.openxmlformats.org/officeDocument/2006/relationships" ref="I78" r:id="rId36"/>
    <hyperlink xmlns:r="http://schemas.openxmlformats.org/officeDocument/2006/relationships" ref="H79" r:id="rId37"/>
    <hyperlink xmlns:r="http://schemas.openxmlformats.org/officeDocument/2006/relationships" ref="I79" r:id="rId38"/>
  </hyperlink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9DC3E6"/>
    <outlinePr summaryBelow="1" summaryRight="1"/>
    <pageSetUpPr/>
  </sheetPr>
  <dimension ref="A1:BK10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Linen Curtains · Amazon.com (US) · Other · BFCM role: Liquidation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(21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_xlfn.IMAGE("https://images-na.ssl-images-amazon.com/images/I/81sMgyPyWQL.jpg")</f>
        <v/>
      </c>
      <c r="C4" s="13" t="inlineStr">
        <is>
          <t>Title</t>
        </is>
      </c>
      <c r="D4" s="14" t="inlineStr">
        <is>
          <t>DECOLURE 100% Blackout Linen Curtains 108 Inches Long | Ivory</t>
        </is>
      </c>
      <c r="K4" s="13" t="inlineStr">
        <is>
          <t>Sizes</t>
        </is>
      </c>
      <c r="L4" s="68" t="inlineStr">
        <is>
          <t>52x108, 52x120, 52x63, 52x72, 52x84, 52x90, 52x96</t>
        </is>
      </c>
      <c r="S4" s="13" t="inlineStr">
        <is>
          <t>Break-even ACoS</t>
        </is>
      </c>
      <c r="T4" s="68" t="inlineStr">
        <is>
          <t>77%</t>
        </is>
      </c>
    </row>
    <row r="5" ht="22" customHeight="1">
      <c r="C5" s="13" t="inlineStr">
        <is>
          <t>Brand</t>
        </is>
      </c>
      <c r="D5" s="68" t="inlineStr">
        <is>
          <t>Decolure</t>
        </is>
      </c>
      <c r="K5" s="13" t="inlineStr">
        <is>
          <t>Colours</t>
        </is>
      </c>
      <c r="L5" s="68" t="inlineStr">
        <is>
          <t>Beige, Ivory, Light Beige, Light Grey, Linen, Natural</t>
        </is>
      </c>
      <c r="S5" s="13" t="inlineStr">
        <is>
          <t>Units last 28 days</t>
        </is>
      </c>
      <c r="T5" s="68" t="inlineStr">
        <is>
          <t>12</t>
        </is>
      </c>
    </row>
    <row r="6" ht="22" customHeight="1">
      <c r="C6" s="13" t="inlineStr">
        <is>
          <t>Marketplace</t>
        </is>
      </c>
      <c r="D6" s="68" t="inlineStr">
        <is>
          <t>Amazon.com (US)</t>
        </is>
      </c>
      <c r="K6" s="13" t="inlineStr">
        <is>
          <t>Price now, best child</t>
        </is>
      </c>
      <c r="L6" s="68" t="inlineStr">
        <is>
          <t>$34.99 (catalog price, 2026-10-13)</t>
        </is>
      </c>
      <c r="S6" s="13" t="inlineStr">
        <is>
          <t>market data product ASIN</t>
        </is>
      </c>
      <c r="T6" s="68" t="inlineStr">
        <is>
          <t>B0F6371Q67 (one of our child ASINs, not the Amazon parent)</t>
        </is>
      </c>
    </row>
    <row r="7" ht="22" customHeight="1">
      <c r="C7" s="13" t="inlineStr">
        <is>
          <t>Parent ASIN (Amazon)</t>
        </is>
      </c>
      <c r="D7" s="68" t="inlineStr">
        <is>
          <t>B0H2Z62MJZ</t>
        </is>
      </c>
      <c r="K7" s="13" t="inlineStr">
        <is>
          <t>Rating / reviews now</t>
        </is>
      </c>
      <c r="L7" s="68" t="inlineStr">
        <is>
          <t>4.7 / 586 (catalog price, 2026-10-13)</t>
        </is>
      </c>
    </row>
    <row r="8" ht="22" customHeight="1">
      <c r="C8" s="13" t="inlineStr">
        <is>
          <t>Best-selling child ASIN</t>
        </is>
      </c>
      <c r="D8" s="68" t="inlineStr">
        <is>
          <t>B0F63C8HL2</t>
        </is>
      </c>
      <c r="K8" s="13" t="inlineStr">
        <is>
          <t>Live prices held</t>
        </is>
      </c>
      <c r="L8" s="68" t="inlineStr">
        <is>
          <t>37 of 42 variations</t>
        </is>
      </c>
    </row>
    <row r="9" ht="22" customHeight="1">
      <c r="C9" s="13" t="inlineStr">
        <is>
          <t>Stage</t>
        </is>
      </c>
      <c r="D9" s="68" t="inlineStr">
        <is>
          <t>Liquidation</t>
        </is>
      </c>
      <c r="K9" s="13" t="inlineStr">
        <is>
          <t>Blended price (market data)</t>
        </is>
      </c>
      <c r="L9" s="68" t="inlineStr">
        <is>
          <t>$29.82 - fee feed as of 2026-03-30, STALE</t>
        </is>
      </c>
    </row>
    <row r="10">
      <c r="C10" s="13" t="inlineStr">
        <is>
          <t>Total variations (SKUs)</t>
        </is>
      </c>
      <c r="D10" s="68" t="n">
        <v>42</v>
      </c>
      <c r="K10" s="13" t="inlineStr">
        <is>
          <t>Contribution / unit</t>
        </is>
      </c>
      <c r="L10" s="68" t="inlineStr">
        <is>
          <t>$-0.23</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21</t>
        </is>
      </c>
      <c r="Q12" s="70" t="inlineStr">
        <is>
          <t>16</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(42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_xlfn.IMAGE("https://m.media-amazon.com/images/I/818aHK4T77L.jpg")</f>
        <v/>
      </c>
      <c r="B18" s="39" t="inlineStr">
        <is>
          <t>B0F6366HKN</t>
        </is>
      </c>
      <c r="C18" s="39" t="inlineStr">
        <is>
          <t>LINEN-CURTAIN-52x72-LIGHT-GREY-2-PCS</t>
        </is>
      </c>
      <c r="D18" s="39" t="inlineStr">
        <is>
          <t>DECOLURE 100% Blackout Linen Curtains 72 Inches Long | Light Grey</t>
        </is>
      </c>
      <c r="E18" s="39" t="inlineStr">
        <is>
          <t>52x72</t>
        </is>
      </c>
      <c r="F18" s="39" t="inlineStr">
        <is>
          <t>Light Grey</t>
        </is>
      </c>
      <c r="G18" s="73" t="n">
        <v>28.99</v>
      </c>
      <c r="H18" s="39" t="inlineStr">
        <is>
          <t>catalog price, 2026-10-13</t>
        </is>
      </c>
      <c r="I18" s="74" t="n">
        <v>28.99</v>
      </c>
      <c r="J18" s="75" t="inlineStr">
        <is>
          <t>2026-03-30</t>
        </is>
      </c>
      <c r="K18" s="40" t="n">
        <v>0.6699999999999982</v>
      </c>
      <c r="L18" s="76" t="n">
        <v>0.02311141773025175</v>
      </c>
      <c r="M18" s="77" t="n">
        <v>3</v>
      </c>
      <c r="N18" s="39" t="inlineStr">
        <is>
          <t>Active</t>
        </is>
      </c>
      <c r="O18" s="39" t="n"/>
      <c r="P18" s="78" t="n">
        <v>4.7</v>
      </c>
      <c r="Q18" s="77" t="n">
        <v>586</v>
      </c>
      <c r="R18" s="77" t="n">
        <v>603113</v>
      </c>
      <c r="S18" s="77" t="n">
        <v>0.9743000000000001</v>
      </c>
      <c r="T18" s="39" t="n"/>
    </row>
    <row r="19" ht="62" customHeight="1">
      <c r="A19" s="12">
        <f>_xlfn.IMAGE("https://m.media-amazon.com/images/I/71wgFMvSS4L.jpg")</f>
        <v/>
      </c>
      <c r="B19" s="39" t="inlineStr">
        <is>
          <t>B0F63C8HL2</t>
        </is>
      </c>
      <c r="C19" s="39" t="inlineStr">
        <is>
          <t>LINEN-CURTAIN-52x108-IVORY-2-PCS</t>
        </is>
      </c>
      <c r="D19" s="39" t="inlineStr">
        <is>
          <t>DECOLURE 100% Blackout Linen Curtains 108 Inches Long | Ivory</t>
        </is>
      </c>
      <c r="E19" s="39" t="inlineStr">
        <is>
          <t>52x108</t>
        </is>
      </c>
      <c r="F19" s="39" t="inlineStr">
        <is>
          <t>Ivory</t>
        </is>
      </c>
      <c r="G19" s="73" t="n">
        <v>34.99</v>
      </c>
      <c r="H19" s="39" t="inlineStr">
        <is>
          <t>catalog price, 2026-10-13</t>
        </is>
      </c>
      <c r="I19" s="74" t="n">
        <v>29.99</v>
      </c>
      <c r="J19" s="75" t="inlineStr">
        <is>
          <t>2026-03-30</t>
        </is>
      </c>
      <c r="K19" s="40" t="n">
        <v>-2.230000000000004</v>
      </c>
      <c r="L19" s="76" t="n">
        <v>-0.07435811937312452</v>
      </c>
      <c r="M19" s="77" t="n">
        <v>2</v>
      </c>
      <c r="N19" s="39" t="inlineStr">
        <is>
          <t>Active</t>
        </is>
      </c>
      <c r="O19" s="39" t="n"/>
      <c r="P19" s="78" t="n">
        <v>4.7</v>
      </c>
      <c r="Q19" s="77" t="n">
        <v>586</v>
      </c>
      <c r="R19" s="77" t="n">
        <v>603113</v>
      </c>
      <c r="S19" s="77" t="n">
        <v>0.299</v>
      </c>
      <c r="T19" s="39" t="n"/>
    </row>
    <row r="20" ht="62" customHeight="1">
      <c r="A20" s="12">
        <f>_xlfn.IMAGE("https://m.media-amazon.com/images/I/81rR8AXrgFL.jpg")</f>
        <v/>
      </c>
      <c r="B20" s="39" t="inlineStr">
        <is>
          <t>B0F637WVF9</t>
        </is>
      </c>
      <c r="C20" s="39" t="inlineStr">
        <is>
          <t>LINEN-CURTAIN-52x72-BEIGE-2-PCS</t>
        </is>
      </c>
      <c r="D20" s="39" t="inlineStr">
        <is>
          <t>DECOLURE 100% Blackout Linen Curtains 72 Inches Long | Beige</t>
        </is>
      </c>
      <c r="E20" s="39" t="inlineStr">
        <is>
          <t>52x72</t>
        </is>
      </c>
      <c r="F20" s="39" t="inlineStr">
        <is>
          <t>Beige</t>
        </is>
      </c>
      <c r="G20" s="73" t="n">
        <v>28.99</v>
      </c>
      <c r="H20" s="39" t="inlineStr">
        <is>
          <t>catalog price, 2026-10-13</t>
        </is>
      </c>
      <c r="I20" s="74" t="n">
        <v>28.99</v>
      </c>
      <c r="J20" s="75" t="inlineStr">
        <is>
          <t>2026-03-30</t>
        </is>
      </c>
      <c r="K20" s="40" t="n">
        <v>0.6699999999999982</v>
      </c>
      <c r="L20" s="76" t="n">
        <v>0.02311141773025175</v>
      </c>
      <c r="M20" s="77" t="n">
        <v>2</v>
      </c>
      <c r="N20" s="39" t="inlineStr">
        <is>
          <t>Active</t>
        </is>
      </c>
      <c r="O20" s="39" t="n"/>
      <c r="P20" s="78" t="n">
        <v>4.7</v>
      </c>
      <c r="Q20" s="77" t="n">
        <v>586</v>
      </c>
      <c r="R20" s="77" t="n">
        <v>603113</v>
      </c>
      <c r="S20" s="77" t="n">
        <v>1</v>
      </c>
      <c r="T20" s="39" t="n"/>
    </row>
    <row r="21" ht="62" customHeight="1">
      <c r="A21" s="12">
        <f>_xlfn.IMAGE("https://m.media-amazon.com/images/I/81xpBriXf9L.jpg")</f>
        <v/>
      </c>
      <c r="B21" s="39" t="inlineStr">
        <is>
          <t>B0F63BJSHF</t>
        </is>
      </c>
      <c r="C21" s="39" t="inlineStr">
        <is>
          <t>LINEN-CURTAIN-52x84-LIGHT-GREY-2-PCS</t>
        </is>
      </c>
      <c r="D21" s="39" t="inlineStr">
        <is>
          <t>DECOLURE 100% Blackout Linen Curtains 84 Inches Long | Light Grey</t>
        </is>
      </c>
      <c r="E21" s="39" t="inlineStr">
        <is>
          <t>52x84</t>
        </is>
      </c>
      <c r="F21" s="39" t="inlineStr">
        <is>
          <t>Light Grey</t>
        </is>
      </c>
      <c r="G21" s="73" t="n">
        <v>29.99</v>
      </c>
      <c r="H21" s="39" t="inlineStr">
        <is>
          <t>catalog price, 2026-10-13</t>
        </is>
      </c>
      <c r="I21" s="74" t="n">
        <v>29.99</v>
      </c>
      <c r="J21" s="75" t="inlineStr">
        <is>
          <t>2026-03-30</t>
        </is>
      </c>
      <c r="K21" s="40" t="n">
        <v>0.4499999999999957</v>
      </c>
      <c r="L21" s="76" t="n">
        <v>0.01500500166722227</v>
      </c>
      <c r="M21" s="77" t="n">
        <v>2</v>
      </c>
      <c r="N21" s="39" t="inlineStr">
        <is>
          <t>Active</t>
        </is>
      </c>
      <c r="O21" s="39" t="n"/>
      <c r="P21" s="78" t="n">
        <v>4.7</v>
      </c>
      <c r="Q21" s="77" t="n">
        <v>586</v>
      </c>
      <c r="R21" s="77" t="n">
        <v>603113</v>
      </c>
      <c r="S21" s="77" t="n">
        <v>0.7084</v>
      </c>
      <c r="T21" s="39" t="n"/>
    </row>
    <row r="22" ht="62" customHeight="1">
      <c r="A22" s="12">
        <f>_xlfn.IMAGE("https://m.media-amazon.com/images/I/71kCl+QqtZL.jpg")</f>
        <v/>
      </c>
      <c r="B22" s="39" t="inlineStr">
        <is>
          <t>B0F63C8VTL</t>
        </is>
      </c>
      <c r="C22" s="39" t="inlineStr">
        <is>
          <t>LINEN-CURTAIN-52x120-IVORY-2-PCS</t>
        </is>
      </c>
      <c r="D22" s="39" t="inlineStr">
        <is>
          <t>DECOLURE 100% Blackout Linen Curtains 120 Inches Long | Ivory</t>
        </is>
      </c>
      <c r="E22" s="39" t="inlineStr">
        <is>
          <t>52x120</t>
        </is>
      </c>
      <c r="F22" s="39" t="inlineStr">
        <is>
          <t>Ivory</t>
        </is>
      </c>
      <c r="G22" s="73" t="n">
        <v>39.99</v>
      </c>
      <c r="H22" s="39" t="inlineStr">
        <is>
          <t>catalog price, 2026-10-13</t>
        </is>
      </c>
      <c r="I22" s="74" t="n">
        <v>34.99</v>
      </c>
      <c r="J22" s="75" t="inlineStr">
        <is>
          <t>2026-03-30</t>
        </is>
      </c>
      <c r="K22" s="40" t="n">
        <v>-0.4999999999999964</v>
      </c>
      <c r="L22" s="76" t="n">
        <v>-1.428979708488129</v>
      </c>
      <c r="M22" s="77" t="n">
        <v>1</v>
      </c>
      <c r="N22" s="39" t="inlineStr">
        <is>
          <t>Active</t>
        </is>
      </c>
      <c r="O22" s="39" t="n"/>
      <c r="P22" s="78" t="n">
        <v>4.7</v>
      </c>
      <c r="Q22" s="77" t="n">
        <v>586</v>
      </c>
      <c r="R22" s="77" t="n">
        <v>603121</v>
      </c>
      <c r="S22" s="77" t="n">
        <v>0.2185</v>
      </c>
      <c r="T22" s="39" t="n"/>
    </row>
    <row r="23" ht="62" customHeight="1">
      <c r="A23" s="12">
        <f>_xlfn.IMAGE("https://m.media-amazon.com/images/I/81GocCooj5L.jpg")</f>
        <v/>
      </c>
      <c r="B23" s="39" t="inlineStr">
        <is>
          <t>B0F637SXZQ</t>
        </is>
      </c>
      <c r="C23" s="39" t="inlineStr">
        <is>
          <t>LINEN-CURTAIN-52x72-LINEN-2-PCS</t>
        </is>
      </c>
      <c r="D23" s="39" t="inlineStr">
        <is>
          <t>DECOLURE 100% Blackout Linen Curtains 72 Inches Long | Linen</t>
        </is>
      </c>
      <c r="E23" s="39" t="inlineStr">
        <is>
          <t>52x72</t>
        </is>
      </c>
      <c r="F23" s="39" t="inlineStr">
        <is>
          <t>Linen</t>
        </is>
      </c>
      <c r="G23" s="73" t="n">
        <v>28.99</v>
      </c>
      <c r="H23" s="39" t="inlineStr">
        <is>
          <t>catalog price, 2026-10-13</t>
        </is>
      </c>
      <c r="I23" s="74" t="n">
        <v>28.99</v>
      </c>
      <c r="J23" s="75" t="inlineStr">
        <is>
          <t>2026-03-30</t>
        </is>
      </c>
      <c r="K23" s="40" t="n">
        <v>0.6699999999999982</v>
      </c>
      <c r="L23" s="76" t="n">
        <v>0.02311141773025175</v>
      </c>
      <c r="M23" s="77" t="n">
        <v>1</v>
      </c>
      <c r="N23" s="39" t="inlineStr">
        <is>
          <t>Active</t>
        </is>
      </c>
      <c r="O23" s="39" t="n"/>
      <c r="P23" s="78" t="n">
        <v>4.7</v>
      </c>
      <c r="Q23" s="77" t="n">
        <v>586</v>
      </c>
      <c r="R23" s="77" t="n">
        <v>603113</v>
      </c>
      <c r="S23" s="77" t="n">
        <v>1</v>
      </c>
      <c r="T23" s="39" t="n"/>
    </row>
    <row r="24" ht="62" customHeight="1">
      <c r="A24" s="12">
        <f>_xlfn.IMAGE("https://m.media-amazon.com/images/I/61Spoyk1L6L.jpg")</f>
        <v/>
      </c>
      <c r="B24" s="39" t="inlineStr">
        <is>
          <t>B0F6366Z7N</t>
        </is>
      </c>
      <c r="C24" s="39" t="inlineStr">
        <is>
          <t>LINEN-CURTAIN-52x96-NATURAL-2-PCS</t>
        </is>
      </c>
      <c r="D24" s="39" t="inlineStr">
        <is>
          <t>DECOLURE 100% Blackout Linen Curtains 96 Inches Long | Natural</t>
        </is>
      </c>
      <c r="E24" s="39" t="inlineStr">
        <is>
          <t>52x96</t>
        </is>
      </c>
      <c r="F24" s="39" t="inlineStr">
        <is>
          <t>Natural</t>
        </is>
      </c>
      <c r="G24" s="73" t="n">
        <v>32.99</v>
      </c>
      <c r="H24" s="39" t="inlineStr">
        <is>
          <t>catalog price, 2026-10-13</t>
        </is>
      </c>
      <c r="I24" s="74" t="n">
        <v>28.99</v>
      </c>
      <c r="J24" s="75" t="inlineStr">
        <is>
          <t>2026-03-30</t>
        </is>
      </c>
      <c r="K24" s="40" t="n">
        <v>-2.719999999999999</v>
      </c>
      <c r="L24" s="76" t="n">
        <v>-0.09382545705415657</v>
      </c>
      <c r="M24" s="77" t="n">
        <v>1</v>
      </c>
      <c r="N24" s="39" t="inlineStr">
        <is>
          <t>Active</t>
        </is>
      </c>
      <c r="O24" s="39" t="n"/>
      <c r="P24" s="78" t="n">
        <v>4.7</v>
      </c>
      <c r="Q24" s="77" t="n">
        <v>586</v>
      </c>
      <c r="R24" s="77" t="n">
        <v>603113</v>
      </c>
      <c r="S24" s="77" t="n">
        <v>0.6148</v>
      </c>
      <c r="T24" s="39" t="n"/>
    </row>
    <row r="25" ht="62" customHeight="1">
      <c r="A25" s="12">
        <f>_xlfn.IMAGE("https://m.media-amazon.com/images/I/81AD+3sv01L.jpg")</f>
        <v/>
      </c>
      <c r="B25" s="39" t="inlineStr">
        <is>
          <t>B0F6371Q67</t>
        </is>
      </c>
      <c r="C25" s="39" t="inlineStr">
        <is>
          <t>LINEN-CURTAIN-52x108-BEIGE-2-PCS</t>
        </is>
      </c>
      <c r="D25" s="39" t="inlineStr">
        <is>
          <t>DECOLURE 100% Blackout Linen Curtains 108 Inches Long | Beige</t>
        </is>
      </c>
      <c r="E25" s="39" t="inlineStr">
        <is>
          <t>52x108</t>
        </is>
      </c>
      <c r="F25" s="39" t="inlineStr">
        <is>
          <t>Beige</t>
        </is>
      </c>
      <c r="G25" s="73" t="n">
        <v>34.99</v>
      </c>
      <c r="H25" s="39" t="inlineStr">
        <is>
          <t>catalog price, 2026-10-13</t>
        </is>
      </c>
      <c r="I25" s="74" t="n">
        <v>32.99</v>
      </c>
      <c r="J25" s="75" t="inlineStr">
        <is>
          <t>2026-03-30</t>
        </is>
      </c>
      <c r="K25" s="40" t="n">
        <v>0.3000000000000007</v>
      </c>
      <c r="L25" s="76" t="n">
        <v>0.9093664746893019</v>
      </c>
      <c r="M25" s="77" t="n">
        <v>0</v>
      </c>
      <c r="N25" s="39" t="inlineStr">
        <is>
          <t>Active</t>
        </is>
      </c>
      <c r="O25" s="39" t="n"/>
      <c r="P25" s="78" t="n">
        <v>4.7</v>
      </c>
      <c r="Q25" s="77" t="n">
        <v>586</v>
      </c>
      <c r="R25" s="77" t="n">
        <v>603113</v>
      </c>
      <c r="S25" s="77" t="n">
        <v>0.343</v>
      </c>
      <c r="T25" s="39" t="n"/>
    </row>
    <row r="26" ht="62" customHeight="1">
      <c r="A26" s="12">
        <f>_xlfn.IMAGE("https://m.media-amazon.com/images/I/81Zggw5XLjL.jpg")</f>
        <v/>
      </c>
      <c r="B26" s="39" t="inlineStr">
        <is>
          <t>B0F637MQF8</t>
        </is>
      </c>
      <c r="C26" s="39" t="inlineStr">
        <is>
          <t>LINEN-CURTAIN-52x108-LIGHT-BEIGE-2-PCS</t>
        </is>
      </c>
      <c r="D26" s="39" t="inlineStr">
        <is>
          <t>DECOLURE 100% Blackout Linen Curtains 108 Inches Long | Light Beige</t>
        </is>
      </c>
      <c r="E26" s="39" t="inlineStr">
        <is>
          <t>52x108</t>
        </is>
      </c>
      <c r="F26" s="39" t="inlineStr">
        <is>
          <t>Light Beige</t>
        </is>
      </c>
      <c r="G26" s="73" t="n">
        <v>34.99</v>
      </c>
      <c r="H26" s="39" t="inlineStr">
        <is>
          <t>catalog price, 2026-10-13</t>
        </is>
      </c>
      <c r="I26" s="74" t="n">
        <v>32.99</v>
      </c>
      <c r="J26" s="75" t="inlineStr">
        <is>
          <t>2026-03-30</t>
        </is>
      </c>
      <c r="K26" s="40" t="n"/>
      <c r="L26" s="76" t="n"/>
      <c r="M26" s="77" t="n">
        <v>0</v>
      </c>
      <c r="N26" s="39" t="inlineStr">
        <is>
          <t>Active</t>
        </is>
      </c>
      <c r="O26" s="39" t="n"/>
      <c r="P26" s="78" t="n">
        <v>4.7</v>
      </c>
      <c r="Q26" s="77" t="n">
        <v>586</v>
      </c>
      <c r="R26" s="77" t="n">
        <v>603113</v>
      </c>
      <c r="S26" s="77" t="n">
        <v>0.3608</v>
      </c>
      <c r="T26" s="39" t="n"/>
    </row>
    <row r="27" ht="62" customHeight="1">
      <c r="A27" s="12">
        <f>_xlfn.IMAGE("https://m.media-amazon.com/images/I/81uEFd-Gn9L.jpg")</f>
        <v/>
      </c>
      <c r="B27" s="39" t="inlineStr">
        <is>
          <t>B0F63BLDMG</t>
        </is>
      </c>
      <c r="C27" s="39" t="inlineStr">
        <is>
          <t>LINEN-CURTAIN-52x108-LIGHT-GREY-2-PCS</t>
        </is>
      </c>
      <c r="D27" s="39" t="inlineStr">
        <is>
          <t>DECOLURE 100% Blackout Linen Curtains 108 Inches Long | Light Grey</t>
        </is>
      </c>
      <c r="E27" s="39" t="inlineStr">
        <is>
          <t>52x108</t>
        </is>
      </c>
      <c r="F27" s="39" t="inlineStr">
        <is>
          <t>Light Grey</t>
        </is>
      </c>
      <c r="G27" s="73" t="n">
        <v>34.99</v>
      </c>
      <c r="H27" s="39" t="inlineStr">
        <is>
          <t>catalog price, 2026-10-13</t>
        </is>
      </c>
      <c r="I27" s="74" t="n">
        <v>32.99</v>
      </c>
      <c r="J27" s="75" t="inlineStr">
        <is>
          <t>2026-03-30</t>
        </is>
      </c>
      <c r="K27" s="40" t="n">
        <v>0.3200000000000003</v>
      </c>
      <c r="L27" s="76" t="n">
        <v>0.969990906335254</v>
      </c>
      <c r="M27" s="77" t="n">
        <v>0</v>
      </c>
      <c r="N27" s="39" t="inlineStr">
        <is>
          <t>Active</t>
        </is>
      </c>
      <c r="O27" s="39" t="n"/>
      <c r="P27" s="78" t="n">
        <v>4.7</v>
      </c>
      <c r="Q27" s="77" t="n">
        <v>586</v>
      </c>
      <c r="R27" s="77" t="n">
        <v>603113</v>
      </c>
      <c r="S27" s="77" t="n">
        <v>0.2564</v>
      </c>
      <c r="T27" s="39" t="n"/>
    </row>
    <row r="28" ht="62" customHeight="1">
      <c r="A28" s="12">
        <f>_xlfn.IMAGE("https://m.media-amazon.com/images/I/81koAQVzAwL.jpg")</f>
        <v/>
      </c>
      <c r="B28" s="39" t="inlineStr">
        <is>
          <t>B0F63B4FNY</t>
        </is>
      </c>
      <c r="C28" s="39" t="inlineStr">
        <is>
          <t>LINEN-CURTAIN-52x108-LINEN-2-PCS</t>
        </is>
      </c>
      <c r="D28" s="39" t="inlineStr">
        <is>
          <t>DECOLURE 100% Blackout Linen Curtains 108 Inches Long | Linen</t>
        </is>
      </c>
      <c r="E28" s="39" t="inlineStr">
        <is>
          <t>52x108</t>
        </is>
      </c>
      <c r="F28" s="39" t="inlineStr">
        <is>
          <t>Linen</t>
        </is>
      </c>
      <c r="G28" s="73" t="n">
        <v>34.99</v>
      </c>
      <c r="H28" s="39" t="inlineStr">
        <is>
          <t>catalog price, 2026-10-13</t>
        </is>
      </c>
      <c r="I28" s="74" t="n">
        <v>29.99</v>
      </c>
      <c r="J28" s="75" t="inlineStr">
        <is>
          <t>2026-03-30</t>
        </is>
      </c>
      <c r="K28" s="40" t="n"/>
      <c r="L28" s="76" t="n"/>
      <c r="M28" s="77" t="n">
        <v>0</v>
      </c>
      <c r="N28" s="39" t="inlineStr">
        <is>
          <t>Active</t>
        </is>
      </c>
      <c r="O28" s="39" t="n"/>
      <c r="P28" s="78" t="n">
        <v>4.7</v>
      </c>
      <c r="Q28" s="77" t="n">
        <v>586</v>
      </c>
      <c r="R28" s="77" t="n">
        <v>603113</v>
      </c>
      <c r="S28" s="77" t="n">
        <v>0.2713</v>
      </c>
      <c r="T28" s="39" t="n"/>
    </row>
    <row r="29" ht="62" customHeight="1">
      <c r="A29" s="12">
        <f>_xlfn.IMAGE("https://m.media-amazon.com/images/I/713WWL+uUyL.jpg")</f>
        <v/>
      </c>
      <c r="B29" s="39" t="inlineStr">
        <is>
          <t>B0F637FB24</t>
        </is>
      </c>
      <c r="C29" s="39" t="inlineStr">
        <is>
          <t>LINEN-CURTAIN-52x108-NATURAL-2-PCS</t>
        </is>
      </c>
      <c r="D29" s="39" t="inlineStr">
        <is>
          <t>DECOLURE 100% Blackout Linen Curtains 108 Inches Long | Natural</t>
        </is>
      </c>
      <c r="E29" s="39" t="inlineStr">
        <is>
          <t>52x108</t>
        </is>
      </c>
      <c r="F29" s="39" t="inlineStr">
        <is>
          <t>Natural</t>
        </is>
      </c>
      <c r="G29" s="40" t="n"/>
      <c r="H29" s="39" t="n"/>
      <c r="I29" s="74" t="n">
        <v>29.95</v>
      </c>
      <c r="J29" s="75" t="inlineStr">
        <is>
          <t>2026-03-30</t>
        </is>
      </c>
      <c r="K29" s="40" t="n">
        <v>-2.260000000000002</v>
      </c>
      <c r="L29" s="76" t="n">
        <v>-0.07545909849749588</v>
      </c>
      <c r="M29" s="77" t="n"/>
      <c r="N29" s="39" t="inlineStr">
        <is>
          <t>Inactive</t>
        </is>
      </c>
      <c r="O29" s="39" t="n"/>
      <c r="P29" s="78" t="n"/>
      <c r="Q29" s="77" t="n"/>
      <c r="R29" s="77" t="n"/>
      <c r="S29" s="77" t="n"/>
      <c r="T29" s="39" t="n"/>
    </row>
    <row r="30" ht="62" customHeight="1">
      <c r="A30" s="12">
        <f>_xlfn.IMAGE("https://m.media-amazon.com/images/I/81weuxBTddL.jpg")</f>
        <v/>
      </c>
      <c r="B30" s="39" t="inlineStr">
        <is>
          <t>B0F634C911</t>
        </is>
      </c>
      <c r="C30" s="39" t="inlineStr">
        <is>
          <t>LINEN-CURTAIN-52x120-BEIGE-2-PCS</t>
        </is>
      </c>
      <c r="D30" s="39" t="inlineStr">
        <is>
          <t>DECOLURE 100% Blackout Linen Curtains 120 Inches Long | Beige</t>
        </is>
      </c>
      <c r="E30" s="39" t="inlineStr">
        <is>
          <t>52x120</t>
        </is>
      </c>
      <c r="F30" s="39" t="inlineStr">
        <is>
          <t>Beige</t>
        </is>
      </c>
      <c r="G30" s="73" t="n">
        <v>39.99</v>
      </c>
      <c r="H30" s="39" t="inlineStr">
        <is>
          <t>catalog price, 2026-10-13</t>
        </is>
      </c>
      <c r="I30" s="74" t="n">
        <v>34.99</v>
      </c>
      <c r="J30" s="75" t="inlineStr">
        <is>
          <t>2026-03-30</t>
        </is>
      </c>
      <c r="K30" s="40" t="n">
        <v>-0.01999999999999957</v>
      </c>
      <c r="L30" s="76" t="n">
        <v>-0.05715918833952435</v>
      </c>
      <c r="M30" s="77" t="n">
        <v>0</v>
      </c>
      <c r="N30" s="39" t="inlineStr">
        <is>
          <t>Active</t>
        </is>
      </c>
      <c r="O30" s="39" t="n"/>
      <c r="P30" s="78" t="n">
        <v>4.7</v>
      </c>
      <c r="Q30" s="77" t="n">
        <v>586</v>
      </c>
      <c r="R30" s="77" t="n">
        <v>603113</v>
      </c>
      <c r="S30" s="77" t="n">
        <v>0.1994</v>
      </c>
      <c r="T30" s="39" t="n"/>
    </row>
    <row r="31" ht="62" customHeight="1">
      <c r="A31" s="12">
        <f>_xlfn.IMAGE("https://m.media-amazon.com/images/I/81M3pVZ5i3L.jpg")</f>
        <v/>
      </c>
      <c r="B31" s="39" t="inlineStr">
        <is>
          <t>B0F6367NPF</t>
        </is>
      </c>
      <c r="C31" s="39" t="inlineStr">
        <is>
          <t>LINEN-CURTAIN-52x120-LIGHT-BEIGE-2-PCS</t>
        </is>
      </c>
      <c r="D31" s="39" t="inlineStr">
        <is>
          <t>DECOLURE 100% Blackout Linen Curtains 120 Inches Long | Light Beige</t>
        </is>
      </c>
      <c r="E31" s="39" t="inlineStr">
        <is>
          <t>52x120</t>
        </is>
      </c>
      <c r="F31" s="39" t="inlineStr">
        <is>
          <t>Light Beige</t>
        </is>
      </c>
      <c r="G31" s="73" t="n">
        <v>39.99</v>
      </c>
      <c r="H31" s="39" t="inlineStr">
        <is>
          <t>catalog price, 2026-10-13</t>
        </is>
      </c>
      <c r="I31" s="74" t="n">
        <v>31.95</v>
      </c>
      <c r="J31" s="75" t="inlineStr">
        <is>
          <t>2026-03-30</t>
        </is>
      </c>
      <c r="K31" s="40" t="n">
        <v>-2.600000000000001</v>
      </c>
      <c r="L31" s="76" t="n">
        <v>-0.08137715179968706</v>
      </c>
      <c r="M31" s="77" t="n">
        <v>0</v>
      </c>
      <c r="N31" s="39" t="inlineStr">
        <is>
          <t>Active</t>
        </is>
      </c>
      <c r="O31" s="39" t="n"/>
      <c r="P31" s="78" t="n">
        <v>4.7</v>
      </c>
      <c r="Q31" s="77" t="n">
        <v>586</v>
      </c>
      <c r="R31" s="77" t="n">
        <v>603121</v>
      </c>
      <c r="S31" s="77" t="n">
        <v>0.2022</v>
      </c>
      <c r="T31" s="39" t="n"/>
    </row>
    <row r="32" ht="62" customHeight="1">
      <c r="A32" s="12">
        <f>_xlfn.IMAGE("https://m.media-amazon.com/images/I/813DxbFDIYL.jpg")</f>
        <v/>
      </c>
      <c r="B32" s="39" t="inlineStr">
        <is>
          <t>B0F639STF9</t>
        </is>
      </c>
      <c r="C32" s="39" t="inlineStr">
        <is>
          <t>LINEN-CURTAIN-52x120-LIGHT-GREY-2-PCS</t>
        </is>
      </c>
      <c r="D32" s="39" t="inlineStr">
        <is>
          <t>DECOLURE 100% Blackout Linen Curtains 120 Inches Long | Light Grey</t>
        </is>
      </c>
      <c r="E32" s="39" t="inlineStr">
        <is>
          <t>52x120</t>
        </is>
      </c>
      <c r="F32" s="39" t="inlineStr">
        <is>
          <t>Light Grey</t>
        </is>
      </c>
      <c r="G32" s="73" t="n">
        <v>39.99</v>
      </c>
      <c r="H32" s="39" t="inlineStr">
        <is>
          <t>catalog price, 2026-10-13</t>
        </is>
      </c>
      <c r="I32" s="74" t="n">
        <v>34.99</v>
      </c>
      <c r="J32" s="75" t="inlineStr">
        <is>
          <t>2026-03-30</t>
        </is>
      </c>
      <c r="K32" s="40" t="n">
        <v>-0.01999999999999957</v>
      </c>
      <c r="L32" s="76" t="n">
        <v>-0.05715918833952435</v>
      </c>
      <c r="M32" s="77" t="n">
        <v>0</v>
      </c>
      <c r="N32" s="39" t="inlineStr">
        <is>
          <t>Active</t>
        </is>
      </c>
      <c r="O32" s="39" t="n"/>
      <c r="P32" s="78" t="n">
        <v>4.7</v>
      </c>
      <c r="Q32" s="77" t="n">
        <v>586</v>
      </c>
      <c r="R32" s="77" t="n">
        <v>603113</v>
      </c>
      <c r="S32" s="77" t="n">
        <v>0.2197</v>
      </c>
      <c r="T32" s="39" t="n"/>
    </row>
    <row r="33" ht="62" customHeight="1">
      <c r="A33" s="12">
        <f>_xlfn.IMAGE("https://m.media-amazon.com/images/I/81eZ-XXwPZL.jpg")</f>
        <v/>
      </c>
      <c r="B33" s="39" t="inlineStr">
        <is>
          <t>B0F639N2R5</t>
        </is>
      </c>
      <c r="C33" s="39" t="inlineStr">
        <is>
          <t>LINEN-CURTAIN-52x120-LINEN-2-PCS</t>
        </is>
      </c>
      <c r="D33" s="39" t="inlineStr">
        <is>
          <t>DECOLURE 100% Blackout Linen Curtains 120 Inches Long | Linen</t>
        </is>
      </c>
      <c r="E33" s="39" t="inlineStr">
        <is>
          <t>52x120</t>
        </is>
      </c>
      <c r="F33" s="39" t="inlineStr">
        <is>
          <t>Linen</t>
        </is>
      </c>
      <c r="G33" s="73" t="n">
        <v>39.99</v>
      </c>
      <c r="H33" s="39" t="inlineStr">
        <is>
          <t>catalog price, 2026-10-13</t>
        </is>
      </c>
      <c r="I33" s="74" t="n">
        <v>34.99</v>
      </c>
      <c r="J33" s="75" t="inlineStr">
        <is>
          <t>2026-03-30</t>
        </is>
      </c>
      <c r="K33" s="40" t="n">
        <v>-0.2399999999999984</v>
      </c>
      <c r="L33" s="76" t="n">
        <v>-0.6859102600743024</v>
      </c>
      <c r="M33" s="77" t="n">
        <v>0</v>
      </c>
      <c r="N33" s="39" t="inlineStr">
        <is>
          <t>Active</t>
        </is>
      </c>
      <c r="O33" s="39" t="n"/>
      <c r="P33" s="78" t="n">
        <v>4.7</v>
      </c>
      <c r="Q33" s="77" t="n">
        <v>586</v>
      </c>
      <c r="R33" s="77" t="n">
        <v>603113</v>
      </c>
      <c r="S33" s="77" t="n">
        <v>0.2033</v>
      </c>
      <c r="T33" s="39" t="n"/>
    </row>
    <row r="34" ht="62" customHeight="1">
      <c r="A34" s="12">
        <f>_xlfn.IMAGE("https://m.media-amazon.com/images/I/71ixaToofpL.jpg")</f>
        <v/>
      </c>
      <c r="B34" s="39" t="inlineStr">
        <is>
          <t>B0F63C3Z95</t>
        </is>
      </c>
      <c r="C34" s="39" t="inlineStr">
        <is>
          <t>LINEN-CURTAIN-52x120-NATURAL-2-PCS</t>
        </is>
      </c>
      <c r="D34" s="39" t="inlineStr">
        <is>
          <t>DECOLURE 100% Blackout Linen Curtains 120 Inches Long | Natural</t>
        </is>
      </c>
      <c r="E34" s="39" t="inlineStr">
        <is>
          <t>52x120</t>
        </is>
      </c>
      <c r="F34" s="39" t="inlineStr">
        <is>
          <t>Natural</t>
        </is>
      </c>
      <c r="G34" s="73" t="n">
        <v>39.99</v>
      </c>
      <c r="H34" s="39" t="inlineStr">
        <is>
          <t>catalog price, 2026-10-13</t>
        </is>
      </c>
      <c r="I34" s="74" t="n">
        <v>34.99</v>
      </c>
      <c r="J34" s="75" t="inlineStr">
        <is>
          <t>2026-03-30</t>
        </is>
      </c>
      <c r="K34" s="40" t="n">
        <v>-0.01999999999999957</v>
      </c>
      <c r="L34" s="76" t="n">
        <v>-0.05715918833952435</v>
      </c>
      <c r="M34" s="77" t="n">
        <v>0</v>
      </c>
      <c r="N34" s="39" t="inlineStr">
        <is>
          <t>Active</t>
        </is>
      </c>
      <c r="O34" s="39" t="n"/>
      <c r="P34" s="78" t="n">
        <v>4.7</v>
      </c>
      <c r="Q34" s="77" t="n">
        <v>586</v>
      </c>
      <c r="R34" s="77" t="n">
        <v>603113</v>
      </c>
      <c r="S34" s="77" t="n">
        <v>0.2008</v>
      </c>
      <c r="T34" s="39" t="n"/>
    </row>
    <row r="35" ht="62" customHeight="1">
      <c r="A35" s="12">
        <f>_xlfn.IMAGE("https://m.media-amazon.com/images/I/81rR8AXrgFL.jpg")</f>
        <v/>
      </c>
      <c r="B35" s="39" t="inlineStr">
        <is>
          <t>B0F6399V8H</t>
        </is>
      </c>
      <c r="C35" s="39" t="inlineStr">
        <is>
          <t>LINEN-CURTAIN-52x63-BEIGE-2-PCS</t>
        </is>
      </c>
      <c r="D35" s="39" t="inlineStr">
        <is>
          <t>DECOLURE 100% Blackout Linen Curtains 63 Inches Long | Beige | Blackout Curtains for Living Room &amp; Bedroom | Thermal Insulated | Linen Textured | 2 Panels Set | 63 L x 52 W</t>
        </is>
      </c>
      <c r="E35" s="39" t="inlineStr">
        <is>
          <t>52x63</t>
        </is>
      </c>
      <c r="F35" s="39" t="inlineStr">
        <is>
          <t>Beige</t>
        </is>
      </c>
      <c r="G35" s="40" t="n"/>
      <c r="H35" s="39" t="n"/>
      <c r="I35" s="74" t="n">
        <v>27.99</v>
      </c>
      <c r="J35" s="75" t="inlineStr">
        <is>
          <t>2026-03-30</t>
        </is>
      </c>
      <c r="K35" s="40" t="n">
        <v>1.059999999999999</v>
      </c>
      <c r="L35" s="76" t="n">
        <v>0.03787066809574844</v>
      </c>
      <c r="M35" s="77" t="n"/>
      <c r="N35" s="39" t="inlineStr">
        <is>
          <t>Inactive</t>
        </is>
      </c>
      <c r="O35" s="39" t="n"/>
      <c r="P35" s="78" t="n"/>
      <c r="Q35" s="77" t="n"/>
      <c r="R35" s="77" t="n"/>
      <c r="S35" s="77" t="n"/>
      <c r="T35" s="39" t="n"/>
    </row>
    <row r="36" ht="62" customHeight="1">
      <c r="A36" s="12">
        <f>_xlfn.IMAGE("https://m.media-amazon.com/images/I/61tDU1Hkr+L.jpg")</f>
        <v/>
      </c>
      <c r="B36" s="39" t="inlineStr">
        <is>
          <t>B0F63B8T3G</t>
        </is>
      </c>
      <c r="C36" s="39" t="inlineStr">
        <is>
          <t>LINEN-CURTAIN-52x63-IVORY-2-PCS</t>
        </is>
      </c>
      <c r="D36" s="39" t="inlineStr">
        <is>
          <t>DECOLURE 100% Blackout Linen Curtains 63 Inches Long | Ivory</t>
        </is>
      </c>
      <c r="E36" s="39" t="inlineStr">
        <is>
          <t>52x63</t>
        </is>
      </c>
      <c r="F36" s="39" t="inlineStr">
        <is>
          <t>Ivory</t>
        </is>
      </c>
      <c r="G36" s="40" t="n"/>
      <c r="H36" s="39" t="n"/>
      <c r="I36" s="74" t="n">
        <v>27.99</v>
      </c>
      <c r="J36" s="75" t="inlineStr">
        <is>
          <t>2026-03-30</t>
        </is>
      </c>
      <c r="K36" s="40" t="n">
        <v>-0.610000000000003</v>
      </c>
      <c r="L36" s="76" t="n">
        <v>-0.02179349767774216</v>
      </c>
      <c r="M36" s="77" t="n"/>
      <c r="N36" s="39" t="inlineStr">
        <is>
          <t>Inactive</t>
        </is>
      </c>
      <c r="O36" s="39" t="n"/>
      <c r="P36" s="78" t="n"/>
      <c r="Q36" s="77" t="n"/>
      <c r="R36" s="77" t="n"/>
      <c r="S36" s="77" t="n"/>
      <c r="T36" s="39" t="n"/>
    </row>
    <row r="37" ht="62" customHeight="1">
      <c r="A37" s="12">
        <f>_xlfn.IMAGE("https://m.media-amazon.com/images/I/81GZ7-Ld49L.jpg")</f>
        <v/>
      </c>
      <c r="B37" s="39" t="inlineStr">
        <is>
          <t>B0F63DDNWT</t>
        </is>
      </c>
      <c r="C37" s="39" t="inlineStr">
        <is>
          <t>LINEN-CURTAIN-52x63-LIGHT-BEIGE-2-PCS</t>
        </is>
      </c>
      <c r="D37" s="39" t="inlineStr">
        <is>
          <t>DECOLURE 100% Blackout Linen Curtains 63 Inches Long | Light Beige</t>
        </is>
      </c>
      <c r="E37" s="39" t="inlineStr">
        <is>
          <t>52x63</t>
        </is>
      </c>
      <c r="F37" s="39" t="inlineStr">
        <is>
          <t>Light Beige</t>
        </is>
      </c>
      <c r="G37" s="73" t="n">
        <v>27.99</v>
      </c>
      <c r="H37" s="39" t="inlineStr">
        <is>
          <t>catalog price, 2026-10-13</t>
        </is>
      </c>
      <c r="I37" s="74" t="n">
        <v>27.99</v>
      </c>
      <c r="J37" s="75" t="inlineStr">
        <is>
          <t>2026-03-30</t>
        </is>
      </c>
      <c r="K37" s="40" t="n">
        <v>0.9699999999999989</v>
      </c>
      <c r="L37" s="76" t="n">
        <v>0.03465523401214716</v>
      </c>
      <c r="M37" s="77" t="n">
        <v>0</v>
      </c>
      <c r="N37" s="39" t="inlineStr">
        <is>
          <t>Active</t>
        </is>
      </c>
      <c r="O37" s="39" t="n"/>
      <c r="P37" s="78" t="n">
        <v>4.7</v>
      </c>
      <c r="Q37" s="77" t="n">
        <v>586</v>
      </c>
      <c r="R37" s="77" t="n">
        <v>603121</v>
      </c>
      <c r="S37" s="77" t="n">
        <v>1</v>
      </c>
      <c r="T37" s="39" t="n"/>
    </row>
    <row r="38" ht="62" customHeight="1">
      <c r="A38" s="12">
        <f>_xlfn.IMAGE("https://m.media-amazon.com/images/I/819QUuxWcCL.jpg")</f>
        <v/>
      </c>
      <c r="B38" s="39" t="inlineStr">
        <is>
          <t>B0F639KHTY</t>
        </is>
      </c>
      <c r="C38" s="39" t="inlineStr">
        <is>
          <t>LINEN-CURTAIN-52x63-LIGHT-GREY-2-PCS</t>
        </is>
      </c>
      <c r="D38" s="39" t="inlineStr">
        <is>
          <t>DECOLURE 100% Blackout Linen Curtains 63 Inches Long | Light Grey</t>
        </is>
      </c>
      <c r="E38" s="39" t="inlineStr">
        <is>
          <t>52x63</t>
        </is>
      </c>
      <c r="F38" s="39" t="inlineStr">
        <is>
          <t>Light Grey</t>
        </is>
      </c>
      <c r="G38" s="73" t="n">
        <v>27.99</v>
      </c>
      <c r="H38" s="39" t="inlineStr">
        <is>
          <t>catalog price, 2026-10-13</t>
        </is>
      </c>
      <c r="I38" s="74" t="n">
        <v>27.99</v>
      </c>
      <c r="J38" s="75" t="inlineStr">
        <is>
          <t>2026-03-30</t>
        </is>
      </c>
      <c r="K38" s="40" t="n">
        <v>0.9699999999999989</v>
      </c>
      <c r="L38" s="76" t="n">
        <v>0.03465523401214716</v>
      </c>
      <c r="M38" s="77" t="n">
        <v>0</v>
      </c>
      <c r="N38" s="39" t="inlineStr">
        <is>
          <t>Active</t>
        </is>
      </c>
      <c r="O38" s="39" t="n"/>
      <c r="P38" s="78" t="n">
        <v>4.7</v>
      </c>
      <c r="Q38" s="77" t="n">
        <v>586</v>
      </c>
      <c r="R38" s="77" t="n">
        <v>603113</v>
      </c>
      <c r="S38" s="77" t="n">
        <v>1</v>
      </c>
      <c r="T38" s="39" t="n"/>
    </row>
    <row r="39" ht="62" customHeight="1">
      <c r="A39" s="12">
        <f>_xlfn.IMAGE("https://m.media-amazon.com/images/I/81V8MKS9VEL.jpg")</f>
        <v/>
      </c>
      <c r="B39" s="39" t="inlineStr">
        <is>
          <t>B0F6381MZ1</t>
        </is>
      </c>
      <c r="C39" s="39" t="inlineStr">
        <is>
          <t>LINEN-CURTAIN-52x63-LINEN-2-PCS</t>
        </is>
      </c>
      <c r="D39" s="39" t="inlineStr">
        <is>
          <t>DECOLURE 100% Blackout Linen Curtains 63 Inches Long | Linen</t>
        </is>
      </c>
      <c r="E39" s="39" t="inlineStr">
        <is>
          <t>52x63</t>
        </is>
      </c>
      <c r="F39" s="39" t="inlineStr">
        <is>
          <t>Linen</t>
        </is>
      </c>
      <c r="G39" s="73" t="n">
        <v>27.99</v>
      </c>
      <c r="H39" s="39" t="inlineStr">
        <is>
          <t>catalog price, 2026-10-13</t>
        </is>
      </c>
      <c r="I39" s="74" t="n">
        <v>27.99</v>
      </c>
      <c r="J39" s="75" t="inlineStr">
        <is>
          <t>2026-03-30</t>
        </is>
      </c>
      <c r="K39" s="40" t="n">
        <v>0.9699999999999989</v>
      </c>
      <c r="L39" s="76" t="n">
        <v>0.03465523401214716</v>
      </c>
      <c r="M39" s="77" t="n">
        <v>0</v>
      </c>
      <c r="N39" s="39" t="inlineStr">
        <is>
          <t>Active</t>
        </is>
      </c>
      <c r="O39" s="39" t="n"/>
      <c r="P39" s="78" t="n">
        <v>4.7</v>
      </c>
      <c r="Q39" s="77" t="n">
        <v>586</v>
      </c>
      <c r="R39" s="77" t="n">
        <v>603113</v>
      </c>
      <c r="S39" s="77" t="n">
        <v>1</v>
      </c>
      <c r="T39" s="39" t="n"/>
    </row>
    <row r="40" ht="62" customHeight="1">
      <c r="A40" s="12">
        <f>_xlfn.IMAGE("https://m.media-amazon.com/images/I/713WWL+uUyL.jpg")</f>
        <v/>
      </c>
      <c r="B40" s="39" t="inlineStr">
        <is>
          <t>B0F634R6RF</t>
        </is>
      </c>
      <c r="C40" s="39" t="inlineStr">
        <is>
          <t>LINEN-CURTAIN-52x63-NATURAL-2-PCS</t>
        </is>
      </c>
      <c r="D40" s="39" t="inlineStr">
        <is>
          <t>DECOLURE 100% Blackout Linen Curtains 63 Inches Long | Natural</t>
        </is>
      </c>
      <c r="E40" s="39" t="inlineStr">
        <is>
          <t>52x63</t>
        </is>
      </c>
      <c r="F40" s="39" t="inlineStr">
        <is>
          <t>Natural</t>
        </is>
      </c>
      <c r="G40" s="40" t="n"/>
      <c r="H40" s="39" t="n"/>
      <c r="I40" s="74" t="n">
        <v>27.99</v>
      </c>
      <c r="J40" s="75" t="inlineStr">
        <is>
          <t>2026-03-30</t>
        </is>
      </c>
      <c r="K40" s="40" t="n">
        <v>1.059999999999999</v>
      </c>
      <c r="L40" s="76" t="n">
        <v>0.03787066809574844</v>
      </c>
      <c r="M40" s="77" t="n"/>
      <c r="N40" s="39" t="inlineStr">
        <is>
          <t>Inactive</t>
        </is>
      </c>
      <c r="O40" s="39" t="n"/>
      <c r="P40" s="78" t="n"/>
      <c r="Q40" s="77" t="n"/>
      <c r="R40" s="77" t="n"/>
      <c r="S40" s="77" t="n"/>
      <c r="T40" s="39" t="n"/>
    </row>
    <row r="41" ht="62" customHeight="1">
      <c r="A41" s="12">
        <f>_xlfn.IMAGE("https://m.media-amazon.com/images/I/61tDU1Hkr+L.jpg")</f>
        <v/>
      </c>
      <c r="B41" s="39" t="inlineStr">
        <is>
          <t>B0F63C8CD8</t>
        </is>
      </c>
      <c r="C41" s="39" t="inlineStr">
        <is>
          <t>LINEN-CURTAIN-52x72-IVORY-2-PCS</t>
        </is>
      </c>
      <c r="D41" s="39" t="inlineStr">
        <is>
          <t>DECOLURE 100% Blackout Linen Curtains 72 Inches Long | Ivory</t>
        </is>
      </c>
      <c r="E41" s="39" t="inlineStr">
        <is>
          <t>52x72</t>
        </is>
      </c>
      <c r="F41" s="39" t="inlineStr">
        <is>
          <t>Ivory</t>
        </is>
      </c>
      <c r="G41" s="73" t="n">
        <v>28.99</v>
      </c>
      <c r="H41" s="39" t="inlineStr">
        <is>
          <t>catalog price, 2026-10-13</t>
        </is>
      </c>
      <c r="I41" s="74" t="n">
        <v>28.99</v>
      </c>
      <c r="J41" s="75" t="inlineStr">
        <is>
          <t>2026-03-30</t>
        </is>
      </c>
      <c r="K41" s="40" t="n">
        <v>0.6699999999999982</v>
      </c>
      <c r="L41" s="76" t="n">
        <v>0.02311141773025175</v>
      </c>
      <c r="M41" s="77" t="n">
        <v>0</v>
      </c>
      <c r="N41" s="39" t="inlineStr">
        <is>
          <t>Active</t>
        </is>
      </c>
      <c r="O41" s="39" t="n"/>
      <c r="P41" s="78" t="n">
        <v>4.7</v>
      </c>
      <c r="Q41" s="77" t="n">
        <v>586</v>
      </c>
      <c r="R41" s="77" t="n">
        <v>603113</v>
      </c>
      <c r="S41" s="77" t="n">
        <v>1</v>
      </c>
      <c r="T41" s="39" t="n"/>
    </row>
    <row r="42" ht="62" customHeight="1">
      <c r="A42" s="12">
        <f>_xlfn.IMAGE("https://m.media-amazon.com/images/I/61c3LnPpyXL.jpg")</f>
        <v/>
      </c>
      <c r="B42" s="39" t="inlineStr">
        <is>
          <t>B0F638RWQV</t>
        </is>
      </c>
      <c r="C42" s="39" t="inlineStr">
        <is>
          <t>LINEN-CURTAIN-52x72-LIGHT-BEIGE-2-PCS</t>
        </is>
      </c>
      <c r="D42" s="39" t="inlineStr">
        <is>
          <t>DECOLURE 100% Blackout Linen Curtains 72 Inches Long | Light Beige</t>
        </is>
      </c>
      <c r="E42" s="39" t="inlineStr">
        <is>
          <t>52x72</t>
        </is>
      </c>
      <c r="F42" s="39" t="inlineStr">
        <is>
          <t>Light Beige</t>
        </is>
      </c>
      <c r="G42" s="73" t="n">
        <v>28.99</v>
      </c>
      <c r="H42" s="39" t="inlineStr">
        <is>
          <t>catalog price, 2026-10-13</t>
        </is>
      </c>
      <c r="I42" s="74" t="n">
        <v>28.99</v>
      </c>
      <c r="J42" s="75" t="inlineStr">
        <is>
          <t>2026-03-30</t>
        </is>
      </c>
      <c r="K42" s="40" t="n">
        <v>0.6699999999999982</v>
      </c>
      <c r="L42" s="76" t="n">
        <v>0.02311141773025175</v>
      </c>
      <c r="M42" s="77" t="n">
        <v>0</v>
      </c>
      <c r="N42" s="39" t="inlineStr">
        <is>
          <t>Active</t>
        </is>
      </c>
      <c r="O42" s="39" t="n"/>
      <c r="P42" s="78" t="n">
        <v>4.7</v>
      </c>
      <c r="Q42" s="77" t="n">
        <v>586</v>
      </c>
      <c r="R42" s="77" t="n">
        <v>603113</v>
      </c>
      <c r="S42" s="77" t="n">
        <v>0.9931</v>
      </c>
      <c r="T42" s="39" t="n"/>
    </row>
    <row r="43" ht="62" customHeight="1">
      <c r="A43" s="12">
        <f>_xlfn.IMAGE("https://m.media-amazon.com/images/I/713WWL+uUyL.jpg")</f>
        <v/>
      </c>
      <c r="B43" s="39" t="inlineStr">
        <is>
          <t>B0F637Y2S7</t>
        </is>
      </c>
      <c r="C43" s="39" t="inlineStr">
        <is>
          <t>LINEN-CURTAIN-52x72-NATURAL-2-PCS</t>
        </is>
      </c>
      <c r="D43" s="39" t="inlineStr">
        <is>
          <t>DECOLURE 100% Blackout Linen Curtains 72 Inches Long | Natural</t>
        </is>
      </c>
      <c r="E43" s="39" t="inlineStr">
        <is>
          <t>52x72</t>
        </is>
      </c>
      <c r="F43" s="39" t="inlineStr">
        <is>
          <t>Natural</t>
        </is>
      </c>
      <c r="G43" s="73" t="n">
        <v>28.99</v>
      </c>
      <c r="H43" s="39" t="inlineStr">
        <is>
          <t>catalog price, 2026-10-13</t>
        </is>
      </c>
      <c r="I43" s="74" t="n">
        <v>28.99</v>
      </c>
      <c r="J43" s="75" t="inlineStr">
        <is>
          <t>2026-03-30</t>
        </is>
      </c>
      <c r="K43" s="40" t="n">
        <v>0.6699999999999982</v>
      </c>
      <c r="L43" s="76" t="n">
        <v>0.02311141773025175</v>
      </c>
      <c r="M43" s="77" t="n">
        <v>0</v>
      </c>
      <c r="N43" s="39" t="inlineStr">
        <is>
          <t>Active</t>
        </is>
      </c>
      <c r="O43" s="39" t="n"/>
      <c r="P43" s="78" t="n">
        <v>4.7</v>
      </c>
      <c r="Q43" s="77" t="n">
        <v>586</v>
      </c>
      <c r="R43" s="77" t="n">
        <v>603113</v>
      </c>
      <c r="S43" s="77" t="n">
        <v>0.9455</v>
      </c>
      <c r="T43" s="39" t="n"/>
    </row>
    <row r="44" ht="62" customHeight="1">
      <c r="A44" s="12">
        <f>_xlfn.IMAGE("https://m.media-amazon.com/images/I/81y9CMpfMqL.jpg")</f>
        <v/>
      </c>
      <c r="B44" s="39" t="inlineStr">
        <is>
          <t>B0F6353F1D</t>
        </is>
      </c>
      <c r="C44" s="39" t="inlineStr">
        <is>
          <t>LINEN-CURTAIN-52x84-BEIGE-2-PCS</t>
        </is>
      </c>
      <c r="D44" s="39" t="inlineStr">
        <is>
          <t>DECOLURE 100% Blackout Linen Curtains 84 Inches Long | Beige</t>
        </is>
      </c>
      <c r="E44" s="39" t="inlineStr">
        <is>
          <t>52x84</t>
        </is>
      </c>
      <c r="F44" s="39" t="inlineStr">
        <is>
          <t>Beige</t>
        </is>
      </c>
      <c r="G44" s="73" t="n">
        <v>29.99</v>
      </c>
      <c r="H44" s="39" t="inlineStr">
        <is>
          <t>catalog price, 2026-10-13</t>
        </is>
      </c>
      <c r="I44" s="74" t="n">
        <v>26.99</v>
      </c>
      <c r="J44" s="75" t="inlineStr">
        <is>
          <t>2026-03-30</t>
        </is>
      </c>
      <c r="K44" s="40" t="n">
        <v>-2.080000000000002</v>
      </c>
      <c r="L44" s="76" t="n">
        <v>-0.07706557984438689</v>
      </c>
      <c r="M44" s="77" t="n">
        <v>0</v>
      </c>
      <c r="N44" s="39" t="inlineStr">
        <is>
          <t>Active</t>
        </is>
      </c>
      <c r="O44" s="39" t="n"/>
      <c r="P44" s="78" t="n">
        <v>4.7</v>
      </c>
      <c r="Q44" s="77" t="n">
        <v>586</v>
      </c>
      <c r="R44" s="77" t="n">
        <v>603113</v>
      </c>
      <c r="S44" s="77" t="n">
        <v>0.711</v>
      </c>
      <c r="T44" s="39" t="n"/>
    </row>
    <row r="45" ht="62" customHeight="1">
      <c r="A45" s="12">
        <f>_xlfn.IMAGE("https://m.media-amazon.com/images/I/61OUT6yFb+L.jpg")</f>
        <v/>
      </c>
      <c r="B45" s="39" t="inlineStr">
        <is>
          <t>B0F639V3CW</t>
        </is>
      </c>
      <c r="C45" s="39" t="inlineStr">
        <is>
          <t>LINEN-CURTAIN-52x84-IVORY-2-PCS</t>
        </is>
      </c>
      <c r="D45" s="39" t="inlineStr">
        <is>
          <t>DECOLURE 100% Blackout Linen Curtains 84 Inches Long | Ivory</t>
        </is>
      </c>
      <c r="E45" s="39" t="inlineStr">
        <is>
          <t>52x84</t>
        </is>
      </c>
      <c r="F45" s="39" t="inlineStr">
        <is>
          <t>Ivory</t>
        </is>
      </c>
      <c r="G45" s="73" t="n">
        <v>29.99</v>
      </c>
      <c r="H45" s="39" t="inlineStr">
        <is>
          <t>catalog price, 2026-10-13</t>
        </is>
      </c>
      <c r="I45" s="74" t="n">
        <v>29.99</v>
      </c>
      <c r="J45" s="75" t="inlineStr">
        <is>
          <t>2026-03-30</t>
        </is>
      </c>
      <c r="K45" s="40" t="n">
        <v>0.4499999999999957</v>
      </c>
      <c r="L45" s="76" t="n">
        <v>0.01500500166722227</v>
      </c>
      <c r="M45" s="77" t="n">
        <v>0</v>
      </c>
      <c r="N45" s="39" t="inlineStr">
        <is>
          <t>Active</t>
        </is>
      </c>
      <c r="O45" s="39" t="n"/>
      <c r="P45" s="78" t="n">
        <v>4.7</v>
      </c>
      <c r="Q45" s="77" t="n">
        <v>586</v>
      </c>
      <c r="R45" s="77" t="n">
        <v>603113</v>
      </c>
      <c r="S45" s="77" t="n">
        <v>0.7198</v>
      </c>
      <c r="T45" s="39" t="n"/>
    </row>
    <row r="46" ht="62" customHeight="1">
      <c r="A46" s="12">
        <f>_xlfn.IMAGE("https://m.media-amazon.com/images/I/71wdtLs1ffL.jpg")</f>
        <v/>
      </c>
      <c r="B46" s="39" t="inlineStr">
        <is>
          <t>B0F63B2LN7</t>
        </is>
      </c>
      <c r="C46" s="39" t="inlineStr">
        <is>
          <t>LINEN-CURTAIN-52x84-LIGHT-BEIGE-2-PCS</t>
        </is>
      </c>
      <c r="D46" s="39" t="inlineStr">
        <is>
          <t>DECOLURE 100% Blackout Linen Curtains 84 Inches Long | Light Beige</t>
        </is>
      </c>
      <c r="E46" s="39" t="inlineStr">
        <is>
          <t>52x84</t>
        </is>
      </c>
      <c r="F46" s="39" t="inlineStr">
        <is>
          <t>Light Beige</t>
        </is>
      </c>
      <c r="G46" s="40" t="n"/>
      <c r="H46" s="39" t="n"/>
      <c r="I46" s="74" t="n">
        <v>29.99</v>
      </c>
      <c r="J46" s="75" t="inlineStr">
        <is>
          <t>2026-03-30</t>
        </is>
      </c>
      <c r="K46" s="40" t="n">
        <v>0.4699999999999989</v>
      </c>
      <c r="L46" s="76" t="n">
        <v>0.01567189063021003</v>
      </c>
      <c r="M46" s="77" t="n">
        <v>0</v>
      </c>
      <c r="N46" s="39" t="inlineStr">
        <is>
          <t>Active</t>
        </is>
      </c>
      <c r="O46" s="39" t="n"/>
      <c r="P46" s="78" t="n"/>
      <c r="Q46" s="77" t="n"/>
      <c r="R46" s="77" t="n"/>
      <c r="S46" s="77" t="n"/>
      <c r="T46" s="39" t="n"/>
    </row>
    <row r="47" ht="62" customHeight="1">
      <c r="A47" s="12">
        <f>_xlfn.IMAGE("https://m.media-amazon.com/images/I/81QeDrUl7SL.jpg")</f>
        <v/>
      </c>
      <c r="B47" s="39" t="inlineStr">
        <is>
          <t>B0F634PV4T</t>
        </is>
      </c>
      <c r="C47" s="39" t="inlineStr">
        <is>
          <t>LINEN-CURTAIN-52x84-LINEN-2-PCS</t>
        </is>
      </c>
      <c r="D47" s="39" t="inlineStr">
        <is>
          <t>DECOLURE 100% Blackout Linen Curtains 84 Inches Long | Linen</t>
        </is>
      </c>
      <c r="E47" s="39" t="inlineStr">
        <is>
          <t>52x84</t>
        </is>
      </c>
      <c r="F47" s="39" t="inlineStr">
        <is>
          <t>Linen</t>
        </is>
      </c>
      <c r="G47" s="73" t="n">
        <v>29.99</v>
      </c>
      <c r="H47" s="39" t="inlineStr">
        <is>
          <t>catalog price, 2026-10-13</t>
        </is>
      </c>
      <c r="I47" s="74" t="n">
        <v>29.99</v>
      </c>
      <c r="J47" s="75" t="inlineStr">
        <is>
          <t>2026-03-30</t>
        </is>
      </c>
      <c r="K47" s="40" t="n">
        <v>0.5999999999999979</v>
      </c>
      <c r="L47" s="76" t="n">
        <v>0.02000666888962981</v>
      </c>
      <c r="M47" s="77" t="n">
        <v>0</v>
      </c>
      <c r="N47" s="39" t="inlineStr">
        <is>
          <t>Active</t>
        </is>
      </c>
      <c r="O47" s="39" t="n"/>
      <c r="P47" s="78" t="n">
        <v>4.7</v>
      </c>
      <c r="Q47" s="77" t="n">
        <v>586</v>
      </c>
      <c r="R47" s="77" t="n">
        <v>603113</v>
      </c>
      <c r="S47" s="77" t="n">
        <v>0.7254</v>
      </c>
      <c r="T47" s="39" t="n"/>
    </row>
    <row r="48" ht="62" customHeight="1">
      <c r="A48" s="12">
        <f>_xlfn.IMAGE("https://m.media-amazon.com/images/I/71Qk8TmjrjL.jpg")</f>
        <v/>
      </c>
      <c r="B48" s="39" t="inlineStr">
        <is>
          <t>B0F639CWS1</t>
        </is>
      </c>
      <c r="C48" s="39" t="inlineStr">
        <is>
          <t>LINEN-CURTAIN-52x84-NATURAL-2-PCS</t>
        </is>
      </c>
      <c r="D48" s="39" t="inlineStr">
        <is>
          <t>DECOLURE 100% Blackout Linen Curtains 84 Inches Long | Natural</t>
        </is>
      </c>
      <c r="E48" s="39" t="inlineStr">
        <is>
          <t>52x84</t>
        </is>
      </c>
      <c r="F48" s="39" t="inlineStr">
        <is>
          <t>Natural</t>
        </is>
      </c>
      <c r="G48" s="73" t="n">
        <v>29.99</v>
      </c>
      <c r="H48" s="39" t="inlineStr">
        <is>
          <t>catalog price, 2026-10-13</t>
        </is>
      </c>
      <c r="I48" s="74" t="n">
        <v>29.99</v>
      </c>
      <c r="J48" s="75" t="inlineStr">
        <is>
          <t>2026-03-30</t>
        </is>
      </c>
      <c r="K48" s="40" t="n">
        <v>0.509999999999998</v>
      </c>
      <c r="L48" s="76" t="n">
        <v>0.01700566855618533</v>
      </c>
      <c r="M48" s="77" t="n">
        <v>0</v>
      </c>
      <c r="N48" s="39" t="inlineStr">
        <is>
          <t>Active</t>
        </is>
      </c>
      <c r="O48" s="39" t="n"/>
      <c r="P48" s="78" t="n">
        <v>4.7</v>
      </c>
      <c r="Q48" s="77" t="n">
        <v>586</v>
      </c>
      <c r="R48" s="77" t="n">
        <v>603113</v>
      </c>
      <c r="S48" s="77" t="n">
        <v>0.8515</v>
      </c>
      <c r="T48" s="39" t="n"/>
    </row>
    <row r="49" ht="62" customHeight="1">
      <c r="A49" s="12">
        <f>_xlfn.IMAGE("https://m.media-amazon.com/images/I/81jISRAhJgL.jpg")</f>
        <v/>
      </c>
      <c r="B49" s="39" t="inlineStr">
        <is>
          <t>B0F639XQ4V</t>
        </is>
      </c>
      <c r="C49" s="39" t="inlineStr">
        <is>
          <t>LINEN-CURTAIN-52x90-BEIGE-2-PCS</t>
        </is>
      </c>
      <c r="D49" s="39" t="inlineStr">
        <is>
          <t>DECOLURE 100% Blackout Linen Curtains 90 Inches Long | Beige</t>
        </is>
      </c>
      <c r="E49" s="39" t="inlineStr">
        <is>
          <t>52x90</t>
        </is>
      </c>
      <c r="F49" s="39" t="inlineStr">
        <is>
          <t>Beige</t>
        </is>
      </c>
      <c r="G49" s="73" t="n">
        <v>32.99</v>
      </c>
      <c r="H49" s="39" t="inlineStr">
        <is>
          <t>catalog price, 2026-10-13</t>
        </is>
      </c>
      <c r="I49" s="74" t="n">
        <v>31.99</v>
      </c>
      <c r="J49" s="75" t="inlineStr">
        <is>
          <t>2026-03-30</t>
        </is>
      </c>
      <c r="K49" s="40" t="n">
        <v>0.269999999999996</v>
      </c>
      <c r="L49" s="76" t="n">
        <v>0.8440137542982057</v>
      </c>
      <c r="M49" s="77" t="n">
        <v>0</v>
      </c>
      <c r="N49" s="39" t="inlineStr">
        <is>
          <t>Active</t>
        </is>
      </c>
      <c r="O49" s="39" t="n"/>
      <c r="P49" s="78" t="n">
        <v>4.7</v>
      </c>
      <c r="Q49" s="77" t="n">
        <v>586</v>
      </c>
      <c r="R49" s="77" t="n">
        <v>603113</v>
      </c>
      <c r="S49" s="77" t="n">
        <v>0.5225</v>
      </c>
      <c r="T49" s="39" t="n"/>
    </row>
    <row r="50" ht="62" customHeight="1">
      <c r="A50" s="12">
        <f>_xlfn.IMAGE("https://m.media-amazon.com/images/I/71UFvy2izLL.jpg")</f>
        <v/>
      </c>
      <c r="B50" s="39" t="inlineStr">
        <is>
          <t>B0F639VT23</t>
        </is>
      </c>
      <c r="C50" s="39" t="inlineStr">
        <is>
          <t>LINEN-CURTAIN-52x90-IVORY-2-PCS</t>
        </is>
      </c>
      <c r="D50" s="39" t="inlineStr">
        <is>
          <t>DECOLURE 100% Blackout Linen Curtains 90 Inches Long | Ivory</t>
        </is>
      </c>
      <c r="E50" s="39" t="inlineStr">
        <is>
          <t>52x90</t>
        </is>
      </c>
      <c r="F50" s="39" t="inlineStr">
        <is>
          <t>Ivory</t>
        </is>
      </c>
      <c r="G50" s="73" t="n">
        <v>32.99</v>
      </c>
      <c r="H50" s="39" t="inlineStr">
        <is>
          <t>catalog price, 2026-10-13</t>
        </is>
      </c>
      <c r="I50" s="74" t="n">
        <v>31.99</v>
      </c>
      <c r="J50" s="75" t="inlineStr">
        <is>
          <t>2026-03-30</t>
        </is>
      </c>
      <c r="K50" s="40" t="n">
        <v>-0.2200000000000024</v>
      </c>
      <c r="L50" s="76" t="n">
        <v>-0.6877149109096669</v>
      </c>
      <c r="M50" s="77" t="n">
        <v>0</v>
      </c>
      <c r="N50" s="39" t="inlineStr">
        <is>
          <t>Active</t>
        </is>
      </c>
      <c r="O50" s="39" t="n"/>
      <c r="P50" s="78" t="n">
        <v>4.7</v>
      </c>
      <c r="Q50" s="77" t="n">
        <v>586</v>
      </c>
      <c r="R50" s="77" t="n">
        <v>603113</v>
      </c>
      <c r="S50" s="77" t="n">
        <v>0.5342</v>
      </c>
      <c r="T50" s="39" t="n"/>
    </row>
    <row r="51" ht="62" customHeight="1">
      <c r="A51" s="12">
        <f>_xlfn.IMAGE("https://m.media-amazon.com/images/I/81DnKeD0WnL.jpg")</f>
        <v/>
      </c>
      <c r="B51" s="39" t="inlineStr">
        <is>
          <t>B0F6399NW2</t>
        </is>
      </c>
      <c r="C51" s="39" t="inlineStr">
        <is>
          <t>LINEN-CURTAIN-52x90-LIGHT-BEIGE-2-PCS</t>
        </is>
      </c>
      <c r="D51" s="39" t="inlineStr">
        <is>
          <t>DECOLURE 100% Blackout Linen Curtains 90 Inches Long | Light Beige</t>
        </is>
      </c>
      <c r="E51" s="39" t="inlineStr">
        <is>
          <t>52x90</t>
        </is>
      </c>
      <c r="F51" s="39" t="inlineStr">
        <is>
          <t>Light Beige</t>
        </is>
      </c>
      <c r="G51" s="73" t="n">
        <v>32.99</v>
      </c>
      <c r="H51" s="39" t="inlineStr">
        <is>
          <t>catalog price, 2026-10-13</t>
        </is>
      </c>
      <c r="I51" s="74" t="n">
        <v>31.99</v>
      </c>
      <c r="J51" s="75" t="inlineStr">
        <is>
          <t>2026-03-30</t>
        </is>
      </c>
      <c r="K51" s="40" t="n">
        <v>0.269999999999996</v>
      </c>
      <c r="L51" s="76" t="n">
        <v>0.8440137542982057</v>
      </c>
      <c r="M51" s="77" t="n">
        <v>0</v>
      </c>
      <c r="N51" s="39" t="inlineStr">
        <is>
          <t>Active</t>
        </is>
      </c>
      <c r="O51" s="39" t="n"/>
      <c r="P51" s="78" t="n">
        <v>4.7</v>
      </c>
      <c r="Q51" s="77" t="n">
        <v>586</v>
      </c>
      <c r="R51" s="77" t="n">
        <v>603121</v>
      </c>
      <c r="S51" s="77" t="n">
        <v>0.5125999999999999</v>
      </c>
      <c r="T51" s="39" t="n"/>
    </row>
    <row r="52" ht="62" customHeight="1">
      <c r="A52" s="12">
        <f>_xlfn.IMAGE("https://m.media-amazon.com/images/I/81ZBiWb-4UL.jpg")</f>
        <v/>
      </c>
      <c r="B52" s="39" t="inlineStr">
        <is>
          <t>B0F63B8T3H</t>
        </is>
      </c>
      <c r="C52" s="39" t="inlineStr">
        <is>
          <t>LINEN-CURTAIN-52x90-LIGHT-GREY-2-PCS</t>
        </is>
      </c>
      <c r="D52" s="39" t="inlineStr">
        <is>
          <t>DECOLURE 100% Blackout Linen Curtains 90 Inches Long | Light Grey</t>
        </is>
      </c>
      <c r="E52" s="39" t="inlineStr">
        <is>
          <t>52x90</t>
        </is>
      </c>
      <c r="F52" s="39" t="inlineStr">
        <is>
          <t>Light Grey</t>
        </is>
      </c>
      <c r="G52" s="73" t="n">
        <v>32.99</v>
      </c>
      <c r="H52" s="39" t="inlineStr">
        <is>
          <t>catalog price, 2026-10-13</t>
        </is>
      </c>
      <c r="I52" s="74" t="n">
        <v>31.99</v>
      </c>
      <c r="J52" s="75" t="inlineStr">
        <is>
          <t>2026-03-30</t>
        </is>
      </c>
      <c r="K52" s="40" t="n">
        <v>0.269999999999996</v>
      </c>
      <c r="L52" s="76" t="n">
        <v>0.8440137542982057</v>
      </c>
      <c r="M52" s="77" t="n">
        <v>0</v>
      </c>
      <c r="N52" s="39" t="inlineStr">
        <is>
          <t>Active</t>
        </is>
      </c>
      <c r="O52" s="39" t="n"/>
      <c r="P52" s="78" t="n">
        <v>4.7</v>
      </c>
      <c r="Q52" s="77" t="n">
        <v>586</v>
      </c>
      <c r="R52" s="77" t="n">
        <v>603113</v>
      </c>
      <c r="S52" s="77" t="n">
        <v>0.5149</v>
      </c>
      <c r="T52" s="39" t="n"/>
    </row>
    <row r="53" ht="62" customHeight="1">
      <c r="A53" s="12">
        <f>_xlfn.IMAGE("https://m.media-amazon.com/images/I/81vnIru+thL.jpg")</f>
        <v/>
      </c>
      <c r="B53" s="39" t="inlineStr">
        <is>
          <t>B0F637PJBD</t>
        </is>
      </c>
      <c r="C53" s="39" t="inlineStr">
        <is>
          <t>LINEN-CURTAIN-52x90-LINEN-2-PCS</t>
        </is>
      </c>
      <c r="D53" s="39" t="inlineStr">
        <is>
          <t>DECOLURE 100% Blackout Linen Curtains 90 Inches Long | Linen</t>
        </is>
      </c>
      <c r="E53" s="39" t="inlineStr">
        <is>
          <t>52x90</t>
        </is>
      </c>
      <c r="F53" s="39" t="inlineStr">
        <is>
          <t>Linen</t>
        </is>
      </c>
      <c r="G53" s="73" t="n">
        <v>32.99</v>
      </c>
      <c r="H53" s="39" t="inlineStr">
        <is>
          <t>catalog price, 2026-10-13</t>
        </is>
      </c>
      <c r="I53" s="74" t="n">
        <v>31.99</v>
      </c>
      <c r="J53" s="75" t="inlineStr">
        <is>
          <t>2026-03-30</t>
        </is>
      </c>
      <c r="K53" s="40" t="n">
        <v>0.259999999999998</v>
      </c>
      <c r="L53" s="76" t="n">
        <v>0.8127539856205003</v>
      </c>
      <c r="M53" s="77" t="n">
        <v>0</v>
      </c>
      <c r="N53" s="39" t="inlineStr">
        <is>
          <t>Active</t>
        </is>
      </c>
      <c r="O53" s="39" t="n"/>
      <c r="P53" s="78" t="n">
        <v>4.7</v>
      </c>
      <c r="Q53" s="77" t="n">
        <v>586</v>
      </c>
      <c r="R53" s="77" t="n">
        <v>603113</v>
      </c>
      <c r="S53" s="77" t="n">
        <v>0.5306999999999999</v>
      </c>
      <c r="T53" s="39" t="n"/>
    </row>
    <row r="54" ht="62" customHeight="1">
      <c r="A54" s="12">
        <f>_xlfn.IMAGE("https://m.media-amazon.com/images/I/612xt6uN9EL.jpg")</f>
        <v/>
      </c>
      <c r="B54" s="39" t="inlineStr">
        <is>
          <t>B0F639T5K2</t>
        </is>
      </c>
      <c r="C54" s="39" t="inlineStr">
        <is>
          <t>LINEN-CURTAIN-52x90-NATURAL-2-PCS</t>
        </is>
      </c>
      <c r="D54" s="39" t="inlineStr">
        <is>
          <t>DECOLURE 100% Blackout Linen Curtains 90 Inches Long | Natural</t>
        </is>
      </c>
      <c r="E54" s="39" t="inlineStr">
        <is>
          <t>52x90</t>
        </is>
      </c>
      <c r="F54" s="39" t="inlineStr">
        <is>
          <t>Natural</t>
        </is>
      </c>
      <c r="G54" s="73" t="n">
        <v>32.99</v>
      </c>
      <c r="H54" s="39" t="inlineStr">
        <is>
          <t>catalog price, 2026-10-13</t>
        </is>
      </c>
      <c r="I54" s="74" t="n">
        <v>31.99</v>
      </c>
      <c r="J54" s="75" t="inlineStr">
        <is>
          <t>2026-03-30</t>
        </is>
      </c>
      <c r="K54" s="40" t="n">
        <v>0.00999999999999801</v>
      </c>
      <c r="L54" s="76" t="n">
        <v>0.03125976867770557</v>
      </c>
      <c r="M54" s="77" t="n">
        <v>0</v>
      </c>
      <c r="N54" s="39" t="inlineStr">
        <is>
          <t>Active</t>
        </is>
      </c>
      <c r="O54" s="39" t="n"/>
      <c r="P54" s="78" t="n">
        <v>4.7</v>
      </c>
      <c r="Q54" s="77" t="n">
        <v>586</v>
      </c>
      <c r="R54" s="77" t="n">
        <v>603113</v>
      </c>
      <c r="S54" s="77" t="n">
        <v>0.5387999999999999</v>
      </c>
      <c r="T54" s="39" t="n"/>
    </row>
    <row r="55" ht="62" customHeight="1">
      <c r="A55" s="12">
        <f>_xlfn.IMAGE("https://m.media-amazon.com/images/I/813ccHG4dvL.jpg")</f>
        <v/>
      </c>
      <c r="B55" s="39" t="inlineStr">
        <is>
          <t>B0F638G1PV</t>
        </is>
      </c>
      <c r="C55" s="39" t="inlineStr">
        <is>
          <t>LINEN-CURTAIN-52x96-BEIGE-2-PCS</t>
        </is>
      </c>
      <c r="D55" s="39" t="inlineStr">
        <is>
          <t>DECOLURE 100% Blackout Linen Curtains 96 Inches Long | Beige</t>
        </is>
      </c>
      <c r="E55" s="39" t="inlineStr">
        <is>
          <t>52x96</t>
        </is>
      </c>
      <c r="F55" s="39" t="inlineStr">
        <is>
          <t>Beige</t>
        </is>
      </c>
      <c r="G55" s="73" t="n">
        <v>32.99</v>
      </c>
      <c r="H55" s="39" t="inlineStr">
        <is>
          <t>catalog price, 2026-10-13</t>
        </is>
      </c>
      <c r="I55" s="74" t="n">
        <v>31.99</v>
      </c>
      <c r="J55" s="75" t="inlineStr">
        <is>
          <t>2026-03-30</t>
        </is>
      </c>
      <c r="K55" s="40" t="n">
        <v>-0.07000000000000384</v>
      </c>
      <c r="L55" s="76" t="n">
        <v>-0.2188183807439945</v>
      </c>
      <c r="M55" s="77" t="n">
        <v>0</v>
      </c>
      <c r="N55" s="39" t="inlineStr">
        <is>
          <t>Active</t>
        </is>
      </c>
      <c r="O55" s="39" t="n"/>
      <c r="P55" s="78" t="n">
        <v>4.7</v>
      </c>
      <c r="Q55" s="77" t="n">
        <v>586</v>
      </c>
      <c r="R55" s="77" t="n">
        <v>603113</v>
      </c>
      <c r="S55" s="77" t="n">
        <v>0.4998</v>
      </c>
      <c r="T55" s="39" t="n"/>
    </row>
    <row r="56" ht="62" customHeight="1">
      <c r="A56" s="12">
        <f>_xlfn.IMAGE("https://m.media-amazon.com/images/I/81xksHExcTL.jpg")</f>
        <v/>
      </c>
      <c r="B56" s="39" t="inlineStr">
        <is>
          <t>B0F6392CDG</t>
        </is>
      </c>
      <c r="C56" s="39" t="inlineStr">
        <is>
          <t>LINEN-CURTAIN-52x96-IVORY-2-PCS</t>
        </is>
      </c>
      <c r="D56" s="39" t="inlineStr">
        <is>
          <t>DECOLURE 100% Blackout Linen Curtains 96 Inches Long | Ivory</t>
        </is>
      </c>
      <c r="E56" s="39" t="inlineStr">
        <is>
          <t>52x96</t>
        </is>
      </c>
      <c r="F56" s="39" t="inlineStr">
        <is>
          <t>Ivory</t>
        </is>
      </c>
      <c r="G56" s="73" t="n">
        <v>32.99</v>
      </c>
      <c r="H56" s="39" t="inlineStr">
        <is>
          <t>catalog price, 2026-10-13</t>
        </is>
      </c>
      <c r="I56" s="74" t="n">
        <v>31.99</v>
      </c>
      <c r="J56" s="75" t="inlineStr">
        <is>
          <t>2026-03-30</t>
        </is>
      </c>
      <c r="K56" s="40" t="n">
        <v>-0.07000000000000384</v>
      </c>
      <c r="L56" s="76" t="n">
        <v>-0.2188183807439945</v>
      </c>
      <c r="M56" s="77" t="n">
        <v>0</v>
      </c>
      <c r="N56" s="39" t="inlineStr">
        <is>
          <t>Active</t>
        </is>
      </c>
      <c r="O56" s="39" t="n"/>
      <c r="P56" s="78" t="n">
        <v>4.7</v>
      </c>
      <c r="Q56" s="77" t="n">
        <v>586</v>
      </c>
      <c r="R56" s="77" t="n">
        <v>603113</v>
      </c>
      <c r="S56" s="77" t="n">
        <v>0.5243</v>
      </c>
      <c r="T56" s="39" t="n"/>
    </row>
    <row r="57" ht="62" customHeight="1">
      <c r="A57" s="12">
        <f>_xlfn.IMAGE("https://m.media-amazon.com/images/I/716F2STMkhL.jpg")</f>
        <v/>
      </c>
      <c r="B57" s="39" t="inlineStr">
        <is>
          <t>B0F639YZ3D</t>
        </is>
      </c>
      <c r="C57" s="39" t="inlineStr">
        <is>
          <t>LINEN-CURTAIN-52x96-LIGHT-BEIGE-2-PCS</t>
        </is>
      </c>
      <c r="D57" s="39" t="inlineStr">
        <is>
          <t>DECOLURE 100% Blackout Linen Curtains 96 Inches Long | Light Beige</t>
        </is>
      </c>
      <c r="E57" s="39" t="inlineStr">
        <is>
          <t>52x96</t>
        </is>
      </c>
      <c r="F57" s="39" t="inlineStr">
        <is>
          <t>Light Beige</t>
        </is>
      </c>
      <c r="G57" s="73" t="n">
        <v>32.99</v>
      </c>
      <c r="H57" s="39" t="inlineStr">
        <is>
          <t>catalog price, 2026-10-13</t>
        </is>
      </c>
      <c r="I57" s="74" t="n">
        <v>31.99</v>
      </c>
      <c r="J57" s="75" t="inlineStr">
        <is>
          <t>2026-03-30</t>
        </is>
      </c>
      <c r="K57" s="40" t="n">
        <v>-3.552713678800501e-15</v>
      </c>
      <c r="L57" s="76" t="n">
        <v>-1.110570077774461e-14</v>
      </c>
      <c r="M57" s="77" t="n">
        <v>0</v>
      </c>
      <c r="N57" s="39" t="inlineStr">
        <is>
          <t>Active</t>
        </is>
      </c>
      <c r="O57" s="39" t="n"/>
      <c r="P57" s="78" t="n">
        <v>4.7</v>
      </c>
      <c r="Q57" s="77" t="n">
        <v>586</v>
      </c>
      <c r="R57" s="77" t="n">
        <v>603113</v>
      </c>
      <c r="S57" s="77" t="n">
        <v>0.5191</v>
      </c>
      <c r="T57" s="39" t="n"/>
    </row>
    <row r="58" ht="62" customHeight="1">
      <c r="A58" s="12">
        <f>_xlfn.IMAGE("https://m.media-amazon.com/images/I/81NQY9J1a3L.jpg")</f>
        <v/>
      </c>
      <c r="B58" s="39" t="inlineStr">
        <is>
          <t>B0F638T9NF</t>
        </is>
      </c>
      <c r="C58" s="39" t="inlineStr">
        <is>
          <t>LINEN-CURTAIN-52x96-LIGHT-GREY-2-PCS</t>
        </is>
      </c>
      <c r="D58" s="39" t="inlineStr">
        <is>
          <t>DECOLURE 100% Blackout Linen Curtains 96 Inches Long | Light Grey</t>
        </is>
      </c>
      <c r="E58" s="39" t="inlineStr">
        <is>
          <t>52x96</t>
        </is>
      </c>
      <c r="F58" s="39" t="inlineStr">
        <is>
          <t>Light Grey</t>
        </is>
      </c>
      <c r="G58" s="73" t="n">
        <v>32.99</v>
      </c>
      <c r="H58" s="39" t="inlineStr">
        <is>
          <t>catalog price, 2026-10-13</t>
        </is>
      </c>
      <c r="I58" s="74" t="n">
        <v>31.99</v>
      </c>
      <c r="J58" s="75" t="inlineStr">
        <is>
          <t>2026-03-30</t>
        </is>
      </c>
      <c r="K58" s="40" t="n">
        <v>0.03999999999999915</v>
      </c>
      <c r="L58" s="76" t="n">
        <v>0.1250390747108445</v>
      </c>
      <c r="M58" s="77" t="n">
        <v>0</v>
      </c>
      <c r="N58" s="39" t="inlineStr">
        <is>
          <t>Active</t>
        </is>
      </c>
      <c r="O58" s="39" t="n"/>
      <c r="P58" s="78" t="n">
        <v>4.7</v>
      </c>
      <c r="Q58" s="77" t="n">
        <v>586</v>
      </c>
      <c r="R58" s="77" t="n">
        <v>603113</v>
      </c>
      <c r="S58" s="77" t="n">
        <v>0.5317</v>
      </c>
      <c r="T58" s="39" t="n"/>
    </row>
    <row r="59" ht="62" customHeight="1">
      <c r="A59" s="12">
        <f>_xlfn.IMAGE("https://m.media-amazon.com/images/I/81IVWOHsL4L.jpg")</f>
        <v/>
      </c>
      <c r="B59" s="39" t="inlineStr">
        <is>
          <t>B0F6393JBD</t>
        </is>
      </c>
      <c r="C59" s="39" t="inlineStr">
        <is>
          <t>LINEN-CURTAIN-52x96-LINEN-2-PCS</t>
        </is>
      </c>
      <c r="D59" s="39" t="inlineStr">
        <is>
          <t>DECOLURE 100% Blackout Linen Curtains 96 Inches Long | Linen</t>
        </is>
      </c>
      <c r="E59" s="39" t="inlineStr">
        <is>
          <t>52x96</t>
        </is>
      </c>
      <c r="F59" s="39" t="inlineStr">
        <is>
          <t>Linen</t>
        </is>
      </c>
      <c r="G59" s="73" t="n">
        <v>32.99</v>
      </c>
      <c r="H59" s="39" t="inlineStr">
        <is>
          <t>catalog price, 2026-10-13</t>
        </is>
      </c>
      <c r="I59" s="74" t="n">
        <v>31.99</v>
      </c>
      <c r="J59" s="75" t="inlineStr">
        <is>
          <t>2026-03-30</t>
        </is>
      </c>
      <c r="K59" s="40" t="n">
        <v>-0.02000000000000313</v>
      </c>
      <c r="L59" s="76" t="n">
        <v>-0.06251953735543335</v>
      </c>
      <c r="M59" s="77" t="n">
        <v>0</v>
      </c>
      <c r="N59" s="39" t="inlineStr">
        <is>
          <t>Active</t>
        </is>
      </c>
      <c r="O59" s="39" t="n"/>
      <c r="P59" s="78" t="n">
        <v>4.7</v>
      </c>
      <c r="Q59" s="77" t="n">
        <v>586</v>
      </c>
      <c r="R59" s="77" t="n">
        <v>603113</v>
      </c>
      <c r="S59" s="77" t="n">
        <v>0.4865</v>
      </c>
      <c r="T59" s="39" t="n"/>
    </row>
    <row r="60"/>
    <row r="61" ht="22" customHeight="1">
      <c r="A61" s="65" t="inlineStr">
        <is>
          <t>3 ▼</t>
        </is>
      </c>
      <c r="B61" s="66" t="inlineStr">
        <is>
          <t>OUR BFCM 2025 RESULT &amp; EVENT VISIBILITY</t>
        </is>
      </c>
      <c r="C61" s="67" t="n"/>
      <c r="D61" s="67" t="n"/>
      <c r="E61" s="67" t="n"/>
      <c r="F61" s="67" t="n"/>
      <c r="G61" s="67" t="n"/>
      <c r="H61" s="67" t="n"/>
      <c r="I61" s="67" t="n"/>
      <c r="J61" s="67" t="n"/>
      <c r="K61" s="67" t="n"/>
      <c r="L61" s="67" t="n"/>
      <c r="M61" s="67" t="n"/>
      <c r="N61" s="67" t="n"/>
      <c r="O61" s="67" t="n"/>
      <c r="P61" s="67" t="n"/>
      <c r="Q61" s="67" t="n"/>
      <c r="R61" s="67" t="n"/>
      <c r="S61" s="67" t="n"/>
      <c r="T61" s="67" t="n"/>
      <c r="U61" s="67" t="n"/>
      <c r="V61" s="67" t="n"/>
      <c r="W61" s="67" t="n"/>
      <c r="X61" s="67" t="n"/>
      <c r="Y61" s="67" t="n"/>
      <c r="Z61" s="67" t="n"/>
      <c r="AA61" s="67" t="n"/>
      <c r="AB61" s="67" t="n"/>
      <c r="AC61" s="67" t="n"/>
      <c r="AD61" s="67" t="n"/>
      <c r="AE61" s="67" t="n"/>
      <c r="AF61" s="67" t="n"/>
      <c r="AG61" s="67" t="n"/>
      <c r="AH61" s="67" t="n"/>
      <c r="AI61" s="67" t="n"/>
      <c r="AJ61" s="67" t="n"/>
      <c r="AK61" s="67" t="n"/>
      <c r="AL61" s="67" t="n"/>
      <c r="AM61" s="67" t="n"/>
      <c r="AN61" s="67" t="n"/>
      <c r="AO61" s="67" t="n"/>
      <c r="AP61" s="67" t="n"/>
      <c r="AQ61" s="67" t="n"/>
      <c r="AR61" s="67" t="n"/>
      <c r="AS61" s="67" t="n"/>
      <c r="AT61" s="67" t="n"/>
      <c r="AU61" s="67" t="n"/>
      <c r="AV61" s="67" t="n"/>
      <c r="AW61" s="67" t="n"/>
      <c r="AX61" s="67" t="n"/>
      <c r="AY61" s="67" t="n"/>
      <c r="AZ61" s="67" t="n"/>
      <c r="BA61" s="67" t="n"/>
      <c r="BB61" s="67" t="n"/>
      <c r="BC61" s="67" t="n"/>
      <c r="BD61" s="67" t="n"/>
      <c r="BE61" s="67" t="n"/>
      <c r="BF61" s="67" t="n"/>
      <c r="BG61" s="67" t="n"/>
      <c r="BH61" s="67" t="n"/>
      <c r="BI61" s="67" t="n"/>
      <c r="BJ61" s="67" t="n"/>
      <c r="BK61" s="67" t="n"/>
    </row>
    <row r="62">
      <c r="A62" s="80" t="inlineStr">
        <is>
          <t>Window</t>
        </is>
      </c>
      <c r="B62" s="81" t="n"/>
      <c r="C62" s="82" t="n"/>
      <c r="D62" s="80" t="inlineStr">
        <is>
          <t>Ad spend</t>
        </is>
      </c>
      <c r="E62" s="80" t="inlineStr">
        <is>
          <t>Ad sales</t>
        </is>
      </c>
      <c r="F62" s="80" t="inlineStr">
        <is>
          <t>ACoS</t>
        </is>
      </c>
      <c r="G62" s="80" t="inlineStr">
        <is>
          <t>TACoS</t>
        </is>
      </c>
      <c r="H62" s="80" t="inlineStr">
        <is>
          <t>Total sales (derived)</t>
        </is>
      </c>
      <c r="J62" s="80" t="inlineStr">
        <is>
          <t>Ad orders</t>
        </is>
      </c>
      <c r="K62" s="80" t="inlineStr">
        <is>
          <t>CVR</t>
        </is>
      </c>
    </row>
    <row r="63">
      <c r="A63" s="83" t="inlineStr">
        <is>
          <t>Pre-event Oct 21 - Nov 19, 2025 (30d)</t>
        </is>
      </c>
      <c r="B63" s="81" t="n"/>
      <c r="C63" s="82" t="n"/>
      <c r="D63" s="84" t="n"/>
      <c r="E63" s="84" t="n"/>
      <c r="F63" s="85" t="n"/>
      <c r="G63" s="85" t="n"/>
      <c r="H63" s="84" t="n"/>
      <c r="J63" s="86" t="n"/>
      <c r="K63" s="87" t="n"/>
    </row>
    <row r="64">
      <c r="A64" s="83" t="inlineStr">
        <is>
          <t>BFCM week Nov 20 - Dec 1, 2025 (12d)</t>
        </is>
      </c>
      <c r="B64" s="81" t="n"/>
      <c r="C64" s="82" t="n"/>
      <c r="D64" s="84" t="n"/>
      <c r="E64" s="84" t="n"/>
      <c r="F64" s="85" t="n"/>
      <c r="G64" s="85" t="n"/>
      <c r="H64" s="84" t="n"/>
      <c r="J64" s="86" t="n"/>
      <c r="K64" s="87" t="n"/>
    </row>
    <row r="65">
      <c r="A65" s="83" t="inlineStr">
        <is>
          <t>December 2 - 31, 2025 (30d)</t>
        </is>
      </c>
      <c r="B65" s="81" t="n"/>
      <c r="C65" s="82" t="n"/>
      <c r="D65" s="84" t="n"/>
      <c r="E65" s="84" t="n"/>
      <c r="F65" s="85" t="n"/>
      <c r="G65" s="85" t="n"/>
      <c r="H65" s="84" t="n"/>
      <c r="J65" s="86" t="n"/>
      <c r="K65" s="87" t="n"/>
    </row>
    <row r="66"/>
    <row r="67">
      <c r="A67" s="80" t="inlineStr">
        <is>
          <t>Actual sales (account data)</t>
        </is>
      </c>
      <c r="B67" s="81" t="n"/>
      <c r="C67" s="82" t="n"/>
      <c r="D67" s="80" t="inlineStr">
        <is>
          <t>Sales</t>
        </is>
      </c>
      <c r="E67" s="80" t="inlineStr">
        <is>
          <t>Units</t>
        </is>
      </c>
      <c r="F67" s="80" t="inlineStr">
        <is>
          <t>Organic units</t>
        </is>
      </c>
      <c r="G67" s="80" t="inlineStr">
        <is>
          <t>Ad units</t>
        </is>
      </c>
      <c r="H67" s="80" t="inlineStr">
        <is>
          <t>Ad cost</t>
        </is>
      </c>
      <c r="J67" s="80" t="inlineStr">
        <is>
          <t>TACoS (actual)</t>
        </is>
      </c>
      <c r="K67" s="80" t="inlineStr">
        <is>
          <t>Sessions</t>
        </is>
      </c>
      <c r="L67" s="80" t="inlineStr">
        <is>
          <t>Unit session %</t>
        </is>
      </c>
      <c r="M67" s="80" t="inlineStr">
        <is>
          <t>Avg price</t>
        </is>
      </c>
      <c r="N67" s="80" t="inlineStr">
        <is>
          <t>Refunds</t>
        </is>
      </c>
    </row>
    <row r="68">
      <c r="A68" s="83" t="inlineStr">
        <is>
          <t>Pre-event Oct 21 - Nov 19, 2025 (30d)</t>
        </is>
      </c>
      <c r="B68" s="81" t="n"/>
      <c r="C68" s="82" t="n"/>
      <c r="D68" s="84" t="n">
        <v>0</v>
      </c>
      <c r="E68" s="86" t="n">
        <v>0</v>
      </c>
      <c r="F68" s="86" t="n">
        <v>0</v>
      </c>
      <c r="G68" s="86" t="n">
        <v>0</v>
      </c>
      <c r="H68" s="84" t="n">
        <v>0</v>
      </c>
      <c r="J68" s="88" t="n"/>
      <c r="K68" s="86" t="n">
        <v>0</v>
      </c>
      <c r="L68" s="88" t="n"/>
      <c r="M68" s="89" t="n"/>
      <c r="N68" s="86" t="n">
        <v>0</v>
      </c>
    </row>
    <row r="69">
      <c r="A69" s="83" t="inlineStr">
        <is>
          <t>BFCM week Nov 20 - Dec 1, 2025 (12d)</t>
        </is>
      </c>
      <c r="B69" s="81" t="n"/>
      <c r="C69" s="82" t="n"/>
      <c r="D69" s="84" t="n">
        <v>0</v>
      </c>
      <c r="E69" s="86" t="n">
        <v>0</v>
      </c>
      <c r="F69" s="86" t="n">
        <v>0</v>
      </c>
      <c r="G69" s="86" t="n">
        <v>0</v>
      </c>
      <c r="H69" s="84" t="n">
        <v>0</v>
      </c>
      <c r="J69" s="88" t="n"/>
      <c r="K69" s="86" t="n">
        <v>0</v>
      </c>
      <c r="L69" s="88" t="n"/>
      <c r="M69" s="89" t="n"/>
      <c r="N69" s="86" t="n">
        <v>0</v>
      </c>
    </row>
    <row r="70">
      <c r="A70" s="83" t="inlineStr">
        <is>
          <t>December 2 - 31, 2025 (30d)</t>
        </is>
      </c>
      <c r="B70" s="81" t="n"/>
      <c r="C70" s="82" t="n"/>
      <c r="D70" s="84" t="n">
        <v>2310.17</v>
      </c>
      <c r="E70" s="86" t="n">
        <v>83</v>
      </c>
      <c r="F70" s="86" t="n">
        <v>83</v>
      </c>
      <c r="G70" s="86" t="n">
        <v>0</v>
      </c>
      <c r="H70" s="84" t="n">
        <v>0</v>
      </c>
      <c r="J70" s="88" t="n">
        <v>0</v>
      </c>
      <c r="K70" s="86" t="n">
        <v>1859</v>
      </c>
      <c r="L70" s="88" t="n">
        <v>0.04464766003227542</v>
      </c>
      <c r="M70" s="89" t="n">
        <v>27.83337349397591</v>
      </c>
      <c r="N70" s="86" t="n">
        <v>0</v>
      </c>
    </row>
    <row r="71">
      <c r="A71" s="90" t="inlineStr">
        <is>
          <t>account data, Amazon parent B0H2Z62MJZ plus any of this product's child ASINs account data lists on their own, UTC days. Lift above uses these actual sales.</t>
        </is>
      </c>
    </row>
    <row r="72" ht="18" customHeight="1">
      <c r="A72" s="92" t="inlineStr">
        <is>
          <t>BFCM 2026 plan: Best Deal 11/19-11/30. Deal price and depth not yet given; not yet visible in Amazon's deal feed.</t>
        </is>
      </c>
    </row>
    <row r="73" ht="30" customHeight="1">
      <c r="A73" s="94" t="inlineStr">
        <is>
          <t>BFCM 2026 stock (account data, Oct 15): 621 units at Amazon + 0 already sent (no ETA in account data); selling 1.9 a day; need about 127 to Nov 30 with a 2.74x BFCM lift (ASSUMED: account BFCM 2025 lift (US); product's own 2025 lift not available). Variations: 33 covered, 0 need the inbound in time, 4 short even with inbound (19 units), 1 out of stock now. Detail: BFCM Stock tab.</t>
        </is>
      </c>
    </row>
    <row r="74" ht="18" customHeight="1">
      <c r="A74" s="95" t="inlineStr">
        <is>
          <t>ASSUMED 2026 deal prices, until the team's final: B0F63C8HL2 today $34.99; $29.74 at 15% off (Nov 19-26) and $27.99 at 20% off (Nov 27-30, Black Friday to Cyber Monday). Rule: team rule agreed Oct 15, 2026. Evidence: US competitors' median price cut in BFCM 2025: 31% (6 rivals). Amazon may use a lower reference price than today's (it sets it the day before the deal), which would lower the deal price.</t>
        </is>
      </c>
    </row>
    <row r="75">
      <c r="A75" s="90" t="inlineStr">
        <is>
          <t>No market data visibility history for our best child ASIN.</t>
        </is>
      </c>
    </row>
    <row r="76"/>
    <row r="77" ht="22" customHeight="1">
      <c r="A77" s="65" t="inlineStr">
        <is>
          <t>4 ▼</t>
        </is>
      </c>
      <c r="B77" s="66" t="inlineStr">
        <is>
          <t>COMPETITOR LANDSCAPE (21 mapped)</t>
        </is>
      </c>
      <c r="C77" s="67" t="n"/>
      <c r="D77" s="67" t="n"/>
      <c r="E77" s="67" t="n"/>
      <c r="F77" s="67" t="n"/>
      <c r="G77" s="67" t="n"/>
      <c r="H77" s="67" t="n"/>
      <c r="I77" s="67" t="n"/>
      <c r="J77" s="67" t="n"/>
      <c r="K77" s="67" t="n"/>
      <c r="L77" s="67" t="n"/>
      <c r="M77" s="67" t="n"/>
      <c r="N77" s="67" t="n"/>
      <c r="O77" s="67" t="n"/>
      <c r="P77" s="67" t="n"/>
      <c r="Q77" s="67" t="n"/>
      <c r="R77" s="67" t="n"/>
      <c r="S77" s="67" t="n"/>
      <c r="T77" s="67" t="n"/>
      <c r="U77" s="67" t="n"/>
      <c r="V77" s="67" t="n"/>
      <c r="W77" s="67" t="n"/>
      <c r="X77" s="67" t="n"/>
      <c r="Y77" s="67" t="n"/>
      <c r="Z77" s="67" t="n"/>
      <c r="AA77" s="67" t="n"/>
      <c r="AB77" s="67" t="n"/>
      <c r="AC77" s="67" t="n"/>
      <c r="AD77" s="67" t="n"/>
      <c r="AE77" s="67" t="n"/>
      <c r="AF77" s="67" t="n"/>
      <c r="AG77" s="67" t="n"/>
      <c r="AH77" s="67" t="n"/>
      <c r="AI77" s="67" t="n"/>
      <c r="AJ77" s="67" t="n"/>
      <c r="AK77" s="67" t="n"/>
      <c r="AL77" s="67" t="n"/>
      <c r="AM77" s="67" t="n"/>
      <c r="AN77" s="67" t="n"/>
      <c r="AO77" s="67" t="n"/>
      <c r="AP77" s="67" t="n"/>
      <c r="AQ77" s="67" t="n"/>
      <c r="AR77" s="67" t="n"/>
      <c r="AS77" s="67" t="n"/>
      <c r="AT77" s="67" t="n"/>
      <c r="AU77" s="67" t="n"/>
      <c r="AV77" s="67" t="n"/>
      <c r="AW77" s="67" t="n"/>
      <c r="AX77" s="67" t="n"/>
      <c r="AY77" s="67" t="n"/>
      <c r="AZ77" s="67" t="n"/>
      <c r="BA77" s="67" t="n"/>
      <c r="BB77" s="67" t="n"/>
      <c r="BC77" s="67" t="n"/>
      <c r="BD77" s="67" t="n"/>
      <c r="BE77" s="67" t="n"/>
      <c r="BF77" s="67" t="n"/>
      <c r="BG77" s="67" t="n"/>
      <c r="BH77" s="67" t="n"/>
      <c r="BI77" s="67" t="n"/>
      <c r="BJ77" s="67" t="n"/>
      <c r="BK77" s="67" t="n"/>
    </row>
    <row r="78" ht="20" customHeight="1">
      <c r="A78" s="96" t="inlineStr">
        <is>
          <t>▼▼▼</t>
        </is>
      </c>
      <c r="B78" s="97" t="inlineStr">
        <is>
          <t>COMPETITOR DATA BELOW: one row per competitor (0 direct first, then alternative material). Scroll right for listing, search, strikethrough now and BFCM 2025 history (deal type, price, discount, rank change).</t>
        </is>
      </c>
      <c r="C78" s="98" t="n"/>
      <c r="D78" s="98" t="n"/>
      <c r="E78" s="98" t="n"/>
      <c r="F78" s="98" t="n"/>
      <c r="G78" s="98" t="n"/>
      <c r="H78" s="98" t="n"/>
      <c r="I78" s="98" t="n"/>
      <c r="J78" s="98" t="n"/>
      <c r="K78" s="98" t="n"/>
      <c r="L78" s="98" t="n"/>
      <c r="M78" s="98" t="n"/>
      <c r="N78" s="98" t="n"/>
      <c r="O78" s="98" t="n"/>
      <c r="P78" s="98" t="n"/>
      <c r="Q78" s="98" t="n"/>
      <c r="R78" s="98" t="n"/>
      <c r="S78" s="98" t="n"/>
      <c r="T78" s="98" t="n"/>
      <c r="U78" s="98" t="n"/>
      <c r="V78" s="98" t="n"/>
      <c r="W78" s="98" t="n"/>
      <c r="X78" s="98" t="n"/>
      <c r="Y78" s="98" t="n"/>
      <c r="Z78" s="98" t="n"/>
      <c r="AA78" s="98" t="n"/>
      <c r="AB78" s="98" t="n"/>
      <c r="AC78" s="98" t="n"/>
      <c r="AD78" s="98" t="n"/>
      <c r="AE78" s="98" t="n"/>
      <c r="AF78" s="98" t="n"/>
      <c r="AG78" s="98" t="n"/>
      <c r="AH78" s="98" t="n"/>
      <c r="AI78" s="98" t="n"/>
      <c r="AJ78" s="98" t="n"/>
      <c r="AK78" s="98" t="n"/>
      <c r="AL78" s="98" t="n"/>
      <c r="AM78" s="98" t="n"/>
      <c r="AN78" s="98" t="n"/>
      <c r="AO78" s="98" t="n"/>
      <c r="AP78" s="98" t="n"/>
      <c r="AQ78" s="98" t="n"/>
      <c r="AR78" s="98" t="n"/>
      <c r="AS78" s="98" t="n"/>
      <c r="AT78" s="98" t="n"/>
      <c r="AU78" s="98" t="n"/>
      <c r="AV78" s="98" t="n"/>
      <c r="AW78" s="98" t="n"/>
      <c r="AX78" s="98" t="n"/>
      <c r="AY78" s="98" t="n"/>
      <c r="AZ78" s="98" t="n"/>
      <c r="BA78" s="98" t="n"/>
      <c r="BB78" s="98" t="n"/>
      <c r="BC78" s="98" t="n"/>
      <c r="BD78" s="98" t="n"/>
      <c r="BE78" s="98" t="n"/>
      <c r="BF78" s="98" t="n"/>
      <c r="BG78" s="98" t="n"/>
      <c r="BH78" s="98" t="n"/>
      <c r="BI78" s="98" t="n"/>
      <c r="BJ78" s="98" t="n"/>
      <c r="BK78" s="98" t="n"/>
    </row>
    <row r="79">
      <c r="A79" s="99" t="inlineStr">
        <is>
          <t>COMPETITOR</t>
        </is>
      </c>
      <c r="L79" s="100" t="inlineStr">
        <is>
          <t>LISTING - catalog data</t>
        </is>
      </c>
      <c r="M79" s="101" t="inlineStr">
        <is>
          <t>SEARCH STRATEGY - market data search data</t>
        </is>
      </c>
      <c r="N79" s="102" t="inlineStr">
        <is>
          <t>PRICE &amp; SALES - market data snapshot (date per row)</t>
        </is>
      </c>
      <c r="AA79" s="100" t="inlineStr">
        <is>
          <t>LISTING - catalog data</t>
        </is>
      </c>
      <c r="AD79" s="101" t="inlineStr">
        <is>
          <t>SEARCH STRATEGY - market data search data</t>
        </is>
      </c>
      <c r="AU79" s="103" t="inlineStr">
        <is>
          <t>STR NOW - Amazon page check (Oct 13, P1 + P2)</t>
        </is>
      </c>
      <c r="BB79" s="104" t="inlineStr">
        <is>
          <t>BFCM 2025 - price history (P1 filled; yellow = not pulled yet)</t>
        </is>
      </c>
    </row>
    <row r="80" ht="48" customHeight="1">
      <c r="A80" s="26" t="inlineStr">
        <is>
          <t>Image</t>
        </is>
      </c>
      <c r="B80" s="26" t="inlineStr">
        <is>
          <t>Brand</t>
        </is>
      </c>
      <c r="C80" s="26" t="inlineStr">
        <is>
          <t>Product title</t>
        </is>
      </c>
      <c r="D80" s="26" t="inlineStr">
        <is>
          <t>Tier</t>
        </is>
      </c>
      <c r="E80" s="26" t="inlineStr">
        <is>
          <t>Competitor type</t>
        </is>
      </c>
      <c r="F80" s="26" t="inlineStr">
        <is>
          <t>Material</t>
        </is>
      </c>
      <c r="G80" s="26" t="inlineStr">
        <is>
          <t>Why this type</t>
        </is>
      </c>
      <c r="H80" s="26" t="inlineStr">
        <is>
          <t>Parent ASIN</t>
        </is>
      </c>
      <c r="I80" s="26" t="inlineStr">
        <is>
          <t>Tracked child ASIN</t>
        </is>
      </c>
      <c r="J80" s="26" t="inlineStr">
        <is>
          <t>Size</t>
        </is>
      </c>
      <c r="K80" s="26" t="inlineStr">
        <is>
          <t>Colour</t>
        </is>
      </c>
      <c r="L80" s="26" t="inlineStr">
        <is>
          <t>Variations</t>
        </is>
      </c>
      <c r="M80" s="26" t="inlineStr">
        <is>
          <t>Hero child ASINs (share of their visibility)</t>
        </is>
      </c>
      <c r="N80" s="26" t="inlineStr">
        <is>
          <t>Price ($)</t>
        </is>
      </c>
      <c r="O80" s="26" t="inlineStr">
        <is>
          <t>List Price ($)</t>
        </is>
      </c>
      <c r="P80" s="26" t="inlineStr">
        <is>
          <t>List Price % over</t>
        </is>
      </c>
      <c r="Q80" s="26" t="inlineStr">
        <is>
          <t>STR band</t>
        </is>
      </c>
      <c r="R80" s="26" t="inlineStr">
        <is>
          <t>Our price, same size ($)</t>
        </is>
      </c>
      <c r="S80" s="26" t="inlineStr">
        <is>
          <t>Their price vs ours</t>
        </is>
      </c>
      <c r="T80" s="26" t="inlineStr">
        <is>
          <t>Comparison basis</t>
        </is>
      </c>
      <c r="U80" s="26" t="inlineStr">
        <is>
          <t>BSR</t>
        </is>
      </c>
      <c r="V80" s="26" t="inlineStr">
        <is>
          <t>Est weekly units</t>
        </is>
      </c>
      <c r="W80" s="26" t="inlineStr">
        <is>
          <t>Est monthly revenue ($)</t>
        </is>
      </c>
      <c r="X80" s="26" t="inlineStr">
        <is>
          <t>Rating</t>
        </is>
      </c>
      <c r="Y80" s="26" t="inlineStr">
        <is>
          <t>Reviews</t>
        </is>
      </c>
      <c r="Z80" s="26" t="inlineStr">
        <is>
          <t>Snapshot date</t>
        </is>
      </c>
      <c r="AA80" s="26" t="inlineStr">
        <is>
          <t>Listed</t>
        </is>
      </c>
      <c r="AB80" s="26" t="inlineStr">
        <is>
          <t>Fulfil.</t>
        </is>
      </c>
      <c r="AC80" s="26" t="inlineStr">
        <is>
          <t>Seller country</t>
        </is>
      </c>
      <c r="AD80" s="26" t="inlineStr">
        <is>
          <t>search data 7d traffic</t>
        </is>
      </c>
      <c r="AE80" s="26" t="inlineStr">
        <is>
          <t>Keywords ranked</t>
        </is>
      </c>
      <c r="AF80" s="26" t="inlineStr">
        <is>
          <t>Organic share of traffic</t>
        </is>
      </c>
      <c r="AG80" s="26" t="inlineStr">
        <is>
          <t>Ad share of traffic</t>
        </is>
      </c>
      <c r="AH80" s="26" t="inlineStr">
        <is>
          <t>Top keyword</t>
        </is>
      </c>
      <c r="AI80" s="26" t="inlineStr">
        <is>
          <t>SP reach</t>
        </is>
      </c>
      <c r="AJ80" s="26" t="inlineStr">
        <is>
          <t>SB reach</t>
        </is>
      </c>
      <c r="AK80" s="26" t="inlineStr">
        <is>
          <t>SB video reach</t>
        </is>
      </c>
      <c r="AL80" s="26" t="inlineStr">
        <is>
          <t>Amazon's Choice reach</t>
        </is>
      </c>
      <c r="AM80" s="26" t="inlineStr">
        <is>
          <t>Shared keywords</t>
        </is>
      </c>
      <c r="AN80" s="26" t="inlineStr">
        <is>
          <t>We win</t>
        </is>
      </c>
      <c r="AO80" s="26" t="inlineStr">
        <is>
          <t>We lose</t>
        </is>
      </c>
      <c r="AP80" s="26" t="inlineStr">
        <is>
          <t>Their keywords we miss</t>
        </is>
      </c>
      <c r="AQ80" s="26" t="inlineStr">
        <is>
          <t>KWs they advertise, we don't</t>
        </is>
      </c>
      <c r="AR80" s="26" t="inlineStr">
        <is>
          <t>KWs they out-advertise us</t>
        </is>
      </c>
      <c r="AS80" s="26" t="inlineStr">
        <is>
          <t>Prime Day 2026 organic vis lift</t>
        </is>
      </c>
      <c r="AT80" s="26" t="inlineStr">
        <is>
          <t>Organic trend (Aug-Sep vs Q2)</t>
        </is>
      </c>
      <c r="AU80" s="26" t="inlineStr">
        <is>
          <t>STR showing now? (Y/N)</t>
        </is>
      </c>
      <c r="AV80" s="26" t="inlineStr">
        <is>
          <t>STR label</t>
        </is>
      </c>
      <c r="AW80" s="26" t="inlineStr">
        <is>
          <t>Strikethrough price ($)</t>
        </is>
      </c>
      <c r="AX80" s="26" t="inlineStr">
        <is>
          <t>Page price at check ($)</t>
        </is>
      </c>
      <c r="AY80" s="26" t="inlineStr">
        <is>
          <t>Deal / coupon now</t>
        </is>
      </c>
      <c r="AZ80" s="26" t="inlineStr">
        <is>
          <t>Orderable now (Y/N)</t>
        </is>
      </c>
      <c r="BA80" s="26" t="inlineStr">
        <is>
          <t>Checked (ET)</t>
        </is>
      </c>
      <c r="BB80" s="26" t="inlineStr">
        <is>
          <t>BFCM 2025 deal type</t>
        </is>
      </c>
      <c r="BC80" s="26" t="inlineStr">
        <is>
          <t>BFCM 2025 deal dates</t>
        </is>
      </c>
      <c r="BD80" s="26" t="inlineStr">
        <is>
          <t>Pre-event price ($)</t>
        </is>
      </c>
      <c r="BE80" s="26" t="inlineStr">
        <is>
          <t>BFCM 2025 low ($)</t>
        </is>
      </c>
      <c r="BF80" s="26" t="inlineStr">
        <is>
          <t>BFCM 2025 discount</t>
        </is>
      </c>
      <c r="BG80" s="26" t="inlineStr">
        <is>
          <t>BSR pre-event</t>
        </is>
      </c>
      <c r="BH80" s="26" t="inlineStr">
        <is>
          <t>BSR BFCM wk</t>
        </is>
      </c>
      <c r="BI80" s="26" t="inlineStr">
        <is>
          <t>BSR lift (x)</t>
        </is>
      </c>
      <c r="BJ80" s="26" t="inlineStr">
        <is>
          <t>OOS in BFCM? (Y/N)</t>
        </is>
      </c>
      <c r="BK80" s="26" t="inlineStr">
        <is>
          <t>Notes</t>
        </is>
      </c>
    </row>
    <row r="81" ht="62" customHeight="1">
      <c r="A81" s="12">
        <f>_xlfn.IMAGE("https://images-na.ssl-images-amazon.com/images/I/812kUwGK2qL.jpg")</f>
        <v/>
      </c>
      <c r="B81" s="105" t="inlineStr">
        <is>
          <t>MIULEE</t>
        </is>
      </c>
      <c r="C81" s="39" t="inlineStr">
        <is>
          <t>MIULEE 100% Blackout Linen Curtains for Bedroom 52x84 Inches Natural Beige</t>
        </is>
      </c>
      <c r="D81" s="105" t="inlineStr">
        <is>
          <t>Aspirational</t>
        </is>
      </c>
      <c r="E81" s="134" t="inlineStr">
        <is>
          <t>Not classified</t>
        </is>
      </c>
      <c r="F81" s="105" t="n"/>
      <c r="G81" s="39" t="inlineStr">
        <is>
          <t>Not a sheet, pillowcase or comforter product; competitors are compared on price and sales only.</t>
        </is>
      </c>
      <c r="H81" s="107" t="inlineStr">
        <is>
          <t>B0H7XKHWFT</t>
        </is>
      </c>
      <c r="I81" s="107" t="inlineStr">
        <is>
          <t>B08SBYPF14</t>
        </is>
      </c>
      <c r="J81" s="105" t="inlineStr">
        <is>
          <t>52"W x 84"L (Pack of 2)</t>
        </is>
      </c>
      <c r="K81" s="105" t="inlineStr">
        <is>
          <t>Beige</t>
        </is>
      </c>
      <c r="L81" s="108" t="n">
        <v>487</v>
      </c>
      <c r="M81" s="39" t="inlineStr"/>
      <c r="N81" s="109" t="n">
        <v>25.95</v>
      </c>
      <c r="O81" s="109" t="n"/>
      <c r="P81" s="110">
        <f>IF(AND(ISNUMBER(O81),ISNUMBER(N81),N(N81)&gt;0),O81/N81-1,"")</f>
        <v/>
      </c>
      <c r="Q81" s="111">
        <f>IF(P81="","No List Price",IF(P81&lt;=0,"At/below price",IF(P81&lt;=0.12,"&lt;=12% STR zone",IF(P81&lt;=0.25,"12-25%","&gt;25% over"))))</f>
        <v/>
      </c>
      <c r="R81" s="109" t="n">
        <v>29.82333333333333</v>
      </c>
      <c r="S81" s="112">
        <f>IF(AND(ISNUMBER(N81),ISNUMBER(R81),N(R81)&gt;0),N81/R81-1,"")</f>
        <v/>
      </c>
      <c r="T81" s="39" t="inlineStr">
        <is>
          <t>vs our blended price (market data, Mar 2026 - STALE)</t>
        </is>
      </c>
      <c r="U81" s="108" t="n">
        <v>143</v>
      </c>
      <c r="V81" s="108" t="n">
        <v>3464</v>
      </c>
      <c r="W81" s="113">
        <f>IF(AND(ISNUMBER(N81),ISNUMBER(V81)),N81*V81*52/12,"")</f>
        <v/>
      </c>
      <c r="X81" s="114" t="n">
        <v>4.6</v>
      </c>
      <c r="Y81" s="108" t="n">
        <v>10414</v>
      </c>
      <c r="Z81" s="115" t="n">
        <v>46307</v>
      </c>
      <c r="AA81" s="115" t="n">
        <v>44284</v>
      </c>
      <c r="AB81" s="105" t="inlineStr">
        <is>
          <t>FBA</t>
        </is>
      </c>
      <c r="AC81" s="105" t="inlineStr">
        <is>
          <t>CN</t>
        </is>
      </c>
      <c r="AD81" s="108" t="n"/>
      <c r="AE81" s="108" t="n"/>
      <c r="AF81" s="116" t="n"/>
      <c r="AG81" s="116" t="n"/>
      <c r="AH81" s="39" t="n"/>
      <c r="AI81" s="116" t="n"/>
      <c r="AJ81" s="116" t="n"/>
      <c r="AK81" s="116" t="n"/>
      <c r="AL81" s="116" t="n"/>
      <c r="AM81" s="108" t="n"/>
      <c r="AN81" s="108" t="n"/>
      <c r="AO81" s="108" t="n"/>
      <c r="AP81" s="108" t="n"/>
      <c r="AQ81" s="108" t="n"/>
      <c r="AR81" s="108" t="n"/>
      <c r="AS81" s="117" t="n">
        <v>0.8301788448382579</v>
      </c>
      <c r="AT81" s="112" t="n">
        <v>0.4521308225966303</v>
      </c>
      <c r="AU81" s="118" t="inlineStr">
        <is>
          <t>Y</t>
        </is>
      </c>
      <c r="AV81" s="118" t="inlineStr">
        <is>
          <t>List Price</t>
        </is>
      </c>
      <c r="AW81" s="119" t="n">
        <v>27.73</v>
      </c>
      <c r="AX81" s="119" t="n">
        <v>25.95</v>
      </c>
      <c r="AY81" s="118" t="inlineStr">
        <is>
          <t>none</t>
        </is>
      </c>
      <c r="AZ81" s="118" t="inlineStr">
        <is>
          <t>Y</t>
        </is>
      </c>
      <c r="BA81" s="118" t="inlineStr">
        <is>
          <t>2026-10-13 23:41:47</t>
        </is>
      </c>
      <c r="BB81" s="120" t="inlineStr">
        <is>
          <t>Prime Exclusive Discount</t>
        </is>
      </c>
      <c r="BC81" s="120" t="inlineStr">
        <is>
          <t>11-20 to 12-01</t>
        </is>
      </c>
      <c r="BD81" s="121" t="n">
        <v>29.95</v>
      </c>
      <c r="BE81" s="121" t="n">
        <v>21.56</v>
      </c>
      <c r="BF81" s="110">
        <f>IF(AND(ISNUMBER(BD81),ISNUMBER(BE81),N(BD81)&gt;0),1-BE81/BD81,"")</f>
        <v/>
      </c>
      <c r="BG81" s="122" t="n">
        <v>409</v>
      </c>
      <c r="BH81" s="122" t="n">
        <v>732</v>
      </c>
      <c r="BI81" s="123">
        <f>IF(AND(ISNUMBER(BG81),ISNUMBER(BH81),N(BH81)&gt;0),BG81/BH81,"")</f>
        <v/>
      </c>
      <c r="BJ81" s="120" t="inlineStr">
        <is>
          <t>N</t>
        </is>
      </c>
      <c r="BK81" s="120" t="inlineStr">
        <is>
          <t>Coupon 20% (11-01 to 11-02); List Price $29.95</t>
        </is>
      </c>
    </row>
    <row r="82" ht="62" customHeight="1">
      <c r="A82" s="12">
        <f>_xlfn.IMAGE("https://images-na.ssl-images-amazon.com/images/I/7121kw+gfyL.jpg")</f>
        <v/>
      </c>
      <c r="B82" s="105" t="inlineStr">
        <is>
          <t>100% Blackout Shield</t>
        </is>
      </c>
      <c r="C82" s="39" t="inlineStr">
        <is>
          <t>Linen Total Blackout Curtains for Bedroom Living Room 84 Inch, Cream</t>
        </is>
      </c>
      <c r="D82" s="105" t="inlineStr">
        <is>
          <t>Aspirational</t>
        </is>
      </c>
      <c r="E82" s="134" t="inlineStr">
        <is>
          <t>Not classified</t>
        </is>
      </c>
      <c r="F82" s="105" t="n"/>
      <c r="G82" s="39" t="inlineStr">
        <is>
          <t>Not a sheet, pillowcase or comforter product; competitors are compared on price and sales only.</t>
        </is>
      </c>
      <c r="H82" s="107" t="inlineStr">
        <is>
          <t>B0D6GLVXHM</t>
        </is>
      </c>
      <c r="I82" s="107" t="inlineStr">
        <is>
          <t>B0BR3STN87</t>
        </is>
      </c>
      <c r="J82" s="105" t="inlineStr">
        <is>
          <t>50"W x 84"L (Pack of 2)</t>
        </is>
      </c>
      <c r="K82" s="105" t="inlineStr">
        <is>
          <t>Alba | Cream</t>
        </is>
      </c>
      <c r="L82" s="108" t="n">
        <v>286</v>
      </c>
      <c r="M82" s="39" t="inlineStr"/>
      <c r="N82" s="109" t="n">
        <v>32.97</v>
      </c>
      <c r="O82" s="109" t="n">
        <v>39.99</v>
      </c>
      <c r="P82" s="110">
        <f>IF(AND(ISNUMBER(O82),ISNUMBER(N82),N(N82)&gt;0),O82/N82-1,"")</f>
        <v/>
      </c>
      <c r="Q82" s="111">
        <f>IF(P82="","No List Price",IF(P82&lt;=0,"At/below price",IF(P82&lt;=0.12,"&lt;=12% STR zone",IF(P82&lt;=0.25,"12-25%","&gt;25% over"))))</f>
        <v/>
      </c>
      <c r="R82" s="109" t="n">
        <v>29.82333333333333</v>
      </c>
      <c r="S82" s="112">
        <f>IF(AND(ISNUMBER(N82),ISNUMBER(R82),N(R82)&gt;0),N82/R82-1,"")</f>
        <v/>
      </c>
      <c r="T82" s="39" t="inlineStr">
        <is>
          <t>vs our blended price (market data, Mar 2026 - STALE)</t>
        </is>
      </c>
      <c r="U82" s="108" t="n">
        <v>84</v>
      </c>
      <c r="V82" s="108" t="n">
        <v>2079</v>
      </c>
      <c r="W82" s="113">
        <f>IF(AND(ISNUMBER(N82),ISNUMBER(V82)),N82*V82*52/12,"")</f>
        <v/>
      </c>
      <c r="X82" s="114" t="n">
        <v>4.5</v>
      </c>
      <c r="Y82" s="108" t="n">
        <v>9093</v>
      </c>
      <c r="Z82" s="115" t="n">
        <v>46307</v>
      </c>
      <c r="AA82" s="115" t="n">
        <v>44921</v>
      </c>
      <c r="AB82" s="105" t="inlineStr">
        <is>
          <t>FBA</t>
        </is>
      </c>
      <c r="AC82" s="105" t="inlineStr">
        <is>
          <t>CN</t>
        </is>
      </c>
      <c r="AD82" s="108" t="n"/>
      <c r="AE82" s="108" t="n"/>
      <c r="AF82" s="116" t="n"/>
      <c r="AG82" s="116" t="n"/>
      <c r="AH82" s="39" t="n"/>
      <c r="AI82" s="116" t="n"/>
      <c r="AJ82" s="116" t="n"/>
      <c r="AK82" s="116" t="n"/>
      <c r="AL82" s="116" t="n"/>
      <c r="AM82" s="108" t="n"/>
      <c r="AN82" s="108" t="n"/>
      <c r="AO82" s="108" t="n"/>
      <c r="AP82" s="108" t="n"/>
      <c r="AQ82" s="108" t="n"/>
      <c r="AR82" s="108" t="n"/>
      <c r="AS82" s="117" t="n">
        <v>0.8692836478488202</v>
      </c>
      <c r="AT82" s="112" t="n">
        <v>-0.07093570645514924</v>
      </c>
      <c r="AU82" s="118" t="inlineStr">
        <is>
          <t>Y</t>
        </is>
      </c>
      <c r="AV82" s="118" t="inlineStr">
        <is>
          <t>List Price</t>
        </is>
      </c>
      <c r="AW82" s="119" t="n">
        <v>39.99</v>
      </c>
      <c r="AX82" s="119" t="n">
        <v>32.97</v>
      </c>
      <c r="AY82" s="118" t="inlineStr">
        <is>
          <t>none</t>
        </is>
      </c>
      <c r="AZ82" s="118" t="inlineStr">
        <is>
          <t>Y</t>
        </is>
      </c>
      <c r="BA82" s="118" t="inlineStr">
        <is>
          <t>2026-10-13 23:39:33</t>
        </is>
      </c>
      <c r="BB82" s="120" t="inlineStr">
        <is>
          <t>Price cut only</t>
        </is>
      </c>
      <c r="BC82" s="120" t="inlineStr">
        <is>
          <t>11-20 to 12-01</t>
        </is>
      </c>
      <c r="BD82" s="121" t="n">
        <v>38.99</v>
      </c>
      <c r="BE82" s="121" t="n">
        <v>26.51</v>
      </c>
      <c r="BF82" s="110">
        <f>IF(AND(ISNUMBER(BD82),ISNUMBER(BE82),N(BD82)&gt;0),1-BE82/BD82,"")</f>
        <v/>
      </c>
      <c r="BG82" s="122" t="n">
        <v>200</v>
      </c>
      <c r="BH82" s="122" t="n">
        <v>334</v>
      </c>
      <c r="BI82" s="123">
        <f>IF(AND(ISNUMBER(BG82),ISNUMBER(BH82),N(BH82)&gt;0),BG82/BH82,"")</f>
        <v/>
      </c>
      <c r="BJ82" s="120" t="inlineStr">
        <is>
          <t>N</t>
        </is>
      </c>
      <c r="BK82" s="120" t="inlineStr">
        <is>
          <t>List Price $39.99</t>
        </is>
      </c>
    </row>
    <row r="83" ht="62" customHeight="1">
      <c r="A83" s="12">
        <f>_xlfn.IMAGE("https://m.media-amazon.com/images/I/71HJGiZ6OCL._AC_SL1500_.jpg")</f>
        <v/>
      </c>
      <c r="B83" s="105" t="inlineStr">
        <is>
          <t>Nanspring</t>
        </is>
      </c>
      <c r="C83" s="39" t="inlineStr">
        <is>
          <t>Cream Linen Back Tab Curtains 84 Inch Length for Living Room 2 Panel Set Neutral</t>
        </is>
      </c>
      <c r="D83" s="105" t="inlineStr">
        <is>
          <t>Aspirational</t>
        </is>
      </c>
      <c r="E83" s="134" t="inlineStr">
        <is>
          <t>Not classified</t>
        </is>
      </c>
      <c r="F83" s="105" t="n"/>
      <c r="G83" s="39" t="inlineStr">
        <is>
          <t>Not a sheet, pillowcase or comforter product; competitors are compared on price and sales only.</t>
        </is>
      </c>
      <c r="H83" s="107" t="inlineStr">
        <is>
          <t>B0BWJC73QX</t>
        </is>
      </c>
      <c r="I83" s="107" t="inlineStr">
        <is>
          <t>B0BWJDW3BX</t>
        </is>
      </c>
      <c r="J83" s="105" t="inlineStr">
        <is>
          <t>52"W x 84"L (Pack of 2)</t>
        </is>
      </c>
      <c r="K83" s="105" t="inlineStr">
        <is>
          <t>Natural</t>
        </is>
      </c>
      <c r="L83" s="108" t="n"/>
      <c r="M83" s="39" t="inlineStr"/>
      <c r="N83" s="109" t="n">
        <v>13.98</v>
      </c>
      <c r="O83" s="109" t="n"/>
      <c r="P83" s="110">
        <f>IF(AND(ISNUMBER(O83),ISNUMBER(N83),N(N83)&gt;0),O83/N83-1,"")</f>
        <v/>
      </c>
      <c r="Q83" s="111">
        <f>IF(P83="","No List Price",IF(P83&lt;=0,"At/below price",IF(P83&lt;=0.12,"&lt;=12% STR zone",IF(P83&lt;=0.25,"12-25%","&gt;25% over"))))</f>
        <v/>
      </c>
      <c r="R83" s="109" t="n">
        <v>29.82333333333333</v>
      </c>
      <c r="S83" s="112">
        <f>IF(AND(ISNUMBER(N83),ISNUMBER(R83),N(R83)&gt;0),N83/R83-1,"")</f>
        <v/>
      </c>
      <c r="T83" s="39" t="inlineStr">
        <is>
          <t>vs our blended price (market data, Mar 2026 - STALE)</t>
        </is>
      </c>
      <c r="U83" s="108" t="n">
        <v>278</v>
      </c>
      <c r="V83" s="108" t="n">
        <v>2079</v>
      </c>
      <c r="W83" s="113">
        <f>IF(AND(ISNUMBER(N83),ISNUMBER(V83)),N83*V83*52/12,"")</f>
        <v/>
      </c>
      <c r="X83" s="114" t="n">
        <v>4.7</v>
      </c>
      <c r="Y83" s="108" t="n">
        <v>7261</v>
      </c>
      <c r="Z83" s="115" t="n">
        <v>46307</v>
      </c>
      <c r="AA83" s="115" t="n"/>
      <c r="AB83" s="105" t="n"/>
      <c r="AC83" s="105" t="n"/>
      <c r="AD83" s="108" t="n"/>
      <c r="AE83" s="108" t="n"/>
      <c r="AF83" s="116" t="n"/>
      <c r="AG83" s="116" t="n"/>
      <c r="AH83" s="39" t="n"/>
      <c r="AI83" s="116" t="n"/>
      <c r="AJ83" s="116" t="n"/>
      <c r="AK83" s="116" t="n"/>
      <c r="AL83" s="116" t="n"/>
      <c r="AM83" s="108" t="n"/>
      <c r="AN83" s="108" t="n"/>
      <c r="AO83" s="108" t="n"/>
      <c r="AP83" s="108" t="n"/>
      <c r="AQ83" s="108" t="n"/>
      <c r="AR83" s="108" t="n"/>
      <c r="AS83" s="117" t="n"/>
      <c r="AT83" s="112" t="n"/>
      <c r="AU83" s="118" t="inlineStr">
        <is>
          <t>N</t>
        </is>
      </c>
      <c r="AV83" s="118" t="inlineStr">
        <is>
          <t>none</t>
        </is>
      </c>
      <c r="AW83" s="124" t="n"/>
      <c r="AX83" s="119" t="n">
        <v>13.98</v>
      </c>
      <c r="AY83" s="118" t="inlineStr">
        <is>
          <t>none</t>
        </is>
      </c>
      <c r="AZ83" s="118" t="inlineStr">
        <is>
          <t>Y</t>
        </is>
      </c>
      <c r="BA83" s="118" t="inlineStr">
        <is>
          <t>2026-10-13 23:42:12</t>
        </is>
      </c>
      <c r="BB83" s="120" t="inlineStr">
        <is>
          <t>Prime Exclusive Discount</t>
        </is>
      </c>
      <c r="BC83" s="120" t="inlineStr">
        <is>
          <t>11-24 to 12-01</t>
        </is>
      </c>
      <c r="BD83" s="121" t="n">
        <v>15.98</v>
      </c>
      <c r="BE83" s="121" t="n">
        <v>11.98</v>
      </c>
      <c r="BF83" s="110">
        <f>IF(AND(ISNUMBER(BD83),ISNUMBER(BE83),N(BD83)&gt;0),1-BE83/BD83,"")</f>
        <v/>
      </c>
      <c r="BG83" s="122" t="n">
        <v>274</v>
      </c>
      <c r="BH83" s="122" t="n">
        <v>658</v>
      </c>
      <c r="BI83" s="123">
        <f>IF(AND(ISNUMBER(BG83),ISNUMBER(BH83),N(BH83)&gt;0),BG83/BH83,"")</f>
        <v/>
      </c>
      <c r="BJ83" s="120" t="inlineStr">
        <is>
          <t>N</t>
        </is>
      </c>
      <c r="BK83" s="120" t="inlineStr">
        <is>
          <t>Coupon 20% (12-03 to 12-05); Buy Box RAISED in BFCM week (median $17.98 vs $15.98 before); List Price $14.98</t>
        </is>
      </c>
    </row>
    <row r="84" ht="62" customHeight="1">
      <c r="A84" s="12">
        <f>_xlfn.IMAGE("https://images-na.ssl-images-amazon.com/images/I/71vhA-t8PDL.jpg")</f>
        <v/>
      </c>
      <c r="B84" s="105" t="inlineStr">
        <is>
          <t>H.VERSAILTEX</t>
        </is>
      </c>
      <c r="C84" s="39" t="inlineStr">
        <is>
          <t>H.VERSAILTEX 100% Blackout Linen Curtains 84" L 2 Panels Natural</t>
        </is>
      </c>
      <c r="D84" s="105" t="inlineStr">
        <is>
          <t>Aspirational</t>
        </is>
      </c>
      <c r="E84" s="134" t="inlineStr">
        <is>
          <t>Not classified</t>
        </is>
      </c>
      <c r="F84" s="105" t="n"/>
      <c r="G84" s="39" t="inlineStr">
        <is>
          <t>Not a sheet, pillowcase or comforter product; competitors are compared on price and sales only.</t>
        </is>
      </c>
      <c r="H84" s="107" t="inlineStr">
        <is>
          <t>B0FGK6NVTC</t>
        </is>
      </c>
      <c r="I84" s="107" t="inlineStr">
        <is>
          <t>B07C9HL1G1</t>
        </is>
      </c>
      <c r="J84" s="105" t="inlineStr">
        <is>
          <t>52"W x 84"L (Pack of 2)</t>
        </is>
      </c>
      <c r="K84" s="105" t="inlineStr">
        <is>
          <t>Natural</t>
        </is>
      </c>
      <c r="L84" s="108" t="n">
        <v>381</v>
      </c>
      <c r="M84" s="39" t="inlineStr"/>
      <c r="N84" s="109" t="n">
        <v>27.95</v>
      </c>
      <c r="O84" s="109" t="n"/>
      <c r="P84" s="110">
        <f>IF(AND(ISNUMBER(O84),ISNUMBER(N84),N(N84)&gt;0),O84/N84-1,"")</f>
        <v/>
      </c>
      <c r="Q84" s="111">
        <f>IF(P84="","No List Price",IF(P84&lt;=0,"At/below price",IF(P84&lt;=0.12,"&lt;=12% STR zone",IF(P84&lt;=0.25,"12-25%","&gt;25% over"))))</f>
        <v/>
      </c>
      <c r="R84" s="109" t="n">
        <v>29.82333333333333</v>
      </c>
      <c r="S84" s="112">
        <f>IF(AND(ISNUMBER(N84),ISNUMBER(R84),N(R84)&gt;0),N84/R84-1,"")</f>
        <v/>
      </c>
      <c r="T84" s="39" t="inlineStr">
        <is>
          <t>vs our blended price (market data, Mar 2026 - STALE)</t>
        </is>
      </c>
      <c r="U84" s="108" t="n">
        <v>358</v>
      </c>
      <c r="V84" s="108" t="n">
        <v>809</v>
      </c>
      <c r="W84" s="113">
        <f>IF(AND(ISNUMBER(N84),ISNUMBER(V84)),N84*V84*52/12,"")</f>
        <v/>
      </c>
      <c r="X84" s="114" t="n">
        <v>4.6</v>
      </c>
      <c r="Y84" s="108" t="n">
        <v>25977</v>
      </c>
      <c r="Z84" s="115" t="n">
        <v>46307</v>
      </c>
      <c r="AA84" s="115" t="n">
        <v>43186</v>
      </c>
      <c r="AB84" s="105" t="inlineStr">
        <is>
          <t>FBA</t>
        </is>
      </c>
      <c r="AC84" s="105" t="inlineStr">
        <is>
          <t>CN</t>
        </is>
      </c>
      <c r="AD84" s="108" t="n"/>
      <c r="AE84" s="108" t="n"/>
      <c r="AF84" s="116" t="n"/>
      <c r="AG84" s="116" t="n"/>
      <c r="AH84" s="39" t="n"/>
      <c r="AI84" s="116" t="n"/>
      <c r="AJ84" s="116" t="n"/>
      <c r="AK84" s="116" t="n"/>
      <c r="AL84" s="116" t="n"/>
      <c r="AM84" s="108" t="n"/>
      <c r="AN84" s="108" t="n"/>
      <c r="AO84" s="108" t="n"/>
      <c r="AP84" s="108" t="n"/>
      <c r="AQ84" s="108" t="n"/>
      <c r="AR84" s="108" t="n"/>
      <c r="AS84" s="117" t="n">
        <v>0.9676046059033409</v>
      </c>
      <c r="AT84" s="112" t="n">
        <v>0.1809191390343223</v>
      </c>
      <c r="AU84" s="118" t="inlineStr">
        <is>
          <t>N</t>
        </is>
      </c>
      <c r="AV84" s="118" t="inlineStr">
        <is>
          <t>none</t>
        </is>
      </c>
      <c r="AW84" s="124" t="n"/>
      <c r="AX84" s="119" t="n">
        <v>27.95</v>
      </c>
      <c r="AY84" s="118" t="inlineStr">
        <is>
          <t>none</t>
        </is>
      </c>
      <c r="AZ84" s="118" t="inlineStr">
        <is>
          <t>Y</t>
        </is>
      </c>
      <c r="BA84" s="118" t="inlineStr">
        <is>
          <t>2026-10-13 23:41:00</t>
        </is>
      </c>
      <c r="BB84" s="120" t="inlineStr">
        <is>
          <t>Price cut only</t>
        </is>
      </c>
      <c r="BC84" s="120" t="inlineStr">
        <is>
          <t>11-20 to 12-01</t>
        </is>
      </c>
      <c r="BD84" s="121" t="n">
        <v>38.95</v>
      </c>
      <c r="BE84" s="121" t="n">
        <v>22.35</v>
      </c>
      <c r="BF84" s="110">
        <f>IF(AND(ISNUMBER(BD84),ISNUMBER(BE84),N(BD84)&gt;0),1-BE84/BD84,"")</f>
        <v/>
      </c>
      <c r="BG84" s="122" t="n">
        <v>302</v>
      </c>
      <c r="BH84" s="122" t="n">
        <v>203</v>
      </c>
      <c r="BI84" s="123">
        <f>IF(AND(ISNUMBER(BG84),ISNUMBER(BH84),N(BH84)&gt;0),BG84/BH84,"")</f>
        <v/>
      </c>
      <c r="BJ84" s="120" t="inlineStr">
        <is>
          <t>N</t>
        </is>
      </c>
      <c r="BK84" s="120" t="inlineStr">
        <is>
          <t>Lightning Deal 11-06 to 11-06; Coupon 20% (11-01 to 11-02); List Price $45.98</t>
        </is>
      </c>
    </row>
    <row r="85" ht="62" customHeight="1">
      <c r="A85" s="12">
        <f>_xlfn.IMAGE("https://images-na.ssl-images-amazon.com/images/I/71cQmB+zfDL.jpg")</f>
        <v/>
      </c>
      <c r="B85" s="105" t="inlineStr">
        <is>
          <t>INOVADAY</t>
        </is>
      </c>
      <c r="C85" s="39" t="inlineStr">
        <is>
          <t>INOVADAY 100% Blackout Curtains for Bedroom Black Out Curtains 84 Inch Long</t>
        </is>
      </c>
      <c r="D85" s="105" t="inlineStr">
        <is>
          <t>Aspirational</t>
        </is>
      </c>
      <c r="E85" s="134" t="inlineStr">
        <is>
          <t>Not classified</t>
        </is>
      </c>
      <c r="F85" s="105" t="n"/>
      <c r="G85" s="39" t="inlineStr">
        <is>
          <t>Not a sheet, pillowcase or comforter product; competitors are compared on price and sales only.</t>
        </is>
      </c>
      <c r="H85" s="107" t="inlineStr">
        <is>
          <t>B09MT5BQHW</t>
        </is>
      </c>
      <c r="I85" s="107" t="inlineStr">
        <is>
          <t>B09MT485FQ</t>
        </is>
      </c>
      <c r="J85" s="105" t="inlineStr">
        <is>
          <t>50"W x 84"L (Pack of 2)</t>
        </is>
      </c>
      <c r="K85" s="105" t="inlineStr">
        <is>
          <t>Beige</t>
        </is>
      </c>
      <c r="L85" s="108" t="n">
        <v>194</v>
      </c>
      <c r="M85" s="39" t="inlineStr"/>
      <c r="N85" s="109" t="n">
        <v>28.33</v>
      </c>
      <c r="O85" s="109" t="n">
        <v>34.95</v>
      </c>
      <c r="P85" s="110">
        <f>IF(AND(ISNUMBER(O85),ISNUMBER(N85),N(N85)&gt;0),O85/N85-1,"")</f>
        <v/>
      </c>
      <c r="Q85" s="111">
        <f>IF(P85="","No List Price",IF(P85&lt;=0,"At/below price",IF(P85&lt;=0.12,"&lt;=12% STR zone",IF(P85&lt;=0.25,"12-25%","&gt;25% over"))))</f>
        <v/>
      </c>
      <c r="R85" s="109" t="n">
        <v>29.82333333333333</v>
      </c>
      <c r="S85" s="112">
        <f>IF(AND(ISNUMBER(N85),ISNUMBER(R85),N(R85)&gt;0),N85/R85-1,"")</f>
        <v/>
      </c>
      <c r="T85" s="39" t="inlineStr">
        <is>
          <t>vs our blended price (market data, Mar 2026 - STALE)</t>
        </is>
      </c>
      <c r="U85" s="108" t="n">
        <v>1543</v>
      </c>
      <c r="V85" s="108" t="n">
        <v>347</v>
      </c>
      <c r="W85" s="113">
        <f>IF(AND(ISNUMBER(N85),ISNUMBER(V85)),N85*V85*52/12,"")</f>
        <v/>
      </c>
      <c r="X85" s="114" t="n">
        <v>4.5</v>
      </c>
      <c r="Y85" s="108" t="n">
        <v>5371</v>
      </c>
      <c r="Z85" s="115" t="n">
        <v>46307</v>
      </c>
      <c r="AA85" s="115" t="n">
        <v>44531</v>
      </c>
      <c r="AB85" s="105" t="inlineStr">
        <is>
          <t>FBA</t>
        </is>
      </c>
      <c r="AC85" s="105" t="inlineStr">
        <is>
          <t>CN</t>
        </is>
      </c>
      <c r="AD85" s="108" t="n"/>
      <c r="AE85" s="108" t="n"/>
      <c r="AF85" s="116" t="n"/>
      <c r="AG85" s="116" t="n"/>
      <c r="AH85" s="39" t="n"/>
      <c r="AI85" s="116" t="n"/>
      <c r="AJ85" s="116" t="n"/>
      <c r="AK85" s="116" t="n"/>
      <c r="AL85" s="116" t="n"/>
      <c r="AM85" s="108" t="n"/>
      <c r="AN85" s="108" t="n"/>
      <c r="AO85" s="108" t="n"/>
      <c r="AP85" s="108" t="n"/>
      <c r="AQ85" s="108" t="n"/>
      <c r="AR85" s="108" t="n"/>
      <c r="AS85" s="117" t="n">
        <v>0.483405141801998</v>
      </c>
      <c r="AT85" s="112" t="n">
        <v>0.1320495185694635</v>
      </c>
      <c r="AU85" s="118" t="inlineStr">
        <is>
          <t>Y</t>
        </is>
      </c>
      <c r="AV85" s="118" t="inlineStr">
        <is>
          <t>Typical price</t>
        </is>
      </c>
      <c r="AW85" s="119" t="n">
        <v>34.95</v>
      </c>
      <c r="AX85" s="119" t="n">
        <v>28.33</v>
      </c>
      <c r="AY85" s="118" t="inlineStr">
        <is>
          <t>Limited time deal</t>
        </is>
      </c>
      <c r="AZ85" s="118" t="inlineStr">
        <is>
          <t>Y</t>
        </is>
      </c>
      <c r="BA85" s="118" t="inlineStr">
        <is>
          <t>2026-10-13 23:41:18</t>
        </is>
      </c>
      <c r="BB85" s="120" t="inlineStr">
        <is>
          <t>Price cut only</t>
        </is>
      </c>
      <c r="BC85" s="120" t="inlineStr">
        <is>
          <t>11-20 to 12-01</t>
        </is>
      </c>
      <c r="BD85" s="121" t="n">
        <v>38.99</v>
      </c>
      <c r="BE85" s="121" t="n">
        <v>25.46</v>
      </c>
      <c r="BF85" s="110">
        <f>IF(AND(ISNUMBER(BD85),ISNUMBER(BE85),N(BD85)&gt;0),1-BE85/BD85,"")</f>
        <v/>
      </c>
      <c r="BG85" s="122" t="n">
        <v>1685</v>
      </c>
      <c r="BH85" s="122" t="n">
        <v>2090</v>
      </c>
      <c r="BI85" s="123">
        <f>IF(AND(ISNUMBER(BG85),ISNUMBER(BH85),N(BH85)&gt;0),BG85/BH85,"")</f>
        <v/>
      </c>
      <c r="BJ85" s="120" t="inlineStr">
        <is>
          <t>N</t>
        </is>
      </c>
      <c r="BK85" s="120" t="inlineStr">
        <is>
          <t>Coupon 20% (11-01 to 11-03); List Price $38.99</t>
        </is>
      </c>
    </row>
    <row r="86" ht="62" customHeight="1">
      <c r="A86" s="12">
        <f>_xlfn.IMAGE("https://images-na.ssl-images-amazon.com/images/I/813-ZpIkpEL.jpg")</f>
        <v/>
      </c>
      <c r="B86" s="105" t="inlineStr">
        <is>
          <t>NICETOWN</t>
        </is>
      </c>
      <c r="C86" s="39" t="inlineStr">
        <is>
          <t>NICETOWN Natural 100% Blackout Linen Curtains 84 inch Long Burg for Living Room, 1 Pair, 52" Width Each Panel, Farmhouse Thick Completely Blackout Window Treatment Thermal Insulated Drapes</t>
        </is>
      </c>
      <c r="D86" s="105" t="inlineStr">
        <is>
          <t>Aspirational</t>
        </is>
      </c>
      <c r="E86" s="134" t="inlineStr">
        <is>
          <t>Not classified</t>
        </is>
      </c>
      <c r="F86" s="105" t="n"/>
      <c r="G86" s="39" t="inlineStr">
        <is>
          <t>Not a sheet, pillowcase or comforter product; competitors are compared on price and sales only.</t>
        </is>
      </c>
      <c r="H86" s="107" t="inlineStr">
        <is>
          <t>B0D3XTPMX3</t>
        </is>
      </c>
      <c r="I86" s="107" t="inlineStr">
        <is>
          <t>B0B7DX7C51</t>
        </is>
      </c>
      <c r="J86" s="105" t="inlineStr">
        <is>
          <t>52"W x 84"L (Pack of 2)</t>
        </is>
      </c>
      <c r="K86" s="105" t="inlineStr">
        <is>
          <t>Natural</t>
        </is>
      </c>
      <c r="L86" s="108" t="n">
        <v>537</v>
      </c>
      <c r="M86" s="39" t="inlineStr"/>
      <c r="N86" s="109" t="n">
        <v>18.88</v>
      </c>
      <c r="O86" s="109" t="n">
        <v>27.29</v>
      </c>
      <c r="P86" s="110">
        <f>IF(AND(ISNUMBER(O86),ISNUMBER(N86),N(N86)&gt;0),O86/N86-1,"")</f>
        <v/>
      </c>
      <c r="Q86" s="111">
        <f>IF(P86="","No List Price",IF(P86&lt;=0,"At/below price",IF(P86&lt;=0.12,"&lt;=12% STR zone",IF(P86&lt;=0.25,"12-25%","&gt;25% over"))))</f>
        <v/>
      </c>
      <c r="R86" s="109" t="n">
        <v>29.82333333333333</v>
      </c>
      <c r="S86" s="112">
        <f>IF(AND(ISNUMBER(N86),ISNUMBER(R86),N(R86)&gt;0),N86/R86-1,"")</f>
        <v/>
      </c>
      <c r="T86" s="39" t="inlineStr">
        <is>
          <t>vs our blended price (market data, Mar 2026 - STALE)</t>
        </is>
      </c>
      <c r="U86" s="108" t="n">
        <v>2750</v>
      </c>
      <c r="V86" s="108" t="n">
        <v>347</v>
      </c>
      <c r="W86" s="113">
        <f>IF(AND(ISNUMBER(N86),ISNUMBER(V86)),N86*V86*52/12,"")</f>
        <v/>
      </c>
      <c r="X86" s="114" t="n">
        <v>4.5</v>
      </c>
      <c r="Y86" s="108" t="n">
        <v>4378</v>
      </c>
      <c r="Z86" s="115" t="n">
        <v>46307</v>
      </c>
      <c r="AA86" s="115" t="n">
        <v>44765</v>
      </c>
      <c r="AB86" s="105" t="inlineStr">
        <is>
          <t>FBA</t>
        </is>
      </c>
      <c r="AC86" s="105" t="inlineStr">
        <is>
          <t>US</t>
        </is>
      </c>
      <c r="AD86" s="108" t="n"/>
      <c r="AE86" s="108" t="n"/>
      <c r="AF86" s="116" t="n"/>
      <c r="AG86" s="116" t="n"/>
      <c r="AH86" s="39" t="n"/>
      <c r="AI86" s="116" t="n"/>
      <c r="AJ86" s="116" t="n"/>
      <c r="AK86" s="116" t="n"/>
      <c r="AL86" s="116" t="n"/>
      <c r="AM86" s="108" t="n"/>
      <c r="AN86" s="108" t="n"/>
      <c r="AO86" s="108" t="n"/>
      <c r="AP86" s="108" t="n"/>
      <c r="AQ86" s="108" t="n"/>
      <c r="AR86" s="108" t="n"/>
      <c r="AS86" s="117" t="n">
        <v>1.039507336115224</v>
      </c>
      <c r="AT86" s="112" t="n">
        <v>0.3548991726990693</v>
      </c>
      <c r="AU86" s="118" t="inlineStr">
        <is>
          <t>Y</t>
        </is>
      </c>
      <c r="AV86" s="118" t="inlineStr">
        <is>
          <t>List Price</t>
        </is>
      </c>
      <c r="AW86" s="119" t="n">
        <v>27.29</v>
      </c>
      <c r="AX86" s="119" t="n">
        <v>18.88</v>
      </c>
      <c r="AY86" s="118" t="inlineStr">
        <is>
          <t>Limited time deal</t>
        </is>
      </c>
      <c r="AZ86" s="118" t="inlineStr">
        <is>
          <t>Y</t>
        </is>
      </c>
      <c r="BA86" s="118" t="inlineStr">
        <is>
          <t>2026-10-13 23:42:06</t>
        </is>
      </c>
      <c r="BB86" s="120" t="inlineStr">
        <is>
          <t>None</t>
        </is>
      </c>
      <c r="BC86" s="125" t="n"/>
      <c r="BD86" s="121" t="n">
        <v>23.95</v>
      </c>
      <c r="BE86" s="121" t="n">
        <v>23.95</v>
      </c>
      <c r="BF86" s="110">
        <f>IF(AND(ISNUMBER(BD86),ISNUMBER(BE86),N(BD86)&gt;0),1-BE86/BD86,"")</f>
        <v/>
      </c>
      <c r="BG86" s="122" t="n">
        <v>1855</v>
      </c>
      <c r="BH86" s="122" t="n">
        <v>6100</v>
      </c>
      <c r="BI86" s="123">
        <f>IF(AND(ISNUMBER(BG86),ISNUMBER(BH86),N(BH86)&gt;0),BG86/BH86,"")</f>
        <v/>
      </c>
      <c r="BJ86" s="120" t="inlineStr">
        <is>
          <t>N</t>
        </is>
      </c>
      <c r="BK86" s="120" t="inlineStr">
        <is>
          <t>Coupon 21% (11-01 to 11-01); List Price $39.95</t>
        </is>
      </c>
    </row>
    <row r="87" ht="62" customHeight="1">
      <c r="A87" s="12">
        <f>_xlfn.IMAGE("https://images-na.ssl-images-amazon.com/images/I/71N3qelasGL.jpg")</f>
        <v/>
      </c>
      <c r="B87" s="105" t="inlineStr">
        <is>
          <t>Yakamok</t>
        </is>
      </c>
      <c r="C87" s="39" t="inlineStr">
        <is>
          <t>Yakamok Natural Linen Textured Curtains 84 Inches Long for Living Room</t>
        </is>
      </c>
      <c r="D87" s="105" t="inlineStr">
        <is>
          <t>Aspirational</t>
        </is>
      </c>
      <c r="E87" s="134" t="inlineStr">
        <is>
          <t>Not classified</t>
        </is>
      </c>
      <c r="F87" s="105" t="n"/>
      <c r="G87" s="39" t="inlineStr">
        <is>
          <t>Not a sheet, pillowcase or comforter product; competitors are compared on price and sales only.</t>
        </is>
      </c>
      <c r="H87" s="107" t="inlineStr">
        <is>
          <t>B0CRVBZ5GJ</t>
        </is>
      </c>
      <c r="I87" s="107" t="inlineStr">
        <is>
          <t>B0CRTM5ZDN</t>
        </is>
      </c>
      <c r="J87" s="105" t="inlineStr">
        <is>
          <t>52"W x 84"L (Pack of 2)</t>
        </is>
      </c>
      <c r="K87" s="105" t="inlineStr">
        <is>
          <t>Natural Linen</t>
        </is>
      </c>
      <c r="L87" s="108" t="n">
        <v>428</v>
      </c>
      <c r="M87" s="39" t="inlineStr"/>
      <c r="N87" s="109" t="n">
        <v>23.99</v>
      </c>
      <c r="O87" s="109" t="n"/>
      <c r="P87" s="110">
        <f>IF(AND(ISNUMBER(O87),ISNUMBER(N87),N(N87)&gt;0),O87/N87-1,"")</f>
        <v/>
      </c>
      <c r="Q87" s="111">
        <f>IF(P87="","No List Price",IF(P87&lt;=0,"At/below price",IF(P87&lt;=0.12,"&lt;=12% STR zone",IF(P87&lt;=0.25,"12-25%","&gt;25% over"))))</f>
        <v/>
      </c>
      <c r="R87" s="109" t="n">
        <v>29.82333333333333</v>
      </c>
      <c r="S87" s="112">
        <f>IF(AND(ISNUMBER(N87),ISNUMBER(R87),N(R87)&gt;0),N87/R87-1,"")</f>
        <v/>
      </c>
      <c r="T87" s="39" t="inlineStr">
        <is>
          <t>vs our blended price (market data, Mar 2026 - STALE)</t>
        </is>
      </c>
      <c r="U87" s="108" t="n">
        <v>4776</v>
      </c>
      <c r="V87" s="108" t="n">
        <v>35</v>
      </c>
      <c r="W87" s="113">
        <f>IF(AND(ISNUMBER(N87),ISNUMBER(V87)),N87*V87*52/12,"")</f>
        <v/>
      </c>
      <c r="X87" s="114" t="n">
        <v>4.7</v>
      </c>
      <c r="Y87" s="108" t="n">
        <v>22765</v>
      </c>
      <c r="Z87" s="115" t="n">
        <v>46307</v>
      </c>
      <c r="AA87" s="115" t="n">
        <v>45300</v>
      </c>
      <c r="AB87" s="105" t="inlineStr">
        <is>
          <t>FBA</t>
        </is>
      </c>
      <c r="AC87" s="105" t="inlineStr">
        <is>
          <t>CN</t>
        </is>
      </c>
      <c r="AD87" s="108" t="n"/>
      <c r="AE87" s="108" t="n"/>
      <c r="AF87" s="116" t="n"/>
      <c r="AG87" s="116" t="n"/>
      <c r="AH87" s="39" t="n"/>
      <c r="AI87" s="116" t="n"/>
      <c r="AJ87" s="116" t="n"/>
      <c r="AK87" s="116" t="n"/>
      <c r="AL87" s="116" t="n"/>
      <c r="AM87" s="108" t="n"/>
      <c r="AN87" s="108" t="n"/>
      <c r="AO87" s="108" t="n"/>
      <c r="AP87" s="108" t="n"/>
      <c r="AQ87" s="108" t="n"/>
      <c r="AR87" s="108" t="n"/>
      <c r="AS87" s="117" t="n"/>
      <c r="AT87" s="112" t="n"/>
      <c r="AU87" s="118" t="inlineStr">
        <is>
          <t>N</t>
        </is>
      </c>
      <c r="AV87" s="118" t="inlineStr">
        <is>
          <t>none</t>
        </is>
      </c>
      <c r="AW87" s="124" t="n"/>
      <c r="AX87" s="119" t="n">
        <v>23.99</v>
      </c>
      <c r="AY87" s="118" t="inlineStr">
        <is>
          <t>none</t>
        </is>
      </c>
      <c r="AZ87" s="118" t="inlineStr">
        <is>
          <t>Y</t>
        </is>
      </c>
      <c r="BA87" s="118" t="inlineStr">
        <is>
          <t>2026-10-13 23:43:49</t>
        </is>
      </c>
      <c r="BB87" s="120" t="inlineStr">
        <is>
          <t>Prime Exclusive Discount</t>
        </is>
      </c>
      <c r="BC87" s="120" t="inlineStr">
        <is>
          <t>11-01 to 12-05</t>
        </is>
      </c>
      <c r="BD87" s="121" t="n">
        <v>18.04</v>
      </c>
      <c r="BE87" s="121" t="n">
        <v>18.04</v>
      </c>
      <c r="BF87" s="110">
        <f>IF(AND(ISNUMBER(BD87),ISNUMBER(BE87),N(BD87)&gt;0),1-BE87/BD87,"")</f>
        <v/>
      </c>
      <c r="BG87" s="122" t="n">
        <v>54022</v>
      </c>
      <c r="BH87" s="122" t="n">
        <v>64825</v>
      </c>
      <c r="BI87" s="123">
        <f>IF(AND(ISNUMBER(BG87),ISNUMBER(BH87),N(BH87)&gt;0),BG87/BH87,"")</f>
        <v/>
      </c>
      <c r="BJ87" s="120" t="inlineStr">
        <is>
          <t>N</t>
        </is>
      </c>
      <c r="BK87" s="120" t="inlineStr">
        <is>
          <t>Prime Exclusive already running before BFCM week; List Price $29.99</t>
        </is>
      </c>
    </row>
    <row r="88" ht="62" customHeight="1">
      <c r="A88" s="12">
        <f>_xlfn.IMAGE("https://images-na.ssl-images-amazon.com/images/I/812ffz+BwYL.jpg")</f>
        <v/>
      </c>
      <c r="B88" s="105" t="inlineStr">
        <is>
          <t>Guken</t>
        </is>
      </c>
      <c r="C88" s="39" t="inlineStr">
        <is>
          <t>Guken Cream Linen Blackout Curtains 84 Inch Length 2 Panels Set for Living Room Bedroom Back Tab Thermal Insulated 100% Black Out Drapes Room Darkening Window Curtain Ivory Natural Beige</t>
        </is>
      </c>
      <c r="D88" s="105" t="inlineStr">
        <is>
          <t>Beatable</t>
        </is>
      </c>
      <c r="E88" s="134" t="inlineStr">
        <is>
          <t>Not classified</t>
        </is>
      </c>
      <c r="F88" s="105" t="n"/>
      <c r="G88" s="39" t="inlineStr">
        <is>
          <t>Not a sheet, pillowcase or comforter product; competitors are compared on price and sales only.</t>
        </is>
      </c>
      <c r="H88" s="107" t="inlineStr">
        <is>
          <t>B0CYLVSHZV</t>
        </is>
      </c>
      <c r="I88" s="107" t="inlineStr">
        <is>
          <t>B0CYLS2C62</t>
        </is>
      </c>
      <c r="J88" s="105" t="inlineStr">
        <is>
          <t>52"W x 84"L (Pack of 2)</t>
        </is>
      </c>
      <c r="K88" s="105" t="inlineStr">
        <is>
          <t>Cream</t>
        </is>
      </c>
      <c r="L88" s="108" t="n">
        <v>379</v>
      </c>
      <c r="M88" s="39" t="inlineStr"/>
      <c r="N88" s="109" t="n">
        <v>17.86</v>
      </c>
      <c r="O88" s="109" t="n">
        <v>18.8</v>
      </c>
      <c r="P88" s="110">
        <f>IF(AND(ISNUMBER(O88),ISNUMBER(N88),N(N88)&gt;0),O88/N88-1,"")</f>
        <v/>
      </c>
      <c r="Q88" s="111">
        <f>IF(P88="","No List Price",IF(P88&lt;=0,"At/below price",IF(P88&lt;=0.12,"&lt;=12% STR zone",IF(P88&lt;=0.25,"12-25%","&gt;25% over"))))</f>
        <v/>
      </c>
      <c r="R88" s="109" t="n">
        <v>29.82333333333333</v>
      </c>
      <c r="S88" s="112">
        <f>IF(AND(ISNUMBER(N88),ISNUMBER(R88),N(R88)&gt;0),N88/R88-1,"")</f>
        <v/>
      </c>
      <c r="T88" s="39" t="inlineStr">
        <is>
          <t>vs our blended price (market data, Mar 2026 - STALE)</t>
        </is>
      </c>
      <c r="U88" s="108" t="n">
        <v>983</v>
      </c>
      <c r="V88" s="108" t="n">
        <v>2079</v>
      </c>
      <c r="W88" s="113">
        <f>IF(AND(ISNUMBER(N88),ISNUMBER(V88)),N88*V88*52/12,"")</f>
        <v/>
      </c>
      <c r="X88" s="114" t="n">
        <v>4.5</v>
      </c>
      <c r="Y88" s="108" t="n">
        <v>2791</v>
      </c>
      <c r="Z88" s="115" t="n">
        <v>46307</v>
      </c>
      <c r="AA88" s="115" t="n">
        <v>45371</v>
      </c>
      <c r="AB88" s="105" t="inlineStr">
        <is>
          <t>FBA</t>
        </is>
      </c>
      <c r="AC88" s="105" t="inlineStr">
        <is>
          <t>CN</t>
        </is>
      </c>
      <c r="AD88" s="108" t="n"/>
      <c r="AE88" s="108" t="n"/>
      <c r="AF88" s="116" t="n"/>
      <c r="AG88" s="116" t="n"/>
      <c r="AH88" s="39" t="n"/>
      <c r="AI88" s="116" t="n"/>
      <c r="AJ88" s="116" t="n"/>
      <c r="AK88" s="116" t="n"/>
      <c r="AL88" s="116" t="n"/>
      <c r="AM88" s="108" t="n"/>
      <c r="AN88" s="108" t="n"/>
      <c r="AO88" s="108" t="n"/>
      <c r="AP88" s="108" t="n"/>
      <c r="AQ88" s="108" t="n"/>
      <c r="AR88" s="108" t="n"/>
      <c r="AS88" s="117" t="n">
        <v>0.4432346665207638</v>
      </c>
      <c r="AT88" s="112" t="n">
        <v>0.4241932576167295</v>
      </c>
      <c r="AU88" s="118" t="inlineStr">
        <is>
          <t>Y</t>
        </is>
      </c>
      <c r="AV88" s="118" t="inlineStr">
        <is>
          <t>Typical price</t>
        </is>
      </c>
      <c r="AW88" s="119" t="n">
        <v>18.8</v>
      </c>
      <c r="AX88" s="119" t="n">
        <v>17.86</v>
      </c>
      <c r="AY88" s="118" t="inlineStr">
        <is>
          <t>none</t>
        </is>
      </c>
      <c r="AZ88" s="118" t="inlineStr">
        <is>
          <t>Y</t>
        </is>
      </c>
      <c r="BA88" s="118" t="inlineStr">
        <is>
          <t>2026-10-13 23:40:57</t>
        </is>
      </c>
      <c r="BB88" s="120" t="inlineStr">
        <is>
          <t>Prime Exclusive Discount</t>
        </is>
      </c>
      <c r="BC88" s="120" t="inlineStr">
        <is>
          <t>11-20 to 12-01</t>
        </is>
      </c>
      <c r="BD88" s="121" t="n">
        <v>23.98</v>
      </c>
      <c r="BE88" s="121" t="n">
        <v>15.38</v>
      </c>
      <c r="BF88" s="110">
        <f>IF(AND(ISNUMBER(BD88),ISNUMBER(BE88),N(BD88)&gt;0),1-BE88/BD88,"")</f>
        <v/>
      </c>
      <c r="BG88" s="122" t="n">
        <v>1421</v>
      </c>
      <c r="BH88" s="122" t="n">
        <v>2445</v>
      </c>
      <c r="BI88" s="123">
        <f>IF(AND(ISNUMBER(BG88),ISNUMBER(BH88),N(BH88)&gt;0),BG88/BH88,"")</f>
        <v/>
      </c>
      <c r="BJ88" s="120" t="inlineStr">
        <is>
          <t>N</t>
        </is>
      </c>
      <c r="BK88" s="120" t="inlineStr">
        <is>
          <t>Lightning Deal 11-03 to 11-03; Buy Box RAISED in BFCM week (median $26.98 vs $23.98 before); List Price $19.79</t>
        </is>
      </c>
    </row>
    <row r="89" ht="62" customHeight="1">
      <c r="A89" s="12">
        <f>_xlfn.IMAGE("https://images-na.ssl-images-amazon.com/images/I/814g2JKCJuL.jpg")</f>
        <v/>
      </c>
      <c r="B89" s="105" t="inlineStr">
        <is>
          <t>BGment</t>
        </is>
      </c>
      <c r="C89" s="39" t="inlineStr">
        <is>
          <t>BGment Oatmeal Linen Curtains 84 Inch Length 2 Panels Set for Living Room</t>
        </is>
      </c>
      <c r="D89" s="105" t="inlineStr">
        <is>
          <t>Beatable</t>
        </is>
      </c>
      <c r="E89" s="134" t="inlineStr">
        <is>
          <t>Not classified</t>
        </is>
      </c>
      <c r="F89" s="105" t="n"/>
      <c r="G89" s="39" t="inlineStr">
        <is>
          <t>Not a sheet, pillowcase or comforter product; competitors are compared on price and sales only.</t>
        </is>
      </c>
      <c r="H89" s="107" t="inlineStr">
        <is>
          <t>B0CJHW1J7V</t>
        </is>
      </c>
      <c r="I89" s="107" t="inlineStr">
        <is>
          <t>B0CJHZYHGB</t>
        </is>
      </c>
      <c r="J89" s="105" t="inlineStr">
        <is>
          <t>52"W x 84"L (Pack of 2)</t>
        </is>
      </c>
      <c r="K89" s="105" t="inlineStr">
        <is>
          <t>Oatmeal</t>
        </is>
      </c>
      <c r="L89" s="108" t="n">
        <v>93</v>
      </c>
      <c r="M89" s="39" t="inlineStr"/>
      <c r="N89" s="109" t="n">
        <v>21.29</v>
      </c>
      <c r="O89" s="109" t="n"/>
      <c r="P89" s="110">
        <f>IF(AND(ISNUMBER(O89),ISNUMBER(N89),N(N89)&gt;0),O89/N89-1,"")</f>
        <v/>
      </c>
      <c r="Q89" s="111">
        <f>IF(P89="","No List Price",IF(P89&lt;=0,"At/below price",IF(P89&lt;=0.12,"&lt;=12% STR zone",IF(P89&lt;=0.25,"12-25%","&gt;25% over"))))</f>
        <v/>
      </c>
      <c r="R89" s="109" t="n">
        <v>29.82333333333333</v>
      </c>
      <c r="S89" s="112">
        <f>IF(AND(ISNUMBER(N89),ISNUMBER(R89),N(R89)&gt;0),N89/R89-1,"")</f>
        <v/>
      </c>
      <c r="T89" s="39" t="inlineStr">
        <is>
          <t>vs our blended price (market data, Mar 2026 - STALE)</t>
        </is>
      </c>
      <c r="U89" s="108" t="n">
        <v>10367</v>
      </c>
      <c r="V89" s="108" t="n">
        <v>347</v>
      </c>
      <c r="W89" s="113">
        <f>IF(AND(ISNUMBER(N89),ISNUMBER(V89)),N89*V89*52/12,"")</f>
        <v/>
      </c>
      <c r="X89" s="114" t="n">
        <v>4.6</v>
      </c>
      <c r="Y89" s="108" t="n">
        <v>718</v>
      </c>
      <c r="Z89" s="115" t="n">
        <v>46307</v>
      </c>
      <c r="AA89" s="115" t="n">
        <v>45359</v>
      </c>
      <c r="AB89" s="105" t="inlineStr">
        <is>
          <t>FBA</t>
        </is>
      </c>
      <c r="AC89" s="105" t="inlineStr">
        <is>
          <t>CN</t>
        </is>
      </c>
      <c r="AD89" s="108" t="n"/>
      <c r="AE89" s="108" t="n"/>
      <c r="AF89" s="116" t="n"/>
      <c r="AG89" s="116" t="n"/>
      <c r="AH89" s="39" t="n"/>
      <c r="AI89" s="116" t="n"/>
      <c r="AJ89" s="116" t="n"/>
      <c r="AK89" s="116" t="n"/>
      <c r="AL89" s="116" t="n"/>
      <c r="AM89" s="108" t="n"/>
      <c r="AN89" s="108" t="n"/>
      <c r="AO89" s="108" t="n"/>
      <c r="AP89" s="108" t="n"/>
      <c r="AQ89" s="108" t="n"/>
      <c r="AR89" s="108" t="n"/>
      <c r="AS89" s="117" t="n">
        <v>0.7805755395683452</v>
      </c>
      <c r="AT89" s="112" t="n">
        <v>-0.03581871345029242</v>
      </c>
      <c r="AU89" s="118" t="inlineStr">
        <is>
          <t>N</t>
        </is>
      </c>
      <c r="AV89" s="118" t="inlineStr">
        <is>
          <t>none</t>
        </is>
      </c>
      <c r="AW89" s="124" t="n"/>
      <c r="AX89" s="119" t="n">
        <v>21.29</v>
      </c>
      <c r="AY89" s="118" t="inlineStr">
        <is>
          <t>none</t>
        </is>
      </c>
      <c r="AZ89" s="118" t="inlineStr">
        <is>
          <t>Y</t>
        </is>
      </c>
      <c r="BA89" s="118" t="inlineStr">
        <is>
          <t>2026-10-13 23:39:42</t>
        </is>
      </c>
      <c r="BB89" s="120" t="inlineStr">
        <is>
          <t>Prime Exclusive Discount</t>
        </is>
      </c>
      <c r="BC89" s="120" t="inlineStr">
        <is>
          <t>11-22 to 12-01</t>
        </is>
      </c>
      <c r="BD89" s="121" t="n">
        <v>21.29</v>
      </c>
      <c r="BE89" s="121" t="n">
        <v>18.09</v>
      </c>
      <c r="BF89" s="110">
        <f>IF(AND(ISNUMBER(BD89),ISNUMBER(BE89),N(BD89)&gt;0),1-BE89/BD89,"")</f>
        <v/>
      </c>
      <c r="BG89" s="122" t="n">
        <v>25341</v>
      </c>
      <c r="BH89" s="122" t="n">
        <v>26918</v>
      </c>
      <c r="BI89" s="123">
        <f>IF(AND(ISNUMBER(BG89),ISNUMBER(BH89),N(BH89)&gt;0),BG89/BH89,"")</f>
        <v/>
      </c>
      <c r="BJ89" s="120" t="inlineStr">
        <is>
          <t>N</t>
        </is>
      </c>
      <c r="BK89" s="120" t="inlineStr">
        <is>
          <t>Buy Box RAISED in BFCM week (median $35.99 vs $21.29 before); List Price $43.99</t>
        </is>
      </c>
    </row>
    <row r="90" ht="62" customHeight="1">
      <c r="A90" s="12">
        <f>_xlfn.IMAGE("https://images-na.ssl-images-amazon.com/images/I/71v8QaOCutL.jpg")</f>
        <v/>
      </c>
      <c r="B90" s="105" t="inlineStr">
        <is>
          <t>Pitalk</t>
        </is>
      </c>
      <c r="C90" s="39" t="inlineStr">
        <is>
          <t>100% Blackout Curtains 84 Inch Length 2 Panels Set Neutral Boho Linen Farmhouse for Bedroom Windows Living Room Darkening Thermal Insulated Drapes Natural Cream Ivory 7ft Long Back Tab Pleated Pocket</t>
        </is>
      </c>
      <c r="D90" s="105" t="inlineStr">
        <is>
          <t>Beatable</t>
        </is>
      </c>
      <c r="E90" s="134" t="inlineStr">
        <is>
          <t>Not classified</t>
        </is>
      </c>
      <c r="F90" s="105" t="n"/>
      <c r="G90" s="39" t="inlineStr">
        <is>
          <t>Not a sheet, pillowcase or comforter product; competitors are compared on price and sales only.</t>
        </is>
      </c>
      <c r="H90" s="107" t="inlineStr">
        <is>
          <t>B0DG84J1H5</t>
        </is>
      </c>
      <c r="I90" s="107" t="inlineStr">
        <is>
          <t>B0DG84XRDW</t>
        </is>
      </c>
      <c r="J90" s="105" t="inlineStr">
        <is>
          <t>52"W x 84"L (Pack of 2)</t>
        </is>
      </c>
      <c r="K90" s="105" t="inlineStr">
        <is>
          <t>Natural</t>
        </is>
      </c>
      <c r="L90" s="108" t="n">
        <v>210</v>
      </c>
      <c r="M90" s="39" t="inlineStr"/>
      <c r="N90" s="109" t="n">
        <v>23.98</v>
      </c>
      <c r="O90" s="109" t="n">
        <v>26.98</v>
      </c>
      <c r="P90" s="110">
        <f>IF(AND(ISNUMBER(O90),ISNUMBER(N90),N(N90)&gt;0),O90/N90-1,"")</f>
        <v/>
      </c>
      <c r="Q90" s="111">
        <f>IF(P90="","No List Price",IF(P90&lt;=0,"At/below price",IF(P90&lt;=0.12,"&lt;=12% STR zone",IF(P90&lt;=0.25,"12-25%","&gt;25% over"))))</f>
        <v/>
      </c>
      <c r="R90" s="109" t="n">
        <v>29.82333333333333</v>
      </c>
      <c r="S90" s="112">
        <f>IF(AND(ISNUMBER(N90),ISNUMBER(R90),N(R90)&gt;0),N90/R90-1,"")</f>
        <v/>
      </c>
      <c r="T90" s="39" t="inlineStr">
        <is>
          <t>vs our blended price (market data, Mar 2026 - STALE)</t>
        </is>
      </c>
      <c r="U90" s="108" t="n">
        <v>4498</v>
      </c>
      <c r="V90" s="108" t="n">
        <v>347</v>
      </c>
      <c r="W90" s="113">
        <f>IF(AND(ISNUMBER(N90),ISNUMBER(V90)),N90*V90*52/12,"")</f>
        <v/>
      </c>
      <c r="X90" s="114" t="n">
        <v>4.4</v>
      </c>
      <c r="Y90" s="108" t="n">
        <v>1608</v>
      </c>
      <c r="Z90" s="115" t="n">
        <v>46307</v>
      </c>
      <c r="AA90" s="115" t="n">
        <v>45541</v>
      </c>
      <c r="AB90" s="105" t="inlineStr">
        <is>
          <t>FBA</t>
        </is>
      </c>
      <c r="AC90" s="105" t="inlineStr">
        <is>
          <t>CN</t>
        </is>
      </c>
      <c r="AD90" s="108" t="n"/>
      <c r="AE90" s="108" t="n"/>
      <c r="AF90" s="116" t="n"/>
      <c r="AG90" s="116" t="n"/>
      <c r="AH90" s="39" t="n"/>
      <c r="AI90" s="116" t="n"/>
      <c r="AJ90" s="116" t="n"/>
      <c r="AK90" s="116" t="n"/>
      <c r="AL90" s="116" t="n"/>
      <c r="AM90" s="108" t="n"/>
      <c r="AN90" s="108" t="n"/>
      <c r="AO90" s="108" t="n"/>
      <c r="AP90" s="108" t="n"/>
      <c r="AQ90" s="108" t="n"/>
      <c r="AR90" s="108" t="n"/>
      <c r="AS90" s="117" t="n">
        <v>1.253755431409063</v>
      </c>
      <c r="AT90" s="112" t="n">
        <v>-0.3093273668018459</v>
      </c>
      <c r="AU90" s="118" t="inlineStr">
        <is>
          <t>Y</t>
        </is>
      </c>
      <c r="AV90" s="118" t="inlineStr">
        <is>
          <t>Typical price</t>
        </is>
      </c>
      <c r="AW90" s="119" t="n">
        <v>26.98</v>
      </c>
      <c r="AX90" s="119" t="n">
        <v>23.98</v>
      </c>
      <c r="AY90" s="118" t="inlineStr">
        <is>
          <t>none</t>
        </is>
      </c>
      <c r="AZ90" s="118" t="inlineStr">
        <is>
          <t>Y</t>
        </is>
      </c>
      <c r="BA90" s="118" t="inlineStr">
        <is>
          <t>2026-10-13 23:42:31</t>
        </is>
      </c>
      <c r="BB90" s="120" t="inlineStr">
        <is>
          <t>Prime Exclusive Discount</t>
        </is>
      </c>
      <c r="BC90" s="120" t="inlineStr">
        <is>
          <t>11-21 to 12-01</t>
        </is>
      </c>
      <c r="BD90" s="121" t="n">
        <v>29.98</v>
      </c>
      <c r="BE90" s="121" t="n">
        <v>23.68</v>
      </c>
      <c r="BF90" s="110">
        <f>IF(AND(ISNUMBER(BD90),ISNUMBER(BE90),N(BD90)&gt;0),1-BE90/BD90,"")</f>
        <v/>
      </c>
      <c r="BG90" s="122" t="n">
        <v>3898</v>
      </c>
      <c r="BH90" s="122" t="n">
        <v>5558</v>
      </c>
      <c r="BI90" s="123">
        <f>IF(AND(ISNUMBER(BG90),ISNUMBER(BH90),N(BH90)&gt;0),BG90/BH90,"")</f>
        <v/>
      </c>
      <c r="BJ90" s="120" t="inlineStr">
        <is>
          <t>N</t>
        </is>
      </c>
      <c r="BK90" s="120" t="inlineStr">
        <is>
          <t>List Price $39.99</t>
        </is>
      </c>
    </row>
    <row r="91" ht="62" customHeight="1">
      <c r="A91" s="12">
        <f>_xlfn.IMAGE("https://m.media-amazon.com/images/I/71QptGI8BKL._AC_SL1500_.jpg")</f>
        <v/>
      </c>
      <c r="B91" s="105" t="inlineStr">
        <is>
          <t>Topfinel</t>
        </is>
      </c>
      <c r="C91" s="39" t="inlineStr">
        <is>
          <t>Topfinel Cream Linen Blackout Curtains 84 Inch Long for Bedroom Living Room, Ivo</t>
        </is>
      </c>
      <c r="D91" s="105" t="inlineStr">
        <is>
          <t>Beatable</t>
        </is>
      </c>
      <c r="E91" s="134" t="inlineStr">
        <is>
          <t>Not classified</t>
        </is>
      </c>
      <c r="F91" s="105" t="n"/>
      <c r="G91" s="39" t="inlineStr">
        <is>
          <t>Not a sheet, pillowcase or comforter product; competitors are compared on price and sales only.</t>
        </is>
      </c>
      <c r="H91" s="107" t="inlineStr">
        <is>
          <t>B0F6YR5VMZ</t>
        </is>
      </c>
      <c r="I91" s="107" t="inlineStr">
        <is>
          <t>B0DFWPKBG1</t>
        </is>
      </c>
      <c r="J91" s="105" t="inlineStr">
        <is>
          <t>52"W x 84"L (Pack of 2)</t>
        </is>
      </c>
      <c r="K91" s="105" t="inlineStr">
        <is>
          <t>Birch</t>
        </is>
      </c>
      <c r="L91" s="108" t="n"/>
      <c r="M91" s="39" t="inlineStr"/>
      <c r="N91" s="109" t="n">
        <v>28.04</v>
      </c>
      <c r="O91" s="109" t="n">
        <v>32.99</v>
      </c>
      <c r="P91" s="110">
        <f>IF(AND(ISNUMBER(O91),ISNUMBER(N91),N(N91)&gt;0),O91/N91-1,"")</f>
        <v/>
      </c>
      <c r="Q91" s="111">
        <f>IF(P91="","No List Price",IF(P91&lt;=0,"At/below price",IF(P91&lt;=0.12,"&lt;=12% STR zone",IF(P91&lt;=0.25,"12-25%","&gt;25% over"))))</f>
        <v/>
      </c>
      <c r="R91" s="109" t="n">
        <v>29.82333333333333</v>
      </c>
      <c r="S91" s="112">
        <f>IF(AND(ISNUMBER(N91),ISNUMBER(R91),N(R91)&gt;0),N91/R91-1,"")</f>
        <v/>
      </c>
      <c r="T91" s="39" t="inlineStr">
        <is>
          <t>vs our blended price (market data, Mar 2026 - STALE)</t>
        </is>
      </c>
      <c r="U91" s="108" t="n">
        <v>2135</v>
      </c>
      <c r="V91" s="108" t="n">
        <v>347</v>
      </c>
      <c r="W91" s="113">
        <f>IF(AND(ISNUMBER(N91),ISNUMBER(V91)),N91*V91*52/12,"")</f>
        <v/>
      </c>
      <c r="X91" s="114" t="n">
        <v>4.3</v>
      </c>
      <c r="Y91" s="108" t="n">
        <v>1639</v>
      </c>
      <c r="Z91" s="115" t="n">
        <v>46307</v>
      </c>
      <c r="AA91" s="115" t="n"/>
      <c r="AB91" s="105" t="n"/>
      <c r="AC91" s="105" t="n"/>
      <c r="AD91" s="108" t="n"/>
      <c r="AE91" s="108" t="n"/>
      <c r="AF91" s="116" t="n"/>
      <c r="AG91" s="116" t="n"/>
      <c r="AH91" s="39" t="n"/>
      <c r="AI91" s="116" t="n"/>
      <c r="AJ91" s="116" t="n"/>
      <c r="AK91" s="116" t="n"/>
      <c r="AL91" s="116" t="n"/>
      <c r="AM91" s="108" t="n"/>
      <c r="AN91" s="108" t="n"/>
      <c r="AO91" s="108" t="n"/>
      <c r="AP91" s="108" t="n"/>
      <c r="AQ91" s="108" t="n"/>
      <c r="AR91" s="108" t="n"/>
      <c r="AS91" s="117" t="n"/>
      <c r="AT91" s="112" t="n"/>
      <c r="AU91" s="118" t="inlineStr">
        <is>
          <t>Y</t>
        </is>
      </c>
      <c r="AV91" s="118" t="inlineStr">
        <is>
          <t>Typical price</t>
        </is>
      </c>
      <c r="AW91" s="119" t="n">
        <v>32.99</v>
      </c>
      <c r="AX91" s="119" t="n">
        <v>28.04</v>
      </c>
      <c r="AY91" s="118" t="inlineStr">
        <is>
          <t>Limited time deal</t>
        </is>
      </c>
      <c r="AZ91" s="118" t="inlineStr">
        <is>
          <t>Y</t>
        </is>
      </c>
      <c r="BA91" s="118" t="inlineStr">
        <is>
          <t>2026-10-13 23:43:26</t>
        </is>
      </c>
      <c r="BB91" s="120" t="inlineStr">
        <is>
          <t>Prime Exclusive Discount</t>
        </is>
      </c>
      <c r="BC91" s="120" t="inlineStr">
        <is>
          <t>11-20 to 12-01</t>
        </is>
      </c>
      <c r="BD91" s="121" t="n">
        <v>32.99</v>
      </c>
      <c r="BE91" s="121" t="n">
        <v>26.06</v>
      </c>
      <c r="BF91" s="110">
        <f>IF(AND(ISNUMBER(BD91),ISNUMBER(BE91),N(BD91)&gt;0),1-BE91/BD91,"")</f>
        <v/>
      </c>
      <c r="BG91" s="122" t="n">
        <v>2338</v>
      </c>
      <c r="BH91" s="122" t="n">
        <v>3540</v>
      </c>
      <c r="BI91" s="123">
        <f>IF(AND(ISNUMBER(BG91),ISNUMBER(BH91),N(BH91)&gt;0),BG91/BH91,"")</f>
        <v/>
      </c>
      <c r="BJ91" s="120" t="inlineStr">
        <is>
          <t>N</t>
        </is>
      </c>
      <c r="BK91" s="120" t="inlineStr">
        <is>
          <t>Coupon 5.00 USD (11-01 to 12-05); List Price $34.99</t>
        </is>
      </c>
    </row>
    <row r="92" ht="62" customHeight="1">
      <c r="A92" s="12">
        <f>_xlfn.IMAGE("https://m.media-amazon.com/images/I/71PFD5rRRAL._AC_SL1500_.jpg")</f>
        <v/>
      </c>
      <c r="B92" s="105" t="inlineStr">
        <is>
          <t>YoungsTex</t>
        </is>
      </c>
      <c r="C92" s="39" t="inlineStr">
        <is>
          <t>Linen Curtains</t>
        </is>
      </c>
      <c r="D92" s="105" t="inlineStr">
        <is>
          <t>Beatable</t>
        </is>
      </c>
      <c r="E92" s="134" t="inlineStr">
        <is>
          <t>Not classified</t>
        </is>
      </c>
      <c r="F92" s="105" t="n"/>
      <c r="G92" s="39" t="inlineStr">
        <is>
          <t>Not a sheet, pillowcase or comforter product; competitors are compared on price and sales only.</t>
        </is>
      </c>
      <c r="H92" s="107" t="inlineStr">
        <is>
          <t>B0B5684GHJ</t>
        </is>
      </c>
      <c r="I92" s="107" t="inlineStr">
        <is>
          <t>B09Q2YTRL3</t>
        </is>
      </c>
      <c r="J92" s="105" t="inlineStr">
        <is>
          <t>52"W x 63"L (Pack of 2)</t>
        </is>
      </c>
      <c r="K92" s="105" t="inlineStr">
        <is>
          <t>Beige</t>
        </is>
      </c>
      <c r="L92" s="108" t="n"/>
      <c r="M92" s="39" t="inlineStr"/>
      <c r="N92" s="109" t="n">
        <v>19.58</v>
      </c>
      <c r="O92" s="109" t="n"/>
      <c r="P92" s="110">
        <f>IF(AND(ISNUMBER(O92),ISNUMBER(N92),N(N92)&gt;0),O92/N92-1,"")</f>
        <v/>
      </c>
      <c r="Q92" s="111">
        <f>IF(P92="","No List Price",IF(P92&lt;=0,"At/below price",IF(P92&lt;=0.12,"&lt;=12% STR zone",IF(P92&lt;=0.25,"12-25%","&gt;25% over"))))</f>
        <v/>
      </c>
      <c r="R92" s="109" t="n">
        <v>29.82333333333333</v>
      </c>
      <c r="S92" s="112">
        <f>IF(AND(ISNUMBER(N92),ISNUMBER(R92),N(R92)&gt;0),N92/R92-1,"")</f>
        <v/>
      </c>
      <c r="T92" s="39" t="inlineStr">
        <is>
          <t>vs our blended price (market data, Mar 2026 - STALE)</t>
        </is>
      </c>
      <c r="U92" s="108" t="n">
        <v>5384</v>
      </c>
      <c r="V92" s="108" t="n">
        <v>208</v>
      </c>
      <c r="W92" s="113">
        <f>IF(AND(ISNUMBER(N92),ISNUMBER(V92)),N92*V92*52/12,"")</f>
        <v/>
      </c>
      <c r="X92" s="114" t="n">
        <v>4.7</v>
      </c>
      <c r="Y92" s="108" t="n">
        <v>2019</v>
      </c>
      <c r="Z92" s="115" t="n">
        <v>46307</v>
      </c>
      <c r="AA92" s="115" t="n"/>
      <c r="AB92" s="105" t="n"/>
      <c r="AC92" s="105" t="n"/>
      <c r="AD92" s="108" t="n"/>
      <c r="AE92" s="108" t="n"/>
      <c r="AF92" s="116" t="n"/>
      <c r="AG92" s="116" t="n"/>
      <c r="AH92" s="39" t="n"/>
      <c r="AI92" s="116" t="n"/>
      <c r="AJ92" s="116" t="n"/>
      <c r="AK92" s="116" t="n"/>
      <c r="AL92" s="116" t="n"/>
      <c r="AM92" s="108" t="n"/>
      <c r="AN92" s="108" t="n"/>
      <c r="AO92" s="108" t="n"/>
      <c r="AP92" s="108" t="n"/>
      <c r="AQ92" s="108" t="n"/>
      <c r="AR92" s="108" t="n"/>
      <c r="AS92" s="117" t="n">
        <v>0.7720746590093323</v>
      </c>
      <c r="AT92" s="112" t="n">
        <v>0.05566750629722939</v>
      </c>
      <c r="AU92" s="118" t="inlineStr">
        <is>
          <t>Y</t>
        </is>
      </c>
      <c r="AV92" s="118" t="inlineStr">
        <is>
          <t>List Price</t>
        </is>
      </c>
      <c r="AW92" s="119" t="n">
        <v>21.76</v>
      </c>
      <c r="AX92" s="119" t="n">
        <v>19.58</v>
      </c>
      <c r="AY92" s="118" t="inlineStr">
        <is>
          <t>none</t>
        </is>
      </c>
      <c r="AZ92" s="118" t="inlineStr">
        <is>
          <t>Y</t>
        </is>
      </c>
      <c r="BA92" s="118" t="inlineStr">
        <is>
          <t>2026-10-13 23:43:58</t>
        </is>
      </c>
      <c r="BB92" s="120" t="inlineStr">
        <is>
          <t>Prime Exclusive Discount</t>
        </is>
      </c>
      <c r="BC92" s="120" t="inlineStr">
        <is>
          <t>11-22 to 12-01</t>
        </is>
      </c>
      <c r="BD92" s="121" t="n">
        <v>21.76</v>
      </c>
      <c r="BE92" s="121" t="n">
        <v>17.61</v>
      </c>
      <c r="BF92" s="110">
        <f>IF(AND(ISNUMBER(BD92),ISNUMBER(BE92),N(BD92)&gt;0),1-BE92/BD92,"")</f>
        <v/>
      </c>
      <c r="BG92" s="122" t="n">
        <v>6555</v>
      </c>
      <c r="BH92" s="122" t="n">
        <v>7387</v>
      </c>
      <c r="BI92" s="123">
        <f>IF(AND(ISNUMBER(BG92),ISNUMBER(BH92),N(BH92)&gt;0),BG92/BH92,"")</f>
        <v/>
      </c>
      <c r="BJ92" s="120" t="inlineStr">
        <is>
          <t>N</t>
        </is>
      </c>
      <c r="BK92" s="120" t="inlineStr">
        <is>
          <t>Coupon 10% (11-17 to 12-05); Buy Box RAISED in BFCM week (median $28.89 vs $21.76 before); List Price $38.86</t>
        </is>
      </c>
    </row>
    <row r="93" ht="62" customHeight="1">
      <c r="A93" s="12">
        <f>_xlfn.IMAGE("https://images-na.ssl-images-amazon.com/images/I/913VjImt8xL.jpg")</f>
        <v/>
      </c>
      <c r="B93" s="105" t="inlineStr">
        <is>
          <t>CUCRAF</t>
        </is>
      </c>
      <c r="C93" s="39" t="inlineStr">
        <is>
          <t>CUCRAF 100% Blackout Window Curtains 84 inches Long 2 Panels Set, Faux Linen Look Thermal Insulated Grommet Drapes, Room Darkening Curtain for Bedroom Living Room(W52 x L84 Inch, Light Khaki)</t>
        </is>
      </c>
      <c r="D93" s="105" t="inlineStr">
        <is>
          <t>Beatable</t>
        </is>
      </c>
      <c r="E93" s="134" t="inlineStr">
        <is>
          <t>Not classified</t>
        </is>
      </c>
      <c r="F93" s="105" t="n"/>
      <c r="G93" s="39" t="inlineStr">
        <is>
          <t>Not a sheet, pillowcase or comforter product; competitors are compared on price and sales only.</t>
        </is>
      </c>
      <c r="H93" s="107" t="inlineStr">
        <is>
          <t>B0D7MDYKGV</t>
        </is>
      </c>
      <c r="I93" s="107" t="inlineStr">
        <is>
          <t>B08V8HD2WT</t>
        </is>
      </c>
      <c r="J93" s="105" t="inlineStr">
        <is>
          <t>52"W x 84"L (Pack of 2)</t>
        </is>
      </c>
      <c r="K93" s="105" t="inlineStr">
        <is>
          <t>Light Khaki</t>
        </is>
      </c>
      <c r="L93" s="108" t="n">
        <v>86</v>
      </c>
      <c r="M93" s="39" t="inlineStr"/>
      <c r="N93" s="109" t="n">
        <v>23.99</v>
      </c>
      <c r="O93" s="109" t="n">
        <v>27.99</v>
      </c>
      <c r="P93" s="110">
        <f>IF(AND(ISNUMBER(O93),ISNUMBER(N93),N(N93)&gt;0),O93/N93-1,"")</f>
        <v/>
      </c>
      <c r="Q93" s="111">
        <f>IF(P93="","No List Price",IF(P93&lt;=0,"At/below price",IF(P93&lt;=0.12,"&lt;=12% STR zone",IF(P93&lt;=0.25,"12-25%","&gt;25% over"))))</f>
        <v/>
      </c>
      <c r="R93" s="109" t="n">
        <v>29.82333333333333</v>
      </c>
      <c r="S93" s="112">
        <f>IF(AND(ISNUMBER(N93),ISNUMBER(R93),N(R93)&gt;0),N93/R93-1,"")</f>
        <v/>
      </c>
      <c r="T93" s="39" t="inlineStr">
        <is>
          <t>vs our blended price (market data, Mar 2026 - STALE)</t>
        </is>
      </c>
      <c r="U93" s="108" t="n">
        <v>26182</v>
      </c>
      <c r="V93" s="108" t="n">
        <v>173</v>
      </c>
      <c r="W93" s="113">
        <f>IF(AND(ISNUMBER(N93),ISNUMBER(V93)),N93*V93*52/12,"")</f>
        <v/>
      </c>
      <c r="X93" s="114" t="n">
        <v>4.7</v>
      </c>
      <c r="Y93" s="108" t="n">
        <v>2808</v>
      </c>
      <c r="Z93" s="115" t="n">
        <v>46307</v>
      </c>
      <c r="AA93" s="115" t="n">
        <v>44228</v>
      </c>
      <c r="AB93" s="105" t="inlineStr">
        <is>
          <t>FBA</t>
        </is>
      </c>
      <c r="AC93" s="105" t="inlineStr">
        <is>
          <t>CN</t>
        </is>
      </c>
      <c r="AD93" s="108" t="n"/>
      <c r="AE93" s="108" t="n"/>
      <c r="AF93" s="116" t="n"/>
      <c r="AG93" s="116" t="n"/>
      <c r="AH93" s="39" t="n"/>
      <c r="AI93" s="116" t="n"/>
      <c r="AJ93" s="116" t="n"/>
      <c r="AK93" s="116" t="n"/>
      <c r="AL93" s="116" t="n"/>
      <c r="AM93" s="108" t="n"/>
      <c r="AN93" s="108" t="n"/>
      <c r="AO93" s="108" t="n"/>
      <c r="AP93" s="108" t="n"/>
      <c r="AQ93" s="108" t="n"/>
      <c r="AR93" s="108" t="n"/>
      <c r="AS93" s="117" t="n">
        <v>0.6864216054013503</v>
      </c>
      <c r="AT93" s="112" t="n">
        <v>-0.4312089023773393</v>
      </c>
      <c r="AU93" s="118" t="inlineStr">
        <is>
          <t>Y</t>
        </is>
      </c>
      <c r="AV93" s="118" t="inlineStr">
        <is>
          <t>List Price</t>
        </is>
      </c>
      <c r="AW93" s="119" t="n">
        <v>27.99</v>
      </c>
      <c r="AX93" s="119" t="n">
        <v>23.99</v>
      </c>
      <c r="AY93" s="118" t="inlineStr">
        <is>
          <t>none</t>
        </is>
      </c>
      <c r="AZ93" s="118" t="inlineStr">
        <is>
          <t>Y</t>
        </is>
      </c>
      <c r="BA93" s="118" t="inlineStr">
        <is>
          <t>2026-10-13 23:39:51</t>
        </is>
      </c>
      <c r="BB93" s="120" t="inlineStr">
        <is>
          <t>Coupon only</t>
        </is>
      </c>
      <c r="BC93" s="120" t="inlineStr">
        <is>
          <t>11-01 to 12-05</t>
        </is>
      </c>
      <c r="BD93" s="121" t="n">
        <v>27.99</v>
      </c>
      <c r="BE93" s="121" t="n">
        <v>22.9</v>
      </c>
      <c r="BF93" s="110">
        <f>IF(AND(ISNUMBER(BD93),ISNUMBER(BE93),N(BD93)&gt;0),1-BE93/BD93,"")</f>
        <v/>
      </c>
      <c r="BG93" s="122" t="n">
        <v>17023</v>
      </c>
      <c r="BH93" s="122" t="n">
        <v>19336</v>
      </c>
      <c r="BI93" s="123">
        <f>IF(AND(ISNUMBER(BG93),ISNUMBER(BH93),N(BH93)&gt;0),BG93/BH93,"")</f>
        <v/>
      </c>
      <c r="BJ93" s="120" t="inlineStr">
        <is>
          <t>N</t>
        </is>
      </c>
      <c r="BK93" s="120" t="inlineStr">
        <is>
          <t>Coupon 10.00 USD; List Price $27.99</t>
        </is>
      </c>
    </row>
    <row r="94" ht="62" customHeight="1">
      <c r="A94" s="12">
        <f>_xlfn.IMAGE("https://images-na.ssl-images-amazon.com/images/I/81mz6Jz1-XL.jpg")</f>
        <v/>
      </c>
      <c r="B94" s="105" t="inlineStr">
        <is>
          <t>Lajode</t>
        </is>
      </c>
      <c r="C94" s="39" t="inlineStr">
        <is>
          <t>Lajode Natural Linen Blackout Curtains for Bedroom - 52x84 Inch 2 Panels</t>
        </is>
      </c>
      <c r="D94" s="105" t="inlineStr">
        <is>
          <t>Beatable</t>
        </is>
      </c>
      <c r="E94" s="134" t="inlineStr">
        <is>
          <t>Not classified</t>
        </is>
      </c>
      <c r="F94" s="105" t="n"/>
      <c r="G94" s="39" t="inlineStr">
        <is>
          <t>Not a sheet, pillowcase or comforter product; competitors are compared on price and sales only.</t>
        </is>
      </c>
      <c r="H94" s="107" t="inlineStr">
        <is>
          <t>B0CX3LSG5D</t>
        </is>
      </c>
      <c r="I94" s="107" t="inlineStr">
        <is>
          <t>B0CX47TFJ4</t>
        </is>
      </c>
      <c r="J94" s="105" t="inlineStr">
        <is>
          <t>52"W x 84"L (Pack of 2)</t>
        </is>
      </c>
      <c r="K94" s="105" t="inlineStr">
        <is>
          <t>Natural</t>
        </is>
      </c>
      <c r="L94" s="108" t="n">
        <v>130</v>
      </c>
      <c r="M94" s="39" t="inlineStr"/>
      <c r="N94" s="109" t="n">
        <v>29.94</v>
      </c>
      <c r="O94" s="109" t="n"/>
      <c r="P94" s="110">
        <f>IF(AND(ISNUMBER(O94),ISNUMBER(N94),N(N94)&gt;0),O94/N94-1,"")</f>
        <v/>
      </c>
      <c r="Q94" s="111">
        <f>IF(P94="","No List Price",IF(P94&lt;=0,"At/below price",IF(P94&lt;=0.12,"&lt;=12% STR zone",IF(P94&lt;=0.25,"12-25%","&gt;25% over"))))</f>
        <v/>
      </c>
      <c r="R94" s="109" t="n">
        <v>29.82333333333333</v>
      </c>
      <c r="S94" s="112">
        <f>IF(AND(ISNUMBER(N94),ISNUMBER(R94),N(R94)&gt;0),N94/R94-1,"")</f>
        <v/>
      </c>
      <c r="T94" s="39" t="inlineStr">
        <is>
          <t>vs our blended price (market data, Mar 2026 - STALE)</t>
        </is>
      </c>
      <c r="U94" s="108" t="n">
        <v>13252</v>
      </c>
      <c r="V94" s="108" t="n">
        <v>92</v>
      </c>
      <c r="W94" s="113">
        <f>IF(AND(ISNUMBER(N94),ISNUMBER(V94)),N94*V94*52/12,"")</f>
        <v/>
      </c>
      <c r="X94" s="114" t="n">
        <v>4.6</v>
      </c>
      <c r="Y94" s="108" t="n">
        <v>1408</v>
      </c>
      <c r="Z94" s="115" t="n">
        <v>46307</v>
      </c>
      <c r="AA94" s="115" t="n">
        <v>45434</v>
      </c>
      <c r="AB94" s="105" t="inlineStr">
        <is>
          <t>FBA</t>
        </is>
      </c>
      <c r="AC94" s="105" t="inlineStr">
        <is>
          <t>US</t>
        </is>
      </c>
      <c r="AD94" s="108" t="n"/>
      <c r="AE94" s="108" t="n"/>
      <c r="AF94" s="116" t="n"/>
      <c r="AG94" s="116" t="n"/>
      <c r="AH94" s="39" t="n"/>
      <c r="AI94" s="116" t="n"/>
      <c r="AJ94" s="116" t="n"/>
      <c r="AK94" s="116" t="n"/>
      <c r="AL94" s="116" t="n"/>
      <c r="AM94" s="108" t="n"/>
      <c r="AN94" s="108" t="n"/>
      <c r="AO94" s="108" t="n"/>
      <c r="AP94" s="108" t="n"/>
      <c r="AQ94" s="108" t="n"/>
      <c r="AR94" s="108" t="n"/>
      <c r="AS94" s="117" t="n">
        <v>1.373060211049038</v>
      </c>
      <c r="AT94" s="112" t="n">
        <v>-0.4498869630746043</v>
      </c>
      <c r="AU94" s="118" t="inlineStr">
        <is>
          <t>N</t>
        </is>
      </c>
      <c r="AV94" s="118" t="inlineStr">
        <is>
          <t>none</t>
        </is>
      </c>
      <c r="AW94" s="124" t="n"/>
      <c r="AX94" s="119" t="n">
        <v>29.94</v>
      </c>
      <c r="AY94" s="118" t="inlineStr">
        <is>
          <t>none</t>
        </is>
      </c>
      <c r="AZ94" s="118" t="inlineStr">
        <is>
          <t>Y</t>
        </is>
      </c>
      <c r="BA94" s="118" t="inlineStr">
        <is>
          <t>2026-10-13 23:41:31</t>
        </is>
      </c>
      <c r="BB94" s="120" t="inlineStr">
        <is>
          <t>Price cut only</t>
        </is>
      </c>
      <c r="BC94" s="120" t="inlineStr">
        <is>
          <t>11-20 to 12-01</t>
        </is>
      </c>
      <c r="BD94" s="121" t="n">
        <v>29.94</v>
      </c>
      <c r="BE94" s="121" t="n">
        <v>21.2</v>
      </c>
      <c r="BF94" s="110">
        <f>IF(AND(ISNUMBER(BD94),ISNUMBER(BE94),N(BD94)&gt;0),1-BE94/BD94,"")</f>
        <v/>
      </c>
      <c r="BG94" s="122" t="n">
        <v>8826</v>
      </c>
      <c r="BH94" s="122" t="n">
        <v>7865</v>
      </c>
      <c r="BI94" s="123">
        <f>IF(AND(ISNUMBER(BG94),ISNUMBER(BH94),N(BH94)&gt;0),BG94/BH94,"")</f>
        <v/>
      </c>
      <c r="BJ94" s="120" t="inlineStr">
        <is>
          <t>N</t>
        </is>
      </c>
      <c r="BK94" s="120" t="inlineStr">
        <is>
          <t>List Price $46.99</t>
        </is>
      </c>
    </row>
    <row r="95" ht="62" customHeight="1">
      <c r="A95" s="12">
        <f>_xlfn.IMAGE("https://images-na.ssl-images-amazon.com/images/I/814g0Iz3A0L.jpg")</f>
        <v/>
      </c>
      <c r="B95" s="105" t="inlineStr">
        <is>
          <t>Threadmade</t>
        </is>
      </c>
      <c r="C95" s="39" t="inlineStr">
        <is>
          <t>Threadmade Brighton Windowpane Plaid Blackout Window Curtain Panel, Linen - 52" W x 84" L</t>
        </is>
      </c>
      <c r="D95" s="105" t="inlineStr">
        <is>
          <t>Beatable</t>
        </is>
      </c>
      <c r="E95" s="134" t="inlineStr">
        <is>
          <t>Not classified</t>
        </is>
      </c>
      <c r="F95" s="105" t="n"/>
      <c r="G95" s="39" t="inlineStr">
        <is>
          <t>Not a sheet, pillowcase or comforter product; competitors are compared on price and sales only.</t>
        </is>
      </c>
      <c r="H95" s="107" t="inlineStr">
        <is>
          <t>B0H8T2BYZK</t>
        </is>
      </c>
      <c r="I95" s="107" t="inlineStr">
        <is>
          <t>B08N891RBV</t>
        </is>
      </c>
      <c r="J95" s="105" t="inlineStr">
        <is>
          <t>52"W x 84"L (Pack of 1)</t>
        </is>
      </c>
      <c r="K95" s="105" t="inlineStr">
        <is>
          <t>Linen</t>
        </is>
      </c>
      <c r="L95" s="108" t="n">
        <v>32</v>
      </c>
      <c r="M95" s="39" t="inlineStr"/>
      <c r="N95" s="109" t="n">
        <v>36.29</v>
      </c>
      <c r="O95" s="109" t="n">
        <v>44.99</v>
      </c>
      <c r="P95" s="110">
        <f>IF(AND(ISNUMBER(O95),ISNUMBER(N95),N(N95)&gt;0),O95/N95-1,"")</f>
        <v/>
      </c>
      <c r="Q95" s="111">
        <f>IF(P95="","No List Price",IF(P95&lt;=0,"At/below price",IF(P95&lt;=0.12,"&lt;=12% STR zone",IF(P95&lt;=0.25,"12-25%","&gt;25% over"))))</f>
        <v/>
      </c>
      <c r="R95" s="109" t="n">
        <v>29.82333333333333</v>
      </c>
      <c r="S95" s="112">
        <f>IF(AND(ISNUMBER(N95),ISNUMBER(R95),N(R95)&gt;0),N95/R95-1,"")</f>
        <v/>
      </c>
      <c r="T95" s="39" t="inlineStr">
        <is>
          <t>vs our blended price (market data, Mar 2026 - STALE)</t>
        </is>
      </c>
      <c r="U95" s="108" t="n">
        <v>16354</v>
      </c>
      <c r="V95" s="108" t="n">
        <v>92</v>
      </c>
      <c r="W95" s="113">
        <f>IF(AND(ISNUMBER(N95),ISNUMBER(V95)),N95*V95*52/12,"")</f>
        <v/>
      </c>
      <c r="X95" s="114" t="n">
        <v>4.5</v>
      </c>
      <c r="Y95" s="108" t="n">
        <v>2281</v>
      </c>
      <c r="Z95" s="115" t="n">
        <v>46307</v>
      </c>
      <c r="AA95" s="115" t="n">
        <v>44146</v>
      </c>
      <c r="AB95" s="105" t="inlineStr">
        <is>
          <t>AMZ</t>
        </is>
      </c>
      <c r="AC95" s="105" t="inlineStr">
        <is>
          <t>(Amazon)</t>
        </is>
      </c>
      <c r="AD95" s="108" t="n"/>
      <c r="AE95" s="108" t="n"/>
      <c r="AF95" s="116" t="n"/>
      <c r="AG95" s="116" t="n"/>
      <c r="AH95" s="39" t="n"/>
      <c r="AI95" s="116" t="n"/>
      <c r="AJ95" s="116" t="n"/>
      <c r="AK95" s="116" t="n"/>
      <c r="AL95" s="116" t="n"/>
      <c r="AM95" s="108" t="n"/>
      <c r="AN95" s="108" t="n"/>
      <c r="AO95" s="108" t="n"/>
      <c r="AP95" s="108" t="n"/>
      <c r="AQ95" s="108" t="n"/>
      <c r="AR95" s="108" t="n"/>
      <c r="AS95" s="117" t="n"/>
      <c r="AT95" s="112" t="n"/>
      <c r="AU95" s="118" t="inlineStr">
        <is>
          <t>Y</t>
        </is>
      </c>
      <c r="AV95" s="118" t="inlineStr">
        <is>
          <t>List Price</t>
        </is>
      </c>
      <c r="AW95" s="119" t="n">
        <v>44.99</v>
      </c>
      <c r="AX95" s="119" t="n">
        <v>36.29</v>
      </c>
      <c r="AY95" s="118" t="inlineStr">
        <is>
          <t>coupon $15.48</t>
        </is>
      </c>
      <c r="AZ95" s="118" t="inlineStr">
        <is>
          <t>Y</t>
        </is>
      </c>
      <c r="BA95" s="118" t="inlineStr">
        <is>
          <t>2026-10-13 23:43:23</t>
        </is>
      </c>
      <c r="BB95" s="120" t="inlineStr">
        <is>
          <t>Price cut only</t>
        </is>
      </c>
      <c r="BC95" s="120" t="inlineStr">
        <is>
          <t>11-21 to 12-01</t>
        </is>
      </c>
      <c r="BD95" s="121" t="n">
        <v>49.48</v>
      </c>
      <c r="BE95" s="121" t="n">
        <v>42.49</v>
      </c>
      <c r="BF95" s="110">
        <f>IF(AND(ISNUMBER(BD95),ISNUMBER(BE95),N(BD95)&gt;0),1-BE95/BD95,"")</f>
        <v/>
      </c>
      <c r="BG95" s="122" t="n">
        <v>12461</v>
      </c>
      <c r="BH95" s="122" t="n">
        <v>17522</v>
      </c>
      <c r="BI95" s="123">
        <f>IF(AND(ISNUMBER(BG95),ISNUMBER(BH95),N(BH95)&gt;0),BG95/BH95,"")</f>
        <v/>
      </c>
      <c r="BJ95" s="120" t="inlineStr">
        <is>
          <t>N</t>
        </is>
      </c>
      <c r="BK95" s="120" t="inlineStr">
        <is>
          <t>List Price $49.99</t>
        </is>
      </c>
    </row>
    <row r="96" ht="62" customHeight="1">
      <c r="A96" s="12">
        <f>_xlfn.IMAGE("https://images-na.ssl-images-amazon.com/images/I/81tA9iHmfeL.jpg")</f>
        <v/>
      </c>
      <c r="B96" s="105" t="inlineStr">
        <is>
          <t>Joydeco</t>
        </is>
      </c>
      <c r="C96" s="39" t="inlineStr">
        <is>
          <t>Joydeco Linen Curtains 96 inch Length 2 Panel Set, Light Filtering Curtain for Living Room Bedroom, 52 inch Wide Drapes with Rod Pocket Back Tab (96" Lx52 W, Ivory on Linen)</t>
        </is>
      </c>
      <c r="D96" s="105" t="inlineStr">
        <is>
          <t>Poor</t>
        </is>
      </c>
      <c r="E96" s="134" t="inlineStr">
        <is>
          <t>Not classified</t>
        </is>
      </c>
      <c r="F96" s="105" t="n"/>
      <c r="G96" s="39" t="inlineStr">
        <is>
          <t>Not a sheet, pillowcase or comforter product; competitors are compared on price and sales only.</t>
        </is>
      </c>
      <c r="H96" s="107" t="inlineStr">
        <is>
          <t>B0DBM44C7Y</t>
        </is>
      </c>
      <c r="I96" s="107" t="inlineStr">
        <is>
          <t>B0BYD1BPNB</t>
        </is>
      </c>
      <c r="J96" s="105" t="inlineStr">
        <is>
          <t>52"W x 96"L (Pack of 2)</t>
        </is>
      </c>
      <c r="K96" s="105" t="inlineStr">
        <is>
          <t>Ivory on Linen</t>
        </is>
      </c>
      <c r="L96" s="108" t="n">
        <v>126</v>
      </c>
      <c r="M96" s="39" t="inlineStr"/>
      <c r="N96" s="109" t="n">
        <v>32.28</v>
      </c>
      <c r="O96" s="109" t="n">
        <v>42.99</v>
      </c>
      <c r="P96" s="110">
        <f>IF(AND(ISNUMBER(O96),ISNUMBER(N96),N(N96)&gt;0),O96/N96-1,"")</f>
        <v/>
      </c>
      <c r="Q96" s="111">
        <f>IF(P96="","No List Price",IF(P96&lt;=0,"At/below price",IF(P96&lt;=0.12,"&lt;=12% STR zone",IF(P96&lt;=0.25,"12-25%","&gt;25% over"))))</f>
        <v/>
      </c>
      <c r="R96" s="109" t="n">
        <v>29.82333333333333</v>
      </c>
      <c r="S96" s="112">
        <f>IF(AND(ISNUMBER(N96),ISNUMBER(R96),N(R96)&gt;0),N96/R96-1,"")</f>
        <v/>
      </c>
      <c r="T96" s="39" t="inlineStr">
        <is>
          <t>vs our blended price (market data, Mar 2026 - STALE)</t>
        </is>
      </c>
      <c r="U96" s="108" t="n">
        <v>5349</v>
      </c>
      <c r="V96" s="108" t="n">
        <v>347</v>
      </c>
      <c r="W96" s="113">
        <f>IF(AND(ISNUMBER(N96),ISNUMBER(V96)),N96*V96*52/12,"")</f>
        <v/>
      </c>
      <c r="X96" s="114" t="n">
        <v>4.7</v>
      </c>
      <c r="Y96" s="108" t="n">
        <v>1430</v>
      </c>
      <c r="Z96" s="115" t="n">
        <v>46307</v>
      </c>
      <c r="AA96" s="115" t="n">
        <v>44999</v>
      </c>
      <c r="AB96" s="105" t="inlineStr">
        <is>
          <t>FBA</t>
        </is>
      </c>
      <c r="AC96" s="105" t="inlineStr">
        <is>
          <t>CN</t>
        </is>
      </c>
      <c r="AD96" s="108" t="n"/>
      <c r="AE96" s="108" t="n"/>
      <c r="AF96" s="116" t="n"/>
      <c r="AG96" s="116" t="n"/>
      <c r="AH96" s="39" t="n"/>
      <c r="AI96" s="116" t="n"/>
      <c r="AJ96" s="116" t="n"/>
      <c r="AK96" s="116" t="n"/>
      <c r="AL96" s="116" t="n"/>
      <c r="AM96" s="108" t="n"/>
      <c r="AN96" s="108" t="n"/>
      <c r="AO96" s="108" t="n"/>
      <c r="AP96" s="108" t="n"/>
      <c r="AQ96" s="108" t="n"/>
      <c r="AR96" s="108" t="n"/>
      <c r="AS96" s="117" t="n"/>
      <c r="AT96" s="112" t="n"/>
      <c r="AU96" s="118" t="inlineStr">
        <is>
          <t>Y</t>
        </is>
      </c>
      <c r="AV96" s="118" t="inlineStr">
        <is>
          <t>List Price</t>
        </is>
      </c>
      <c r="AW96" s="119" t="n">
        <v>42.99</v>
      </c>
      <c r="AX96" s="119" t="n">
        <v>32.28</v>
      </c>
      <c r="AY96" s="118" t="inlineStr">
        <is>
          <t>Limited time deal</t>
        </is>
      </c>
      <c r="AZ96" s="118" t="inlineStr">
        <is>
          <t>Y</t>
        </is>
      </c>
      <c r="BA96" s="118" t="inlineStr">
        <is>
          <t>2026-10-13 23:41:25</t>
        </is>
      </c>
      <c r="BB96" s="120" t="inlineStr">
        <is>
          <t>None</t>
        </is>
      </c>
      <c r="BC96" s="125" t="n"/>
      <c r="BD96" s="121" t="n">
        <v>33.99</v>
      </c>
      <c r="BE96" s="121" t="n">
        <v>33.99</v>
      </c>
      <c r="BF96" s="110">
        <f>IF(AND(ISNUMBER(BD96),ISNUMBER(BE96),N(BD96)&gt;0),1-BE96/BD96,"")</f>
        <v/>
      </c>
      <c r="BG96" s="122" t="n">
        <v>2501</v>
      </c>
      <c r="BH96" s="122" t="n">
        <v>3219</v>
      </c>
      <c r="BI96" s="123">
        <f>IF(AND(ISNUMBER(BG96),ISNUMBER(BH96),N(BH96)&gt;0),BG96/BH96,"")</f>
        <v/>
      </c>
      <c r="BJ96" s="120" t="inlineStr">
        <is>
          <t>N</t>
        </is>
      </c>
      <c r="BK96" s="120" t="inlineStr">
        <is>
          <t>Coupon 2.00 USD (12-04 to 12-05); List Price $45.99</t>
        </is>
      </c>
    </row>
    <row r="97" ht="62" customHeight="1">
      <c r="A97" s="12">
        <f>_xlfn.IMAGE("https://images-na.ssl-images-amazon.com/images/I/81dOAC5a8JL.jpg")</f>
        <v/>
      </c>
      <c r="B97" s="105" t="inlineStr">
        <is>
          <t>RYB HOME</t>
        </is>
      </c>
      <c r="C97" s="39" t="inlineStr">
        <is>
          <t>RYB HOME Natural Beige 100% Blackout Curtains for Bedroom 84 Inch Long</t>
        </is>
      </c>
      <c r="D97" s="105" t="inlineStr">
        <is>
          <t>Poor</t>
        </is>
      </c>
      <c r="E97" s="134" t="inlineStr">
        <is>
          <t>Not classified</t>
        </is>
      </c>
      <c r="F97" s="105" t="n"/>
      <c r="G97" s="39" t="inlineStr">
        <is>
          <t>Not a sheet, pillowcase or comforter product; competitors are compared on price and sales only.</t>
        </is>
      </c>
      <c r="H97" s="107" t="inlineStr">
        <is>
          <t>B0C7GWSQ7G</t>
        </is>
      </c>
      <c r="I97" s="107" t="inlineStr">
        <is>
          <t>B0C7GTHJP6</t>
        </is>
      </c>
      <c r="J97" s="105" t="inlineStr">
        <is>
          <t>52"W x 84"L (Pack of 2)</t>
        </is>
      </c>
      <c r="K97" s="105" t="inlineStr">
        <is>
          <t>Natural Beige</t>
        </is>
      </c>
      <c r="L97" s="108" t="n">
        <v>140</v>
      </c>
      <c r="M97" s="39" t="inlineStr"/>
      <c r="N97" s="109" t="n">
        <v>21.33</v>
      </c>
      <c r="O97" s="109" t="n">
        <v>29.85</v>
      </c>
      <c r="P97" s="110">
        <f>IF(AND(ISNUMBER(O97),ISNUMBER(N97),N(N97)&gt;0),O97/N97-1,"")</f>
        <v/>
      </c>
      <c r="Q97" s="111">
        <f>IF(P97="","No List Price",IF(P97&lt;=0,"At/below price",IF(P97&lt;=0.12,"&lt;=12% STR zone",IF(P97&lt;=0.25,"12-25%","&gt;25% over"))))</f>
        <v/>
      </c>
      <c r="R97" s="109" t="n">
        <v>29.82333333333333</v>
      </c>
      <c r="S97" s="112">
        <f>IF(AND(ISNUMBER(N97),ISNUMBER(R97),N(R97)&gt;0),N97/R97-1,"")</f>
        <v/>
      </c>
      <c r="T97" s="39" t="inlineStr">
        <is>
          <t>vs our blended price (market data, Mar 2026 - STALE)</t>
        </is>
      </c>
      <c r="U97" s="108" t="n">
        <v>3194</v>
      </c>
      <c r="V97" s="108" t="n">
        <v>347</v>
      </c>
      <c r="W97" s="113">
        <f>IF(AND(ISNUMBER(N97),ISNUMBER(V97)),N97*V97*52/12,"")</f>
        <v/>
      </c>
      <c r="X97" s="114" t="n">
        <v>4.5</v>
      </c>
      <c r="Y97" s="108" t="n">
        <v>1072</v>
      </c>
      <c r="Z97" s="115" t="n">
        <v>46307</v>
      </c>
      <c r="AA97" s="115" t="n">
        <v>45085</v>
      </c>
      <c r="AB97" s="105" t="inlineStr">
        <is>
          <t>FBA</t>
        </is>
      </c>
      <c r="AC97" s="105" t="inlineStr">
        <is>
          <t>CN</t>
        </is>
      </c>
      <c r="AD97" s="108" t="n"/>
      <c r="AE97" s="108" t="n"/>
      <c r="AF97" s="116" t="n"/>
      <c r="AG97" s="116" t="n"/>
      <c r="AH97" s="39" t="n"/>
      <c r="AI97" s="116" t="n"/>
      <c r="AJ97" s="116" t="n"/>
      <c r="AK97" s="116" t="n"/>
      <c r="AL97" s="116" t="n"/>
      <c r="AM97" s="108" t="n"/>
      <c r="AN97" s="108" t="n"/>
      <c r="AO97" s="108" t="n"/>
      <c r="AP97" s="108" t="n"/>
      <c r="AQ97" s="108" t="n"/>
      <c r="AR97" s="108" t="n"/>
      <c r="AS97" s="117" t="n"/>
      <c r="AT97" s="112" t="n"/>
      <c r="AU97" s="118" t="inlineStr">
        <is>
          <t>Y</t>
        </is>
      </c>
      <c r="AV97" s="118" t="inlineStr">
        <is>
          <t>List Price</t>
        </is>
      </c>
      <c r="AW97" s="119" t="n">
        <v>29.85</v>
      </c>
      <c r="AX97" s="119" t="n">
        <v>21.33</v>
      </c>
      <c r="AY97" s="118" t="inlineStr">
        <is>
          <t>Limited time deal</t>
        </is>
      </c>
      <c r="AZ97" s="118" t="inlineStr">
        <is>
          <t>Y</t>
        </is>
      </c>
      <c r="BA97" s="118" t="inlineStr">
        <is>
          <t>2026-10-13 23:42:37</t>
        </is>
      </c>
      <c r="BB97" s="120" t="inlineStr">
        <is>
          <t>Prime Exclusive Discount</t>
        </is>
      </c>
      <c r="BC97" s="120" t="inlineStr">
        <is>
          <t>11-26 to 12-01</t>
        </is>
      </c>
      <c r="BD97" s="121" t="n">
        <v>21</v>
      </c>
      <c r="BE97" s="121" t="n">
        <v>19.7</v>
      </c>
      <c r="BF97" s="110">
        <f>IF(AND(ISNUMBER(BD97),ISNUMBER(BE97),N(BD97)&gt;0),1-BE97/BD97,"")</f>
        <v/>
      </c>
      <c r="BG97" s="122" t="n">
        <v>11768</v>
      </c>
      <c r="BH97" s="122" t="n">
        <v>13703</v>
      </c>
      <c r="BI97" s="123">
        <f>IF(AND(ISNUMBER(BG97),ISNUMBER(BH97),N(BH97)&gt;0),BG97/BH97,"")</f>
        <v/>
      </c>
      <c r="BJ97" s="120" t="inlineStr">
        <is>
          <t>N</t>
        </is>
      </c>
      <c r="BK97" s="120" t="inlineStr">
        <is>
          <t>Coupon 24% (11-18 to 11-19); Buy Box RAISED in BFCM week (median $29.85 vs $21.00 before); List Price $29.85</t>
        </is>
      </c>
    </row>
    <row r="98" ht="62" customHeight="1">
      <c r="A98" s="12">
        <f>_xlfn.IMAGE("https://images-na.ssl-images-amazon.com/images/I/81YrpBfe+XL.jpg")</f>
        <v/>
      </c>
      <c r="B98" s="105" t="inlineStr">
        <is>
          <t>Jowels</t>
        </is>
      </c>
      <c r="C98" s="39" t="inlineStr">
        <is>
          <t>Jowels Natural Linen Grommet Curtains 84 Inch Long 2 Panels for Living Room</t>
        </is>
      </c>
      <c r="D98" s="105" t="inlineStr">
        <is>
          <t>Poor</t>
        </is>
      </c>
      <c r="E98" s="134" t="inlineStr">
        <is>
          <t>Not classified</t>
        </is>
      </c>
      <c r="F98" s="105" t="n"/>
      <c r="G98" s="39" t="inlineStr">
        <is>
          <t>Not a sheet, pillowcase or comforter product; competitors are compared on price and sales only.</t>
        </is>
      </c>
      <c r="H98" s="107" t="inlineStr">
        <is>
          <t>B0CX1RMCK5</t>
        </is>
      </c>
      <c r="I98" s="107" t="inlineStr">
        <is>
          <t>B0CWWWFZ16</t>
        </is>
      </c>
      <c r="J98" s="105" t="inlineStr">
        <is>
          <t>52"W x 84"L (Pack of 2)</t>
        </is>
      </c>
      <c r="K98" s="105" t="inlineStr">
        <is>
          <t>Natural</t>
        </is>
      </c>
      <c r="L98" s="108" t="n">
        <v>483</v>
      </c>
      <c r="M98" s="39" t="inlineStr"/>
      <c r="N98" s="109" t="n">
        <v>20.99</v>
      </c>
      <c r="O98" s="109" t="n"/>
      <c r="P98" s="110">
        <f>IF(AND(ISNUMBER(O98),ISNUMBER(N98),N(N98)&gt;0),O98/N98-1,"")</f>
        <v/>
      </c>
      <c r="Q98" s="111">
        <f>IF(P98="","No List Price",IF(P98&lt;=0,"At/below price",IF(P98&lt;=0.12,"&lt;=12% STR zone",IF(P98&lt;=0.25,"12-25%","&gt;25% over"))))</f>
        <v/>
      </c>
      <c r="R98" s="109" t="n">
        <v>29.82333333333333</v>
      </c>
      <c r="S98" s="112">
        <f>IF(AND(ISNUMBER(N98),ISNUMBER(R98),N(R98)&gt;0),N98/R98-1,"")</f>
        <v/>
      </c>
      <c r="T98" s="39" t="inlineStr">
        <is>
          <t>vs our blended price (market data, Mar 2026 - STALE)</t>
        </is>
      </c>
      <c r="U98" s="108" t="n">
        <v>4213</v>
      </c>
      <c r="V98" s="108" t="n">
        <v>197</v>
      </c>
      <c r="W98" s="113">
        <f>IF(AND(ISNUMBER(N98),ISNUMBER(V98)),N98*V98*52/12,"")</f>
        <v/>
      </c>
      <c r="X98" s="114" t="n">
        <v>4.6</v>
      </c>
      <c r="Y98" s="108" t="n">
        <v>1089</v>
      </c>
      <c r="Z98" s="115" t="n">
        <v>46307</v>
      </c>
      <c r="AA98" s="115" t="n">
        <v>45353</v>
      </c>
      <c r="AB98" s="105" t="inlineStr">
        <is>
          <t>FBA</t>
        </is>
      </c>
      <c r="AC98" s="105" t="inlineStr">
        <is>
          <t>CN</t>
        </is>
      </c>
      <c r="AD98" s="108" t="n"/>
      <c r="AE98" s="108" t="n"/>
      <c r="AF98" s="116" t="n"/>
      <c r="AG98" s="116" t="n"/>
      <c r="AH98" s="39" t="n"/>
      <c r="AI98" s="116" t="n"/>
      <c r="AJ98" s="116" t="n"/>
      <c r="AK98" s="116" t="n"/>
      <c r="AL98" s="116" t="n"/>
      <c r="AM98" s="108" t="n"/>
      <c r="AN98" s="108" t="n"/>
      <c r="AO98" s="108" t="n"/>
      <c r="AP98" s="108" t="n"/>
      <c r="AQ98" s="108" t="n"/>
      <c r="AR98" s="108" t="n"/>
      <c r="AS98" s="117" t="n"/>
      <c r="AT98" s="112" t="n"/>
      <c r="AU98" s="118" t="inlineStr">
        <is>
          <t>N</t>
        </is>
      </c>
      <c r="AV98" s="118" t="inlineStr">
        <is>
          <t>none</t>
        </is>
      </c>
      <c r="AW98" s="124" t="n"/>
      <c r="AX98" s="119" t="n">
        <v>20.99</v>
      </c>
      <c r="AY98" s="118" t="inlineStr">
        <is>
          <t>none</t>
        </is>
      </c>
      <c r="AZ98" s="118" t="inlineStr">
        <is>
          <t>Y</t>
        </is>
      </c>
      <c r="BA98" s="118" t="inlineStr">
        <is>
          <t>2026-10-13 23:41:21</t>
        </is>
      </c>
      <c r="BB98" s="120" t="inlineStr">
        <is>
          <t>Prime Exclusive Discount</t>
        </is>
      </c>
      <c r="BC98" s="120" t="inlineStr">
        <is>
          <t>11-21 to 12-01</t>
        </is>
      </c>
      <c r="BD98" s="121" t="n">
        <v>21.98</v>
      </c>
      <c r="BE98" s="121" t="n">
        <v>17.58</v>
      </c>
      <c r="BF98" s="110">
        <f>IF(AND(ISNUMBER(BD98),ISNUMBER(BE98),N(BD98)&gt;0),1-BE98/BD98,"")</f>
        <v/>
      </c>
      <c r="BG98" s="122" t="n">
        <v>13259</v>
      </c>
      <c r="BH98" s="122" t="n">
        <v>17257</v>
      </c>
      <c r="BI98" s="123">
        <f>IF(AND(ISNUMBER(BG98),ISNUMBER(BH98),N(BH98)&gt;0),BG98/BH98,"")</f>
        <v/>
      </c>
      <c r="BJ98" s="120" t="inlineStr">
        <is>
          <t>N</t>
        </is>
      </c>
      <c r="BK98" s="120" t="inlineStr">
        <is>
          <t>Coupon 20% (11-07 to 11-19); List Price $21.98</t>
        </is>
      </c>
    </row>
    <row r="99" ht="62" customHeight="1">
      <c r="A99" s="12">
        <f>_xlfn.IMAGE("https://images-na.ssl-images-amazon.com/images/I/71iWOFTvsgL.jpg")</f>
        <v/>
      </c>
      <c r="B99" s="105" t="inlineStr">
        <is>
          <t>Zyvola Store</t>
        </is>
      </c>
      <c r="C99" s="39" t="inlineStr">
        <is>
          <t>Zyvola 100% Blackout Curtains 84 inch Length Faux Linen (W52 x L84, Beige)</t>
        </is>
      </c>
      <c r="D99" s="105" t="inlineStr">
        <is>
          <t>Poor</t>
        </is>
      </c>
      <c r="E99" s="134" t="inlineStr">
        <is>
          <t>Not classified</t>
        </is>
      </c>
      <c r="F99" s="105" t="n"/>
      <c r="G99" s="39" t="inlineStr">
        <is>
          <t>Not a sheet, pillowcase or comforter product; competitors are compared on price and sales only.</t>
        </is>
      </c>
      <c r="H99" s="107" t="inlineStr">
        <is>
          <t>B0GYNL4FXW</t>
        </is>
      </c>
      <c r="I99" s="107" t="inlineStr">
        <is>
          <t>B0F538X5VQ</t>
        </is>
      </c>
      <c r="J99" s="105" t="inlineStr">
        <is>
          <t>52"W x 84"L (Pack of 2)</t>
        </is>
      </c>
      <c r="K99" s="105" t="inlineStr">
        <is>
          <t>Beige</t>
        </is>
      </c>
      <c r="L99" s="108" t="n">
        <v>97</v>
      </c>
      <c r="M99" s="39" t="inlineStr"/>
      <c r="N99" s="109" t="n">
        <v>23.99</v>
      </c>
      <c r="O99" s="109" t="n"/>
      <c r="P99" s="110">
        <f>IF(AND(ISNUMBER(O99),ISNUMBER(N99),N(N99)&gt;0),O99/N99-1,"")</f>
        <v/>
      </c>
      <c r="Q99" s="111">
        <f>IF(P99="","No List Price",IF(P99&lt;=0,"At/below price",IF(P99&lt;=0.12,"&lt;=12% STR zone",IF(P99&lt;=0.25,"12-25%","&gt;25% over"))))</f>
        <v/>
      </c>
      <c r="R99" s="109" t="n">
        <v>29.82333333333333</v>
      </c>
      <c r="S99" s="112">
        <f>IF(AND(ISNUMBER(N99),ISNUMBER(R99),N(R99)&gt;0),N99/R99-1,"")</f>
        <v/>
      </c>
      <c r="T99" s="39" t="inlineStr">
        <is>
          <t>vs our blended price (market data, Mar 2026 - STALE)</t>
        </is>
      </c>
      <c r="U99" s="108" t="n">
        <v>40931</v>
      </c>
      <c r="V99" s="108" t="n">
        <v>92</v>
      </c>
      <c r="W99" s="113">
        <f>IF(AND(ISNUMBER(N99),ISNUMBER(V99)),N99*V99*52/12,"")</f>
        <v/>
      </c>
      <c r="X99" s="114" t="n">
        <v>4.8</v>
      </c>
      <c r="Y99" s="108" t="n">
        <v>767</v>
      </c>
      <c r="Z99" s="115" t="n">
        <v>46307</v>
      </c>
      <c r="AA99" s="115" t="n">
        <v>45763</v>
      </c>
      <c r="AB99" s="105" t="inlineStr">
        <is>
          <t>FBA</t>
        </is>
      </c>
      <c r="AC99" s="105" t="inlineStr">
        <is>
          <t>CN</t>
        </is>
      </c>
      <c r="AD99" s="108" t="n"/>
      <c r="AE99" s="108" t="n"/>
      <c r="AF99" s="116" t="n"/>
      <c r="AG99" s="116" t="n"/>
      <c r="AH99" s="39" t="n"/>
      <c r="AI99" s="116" t="n"/>
      <c r="AJ99" s="116" t="n"/>
      <c r="AK99" s="116" t="n"/>
      <c r="AL99" s="116" t="n"/>
      <c r="AM99" s="108" t="n"/>
      <c r="AN99" s="108" t="n"/>
      <c r="AO99" s="108" t="n"/>
      <c r="AP99" s="108" t="n"/>
      <c r="AQ99" s="108" t="n"/>
      <c r="AR99" s="108" t="n"/>
      <c r="AS99" s="117" t="n"/>
      <c r="AT99" s="112" t="n"/>
      <c r="AU99" s="118" t="inlineStr">
        <is>
          <t>N</t>
        </is>
      </c>
      <c r="AV99" s="118" t="inlineStr">
        <is>
          <t>none</t>
        </is>
      </c>
      <c r="AW99" s="124" t="n"/>
      <c r="AX99" s="119" t="n">
        <v>23.99</v>
      </c>
      <c r="AY99" s="118" t="inlineStr">
        <is>
          <t>none</t>
        </is>
      </c>
      <c r="AZ99" s="118" t="inlineStr">
        <is>
          <t>Y</t>
        </is>
      </c>
      <c r="BA99" s="118" t="inlineStr">
        <is>
          <t>2026-10-13 23:44:07</t>
        </is>
      </c>
      <c r="BB99" s="120" t="inlineStr">
        <is>
          <t>Price cut only</t>
        </is>
      </c>
      <c r="BC99" s="120" t="inlineStr">
        <is>
          <t>11-20 to 12-01</t>
        </is>
      </c>
      <c r="BD99" s="121" t="n">
        <v>20.99</v>
      </c>
      <c r="BE99" s="121" t="n">
        <v>18.99</v>
      </c>
      <c r="BF99" s="110">
        <f>IF(AND(ISNUMBER(BD99),ISNUMBER(BE99),N(BD99)&gt;0),1-BE99/BD99,"")</f>
        <v/>
      </c>
      <c r="BG99" s="122" t="n">
        <v>8774</v>
      </c>
      <c r="BH99" s="122" t="n">
        <v>8447</v>
      </c>
      <c r="BI99" s="123">
        <f>IF(AND(ISNUMBER(BG99),ISNUMBER(BH99),N(BH99)&gt;0),BG99/BH99,"")</f>
        <v/>
      </c>
      <c r="BJ99" s="120" t="inlineStr">
        <is>
          <t>N</t>
        </is>
      </c>
      <c r="BK99" s="120" t="inlineStr">
        <is>
          <t>Prime Exclusive 11-01 to 12-05; Prime Exclusive already running before BFCM week; List Price $23.99</t>
        </is>
      </c>
    </row>
    <row r="100" ht="62" customHeight="1">
      <c r="A100" s="12">
        <f>_xlfn.IMAGE("https://images-na.ssl-images-amazon.com/images/I/81WQK0JB0zL.jpg")</f>
        <v/>
      </c>
      <c r="B100" s="105" t="inlineStr">
        <is>
          <t>PONY DANCE</t>
        </is>
      </c>
      <c r="C100" s="39" t="inlineStr">
        <is>
          <t>PONY DANCE Linen Blackout Curtains for Bedroom 84 Inches Long, 2 Panels Set</t>
        </is>
      </c>
      <c r="D100" s="105" t="inlineStr">
        <is>
          <t>Poor</t>
        </is>
      </c>
      <c r="E100" s="134" t="inlineStr">
        <is>
          <t>Not classified</t>
        </is>
      </c>
      <c r="F100" s="105" t="n"/>
      <c r="G100" s="39" t="inlineStr">
        <is>
          <t>Not a sheet, pillowcase or comforter product; competitors are compared on price and sales only.</t>
        </is>
      </c>
      <c r="H100" s="107" t="inlineStr">
        <is>
          <t>B0DT64LH8Q</t>
        </is>
      </c>
      <c r="I100" s="107" t="inlineStr">
        <is>
          <t>B0DT5T2BXX</t>
        </is>
      </c>
      <c r="J100" s="105" t="inlineStr">
        <is>
          <t>52"W x 84"L (Pack of 2)</t>
        </is>
      </c>
      <c r="K100" s="105" t="inlineStr">
        <is>
          <t>Linen</t>
        </is>
      </c>
      <c r="L100" s="108" t="n">
        <v>83</v>
      </c>
      <c r="M100" s="39" t="inlineStr"/>
      <c r="N100" s="109" t="n">
        <v>22.97</v>
      </c>
      <c r="O100" s="109" t="n"/>
      <c r="P100" s="110">
        <f>IF(AND(ISNUMBER(O100),ISNUMBER(N100),N(N100)&gt;0),O100/N100-1,"")</f>
        <v/>
      </c>
      <c r="Q100" s="111">
        <f>IF(P100="","No List Price",IF(P100&lt;=0,"At/below price",IF(P100&lt;=0.12,"&lt;=12% STR zone",IF(P100&lt;=0.25,"12-25%","&gt;25% over"))))</f>
        <v/>
      </c>
      <c r="R100" s="109" t="n">
        <v>29.82333333333333</v>
      </c>
      <c r="S100" s="112">
        <f>IF(AND(ISNUMBER(N100),ISNUMBER(R100),N(R100)&gt;0),N100/R100-1,"")</f>
        <v/>
      </c>
      <c r="T100" s="39" t="inlineStr">
        <is>
          <t>vs our blended price (market data, Mar 2026 - STALE)</t>
        </is>
      </c>
      <c r="U100" s="108" t="n">
        <v>71182</v>
      </c>
      <c r="V100" s="108" t="n">
        <v>81</v>
      </c>
      <c r="W100" s="113">
        <f>IF(AND(ISNUMBER(N100),ISNUMBER(V100)),N100*V100*52/12,"")</f>
        <v/>
      </c>
      <c r="X100" s="114" t="n">
        <v>4.8</v>
      </c>
      <c r="Y100" s="108" t="n">
        <v>267</v>
      </c>
      <c r="Z100" s="115" t="n">
        <v>46307</v>
      </c>
      <c r="AA100" s="115" t="n">
        <v>45673</v>
      </c>
      <c r="AB100" s="105" t="inlineStr">
        <is>
          <t>FBA</t>
        </is>
      </c>
      <c r="AC100" s="105" t="inlineStr">
        <is>
          <t>CN</t>
        </is>
      </c>
      <c r="AD100" s="108" t="n"/>
      <c r="AE100" s="108" t="n"/>
      <c r="AF100" s="116" t="n"/>
      <c r="AG100" s="116" t="n"/>
      <c r="AH100" s="39" t="n"/>
      <c r="AI100" s="116" t="n"/>
      <c r="AJ100" s="116" t="n"/>
      <c r="AK100" s="116" t="n"/>
      <c r="AL100" s="116" t="n"/>
      <c r="AM100" s="108" t="n"/>
      <c r="AN100" s="108" t="n"/>
      <c r="AO100" s="108" t="n"/>
      <c r="AP100" s="108" t="n"/>
      <c r="AQ100" s="108" t="n"/>
      <c r="AR100" s="108" t="n"/>
      <c r="AS100" s="117" t="n"/>
      <c r="AT100" s="112" t="n"/>
      <c r="AU100" s="118" t="inlineStr">
        <is>
          <t>N</t>
        </is>
      </c>
      <c r="AV100" s="118" t="inlineStr">
        <is>
          <t>none</t>
        </is>
      </c>
      <c r="AW100" s="124" t="n"/>
      <c r="AX100" s="119" t="n">
        <v>22.97</v>
      </c>
      <c r="AY100" s="118" t="inlineStr">
        <is>
          <t>none</t>
        </is>
      </c>
      <c r="AZ100" s="118" t="inlineStr">
        <is>
          <t>Y</t>
        </is>
      </c>
      <c r="BA100" s="118" t="inlineStr">
        <is>
          <t>2026-10-13 23:42:28</t>
        </is>
      </c>
      <c r="BB100" s="120" t="inlineStr">
        <is>
          <t>None</t>
        </is>
      </c>
      <c r="BC100" s="125" t="n"/>
      <c r="BD100" s="121" t="n">
        <v>21.97</v>
      </c>
      <c r="BE100" s="121" t="n">
        <v>22.97</v>
      </c>
      <c r="BF100" s="110">
        <f>IF(AND(ISNUMBER(BD100),ISNUMBER(BE100),N(BD100)&gt;0),1-BE100/BD100,"")</f>
        <v/>
      </c>
      <c r="BG100" s="122" t="n">
        <v>78942</v>
      </c>
      <c r="BH100" s="122" t="n">
        <v>111286</v>
      </c>
      <c r="BI100" s="123">
        <f>IF(AND(ISNUMBER(BG100),ISNUMBER(BH100),N(BH100)&gt;0),BG100/BH100,"")</f>
        <v/>
      </c>
      <c r="BJ100" s="120" t="inlineStr">
        <is>
          <t>N</t>
        </is>
      </c>
      <c r="BK100" s="120" t="inlineStr">
        <is>
          <t>List Price $29.97</t>
        </is>
      </c>
    </row>
    <row r="101" ht="62" customHeight="1">
      <c r="A101" s="12">
        <f>_xlfn.IMAGE("https://m.media-amazon.com/images/I/810EvTvac6L._AC_SL1500_.jpg")</f>
        <v/>
      </c>
      <c r="B101" s="105" t="inlineStr">
        <is>
          <t>Zyvola</t>
        </is>
      </c>
      <c r="C101" s="39" t="inlineStr">
        <is>
          <t>Linen Curtains</t>
        </is>
      </c>
      <c r="D101" s="105" t="inlineStr">
        <is>
          <t>Poor</t>
        </is>
      </c>
      <c r="E101" s="134" t="inlineStr">
        <is>
          <t>Not classified</t>
        </is>
      </c>
      <c r="F101" s="105" t="n"/>
      <c r="G101" s="39" t="inlineStr">
        <is>
          <t>Not a sheet, pillowcase or comforter product; competitors are compared on price and sales only.</t>
        </is>
      </c>
      <c r="H101" s="107" t="inlineStr">
        <is>
          <t>B0F534LNF4</t>
        </is>
      </c>
      <c r="I101" s="107" t="inlineStr">
        <is>
          <t>B0F534LNF4</t>
        </is>
      </c>
      <c r="J101" s="105" t="inlineStr">
        <is>
          <t>52"W x 96"L (Pack of 2)</t>
        </is>
      </c>
      <c r="K101" s="105" t="inlineStr">
        <is>
          <t>*Grommet | Light Grey</t>
        </is>
      </c>
      <c r="L101" s="108" t="n"/>
      <c r="M101" s="39" t="inlineStr"/>
      <c r="N101" s="109" t="n">
        <v>42.99</v>
      </c>
      <c r="O101" s="109" t="n"/>
      <c r="P101" s="110">
        <f>IF(AND(ISNUMBER(O101),ISNUMBER(N101),N(N101)&gt;0),O101/N101-1,"")</f>
        <v/>
      </c>
      <c r="Q101" s="111">
        <f>IF(P101="","No List Price",IF(P101&lt;=0,"At/below price",IF(P101&lt;=0.12,"&lt;=12% STR zone",IF(P101&lt;=0.25,"12-25%","&gt;25% over"))))</f>
        <v/>
      </c>
      <c r="R101" s="109" t="n">
        <v>29.82333333333333</v>
      </c>
      <c r="S101" s="112">
        <f>IF(AND(ISNUMBER(N101),ISNUMBER(R101),N(R101)&gt;0),N101/R101-1,"")</f>
        <v/>
      </c>
      <c r="T101" s="39" t="inlineStr">
        <is>
          <t>vs our blended price (market data, Mar 2026 - STALE)</t>
        </is>
      </c>
      <c r="U101" s="108" t="n">
        <v>5171084</v>
      </c>
      <c r="V101" s="108" t="n">
        <v>5</v>
      </c>
      <c r="W101" s="113">
        <f>IF(AND(ISNUMBER(N101),ISNUMBER(V101)),N101*V101*52/12,"")</f>
        <v/>
      </c>
      <c r="X101" s="114" t="n">
        <v>4.7</v>
      </c>
      <c r="Y101" s="108" t="n">
        <v>4</v>
      </c>
      <c r="Z101" s="115" t="n">
        <v>46307</v>
      </c>
      <c r="AA101" s="115" t="n"/>
      <c r="AB101" s="105" t="n"/>
      <c r="AC101" s="105" t="n"/>
      <c r="AD101" s="108" t="n"/>
      <c r="AE101" s="108" t="n"/>
      <c r="AF101" s="116" t="n"/>
      <c r="AG101" s="116" t="n"/>
      <c r="AH101" s="39" t="n"/>
      <c r="AI101" s="116" t="n"/>
      <c r="AJ101" s="116" t="n"/>
      <c r="AK101" s="116" t="n"/>
      <c r="AL101" s="116" t="n"/>
      <c r="AM101" s="108" t="n"/>
      <c r="AN101" s="108" t="n"/>
      <c r="AO101" s="108" t="n"/>
      <c r="AP101" s="108" t="n"/>
      <c r="AQ101" s="108" t="n"/>
      <c r="AR101" s="108" t="n"/>
      <c r="AS101" s="117" t="n"/>
      <c r="AT101" s="112" t="n"/>
      <c r="AU101" s="118" t="inlineStr">
        <is>
          <t>N</t>
        </is>
      </c>
      <c r="AV101" s="118" t="inlineStr">
        <is>
          <t>none</t>
        </is>
      </c>
      <c r="AW101" s="124" t="n"/>
      <c r="AX101" s="124" t="n"/>
      <c r="AY101" s="118" t="inlineStr">
        <is>
          <t>none</t>
        </is>
      </c>
      <c r="AZ101" s="118" t="inlineStr">
        <is>
          <t>N</t>
        </is>
      </c>
      <c r="BA101" s="118" t="inlineStr">
        <is>
          <t>2026-10-13 23:44:04</t>
        </is>
      </c>
      <c r="BB101" s="120" t="inlineStr">
        <is>
          <t>None</t>
        </is>
      </c>
      <c r="BC101" s="125" t="n"/>
      <c r="BD101" s="121" t="n">
        <v>35.39</v>
      </c>
      <c r="BE101" s="121" t="n">
        <v>36.39</v>
      </c>
      <c r="BF101" s="110">
        <f>IF(AND(ISNUMBER(BD101),ISNUMBER(BE101),N(BD101)&gt;0),1-BE101/BD101,"")</f>
        <v/>
      </c>
      <c r="BG101" s="122" t="n">
        <v>9011</v>
      </c>
      <c r="BH101" s="122" t="n">
        <v>8516</v>
      </c>
      <c r="BI101" s="123">
        <f>IF(AND(ISNUMBER(BG101),ISNUMBER(BH101),N(BH101)&gt;0),BG101/BH101,"")</f>
        <v/>
      </c>
      <c r="BJ101" s="120" t="inlineStr">
        <is>
          <t>Y</t>
        </is>
      </c>
      <c r="BK101" s="120" t="inlineStr">
        <is>
          <t>Buy Box RAISED in BFCM week (median $43.99 vs $35.39 before); List Price $44.99</t>
        </is>
      </c>
    </row>
    <row r="102"/>
    <row r="103" ht="22" customHeight="1">
      <c r="A103" s="65" t="inlineStr">
        <is>
          <t>5 ▼</t>
        </is>
      </c>
      <c r="B103" s="66" t="inlineStr">
        <is>
          <t>WHAT THIS MEANS FOR BFCM</t>
        </is>
      </c>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c r="AL103" s="67" t="n"/>
      <c r="AM103" s="67" t="n"/>
      <c r="AN103" s="67" t="n"/>
      <c r="AO103" s="67" t="n"/>
      <c r="AP103" s="67" t="n"/>
      <c r="AQ103" s="67" t="n"/>
      <c r="AR103" s="67" t="n"/>
      <c r="AS103" s="67" t="n"/>
      <c r="AT103" s="67" t="n"/>
      <c r="AU103" s="67" t="n"/>
      <c r="AV103" s="67" t="n"/>
      <c r="AW103" s="67" t="n"/>
      <c r="AX103" s="67" t="n"/>
      <c r="AY103" s="67" t="n"/>
      <c r="AZ103" s="67" t="n"/>
      <c r="BA103" s="67" t="n"/>
      <c r="BB103" s="67" t="n"/>
      <c r="BC103" s="67" t="n"/>
      <c r="BD103" s="67" t="n"/>
      <c r="BE103" s="67" t="n"/>
      <c r="BF103" s="67" t="n"/>
      <c r="BG103" s="67" t="n"/>
      <c r="BH103" s="67" t="n"/>
      <c r="BI103" s="67" t="n"/>
      <c r="BJ103" s="67" t="n"/>
      <c r="BK103" s="67" t="n"/>
    </row>
    <row r="104" ht="30" customHeight="1">
      <c r="A104" s="129" t="inlineStr">
        <is>
          <t>• Who sells most: MIULEE ~3,464/wk at $25.95; 100% Blackout Shield ~2,079/wk at $32.97 (List $39.99, +21%); Nanspring ~2,079/wk at $13.98; Guken ~2,079/wk at $17.86 (List $18.80, +5%); H.VERSAILTEX ~809/wk at $27.95. Tracked rivals ~13,914 units/wk; we sell ~3/wk (0.0% of the tracked set).</t>
        </is>
      </c>
    </row>
    <row r="105" ht="18" customHeight="1">
      <c r="A105" s="129" t="inlineStr">
        <is>
          <t>• Strikethrough: 10 of 21 rivals set a List Price above price; 1 within 12%: Guken +5%.</t>
        </is>
      </c>
    </row>
    <row r="106" ht="18" customHeight="1">
      <c r="A106" s="129" t="inlineStr">
        <is>
          <t>• Price: 16 of 21 rivals sit below our price today (same size where the title states one). Cheapest strong rivals: Nanspring $13.98, Guken $17.86, NICETOWN $18.88, YoungsTex $19.58.</t>
        </is>
      </c>
    </row>
    <row r="107" ht="30" customHeight="1">
      <c r="A107" s="129" t="inlineStr">
        <is>
          <t>• Strikethrough on the page today (Oct 13 check): 12 of 21 checked rivals show one: MIULEE List Price $27.73 vs $25.95 (+7%), 100% Blackout Shield List Price $39.99 vs $32.97 (+21%), INOVADAY Typical price $34.95 vs $28.33 (+23%) with deal, NICETOWN List Price $27.29 vs $18.88 (+45%) with deal, Guken Typical price $18.80 vs $17.86 (+5%), Pitalk Typical price $26.98 vs $23.98 (+13%).</t>
        </is>
      </c>
    </row>
    <row r="108" ht="30" customHeight="1">
      <c r="A108" s="129" t="inlineStr">
        <is>
          <t>• BFCM 2025, 21 rivals with price history history: Prime Exclusive Discount 10, Price cut only 6, None 4, Coupon only 1. Median depth vs their Nov 1-19 price 19%; median BSR lift 0.78x. 6 raised their Buy Box in BFCM week, so their deal looked deeper than it was.</t>
        </is>
      </c>
    </row>
  </sheetData>
  <autoFilter ref="B80:BK101"/>
  <mergeCells count="60">
    <mergeCell ref="A73:BK73"/>
    <mergeCell ref="L5:Q5"/>
    <mergeCell ref="A107:BK107"/>
    <mergeCell ref="Q11:T11"/>
    <mergeCell ref="L8:Q8"/>
    <mergeCell ref="L4:Q4"/>
    <mergeCell ref="D7:I7"/>
    <mergeCell ref="A13:D13"/>
    <mergeCell ref="A79:K79"/>
    <mergeCell ref="I13:L13"/>
    <mergeCell ref="AD79:AT79"/>
    <mergeCell ref="D4:I4"/>
    <mergeCell ref="L10:Q10"/>
    <mergeCell ref="E12:H12"/>
    <mergeCell ref="Q13:T13"/>
    <mergeCell ref="D9:I9"/>
    <mergeCell ref="N79:Z79"/>
    <mergeCell ref="A108:BK108"/>
    <mergeCell ref="U12:X12"/>
    <mergeCell ref="L9:Q9"/>
    <mergeCell ref="Q12:T12"/>
    <mergeCell ref="A62:C62"/>
    <mergeCell ref="A11:D11"/>
    <mergeCell ref="A69:C69"/>
    <mergeCell ref="A75:BK75"/>
    <mergeCell ref="I11:L11"/>
    <mergeCell ref="A74:BK74"/>
    <mergeCell ref="D8:I8"/>
    <mergeCell ref="L6:Q6"/>
    <mergeCell ref="A4:B9"/>
    <mergeCell ref="A105:BK105"/>
    <mergeCell ref="T6:Y6"/>
    <mergeCell ref="A68:C68"/>
    <mergeCell ref="A63:C63"/>
    <mergeCell ref="A104:BK104"/>
    <mergeCell ref="A71:BK71"/>
    <mergeCell ref="D5:I5"/>
    <mergeCell ref="AU79:BA79"/>
    <mergeCell ref="AA79:AC79"/>
    <mergeCell ref="M11:P11"/>
    <mergeCell ref="A67:C67"/>
    <mergeCell ref="U11:X11"/>
    <mergeCell ref="A106:BK106"/>
    <mergeCell ref="E13:H13"/>
    <mergeCell ref="A64:C64"/>
    <mergeCell ref="D10:I10"/>
    <mergeCell ref="L7:Q7"/>
    <mergeCell ref="T5:Y5"/>
    <mergeCell ref="A72:BK72"/>
    <mergeCell ref="A12:D12"/>
    <mergeCell ref="M13:P13"/>
    <mergeCell ref="I12:L12"/>
    <mergeCell ref="U13:X13"/>
    <mergeCell ref="A70:C70"/>
    <mergeCell ref="BB79:BK79"/>
    <mergeCell ref="M12:P12"/>
    <mergeCell ref="T4:Y4"/>
    <mergeCell ref="D6:I6"/>
    <mergeCell ref="E11:H11"/>
    <mergeCell ref="A65:C65"/>
  </mergeCells>
  <conditionalFormatting sqref="Q81:Q101">
    <cfRule type="expression" priority="1" dxfId="1">
      <formula>Q81="&lt;=12% STR zone"</formula>
    </cfRule>
  </conditionalFormatting>
  <conditionalFormatting sqref="Z81:Z101">
    <cfRule type="expression" priority="2" dxfId="0">
      <formula>AND(ISNUMBER(Z81),Z81&lt;DATE(2026,10,6))</formula>
    </cfRule>
  </conditionalFormatting>
  <conditionalFormatting sqref="T81:T101">
    <cfRule type="expression" priority="3" dxfId="0">
      <formula>ISNUMBER(SEARCH("STALE",T81))</formula>
    </cfRule>
  </conditionalFormatting>
  <conditionalFormatting sqref="S81:S101">
    <cfRule type="expression" priority="4" dxfId="0">
      <formula>AND(ISNUMBER(S81),S81&lt;0)</formula>
    </cfRule>
  </conditionalFormatting>
  <dataValidations count="3">
    <dataValidation sqref="AU81:AU101 BJ81:BJ101" showDropDown="0" showInputMessage="0" showErrorMessage="0" allowBlank="1" type="list">
      <formula1>"Y,N"</formula1>
    </dataValidation>
    <dataValidation sqref="AV81:AV101" showDropDown="0" showInputMessage="0" showErrorMessage="0" allowBlank="1" type="list">
      <formula1>"List Price,Typical price,Was price,None"</formula1>
    </dataValidation>
    <dataValidation sqref="BB81:BB101"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Linen Curtains'!A3" display="1 Our product ↓"/>
    <hyperlink ref="D2" location="'US DC Linen Curtains'!A15" display="2 Our variations ↓"/>
    <hyperlink ref="E2" location="'US DC Linen Curtains'!A61" display="3 Our BFCM 2025 ↓"/>
    <hyperlink ref="F2" location="'US DC Linen Curtains'!A77" display="4 COMPETITORS (21 mapped) ↓"/>
    <hyperlink ref="G2" location="'US DC Linen Curtains'!A103" display="5 What it means ↓"/>
    <hyperlink xmlns:r="http://schemas.openxmlformats.org/officeDocument/2006/relationships" ref="H81" r:id="rId1"/>
    <hyperlink xmlns:r="http://schemas.openxmlformats.org/officeDocument/2006/relationships" ref="I81" r:id="rId2"/>
    <hyperlink xmlns:r="http://schemas.openxmlformats.org/officeDocument/2006/relationships" ref="H82" r:id="rId3"/>
    <hyperlink xmlns:r="http://schemas.openxmlformats.org/officeDocument/2006/relationships" ref="I82" r:id="rId4"/>
    <hyperlink xmlns:r="http://schemas.openxmlformats.org/officeDocument/2006/relationships" ref="H83" r:id="rId5"/>
    <hyperlink xmlns:r="http://schemas.openxmlformats.org/officeDocument/2006/relationships" ref="I83" r:id="rId6"/>
    <hyperlink xmlns:r="http://schemas.openxmlformats.org/officeDocument/2006/relationships" ref="H84" r:id="rId7"/>
    <hyperlink xmlns:r="http://schemas.openxmlformats.org/officeDocument/2006/relationships" ref="I84" r:id="rId8"/>
    <hyperlink xmlns:r="http://schemas.openxmlformats.org/officeDocument/2006/relationships" ref="H85" r:id="rId9"/>
    <hyperlink xmlns:r="http://schemas.openxmlformats.org/officeDocument/2006/relationships" ref="I85" r:id="rId10"/>
    <hyperlink xmlns:r="http://schemas.openxmlformats.org/officeDocument/2006/relationships" ref="H86" r:id="rId11"/>
    <hyperlink xmlns:r="http://schemas.openxmlformats.org/officeDocument/2006/relationships" ref="I86" r:id="rId12"/>
    <hyperlink xmlns:r="http://schemas.openxmlformats.org/officeDocument/2006/relationships" ref="H87" r:id="rId13"/>
    <hyperlink xmlns:r="http://schemas.openxmlformats.org/officeDocument/2006/relationships" ref="I87" r:id="rId14"/>
    <hyperlink xmlns:r="http://schemas.openxmlformats.org/officeDocument/2006/relationships" ref="H88" r:id="rId15"/>
    <hyperlink xmlns:r="http://schemas.openxmlformats.org/officeDocument/2006/relationships" ref="I88" r:id="rId16"/>
    <hyperlink xmlns:r="http://schemas.openxmlformats.org/officeDocument/2006/relationships" ref="H89" r:id="rId17"/>
    <hyperlink xmlns:r="http://schemas.openxmlformats.org/officeDocument/2006/relationships" ref="I89" r:id="rId18"/>
    <hyperlink xmlns:r="http://schemas.openxmlformats.org/officeDocument/2006/relationships" ref="H90" r:id="rId19"/>
    <hyperlink xmlns:r="http://schemas.openxmlformats.org/officeDocument/2006/relationships" ref="I90" r:id="rId20"/>
    <hyperlink xmlns:r="http://schemas.openxmlformats.org/officeDocument/2006/relationships" ref="H91" r:id="rId21"/>
    <hyperlink xmlns:r="http://schemas.openxmlformats.org/officeDocument/2006/relationships" ref="I91" r:id="rId22"/>
    <hyperlink xmlns:r="http://schemas.openxmlformats.org/officeDocument/2006/relationships" ref="H92" r:id="rId23"/>
    <hyperlink xmlns:r="http://schemas.openxmlformats.org/officeDocument/2006/relationships" ref="I92" r:id="rId24"/>
    <hyperlink xmlns:r="http://schemas.openxmlformats.org/officeDocument/2006/relationships" ref="H93" r:id="rId25"/>
    <hyperlink xmlns:r="http://schemas.openxmlformats.org/officeDocument/2006/relationships" ref="I93" r:id="rId26"/>
    <hyperlink xmlns:r="http://schemas.openxmlformats.org/officeDocument/2006/relationships" ref="H94" r:id="rId27"/>
    <hyperlink xmlns:r="http://schemas.openxmlformats.org/officeDocument/2006/relationships" ref="I94" r:id="rId28"/>
    <hyperlink xmlns:r="http://schemas.openxmlformats.org/officeDocument/2006/relationships" ref="H95" r:id="rId29"/>
    <hyperlink xmlns:r="http://schemas.openxmlformats.org/officeDocument/2006/relationships" ref="I95" r:id="rId30"/>
    <hyperlink xmlns:r="http://schemas.openxmlformats.org/officeDocument/2006/relationships" ref="H96" r:id="rId31"/>
    <hyperlink xmlns:r="http://schemas.openxmlformats.org/officeDocument/2006/relationships" ref="I96" r:id="rId32"/>
    <hyperlink xmlns:r="http://schemas.openxmlformats.org/officeDocument/2006/relationships" ref="H97" r:id="rId33"/>
    <hyperlink xmlns:r="http://schemas.openxmlformats.org/officeDocument/2006/relationships" ref="I97" r:id="rId34"/>
    <hyperlink xmlns:r="http://schemas.openxmlformats.org/officeDocument/2006/relationships" ref="H98" r:id="rId35"/>
    <hyperlink xmlns:r="http://schemas.openxmlformats.org/officeDocument/2006/relationships" ref="I98" r:id="rId36"/>
    <hyperlink xmlns:r="http://schemas.openxmlformats.org/officeDocument/2006/relationships" ref="H99" r:id="rId37"/>
    <hyperlink xmlns:r="http://schemas.openxmlformats.org/officeDocument/2006/relationships" ref="I99" r:id="rId38"/>
    <hyperlink xmlns:r="http://schemas.openxmlformats.org/officeDocument/2006/relationships" ref="H100" r:id="rId39"/>
    <hyperlink xmlns:r="http://schemas.openxmlformats.org/officeDocument/2006/relationships" ref="I100" r:id="rId40"/>
    <hyperlink xmlns:r="http://schemas.openxmlformats.org/officeDocument/2006/relationships" ref="H101" r:id="rId41"/>
    <hyperlink xmlns:r="http://schemas.openxmlformats.org/officeDocument/2006/relationships" ref="I101" r:id="rId42"/>
  </hyperlink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9DC3E6"/>
    <outlinePr summaryBelow="1" summaryRight="1"/>
    <pageSetUpPr/>
  </sheetPr>
  <dimension ref="A1:BK72"/>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Beach Towel · Amazon.com (US) · Other · BFCM role: Other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(13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_xlfn.IMAGE("https://images-na.ssl-images-amazon.com/images/I/81ZamyVE0yL.jpg")</f>
        <v/>
      </c>
      <c r="C4" s="13" t="inlineStr">
        <is>
          <t>Title</t>
        </is>
      </c>
      <c r="D4" s="14" t="inlineStr">
        <is>
          <t>DECOLURE Turkish Beach Towel Oversized 39x73 Inch - 100% Turkish Cotton, Quick Dry and Sand Free Beach Towels for Travel - Lightweight, Absorbent &amp; Soft Peshtemal Towel - (Gray Wave)</t>
        </is>
      </c>
      <c r="K4" s="13" t="inlineStr">
        <is>
          <t>Sizes</t>
        </is>
      </c>
      <c r="L4" s="68" t="inlineStr">
        <is>
          <t>39" x 73"</t>
        </is>
      </c>
      <c r="S4" s="13" t="inlineStr">
        <is>
          <t>Break-even ACoS</t>
        </is>
      </c>
      <c r="T4" s="68" t="inlineStr">
        <is>
          <t>26%</t>
        </is>
      </c>
    </row>
    <row r="5" ht="22" customHeight="1">
      <c r="C5" s="13" t="inlineStr">
        <is>
          <t>Brand</t>
        </is>
      </c>
      <c r="D5" s="68" t="inlineStr">
        <is>
          <t>Decolure</t>
        </is>
      </c>
      <c r="K5" s="13" t="inlineStr">
        <is>
          <t>Colours</t>
        </is>
      </c>
      <c r="L5" s="68" t="inlineStr">
        <is>
          <t>Cyan, Gray, Light Cyan, Light Gray, Med Cyan, Med Gray, Silver Gray</t>
        </is>
      </c>
      <c r="S5" s="13" t="inlineStr">
        <is>
          <t>Units last 28 days</t>
        </is>
      </c>
      <c r="T5" s="68" t="inlineStr">
        <is>
          <t>2</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B0DQ8NHCYM (one of our child ASINs, not the Amazon parent)</t>
        </is>
      </c>
    </row>
    <row r="7" ht="22" customHeight="1">
      <c r="C7" s="13" t="inlineStr">
        <is>
          <t>Parent ASIN (Amazon)</t>
        </is>
      </c>
      <c r="D7" s="68" t="inlineStr">
        <is>
          <t>B0GZVXL6DZ</t>
        </is>
      </c>
      <c r="K7" s="13" t="inlineStr">
        <is>
          <t>Rating / reviews now</t>
        </is>
      </c>
      <c r="L7" s="68" t="inlineStr">
        <is>
          <t>Not checked yet</t>
        </is>
      </c>
    </row>
    <row r="8" ht="22" customHeight="1">
      <c r="C8" s="13" t="inlineStr">
        <is>
          <t>Best-selling child ASIN</t>
        </is>
      </c>
      <c r="D8" s="68" t="inlineStr">
        <is>
          <t>B0DQ92K585</t>
        </is>
      </c>
      <c r="K8" s="13" t="inlineStr">
        <is>
          <t>Live prices held</t>
        </is>
      </c>
      <c r="L8" s="68" t="inlineStr">
        <is>
          <t>0 of 14 variations</t>
        </is>
      </c>
    </row>
    <row r="9" ht="22" customHeight="1">
      <c r="C9" s="13" t="inlineStr">
        <is>
          <t>Stage</t>
        </is>
      </c>
      <c r="D9" s="68" t="inlineStr">
        <is>
          <t>Liquidation</t>
        </is>
      </c>
      <c r="K9" s="13" t="inlineStr">
        <is>
          <t>Blended price (market data)</t>
        </is>
      </c>
      <c r="L9" s="68" t="inlineStr">
        <is>
          <t>$21.45 - fee feed as of 2026-03-30, STALE</t>
        </is>
      </c>
    </row>
    <row r="10">
      <c r="C10" s="13" t="inlineStr">
        <is>
          <t>Total variations (SKUs)</t>
        </is>
      </c>
      <c r="D10" s="68" t="n">
        <v>14</v>
      </c>
      <c r="K10" s="13" t="inlineStr">
        <is>
          <t>Contribution / unit</t>
        </is>
      </c>
      <c r="L10" s="68" t="inlineStr">
        <is>
          <t>$5.47</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13</t>
        </is>
      </c>
      <c r="Q12" s="70" t="inlineStr">
        <is>
          <t>10</t>
        </is>
      </c>
      <c r="U12" s="70" t="inlineStr">
        <is>
          <t>0</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(14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_xlfn.IMAGE("https://m.media-amazon.com/images/I/91p6pT8SwCL.jpg")</f>
        <v/>
      </c>
      <c r="B18" s="39" t="inlineStr">
        <is>
          <t>B0DQ97GSMF</t>
        </is>
      </c>
      <c r="C18" s="39" t="inlineStr">
        <is>
          <t>BEACH-TOWEL-PT-WAVE-CYAN</t>
        </is>
      </c>
      <c r="D18" s="39" t="inlineStr">
        <is>
          <t>DECOLURE Turkish Beach Towel Oversized 39x73 Inch - 100% Turkish Cotton, Quick Dry and Sand Free Beach Towels for Travel - Lightweight, Absorbent &amp; Soft Peshtemal Towel - (Cyan Wave)</t>
        </is>
      </c>
      <c r="E18" s="39" t="inlineStr">
        <is>
          <t>39" x 73"</t>
        </is>
      </c>
      <c r="F18" s="39" t="inlineStr">
        <is>
          <t>Cyan</t>
        </is>
      </c>
      <c r="G18" s="40" t="n"/>
      <c r="H18" s="39" t="n"/>
      <c r="I18" s="74" t="n">
        <v>19.95</v>
      </c>
      <c r="J18" s="75" t="inlineStr">
        <is>
          <t>2026-03-30</t>
        </is>
      </c>
      <c r="K18" s="40" t="n">
        <v>4.28</v>
      </c>
      <c r="L18" s="76" t="n">
        <v>0.2145363408521304</v>
      </c>
      <c r="M18" s="77" t="n">
        <v>1</v>
      </c>
      <c r="N18" s="39" t="inlineStr">
        <is>
          <t>Active</t>
        </is>
      </c>
      <c r="O18" s="39" t="n"/>
      <c r="P18" s="78" t="n"/>
      <c r="Q18" s="77" t="n"/>
      <c r="R18" s="77" t="n"/>
      <c r="S18" s="77" t="n"/>
      <c r="T18" s="39" t="n"/>
    </row>
    <row r="19" ht="62" customHeight="1">
      <c r="A19" s="12">
        <f>_xlfn.IMAGE("https://m.media-amazon.com/images/I/91z8spBwpvL.jpg")</f>
        <v/>
      </c>
      <c r="B19" s="39" t="inlineStr">
        <is>
          <t>B0DQ92K585</t>
        </is>
      </c>
      <c r="C19" s="39" t="inlineStr">
        <is>
          <t>BEACH-TOWEL-PT-WAVE-GRAY</t>
        </is>
      </c>
      <c r="D19" s="39" t="inlineStr">
        <is>
          <t>DECOLURE Turkish Beach Towel Oversized 39x73 Inch - 100% Turkish Cotton, Quick Dry and Sand Free Beach Towels for Travel - Lightweight, Absorbent &amp; Soft Peshtemal Towel - (Gray Wave)</t>
        </is>
      </c>
      <c r="E19" s="39" t="inlineStr">
        <is>
          <t>39" x 73"</t>
        </is>
      </c>
      <c r="F19" s="39" t="inlineStr">
        <is>
          <t>Gray</t>
        </is>
      </c>
      <c r="G19" s="40" t="n"/>
      <c r="H19" s="39" t="n"/>
      <c r="I19" s="74" t="n">
        <v>22.95</v>
      </c>
      <c r="J19" s="75" t="inlineStr">
        <is>
          <t>2026-03-30</t>
        </is>
      </c>
      <c r="K19" s="40" t="n">
        <v>6.669999999999998</v>
      </c>
      <c r="L19" s="76" t="n">
        <v>0.290631808278867</v>
      </c>
      <c r="M19" s="77" t="n">
        <v>1</v>
      </c>
      <c r="N19" s="39" t="inlineStr">
        <is>
          <t>Active</t>
        </is>
      </c>
      <c r="O19" s="39" t="n"/>
      <c r="P19" s="78" t="n"/>
      <c r="Q19" s="77" t="n"/>
      <c r="R19" s="77" t="n"/>
      <c r="S19" s="77" t="n"/>
      <c r="T19" s="39" t="n"/>
    </row>
    <row r="20" ht="62" customHeight="1">
      <c r="A20" s="12">
        <f>_xlfn.IMAGE("https://m.media-amazon.com/images/I/91YqAehMXnL.jpg")</f>
        <v/>
      </c>
      <c r="B20" s="39" t="inlineStr">
        <is>
          <t>B0DQ8NHCYM</t>
        </is>
      </c>
      <c r="C20" s="39" t="inlineStr">
        <is>
          <t>BEACH-TOWEL-PT-DIAMOND-CYAN</t>
        </is>
      </c>
      <c r="D20" s="39" t="inlineStr">
        <is>
          <t>DECOLURE Turkish Beach Towel Oversized 39x73 Inch - 100% Turkish Cotton, Quick Dry and Sand Free Beach Towels for Travel - Lightweight, Absorbent &amp; Soft Peshtemal Towel - (Cyan Diamond)</t>
        </is>
      </c>
      <c r="E20" s="39" t="inlineStr">
        <is>
          <t>39" x 73"</t>
        </is>
      </c>
      <c r="F20" s="39" t="inlineStr">
        <is>
          <t>Cyan</t>
        </is>
      </c>
      <c r="G20" s="40" t="n"/>
      <c r="H20" s="39" t="n"/>
      <c r="I20" s="74" t="n">
        <v>22.95</v>
      </c>
      <c r="J20" s="75" t="inlineStr">
        <is>
          <t>2026-03-30</t>
        </is>
      </c>
      <c r="K20" s="40" t="n">
        <v>6.579999999999997</v>
      </c>
      <c r="L20" s="76" t="n">
        <v>0.286710239651416</v>
      </c>
      <c r="M20" s="77" t="n">
        <v>0</v>
      </c>
      <c r="N20" s="39" t="inlineStr">
        <is>
          <t>Active</t>
        </is>
      </c>
      <c r="O20" s="39" t="n"/>
      <c r="P20" s="78" t="n"/>
      <c r="Q20" s="77" t="n"/>
      <c r="R20" s="77" t="n"/>
      <c r="S20" s="77" t="n"/>
      <c r="T20" s="39" t="n"/>
    </row>
    <row r="21" ht="62" customHeight="1">
      <c r="A21" s="12">
        <f>_xlfn.IMAGE("https://m.media-amazon.com/images/I/91xbIQAZZvL.jpg")</f>
        <v/>
      </c>
      <c r="B21" s="39" t="inlineStr">
        <is>
          <t>B0DQ95SWCM</t>
        </is>
      </c>
      <c r="C21" s="39" t="inlineStr">
        <is>
          <t>BEACH-TOWEL-PT-DIAMOND-GRAY</t>
        </is>
      </c>
      <c r="D21" s="39" t="inlineStr">
        <is>
          <t>DECOLURE Turkish Beach Towel Oversized 39x73 Inch - 100% Turkish Cotton, Quick Dry and Sand Free Beach Towels for Travel - Lightweight, Absorbent &amp; Soft Peshtemal Towel - (Grey Diamond)</t>
        </is>
      </c>
      <c r="E21" s="39" t="inlineStr">
        <is>
          <t>39" x 73"</t>
        </is>
      </c>
      <c r="F21" s="39" t="inlineStr">
        <is>
          <t>Gray</t>
        </is>
      </c>
      <c r="G21" s="40" t="n"/>
      <c r="H21" s="39" t="n"/>
      <c r="I21" s="74" t="n">
        <v>22.95</v>
      </c>
      <c r="J21" s="75" t="inlineStr">
        <is>
          <t>2026-03-30</t>
        </is>
      </c>
      <c r="K21" s="40" t="n">
        <v>6.719999999999998</v>
      </c>
      <c r="L21" s="76" t="n">
        <v>0.2928104575163398</v>
      </c>
      <c r="M21" s="77" t="n">
        <v>0</v>
      </c>
      <c r="N21" s="39" t="inlineStr">
        <is>
          <t>Active</t>
        </is>
      </c>
      <c r="O21" s="39" t="n"/>
      <c r="P21" s="78" t="n"/>
      <c r="Q21" s="77" t="n"/>
      <c r="R21" s="77" t="n"/>
      <c r="S21" s="77" t="n"/>
      <c r="T21" s="39" t="n"/>
    </row>
    <row r="22" ht="62" customHeight="1">
      <c r="A22" s="12">
        <f>_xlfn.IMAGE("https://m.media-amazon.com/images/I/91YqAehMXnL.jpg")</f>
        <v/>
      </c>
      <c r="B22" s="39" t="inlineStr">
        <is>
          <t>B0DQ96PNRN</t>
        </is>
      </c>
      <c r="C22" s="39" t="inlineStr">
        <is>
          <t>BEACH-TOWEL-PT-DIAMOND-LIGHT-CYAN</t>
        </is>
      </c>
      <c r="D22" s="39" t="inlineStr">
        <is>
          <t>DECOLURE Turkish Beach Towel Oversized 39x73 Inch - 100% Turkish Cotton, Quick Dry and Sand Free Beach Towels for Travel - Lightweight, Absorbent &amp; Soft Peshtemal Towel - (Light Cyan Diamond)</t>
        </is>
      </c>
      <c r="E22" s="39" t="inlineStr">
        <is>
          <t>39" x 73"</t>
        </is>
      </c>
      <c r="F22" s="39" t="inlineStr">
        <is>
          <t>Light Cyan</t>
        </is>
      </c>
      <c r="G22" s="40" t="n"/>
      <c r="H22" s="39" t="n"/>
      <c r="I22" s="40" t="n"/>
      <c r="J22" s="39" t="n"/>
      <c r="K22" s="40" t="n"/>
      <c r="L22" s="76" t="n"/>
      <c r="M22" s="77" t="n"/>
      <c r="N22" s="39" t="inlineStr">
        <is>
          <t>Inactive</t>
        </is>
      </c>
      <c r="O22" s="39" t="n"/>
      <c r="P22" s="78" t="n"/>
      <c r="Q22" s="77" t="n"/>
      <c r="R22" s="77" t="n"/>
      <c r="S22" s="77" t="n"/>
      <c r="T22" s="39" t="n"/>
    </row>
    <row r="23" ht="62" customHeight="1">
      <c r="A23" s="12">
        <f>_xlfn.IMAGE("https://m.media-amazon.com/images/I/91YqAehMXnL.jpg")</f>
        <v/>
      </c>
      <c r="B23" s="39" t="inlineStr">
        <is>
          <t>B0DQ96ZNYB</t>
        </is>
      </c>
      <c r="C23" s="39" t="inlineStr">
        <is>
          <t>BEACH-TOWEL-PT-WAVE-LIGHT-CYAN</t>
        </is>
      </c>
      <c r="D23" s="39" t="inlineStr">
        <is>
          <t>DECOLURE Turkish Beach Towel Oversized 39x73 Inch - 100% Turkish Cotton, Quick Dry and Sand Free Beach Towels for Travel - Lightweight, Absorbent &amp; Soft Peshtemal Towel - (Light Cyan Wave)</t>
        </is>
      </c>
      <c r="E23" s="39" t="inlineStr">
        <is>
          <t>39" x 73"</t>
        </is>
      </c>
      <c r="F23" s="39" t="inlineStr">
        <is>
          <t>Light Cyan</t>
        </is>
      </c>
      <c r="G23" s="40" t="n"/>
      <c r="H23" s="39" t="n"/>
      <c r="I23" s="40" t="n"/>
      <c r="J23" s="39" t="n"/>
      <c r="K23" s="40" t="n"/>
      <c r="L23" s="76" t="n"/>
      <c r="M23" s="77" t="n"/>
      <c r="N23" s="39" t="inlineStr">
        <is>
          <t>Inactive</t>
        </is>
      </c>
      <c r="O23" s="39" t="n"/>
      <c r="P23" s="78" t="n"/>
      <c r="Q23" s="77" t="n"/>
      <c r="R23" s="77" t="n"/>
      <c r="S23" s="77" t="n"/>
      <c r="T23" s="39" t="n"/>
    </row>
    <row r="24" ht="62" customHeight="1">
      <c r="A24" s="12">
        <f>_xlfn.IMAGE("https://m.media-amazon.com/images/I/91YqAehMXnL.jpg")</f>
        <v/>
      </c>
      <c r="B24" s="39" t="inlineStr">
        <is>
          <t>B0DQ96DS95</t>
        </is>
      </c>
      <c r="C24" s="39" t="inlineStr">
        <is>
          <t>BEACH-TOWEL-PT-DIAMOND-LIGHT-GRAY</t>
        </is>
      </c>
      <c r="D24" s="39" t="inlineStr">
        <is>
          <t>DECOLURE Turkish Beach Towel Oversized 39x73 Inch - 100% Turkish Cotton, Quick Dry and Sand Free Beach Towels for Travel - Lightweight, Absorbent &amp; Soft Peshtemal Towel - (Light Gray Diamond)</t>
        </is>
      </c>
      <c r="E24" s="39" t="inlineStr">
        <is>
          <t>39" x 73"</t>
        </is>
      </c>
      <c r="F24" s="39" t="inlineStr">
        <is>
          <t>Light Gray</t>
        </is>
      </c>
      <c r="G24" s="40" t="n"/>
      <c r="H24" s="39" t="n"/>
      <c r="I24" s="74" t="n">
        <v>22.95</v>
      </c>
      <c r="J24" s="75" t="inlineStr">
        <is>
          <t>2026-03-30</t>
        </is>
      </c>
      <c r="K24" s="40" t="n"/>
      <c r="L24" s="76" t="n"/>
      <c r="M24" s="77" t="n"/>
      <c r="N24" s="39" t="inlineStr">
        <is>
          <t>Inactive</t>
        </is>
      </c>
      <c r="O24" s="39" t="n"/>
      <c r="P24" s="78" t="n"/>
      <c r="Q24" s="77" t="n"/>
      <c r="R24" s="77" t="n"/>
      <c r="S24" s="77" t="n"/>
      <c r="T24" s="39" t="n"/>
    </row>
    <row r="25" ht="62" customHeight="1">
      <c r="A25" s="12">
        <f>_xlfn.IMAGE("https://m.media-amazon.com/images/I/91YqAehMXnL.jpg")</f>
        <v/>
      </c>
      <c r="B25" s="39" t="inlineStr">
        <is>
          <t>B0DQ976XLV</t>
        </is>
      </c>
      <c r="C25" s="39" t="inlineStr">
        <is>
          <t>BEACH-TOWEL-PT-WAVE-LIGHT-GRAY</t>
        </is>
      </c>
      <c r="D25" s="39" t="inlineStr">
        <is>
          <t>DECOLURE Turkish Beach Towel Oversized 39x73 Inch - 100% Turkish Cotton, Quick Dry and Sand Free Beach Towels for Travel - Lightweight, Absorbent &amp; Soft Peshtemal Towel - (Light Gray Wave)</t>
        </is>
      </c>
      <c r="E25" s="39" t="inlineStr">
        <is>
          <t>39" x 73"</t>
        </is>
      </c>
      <c r="F25" s="39" t="inlineStr">
        <is>
          <t>Light Gray</t>
        </is>
      </c>
      <c r="G25" s="40" t="n"/>
      <c r="H25" s="39" t="n"/>
      <c r="I25" s="40" t="n"/>
      <c r="J25" s="39" t="n"/>
      <c r="K25" s="40" t="n"/>
      <c r="L25" s="76" t="n"/>
      <c r="M25" s="77" t="n"/>
      <c r="N25" s="39" t="inlineStr">
        <is>
          <t>Inactive</t>
        </is>
      </c>
      <c r="O25" s="39" t="n"/>
      <c r="P25" s="78" t="n"/>
      <c r="Q25" s="77" t="n"/>
      <c r="R25" s="77" t="n"/>
      <c r="S25" s="77" t="n"/>
      <c r="T25" s="39" t="n"/>
    </row>
    <row r="26" ht="62" customHeight="1">
      <c r="A26" s="12">
        <f>_xlfn.IMAGE("https://m.media-amazon.com/images/I/91YqAehMXnL.jpg")</f>
        <v/>
      </c>
      <c r="B26" s="39" t="inlineStr">
        <is>
          <t>B0DQ94XB91</t>
        </is>
      </c>
      <c r="C26" s="39" t="inlineStr">
        <is>
          <t>BEACH-TOWEL-PT-DIAMOND-MED-CYAN</t>
        </is>
      </c>
      <c r="D26" s="39" t="inlineStr">
        <is>
          <t>DECOLURE Turkish Beach Towel Oversized 39x73 Inch - 100% Turkish Cotton, Quick Dry and Sand Free Beach Towels for Travel - Lightweight, Absorbent &amp; Soft Peshtemal Towel - (Med Cyan Diamond)</t>
        </is>
      </c>
      <c r="E26" s="39" t="inlineStr">
        <is>
          <t>39" x 73"</t>
        </is>
      </c>
      <c r="F26" s="39" t="inlineStr">
        <is>
          <t>Med Cyan</t>
        </is>
      </c>
      <c r="G26" s="40" t="n"/>
      <c r="H26" s="39" t="n"/>
      <c r="I26" s="40" t="n"/>
      <c r="J26" s="39" t="n"/>
      <c r="K26" s="40" t="n"/>
      <c r="L26" s="76" t="n"/>
      <c r="M26" s="77" t="n"/>
      <c r="N26" s="39" t="inlineStr">
        <is>
          <t>Inactive</t>
        </is>
      </c>
      <c r="O26" s="39" t="n"/>
      <c r="P26" s="78" t="n"/>
      <c r="Q26" s="77" t="n"/>
      <c r="R26" s="77" t="n"/>
      <c r="S26" s="77" t="n"/>
      <c r="T26" s="39" t="n"/>
    </row>
    <row r="27" ht="62" customHeight="1">
      <c r="A27" s="12">
        <f>_xlfn.IMAGE("https://m.media-amazon.com/images/I/91YqAehMXnL.jpg")</f>
        <v/>
      </c>
      <c r="B27" s="39" t="inlineStr">
        <is>
          <t>B0DQ96FSJT</t>
        </is>
      </c>
      <c r="C27" s="39" t="inlineStr">
        <is>
          <t>BEACH-TOWEL-PT-WAVE-MED-CYAN</t>
        </is>
      </c>
      <c r="D27" s="39" t="inlineStr">
        <is>
          <t>DECOLURE Turkish Beach Towel Oversized 39x73 Inch - 100% Turkish Cotton, Quick Dry and Sand Free Beach Towels for Travel - Lightweight, Absorbent &amp; Soft Peshtemal Towel - (Med Cyan Wave)</t>
        </is>
      </c>
      <c r="E27" s="39" t="inlineStr">
        <is>
          <t>39" x 73"</t>
        </is>
      </c>
      <c r="F27" s="39" t="inlineStr">
        <is>
          <t>Med Cyan</t>
        </is>
      </c>
      <c r="G27" s="40" t="n"/>
      <c r="H27" s="39" t="n"/>
      <c r="I27" s="40" t="n"/>
      <c r="J27" s="39" t="n"/>
      <c r="K27" s="40" t="n"/>
      <c r="L27" s="76" t="n"/>
      <c r="M27" s="77" t="n"/>
      <c r="N27" s="39" t="inlineStr">
        <is>
          <t>Inactive</t>
        </is>
      </c>
      <c r="O27" s="39" t="n"/>
      <c r="P27" s="78" t="n"/>
      <c r="Q27" s="77" t="n"/>
      <c r="R27" s="77" t="n"/>
      <c r="S27" s="77" t="n"/>
      <c r="T27" s="39" t="n"/>
    </row>
    <row r="28" ht="62" customHeight="1">
      <c r="A28" s="12">
        <f>_xlfn.IMAGE("https://m.media-amazon.com/images/I/91YqAehMXnL.jpg")</f>
        <v/>
      </c>
      <c r="B28" s="39" t="inlineStr">
        <is>
          <t>B0DQ98S3CF</t>
        </is>
      </c>
      <c r="C28" s="39" t="inlineStr">
        <is>
          <t>BEACH-TOWEL-PT-DIAMOND-MED-GRAY</t>
        </is>
      </c>
      <c r="D28" s="39" t="inlineStr">
        <is>
          <t>DECOLURE Turkish Beach Towel Oversized 39x73 Inch - 100% Turkish Cotton, Quick Dry and Sand Free Beach Towels for Travel - Lightweight, Absorbent &amp; Soft Peshtemal Towel - (Med Gray Diamond)</t>
        </is>
      </c>
      <c r="E28" s="39" t="inlineStr">
        <is>
          <t>39" x 73"</t>
        </is>
      </c>
      <c r="F28" s="39" t="inlineStr">
        <is>
          <t>Med Gray</t>
        </is>
      </c>
      <c r="G28" s="40" t="n"/>
      <c r="H28" s="39" t="n"/>
      <c r="I28" s="40" t="n"/>
      <c r="J28" s="39" t="n"/>
      <c r="K28" s="40" t="n"/>
      <c r="L28" s="76" t="n"/>
      <c r="M28" s="77" t="n"/>
      <c r="N28" s="39" t="inlineStr">
        <is>
          <t>Inactive</t>
        </is>
      </c>
      <c r="O28" s="39" t="n"/>
      <c r="P28" s="78" t="n"/>
      <c r="Q28" s="77" t="n"/>
      <c r="R28" s="77" t="n"/>
      <c r="S28" s="77" t="n"/>
      <c r="T28" s="39" t="n"/>
    </row>
    <row r="29" ht="62" customHeight="1">
      <c r="A29" s="12">
        <f>_xlfn.IMAGE("https://m.media-amazon.com/images/I/91YqAehMXnL.jpg")</f>
        <v/>
      </c>
      <c r="B29" s="39" t="inlineStr">
        <is>
          <t>B0DQ8ZK6C7</t>
        </is>
      </c>
      <c r="C29" s="39" t="inlineStr">
        <is>
          <t>BEACH-TOWEL-PT-WAVE-MED-GRAY</t>
        </is>
      </c>
      <c r="D29" s="39" t="inlineStr">
        <is>
          <t>DECOLURE Turkish Beach Towel Oversized 39x73 Inch - 100% Turkish Cotton, Quick Dry and Sand Free Beach Towels for Travel - Lightweight, Absorbent &amp; Soft Peshtemal Towel - (Med Gray Wave)</t>
        </is>
      </c>
      <c r="E29" s="39" t="inlineStr">
        <is>
          <t>39" x 73"</t>
        </is>
      </c>
      <c r="F29" s="39" t="inlineStr">
        <is>
          <t>Med Gray</t>
        </is>
      </c>
      <c r="G29" s="40" t="n"/>
      <c r="H29" s="39" t="n"/>
      <c r="I29" s="40" t="n"/>
      <c r="J29" s="39" t="n"/>
      <c r="K29" s="40" t="n"/>
      <c r="L29" s="76" t="n"/>
      <c r="M29" s="77" t="n"/>
      <c r="N29" s="39" t="inlineStr">
        <is>
          <t>Inactive</t>
        </is>
      </c>
      <c r="O29" s="39" t="n"/>
      <c r="P29" s="78" t="n"/>
      <c r="Q29" s="77" t="n"/>
      <c r="R29" s="77" t="n"/>
      <c r="S29" s="77" t="n"/>
      <c r="T29" s="39" t="n"/>
    </row>
    <row r="30" ht="62" customHeight="1">
      <c r="A30" s="12">
        <f>_xlfn.IMAGE("https://m.media-amazon.com/images/I/91YqAehMXnL.jpg")</f>
        <v/>
      </c>
      <c r="B30" s="39" t="inlineStr">
        <is>
          <t>B0DQ97MB6L</t>
        </is>
      </c>
      <c r="C30" s="39" t="inlineStr">
        <is>
          <t>BEACH-TOWEL-PT-DIAMOND-SILVER-GRAY</t>
        </is>
      </c>
      <c r="D30" s="39" t="inlineStr">
        <is>
          <t>DECOLURE Turkish Beach Towel Oversized 39x73 Inch - 100% Turkish Cotton, Quick Dry and Sand Free Beach Towels for Travel - Lightweight, Absorbent &amp; Soft Peshtemal Towel - (Silver Gray Diamond)</t>
        </is>
      </c>
      <c r="E30" s="39" t="inlineStr">
        <is>
          <t>39" x 73"</t>
        </is>
      </c>
      <c r="F30" s="39" t="inlineStr">
        <is>
          <t>Silver Gray</t>
        </is>
      </c>
      <c r="G30" s="40" t="n"/>
      <c r="H30" s="39" t="n"/>
      <c r="I30" s="40" t="n"/>
      <c r="J30" s="39" t="n"/>
      <c r="K30" s="40" t="n"/>
      <c r="L30" s="76" t="n"/>
      <c r="M30" s="77" t="n"/>
      <c r="N30" s="39" t="inlineStr">
        <is>
          <t>Inactive</t>
        </is>
      </c>
      <c r="O30" s="39" t="n"/>
      <c r="P30" s="78" t="n"/>
      <c r="Q30" s="77" t="n"/>
      <c r="R30" s="77" t="n"/>
      <c r="S30" s="77" t="n"/>
      <c r="T30" s="39" t="n"/>
    </row>
    <row r="31" ht="62" customHeight="1">
      <c r="A31" s="12">
        <f>_xlfn.IMAGE("https://m.media-amazon.com/images/I/91YqAehMXnL.jpg")</f>
        <v/>
      </c>
      <c r="B31" s="39" t="inlineStr">
        <is>
          <t>B0DQ95V68T</t>
        </is>
      </c>
      <c r="C31" s="39" t="inlineStr">
        <is>
          <t>BEACH-TOWEL-PT-WAVE-SILVER-GRAY</t>
        </is>
      </c>
      <c r="D31" s="39" t="inlineStr">
        <is>
          <t>DECOLURE Turkish Beach Towel Oversized 39x73 Inch - 100% Turkish Cotton, Quick Dry and Sand Free Beach Towels for Travel - Lightweight, Absorbent &amp; Soft Peshtemal Towel - (Silver Gray Wave)</t>
        </is>
      </c>
      <c r="E31" s="39" t="inlineStr">
        <is>
          <t>39" x 73"</t>
        </is>
      </c>
      <c r="F31" s="39" t="inlineStr">
        <is>
          <t>Silver Gray</t>
        </is>
      </c>
      <c r="G31" s="40" t="n"/>
      <c r="H31" s="39" t="n"/>
      <c r="I31" s="40" t="n"/>
      <c r="J31" s="39" t="n"/>
      <c r="K31" s="40" t="n"/>
      <c r="L31" s="76" t="n"/>
      <c r="M31" s="77" t="n"/>
      <c r="N31" s="39" t="inlineStr">
        <is>
          <t>Inactive</t>
        </is>
      </c>
      <c r="O31" s="39" t="n"/>
      <c r="P31" s="78" t="n"/>
      <c r="Q31" s="77" t="n"/>
      <c r="R31" s="77" t="n"/>
      <c r="S31" s="77" t="n"/>
      <c r="T31" s="39" t="n"/>
    </row>
    <row r="32"/>
    <row r="33" ht="22" customHeight="1">
      <c r="A33" s="65" t="inlineStr">
        <is>
          <t>3 ▼</t>
        </is>
      </c>
      <c r="B33" s="66" t="inlineStr">
        <is>
          <t>OUR BFCM 2025 RESULT &amp; EVENT VISIBILITY</t>
        </is>
      </c>
      <c r="C33" s="67" t="n"/>
      <c r="D33" s="67" t="n"/>
      <c r="E33" s="67" t="n"/>
      <c r="F33" s="67" t="n"/>
      <c r="G33" s="67" t="n"/>
      <c r="H33" s="67" t="n"/>
      <c r="I33" s="67" t="n"/>
      <c r="J33" s="67" t="n"/>
      <c r="K33" s="67" t="n"/>
      <c r="L33" s="67" t="n"/>
      <c r="M33" s="67" t="n"/>
      <c r="N33" s="67" t="n"/>
      <c r="O33" s="67" t="n"/>
      <c r="P33" s="67" t="n"/>
      <c r="Q33" s="67" t="n"/>
      <c r="R33" s="67" t="n"/>
      <c r="S33" s="67" t="n"/>
      <c r="T33" s="67" t="n"/>
      <c r="U33" s="67" t="n"/>
      <c r="V33" s="67" t="n"/>
      <c r="W33" s="67" t="n"/>
      <c r="X33" s="67" t="n"/>
      <c r="Y33" s="67" t="n"/>
      <c r="Z33" s="67" t="n"/>
      <c r="AA33" s="67" t="n"/>
      <c r="AB33" s="67" t="n"/>
      <c r="AC33" s="67" t="n"/>
      <c r="AD33" s="67" t="n"/>
      <c r="AE33" s="67" t="n"/>
      <c r="AF33" s="67" t="n"/>
      <c r="AG33" s="67" t="n"/>
      <c r="AH33" s="67" t="n"/>
      <c r="AI33" s="67" t="n"/>
      <c r="AJ33" s="67" t="n"/>
      <c r="AK33" s="67" t="n"/>
      <c r="AL33" s="67" t="n"/>
      <c r="AM33" s="67" t="n"/>
      <c r="AN33" s="67" t="n"/>
      <c r="AO33" s="67" t="n"/>
      <c r="AP33" s="67" t="n"/>
      <c r="AQ33" s="67" t="n"/>
      <c r="AR33" s="67" t="n"/>
      <c r="AS33" s="67" t="n"/>
      <c r="AT33" s="67" t="n"/>
      <c r="AU33" s="67" t="n"/>
      <c r="AV33" s="67" t="n"/>
      <c r="AW33" s="67" t="n"/>
      <c r="AX33" s="67" t="n"/>
      <c r="AY33" s="67" t="n"/>
      <c r="AZ33" s="67" t="n"/>
      <c r="BA33" s="67" t="n"/>
      <c r="BB33" s="67" t="n"/>
      <c r="BC33" s="67" t="n"/>
      <c r="BD33" s="67" t="n"/>
      <c r="BE33" s="67" t="n"/>
      <c r="BF33" s="67" t="n"/>
      <c r="BG33" s="67" t="n"/>
      <c r="BH33" s="67" t="n"/>
      <c r="BI33" s="67" t="n"/>
      <c r="BJ33" s="67" t="n"/>
      <c r="BK33" s="67" t="n"/>
    </row>
    <row r="34">
      <c r="A34" s="80" t="inlineStr">
        <is>
          <t>Window</t>
        </is>
      </c>
      <c r="B34" s="81" t="n"/>
      <c r="C34" s="82" t="n"/>
      <c r="D34" s="80" t="inlineStr">
        <is>
          <t>Ad spend</t>
        </is>
      </c>
      <c r="E34" s="80" t="inlineStr">
        <is>
          <t>Ad sales</t>
        </is>
      </c>
      <c r="F34" s="80" t="inlineStr">
        <is>
          <t>ACoS</t>
        </is>
      </c>
      <c r="G34" s="80" t="inlineStr">
        <is>
          <t>TACoS</t>
        </is>
      </c>
      <c r="H34" s="80" t="inlineStr">
        <is>
          <t>Total sales (derived)</t>
        </is>
      </c>
      <c r="J34" s="80" t="inlineStr">
        <is>
          <t>Ad orders</t>
        </is>
      </c>
      <c r="K34" s="80" t="inlineStr">
        <is>
          <t>CVR</t>
        </is>
      </c>
    </row>
    <row r="35">
      <c r="A35" s="83" t="inlineStr">
        <is>
          <t>Pre-event Oct 21 - Nov 19, 2025 (30d)</t>
        </is>
      </c>
      <c r="B35" s="81" t="n"/>
      <c r="C35" s="82" t="n"/>
      <c r="D35" s="84" t="n">
        <v>0</v>
      </c>
      <c r="E35" s="84" t="n">
        <v>0</v>
      </c>
      <c r="F35" s="85" t="n"/>
      <c r="G35" s="85" t="n">
        <v>0</v>
      </c>
      <c r="H35" s="84" t="n"/>
      <c r="J35" s="86" t="n">
        <v>0</v>
      </c>
      <c r="K35" s="87" t="n"/>
    </row>
    <row r="36">
      <c r="A36" s="83" t="inlineStr">
        <is>
          <t>BFCM week Nov 20 - Dec 1, 2025 (12d)</t>
        </is>
      </c>
      <c r="B36" s="81" t="n"/>
      <c r="C36" s="82" t="n"/>
      <c r="D36" s="84" t="n">
        <v>0</v>
      </c>
      <c r="E36" s="84" t="n">
        <v>0</v>
      </c>
      <c r="F36" s="85" t="n"/>
      <c r="G36" s="85" t="n"/>
      <c r="H36" s="84" t="n"/>
      <c r="J36" s="86" t="n">
        <v>0</v>
      </c>
      <c r="K36" s="87" t="n"/>
    </row>
    <row r="37">
      <c r="A37" s="83" t="inlineStr">
        <is>
          <t>December 2 - 31, 2025 (30d)</t>
        </is>
      </c>
      <c r="B37" s="81" t="n"/>
      <c r="C37" s="82" t="n"/>
      <c r="D37" s="84" t="n">
        <v>0</v>
      </c>
      <c r="E37" s="84" t="n">
        <v>0</v>
      </c>
      <c r="F37" s="85" t="n"/>
      <c r="G37" s="85" t="n"/>
      <c r="H37" s="84" t="n"/>
      <c r="J37" s="86" t="n">
        <v>0</v>
      </c>
      <c r="K37" s="87" t="n"/>
    </row>
    <row r="38"/>
    <row r="39">
      <c r="A39" s="80" t="inlineStr">
        <is>
          <t>Actual sales (account data)</t>
        </is>
      </c>
      <c r="B39" s="81" t="n"/>
      <c r="C39" s="82" t="n"/>
      <c r="D39" s="80" t="inlineStr">
        <is>
          <t>Sales</t>
        </is>
      </c>
      <c r="E39" s="80" t="inlineStr">
        <is>
          <t>Units</t>
        </is>
      </c>
      <c r="F39" s="80" t="inlineStr">
        <is>
          <t>Organic units</t>
        </is>
      </c>
      <c r="G39" s="80" t="inlineStr">
        <is>
          <t>Ad units</t>
        </is>
      </c>
      <c r="H39" s="80" t="inlineStr">
        <is>
          <t>Ad cost</t>
        </is>
      </c>
      <c r="J39" s="80" t="inlineStr">
        <is>
          <t>TACoS (actual)</t>
        </is>
      </c>
      <c r="K39" s="80" t="inlineStr">
        <is>
          <t>Sessions</t>
        </is>
      </c>
      <c r="L39" s="80" t="inlineStr">
        <is>
          <t>Unit session %</t>
        </is>
      </c>
      <c r="M39" s="80" t="inlineStr">
        <is>
          <t>Avg price</t>
        </is>
      </c>
      <c r="N39" s="80" t="inlineStr">
        <is>
          <t>Refunds</t>
        </is>
      </c>
    </row>
    <row r="40">
      <c r="A40" s="83" t="inlineStr">
        <is>
          <t>Pre-event Oct 21 - Nov 19, 2025 (30d)</t>
        </is>
      </c>
      <c r="B40" s="81" t="n"/>
      <c r="C40" s="82" t="n"/>
      <c r="D40" s="84" t="n">
        <v>59.85</v>
      </c>
      <c r="E40" s="86" t="n">
        <v>3</v>
      </c>
      <c r="F40" s="86" t="n">
        <v>3</v>
      </c>
      <c r="G40" s="86" t="n">
        <v>0</v>
      </c>
      <c r="H40" s="84" t="n">
        <v>0</v>
      </c>
      <c r="J40" s="88" t="n">
        <v>0</v>
      </c>
      <c r="K40" s="86" t="n">
        <v>33</v>
      </c>
      <c r="L40" s="88" t="n">
        <v>0.09090909090909091</v>
      </c>
      <c r="M40" s="89" t="n">
        <v>19.95</v>
      </c>
      <c r="N40" s="86" t="n">
        <v>0</v>
      </c>
    </row>
    <row r="41">
      <c r="A41" s="83" t="inlineStr">
        <is>
          <t>BFCM week Nov 20 - Dec 1, 2025 (12d)</t>
        </is>
      </c>
      <c r="B41" s="81" t="n"/>
      <c r="C41" s="82" t="n"/>
      <c r="D41" s="84" t="n">
        <v>0</v>
      </c>
      <c r="E41" s="86" t="n">
        <v>0</v>
      </c>
      <c r="F41" s="86" t="n">
        <v>0</v>
      </c>
      <c r="G41" s="86" t="n">
        <v>0</v>
      </c>
      <c r="H41" s="84" t="n">
        <v>0</v>
      </c>
      <c r="J41" s="88" t="n"/>
      <c r="K41" s="86" t="n">
        <v>25</v>
      </c>
      <c r="L41" s="88" t="n">
        <v>0</v>
      </c>
      <c r="M41" s="89" t="n"/>
      <c r="N41" s="86" t="n">
        <v>0</v>
      </c>
    </row>
    <row r="42">
      <c r="A42" s="83" t="inlineStr">
        <is>
          <t>December 2 - 31, 2025 (30d)</t>
        </is>
      </c>
      <c r="B42" s="81" t="n"/>
      <c r="C42" s="82" t="n"/>
      <c r="D42" s="84" t="n">
        <v>0</v>
      </c>
      <c r="E42" s="86" t="n">
        <v>0</v>
      </c>
      <c r="F42" s="86" t="n">
        <v>0</v>
      </c>
      <c r="G42" s="86" t="n">
        <v>0</v>
      </c>
      <c r="H42" s="84" t="n">
        <v>0</v>
      </c>
      <c r="J42" s="88" t="n"/>
      <c r="K42" s="86" t="n">
        <v>21</v>
      </c>
      <c r="L42" s="88" t="n">
        <v>0</v>
      </c>
      <c r="M42" s="89" t="n"/>
      <c r="N42" s="86" t="n">
        <v>0</v>
      </c>
    </row>
    <row r="43">
      <c r="A43" s="90" t="inlineStr">
        <is>
          <t>account data, Amazon parent B0GZVXL6DZ plus any of this product's child ASINs account data lists on their own, UTC days. Lift above uses these actual sales.</t>
        </is>
      </c>
    </row>
    <row r="44" ht="18" customHeight="1">
      <c r="A44" s="94" t="inlineStr">
        <is>
          <t>BFCM 2026 plan: NOT IN A DEAL. the team confirmed that products without a planned deal are not in any BFCM 2026 deal; they sell at their regular price.</t>
        </is>
      </c>
    </row>
    <row r="45" ht="30" customHeight="1">
      <c r="A45" s="92" t="inlineStr">
        <is>
          <t>BFCM 2026 stock (account data, Oct 15): 134 units at Amazon + 0 already sent (no ETA in account data); selling 0.2 a day; need about 15 to Nov 30 with a 2.74x BFCM lift (ASSUMED: account BFCM 2025 lift (US); product's own 2025 lift not available). Variations: 4 covered, 0 need the inbound in time, 0 short even with inbound (0 units), 0 out of stock now. Detail: BFCM Stock tab.</t>
        </is>
      </c>
    </row>
    <row r="46" ht="30" customHeight="1">
      <c r="A46" s="91" t="inlineStr">
        <is>
          <t>Our hero child B0DQ92K585 in price history (market data, US): price $19.95 before (median Nov 1-19) → $19.95 in BFCM week (median Nov 20 - Dec 1), no cut; lowest $19.95; Best Seller Rank 3,997,312 → 4,003,695 (1.00x worse). Price is price history's lowest new offer (price history holds no Buy Box series for our own ASINs; we are the only seller).</t>
        </is>
      </c>
    </row>
    <row r="47">
      <c r="A47" s="90" t="inlineStr">
        <is>
          <t>No market data visibility history for our best child ASIN.</t>
        </is>
      </c>
    </row>
    <row r="48"/>
    <row r="49" ht="22" customHeight="1">
      <c r="A49" s="65" t="inlineStr">
        <is>
          <t>4 ▼</t>
        </is>
      </c>
      <c r="B49" s="66" t="inlineStr">
        <is>
          <t>COMPETITOR LANDSCAPE (13 mapped)</t>
        </is>
      </c>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c r="AC49" s="67" t="n"/>
      <c r="AD49" s="67" t="n"/>
      <c r="AE49" s="67" t="n"/>
      <c r="AF49" s="67" t="n"/>
      <c r="AG49" s="67" t="n"/>
      <c r="AH49" s="67" t="n"/>
      <c r="AI49" s="67" t="n"/>
      <c r="AJ49" s="67" t="n"/>
      <c r="AK49" s="67" t="n"/>
      <c r="AL49" s="67" t="n"/>
      <c r="AM49" s="67" t="n"/>
      <c r="AN49" s="67" t="n"/>
      <c r="AO49" s="67" t="n"/>
      <c r="AP49" s="67" t="n"/>
      <c r="AQ49" s="67" t="n"/>
      <c r="AR49" s="67" t="n"/>
      <c r="AS49" s="67" t="n"/>
      <c r="AT49" s="67" t="n"/>
      <c r="AU49" s="67" t="n"/>
      <c r="AV49" s="67" t="n"/>
      <c r="AW49" s="67" t="n"/>
      <c r="AX49" s="67" t="n"/>
      <c r="AY49" s="67" t="n"/>
      <c r="AZ49" s="67" t="n"/>
      <c r="BA49" s="67" t="n"/>
      <c r="BB49" s="67" t="n"/>
      <c r="BC49" s="67" t="n"/>
      <c r="BD49" s="67" t="n"/>
      <c r="BE49" s="67" t="n"/>
      <c r="BF49" s="67" t="n"/>
      <c r="BG49" s="67" t="n"/>
      <c r="BH49" s="67" t="n"/>
      <c r="BI49" s="67" t="n"/>
      <c r="BJ49" s="67" t="n"/>
      <c r="BK49" s="67" t="n"/>
    </row>
    <row r="50" ht="20" customHeight="1">
      <c r="A50" s="96" t="inlineStr">
        <is>
          <t>▼▼▼</t>
        </is>
      </c>
      <c r="B50" s="97" t="inlineStr">
        <is>
          <t>COMPETITOR DATA BELOW: one row per competitor (0 direct first, then alternative material). Scroll right for listing, search, strikethrough now and BFCM 2025 history (deal type, price, discount, rank change).</t>
        </is>
      </c>
      <c r="C50" s="98" t="n"/>
      <c r="D50" s="98" t="n"/>
      <c r="E50" s="98" t="n"/>
      <c r="F50" s="98" t="n"/>
      <c r="G50" s="98" t="n"/>
      <c r="H50" s="98" t="n"/>
      <c r="I50" s="98" t="n"/>
      <c r="J50" s="98" t="n"/>
      <c r="K50" s="98" t="n"/>
      <c r="L50" s="98" t="n"/>
      <c r="M50" s="98" t="n"/>
      <c r="N50" s="98" t="n"/>
      <c r="O50" s="98" t="n"/>
      <c r="P50" s="98" t="n"/>
      <c r="Q50" s="98" t="n"/>
      <c r="R50" s="98" t="n"/>
      <c r="S50" s="98" t="n"/>
      <c r="T50" s="98" t="n"/>
      <c r="U50" s="98" t="n"/>
      <c r="V50" s="98" t="n"/>
      <c r="W50" s="98" t="n"/>
      <c r="X50" s="98" t="n"/>
      <c r="Y50" s="98" t="n"/>
      <c r="Z50" s="98" t="n"/>
      <c r="AA50" s="98" t="n"/>
      <c r="AB50" s="98" t="n"/>
      <c r="AC50" s="98" t="n"/>
      <c r="AD50" s="98" t="n"/>
      <c r="AE50" s="98" t="n"/>
      <c r="AF50" s="98" t="n"/>
      <c r="AG50" s="98" t="n"/>
      <c r="AH50" s="98" t="n"/>
      <c r="AI50" s="98" t="n"/>
      <c r="AJ50" s="98" t="n"/>
      <c r="AK50" s="98" t="n"/>
      <c r="AL50" s="98" t="n"/>
      <c r="AM50" s="98" t="n"/>
      <c r="AN50" s="98" t="n"/>
      <c r="AO50" s="98" t="n"/>
      <c r="AP50" s="98" t="n"/>
      <c r="AQ50" s="98" t="n"/>
      <c r="AR50" s="98" t="n"/>
      <c r="AS50" s="98" t="n"/>
      <c r="AT50" s="98" t="n"/>
      <c r="AU50" s="98" t="n"/>
      <c r="AV50" s="98" t="n"/>
      <c r="AW50" s="98" t="n"/>
      <c r="AX50" s="98" t="n"/>
      <c r="AY50" s="98" t="n"/>
      <c r="AZ50" s="98" t="n"/>
      <c r="BA50" s="98" t="n"/>
      <c r="BB50" s="98" t="n"/>
      <c r="BC50" s="98" t="n"/>
      <c r="BD50" s="98" t="n"/>
      <c r="BE50" s="98" t="n"/>
      <c r="BF50" s="98" t="n"/>
      <c r="BG50" s="98" t="n"/>
      <c r="BH50" s="98" t="n"/>
      <c r="BI50" s="98" t="n"/>
      <c r="BJ50" s="98" t="n"/>
      <c r="BK50" s="98" t="n"/>
    </row>
    <row r="51">
      <c r="A51" s="99" t="inlineStr">
        <is>
          <t>COMPETITOR</t>
        </is>
      </c>
      <c r="L51" s="100" t="inlineStr">
        <is>
          <t>LISTING - catalog data</t>
        </is>
      </c>
      <c r="M51" s="101" t="inlineStr">
        <is>
          <t>SEARCH STRATEGY - market data search data</t>
        </is>
      </c>
      <c r="N51" s="102" t="inlineStr">
        <is>
          <t>PRICE &amp; SALES - market data snapshot (date per row)</t>
        </is>
      </c>
      <c r="AA51" s="100" t="inlineStr">
        <is>
          <t>LISTING - catalog data</t>
        </is>
      </c>
      <c r="AD51" s="101" t="inlineStr">
        <is>
          <t>SEARCH STRATEGY - market data search data</t>
        </is>
      </c>
      <c r="AU51" s="103" t="inlineStr">
        <is>
          <t>STR NOW - Amazon page check (Oct 13, P1 + P2)</t>
        </is>
      </c>
      <c r="BB51" s="104" t="inlineStr">
        <is>
          <t>BFCM 2025 - price history (P1 filled; yellow = not pulled yet)</t>
        </is>
      </c>
    </row>
    <row r="52" ht="48" customHeight="1">
      <c r="A52" s="26" t="inlineStr">
        <is>
          <t>Image</t>
        </is>
      </c>
      <c r="B52" s="26" t="inlineStr">
        <is>
          <t>Brand</t>
        </is>
      </c>
      <c r="C52" s="26" t="inlineStr">
        <is>
          <t>Product title</t>
        </is>
      </c>
      <c r="D52" s="26" t="inlineStr">
        <is>
          <t>Tier</t>
        </is>
      </c>
      <c r="E52" s="26" t="inlineStr">
        <is>
          <t>Competitor type</t>
        </is>
      </c>
      <c r="F52" s="26" t="inlineStr">
        <is>
          <t>Material</t>
        </is>
      </c>
      <c r="G52" s="26" t="inlineStr">
        <is>
          <t>Why this type</t>
        </is>
      </c>
      <c r="H52" s="26" t="inlineStr">
        <is>
          <t>Parent ASIN</t>
        </is>
      </c>
      <c r="I52" s="26" t="inlineStr">
        <is>
          <t>Tracked child ASIN</t>
        </is>
      </c>
      <c r="J52" s="26" t="inlineStr">
        <is>
          <t>Size</t>
        </is>
      </c>
      <c r="K52" s="26" t="inlineStr">
        <is>
          <t>Colour</t>
        </is>
      </c>
      <c r="L52" s="26" t="inlineStr">
        <is>
          <t>Variations</t>
        </is>
      </c>
      <c r="M52" s="26" t="inlineStr">
        <is>
          <t>Hero child ASINs (share of their visibility)</t>
        </is>
      </c>
      <c r="N52" s="26" t="inlineStr">
        <is>
          <t>Price ($)</t>
        </is>
      </c>
      <c r="O52" s="26" t="inlineStr">
        <is>
          <t>List Price ($)</t>
        </is>
      </c>
      <c r="P52" s="26" t="inlineStr">
        <is>
          <t>List Price % over</t>
        </is>
      </c>
      <c r="Q52" s="26" t="inlineStr">
        <is>
          <t>STR band</t>
        </is>
      </c>
      <c r="R52" s="26" t="inlineStr">
        <is>
          <t>Our price, same size ($)</t>
        </is>
      </c>
      <c r="S52" s="26" t="inlineStr">
        <is>
          <t>Their price vs ours</t>
        </is>
      </c>
      <c r="T52" s="26" t="inlineStr">
        <is>
          <t>Comparison basis</t>
        </is>
      </c>
      <c r="U52" s="26" t="inlineStr">
        <is>
          <t>BSR</t>
        </is>
      </c>
      <c r="V52" s="26" t="inlineStr">
        <is>
          <t>Est weekly units</t>
        </is>
      </c>
      <c r="W52" s="26" t="inlineStr">
        <is>
          <t>Est monthly revenue ($)</t>
        </is>
      </c>
      <c r="X52" s="26" t="inlineStr">
        <is>
          <t>Rating</t>
        </is>
      </c>
      <c r="Y52" s="26" t="inlineStr">
        <is>
          <t>Reviews</t>
        </is>
      </c>
      <c r="Z52" s="26" t="inlineStr">
        <is>
          <t>Snapshot date</t>
        </is>
      </c>
      <c r="AA52" s="26" t="inlineStr">
        <is>
          <t>Listed</t>
        </is>
      </c>
      <c r="AB52" s="26" t="inlineStr">
        <is>
          <t>Fulfil.</t>
        </is>
      </c>
      <c r="AC52" s="26" t="inlineStr">
        <is>
          <t>Seller country</t>
        </is>
      </c>
      <c r="AD52" s="26" t="inlineStr">
        <is>
          <t>search data 7d traffic</t>
        </is>
      </c>
      <c r="AE52" s="26" t="inlineStr">
        <is>
          <t>Keywords ranked</t>
        </is>
      </c>
      <c r="AF52" s="26" t="inlineStr">
        <is>
          <t>Organic share of traffic</t>
        </is>
      </c>
      <c r="AG52" s="26" t="inlineStr">
        <is>
          <t>Ad share of traffic</t>
        </is>
      </c>
      <c r="AH52" s="26" t="inlineStr">
        <is>
          <t>Top keyword</t>
        </is>
      </c>
      <c r="AI52" s="26" t="inlineStr">
        <is>
          <t>SP reach</t>
        </is>
      </c>
      <c r="AJ52" s="26" t="inlineStr">
        <is>
          <t>SB reach</t>
        </is>
      </c>
      <c r="AK52" s="26" t="inlineStr">
        <is>
          <t>SB video reach</t>
        </is>
      </c>
      <c r="AL52" s="26" t="inlineStr">
        <is>
          <t>Amazon's Choice reach</t>
        </is>
      </c>
      <c r="AM52" s="26" t="inlineStr">
        <is>
          <t>Shared keywords</t>
        </is>
      </c>
      <c r="AN52" s="26" t="inlineStr">
        <is>
          <t>We win</t>
        </is>
      </c>
      <c r="AO52" s="26" t="inlineStr">
        <is>
          <t>We lose</t>
        </is>
      </c>
      <c r="AP52" s="26" t="inlineStr">
        <is>
          <t>Their keywords we miss</t>
        </is>
      </c>
      <c r="AQ52" s="26" t="inlineStr">
        <is>
          <t>KWs they advertise, we don't</t>
        </is>
      </c>
      <c r="AR52" s="26" t="inlineStr">
        <is>
          <t>KWs they out-advertise us</t>
        </is>
      </c>
      <c r="AS52" s="26" t="inlineStr">
        <is>
          <t>Prime Day 2026 organic vis lift</t>
        </is>
      </c>
      <c r="AT52" s="26" t="inlineStr">
        <is>
          <t>Organic trend (Aug-Sep vs Q2)</t>
        </is>
      </c>
      <c r="AU52" s="26" t="inlineStr">
        <is>
          <t>STR showing now? (Y/N)</t>
        </is>
      </c>
      <c r="AV52" s="26" t="inlineStr">
        <is>
          <t>STR label</t>
        </is>
      </c>
      <c r="AW52" s="26" t="inlineStr">
        <is>
          <t>Strikethrough price ($)</t>
        </is>
      </c>
      <c r="AX52" s="26" t="inlineStr">
        <is>
          <t>Page price at check ($)</t>
        </is>
      </c>
      <c r="AY52" s="26" t="inlineStr">
        <is>
          <t>Deal / coupon now</t>
        </is>
      </c>
      <c r="AZ52" s="26" t="inlineStr">
        <is>
          <t>Orderable now (Y/N)</t>
        </is>
      </c>
      <c r="BA52" s="26" t="inlineStr">
        <is>
          <t>Checked (ET)</t>
        </is>
      </c>
      <c r="BB52" s="26" t="inlineStr">
        <is>
          <t>BFCM 2025 deal type</t>
        </is>
      </c>
      <c r="BC52" s="26" t="inlineStr">
        <is>
          <t>BFCM 2025 deal dates</t>
        </is>
      </c>
      <c r="BD52" s="26" t="inlineStr">
        <is>
          <t>Pre-event price ($)</t>
        </is>
      </c>
      <c r="BE52" s="26" t="inlineStr">
        <is>
          <t>BFCM 2025 low ($)</t>
        </is>
      </c>
      <c r="BF52" s="26" t="inlineStr">
        <is>
          <t>BFCM 2025 discount</t>
        </is>
      </c>
      <c r="BG52" s="26" t="inlineStr">
        <is>
          <t>BSR pre-event</t>
        </is>
      </c>
      <c r="BH52" s="26" t="inlineStr">
        <is>
          <t>BSR BFCM wk</t>
        </is>
      </c>
      <c r="BI52" s="26" t="inlineStr">
        <is>
          <t>BSR lift (x)</t>
        </is>
      </c>
      <c r="BJ52" s="26" t="inlineStr">
        <is>
          <t>OOS in BFCM? (Y/N)</t>
        </is>
      </c>
      <c r="BK52" s="26" t="inlineStr">
        <is>
          <t>Notes</t>
        </is>
      </c>
    </row>
    <row r="53" ht="62" customHeight="1">
      <c r="A53" s="12">
        <f>_xlfn.IMAGE("https://images-na.ssl-images-amazon.com/images/I/811qaBHyr7L.jpg")</f>
        <v/>
      </c>
      <c r="B53" s="105" t="inlineStr">
        <is>
          <t>WETCAT</t>
        </is>
      </c>
      <c r="C53" s="39" t="inlineStr">
        <is>
          <t>WETCAT Turkish Beach Towel Oversized (38"x71") 100% Turkish Cotton, Made in Turkey - Sand Free, Extra Large, Ultra Soft, Quick Drying, Compact &amp; Lightweight for Travel - Aqua</t>
        </is>
      </c>
      <c r="D53" s="105" t="inlineStr">
        <is>
          <t>Aspirational</t>
        </is>
      </c>
      <c r="E53" s="134" t="inlineStr">
        <is>
          <t>Not classified</t>
        </is>
      </c>
      <c r="F53" s="105" t="n"/>
      <c r="G53" s="39" t="inlineStr">
        <is>
          <t>Not a sheet, pillowcase or comforter product; competitors are compared on price and sales only.</t>
        </is>
      </c>
      <c r="H53" s="107" t="inlineStr">
        <is>
          <t>B0DCV7WBJM</t>
        </is>
      </c>
      <c r="I53" s="107" t="inlineStr">
        <is>
          <t>B07M67HRKS</t>
        </is>
      </c>
      <c r="J53" s="105" t="inlineStr">
        <is>
          <t>Beach Towel (38" x 71")</t>
        </is>
      </c>
      <c r="K53" s="105" t="inlineStr">
        <is>
          <t>Aqua</t>
        </is>
      </c>
      <c r="L53" s="108" t="n">
        <v>38</v>
      </c>
      <c r="M53" s="39" t="inlineStr"/>
      <c r="N53" s="109" t="n">
        <v>23.99</v>
      </c>
      <c r="O53" s="109" t="n"/>
      <c r="P53" s="110">
        <f>IF(AND(ISNUMBER(O53),ISNUMBER(N53),N(N53)&gt;0),O53/N53-1,"")</f>
        <v/>
      </c>
      <c r="Q53" s="111">
        <f>IF(P53="","No List Price",IF(P53&lt;=0,"At/below price",IF(P53&lt;=0.12,"&lt;=12% STR zone",IF(P53&lt;=0.25,"12-25%","&gt;25% over"))))</f>
        <v/>
      </c>
      <c r="R53" s="109" t="n">
        <v>21.45</v>
      </c>
      <c r="S53" s="112">
        <f>IF(AND(ISNUMBER(N53),ISNUMBER(R53),N(R53)&gt;0),N53/R53-1,"")</f>
        <v/>
      </c>
      <c r="T53" s="39" t="inlineStr">
        <is>
          <t>vs our blended price (market data, Mar 2026 - STALE)</t>
        </is>
      </c>
      <c r="U53" s="108" t="n">
        <v>17159</v>
      </c>
      <c r="V53" s="108" t="n">
        <v>81</v>
      </c>
      <c r="W53" s="113">
        <f>IF(AND(ISNUMBER(N53),ISNUMBER(V53)),N53*V53*52/12,"")</f>
        <v/>
      </c>
      <c r="X53" s="114" t="n">
        <v>4.6</v>
      </c>
      <c r="Y53" s="108" t="n">
        <v>13408</v>
      </c>
      <c r="Z53" s="115" t="n">
        <v>46307</v>
      </c>
      <c r="AA53" s="115" t="n">
        <v>43290</v>
      </c>
      <c r="AB53" s="105" t="inlineStr">
        <is>
          <t>FBA</t>
        </is>
      </c>
      <c r="AC53" s="105" t="inlineStr">
        <is>
          <t>US</t>
        </is>
      </c>
      <c r="AD53" s="108" t="n"/>
      <c r="AE53" s="108" t="n"/>
      <c r="AF53" s="116" t="n"/>
      <c r="AG53" s="116" t="n"/>
      <c r="AH53" s="39" t="n"/>
      <c r="AI53" s="116" t="n"/>
      <c r="AJ53" s="116" t="n"/>
      <c r="AK53" s="116" t="n"/>
      <c r="AL53" s="116" t="n"/>
      <c r="AM53" s="108" t="n"/>
      <c r="AN53" s="108" t="n"/>
      <c r="AO53" s="108" t="n"/>
      <c r="AP53" s="108" t="n"/>
      <c r="AQ53" s="108" t="n"/>
      <c r="AR53" s="108" t="n"/>
      <c r="AS53" s="117" t="n"/>
      <c r="AT53" s="112" t="n"/>
      <c r="AU53" s="118" t="inlineStr">
        <is>
          <t>N</t>
        </is>
      </c>
      <c r="AV53" s="118" t="inlineStr">
        <is>
          <t>none</t>
        </is>
      </c>
      <c r="AW53" s="124" t="n"/>
      <c r="AX53" s="119" t="n">
        <v>23.99</v>
      </c>
      <c r="AY53" s="118" t="inlineStr">
        <is>
          <t>none</t>
        </is>
      </c>
      <c r="AZ53" s="118" t="inlineStr">
        <is>
          <t>Y</t>
        </is>
      </c>
      <c r="BA53" s="118" t="inlineStr">
        <is>
          <t>2026-10-13 23:40:01</t>
        </is>
      </c>
      <c r="BB53" s="120" t="inlineStr">
        <is>
          <t>Price cut only</t>
        </is>
      </c>
      <c r="BC53" s="120" t="inlineStr">
        <is>
          <t>11-20 to 12-01</t>
        </is>
      </c>
      <c r="BD53" s="121" t="n">
        <v>23.99</v>
      </c>
      <c r="BE53" s="121" t="n">
        <v>20.39</v>
      </c>
      <c r="BF53" s="110">
        <f>IF(AND(ISNUMBER(BD53),ISNUMBER(BE53),N(BD53)&gt;0),1-BE53/BD53,"")</f>
        <v/>
      </c>
      <c r="BG53" s="122" t="n">
        <v>18490</v>
      </c>
      <c r="BH53" s="122" t="n">
        <v>10976</v>
      </c>
      <c r="BI53" s="123">
        <f>IF(AND(ISNUMBER(BG53),ISNUMBER(BH53),N(BH53)&gt;0),BG53/BH53,"")</f>
        <v/>
      </c>
      <c r="BJ53" s="120" t="inlineStr">
        <is>
          <t>N</t>
        </is>
      </c>
      <c r="BK53" s="120" t="inlineStr">
        <is>
          <t>List Price $40.00</t>
        </is>
      </c>
    </row>
    <row r="54" ht="62" customHeight="1">
      <c r="A54" s="12">
        <f>_xlfn.IMAGE("https://m.media-amazon.com/images/I/91c-nYbKWjL._AC_SL1500_.jpg")</f>
        <v/>
      </c>
      <c r="B54" s="105" t="inlineStr">
        <is>
          <t>Mebien touche de la nature</t>
        </is>
      </c>
      <c r="C54" s="39" t="inlineStr">
        <is>
          <t>Turkish Beach Towel</t>
        </is>
      </c>
      <c r="D54" s="105" t="inlineStr">
        <is>
          <t>Aspirational</t>
        </is>
      </c>
      <c r="E54" s="134" t="inlineStr">
        <is>
          <t>Not classified</t>
        </is>
      </c>
      <c r="F54" s="105" t="n"/>
      <c r="G54" s="39" t="inlineStr">
        <is>
          <t>Not a sheet, pillowcase or comforter product; competitors are compared on price and sales only.</t>
        </is>
      </c>
      <c r="H54" s="107" t="inlineStr">
        <is>
          <t>B07GFB5R1G</t>
        </is>
      </c>
      <c r="I54" s="107" t="inlineStr">
        <is>
          <t>B09WDMDJCH</t>
        </is>
      </c>
      <c r="J54" s="105" t="inlineStr">
        <is>
          <t>Large</t>
        </is>
      </c>
      <c r="K54" s="105" t="inlineStr">
        <is>
          <t>Teal</t>
        </is>
      </c>
      <c r="L54" s="108" t="n"/>
      <c r="M54" s="39" t="inlineStr"/>
      <c r="N54" s="109" t="n">
        <v>14.4</v>
      </c>
      <c r="O54" s="109" t="n">
        <v>19.99</v>
      </c>
      <c r="P54" s="110">
        <f>IF(AND(ISNUMBER(O54),ISNUMBER(N54),N(N54)&gt;0),O54/N54-1,"")</f>
        <v/>
      </c>
      <c r="Q54" s="111">
        <f>IF(P54="","No List Price",IF(P54&lt;=0,"At/below price",IF(P54&lt;=0.12,"&lt;=12% STR zone",IF(P54&lt;=0.25,"12-25%","&gt;25% over"))))</f>
        <v/>
      </c>
      <c r="R54" s="109" t="n">
        <v>21.45</v>
      </c>
      <c r="S54" s="112">
        <f>IF(AND(ISNUMBER(N54),ISNUMBER(R54),N(R54)&gt;0),N54/R54-1,"")</f>
        <v/>
      </c>
      <c r="T54" s="39" t="inlineStr">
        <is>
          <t>vs our blended price (market data, Mar 2026 - STALE)</t>
        </is>
      </c>
      <c r="U54" s="108" t="n">
        <v>356269</v>
      </c>
      <c r="V54" s="108" t="n">
        <v>5</v>
      </c>
      <c r="W54" s="113">
        <f>IF(AND(ISNUMBER(N54),ISNUMBER(V54)),N54*V54*52/12,"")</f>
        <v/>
      </c>
      <c r="X54" s="114" t="n">
        <v>4.5</v>
      </c>
      <c r="Y54" s="108" t="n">
        <v>2252</v>
      </c>
      <c r="Z54" s="115" t="n">
        <v>46307</v>
      </c>
      <c r="AA54" s="115" t="n"/>
      <c r="AB54" s="105" t="n"/>
      <c r="AC54" s="105" t="n"/>
      <c r="AD54" s="108" t="n"/>
      <c r="AE54" s="108" t="n"/>
      <c r="AF54" s="116" t="n"/>
      <c r="AG54" s="116" t="n"/>
      <c r="AH54" s="39" t="n"/>
      <c r="AI54" s="116" t="n"/>
      <c r="AJ54" s="116" t="n"/>
      <c r="AK54" s="116" t="n"/>
      <c r="AL54" s="116" t="n"/>
      <c r="AM54" s="108" t="n"/>
      <c r="AN54" s="108" t="n"/>
      <c r="AO54" s="108" t="n"/>
      <c r="AP54" s="108" t="n"/>
      <c r="AQ54" s="108" t="n"/>
      <c r="AR54" s="108" t="n"/>
      <c r="AS54" s="117" t="n"/>
      <c r="AT54" s="112" t="n"/>
      <c r="AU54" s="118" t="inlineStr">
        <is>
          <t>N</t>
        </is>
      </c>
      <c r="AV54" s="118" t="inlineStr">
        <is>
          <t>none</t>
        </is>
      </c>
      <c r="AW54" s="124" t="n"/>
      <c r="AX54" s="119" t="n">
        <v>19.99</v>
      </c>
      <c r="AY54" s="118" t="inlineStr">
        <is>
          <t>none</t>
        </is>
      </c>
      <c r="AZ54" s="118" t="inlineStr">
        <is>
          <t>Y</t>
        </is>
      </c>
      <c r="BA54" s="118" t="inlineStr">
        <is>
          <t>2026-10-13 23:41:59</t>
        </is>
      </c>
      <c r="BB54" s="120" t="inlineStr">
        <is>
          <t>Prime Exclusive Discount</t>
        </is>
      </c>
      <c r="BC54" s="120" t="inlineStr">
        <is>
          <t>11-26 to 12-01</t>
        </is>
      </c>
      <c r="BD54" s="121" t="n">
        <v>19.99</v>
      </c>
      <c r="BE54" s="121" t="n">
        <v>14.52</v>
      </c>
      <c r="BF54" s="110">
        <f>IF(AND(ISNUMBER(BD54),ISNUMBER(BE54),N(BD54)&gt;0),1-BE54/BD54,"")</f>
        <v/>
      </c>
      <c r="BG54" s="122" t="n">
        <v>163239</v>
      </c>
      <c r="BH54" s="122" t="n">
        <v>185162</v>
      </c>
      <c r="BI54" s="123">
        <f>IF(AND(ISNUMBER(BG54),ISNUMBER(BH54),N(BH54)&gt;0),BG54/BH54,"")</f>
        <v/>
      </c>
      <c r="BJ54" s="120" t="inlineStr">
        <is>
          <t>N</t>
        </is>
      </c>
      <c r="BK54" s="120" t="inlineStr">
        <is>
          <t>List Price $23.99</t>
        </is>
      </c>
    </row>
    <row r="55" ht="62" customHeight="1">
      <c r="A55" s="12">
        <f>_xlfn.IMAGE("https://m.media-amazon.com/images/I/915FA5nNiBL._AC_SL1500_.jpg")</f>
        <v/>
      </c>
      <c r="B55" s="105" t="inlineStr">
        <is>
          <t>Nature Is Gift</t>
        </is>
      </c>
      <c r="C55" s="39" t="inlineStr">
        <is>
          <t>Turkish Beach Towel</t>
        </is>
      </c>
      <c r="D55" s="105" t="inlineStr">
        <is>
          <t>Aspirational</t>
        </is>
      </c>
      <c r="E55" s="134" t="inlineStr">
        <is>
          <t>Not classified</t>
        </is>
      </c>
      <c r="F55" s="105" t="n"/>
      <c r="G55" s="39" t="inlineStr">
        <is>
          <t>Not a sheet, pillowcase or comforter product; competitors are compared on price and sales only.</t>
        </is>
      </c>
      <c r="H55" s="107" t="inlineStr">
        <is>
          <t>B00JQFVKUO</t>
        </is>
      </c>
      <c r="I55" s="107" t="inlineStr">
        <is>
          <t>B017NZZG12</t>
        </is>
      </c>
      <c r="J55" s="105" t="inlineStr">
        <is>
          <t>X-Large</t>
        </is>
      </c>
      <c r="K55" s="105" t="inlineStr">
        <is>
          <t>Coral</t>
        </is>
      </c>
      <c r="L55" s="108" t="n"/>
      <c r="M55" s="39" t="inlineStr"/>
      <c r="N55" s="109" t="n">
        <v>13.99</v>
      </c>
      <c r="O55" s="109" t="n">
        <v>17.99</v>
      </c>
      <c r="P55" s="110">
        <f>IF(AND(ISNUMBER(O55),ISNUMBER(N55),N(N55)&gt;0),O55/N55-1,"")</f>
        <v/>
      </c>
      <c r="Q55" s="111">
        <f>IF(P55="","No List Price",IF(P55&lt;=0,"At/below price",IF(P55&lt;=0.12,"&lt;=12% STR zone",IF(P55&lt;=0.25,"12-25%","&gt;25% over"))))</f>
        <v/>
      </c>
      <c r="R55" s="109" t="n">
        <v>21.45</v>
      </c>
      <c r="S55" s="112">
        <f>IF(AND(ISNUMBER(N55),ISNUMBER(R55),N(R55)&gt;0),N55/R55-1,"")</f>
        <v/>
      </c>
      <c r="T55" s="39" t="inlineStr">
        <is>
          <t>vs our blended price (market data, Mar 2026 - STALE)</t>
        </is>
      </c>
      <c r="U55" s="108" t="n">
        <v>408785</v>
      </c>
      <c r="V55" s="108" t="n">
        <v>5</v>
      </c>
      <c r="W55" s="113">
        <f>IF(AND(ISNUMBER(N55),ISNUMBER(V55)),N55*V55*52/12,"")</f>
        <v/>
      </c>
      <c r="X55" s="114" t="n">
        <v>4.6</v>
      </c>
      <c r="Y55" s="108" t="n">
        <v>1901</v>
      </c>
      <c r="Z55" s="115" t="n">
        <v>46307</v>
      </c>
      <c r="AA55" s="115" t="n"/>
      <c r="AB55" s="105" t="n"/>
      <c r="AC55" s="105" t="n"/>
      <c r="AD55" s="108" t="n"/>
      <c r="AE55" s="108" t="n"/>
      <c r="AF55" s="116" t="n"/>
      <c r="AG55" s="116" t="n"/>
      <c r="AH55" s="39" t="n"/>
      <c r="AI55" s="116" t="n"/>
      <c r="AJ55" s="116" t="n"/>
      <c r="AK55" s="116" t="n"/>
      <c r="AL55" s="116" t="n"/>
      <c r="AM55" s="108" t="n"/>
      <c r="AN55" s="108" t="n"/>
      <c r="AO55" s="108" t="n"/>
      <c r="AP55" s="108" t="n"/>
      <c r="AQ55" s="108" t="n"/>
      <c r="AR55" s="108" t="n"/>
      <c r="AS55" s="117" t="n"/>
      <c r="AT55" s="112" t="n"/>
      <c r="AU55" s="118" t="inlineStr">
        <is>
          <t>Y</t>
        </is>
      </c>
      <c r="AV55" s="118" t="inlineStr">
        <is>
          <t>List Price</t>
        </is>
      </c>
      <c r="AW55" s="119" t="n">
        <v>17.99</v>
      </c>
      <c r="AX55" s="119" t="n">
        <v>13.99</v>
      </c>
      <c r="AY55" s="118" t="inlineStr">
        <is>
          <t>none</t>
        </is>
      </c>
      <c r="AZ55" s="118" t="inlineStr">
        <is>
          <t>Y</t>
        </is>
      </c>
      <c r="BA55" s="118" t="inlineStr">
        <is>
          <t>2026-10-13 23:42:15</t>
        </is>
      </c>
      <c r="BB55" s="120" t="inlineStr">
        <is>
          <t>Prime Exclusive Discount</t>
        </is>
      </c>
      <c r="BC55" s="120" t="inlineStr">
        <is>
          <t>11-26 to 12-01</t>
        </is>
      </c>
      <c r="BD55" s="121" t="n">
        <v>17.99</v>
      </c>
      <c r="BE55" s="121" t="n">
        <v>14.39</v>
      </c>
      <c r="BF55" s="110">
        <f>IF(AND(ISNUMBER(BD55),ISNUMBER(BE55),N(BD55)&gt;0),1-BE55/BD55,"")</f>
        <v/>
      </c>
      <c r="BG55" s="122" t="n">
        <v>595603</v>
      </c>
      <c r="BH55" s="122" t="n">
        <v>479314</v>
      </c>
      <c r="BI55" s="123">
        <f>IF(AND(ISNUMBER(BG55),ISNUMBER(BH55),N(BH55)&gt;0),BG55/BH55,"")</f>
        <v/>
      </c>
      <c r="BJ55" s="120" t="inlineStr">
        <is>
          <t>N</t>
        </is>
      </c>
      <c r="BK55" s="120" t="inlineStr">
        <is>
          <t>List Price $17.99</t>
        </is>
      </c>
    </row>
    <row r="56" ht="62" customHeight="1">
      <c r="A56" s="12">
        <f>_xlfn.IMAGE("https://images-na.ssl-images-amazon.com/images/I/61cjIHCSQJL.jpg")</f>
        <v/>
      </c>
      <c r="B56" s="105" t="inlineStr">
        <is>
          <t>SMYRNA TURKISH COTTON</t>
        </is>
      </c>
      <c r="C56" s="39" t="inlineStr">
        <is>
          <t>SMYRNA TURKISH COTTON Classical Series Original Turkish Beach Towel | Prewashed, 37 x 71 Inches | Peshtemal and Turkish Bath Towel for SPA, Beach, Pool, Gym and Bathroom</t>
        </is>
      </c>
      <c r="D56" s="105" t="inlineStr">
        <is>
          <t>Aspirational</t>
        </is>
      </c>
      <c r="E56" s="134" t="inlineStr">
        <is>
          <t>Not classified</t>
        </is>
      </c>
      <c r="F56" s="105" t="n"/>
      <c r="G56" s="39" t="inlineStr">
        <is>
          <t>Not a sheet, pillowcase or comforter product; competitors are compared on price and sales only.</t>
        </is>
      </c>
      <c r="H56" s="107" t="inlineStr">
        <is>
          <t>B0D8ZW2F3C</t>
        </is>
      </c>
      <c r="I56" s="107" t="inlineStr">
        <is>
          <t>B0DQKM17ZF</t>
        </is>
      </c>
      <c r="J56" s="105" t="inlineStr">
        <is>
          <t>One Pack</t>
        </is>
      </c>
      <c r="K56" s="105" t="inlineStr">
        <is>
          <t>Pistachio Green</t>
        </is>
      </c>
      <c r="L56" s="108" t="n">
        <v>7</v>
      </c>
      <c r="M56" s="39" t="inlineStr"/>
      <c r="N56" s="109" t="n">
        <v>7.99</v>
      </c>
      <c r="O56" s="109" t="n"/>
      <c r="P56" s="110">
        <f>IF(AND(ISNUMBER(O56),ISNUMBER(N56),N(N56)&gt;0),O56/N56-1,"")</f>
        <v/>
      </c>
      <c r="Q56" s="111">
        <f>IF(P56="","No List Price",IF(P56&lt;=0,"At/below price",IF(P56&lt;=0.12,"&lt;=12% STR zone",IF(P56&lt;=0.25,"12-25%","&gt;25% over"))))</f>
        <v/>
      </c>
      <c r="R56" s="109" t="n">
        <v>21.45</v>
      </c>
      <c r="S56" s="112">
        <f>IF(AND(ISNUMBER(N56),ISNUMBER(R56),N(R56)&gt;0),N56/R56-1,"")</f>
        <v/>
      </c>
      <c r="T56" s="39" t="inlineStr">
        <is>
          <t>vs our blended price (market data, Mar 2026 - STALE)</t>
        </is>
      </c>
      <c r="U56" s="108" t="n">
        <v>1066252</v>
      </c>
      <c r="V56" s="108" t="n">
        <v>5</v>
      </c>
      <c r="W56" s="113">
        <f>IF(AND(ISNUMBER(N56),ISNUMBER(V56)),N56*V56*52/12,"")</f>
        <v/>
      </c>
      <c r="X56" s="114" t="n">
        <v>4.5</v>
      </c>
      <c r="Y56" s="108" t="n">
        <v>4592</v>
      </c>
      <c r="Z56" s="115" t="n">
        <v>46307</v>
      </c>
      <c r="AA56" s="115" t="n">
        <v>45642</v>
      </c>
      <c r="AB56" s="105" t="inlineStr">
        <is>
          <t>FBM</t>
        </is>
      </c>
      <c r="AC56" s="105" t="inlineStr">
        <is>
          <t>N/A</t>
        </is>
      </c>
      <c r="AD56" s="108" t="n"/>
      <c r="AE56" s="108" t="n"/>
      <c r="AF56" s="116" t="n"/>
      <c r="AG56" s="116" t="n"/>
      <c r="AH56" s="39" t="n"/>
      <c r="AI56" s="116" t="n"/>
      <c r="AJ56" s="116" t="n"/>
      <c r="AK56" s="116" t="n"/>
      <c r="AL56" s="116" t="n"/>
      <c r="AM56" s="108" t="n"/>
      <c r="AN56" s="108" t="n"/>
      <c r="AO56" s="108" t="n"/>
      <c r="AP56" s="108" t="n"/>
      <c r="AQ56" s="108" t="n"/>
      <c r="AR56" s="108" t="n"/>
      <c r="AS56" s="117" t="n"/>
      <c r="AT56" s="112" t="n"/>
      <c r="AU56" s="118" t="inlineStr">
        <is>
          <t>N</t>
        </is>
      </c>
      <c r="AV56" s="118" t="inlineStr">
        <is>
          <t>none</t>
        </is>
      </c>
      <c r="AW56" s="124" t="n"/>
      <c r="AX56" s="124" t="n"/>
      <c r="AY56" s="118" t="inlineStr">
        <is>
          <t>none</t>
        </is>
      </c>
      <c r="AZ56" s="118" t="inlineStr">
        <is>
          <t>N</t>
        </is>
      </c>
      <c r="BA56" s="118" t="inlineStr">
        <is>
          <t>2026-10-13 23:42:40</t>
        </is>
      </c>
      <c r="BB56" s="120" t="inlineStr">
        <is>
          <t>None</t>
        </is>
      </c>
      <c r="BC56" s="125" t="n"/>
      <c r="BD56" s="121" t="n">
        <v>8.99</v>
      </c>
      <c r="BE56" s="121" t="n">
        <v>8.99</v>
      </c>
      <c r="BF56" s="110">
        <f>IF(AND(ISNUMBER(BD56),ISNUMBER(BE56),N(BD56)&gt;0),1-BE56/BD56,"")</f>
        <v/>
      </c>
      <c r="BG56" s="122" t="n">
        <v>224070</v>
      </c>
      <c r="BH56" s="122" t="n">
        <v>329256</v>
      </c>
      <c r="BI56" s="123">
        <f>IF(AND(ISNUMBER(BG56),ISNUMBER(BH56),N(BH56)&gt;0),BG56/BH56,"")</f>
        <v/>
      </c>
      <c r="BJ56" s="120" t="inlineStr">
        <is>
          <t>N</t>
        </is>
      </c>
      <c r="BK56" s="120" t="inlineStr">
        <is>
          <t>List Price $19.99</t>
        </is>
      </c>
    </row>
    <row r="57" ht="62" customHeight="1">
      <c r="A57" s="12">
        <f>_xlfn.IMAGE("https://m.media-amazon.com/images/I/91RYZ1NDQ+L._AC_SL1500_.jpg")</f>
        <v/>
      </c>
      <c r="B57" s="105" t="inlineStr">
        <is>
          <t>Cape Comforts</t>
        </is>
      </c>
      <c r="C57" s="39" t="inlineStr">
        <is>
          <t>Turkish Beach Towel</t>
        </is>
      </c>
      <c r="D57" s="105" t="inlineStr">
        <is>
          <t>Beatable</t>
        </is>
      </c>
      <c r="E57" s="134" t="inlineStr">
        <is>
          <t>Not classified</t>
        </is>
      </c>
      <c r="F57" s="105" t="n"/>
      <c r="G57" s="39" t="inlineStr">
        <is>
          <t>Not a sheet, pillowcase or comforter product; competitors are compared on price and sales only.</t>
        </is>
      </c>
      <c r="H57" s="107" t="inlineStr">
        <is>
          <t>B0DGJ9RS81</t>
        </is>
      </c>
      <c r="I57" s="107" t="inlineStr">
        <is>
          <t>B0CNV2LF3N</t>
        </is>
      </c>
      <c r="J57" s="105" t="inlineStr">
        <is>
          <t>1 Pack</t>
        </is>
      </c>
      <c r="K57" s="105" t="inlineStr">
        <is>
          <t>Diamond - Aqua</t>
        </is>
      </c>
      <c r="L57" s="108" t="n"/>
      <c r="M57" s="39" t="inlineStr"/>
      <c r="N57" s="109" t="n">
        <v>19.99</v>
      </c>
      <c r="O57" s="109" t="n"/>
      <c r="P57" s="110">
        <f>IF(AND(ISNUMBER(O57),ISNUMBER(N57),N(N57)&gt;0),O57/N57-1,"")</f>
        <v/>
      </c>
      <c r="Q57" s="111">
        <f>IF(P57="","No List Price",IF(P57&lt;=0,"At/below price",IF(P57&lt;=0.12,"&lt;=12% STR zone",IF(P57&lt;=0.25,"12-25%","&gt;25% over"))))</f>
        <v/>
      </c>
      <c r="R57" s="109" t="n">
        <v>21.45</v>
      </c>
      <c r="S57" s="112">
        <f>IF(AND(ISNUMBER(N57),ISNUMBER(R57),N(R57)&gt;0),N57/R57-1,"")</f>
        <v/>
      </c>
      <c r="T57" s="39" t="inlineStr">
        <is>
          <t>vs our blended price (market data, Mar 2026 - STALE)</t>
        </is>
      </c>
      <c r="U57" s="108" t="n">
        <v>258092</v>
      </c>
      <c r="V57" s="108" t="n">
        <v>5</v>
      </c>
      <c r="W57" s="113">
        <f>IF(AND(ISNUMBER(N57),ISNUMBER(V57)),N57*V57*52/12,"")</f>
        <v/>
      </c>
      <c r="X57" s="114" t="n">
        <v>4.5</v>
      </c>
      <c r="Y57" s="108" t="n">
        <v>444</v>
      </c>
      <c r="Z57" s="115" t="n">
        <v>46307</v>
      </c>
      <c r="AA57" s="115" t="n"/>
      <c r="AB57" s="105" t="n"/>
      <c r="AC57" s="105" t="n"/>
      <c r="AD57" s="108" t="n"/>
      <c r="AE57" s="108" t="n"/>
      <c r="AF57" s="116" t="n"/>
      <c r="AG57" s="116" t="n"/>
      <c r="AH57" s="39" t="n"/>
      <c r="AI57" s="116" t="n"/>
      <c r="AJ57" s="116" t="n"/>
      <c r="AK57" s="116" t="n"/>
      <c r="AL57" s="116" t="n"/>
      <c r="AM57" s="108" t="n"/>
      <c r="AN57" s="108" t="n"/>
      <c r="AO57" s="108" t="n"/>
      <c r="AP57" s="108" t="n"/>
      <c r="AQ57" s="108" t="n"/>
      <c r="AR57" s="108" t="n"/>
      <c r="AS57" s="117" t="n"/>
      <c r="AT57" s="112" t="n"/>
      <c r="AU57" s="118" t="inlineStr">
        <is>
          <t>N</t>
        </is>
      </c>
      <c r="AV57" s="118" t="inlineStr">
        <is>
          <t>none</t>
        </is>
      </c>
      <c r="AW57" s="124" t="n"/>
      <c r="AX57" s="119" t="n">
        <v>19.99</v>
      </c>
      <c r="AY57" s="118" t="inlineStr">
        <is>
          <t>none</t>
        </is>
      </c>
      <c r="AZ57" s="118" t="inlineStr">
        <is>
          <t>Y</t>
        </is>
      </c>
      <c r="BA57" s="118" t="inlineStr">
        <is>
          <t>2026-10-13 23:39:55</t>
        </is>
      </c>
      <c r="BB57" s="120" t="inlineStr">
        <is>
          <t>Prime Exclusive Discount</t>
        </is>
      </c>
      <c r="BC57" s="120" t="inlineStr">
        <is>
          <t>11-20 to 12-01</t>
        </is>
      </c>
      <c r="BD57" s="121" t="n">
        <v>19.99</v>
      </c>
      <c r="BE57" s="121" t="n">
        <v>15.79</v>
      </c>
      <c r="BF57" s="110">
        <f>IF(AND(ISNUMBER(BD57),ISNUMBER(BE57),N(BD57)&gt;0),1-BE57/BD57,"")</f>
        <v/>
      </c>
      <c r="BG57" s="122" t="n">
        <v>119700</v>
      </c>
      <c r="BH57" s="122" t="n">
        <v>48402</v>
      </c>
      <c r="BI57" s="123">
        <f>IF(AND(ISNUMBER(BG57),ISNUMBER(BH57),N(BH57)&gt;0),BG57/BH57,"")</f>
        <v/>
      </c>
      <c r="BJ57" s="120" t="inlineStr">
        <is>
          <t>N</t>
        </is>
      </c>
      <c r="BK57" s="120" t="inlineStr">
        <is>
          <t>List Price $19.99</t>
        </is>
      </c>
    </row>
    <row r="58" ht="62" customHeight="1">
      <c r="A58" s="12">
        <f>_xlfn.IMAGE("https://images-na.ssl-images-amazon.com/images/I/71YgUbWvq4L.jpg")</f>
        <v/>
      </c>
      <c r="B58" s="105" t="inlineStr">
        <is>
          <t>Casamollis</t>
        </is>
      </c>
      <c r="C58" s="39" t="inlineStr">
        <is>
          <t>Casamollis Turkish Beach Towel, Prewashed, 100% Cotton, Soft, Absorbent, Quick Dry, Sand Free Large Oversize Beach Towels for Bathroom Camping Yoga Gym Pool Travel Size 39x71 Inches (Blue)</t>
        </is>
      </c>
      <c r="D58" s="105" t="inlineStr">
        <is>
          <t>Beatable</t>
        </is>
      </c>
      <c r="E58" s="134" t="inlineStr">
        <is>
          <t>Not classified</t>
        </is>
      </c>
      <c r="F58" s="105" t="n"/>
      <c r="G58" s="39" t="inlineStr">
        <is>
          <t>Not a sheet, pillowcase or comforter product; competitors are compared on price and sales only.</t>
        </is>
      </c>
      <c r="H58" s="107" t="inlineStr">
        <is>
          <t>B0C37T2QLC</t>
        </is>
      </c>
      <c r="I58" s="107" t="inlineStr">
        <is>
          <t>B0BT9RNGDQ</t>
        </is>
      </c>
      <c r="J58" s="105" t="inlineStr">
        <is>
          <t>Large</t>
        </is>
      </c>
      <c r="K58" s="105" t="inlineStr">
        <is>
          <t>Blue</t>
        </is>
      </c>
      <c r="L58" s="108" t="n">
        <v>1</v>
      </c>
      <c r="M58" s="39" t="inlineStr"/>
      <c r="N58" s="109" t="n">
        <v>14.99</v>
      </c>
      <c r="O58" s="109" t="n"/>
      <c r="P58" s="110">
        <f>IF(AND(ISNUMBER(O58),ISNUMBER(N58),N(N58)&gt;0),O58/N58-1,"")</f>
        <v/>
      </c>
      <c r="Q58" s="111">
        <f>IF(P58="","No List Price",IF(P58&lt;=0,"At/below price",IF(P58&lt;=0.12,"&lt;=12% STR zone",IF(P58&lt;=0.25,"12-25%","&gt;25% over"))))</f>
        <v/>
      </c>
      <c r="R58" s="109" t="n">
        <v>21.45</v>
      </c>
      <c r="S58" s="112">
        <f>IF(AND(ISNUMBER(N58),ISNUMBER(R58),N(R58)&gt;0),N58/R58-1,"")</f>
        <v/>
      </c>
      <c r="T58" s="39" t="inlineStr">
        <is>
          <t>vs our blended price (market data, Mar 2026 - STALE)</t>
        </is>
      </c>
      <c r="U58" s="108" t="n">
        <v>1836471</v>
      </c>
      <c r="V58" s="108" t="n">
        <v>5</v>
      </c>
      <c r="W58" s="113">
        <f>IF(AND(ISNUMBER(N58),ISNUMBER(V58)),N58*V58*52/12,"")</f>
        <v/>
      </c>
      <c r="X58" s="114" t="n">
        <v>4.4</v>
      </c>
      <c r="Y58" s="108" t="n">
        <v>120</v>
      </c>
      <c r="Z58" s="115" t="n">
        <v>46307</v>
      </c>
      <c r="AA58" s="115" t="n">
        <v>45038</v>
      </c>
      <c r="AB58" s="105" t="inlineStr">
        <is>
          <t>FBM</t>
        </is>
      </c>
      <c r="AC58" s="105" t="inlineStr">
        <is>
          <t>N/A</t>
        </is>
      </c>
      <c r="AD58" s="108" t="n"/>
      <c r="AE58" s="108" t="n"/>
      <c r="AF58" s="116" t="n"/>
      <c r="AG58" s="116" t="n"/>
      <c r="AH58" s="39" t="n"/>
      <c r="AI58" s="116" t="n"/>
      <c r="AJ58" s="116" t="n"/>
      <c r="AK58" s="116" t="n"/>
      <c r="AL58" s="116" t="n"/>
      <c r="AM58" s="108" t="n"/>
      <c r="AN58" s="108" t="n"/>
      <c r="AO58" s="108" t="n"/>
      <c r="AP58" s="108" t="n"/>
      <c r="AQ58" s="108" t="n"/>
      <c r="AR58" s="108" t="n"/>
      <c r="AS58" s="117" t="n"/>
      <c r="AT58" s="112" t="n"/>
      <c r="AU58" s="118" t="inlineStr">
        <is>
          <t>N</t>
        </is>
      </c>
      <c r="AV58" s="118" t="inlineStr">
        <is>
          <t>none</t>
        </is>
      </c>
      <c r="AW58" s="124" t="n"/>
      <c r="AX58" s="124" t="n"/>
      <c r="AY58" s="118" t="inlineStr">
        <is>
          <t>none</t>
        </is>
      </c>
      <c r="AZ58" s="118" t="inlineStr">
        <is>
          <t>N</t>
        </is>
      </c>
      <c r="BA58" s="118" t="inlineStr">
        <is>
          <t>2026-10-13 23:39:58</t>
        </is>
      </c>
      <c r="BB58" s="120" t="inlineStr">
        <is>
          <t>None</t>
        </is>
      </c>
      <c r="BC58" s="125" t="n"/>
      <c r="BD58" s="121" t="n">
        <v>14.99</v>
      </c>
      <c r="BE58" s="121" t="n">
        <v>14.99</v>
      </c>
      <c r="BF58" s="110">
        <f>IF(AND(ISNUMBER(BD58),ISNUMBER(BE58),N(BD58)&gt;0),1-BE58/BD58,"")</f>
        <v/>
      </c>
      <c r="BG58" s="122" t="n">
        <v>1066236</v>
      </c>
      <c r="BH58" s="122" t="n">
        <v>1034800</v>
      </c>
      <c r="BI58" s="123">
        <f>IF(AND(ISNUMBER(BG58),ISNUMBER(BH58),N(BH58)&gt;0),BG58/BH58,"")</f>
        <v/>
      </c>
      <c r="BJ58" s="120" t="inlineStr">
        <is>
          <t>N</t>
        </is>
      </c>
      <c r="BK58" s="120" t="inlineStr">
        <is>
          <t>List Price $22.50</t>
        </is>
      </c>
    </row>
    <row r="59" ht="62" customHeight="1">
      <c r="A59" s="12">
        <f>_xlfn.IMAGE("https://images-na.ssl-images-amazon.com/images/I/91uCRX1VnEL.jpg")</f>
        <v/>
      </c>
      <c r="B59" s="105" t="inlineStr">
        <is>
          <t>FESHKA</t>
        </is>
      </c>
      <c r="C59" s="39" t="inlineStr">
        <is>
          <t>FESHKA Sand Proof Turkish Beach Towel – Oversized, Quick Dry &amp; Lightweight Travel Towel - 100% Organic Cotton Beach Blanket - Perfect for Bath, Pool &amp; Picnic | Damask (Rust/Beige)</t>
        </is>
      </c>
      <c r="D59" s="105" t="inlineStr">
        <is>
          <t>Beatable</t>
        </is>
      </c>
      <c r="E59" s="134" t="inlineStr">
        <is>
          <t>Not classified</t>
        </is>
      </c>
      <c r="F59" s="105" t="n"/>
      <c r="G59" s="39" t="inlineStr">
        <is>
          <t>Not a sheet, pillowcase or comforter product; competitors are compared on price and sales only.</t>
        </is>
      </c>
      <c r="H59" s="107" t="inlineStr">
        <is>
          <t>B0CCFV2DPC</t>
        </is>
      </c>
      <c r="I59" s="107" t="inlineStr">
        <is>
          <t>B0B2KVR9RB</t>
        </is>
      </c>
      <c r="J59" s="105" t="inlineStr">
        <is>
          <t>Large</t>
        </is>
      </c>
      <c r="K59" s="105" t="inlineStr">
        <is>
          <t>14 - Rust/Beige</t>
        </is>
      </c>
      <c r="L59" s="108" t="n">
        <v>34</v>
      </c>
      <c r="M59" s="39" t="inlineStr"/>
      <c r="N59" s="109" t="n">
        <v>14.99</v>
      </c>
      <c r="O59" s="109" t="n"/>
      <c r="P59" s="110">
        <f>IF(AND(ISNUMBER(O59),ISNUMBER(N59),N(N59)&gt;0),O59/N59-1,"")</f>
        <v/>
      </c>
      <c r="Q59" s="111">
        <f>IF(P59="","No List Price",IF(P59&lt;=0,"At/below price",IF(P59&lt;=0.12,"&lt;=12% STR zone",IF(P59&lt;=0.25,"12-25%","&gt;25% over"))))</f>
        <v/>
      </c>
      <c r="R59" s="109" t="n">
        <v>21.45</v>
      </c>
      <c r="S59" s="112">
        <f>IF(AND(ISNUMBER(N59),ISNUMBER(R59),N(R59)&gt;0),N59/R59-1,"")</f>
        <v/>
      </c>
      <c r="T59" s="39" t="inlineStr">
        <is>
          <t>vs our blended price (market data, Mar 2026 - STALE)</t>
        </is>
      </c>
      <c r="U59" s="108" t="n">
        <v>843146</v>
      </c>
      <c r="V59" s="108" t="n">
        <v>5</v>
      </c>
      <c r="W59" s="113">
        <f>IF(AND(ISNUMBER(N59),ISNUMBER(V59)),N59*V59*52/12,"")</f>
        <v/>
      </c>
      <c r="X59" s="114" t="n">
        <v>4.4</v>
      </c>
      <c r="Y59" s="108" t="n">
        <v>500</v>
      </c>
      <c r="Z59" s="115" t="n">
        <v>46307</v>
      </c>
      <c r="AA59" s="115" t="n">
        <v>44465</v>
      </c>
      <c r="AB59" s="105" t="inlineStr">
        <is>
          <t>FBM</t>
        </is>
      </c>
      <c r="AC59" s="105" t="inlineStr">
        <is>
          <t>N/A</t>
        </is>
      </c>
      <c r="AD59" s="108" t="n"/>
      <c r="AE59" s="108" t="n"/>
      <c r="AF59" s="116" t="n"/>
      <c r="AG59" s="116" t="n"/>
      <c r="AH59" s="39" t="n"/>
      <c r="AI59" s="116" t="n"/>
      <c r="AJ59" s="116" t="n"/>
      <c r="AK59" s="116" t="n"/>
      <c r="AL59" s="116" t="n"/>
      <c r="AM59" s="108" t="n"/>
      <c r="AN59" s="108" t="n"/>
      <c r="AO59" s="108" t="n"/>
      <c r="AP59" s="108" t="n"/>
      <c r="AQ59" s="108" t="n"/>
      <c r="AR59" s="108" t="n"/>
      <c r="AS59" s="117" t="n"/>
      <c r="AT59" s="112" t="n"/>
      <c r="AU59" s="118" t="inlineStr">
        <is>
          <t>N</t>
        </is>
      </c>
      <c r="AV59" s="118" t="inlineStr">
        <is>
          <t>none</t>
        </is>
      </c>
      <c r="AW59" s="124" t="n"/>
      <c r="AX59" s="124" t="n"/>
      <c r="AY59" s="118" t="inlineStr">
        <is>
          <t>none</t>
        </is>
      </c>
      <c r="AZ59" s="118" t="inlineStr">
        <is>
          <t>N</t>
        </is>
      </c>
      <c r="BA59" s="118" t="inlineStr">
        <is>
          <t>2026-10-13 23:40:28</t>
        </is>
      </c>
      <c r="BB59" s="120" t="inlineStr">
        <is>
          <t>Lightning Deal</t>
        </is>
      </c>
      <c r="BC59" s="120" t="inlineStr">
        <is>
          <t>12-01 to 12-01</t>
        </is>
      </c>
      <c r="BD59" s="121" t="n">
        <v>49</v>
      </c>
      <c r="BE59" s="121" t="n">
        <v>27.9</v>
      </c>
      <c r="BF59" s="110">
        <f>IF(AND(ISNUMBER(BD59),ISNUMBER(BE59),N(BD59)&gt;0),1-BE59/BD59,"")</f>
        <v/>
      </c>
      <c r="BG59" s="122" t="n">
        <v>413311</v>
      </c>
      <c r="BH59" s="122" t="n">
        <v>229512</v>
      </c>
      <c r="BI59" s="123">
        <f>IF(AND(ISNUMBER(BG59),ISNUMBER(BH59),N(BH59)&gt;0),BG59/BH59,"")</f>
        <v/>
      </c>
      <c r="BJ59" s="120" t="inlineStr">
        <is>
          <t>N</t>
        </is>
      </c>
      <c r="BK59" s="120" t="inlineStr">
        <is>
          <t>List Price $47.00</t>
        </is>
      </c>
    </row>
    <row r="60" ht="62" customHeight="1">
      <c r="A60" s="12">
        <f>_xlfn.IMAGE("https://images-na.ssl-images-amazon.com/images/I/91Lbax4bMGL.jpg")</f>
        <v/>
      </c>
      <c r="B60" s="105" t="inlineStr">
        <is>
          <t>Goroly Home</t>
        </is>
      </c>
      <c r="C60" s="39" t="inlineStr">
        <is>
          <t>Goroly Home Cotton Turkish Peshtemal Beach Towel, Extra Large, Thin Quick Dry Sand Free Pool &amp; Swim Towel, Bathing Blanket, Travel Essentials, (Pista Green, 36x71 Inches)</t>
        </is>
      </c>
      <c r="D60" s="105" t="inlineStr">
        <is>
          <t>Beatable</t>
        </is>
      </c>
      <c r="E60" s="134" t="inlineStr">
        <is>
          <t>Not classified</t>
        </is>
      </c>
      <c r="F60" s="105" t="n"/>
      <c r="G60" s="39" t="inlineStr">
        <is>
          <t>Not a sheet, pillowcase or comforter product; competitors are compared on price and sales only.</t>
        </is>
      </c>
      <c r="H60" s="107" t="inlineStr">
        <is>
          <t>B0CX5JQN29</t>
        </is>
      </c>
      <c r="I60" s="107" t="inlineStr">
        <is>
          <t>B08WS5MYK8</t>
        </is>
      </c>
      <c r="J60" s="105" t="inlineStr">
        <is>
          <t>36x71</t>
        </is>
      </c>
      <c r="K60" s="105" t="inlineStr">
        <is>
          <t>Pista Green</t>
        </is>
      </c>
      <c r="L60" s="108" t="n">
        <v>17</v>
      </c>
      <c r="M60" s="39" t="inlineStr"/>
      <c r="N60" s="109" t="n">
        <v>29.99</v>
      </c>
      <c r="O60" s="109" t="n"/>
      <c r="P60" s="110">
        <f>IF(AND(ISNUMBER(O60),ISNUMBER(N60),N(N60)&gt;0),O60/N60-1,"")</f>
        <v/>
      </c>
      <c r="Q60" s="111">
        <f>IF(P60="","No List Price",IF(P60&lt;=0,"At/below price",IF(P60&lt;=0.12,"&lt;=12% STR zone",IF(P60&lt;=0.25,"12-25%","&gt;25% over"))))</f>
        <v/>
      </c>
      <c r="R60" s="109" t="n">
        <v>21.45</v>
      </c>
      <c r="S60" s="112">
        <f>IF(AND(ISNUMBER(N60),ISNUMBER(R60),N(R60)&gt;0),N60/R60-1,"")</f>
        <v/>
      </c>
      <c r="T60" s="39" t="inlineStr">
        <is>
          <t>vs our blended price (market data, Mar 2026 - STALE)</t>
        </is>
      </c>
      <c r="U60" s="108" t="n">
        <v>2046442</v>
      </c>
      <c r="V60" s="108" t="n">
        <v>5</v>
      </c>
      <c r="W60" s="113">
        <f>IF(AND(ISNUMBER(N60),ISNUMBER(V60)),N60*V60*52/12,"")</f>
        <v/>
      </c>
      <c r="X60" s="114" t="n">
        <v>4.4</v>
      </c>
      <c r="Y60" s="108" t="n">
        <v>206</v>
      </c>
      <c r="Z60" s="115" t="n">
        <v>46307</v>
      </c>
      <c r="AA60" s="115" t="n">
        <v>44743</v>
      </c>
      <c r="AB60" s="105" t="inlineStr">
        <is>
          <t>FBM</t>
        </is>
      </c>
      <c r="AC60" s="105" t="inlineStr">
        <is>
          <t>N/A</t>
        </is>
      </c>
      <c r="AD60" s="108" t="n"/>
      <c r="AE60" s="108" t="n"/>
      <c r="AF60" s="116" t="n"/>
      <c r="AG60" s="116" t="n"/>
      <c r="AH60" s="39" t="n"/>
      <c r="AI60" s="116" t="n"/>
      <c r="AJ60" s="116" t="n"/>
      <c r="AK60" s="116" t="n"/>
      <c r="AL60" s="116" t="n"/>
      <c r="AM60" s="108" t="n"/>
      <c r="AN60" s="108" t="n"/>
      <c r="AO60" s="108" t="n"/>
      <c r="AP60" s="108" t="n"/>
      <c r="AQ60" s="108" t="n"/>
      <c r="AR60" s="108" t="n"/>
      <c r="AS60" s="117" t="n"/>
      <c r="AT60" s="112" t="n"/>
      <c r="AU60" s="118" t="inlineStr">
        <is>
          <t>N</t>
        </is>
      </c>
      <c r="AV60" s="118" t="inlineStr">
        <is>
          <t>none</t>
        </is>
      </c>
      <c r="AW60" s="124" t="n"/>
      <c r="AX60" s="119" t="n">
        <v>29.99</v>
      </c>
      <c r="AY60" s="118" t="inlineStr">
        <is>
          <t>none</t>
        </is>
      </c>
      <c r="AZ60" s="118" t="inlineStr">
        <is>
          <t>Y</t>
        </is>
      </c>
      <c r="BA60" s="118" t="inlineStr">
        <is>
          <t>2026-10-13 23:48:10</t>
        </is>
      </c>
      <c r="BB60" s="120" t="inlineStr">
        <is>
          <t>Price cut only</t>
        </is>
      </c>
      <c r="BC60" s="120" t="inlineStr">
        <is>
          <t>11-20 to 11-30</t>
        </is>
      </c>
      <c r="BD60" s="121" t="n">
        <v>9.49</v>
      </c>
      <c r="BE60" s="121" t="n">
        <v>6.64</v>
      </c>
      <c r="BF60" s="110">
        <f>IF(AND(ISNUMBER(BD60),ISNUMBER(BE60),N(BD60)&gt;0),1-BE60/BD60,"")</f>
        <v/>
      </c>
      <c r="BG60" s="122" t="n">
        <v>1495605</v>
      </c>
      <c r="BH60" s="122" t="n">
        <v>798350</v>
      </c>
      <c r="BI60" s="123">
        <f>IF(AND(ISNUMBER(BG60),ISNUMBER(BH60),N(BH60)&gt;0),BG60/BH60,"")</f>
        <v/>
      </c>
      <c r="BJ60" s="120" t="inlineStr">
        <is>
          <t>N</t>
        </is>
      </c>
      <c r="BK60" s="120" t="inlineStr">
        <is>
          <t>List Price $18.99</t>
        </is>
      </c>
    </row>
    <row r="61" ht="62" customHeight="1">
      <c r="A61" s="12">
        <f>_xlfn.IMAGE("https://m.media-amazon.com/images/I/61cGevgkYRL._AC_SL1500_.jpg")</f>
        <v/>
      </c>
      <c r="B61" s="105" t="inlineStr">
        <is>
          <t>Organic Cotton Mart</t>
        </is>
      </c>
      <c r="C61" s="39" t="inlineStr">
        <is>
          <t>Turkish Beach Towel</t>
        </is>
      </c>
      <c r="D61" s="105" t="inlineStr">
        <is>
          <t>Beatable</t>
        </is>
      </c>
      <c r="E61" s="134" t="inlineStr">
        <is>
          <t>Not classified</t>
        </is>
      </c>
      <c r="F61" s="105" t="n"/>
      <c r="G61" s="39" t="inlineStr">
        <is>
          <t>Not a sheet, pillowcase or comforter product; competitors are compared on price and sales only.</t>
        </is>
      </c>
      <c r="H61" s="107" t="inlineStr">
        <is>
          <t>B095ZRFXH5</t>
        </is>
      </c>
      <c r="I61" s="107" t="inlineStr">
        <is>
          <t>B0961CH4WH</t>
        </is>
      </c>
      <c r="J61" s="105" t="inlineStr">
        <is>
          <t>71"x37"</t>
        </is>
      </c>
      <c r="K61" s="105" t="inlineStr">
        <is>
          <t>Teal</t>
        </is>
      </c>
      <c r="L61" s="108" t="n"/>
      <c r="M61" s="39" t="inlineStr"/>
      <c r="N61" s="109" t="n">
        <v>19.99</v>
      </c>
      <c r="O61" s="109" t="n"/>
      <c r="P61" s="110">
        <f>IF(AND(ISNUMBER(O61),ISNUMBER(N61),N(N61)&gt;0),O61/N61-1,"")</f>
        <v/>
      </c>
      <c r="Q61" s="111">
        <f>IF(P61="","No List Price",IF(P61&lt;=0,"At/below price",IF(P61&lt;=0.12,"&lt;=12% STR zone",IF(P61&lt;=0.25,"12-25%","&gt;25% over"))))</f>
        <v/>
      </c>
      <c r="R61" s="109" t="n">
        <v>21.45</v>
      </c>
      <c r="S61" s="112">
        <f>IF(AND(ISNUMBER(N61),ISNUMBER(R61),N(R61)&gt;0),N61/R61-1,"")</f>
        <v/>
      </c>
      <c r="T61" s="39" t="inlineStr">
        <is>
          <t>vs our blended price (market data, Mar 2026 - STALE)</t>
        </is>
      </c>
      <c r="U61" s="108" t="n">
        <v>1082549</v>
      </c>
      <c r="V61" s="108" t="n">
        <v>5</v>
      </c>
      <c r="W61" s="113">
        <f>IF(AND(ISNUMBER(N61),ISNUMBER(V61)),N61*V61*52/12,"")</f>
        <v/>
      </c>
      <c r="X61" s="114" t="n">
        <v>4.4</v>
      </c>
      <c r="Y61" s="108" t="n">
        <v>72</v>
      </c>
      <c r="Z61" s="115" t="n">
        <v>46307</v>
      </c>
      <c r="AA61" s="115" t="n"/>
      <c r="AB61" s="105" t="n"/>
      <c r="AC61" s="105" t="n"/>
      <c r="AD61" s="108" t="n"/>
      <c r="AE61" s="108" t="n"/>
      <c r="AF61" s="116" t="n"/>
      <c r="AG61" s="116" t="n"/>
      <c r="AH61" s="39" t="n"/>
      <c r="AI61" s="116" t="n"/>
      <c r="AJ61" s="116" t="n"/>
      <c r="AK61" s="116" t="n"/>
      <c r="AL61" s="116" t="n"/>
      <c r="AM61" s="108" t="n"/>
      <c r="AN61" s="108" t="n"/>
      <c r="AO61" s="108" t="n"/>
      <c r="AP61" s="108" t="n"/>
      <c r="AQ61" s="108" t="n"/>
      <c r="AR61" s="108" t="n"/>
      <c r="AS61" s="117" t="n"/>
      <c r="AT61" s="112" t="n"/>
      <c r="AU61" s="118" t="inlineStr">
        <is>
          <t>N</t>
        </is>
      </c>
      <c r="AV61" s="118" t="inlineStr">
        <is>
          <t>none</t>
        </is>
      </c>
      <c r="AW61" s="124" t="n"/>
      <c r="AX61" s="119" t="n">
        <v>19.99</v>
      </c>
      <c r="AY61" s="118" t="inlineStr">
        <is>
          <t>none</t>
        </is>
      </c>
      <c r="AZ61" s="118" t="inlineStr">
        <is>
          <t>Y</t>
        </is>
      </c>
      <c r="BA61" s="118" t="inlineStr">
        <is>
          <t>2026-10-13 23:42:19</t>
        </is>
      </c>
      <c r="BB61" s="120" t="inlineStr">
        <is>
          <t>Prime Exclusive Discount</t>
        </is>
      </c>
      <c r="BC61" s="120" t="inlineStr">
        <is>
          <t>11-25 to 12-03</t>
        </is>
      </c>
      <c r="BD61" s="121" t="n">
        <v>14.99</v>
      </c>
      <c r="BE61" s="121" t="n">
        <v>11.84</v>
      </c>
      <c r="BF61" s="110">
        <f>IF(AND(ISNUMBER(BD61),ISNUMBER(BE61),N(BD61)&gt;0),1-BE61/BD61,"")</f>
        <v/>
      </c>
      <c r="BG61" s="122" t="n">
        <v>820133</v>
      </c>
      <c r="BH61" s="122" t="n">
        <v>505742</v>
      </c>
      <c r="BI61" s="123">
        <f>IF(AND(ISNUMBER(BG61),ISNUMBER(BH61),N(BH61)&gt;0),BG61/BH61,"")</f>
        <v/>
      </c>
      <c r="BJ61" s="120" t="inlineStr">
        <is>
          <t>N</t>
        </is>
      </c>
      <c r="BK61" s="120" t="inlineStr">
        <is>
          <t>List Price $22.99</t>
        </is>
      </c>
    </row>
    <row r="62" ht="62" customHeight="1">
      <c r="A62" s="12">
        <f>_xlfn.IMAGE("https://m.media-amazon.com/images/I/91QgW1yZ13L._AC_SL1500_.jpg")</f>
        <v/>
      </c>
      <c r="B62" s="105" t="inlineStr">
        <is>
          <t>PARK&amp;OZ</t>
        </is>
      </c>
      <c r="C62" s="39" t="inlineStr">
        <is>
          <t>Turkish Beach Towel</t>
        </is>
      </c>
      <c r="D62" s="105" t="inlineStr">
        <is>
          <t>Beatable</t>
        </is>
      </c>
      <c r="E62" s="134" t="inlineStr">
        <is>
          <t>Not classified</t>
        </is>
      </c>
      <c r="F62" s="105" t="n"/>
      <c r="G62" s="39" t="inlineStr">
        <is>
          <t>Not a sheet, pillowcase or comforter product; competitors are compared on price and sales only.</t>
        </is>
      </c>
      <c r="H62" s="107" t="inlineStr">
        <is>
          <t>B0DTSTCQF8</t>
        </is>
      </c>
      <c r="I62" s="107" t="inlineStr">
        <is>
          <t>B0BN99CBK2</t>
        </is>
      </c>
      <c r="J62" s="105" t="inlineStr">
        <is>
          <t>X Large</t>
        </is>
      </c>
      <c r="K62" s="105" t="inlineStr">
        <is>
          <t>Pink</t>
        </is>
      </c>
      <c r="L62" s="108" t="n"/>
      <c r="M62" s="39" t="inlineStr"/>
      <c r="N62" s="109" t="n">
        <v>14.99</v>
      </c>
      <c r="O62" s="109" t="n"/>
      <c r="P62" s="110">
        <f>IF(AND(ISNUMBER(O62),ISNUMBER(N62),N(N62)&gt;0),O62/N62-1,"")</f>
        <v/>
      </c>
      <c r="Q62" s="111">
        <f>IF(P62="","No List Price",IF(P62&lt;=0,"At/below price",IF(P62&lt;=0.12,"&lt;=12% STR zone",IF(P62&lt;=0.25,"12-25%","&gt;25% over"))))</f>
        <v/>
      </c>
      <c r="R62" s="109" t="n">
        <v>21.45</v>
      </c>
      <c r="S62" s="112">
        <f>IF(AND(ISNUMBER(N62),ISNUMBER(R62),N(R62)&gt;0),N62/R62-1,"")</f>
        <v/>
      </c>
      <c r="T62" s="39" t="inlineStr">
        <is>
          <t>vs our blended price (market data, Mar 2026 - STALE)</t>
        </is>
      </c>
      <c r="U62" s="108" t="n">
        <v>491392</v>
      </c>
      <c r="V62" s="108" t="n">
        <v>5</v>
      </c>
      <c r="W62" s="113">
        <f>IF(AND(ISNUMBER(N62),ISNUMBER(V62)),N62*V62*52/12,"")</f>
        <v/>
      </c>
      <c r="X62" s="114" t="n">
        <v>4.4</v>
      </c>
      <c r="Y62" s="108" t="n">
        <v>290</v>
      </c>
      <c r="Z62" s="115" t="n">
        <v>46307</v>
      </c>
      <c r="AA62" s="115" t="n"/>
      <c r="AB62" s="105" t="n"/>
      <c r="AC62" s="105" t="n"/>
      <c r="AD62" s="108" t="n"/>
      <c r="AE62" s="108" t="n"/>
      <c r="AF62" s="116" t="n"/>
      <c r="AG62" s="116" t="n"/>
      <c r="AH62" s="39" t="n"/>
      <c r="AI62" s="116" t="n"/>
      <c r="AJ62" s="116" t="n"/>
      <c r="AK62" s="116" t="n"/>
      <c r="AL62" s="116" t="n"/>
      <c r="AM62" s="108" t="n"/>
      <c r="AN62" s="108" t="n"/>
      <c r="AO62" s="108" t="n"/>
      <c r="AP62" s="108" t="n"/>
      <c r="AQ62" s="108" t="n"/>
      <c r="AR62" s="108" t="n"/>
      <c r="AS62" s="117" t="n"/>
      <c r="AT62" s="112" t="n"/>
      <c r="AU62" s="118" t="inlineStr">
        <is>
          <t>N</t>
        </is>
      </c>
      <c r="AV62" s="118" t="inlineStr">
        <is>
          <t>none</t>
        </is>
      </c>
      <c r="AW62" s="124" t="n"/>
      <c r="AX62" s="119" t="n">
        <v>14.99</v>
      </c>
      <c r="AY62" s="118" t="inlineStr">
        <is>
          <t>none</t>
        </is>
      </c>
      <c r="AZ62" s="118" t="inlineStr">
        <is>
          <t>Y</t>
        </is>
      </c>
      <c r="BA62" s="118" t="inlineStr">
        <is>
          <t>2026-10-13 23:42:22</t>
        </is>
      </c>
      <c r="BB62" s="120" t="inlineStr">
        <is>
          <t>None</t>
        </is>
      </c>
      <c r="BC62" s="125" t="n"/>
      <c r="BD62" s="121" t="n">
        <v>9.99</v>
      </c>
      <c r="BE62" s="121" t="n">
        <v>9.99</v>
      </c>
      <c r="BF62" s="110">
        <f>IF(AND(ISNUMBER(BD62),ISNUMBER(BE62),N(BD62)&gt;0),1-BE62/BD62,"")</f>
        <v/>
      </c>
      <c r="BG62" s="122" t="n">
        <v>209642</v>
      </c>
      <c r="BH62" s="122" t="n">
        <v>333433</v>
      </c>
      <c r="BI62" s="123">
        <f>IF(AND(ISNUMBER(BG62),ISNUMBER(BH62),N(BH62)&gt;0),BG62/BH62,"")</f>
        <v/>
      </c>
      <c r="BJ62" s="120" t="inlineStr">
        <is>
          <t>N</t>
        </is>
      </c>
      <c r="BK62" s="120" t="inlineStr">
        <is>
          <t>Buy Box RAISED in BFCM week (median $11.99 vs $9.99 before); List Price $19.99</t>
        </is>
      </c>
    </row>
    <row r="63" ht="62" customHeight="1">
      <c r="A63" s="12">
        <f>_xlfn.IMAGE("https://images-na.ssl-images-amazon.com/images/I/91GQPkdw4dL.jpg")</f>
        <v/>
      </c>
      <c r="B63" s="105" t="inlineStr">
        <is>
          <t>Your Choice</t>
        </is>
      </c>
      <c r="C63" s="39" t="inlineStr">
        <is>
          <t>Your Choice Turkish Beach Towel (71x41) - 100% Cotton Turkish Towel, Sand Free Quick Dry Oversized, Lightweight Compact Travel Towel - Color Navy</t>
        </is>
      </c>
      <c r="D63" s="105" t="inlineStr">
        <is>
          <t>Beatable</t>
        </is>
      </c>
      <c r="E63" s="134" t="inlineStr">
        <is>
          <t>Not classified</t>
        </is>
      </c>
      <c r="F63" s="105" t="n"/>
      <c r="G63" s="39" t="inlineStr">
        <is>
          <t>Not a sheet, pillowcase or comforter product; competitors are compared on price and sales only.</t>
        </is>
      </c>
      <c r="H63" s="107" t="inlineStr">
        <is>
          <t>B0B3DGBF86</t>
        </is>
      </c>
      <c r="I63" s="107" t="inlineStr">
        <is>
          <t>B09VC8ZM91</t>
        </is>
      </c>
      <c r="J63" s="105" t="inlineStr">
        <is>
          <t>Large</t>
        </is>
      </c>
      <c r="K63" s="105" t="inlineStr">
        <is>
          <t>1pc-navy</t>
        </is>
      </c>
      <c r="L63" s="108" t="n">
        <v>1</v>
      </c>
      <c r="M63" s="39" t="inlineStr"/>
      <c r="N63" s="109" t="n">
        <v>17.99</v>
      </c>
      <c r="O63" s="109" t="n"/>
      <c r="P63" s="110">
        <f>IF(AND(ISNUMBER(O63),ISNUMBER(N63),N(N63)&gt;0),O63/N63-1,"")</f>
        <v/>
      </c>
      <c r="Q63" s="111">
        <f>IF(P63="","No List Price",IF(P63&lt;=0,"At/below price",IF(P63&lt;=0.12,"&lt;=12% STR zone",IF(P63&lt;=0.25,"12-25%","&gt;25% over"))))</f>
        <v/>
      </c>
      <c r="R63" s="109" t="n">
        <v>21.45</v>
      </c>
      <c r="S63" s="112">
        <f>IF(AND(ISNUMBER(N63),ISNUMBER(R63),N(R63)&gt;0),N63/R63-1,"")</f>
        <v/>
      </c>
      <c r="T63" s="39" t="inlineStr">
        <is>
          <t>vs our blended price (market data, Mar 2026 - STALE)</t>
        </is>
      </c>
      <c r="U63" s="108" t="n">
        <v>1308648</v>
      </c>
      <c r="V63" s="108" t="n">
        <v>5</v>
      </c>
      <c r="W63" s="113">
        <f>IF(AND(ISNUMBER(N63),ISNUMBER(V63)),N63*V63*52/12,"")</f>
        <v/>
      </c>
      <c r="X63" s="114" t="n">
        <v>4.5</v>
      </c>
      <c r="Y63" s="108" t="n">
        <v>315</v>
      </c>
      <c r="Z63" s="115" t="n">
        <v>46307</v>
      </c>
      <c r="AA63" s="115" t="n">
        <v>44631</v>
      </c>
      <c r="AB63" s="105" t="inlineStr">
        <is>
          <t>FBA</t>
        </is>
      </c>
      <c r="AC63" s="105" t="inlineStr">
        <is>
          <t>US</t>
        </is>
      </c>
      <c r="AD63" s="108" t="n"/>
      <c r="AE63" s="108" t="n"/>
      <c r="AF63" s="116" t="n"/>
      <c r="AG63" s="116" t="n"/>
      <c r="AH63" s="39" t="n"/>
      <c r="AI63" s="116" t="n"/>
      <c r="AJ63" s="116" t="n"/>
      <c r="AK63" s="116" t="n"/>
      <c r="AL63" s="116" t="n"/>
      <c r="AM63" s="108" t="n"/>
      <c r="AN63" s="108" t="n"/>
      <c r="AO63" s="108" t="n"/>
      <c r="AP63" s="108" t="n"/>
      <c r="AQ63" s="108" t="n"/>
      <c r="AR63" s="108" t="n"/>
      <c r="AS63" s="117" t="n"/>
      <c r="AT63" s="112" t="n"/>
      <c r="AU63" s="118" t="inlineStr">
        <is>
          <t>N</t>
        </is>
      </c>
      <c r="AV63" s="118" t="inlineStr">
        <is>
          <t>none</t>
        </is>
      </c>
      <c r="AW63" s="124" t="n"/>
      <c r="AX63" s="119" t="n">
        <v>17.99</v>
      </c>
      <c r="AY63" s="118" t="inlineStr">
        <is>
          <t>none</t>
        </is>
      </c>
      <c r="AZ63" s="118" t="inlineStr">
        <is>
          <t>Y</t>
        </is>
      </c>
      <c r="BA63" s="118" t="inlineStr">
        <is>
          <t>2026-10-13 23:44:01</t>
        </is>
      </c>
      <c r="BB63" s="120" t="inlineStr">
        <is>
          <t>None</t>
        </is>
      </c>
      <c r="BC63" s="125" t="n"/>
      <c r="BD63" s="121" t="n">
        <v>17.99</v>
      </c>
      <c r="BE63" s="121" t="n">
        <v>17.99</v>
      </c>
      <c r="BF63" s="110">
        <f>IF(AND(ISNUMBER(BD63),ISNUMBER(BE63),N(BD63)&gt;0),1-BE63/BD63,"")</f>
        <v/>
      </c>
      <c r="BG63" s="122" t="n">
        <v>480140</v>
      </c>
      <c r="BH63" s="122" t="n">
        <v>476236</v>
      </c>
      <c r="BI63" s="123">
        <f>IF(AND(ISNUMBER(BG63),ISNUMBER(BH63),N(BH63)&gt;0),BG63/BH63,"")</f>
        <v/>
      </c>
      <c r="BJ63" s="120" t="inlineStr">
        <is>
          <t>N</t>
        </is>
      </c>
      <c r="BK63" s="120" t="inlineStr">
        <is>
          <t>List Price $40.99</t>
        </is>
      </c>
    </row>
    <row r="64" ht="62" customHeight="1">
      <c r="A64" s="12">
        <f>_xlfn.IMAGE("https://m.media-amazon.com/images/I/91KoTfTuUFL._AC_SL1500_.jpg")</f>
        <v/>
      </c>
      <c r="B64" s="105" t="inlineStr">
        <is>
          <t>Salt Earth</t>
        </is>
      </c>
      <c r="C64" s="39" t="inlineStr">
        <is>
          <t>36"x72" Cotton Turkish Quick Dry Sand Free Beach Towel 4 Pack (Alloy) | Salt Ear</t>
        </is>
      </c>
      <c r="D64" s="105" t="inlineStr">
        <is>
          <t>Untiered</t>
        </is>
      </c>
      <c r="E64" s="134" t="inlineStr">
        <is>
          <t>Not classified</t>
        </is>
      </c>
      <c r="F64" s="105" t="n"/>
      <c r="G64" s="39" t="inlineStr">
        <is>
          <t>Not a sheet, pillowcase or comforter product; competitors are compared on price and sales only.</t>
        </is>
      </c>
      <c r="H64" s="107" t="inlineStr">
        <is>
          <t>B0GTL61VXL</t>
        </is>
      </c>
      <c r="I64" s="107" t="inlineStr">
        <is>
          <t>B0F3X5N9F3</t>
        </is>
      </c>
      <c r="J64" s="105" t="inlineStr">
        <is>
          <t>Pack of 3</t>
        </is>
      </c>
      <c r="K64" s="105" t="inlineStr">
        <is>
          <t>Olive Green, Brick, Sky Blue</t>
        </is>
      </c>
      <c r="L64" s="108" t="n"/>
      <c r="M64" s="39" t="inlineStr"/>
      <c r="N64" s="109" t="n">
        <v>23.99</v>
      </c>
      <c r="O64" s="109" t="n"/>
      <c r="P64" s="110">
        <f>IF(AND(ISNUMBER(O64),ISNUMBER(N64),N(N64)&gt;0),O64/N64-1,"")</f>
        <v/>
      </c>
      <c r="Q64" s="111">
        <f>IF(P64="","No List Price",IF(P64&lt;=0,"At/below price",IF(P64&lt;=0.12,"&lt;=12% STR zone",IF(P64&lt;=0.25,"12-25%","&gt;25% over"))))</f>
        <v/>
      </c>
      <c r="R64" s="109" t="n">
        <v>21.45</v>
      </c>
      <c r="S64" s="112">
        <f>IF(AND(ISNUMBER(N64),ISNUMBER(R64),N(R64)&gt;0),N64/R64-1,"")</f>
        <v/>
      </c>
      <c r="T64" s="39" t="inlineStr">
        <is>
          <t>vs our blended price (market data, Mar 2026 - STALE)</t>
        </is>
      </c>
      <c r="U64" s="108" t="n">
        <v>47829</v>
      </c>
      <c r="V64" s="108" t="n">
        <v>18</v>
      </c>
      <c r="W64" s="113">
        <f>IF(AND(ISNUMBER(N64),ISNUMBER(V64)),N64*V64*52/12,"")</f>
        <v/>
      </c>
      <c r="X64" s="114" t="n">
        <v>4.4</v>
      </c>
      <c r="Y64" s="108" t="n">
        <v>488</v>
      </c>
      <c r="Z64" s="115" t="n">
        <v>46307</v>
      </c>
      <c r="AA64" s="115" t="n"/>
      <c r="AB64" s="105" t="n"/>
      <c r="AC64" s="105" t="n"/>
      <c r="AD64" s="108" t="n"/>
      <c r="AE64" s="108" t="n"/>
      <c r="AF64" s="116" t="n"/>
      <c r="AG64" s="116" t="n"/>
      <c r="AH64" s="39" t="n"/>
      <c r="AI64" s="116" t="n"/>
      <c r="AJ64" s="116" t="n"/>
      <c r="AK64" s="116" t="n"/>
      <c r="AL64" s="116" t="n"/>
      <c r="AM64" s="108" t="n"/>
      <c r="AN64" s="108" t="n"/>
      <c r="AO64" s="108" t="n"/>
      <c r="AP64" s="108" t="n"/>
      <c r="AQ64" s="108" t="n"/>
      <c r="AR64" s="108" t="n"/>
      <c r="AS64" s="117" t="n"/>
      <c r="AT64" s="112" t="n"/>
      <c r="AU64" s="118" t="inlineStr">
        <is>
          <t>N</t>
        </is>
      </c>
      <c r="AV64" s="118" t="inlineStr">
        <is>
          <t>none</t>
        </is>
      </c>
      <c r="AW64" s="124" t="n"/>
      <c r="AX64" s="119" t="n">
        <v>21.59</v>
      </c>
      <c r="AY64" s="118" t="inlineStr">
        <is>
          <t>none</t>
        </is>
      </c>
      <c r="AZ64" s="118" t="inlineStr">
        <is>
          <t>Y</t>
        </is>
      </c>
      <c r="BA64" s="118" t="inlineStr">
        <is>
          <t>2026-10-13 23:42:56</t>
        </is>
      </c>
      <c r="BB64" s="120" t="inlineStr">
        <is>
          <t>Prime Exclusive Discount</t>
        </is>
      </c>
      <c r="BC64" s="120" t="inlineStr">
        <is>
          <t>11-20 to 12-01</t>
        </is>
      </c>
      <c r="BD64" s="121" t="n">
        <v>18.54</v>
      </c>
      <c r="BE64" s="121" t="n">
        <v>18.19</v>
      </c>
      <c r="BF64" s="110">
        <f>IF(AND(ISNUMBER(BD64),ISNUMBER(BE64),N(BD64)&gt;0),1-BE64/BD64,"")</f>
        <v/>
      </c>
      <c r="BG64" s="122" t="n">
        <v>54798</v>
      </c>
      <c r="BH64" s="122" t="n">
        <v>59638</v>
      </c>
      <c r="BI64" s="123">
        <f>IF(AND(ISNUMBER(BG64),ISNUMBER(BH64),N(BH64)&gt;0),BG64/BH64,"")</f>
        <v/>
      </c>
      <c r="BJ64" s="120" t="inlineStr">
        <is>
          <t>N</t>
        </is>
      </c>
      <c r="BK64" s="120" t="inlineStr">
        <is>
          <t>Buy Box RAISED in BFCM week (median $25.99 vs $18.54 before); List Price $40.99</t>
        </is>
      </c>
    </row>
    <row r="65" ht="62" customHeight="1">
      <c r="A65" s="12">
        <f>_xlfn.IMAGE("https://images-na.ssl-images-amazon.com/images/I/81O9gYOQIhL.jpg")</f>
        <v/>
      </c>
      <c r="B65" s="105" t="inlineStr">
        <is>
          <t>SUNSPUN LINENS</t>
        </is>
      </c>
      <c r="C65" s="39" t="inlineStr">
        <is>
          <t>SUNSPUN LINENS Turkish Beach Towel, 39x63in Extra Large Quick Dry Cotton Oversized Turkish Bath Towel &amp; Blanket for Adults (Aqua)</t>
        </is>
      </c>
      <c r="D65" s="105" t="inlineStr">
        <is>
          <t>Untiered</t>
        </is>
      </c>
      <c r="E65" s="134" t="inlineStr">
        <is>
          <t>Not classified</t>
        </is>
      </c>
      <c r="F65" s="105" t="n"/>
      <c r="G65" s="39" t="inlineStr">
        <is>
          <t>Not a sheet, pillowcase or comforter product; competitors are compared on price and sales only.</t>
        </is>
      </c>
      <c r="H65" s="107" t="inlineStr">
        <is>
          <t>B0CBMMBZ67</t>
        </is>
      </c>
      <c r="I65" s="107" t="inlineStr">
        <is>
          <t>B085Y7YSVZ</t>
        </is>
      </c>
      <c r="J65" s="105" t="inlineStr">
        <is>
          <t>39x63 inches</t>
        </is>
      </c>
      <c r="K65" s="105" t="inlineStr">
        <is>
          <t>Aqua</t>
        </is>
      </c>
      <c r="L65" s="108" t="n">
        <v>1</v>
      </c>
      <c r="M65" s="39" t="inlineStr"/>
      <c r="N65" s="109" t="n">
        <v>14.99</v>
      </c>
      <c r="O65" s="109" t="n"/>
      <c r="P65" s="110">
        <f>IF(AND(ISNUMBER(O65),ISNUMBER(N65),N(N65)&gt;0),O65/N65-1,"")</f>
        <v/>
      </c>
      <c r="Q65" s="111">
        <f>IF(P65="","No List Price",IF(P65&lt;=0,"At/below price",IF(P65&lt;=0.12,"&lt;=12% STR zone",IF(P65&lt;=0.25,"12-25%","&gt;25% over"))))</f>
        <v/>
      </c>
      <c r="R65" s="109" t="n">
        <v>21.45</v>
      </c>
      <c r="S65" s="112">
        <f>IF(AND(ISNUMBER(N65),ISNUMBER(R65),N(R65)&gt;0),N65/R65-1,"")</f>
        <v/>
      </c>
      <c r="T65" s="39" t="inlineStr">
        <is>
          <t>vs our blended price (market data, Mar 2026 - STALE)</t>
        </is>
      </c>
      <c r="U65" s="108" t="n">
        <v>1938053</v>
      </c>
      <c r="V65" s="108" t="n">
        <v>5</v>
      </c>
      <c r="W65" s="113">
        <f>IF(AND(ISNUMBER(N65),ISNUMBER(V65)),N65*V65*52/12,"")</f>
        <v/>
      </c>
      <c r="X65" s="114" t="n">
        <v>4.4</v>
      </c>
      <c r="Y65" s="108" t="n">
        <v>745</v>
      </c>
      <c r="Z65" s="115" t="n">
        <v>46307</v>
      </c>
      <c r="AA65" s="115" t="n">
        <v>44022</v>
      </c>
      <c r="AB65" s="105" t="inlineStr">
        <is>
          <t>FBM</t>
        </is>
      </c>
      <c r="AC65" s="105" t="inlineStr">
        <is>
          <t>N/A</t>
        </is>
      </c>
      <c r="AD65" s="108" t="n"/>
      <c r="AE65" s="108" t="n"/>
      <c r="AF65" s="116" t="n"/>
      <c r="AG65" s="116" t="n"/>
      <c r="AH65" s="39" t="n"/>
      <c r="AI65" s="116" t="n"/>
      <c r="AJ65" s="116" t="n"/>
      <c r="AK65" s="116" t="n"/>
      <c r="AL65" s="116" t="n"/>
      <c r="AM65" s="108" t="n"/>
      <c r="AN65" s="108" t="n"/>
      <c r="AO65" s="108" t="n"/>
      <c r="AP65" s="108" t="n"/>
      <c r="AQ65" s="108" t="n"/>
      <c r="AR65" s="108" t="n"/>
      <c r="AS65" s="117" t="n"/>
      <c r="AT65" s="112" t="n"/>
      <c r="AU65" s="118" t="inlineStr">
        <is>
          <t>N</t>
        </is>
      </c>
      <c r="AV65" s="118" t="inlineStr">
        <is>
          <t>none</t>
        </is>
      </c>
      <c r="AW65" s="124" t="n"/>
      <c r="AX65" s="124" t="n"/>
      <c r="AY65" s="118" t="inlineStr">
        <is>
          <t>none</t>
        </is>
      </c>
      <c r="AZ65" s="118" t="inlineStr">
        <is>
          <t>N</t>
        </is>
      </c>
      <c r="BA65" s="118" t="inlineStr">
        <is>
          <t>2026-10-13 23:42:52</t>
        </is>
      </c>
      <c r="BB65" s="120" t="inlineStr">
        <is>
          <t>Price cut only</t>
        </is>
      </c>
      <c r="BC65" s="120" t="inlineStr">
        <is>
          <t>11-26 to 12-01</t>
        </is>
      </c>
      <c r="BD65" s="121" t="n">
        <v>12.99</v>
      </c>
      <c r="BE65" s="121" t="n">
        <v>9.99</v>
      </c>
      <c r="BF65" s="110">
        <f>IF(AND(ISNUMBER(BD65),ISNUMBER(BE65),N(BD65)&gt;0),1-BE65/BD65,"")</f>
        <v/>
      </c>
      <c r="BG65" s="122" t="n">
        <v>1151312</v>
      </c>
      <c r="BH65" s="122" t="n">
        <v>1249444</v>
      </c>
      <c r="BI65" s="123">
        <f>IF(AND(ISNUMBER(BG65),ISNUMBER(BH65),N(BH65)&gt;0),BG65/BH65,"")</f>
        <v/>
      </c>
      <c r="BJ65" s="120" t="inlineStr">
        <is>
          <t>N</t>
        </is>
      </c>
      <c r="BK65" s="120" t="inlineStr">
        <is>
          <t>List Price $10.61</t>
        </is>
      </c>
    </row>
    <row r="66"/>
    <row r="67" ht="22" customHeight="1">
      <c r="A67" s="65" t="inlineStr">
        <is>
          <t>5 ▼</t>
        </is>
      </c>
      <c r="B67" s="66" t="inlineStr">
        <is>
          <t>WHAT THIS MEANS FOR BFCM</t>
        </is>
      </c>
      <c r="C67" s="67" t="n"/>
      <c r="D67" s="67" t="n"/>
      <c r="E67" s="67" t="n"/>
      <c r="F67" s="67" t="n"/>
      <c r="G67" s="67" t="n"/>
      <c r="H67" s="67" t="n"/>
      <c r="I67" s="67" t="n"/>
      <c r="J67" s="67" t="n"/>
      <c r="K67" s="67" t="n"/>
      <c r="L67" s="67" t="n"/>
      <c r="M67" s="67" t="n"/>
      <c r="N67" s="67" t="n"/>
      <c r="O67" s="67" t="n"/>
      <c r="P67" s="67" t="n"/>
      <c r="Q67" s="67" t="n"/>
      <c r="R67" s="67" t="n"/>
      <c r="S67" s="67" t="n"/>
      <c r="T67" s="67" t="n"/>
      <c r="U67" s="67" t="n"/>
      <c r="V67" s="67" t="n"/>
      <c r="W67" s="67" t="n"/>
      <c r="X67" s="67" t="n"/>
      <c r="Y67" s="67" t="n"/>
      <c r="Z67" s="67" t="n"/>
      <c r="AA67" s="67" t="n"/>
      <c r="AB67" s="67" t="n"/>
      <c r="AC67" s="67" t="n"/>
      <c r="AD67" s="67" t="n"/>
      <c r="AE67" s="67" t="n"/>
      <c r="AF67" s="67" t="n"/>
      <c r="AG67" s="67" t="n"/>
      <c r="AH67" s="67" t="n"/>
      <c r="AI67" s="67" t="n"/>
      <c r="AJ67" s="67" t="n"/>
      <c r="AK67" s="67" t="n"/>
      <c r="AL67" s="67" t="n"/>
      <c r="AM67" s="67" t="n"/>
      <c r="AN67" s="67" t="n"/>
      <c r="AO67" s="67" t="n"/>
      <c r="AP67" s="67" t="n"/>
      <c r="AQ67" s="67" t="n"/>
      <c r="AR67" s="67" t="n"/>
      <c r="AS67" s="67" t="n"/>
      <c r="AT67" s="67" t="n"/>
      <c r="AU67" s="67" t="n"/>
      <c r="AV67" s="67" t="n"/>
      <c r="AW67" s="67" t="n"/>
      <c r="AX67" s="67" t="n"/>
      <c r="AY67" s="67" t="n"/>
      <c r="AZ67" s="67" t="n"/>
      <c r="BA67" s="67" t="n"/>
      <c r="BB67" s="67" t="n"/>
      <c r="BC67" s="67" t="n"/>
      <c r="BD67" s="67" t="n"/>
      <c r="BE67" s="67" t="n"/>
      <c r="BF67" s="67" t="n"/>
      <c r="BG67" s="67" t="n"/>
      <c r="BH67" s="67" t="n"/>
      <c r="BI67" s="67" t="n"/>
      <c r="BJ67" s="67" t="n"/>
      <c r="BK67" s="67" t="n"/>
    </row>
    <row r="68" ht="30" customHeight="1">
      <c r="A68" s="129" t="inlineStr">
        <is>
          <t>• Who sells most: WETCAT ~81/wk at $23.99; Salt Earth ~18/wk at $23.99; Mebien touche de la nature ~5/wk at $14.40 (List $19.99, +39%); Nature Is Gift ~5/wk at $13.99 (List $17.99, +29%); SMYRNA TURKISH COTTON ~5/wk at $7.99. Tracked rivals ~154 units/wk; we sell ~0/wk (0.3% of the tracked set).</t>
        </is>
      </c>
    </row>
    <row r="69" ht="18" customHeight="1">
      <c r="A69" s="129" t="inlineStr">
        <is>
          <t>• Strikethrough: 2 of 13 rivals set a List Price above price; 0 within 12%.</t>
        </is>
      </c>
    </row>
    <row r="70" ht="30" customHeight="1">
      <c r="A70" s="129" t="inlineStr">
        <is>
          <t>• Price: 10 of 13 rivals sit below our price today (same size where the title states one). Cheapest strong rivals: SMYRNA TURKISH COTTON $7.99, Nature Is Gift $13.99, Mebien touche de la nature $14.40, Casamollis $14.99.</t>
        </is>
      </c>
    </row>
    <row r="71" ht="18" customHeight="1">
      <c r="A71" s="129" t="inlineStr">
        <is>
          <t>• Strikethrough on the page today (Oct 13 check): 1 of 13 checked rivals show one: Nature Is Gift List Price $17.99 vs $13.99 (+29%).</t>
        </is>
      </c>
    </row>
    <row r="72" ht="30" customHeight="1">
      <c r="A72" s="129" t="inlineStr">
        <is>
          <t>• BFCM 2025, 13 rivals with price history history: Prime Exclusive Discount 5, None 4, Price cut only 3, Lightning Deal 1. Median depth vs their Nov 1-19 price 20%; median BSR lift 1.03x. 2 raised their Buy Box in BFCM week, so their deal looked deeper than it was.</t>
        </is>
      </c>
    </row>
  </sheetData>
  <autoFilter ref="B52:BK65"/>
  <mergeCells count="60">
    <mergeCell ref="A41:C41"/>
    <mergeCell ref="A37:C37"/>
    <mergeCell ref="L5:Q5"/>
    <mergeCell ref="A51:K51"/>
    <mergeCell ref="Q11:T11"/>
    <mergeCell ref="A45:BK45"/>
    <mergeCell ref="L8:Q8"/>
    <mergeCell ref="A70:BK70"/>
    <mergeCell ref="AD51:AT51"/>
    <mergeCell ref="L4:Q4"/>
    <mergeCell ref="D7:I7"/>
    <mergeCell ref="A13:D13"/>
    <mergeCell ref="I13:L13"/>
    <mergeCell ref="A42:C42"/>
    <mergeCell ref="A69:BK69"/>
    <mergeCell ref="D4:I4"/>
    <mergeCell ref="L10:Q10"/>
    <mergeCell ref="E12:H12"/>
    <mergeCell ref="Q13:T13"/>
    <mergeCell ref="A46:BK46"/>
    <mergeCell ref="D9:I9"/>
    <mergeCell ref="U12:X12"/>
    <mergeCell ref="L9:Q9"/>
    <mergeCell ref="Q12:T12"/>
    <mergeCell ref="A11:D11"/>
    <mergeCell ref="A35:C35"/>
    <mergeCell ref="I11:L11"/>
    <mergeCell ref="D8:I8"/>
    <mergeCell ref="L6:Q6"/>
    <mergeCell ref="A4:B9"/>
    <mergeCell ref="AU51:BA51"/>
    <mergeCell ref="AA51:AC51"/>
    <mergeCell ref="T6:Y6"/>
    <mergeCell ref="N51:Z51"/>
    <mergeCell ref="A71:BK71"/>
    <mergeCell ref="D5:I5"/>
    <mergeCell ref="A47:BK47"/>
    <mergeCell ref="A40:C40"/>
    <mergeCell ref="M11:P11"/>
    <mergeCell ref="U11:X11"/>
    <mergeCell ref="A34:C34"/>
    <mergeCell ref="A39:C39"/>
    <mergeCell ref="E13:H13"/>
    <mergeCell ref="D10:I10"/>
    <mergeCell ref="L7:Q7"/>
    <mergeCell ref="T5:Y5"/>
    <mergeCell ref="A36:C36"/>
    <mergeCell ref="BB51:BK51"/>
    <mergeCell ref="A43:BK43"/>
    <mergeCell ref="A72:BK72"/>
    <mergeCell ref="A12:D12"/>
    <mergeCell ref="M13:P13"/>
    <mergeCell ref="I12:L12"/>
    <mergeCell ref="U13:X13"/>
    <mergeCell ref="A68:BK68"/>
    <mergeCell ref="M12:P12"/>
    <mergeCell ref="A44:BK44"/>
    <mergeCell ref="T4:Y4"/>
    <mergeCell ref="D6:I6"/>
    <mergeCell ref="E11:H11"/>
  </mergeCells>
  <conditionalFormatting sqref="Q53:Q65">
    <cfRule type="expression" priority="1" dxfId="1">
      <formula>Q53="&lt;=12% STR zone"</formula>
    </cfRule>
  </conditionalFormatting>
  <conditionalFormatting sqref="Z53:Z65">
    <cfRule type="expression" priority="2" dxfId="0">
      <formula>AND(ISNUMBER(Z53),Z53&lt;DATE(2026,10,6))</formula>
    </cfRule>
  </conditionalFormatting>
  <conditionalFormatting sqref="T53:T65">
    <cfRule type="expression" priority="3" dxfId="0">
      <formula>ISNUMBER(SEARCH("STALE",T53))</formula>
    </cfRule>
  </conditionalFormatting>
  <conditionalFormatting sqref="S53:S65">
    <cfRule type="expression" priority="4" dxfId="0">
      <formula>AND(ISNUMBER(S53),S53&lt;0)</formula>
    </cfRule>
  </conditionalFormatting>
  <dataValidations count="3">
    <dataValidation sqref="AU53:AU65 BJ53:BJ65" showDropDown="0" showInputMessage="0" showErrorMessage="0" allowBlank="1" type="list">
      <formula1>"Y,N"</formula1>
    </dataValidation>
    <dataValidation sqref="AV53:AV65" showDropDown="0" showInputMessage="0" showErrorMessage="0" allowBlank="1" type="list">
      <formula1>"List Price,Typical price,Was price,None"</formula1>
    </dataValidation>
    <dataValidation sqref="BB53:BB65"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Beach Towel'!A3" display="1 Our product ↓"/>
    <hyperlink ref="D2" location="'US DC Beach Towel'!A15" display="2 Our variations ↓"/>
    <hyperlink ref="E2" location="'US DC Beach Towel'!A33" display="3 Our BFCM 2025 ↓"/>
    <hyperlink ref="F2" location="'US DC Beach Towel'!A49" display="4 COMPETITORS (13 mapped) ↓"/>
    <hyperlink ref="G2" location="'US DC Beach Towel'!A67" display="5 What it means ↓"/>
    <hyperlink xmlns:r="http://schemas.openxmlformats.org/officeDocument/2006/relationships" ref="H53" r:id="rId1"/>
    <hyperlink xmlns:r="http://schemas.openxmlformats.org/officeDocument/2006/relationships" ref="I53" r:id="rId2"/>
    <hyperlink xmlns:r="http://schemas.openxmlformats.org/officeDocument/2006/relationships" ref="H54" r:id="rId3"/>
    <hyperlink xmlns:r="http://schemas.openxmlformats.org/officeDocument/2006/relationships" ref="I54" r:id="rId4"/>
    <hyperlink xmlns:r="http://schemas.openxmlformats.org/officeDocument/2006/relationships" ref="H55" r:id="rId5"/>
    <hyperlink xmlns:r="http://schemas.openxmlformats.org/officeDocument/2006/relationships" ref="I55" r:id="rId6"/>
    <hyperlink xmlns:r="http://schemas.openxmlformats.org/officeDocument/2006/relationships" ref="H56" r:id="rId7"/>
    <hyperlink xmlns:r="http://schemas.openxmlformats.org/officeDocument/2006/relationships" ref="I56" r:id="rId8"/>
    <hyperlink xmlns:r="http://schemas.openxmlformats.org/officeDocument/2006/relationships" ref="H57" r:id="rId9"/>
    <hyperlink xmlns:r="http://schemas.openxmlformats.org/officeDocument/2006/relationships" ref="I57" r:id="rId10"/>
    <hyperlink xmlns:r="http://schemas.openxmlformats.org/officeDocument/2006/relationships" ref="H58" r:id="rId11"/>
    <hyperlink xmlns:r="http://schemas.openxmlformats.org/officeDocument/2006/relationships" ref="I58" r:id="rId12"/>
    <hyperlink xmlns:r="http://schemas.openxmlformats.org/officeDocument/2006/relationships" ref="H59" r:id="rId13"/>
    <hyperlink xmlns:r="http://schemas.openxmlformats.org/officeDocument/2006/relationships" ref="I59" r:id="rId14"/>
    <hyperlink xmlns:r="http://schemas.openxmlformats.org/officeDocument/2006/relationships" ref="H60" r:id="rId15"/>
    <hyperlink xmlns:r="http://schemas.openxmlformats.org/officeDocument/2006/relationships" ref="I60" r:id="rId16"/>
    <hyperlink xmlns:r="http://schemas.openxmlformats.org/officeDocument/2006/relationships" ref="H61" r:id="rId17"/>
    <hyperlink xmlns:r="http://schemas.openxmlformats.org/officeDocument/2006/relationships" ref="I61" r:id="rId18"/>
    <hyperlink xmlns:r="http://schemas.openxmlformats.org/officeDocument/2006/relationships" ref="H62" r:id="rId19"/>
    <hyperlink xmlns:r="http://schemas.openxmlformats.org/officeDocument/2006/relationships" ref="I62" r:id="rId20"/>
    <hyperlink xmlns:r="http://schemas.openxmlformats.org/officeDocument/2006/relationships" ref="H63" r:id="rId21"/>
    <hyperlink xmlns:r="http://schemas.openxmlformats.org/officeDocument/2006/relationships" ref="I63" r:id="rId22"/>
    <hyperlink xmlns:r="http://schemas.openxmlformats.org/officeDocument/2006/relationships" ref="H64" r:id="rId23"/>
    <hyperlink xmlns:r="http://schemas.openxmlformats.org/officeDocument/2006/relationships" ref="I64" r:id="rId24"/>
    <hyperlink xmlns:r="http://schemas.openxmlformats.org/officeDocument/2006/relationships" ref="H65" r:id="rId25"/>
    <hyperlink xmlns:r="http://schemas.openxmlformats.org/officeDocument/2006/relationships" ref="I65" r:id="rId26"/>
  </hyperlink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9DC3E6"/>
    <outlinePr summaryBelow="1" summaryRight="1"/>
    <pageSetUpPr/>
  </sheetPr>
  <dimension ref="A1:BK71"/>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Front Door Welcome Sign · Amazon.com (US) · Other · BFCM role: Other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(17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_xlfn.IMAGE("https://images-na.ssl-images-amazon.com/images/I/71PaUaKaW9L.jpg")</f>
        <v/>
      </c>
      <c r="C4" s="13" t="inlineStr">
        <is>
          <t>Title</t>
        </is>
      </c>
      <c r="D4" s="14" t="inlineStr">
        <is>
          <t>DECOLURE Welcome Sign for Front Porch - Tall Solid Wood Porch Door Sign with 10 Magnetic Seasonal &amp; Holiday Pieces, Rustic Farmhouse Outdoor Decor for Year Round Welcoming Entryway (Porch Brown)</t>
        </is>
      </c>
      <c r="K4" s="13" t="inlineStr">
        <is>
          <t>Sizes</t>
        </is>
      </c>
      <c r="L4" s="68" t="inlineStr">
        <is>
          <t>One Size</t>
        </is>
      </c>
      <c r="S4" s="13" t="inlineStr">
        <is>
          <t>Break-even ACoS</t>
        </is>
      </c>
      <c r="T4" s="68" t="inlineStr">
        <is>
          <t>3%</t>
        </is>
      </c>
    </row>
    <row r="5" ht="22" customHeight="1">
      <c r="C5" s="13" t="inlineStr">
        <is>
          <t>Brand</t>
        </is>
      </c>
      <c r="D5" s="68" t="inlineStr">
        <is>
          <t>Decolure</t>
        </is>
      </c>
      <c r="K5" s="13" t="inlineStr">
        <is>
          <t>Colours</t>
        </is>
      </c>
      <c r="L5" s="68" t="inlineStr">
        <is>
          <t>Black, Brown, Dark Brown, Midnight Black, Modern Black, Saddle Brown, Wood Brown</t>
        </is>
      </c>
      <c r="S5" s="13" t="inlineStr">
        <is>
          <t>Units last 28 days</t>
        </is>
      </c>
      <c r="T5" s="68" t="inlineStr">
        <is>
          <t>2</t>
        </is>
      </c>
    </row>
    <row r="6" ht="22" customHeight="1">
      <c r="C6" s="13" t="inlineStr">
        <is>
          <t>Marketplace</t>
        </is>
      </c>
      <c r="D6" s="68" t="inlineStr">
        <is>
          <t>Amazon.com (US)</t>
        </is>
      </c>
      <c r="K6" s="13" t="inlineStr">
        <is>
          <t>Price now, best child</t>
        </is>
      </c>
      <c r="L6" s="68" t="inlineStr">
        <is>
          <t>Not checked yet -</t>
        </is>
      </c>
      <c r="S6" s="13" t="inlineStr">
        <is>
          <t>market data product ASIN</t>
        </is>
      </c>
      <c r="T6" s="68" t="inlineStr">
        <is>
          <t>B0DQ83G9MC (one of our child ASINs, not the Amazon parent)</t>
        </is>
      </c>
    </row>
    <row r="7" ht="22" customHeight="1">
      <c r="C7" s="13" t="inlineStr">
        <is>
          <t>Parent ASIN (Amazon)</t>
        </is>
      </c>
      <c r="D7" s="68" t="inlineStr">
        <is>
          <t>B0H1N61MK6</t>
        </is>
      </c>
      <c r="K7" s="13" t="inlineStr">
        <is>
          <t>Rating / reviews now</t>
        </is>
      </c>
      <c r="L7" s="68" t="inlineStr">
        <is>
          <t>Not checked yet</t>
        </is>
      </c>
    </row>
    <row r="8" ht="22" customHeight="1">
      <c r="C8" s="13" t="inlineStr">
        <is>
          <t>Best-selling child ASIN</t>
        </is>
      </c>
      <c r="D8" s="68" t="inlineStr">
        <is>
          <t>B0DQ84FD76</t>
        </is>
      </c>
      <c r="K8" s="13" t="inlineStr">
        <is>
          <t>Live prices held</t>
        </is>
      </c>
      <c r="L8" s="68" t="inlineStr">
        <is>
          <t>0 of 7 variations</t>
        </is>
      </c>
    </row>
    <row r="9" ht="22" customHeight="1">
      <c r="C9" s="13" t="inlineStr">
        <is>
          <t>Stage</t>
        </is>
      </c>
      <c r="D9" s="68" t="inlineStr">
        <is>
          <t>Liquidation</t>
        </is>
      </c>
      <c r="K9" s="13" t="inlineStr">
        <is>
          <t>Blended price (market data)</t>
        </is>
      </c>
      <c r="L9" s="68" t="inlineStr">
        <is>
          <t>$37.95 - fee feed as of 2026-03-30, STALE</t>
        </is>
      </c>
    </row>
    <row r="10">
      <c r="C10" s="13" t="inlineStr">
        <is>
          <t>Total variations (SKUs)</t>
        </is>
      </c>
      <c r="D10" s="68" t="n">
        <v>7</v>
      </c>
      <c r="K10" s="13" t="inlineStr">
        <is>
          <t>Contribution / unit</t>
        </is>
      </c>
      <c r="L10" s="68" t="inlineStr">
        <is>
          <t>$1.31</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n/a</t>
        </is>
      </c>
      <c r="E12" s="70" t="inlineStr">
        <is>
          <t>n/a</t>
        </is>
      </c>
      <c r="I12" s="70" t="inlineStr">
        <is>
          <t>n/a</t>
        </is>
      </c>
      <c r="M12" s="70" t="inlineStr">
        <is>
          <t>17</t>
        </is>
      </c>
      <c r="Q12" s="70" t="inlineStr">
        <is>
          <t>12</t>
        </is>
      </c>
      <c r="U12" s="70" t="inlineStr">
        <is>
          <t>1</t>
        </is>
      </c>
    </row>
    <row r="13">
      <c r="A13" s="71" t="inlineStr">
        <is>
          <t>no data</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(7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_xlfn.IMAGE("https://m.media-amazon.com/images/I/81ibaKJbtXL.jpg")</f>
        <v/>
      </c>
      <c r="B18" s="39" t="inlineStr">
        <is>
          <t>B0DQ83G9MC</t>
        </is>
      </c>
      <c r="C18" s="39" t="inlineStr">
        <is>
          <t>WELCOME-SIGN-FRONT-PORCH-BLACK</t>
        </is>
      </c>
      <c r="D18" s="39" t="inlineStr">
        <is>
          <t>DECOLURE Welcome Sign for Front Porch - Tall Solid Wood Porch Door Sign with 10 Magnetic Seasonal &amp; Holiday Pieces, Rustic Farmhouse Outdoor Decor for Year Round Welcoming Entryway (Porch Black)</t>
        </is>
      </c>
      <c r="E18" s="39" t="inlineStr">
        <is>
          <t>One Size</t>
        </is>
      </c>
      <c r="F18" s="39" t="inlineStr">
        <is>
          <t>Black</t>
        </is>
      </c>
      <c r="G18" s="40" t="n"/>
      <c r="H18" s="39" t="n"/>
      <c r="I18" s="74" t="n">
        <v>37.95</v>
      </c>
      <c r="J18" s="75" t="inlineStr">
        <is>
          <t>2026-03-30</t>
        </is>
      </c>
      <c r="K18" s="40" t="n">
        <v>1.490000000000006</v>
      </c>
      <c r="L18" s="76" t="n">
        <v>0.03926218708827419</v>
      </c>
      <c r="M18" s="77" t="n">
        <v>1</v>
      </c>
      <c r="N18" s="39" t="inlineStr">
        <is>
          <t>Active</t>
        </is>
      </c>
      <c r="O18" s="39" t="n"/>
      <c r="P18" s="78" t="n"/>
      <c r="Q18" s="77" t="n"/>
      <c r="R18" s="77" t="n"/>
      <c r="S18" s="77" t="n"/>
      <c r="T18" s="39" t="n"/>
    </row>
    <row r="19" ht="62" customHeight="1">
      <c r="A19" s="12">
        <f>_xlfn.IMAGE("https://m.media-amazon.com/images/I/81ibaKJbtXL.jpg")</f>
        <v/>
      </c>
      <c r="B19" s="39" t="inlineStr">
        <is>
          <t>B0DQ84FD76</t>
        </is>
      </c>
      <c r="C19" s="39" t="inlineStr">
        <is>
          <t>WELCOME-SIGN-FRONT-PORCH-BROWN</t>
        </is>
      </c>
      <c r="D19" s="39" t="inlineStr">
        <is>
          <t>DECOLURE Welcome Sign for Front Porch - Tall Solid Wood Porch Door Sign with 10 Magnetic Seasonal &amp; Holiday Pieces, Rustic Farmhouse Outdoor Decor for Year Round Welcoming Entryway (Porch Brown)</t>
        </is>
      </c>
      <c r="E19" s="39" t="inlineStr">
        <is>
          <t>One Size</t>
        </is>
      </c>
      <c r="F19" s="39" t="inlineStr">
        <is>
          <t>Brown</t>
        </is>
      </c>
      <c r="G19" s="40" t="n"/>
      <c r="H19" s="39" t="n"/>
      <c r="I19" s="74" t="n">
        <v>37.95</v>
      </c>
      <c r="J19" s="75" t="inlineStr">
        <is>
          <t>2026-03-30</t>
        </is>
      </c>
      <c r="K19" s="40" t="n">
        <v>1.130000000000003</v>
      </c>
      <c r="L19" s="76" t="n">
        <v>0.02977602108036897</v>
      </c>
      <c r="M19" s="77" t="n">
        <v>1</v>
      </c>
      <c r="N19" s="39" t="inlineStr">
        <is>
          <t>Inactive</t>
        </is>
      </c>
      <c r="O19" s="39" t="n"/>
      <c r="P19" s="78" t="n"/>
      <c r="Q19" s="77" t="n"/>
      <c r="R19" s="77" t="n"/>
      <c r="S19" s="77" t="n"/>
      <c r="T19" s="39" t="n"/>
    </row>
    <row r="20" ht="62" customHeight="1">
      <c r="A20" s="12">
        <f>_xlfn.IMAGE("https://m.media-amazon.com/images/I/81ibaKJbtXL.jpg")</f>
        <v/>
      </c>
      <c r="B20" s="39" t="inlineStr">
        <is>
          <t>B0DQ81HZ4X</t>
        </is>
      </c>
      <c r="C20" s="39" t="inlineStr">
        <is>
          <t>WELCOME-SIGN-FRONT-PORCH-DARK-BROWN</t>
        </is>
      </c>
      <c r="D20" s="39" t="inlineStr">
        <is>
          <t>DECOLURE Welcome Sign for Front Porch - Tall Solid Wood Porch Door Sign with 10 Magnetic Seasonal &amp; Holiday Pieces, Rustic Farmhouse Outdoor Decor for Year Round Welcoming Entryway (Dark Brown)</t>
        </is>
      </c>
      <c r="E20" s="39" t="inlineStr">
        <is>
          <t>One Size</t>
        </is>
      </c>
      <c r="F20" s="39" t="inlineStr">
        <is>
          <t>Dark Brown</t>
        </is>
      </c>
      <c r="G20" s="40" t="n"/>
      <c r="H20" s="39" t="n"/>
      <c r="I20" s="74" t="n">
        <v>37.95</v>
      </c>
      <c r="J20" s="75" t="inlineStr">
        <is>
          <t>2026-03-30</t>
        </is>
      </c>
      <c r="K20" s="40" t="n"/>
      <c r="L20" s="76" t="n"/>
      <c r="M20" s="77" t="n"/>
      <c r="N20" s="39" t="inlineStr">
        <is>
          <t>Inactive</t>
        </is>
      </c>
      <c r="O20" s="39" t="n"/>
      <c r="P20" s="78" t="n"/>
      <c r="Q20" s="77" t="n"/>
      <c r="R20" s="77" t="n"/>
      <c r="S20" s="77" t="n"/>
      <c r="T20" s="39" t="n"/>
    </row>
    <row r="21" ht="62" customHeight="1">
      <c r="A21" s="12">
        <f>_xlfn.IMAGE("https://m.media-amazon.com/images/I/81ibaKJbtXL.jpg")</f>
        <v/>
      </c>
      <c r="B21" s="39" t="inlineStr">
        <is>
          <t>B0DYFCQ9RJ</t>
        </is>
      </c>
      <c r="C21" s="39" t="inlineStr">
        <is>
          <t>WELCOME-SIGN-FRONT-MIDNIGHT-BLACK</t>
        </is>
      </c>
      <c r="D21" s="39" t="inlineStr">
        <is>
          <t>DECOLURE Welcome Sign for Front Porch - Tall Solid Wood Porch Door Sign with 10 Magnetic Seasonal &amp; Holiday Pieces, Rustic Farmhouse Outdoor Decor for Year Round Welcoming Entryway (Midnight Black)</t>
        </is>
      </c>
      <c r="E21" s="39" t="inlineStr">
        <is>
          <t>One Size</t>
        </is>
      </c>
      <c r="F21" s="39" t="inlineStr">
        <is>
          <t>Midnight Black</t>
        </is>
      </c>
      <c r="G21" s="40" t="n"/>
      <c r="H21" s="39" t="n"/>
      <c r="I21" s="40" t="n"/>
      <c r="J21" s="39" t="n"/>
      <c r="K21" s="40" t="n"/>
      <c r="L21" s="76" t="n"/>
      <c r="M21" s="77" t="n"/>
      <c r="N21" s="39" t="inlineStr">
        <is>
          <t>Inactive</t>
        </is>
      </c>
      <c r="O21" s="39" t="n"/>
      <c r="P21" s="78" t="n"/>
      <c r="Q21" s="77" t="n"/>
      <c r="R21" s="77" t="n"/>
      <c r="S21" s="77" t="n"/>
      <c r="T21" s="39" t="n"/>
    </row>
    <row r="22" ht="62" customHeight="1">
      <c r="A22" s="12">
        <f>_xlfn.IMAGE("https://m.media-amazon.com/images/I/71HdkzedCoL.jpg")</f>
        <v/>
      </c>
      <c r="B22" s="39" t="inlineStr">
        <is>
          <t>B0DQ84NH4D</t>
        </is>
      </c>
      <c r="C22" s="39" t="inlineStr">
        <is>
          <t>WELCOME-SIGN-FRONT-PORCH-MODERN-BLACK</t>
        </is>
      </c>
      <c r="D22" s="39" t="inlineStr">
        <is>
          <t>DECOLURE Welcome Sign for Front Porch - Tall Solid Wood Porch Door Sign with 10 Magnetic Seasonal &amp; Holiday Pieces, Rustic Farmhouse Outdoor Decor for Year Round Welcoming Entryway (Modern Black)</t>
        </is>
      </c>
      <c r="E22" s="39" t="inlineStr">
        <is>
          <t>One Size</t>
        </is>
      </c>
      <c r="F22" s="39" t="inlineStr">
        <is>
          <t>Modern Black</t>
        </is>
      </c>
      <c r="G22" s="40" t="n"/>
      <c r="H22" s="39" t="n"/>
      <c r="I22" s="74" t="n">
        <v>32.95</v>
      </c>
      <c r="J22" s="75" t="inlineStr">
        <is>
          <t>2026-03-30</t>
        </is>
      </c>
      <c r="K22" s="40" t="n"/>
      <c r="L22" s="76" t="n"/>
      <c r="M22" s="77" t="n">
        <v>0</v>
      </c>
      <c r="N22" s="39" t="inlineStr">
        <is>
          <t>Active</t>
        </is>
      </c>
      <c r="O22" s="39" t="n"/>
      <c r="P22" s="78" t="n"/>
      <c r="Q22" s="77" t="n"/>
      <c r="R22" s="77" t="n"/>
      <c r="S22" s="77" t="n"/>
      <c r="T22" s="39" t="n"/>
    </row>
    <row r="23" ht="62" customHeight="1">
      <c r="A23" s="12">
        <f>_xlfn.IMAGE("https://m.media-amazon.com/images/I/71pZ-yRxSuL.jpg")</f>
        <v/>
      </c>
      <c r="B23" s="39" t="inlineStr">
        <is>
          <t>B0DQ81GKN2</t>
        </is>
      </c>
      <c r="C23" s="39" t="inlineStr">
        <is>
          <t>WELCOME-SIGN-FRONT-PORCH-SADDLE-BROWN</t>
        </is>
      </c>
      <c r="D23" s="39" t="inlineStr">
        <is>
          <t>DECOLURE Welcome Sign for Front Porch - Tall Solid Wood Porch Door Sign with 10 Magnetic Seasonal &amp; Holiday Pieces, Rustic Farmhouse Outdoor Decor for Year Round Welcoming Entryway (Saddle Brown)</t>
        </is>
      </c>
      <c r="E23" s="39" t="inlineStr">
        <is>
          <t>One Size</t>
        </is>
      </c>
      <c r="F23" s="39" t="inlineStr">
        <is>
          <t>Saddle Brown</t>
        </is>
      </c>
      <c r="G23" s="40" t="n"/>
      <c r="H23" s="39" t="n"/>
      <c r="I23" s="74" t="n">
        <v>32.95</v>
      </c>
      <c r="J23" s="75" t="inlineStr">
        <is>
          <t>2026-03-30</t>
        </is>
      </c>
      <c r="K23" s="40" t="n"/>
      <c r="L23" s="76" t="n"/>
      <c r="M23" s="77" t="n">
        <v>0</v>
      </c>
      <c r="N23" s="39" t="inlineStr">
        <is>
          <t>Active</t>
        </is>
      </c>
      <c r="O23" s="39" t="n"/>
      <c r="P23" s="78" t="n"/>
      <c r="Q23" s="77" t="n"/>
      <c r="R23" s="77" t="n"/>
      <c r="S23" s="77" t="n"/>
      <c r="T23" s="39" t="n"/>
    </row>
    <row r="24" ht="62" customHeight="1">
      <c r="A24" s="12">
        <f>_xlfn.IMAGE("https://m.media-amazon.com/images/I/81ibaKJbtXL.jpg")</f>
        <v/>
      </c>
      <c r="B24" s="39" t="inlineStr">
        <is>
          <t>B0DYFCR4SS</t>
        </is>
      </c>
      <c r="C24" s="39" t="inlineStr">
        <is>
          <t>WELCOME-SIGN-FRONT-PORCH-WOOD-BROWN</t>
        </is>
      </c>
      <c r="D24" s="39" t="inlineStr">
        <is>
          <t>DECOLURE Welcome Sign for Front Porch - Tall Solid Wood Porch Door Sign with 10 Magnetic Seasonal &amp; Holiday Pieces, Rustic Farmhouse Outdoor Decor for Year Round Welcoming Entryway (Wood Brown)</t>
        </is>
      </c>
      <c r="E24" s="39" t="inlineStr">
        <is>
          <t>One Size</t>
        </is>
      </c>
      <c r="F24" s="39" t="inlineStr">
        <is>
          <t>Wood Brown</t>
        </is>
      </c>
      <c r="G24" s="40" t="n"/>
      <c r="H24" s="39" t="n"/>
      <c r="I24" s="40" t="n"/>
      <c r="J24" s="39" t="n"/>
      <c r="K24" s="40" t="n"/>
      <c r="L24" s="76" t="n"/>
      <c r="M24" s="77" t="n"/>
      <c r="N24" s="39" t="inlineStr">
        <is>
          <t>Inactive</t>
        </is>
      </c>
      <c r="O24" s="39" t="n"/>
      <c r="P24" s="78" t="n"/>
      <c r="Q24" s="77" t="n"/>
      <c r="R24" s="77" t="n"/>
      <c r="S24" s="77" t="n"/>
      <c r="T24" s="39" t="n"/>
    </row>
    <row r="25"/>
    <row r="26" ht="22" customHeight="1">
      <c r="A26" s="65" t="inlineStr">
        <is>
          <t>3 ▼</t>
        </is>
      </c>
      <c r="B26" s="66" t="inlineStr">
        <is>
          <t>OUR BFCM 2025 RESULT &amp; EVENT VISIBILITY</t>
        </is>
      </c>
      <c r="C26" s="67" t="n"/>
      <c r="D26" s="67" t="n"/>
      <c r="E26" s="67" t="n"/>
      <c r="F26" s="67" t="n"/>
      <c r="G26" s="67" t="n"/>
      <c r="H26" s="67" t="n"/>
      <c r="I26" s="67" t="n"/>
      <c r="J26" s="67" t="n"/>
      <c r="K26" s="67" t="n"/>
      <c r="L26" s="67" t="n"/>
      <c r="M26" s="67" t="n"/>
      <c r="N26" s="67" t="n"/>
      <c r="O26" s="67" t="n"/>
      <c r="P26" s="67" t="n"/>
      <c r="Q26" s="67" t="n"/>
      <c r="R26" s="67" t="n"/>
      <c r="S26" s="67" t="n"/>
      <c r="T26" s="67" t="n"/>
      <c r="U26" s="67" t="n"/>
      <c r="V26" s="67" t="n"/>
      <c r="W26" s="67" t="n"/>
      <c r="X26" s="67" t="n"/>
      <c r="Y26" s="67" t="n"/>
      <c r="Z26" s="67" t="n"/>
      <c r="AA26" s="67" t="n"/>
      <c r="AB26" s="67" t="n"/>
      <c r="AC26" s="67" t="n"/>
      <c r="AD26" s="67" t="n"/>
      <c r="AE26" s="67" t="n"/>
      <c r="AF26" s="67" t="n"/>
      <c r="AG26" s="67" t="n"/>
      <c r="AH26" s="67" t="n"/>
      <c r="AI26" s="67" t="n"/>
      <c r="AJ26" s="67" t="n"/>
      <c r="AK26" s="67" t="n"/>
      <c r="AL26" s="67" t="n"/>
      <c r="AM26" s="67" t="n"/>
      <c r="AN26" s="67" t="n"/>
      <c r="AO26" s="67" t="n"/>
      <c r="AP26" s="67" t="n"/>
      <c r="AQ26" s="67" t="n"/>
      <c r="AR26" s="67" t="n"/>
      <c r="AS26" s="67" t="n"/>
      <c r="AT26" s="67" t="n"/>
      <c r="AU26" s="67" t="n"/>
      <c r="AV26" s="67" t="n"/>
      <c r="AW26" s="67" t="n"/>
      <c r="AX26" s="67" t="n"/>
      <c r="AY26" s="67" t="n"/>
      <c r="AZ26" s="67" t="n"/>
      <c r="BA26" s="67" t="n"/>
      <c r="BB26" s="67" t="n"/>
      <c r="BC26" s="67" t="n"/>
      <c r="BD26" s="67" t="n"/>
      <c r="BE26" s="67" t="n"/>
      <c r="BF26" s="67" t="n"/>
      <c r="BG26" s="67" t="n"/>
      <c r="BH26" s="67" t="n"/>
      <c r="BI26" s="67" t="n"/>
      <c r="BJ26" s="67" t="n"/>
      <c r="BK26" s="67" t="n"/>
    </row>
    <row r="27">
      <c r="A27" s="80" t="inlineStr">
        <is>
          <t>Window</t>
        </is>
      </c>
      <c r="B27" s="81" t="n"/>
      <c r="C27" s="82" t="n"/>
      <c r="D27" s="80" t="inlineStr">
        <is>
          <t>Ad spend</t>
        </is>
      </c>
      <c r="E27" s="80" t="inlineStr">
        <is>
          <t>Ad sales</t>
        </is>
      </c>
      <c r="F27" s="80" t="inlineStr">
        <is>
          <t>ACoS</t>
        </is>
      </c>
      <c r="G27" s="80" t="inlineStr">
        <is>
          <t>TACoS</t>
        </is>
      </c>
      <c r="H27" s="80" t="inlineStr">
        <is>
          <t>Total sales (derived)</t>
        </is>
      </c>
      <c r="J27" s="80" t="inlineStr">
        <is>
          <t>Ad orders</t>
        </is>
      </c>
      <c r="K27" s="80" t="inlineStr">
        <is>
          <t>CVR</t>
        </is>
      </c>
    </row>
    <row r="28">
      <c r="A28" s="83" t="inlineStr">
        <is>
          <t>Pre-event Oct 21 - Nov 19, 2025 (30d)</t>
        </is>
      </c>
      <c r="B28" s="81" t="n"/>
      <c r="C28" s="82" t="n"/>
      <c r="D28" s="84" t="n"/>
      <c r="E28" s="84" t="n"/>
      <c r="F28" s="85" t="n"/>
      <c r="G28" s="85" t="n"/>
      <c r="H28" s="84" t="n"/>
      <c r="J28" s="86" t="n"/>
      <c r="K28" s="87" t="n"/>
    </row>
    <row r="29">
      <c r="A29" s="83" t="inlineStr">
        <is>
          <t>BFCM week Nov 20 - Dec 1, 2025 (12d)</t>
        </is>
      </c>
      <c r="B29" s="81" t="n"/>
      <c r="C29" s="82" t="n"/>
      <c r="D29" s="84" t="n"/>
      <c r="E29" s="84" t="n"/>
      <c r="F29" s="85" t="n"/>
      <c r="G29" s="85" t="n"/>
      <c r="H29" s="84" t="n"/>
      <c r="J29" s="86" t="n"/>
      <c r="K29" s="87" t="n"/>
    </row>
    <row r="30">
      <c r="A30" s="83" t="inlineStr">
        <is>
          <t>December 2 - 31, 2025 (30d)</t>
        </is>
      </c>
      <c r="B30" s="81" t="n"/>
      <c r="C30" s="82" t="n"/>
      <c r="D30" s="84" t="n"/>
      <c r="E30" s="84" t="n"/>
      <c r="F30" s="85" t="n"/>
      <c r="G30" s="85" t="n"/>
      <c r="H30" s="84" t="n"/>
      <c r="J30" s="86" t="n"/>
      <c r="K30" s="87" t="n"/>
    </row>
    <row r="31"/>
    <row r="32">
      <c r="A32" s="80" t="inlineStr">
        <is>
          <t>Actual sales (account data)</t>
        </is>
      </c>
      <c r="B32" s="81" t="n"/>
      <c r="C32" s="82" t="n"/>
      <c r="D32" s="80" t="inlineStr">
        <is>
          <t>Sales</t>
        </is>
      </c>
      <c r="E32" s="80" t="inlineStr">
        <is>
          <t>Units</t>
        </is>
      </c>
      <c r="F32" s="80" t="inlineStr">
        <is>
          <t>Organic units</t>
        </is>
      </c>
      <c r="G32" s="80" t="inlineStr">
        <is>
          <t>Ad units</t>
        </is>
      </c>
      <c r="H32" s="80" t="inlineStr">
        <is>
          <t>Ad cost</t>
        </is>
      </c>
      <c r="J32" s="80" t="inlineStr">
        <is>
          <t>TACoS (actual)</t>
        </is>
      </c>
      <c r="K32" s="80" t="inlineStr">
        <is>
          <t>Sessions</t>
        </is>
      </c>
      <c r="L32" s="80" t="inlineStr">
        <is>
          <t>Unit session %</t>
        </is>
      </c>
      <c r="M32" s="80" t="inlineStr">
        <is>
          <t>Avg price</t>
        </is>
      </c>
      <c r="N32" s="80" t="inlineStr">
        <is>
          <t>Refunds</t>
        </is>
      </c>
    </row>
    <row r="33">
      <c r="A33" s="83" t="inlineStr">
        <is>
          <t>Pre-event Oct 21 - Nov 19, 2025 (30d)</t>
        </is>
      </c>
      <c r="B33" s="81" t="n"/>
      <c r="C33" s="82" t="n"/>
      <c r="D33" s="84" t="n">
        <v>0</v>
      </c>
      <c r="E33" s="86" t="n">
        <v>0</v>
      </c>
      <c r="F33" s="86" t="n">
        <v>0</v>
      </c>
      <c r="G33" s="86" t="n">
        <v>0</v>
      </c>
      <c r="H33" s="84" t="n">
        <v>0</v>
      </c>
      <c r="J33" s="88" t="n"/>
      <c r="K33" s="86" t="n">
        <v>33</v>
      </c>
      <c r="L33" s="88" t="n">
        <v>0</v>
      </c>
      <c r="M33" s="89" t="n"/>
      <c r="N33" s="86" t="n">
        <v>0</v>
      </c>
    </row>
    <row r="34">
      <c r="A34" s="83" t="inlineStr">
        <is>
          <t>BFCM week Nov 20 - Dec 1, 2025 (12d)</t>
        </is>
      </c>
      <c r="B34" s="81" t="n"/>
      <c r="C34" s="82" t="n"/>
      <c r="D34" s="84" t="n">
        <v>0</v>
      </c>
      <c r="E34" s="86" t="n">
        <v>0</v>
      </c>
      <c r="F34" s="86" t="n">
        <v>0</v>
      </c>
      <c r="G34" s="86" t="n">
        <v>0</v>
      </c>
      <c r="H34" s="84" t="n">
        <v>0</v>
      </c>
      <c r="J34" s="88" t="n"/>
      <c r="K34" s="86" t="n">
        <v>16</v>
      </c>
      <c r="L34" s="88" t="n">
        <v>0</v>
      </c>
      <c r="M34" s="89" t="n"/>
      <c r="N34" s="86" t="n">
        <v>0</v>
      </c>
    </row>
    <row r="35">
      <c r="A35" s="83" t="inlineStr">
        <is>
          <t>December 2 - 31, 2025 (30d)</t>
        </is>
      </c>
      <c r="B35" s="81" t="n"/>
      <c r="C35" s="82" t="n"/>
      <c r="D35" s="84" t="n">
        <v>0</v>
      </c>
      <c r="E35" s="86" t="n">
        <v>0</v>
      </c>
      <c r="F35" s="86" t="n">
        <v>0</v>
      </c>
      <c r="G35" s="86" t="n">
        <v>0</v>
      </c>
      <c r="H35" s="84" t="n">
        <v>0.9</v>
      </c>
      <c r="J35" s="88" t="n"/>
      <c r="K35" s="86" t="n">
        <v>18</v>
      </c>
      <c r="L35" s="88" t="n">
        <v>0</v>
      </c>
      <c r="M35" s="89" t="n"/>
      <c r="N35" s="86" t="n">
        <v>0</v>
      </c>
    </row>
    <row r="36">
      <c r="A36" s="90" t="inlineStr">
        <is>
          <t>account data, Amazon parent B0H1N61MK6 plus any of this product's child ASINs account data lists on their own, UTC days. Lift above uses these actual sales.</t>
        </is>
      </c>
    </row>
    <row r="37" ht="18" customHeight="1">
      <c r="A37" s="94" t="inlineStr">
        <is>
          <t>BFCM 2026 plan: NOT IN A DEAL. the team confirmed that products without a planned deal are not in any BFCM 2026 deal; they sell at their regular price.</t>
        </is>
      </c>
    </row>
    <row r="38" ht="30" customHeight="1">
      <c r="A38" s="94" t="inlineStr">
        <is>
          <t>BFCM 2026 stock (account data, Oct 15): 22 units at Amazon + 0 already sent (no ETA in account data); selling 0.0 a day; need about 1 to Nov 30 with a 2.74x BFCM lift (ASSUMED: account BFCM 2025 lift (US); product's own 2025 lift not available). Variations: 3 covered, 0 need the inbound in time, 0 short even with inbound (1 units), 1 out of stock now. Detail: BFCM Stock tab.</t>
        </is>
      </c>
    </row>
    <row r="39" ht="30" customHeight="1">
      <c r="A39" s="91" t="inlineStr">
        <is>
          <t>Our hero child B0DQ84FD76 in price history (market data, US): price $32.95 before (median Nov 1-19) → $32.95 in BFCM week (median Nov 20 - Dec 1), no cut; lowest $32.95; Best Seller Rank 4,437,982 → 4,553,497 (1.03x worse). Price is price history's lowest new offer (price history holds no Buy Box series for our own ASINs; we are the only seller).</t>
        </is>
      </c>
    </row>
    <row r="40">
      <c r="A40" s="90" t="inlineStr">
        <is>
          <t>No market data visibility history for our best child ASIN.</t>
        </is>
      </c>
    </row>
    <row r="41">
      <c r="A41" s="132" t="inlineStr">
        <is>
          <t>No BFCM 2025 PPC data for this product (not advertised or launched after BFCM 2025).</t>
        </is>
      </c>
    </row>
    <row r="42"/>
    <row r="43" ht="22" customHeight="1">
      <c r="A43" s="65" t="inlineStr">
        <is>
          <t>4 ▼</t>
        </is>
      </c>
      <c r="B43" s="66" t="inlineStr">
        <is>
          <t>COMPETITOR LANDSCAPE (17 mapped)</t>
        </is>
      </c>
      <c r="C43" s="67" t="n"/>
      <c r="D43" s="67" t="n"/>
      <c r="E43" s="67" t="n"/>
      <c r="F43" s="67" t="n"/>
      <c r="G43" s="67" t="n"/>
      <c r="H43" s="67" t="n"/>
      <c r="I43" s="67" t="n"/>
      <c r="J43" s="67" t="n"/>
      <c r="K43" s="67" t="n"/>
      <c r="L43" s="67" t="n"/>
      <c r="M43" s="67" t="n"/>
      <c r="N43" s="67" t="n"/>
      <c r="O43" s="67" t="n"/>
      <c r="P43" s="67" t="n"/>
      <c r="Q43" s="67" t="n"/>
      <c r="R43" s="67" t="n"/>
      <c r="S43" s="67" t="n"/>
      <c r="T43" s="67" t="n"/>
      <c r="U43" s="67" t="n"/>
      <c r="V43" s="67" t="n"/>
      <c r="W43" s="67" t="n"/>
      <c r="X43" s="67" t="n"/>
      <c r="Y43" s="67" t="n"/>
      <c r="Z43" s="67" t="n"/>
      <c r="AA43" s="67" t="n"/>
      <c r="AB43" s="67" t="n"/>
      <c r="AC43" s="67" t="n"/>
      <c r="AD43" s="67" t="n"/>
      <c r="AE43" s="67" t="n"/>
      <c r="AF43" s="67" t="n"/>
      <c r="AG43" s="67" t="n"/>
      <c r="AH43" s="67" t="n"/>
      <c r="AI43" s="67" t="n"/>
      <c r="AJ43" s="67" t="n"/>
      <c r="AK43" s="67" t="n"/>
      <c r="AL43" s="67" t="n"/>
      <c r="AM43" s="67" t="n"/>
      <c r="AN43" s="67" t="n"/>
      <c r="AO43" s="67" t="n"/>
      <c r="AP43" s="67" t="n"/>
      <c r="AQ43" s="67" t="n"/>
      <c r="AR43" s="67" t="n"/>
      <c r="AS43" s="67" t="n"/>
      <c r="AT43" s="67" t="n"/>
      <c r="AU43" s="67" t="n"/>
      <c r="AV43" s="67" t="n"/>
      <c r="AW43" s="67" t="n"/>
      <c r="AX43" s="67" t="n"/>
      <c r="AY43" s="67" t="n"/>
      <c r="AZ43" s="67" t="n"/>
      <c r="BA43" s="67" t="n"/>
      <c r="BB43" s="67" t="n"/>
      <c r="BC43" s="67" t="n"/>
      <c r="BD43" s="67" t="n"/>
      <c r="BE43" s="67" t="n"/>
      <c r="BF43" s="67" t="n"/>
      <c r="BG43" s="67" t="n"/>
      <c r="BH43" s="67" t="n"/>
      <c r="BI43" s="67" t="n"/>
      <c r="BJ43" s="67" t="n"/>
      <c r="BK43" s="67" t="n"/>
    </row>
    <row r="44" ht="20" customHeight="1">
      <c r="A44" s="96" t="inlineStr">
        <is>
          <t>▼▼▼</t>
        </is>
      </c>
      <c r="B44" s="97" t="inlineStr">
        <is>
          <t>COMPETITOR DATA BELOW: one row per competitor (0 direct first, then alternative material). Scroll right for listing, search, strikethrough now and BFCM 2025 history (deal type, price, discount, rank change).</t>
        </is>
      </c>
      <c r="C44" s="98" t="n"/>
      <c r="D44" s="98" t="n"/>
      <c r="E44" s="98" t="n"/>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8" t="n"/>
      <c r="AA44" s="98" t="n"/>
      <c r="AB44" s="98" t="n"/>
      <c r="AC44" s="98" t="n"/>
      <c r="AD44" s="98" t="n"/>
      <c r="AE44" s="98" t="n"/>
      <c r="AF44" s="98" t="n"/>
      <c r="AG44" s="98" t="n"/>
      <c r="AH44" s="98" t="n"/>
      <c r="AI44" s="98" t="n"/>
      <c r="AJ44" s="98" t="n"/>
      <c r="AK44" s="98" t="n"/>
      <c r="AL44" s="98" t="n"/>
      <c r="AM44" s="98" t="n"/>
      <c r="AN44" s="98" t="n"/>
      <c r="AO44" s="98" t="n"/>
      <c r="AP44" s="98" t="n"/>
      <c r="AQ44" s="98" t="n"/>
      <c r="AR44" s="98" t="n"/>
      <c r="AS44" s="98" t="n"/>
      <c r="AT44" s="98" t="n"/>
      <c r="AU44" s="98" t="n"/>
      <c r="AV44" s="98" t="n"/>
      <c r="AW44" s="98" t="n"/>
      <c r="AX44" s="98" t="n"/>
      <c r="AY44" s="98" t="n"/>
      <c r="AZ44" s="98" t="n"/>
      <c r="BA44" s="98" t="n"/>
      <c r="BB44" s="98" t="n"/>
      <c r="BC44" s="98" t="n"/>
      <c r="BD44" s="98" t="n"/>
      <c r="BE44" s="98" t="n"/>
      <c r="BF44" s="98" t="n"/>
      <c r="BG44" s="98" t="n"/>
      <c r="BH44" s="98" t="n"/>
      <c r="BI44" s="98" t="n"/>
      <c r="BJ44" s="98" t="n"/>
      <c r="BK44" s="98" t="n"/>
    </row>
    <row r="45">
      <c r="A45" s="99" t="inlineStr">
        <is>
          <t>COMPETITOR</t>
        </is>
      </c>
      <c r="L45" s="100" t="inlineStr">
        <is>
          <t>LISTING - catalog data</t>
        </is>
      </c>
      <c r="M45" s="101" t="inlineStr">
        <is>
          <t>SEARCH STRATEGY - market data search data</t>
        </is>
      </c>
      <c r="N45" s="102" t="inlineStr">
        <is>
          <t>PRICE &amp; SALES - market data snapshot (date per row)</t>
        </is>
      </c>
      <c r="AA45" s="100" t="inlineStr">
        <is>
          <t>LISTING - catalog data</t>
        </is>
      </c>
      <c r="AD45" s="101" t="inlineStr">
        <is>
          <t>SEARCH STRATEGY - market data search data</t>
        </is>
      </c>
      <c r="AU45" s="103" t="inlineStr">
        <is>
          <t>STR NOW - Amazon page check (Oct 13, P1 + P2)</t>
        </is>
      </c>
      <c r="BB45" s="104" t="inlineStr">
        <is>
          <t>BFCM 2025 - price history (P1 filled; yellow = not pulled yet)</t>
        </is>
      </c>
    </row>
    <row r="46" ht="48" customHeight="1">
      <c r="A46" s="26" t="inlineStr">
        <is>
          <t>Image</t>
        </is>
      </c>
      <c r="B46" s="26" t="inlineStr">
        <is>
          <t>Brand</t>
        </is>
      </c>
      <c r="C46" s="26" t="inlineStr">
        <is>
          <t>Product title</t>
        </is>
      </c>
      <c r="D46" s="26" t="inlineStr">
        <is>
          <t>Tier</t>
        </is>
      </c>
      <c r="E46" s="26" t="inlineStr">
        <is>
          <t>Competitor type</t>
        </is>
      </c>
      <c r="F46" s="26" t="inlineStr">
        <is>
          <t>Material</t>
        </is>
      </c>
      <c r="G46" s="26" t="inlineStr">
        <is>
          <t>Why this type</t>
        </is>
      </c>
      <c r="H46" s="26" t="inlineStr">
        <is>
          <t>Parent ASIN</t>
        </is>
      </c>
      <c r="I46" s="26" t="inlineStr">
        <is>
          <t>Tracked child ASIN</t>
        </is>
      </c>
      <c r="J46" s="26" t="inlineStr">
        <is>
          <t>Size</t>
        </is>
      </c>
      <c r="K46" s="26" t="inlineStr">
        <is>
          <t>Colour</t>
        </is>
      </c>
      <c r="L46" s="26" t="inlineStr">
        <is>
          <t>Variations</t>
        </is>
      </c>
      <c r="M46" s="26" t="inlineStr">
        <is>
          <t>Hero child ASINs (share of their visibility)</t>
        </is>
      </c>
      <c r="N46" s="26" t="inlineStr">
        <is>
          <t>Price ($)</t>
        </is>
      </c>
      <c r="O46" s="26" t="inlineStr">
        <is>
          <t>List Price ($)</t>
        </is>
      </c>
      <c r="P46" s="26" t="inlineStr">
        <is>
          <t>List Price % over</t>
        </is>
      </c>
      <c r="Q46" s="26" t="inlineStr">
        <is>
          <t>STR band</t>
        </is>
      </c>
      <c r="R46" s="26" t="inlineStr">
        <is>
          <t>Our price, same size ($)</t>
        </is>
      </c>
      <c r="S46" s="26" t="inlineStr">
        <is>
          <t>Their price vs ours</t>
        </is>
      </c>
      <c r="T46" s="26" t="inlineStr">
        <is>
          <t>Comparison basis</t>
        </is>
      </c>
      <c r="U46" s="26" t="inlineStr">
        <is>
          <t>BSR</t>
        </is>
      </c>
      <c r="V46" s="26" t="inlineStr">
        <is>
          <t>Est weekly units</t>
        </is>
      </c>
      <c r="W46" s="26" t="inlineStr">
        <is>
          <t>Est monthly revenue ($)</t>
        </is>
      </c>
      <c r="X46" s="26" t="inlineStr">
        <is>
          <t>Rating</t>
        </is>
      </c>
      <c r="Y46" s="26" t="inlineStr">
        <is>
          <t>Reviews</t>
        </is>
      </c>
      <c r="Z46" s="26" t="inlineStr">
        <is>
          <t>Snapshot date</t>
        </is>
      </c>
      <c r="AA46" s="26" t="inlineStr">
        <is>
          <t>Listed</t>
        </is>
      </c>
      <c r="AB46" s="26" t="inlineStr">
        <is>
          <t>Fulfil.</t>
        </is>
      </c>
      <c r="AC46" s="26" t="inlineStr">
        <is>
          <t>Seller country</t>
        </is>
      </c>
      <c r="AD46" s="26" t="inlineStr">
        <is>
          <t>search data 7d traffic</t>
        </is>
      </c>
      <c r="AE46" s="26" t="inlineStr">
        <is>
          <t>Keywords ranked</t>
        </is>
      </c>
      <c r="AF46" s="26" t="inlineStr">
        <is>
          <t>Organic share of traffic</t>
        </is>
      </c>
      <c r="AG46" s="26" t="inlineStr">
        <is>
          <t>Ad share of traffic</t>
        </is>
      </c>
      <c r="AH46" s="26" t="inlineStr">
        <is>
          <t>Top keyword</t>
        </is>
      </c>
      <c r="AI46" s="26" t="inlineStr">
        <is>
          <t>SP reach</t>
        </is>
      </c>
      <c r="AJ46" s="26" t="inlineStr">
        <is>
          <t>SB reach</t>
        </is>
      </c>
      <c r="AK46" s="26" t="inlineStr">
        <is>
          <t>SB video reach</t>
        </is>
      </c>
      <c r="AL46" s="26" t="inlineStr">
        <is>
          <t>Amazon's Choice reach</t>
        </is>
      </c>
      <c r="AM46" s="26" t="inlineStr">
        <is>
          <t>Shared keywords</t>
        </is>
      </c>
      <c r="AN46" s="26" t="inlineStr">
        <is>
          <t>We win</t>
        </is>
      </c>
      <c r="AO46" s="26" t="inlineStr">
        <is>
          <t>We lose</t>
        </is>
      </c>
      <c r="AP46" s="26" t="inlineStr">
        <is>
          <t>Their keywords we miss</t>
        </is>
      </c>
      <c r="AQ46" s="26" t="inlineStr">
        <is>
          <t>KWs they advertise, we don't</t>
        </is>
      </c>
      <c r="AR46" s="26" t="inlineStr">
        <is>
          <t>KWs they out-advertise us</t>
        </is>
      </c>
      <c r="AS46" s="26" t="inlineStr">
        <is>
          <t>Prime Day 2026 organic vis lift</t>
        </is>
      </c>
      <c r="AT46" s="26" t="inlineStr">
        <is>
          <t>Organic trend (Aug-Sep vs Q2)</t>
        </is>
      </c>
      <c r="AU46" s="26" t="inlineStr">
        <is>
          <t>STR showing now? (Y/N)</t>
        </is>
      </c>
      <c r="AV46" s="26" t="inlineStr">
        <is>
          <t>STR label</t>
        </is>
      </c>
      <c r="AW46" s="26" t="inlineStr">
        <is>
          <t>Strikethrough price ($)</t>
        </is>
      </c>
      <c r="AX46" s="26" t="inlineStr">
        <is>
          <t>Page price at check ($)</t>
        </is>
      </c>
      <c r="AY46" s="26" t="inlineStr">
        <is>
          <t>Deal / coupon now</t>
        </is>
      </c>
      <c r="AZ46" s="26" t="inlineStr">
        <is>
          <t>Orderable now (Y/N)</t>
        </is>
      </c>
      <c r="BA46" s="26" t="inlineStr">
        <is>
          <t>Checked (ET)</t>
        </is>
      </c>
      <c r="BB46" s="26" t="inlineStr">
        <is>
          <t>BFCM 2025 deal type</t>
        </is>
      </c>
      <c r="BC46" s="26" t="inlineStr">
        <is>
          <t>BFCM 2025 deal dates</t>
        </is>
      </c>
      <c r="BD46" s="26" t="inlineStr">
        <is>
          <t>Pre-event price ($)</t>
        </is>
      </c>
      <c r="BE46" s="26" t="inlineStr">
        <is>
          <t>BFCM 2025 low ($)</t>
        </is>
      </c>
      <c r="BF46" s="26" t="inlineStr">
        <is>
          <t>BFCM 2025 discount</t>
        </is>
      </c>
      <c r="BG46" s="26" t="inlineStr">
        <is>
          <t>BSR pre-event</t>
        </is>
      </c>
      <c r="BH46" s="26" t="inlineStr">
        <is>
          <t>BSR BFCM wk</t>
        </is>
      </c>
      <c r="BI46" s="26" t="inlineStr">
        <is>
          <t>BSR lift (x)</t>
        </is>
      </c>
      <c r="BJ46" s="26" t="inlineStr">
        <is>
          <t>OOS in BFCM? (Y/N)</t>
        </is>
      </c>
      <c r="BK46" s="26" t="inlineStr">
        <is>
          <t>Notes</t>
        </is>
      </c>
    </row>
    <row r="47" ht="62" customHeight="1">
      <c r="A47" s="12">
        <f>_xlfn.IMAGE("https://images-na.ssl-images-amazon.com/images/I/811UFPxkJoL.jpg")</f>
        <v/>
      </c>
      <c r="B47" s="105" t="inlineStr">
        <is>
          <t>PERFNIQUE</t>
        </is>
      </c>
      <c r="C47" s="39" t="inlineStr">
        <is>
          <t>Perfnique Welcome sign for front porch standing, 47 x 7.9 Inch Wooden Leaner Sign with 10 Interchangeable Designed Icons, Seasonal Decor for Spring Easter Fall Christmas(Black)</t>
        </is>
      </c>
      <c r="D47" s="105" t="inlineStr">
        <is>
          <t>Aspirational</t>
        </is>
      </c>
      <c r="E47" s="134" t="inlineStr">
        <is>
          <t>Not classified</t>
        </is>
      </c>
      <c r="F47" s="105" t="n"/>
      <c r="G47" s="39" t="inlineStr">
        <is>
          <t>Not a sheet, pillowcase or comforter product; competitors are compared on price and sales only.</t>
        </is>
      </c>
      <c r="H47" s="107" t="inlineStr">
        <is>
          <t>B0CBV2JW6G</t>
        </is>
      </c>
      <c r="I47" s="107" t="inlineStr">
        <is>
          <t>B09P4228F4</t>
        </is>
      </c>
      <c r="J47" s="105" t="inlineStr">
        <is>
          <t>Black</t>
        </is>
      </c>
      <c r="K47" s="105" t="inlineStr">
        <is>
          <t>Black</t>
        </is>
      </c>
      <c r="L47" s="108" t="n">
        <v>4</v>
      </c>
      <c r="M47" s="39" t="inlineStr"/>
      <c r="N47" s="109" t="n">
        <v>34.99</v>
      </c>
      <c r="O47" s="109" t="n"/>
      <c r="P47" s="110">
        <f>IF(AND(ISNUMBER(O47),ISNUMBER(N47),N(N47)&gt;0),O47/N47-1,"")</f>
        <v/>
      </c>
      <c r="Q47" s="111">
        <f>IF(P47="","No List Price",IF(P47&lt;=0,"At/below price",IF(P47&lt;=0.12,"&lt;=12% STR zone",IF(P47&lt;=0.25,"12-25%","&gt;25% over"))))</f>
        <v/>
      </c>
      <c r="R47" s="109" t="n">
        <v>37.95</v>
      </c>
      <c r="S47" s="112">
        <f>IF(AND(ISNUMBER(N47),ISNUMBER(R47),N(R47)&gt;0),N47/R47-1,"")</f>
        <v/>
      </c>
      <c r="T47" s="39" t="inlineStr">
        <is>
          <t>vs our blended price (market data, Mar 2026 - STALE)</t>
        </is>
      </c>
      <c r="U47" s="108" t="n">
        <v>44319</v>
      </c>
      <c r="V47" s="108" t="n">
        <v>104</v>
      </c>
      <c r="W47" s="113">
        <f>IF(AND(ISNUMBER(N47),ISNUMBER(V47)),N47*V47*52/12,"")</f>
        <v/>
      </c>
      <c r="X47" s="114" t="n">
        <v>4.5</v>
      </c>
      <c r="Y47" s="108" t="n">
        <v>1039</v>
      </c>
      <c r="Z47" s="115" t="n">
        <v>46307</v>
      </c>
      <c r="AA47" s="115" t="n">
        <v>44652</v>
      </c>
      <c r="AB47" s="105" t="inlineStr">
        <is>
          <t>FBA</t>
        </is>
      </c>
      <c r="AC47" s="105" t="inlineStr">
        <is>
          <t>HK</t>
        </is>
      </c>
      <c r="AD47" s="108" t="n"/>
      <c r="AE47" s="108" t="n"/>
      <c r="AF47" s="116" t="n"/>
      <c r="AG47" s="116" t="n"/>
      <c r="AH47" s="39" t="n"/>
      <c r="AI47" s="116" t="n"/>
      <c r="AJ47" s="116" t="n"/>
      <c r="AK47" s="116" t="n"/>
      <c r="AL47" s="116" t="n"/>
      <c r="AM47" s="108" t="n"/>
      <c r="AN47" s="108" t="n"/>
      <c r="AO47" s="108" t="n"/>
      <c r="AP47" s="108" t="n"/>
      <c r="AQ47" s="108" t="n"/>
      <c r="AR47" s="108" t="n"/>
      <c r="AS47" s="117" t="n"/>
      <c r="AT47" s="112" t="n"/>
      <c r="AU47" s="118" t="inlineStr">
        <is>
          <t>N</t>
        </is>
      </c>
      <c r="AV47" s="118" t="inlineStr">
        <is>
          <t>none</t>
        </is>
      </c>
      <c r="AW47" s="124" t="n"/>
      <c r="AX47" s="119" t="n">
        <v>34.99</v>
      </c>
      <c r="AY47" s="118" t="inlineStr">
        <is>
          <t>none</t>
        </is>
      </c>
      <c r="AZ47" s="118" t="inlineStr">
        <is>
          <t>Y</t>
        </is>
      </c>
      <c r="BA47" s="118" t="inlineStr">
        <is>
          <t>2026-10-13 23:42:25</t>
        </is>
      </c>
      <c r="BB47" s="120" t="inlineStr">
        <is>
          <t>Prime Exclusive Discount</t>
        </is>
      </c>
      <c r="BC47" s="120" t="inlineStr">
        <is>
          <t>11-20 to 12-01</t>
        </is>
      </c>
      <c r="BD47" s="121" t="n">
        <v>37.99</v>
      </c>
      <c r="BE47" s="121" t="n">
        <v>31.99</v>
      </c>
      <c r="BF47" s="110">
        <f>IF(AND(ISNUMBER(BD47),ISNUMBER(BE47),N(BD47)&gt;0),1-BE47/BD47,"")</f>
        <v/>
      </c>
      <c r="BG47" s="122" t="n">
        <v>90102</v>
      </c>
      <c r="BH47" s="122" t="n">
        <v>74507</v>
      </c>
      <c r="BI47" s="123">
        <f>IF(AND(ISNUMBER(BG47),ISNUMBER(BH47),N(BH47)&gt;0),BG47/BH47,"")</f>
        <v/>
      </c>
      <c r="BJ47" s="120" t="inlineStr">
        <is>
          <t>N</t>
        </is>
      </c>
      <c r="BK47" s="120" t="inlineStr">
        <is>
          <t>Buy Box RAISED in BFCM week (median $42.48 vs $37.99 before); List Price $39.99</t>
        </is>
      </c>
    </row>
    <row r="48" ht="62" customHeight="1">
      <c r="A48" s="12">
        <f>_xlfn.IMAGE("https://images-na.ssl-images-amazon.com/images/I/81M6KkWpSrL.jpg")</f>
        <v/>
      </c>
      <c r="B48" s="105" t="inlineStr">
        <is>
          <t>MONJITA</t>
        </is>
      </c>
      <c r="C48" s="39" t="inlineStr">
        <is>
          <t>Monjita Welcome Sign for Front Porch Standing, Interchangeable Wooden Sign with 5 Designed Double-Sided Icons for Front Door, All Seasonal Farmhouse Rustic Modern Porch Decor for Fall Harvest</t>
        </is>
      </c>
      <c r="D48" s="105" t="inlineStr">
        <is>
          <t>Aspirational</t>
        </is>
      </c>
      <c r="E48" s="134" t="inlineStr">
        <is>
          <t>Not classified</t>
        </is>
      </c>
      <c r="F48" s="105" t="n"/>
      <c r="G48" s="39" t="inlineStr">
        <is>
          <t>Not a sheet, pillowcase or comforter product; competitors are compared on price and sales only.</t>
        </is>
      </c>
      <c r="H48" s="107" t="inlineStr">
        <is>
          <t>B0BBQDKL36</t>
        </is>
      </c>
      <c r="I48" s="107" t="inlineStr">
        <is>
          <t>B0BBQ84DMS</t>
        </is>
      </c>
      <c r="J48" s="105" t="inlineStr">
        <is>
          <t>XL</t>
        </is>
      </c>
      <c r="K48" s="105" t="inlineStr">
        <is>
          <t>Black</t>
        </is>
      </c>
      <c r="L48" s="108" t="n">
        <v>2</v>
      </c>
      <c r="M48" s="39" t="inlineStr"/>
      <c r="N48" s="109" t="n">
        <v>33.99</v>
      </c>
      <c r="O48" s="109" t="n"/>
      <c r="P48" s="110">
        <f>IF(AND(ISNUMBER(O48),ISNUMBER(N48),N(N48)&gt;0),O48/N48-1,"")</f>
        <v/>
      </c>
      <c r="Q48" s="111">
        <f>IF(P48="","No List Price",IF(P48&lt;=0,"At/below price",IF(P48&lt;=0.12,"&lt;=12% STR zone",IF(P48&lt;=0.25,"12-25%","&gt;25% over"))))</f>
        <v/>
      </c>
      <c r="R48" s="109" t="n">
        <v>37.95</v>
      </c>
      <c r="S48" s="112">
        <f>IF(AND(ISNUMBER(N48),ISNUMBER(R48),N(R48)&gt;0),N48/R48-1,"")</f>
        <v/>
      </c>
      <c r="T48" s="39" t="inlineStr">
        <is>
          <t>vs our blended price (market data, Mar 2026 - STALE)</t>
        </is>
      </c>
      <c r="U48" s="108" t="n">
        <v>137133</v>
      </c>
      <c r="V48" s="108" t="n">
        <v>35</v>
      </c>
      <c r="W48" s="113">
        <f>IF(AND(ISNUMBER(N48),ISNUMBER(V48)),N48*V48*52/12,"")</f>
        <v/>
      </c>
      <c r="X48" s="114" t="n">
        <v>4.5</v>
      </c>
      <c r="Y48" s="108" t="n">
        <v>498</v>
      </c>
      <c r="Z48" s="115" t="n">
        <v>46307</v>
      </c>
      <c r="AA48" s="115" t="n">
        <v>44874</v>
      </c>
      <c r="AB48" s="105" t="inlineStr">
        <is>
          <t>FBA</t>
        </is>
      </c>
      <c r="AC48" s="105" t="inlineStr">
        <is>
          <t>CN</t>
        </is>
      </c>
      <c r="AD48" s="108" t="n"/>
      <c r="AE48" s="108" t="n"/>
      <c r="AF48" s="116" t="n"/>
      <c r="AG48" s="116" t="n"/>
      <c r="AH48" s="39" t="n"/>
      <c r="AI48" s="116" t="n"/>
      <c r="AJ48" s="116" t="n"/>
      <c r="AK48" s="116" t="n"/>
      <c r="AL48" s="116" t="n"/>
      <c r="AM48" s="108" t="n"/>
      <c r="AN48" s="108" t="n"/>
      <c r="AO48" s="108" t="n"/>
      <c r="AP48" s="108" t="n"/>
      <c r="AQ48" s="108" t="n"/>
      <c r="AR48" s="108" t="n"/>
      <c r="AS48" s="117" t="n"/>
      <c r="AT48" s="112" t="n"/>
      <c r="AU48" s="118" t="inlineStr">
        <is>
          <t>N</t>
        </is>
      </c>
      <c r="AV48" s="118" t="inlineStr">
        <is>
          <t>none</t>
        </is>
      </c>
      <c r="AW48" s="124" t="n"/>
      <c r="AX48" s="119" t="n">
        <v>33.99</v>
      </c>
      <c r="AY48" s="118" t="inlineStr">
        <is>
          <t>none</t>
        </is>
      </c>
      <c r="AZ48" s="118" t="inlineStr">
        <is>
          <t>Y</t>
        </is>
      </c>
      <c r="BA48" s="118" t="inlineStr">
        <is>
          <t>2026-10-13 23:41:53</t>
        </is>
      </c>
      <c r="BB48" s="120" t="inlineStr">
        <is>
          <t>Prime Exclusive Discount</t>
        </is>
      </c>
      <c r="BC48" s="120" t="inlineStr">
        <is>
          <t>11-20 to 12-01</t>
        </is>
      </c>
      <c r="BD48" s="121" t="n">
        <v>35.99</v>
      </c>
      <c r="BE48" s="121" t="n">
        <v>29.99</v>
      </c>
      <c r="BF48" s="110">
        <f>IF(AND(ISNUMBER(BD48),ISNUMBER(BE48),N(BD48)&gt;0),1-BE48/BD48,"")</f>
        <v/>
      </c>
      <c r="BG48" s="122" t="n">
        <v>166842</v>
      </c>
      <c r="BH48" s="122" t="n">
        <v>173784</v>
      </c>
      <c r="BI48" s="123">
        <f>IF(AND(ISNUMBER(BG48),ISNUMBER(BH48),N(BH48)&gt;0),BG48/BH48,"")</f>
        <v/>
      </c>
      <c r="BJ48" s="120" t="inlineStr">
        <is>
          <t>N</t>
        </is>
      </c>
      <c r="BK48" s="120" t="inlineStr">
        <is>
          <t>Buy Box RAISED in BFCM week (median $40.35 vs $35.99 before); List Price $37.99</t>
        </is>
      </c>
    </row>
    <row r="49" ht="62" customHeight="1">
      <c r="A49" s="12">
        <f>_xlfn.IMAGE("https://images-na.ssl-images-amazon.com/images/I/81prHHD5oqL.jpg")</f>
        <v/>
      </c>
      <c r="B49" s="105" t="inlineStr">
        <is>
          <t>Surfapans</t>
        </is>
      </c>
      <c r="C49" s="39" t="inlineStr">
        <is>
          <t>Surfapans Welcome Sign for Front porch Standing 45"X9" Black</t>
        </is>
      </c>
      <c r="D49" s="105" t="inlineStr">
        <is>
          <t>Aspirational</t>
        </is>
      </c>
      <c r="E49" s="134" t="inlineStr">
        <is>
          <t>Not classified</t>
        </is>
      </c>
      <c r="F49" s="105" t="n"/>
      <c r="G49" s="39" t="inlineStr">
        <is>
          <t>Not a sheet, pillowcase or comforter product; competitors are compared on price and sales only.</t>
        </is>
      </c>
      <c r="H49" s="107" t="inlineStr">
        <is>
          <t>B0GLG3DN2P</t>
        </is>
      </c>
      <c r="I49" s="107" t="inlineStr">
        <is>
          <t>B0CL5YGW86</t>
        </is>
      </c>
      <c r="J49" s="105" t="inlineStr">
        <is>
          <t>45"L x 9"W</t>
        </is>
      </c>
      <c r="K49" s="105" t="inlineStr">
        <is>
          <t>Welcome（Black)</t>
        </is>
      </c>
      <c r="L49" s="108" t="n">
        <v>8</v>
      </c>
      <c r="M49" s="39" t="inlineStr"/>
      <c r="N49" s="109" t="n">
        <v>40.99</v>
      </c>
      <c r="O49" s="109" t="n"/>
      <c r="P49" s="110">
        <f>IF(AND(ISNUMBER(O49),ISNUMBER(N49),N(N49)&gt;0),O49/N49-1,"")</f>
        <v/>
      </c>
      <c r="Q49" s="111">
        <f>IF(P49="","No List Price",IF(P49&lt;=0,"At/below price",IF(P49&lt;=0.12,"&lt;=12% STR zone",IF(P49&lt;=0.25,"12-25%","&gt;25% over"))))</f>
        <v/>
      </c>
      <c r="R49" s="109" t="n">
        <v>37.95</v>
      </c>
      <c r="S49" s="112">
        <f>IF(AND(ISNUMBER(N49),ISNUMBER(R49),N(R49)&gt;0),N49/R49-1,"")</f>
        <v/>
      </c>
      <c r="T49" s="39" t="inlineStr">
        <is>
          <t>vs our blended price (market data, Mar 2026 - STALE)</t>
        </is>
      </c>
      <c r="U49" s="108" t="n">
        <v>146388</v>
      </c>
      <c r="V49" s="108" t="n">
        <v>35</v>
      </c>
      <c r="W49" s="113">
        <f>IF(AND(ISNUMBER(N49),ISNUMBER(V49)),N49*V49*52/12,"")</f>
        <v/>
      </c>
      <c r="X49" s="114" t="n">
        <v>4.4</v>
      </c>
      <c r="Y49" s="108" t="n">
        <v>574</v>
      </c>
      <c r="Z49" s="115" t="n">
        <v>46307</v>
      </c>
      <c r="AA49" s="115" t="n">
        <v>45226</v>
      </c>
      <c r="AB49" s="105" t="inlineStr">
        <is>
          <t>FBA</t>
        </is>
      </c>
      <c r="AC49" s="105" t="inlineStr">
        <is>
          <t>CN</t>
        </is>
      </c>
      <c r="AD49" s="108" t="n"/>
      <c r="AE49" s="108" t="n"/>
      <c r="AF49" s="116" t="n"/>
      <c r="AG49" s="116" t="n"/>
      <c r="AH49" s="39" t="n"/>
      <c r="AI49" s="116" t="n"/>
      <c r="AJ49" s="116" t="n"/>
      <c r="AK49" s="116" t="n"/>
      <c r="AL49" s="116" t="n"/>
      <c r="AM49" s="108" t="n"/>
      <c r="AN49" s="108" t="n"/>
      <c r="AO49" s="108" t="n"/>
      <c r="AP49" s="108" t="n"/>
      <c r="AQ49" s="108" t="n"/>
      <c r="AR49" s="108" t="n"/>
      <c r="AS49" s="117" t="n"/>
      <c r="AT49" s="112" t="n"/>
      <c r="AU49" s="118" t="inlineStr">
        <is>
          <t>N</t>
        </is>
      </c>
      <c r="AV49" s="118" t="inlineStr">
        <is>
          <t>none</t>
        </is>
      </c>
      <c r="AW49" s="124" t="n"/>
      <c r="AX49" s="119" t="n">
        <v>40.99</v>
      </c>
      <c r="AY49" s="118" t="inlineStr">
        <is>
          <t>none</t>
        </is>
      </c>
      <c r="AZ49" s="118" t="inlineStr">
        <is>
          <t>Y</t>
        </is>
      </c>
      <c r="BA49" s="118" t="inlineStr">
        <is>
          <t>2026-10-13 23:43:17</t>
        </is>
      </c>
      <c r="BB49" s="120" t="inlineStr">
        <is>
          <t>None</t>
        </is>
      </c>
      <c r="BC49" s="125" t="n"/>
      <c r="BD49" s="121" t="n">
        <v>40.89</v>
      </c>
      <c r="BE49" s="121" t="n">
        <v>40.89</v>
      </c>
      <c r="BF49" s="110">
        <f>IF(AND(ISNUMBER(BD49),ISNUMBER(BE49),N(BD49)&gt;0),1-BE49/BD49,"")</f>
        <v/>
      </c>
      <c r="BG49" s="122" t="n">
        <v>113765</v>
      </c>
      <c r="BH49" s="122" t="n">
        <v>113440</v>
      </c>
      <c r="BI49" s="123">
        <f>IF(AND(ISNUMBER(BG49),ISNUMBER(BH49),N(BH49)&gt;0),BG49/BH49,"")</f>
        <v/>
      </c>
      <c r="BJ49" s="120" t="inlineStr">
        <is>
          <t>N</t>
        </is>
      </c>
      <c r="BK49" s="120" t="inlineStr">
        <is>
          <t>Buy Box RAISED in BFCM week (median $42.99 vs $40.89 before); List Price $60.99</t>
        </is>
      </c>
    </row>
    <row r="50" ht="62" customHeight="1">
      <c r="A50" s="12">
        <f>_xlfn.IMAGE("https://m.media-amazon.com/images/I/81dv7YjkNdL._AC_SL1500_.jpg")</f>
        <v/>
      </c>
      <c r="B50" s="105" t="inlineStr">
        <is>
          <t>Seimip</t>
        </is>
      </c>
      <c r="C50" s="39" t="inlineStr">
        <is>
          <t>Front Door Welcome Sign</t>
        </is>
      </c>
      <c r="D50" s="105" t="inlineStr">
        <is>
          <t>Beatable</t>
        </is>
      </c>
      <c r="E50" s="134" t="inlineStr">
        <is>
          <t>Not classified</t>
        </is>
      </c>
      <c r="F50" s="105" t="n"/>
      <c r="G50" s="39" t="inlineStr">
        <is>
          <t>Not a sheet, pillowcase or comforter product; competitors are compared on price and sales only.</t>
        </is>
      </c>
      <c r="H50" s="107" t="inlineStr">
        <is>
          <t>B0DK6WGD3R</t>
        </is>
      </c>
      <c r="I50" s="107" t="inlineStr">
        <is>
          <t>B0D4Q71SDC</t>
        </is>
      </c>
      <c r="J50" s="105" t="inlineStr">
        <is>
          <t>large</t>
        </is>
      </c>
      <c r="K50" s="105" t="inlineStr">
        <is>
          <t>Fall Pumpkin</t>
        </is>
      </c>
      <c r="L50" s="108" t="n"/>
      <c r="M50" s="39" t="inlineStr"/>
      <c r="N50" s="109" t="n">
        <v>23.99</v>
      </c>
      <c r="O50" s="109" t="n"/>
      <c r="P50" s="110">
        <f>IF(AND(ISNUMBER(O50),ISNUMBER(N50),N(N50)&gt;0),O50/N50-1,"")</f>
        <v/>
      </c>
      <c r="Q50" s="111">
        <f>IF(P50="","No List Price",IF(P50&lt;=0,"At/below price",IF(P50&lt;=0.12,"&lt;=12% STR zone",IF(P50&lt;=0.25,"12-25%","&gt;25% over"))))</f>
        <v/>
      </c>
      <c r="R50" s="109" t="n">
        <v>37.95</v>
      </c>
      <c r="S50" s="112">
        <f>IF(AND(ISNUMBER(N50),ISNUMBER(R50),N(R50)&gt;0),N50/R50-1,"")</f>
        <v/>
      </c>
      <c r="T50" s="39" t="inlineStr">
        <is>
          <t>vs our blended price (market data, Mar 2026 - STALE)</t>
        </is>
      </c>
      <c r="U50" s="108" t="n">
        <v>8978</v>
      </c>
      <c r="V50" s="108" t="n">
        <v>104</v>
      </c>
      <c r="W50" s="113">
        <f>IF(AND(ISNUMBER(N50),ISNUMBER(V50)),N50*V50*52/12,"")</f>
        <v/>
      </c>
      <c r="X50" s="114" t="n">
        <v>3.9</v>
      </c>
      <c r="Y50" s="108" t="n">
        <v>299</v>
      </c>
      <c r="Z50" s="115" t="n">
        <v>46307</v>
      </c>
      <c r="AA50" s="115" t="n"/>
      <c r="AB50" s="105" t="n"/>
      <c r="AC50" s="105" t="n"/>
      <c r="AD50" s="108" t="n"/>
      <c r="AE50" s="108" t="n"/>
      <c r="AF50" s="116" t="n"/>
      <c r="AG50" s="116" t="n"/>
      <c r="AH50" s="39" t="n"/>
      <c r="AI50" s="116" t="n"/>
      <c r="AJ50" s="116" t="n"/>
      <c r="AK50" s="116" t="n"/>
      <c r="AL50" s="116" t="n"/>
      <c r="AM50" s="108" t="n"/>
      <c r="AN50" s="108" t="n"/>
      <c r="AO50" s="108" t="n"/>
      <c r="AP50" s="108" t="n"/>
      <c r="AQ50" s="108" t="n"/>
      <c r="AR50" s="108" t="n"/>
      <c r="AS50" s="117" t="n"/>
      <c r="AT50" s="112" t="n"/>
      <c r="AU50" s="118" t="inlineStr">
        <is>
          <t>N</t>
        </is>
      </c>
      <c r="AV50" s="118" t="inlineStr">
        <is>
          <t>none</t>
        </is>
      </c>
      <c r="AW50" s="124" t="n"/>
      <c r="AX50" s="119" t="n">
        <v>23.99</v>
      </c>
      <c r="AY50" s="118" t="inlineStr">
        <is>
          <t>coupon 10%</t>
        </is>
      </c>
      <c r="AZ50" s="118" t="inlineStr">
        <is>
          <t>Y</t>
        </is>
      </c>
      <c r="BA50" s="118" t="inlineStr">
        <is>
          <t>2026-10-13 23:43:08</t>
        </is>
      </c>
      <c r="BB50" s="120" t="inlineStr">
        <is>
          <t>Prime Exclusive Discount</t>
        </is>
      </c>
      <c r="BC50" s="120" t="inlineStr">
        <is>
          <t>11-26 to 12-01</t>
        </is>
      </c>
      <c r="BD50" s="121" t="n">
        <v>22.99</v>
      </c>
      <c r="BE50" s="121" t="n">
        <v>19.97</v>
      </c>
      <c r="BF50" s="110">
        <f>IF(AND(ISNUMBER(BD50),ISNUMBER(BE50),N(BD50)&gt;0),1-BE50/BD50,"")</f>
        <v/>
      </c>
      <c r="BG50" s="122" t="n">
        <v>11073</v>
      </c>
      <c r="BH50" s="122" t="n">
        <v>9539</v>
      </c>
      <c r="BI50" s="123">
        <f>IF(AND(ISNUMBER(BG50),ISNUMBER(BH50),N(BH50)&gt;0),BG50/BH50,"")</f>
        <v/>
      </c>
      <c r="BJ50" s="120" t="inlineStr">
        <is>
          <t>N</t>
        </is>
      </c>
      <c r="BK50" s="120" t="inlineStr">
        <is>
          <t>Buy Box RAISED in BFCM week (median $26.99 vs $22.99 before); List Price $49.99</t>
        </is>
      </c>
    </row>
    <row r="51" ht="62" customHeight="1">
      <c r="A51" s="12">
        <f>_xlfn.IMAGE("https://images-na.ssl-images-amazon.com/images/I/71pRDih9AmL.jpg")</f>
        <v/>
      </c>
      <c r="B51" s="105" t="inlineStr">
        <is>
          <t>DOUSUI</t>
        </is>
      </c>
      <c r="C51" s="39" t="inlineStr">
        <is>
          <t>Vertical Wood Welcome Sign for Front Porch Vertical Decorative Sign Front Door Outdoor Indoor Welcome Sign 47.2x7.8 Inch Large Farmhouse Style(white)</t>
        </is>
      </c>
      <c r="D51" s="105" t="inlineStr">
        <is>
          <t>Beatable</t>
        </is>
      </c>
      <c r="E51" s="134" t="inlineStr">
        <is>
          <t>Not classified</t>
        </is>
      </c>
      <c r="F51" s="105" t="n"/>
      <c r="G51" s="39" t="inlineStr">
        <is>
          <t>Not a sheet, pillowcase or comforter product; competitors are compared on price and sales only.</t>
        </is>
      </c>
      <c r="H51" s="107" t="inlineStr">
        <is>
          <t>B0FSZBDYV5</t>
        </is>
      </c>
      <c r="I51" s="107" t="inlineStr">
        <is>
          <t>B0FSZ8GX57</t>
        </is>
      </c>
      <c r="J51" s="105" t="inlineStr">
        <is>
          <t>47.2x7.8 Inch</t>
        </is>
      </c>
      <c r="K51" s="105" t="inlineStr">
        <is>
          <t>white</t>
        </is>
      </c>
      <c r="L51" s="108" t="n">
        <v>3</v>
      </c>
      <c r="M51" s="39" t="inlineStr"/>
      <c r="N51" s="109" t="n">
        <v>24.99</v>
      </c>
      <c r="O51" s="109" t="n"/>
      <c r="P51" s="110">
        <f>IF(AND(ISNUMBER(O51),ISNUMBER(N51),N(N51)&gt;0),O51/N51-1,"")</f>
        <v/>
      </c>
      <c r="Q51" s="111">
        <f>IF(P51="","No List Price",IF(P51&lt;=0,"At/below price",IF(P51&lt;=0.12,"&lt;=12% STR zone",IF(P51&lt;=0.25,"12-25%","&gt;25% over"))))</f>
        <v/>
      </c>
      <c r="R51" s="109" t="n">
        <v>37.95</v>
      </c>
      <c r="S51" s="112">
        <f>IF(AND(ISNUMBER(N51),ISNUMBER(R51),N(R51)&gt;0),N51/R51-1,"")</f>
        <v/>
      </c>
      <c r="T51" s="39" t="inlineStr">
        <is>
          <t>vs our blended price (market data, Mar 2026 - STALE)</t>
        </is>
      </c>
      <c r="U51" s="108" t="n">
        <v>65913</v>
      </c>
      <c r="V51" s="108" t="n">
        <v>81</v>
      </c>
      <c r="W51" s="113">
        <f>IF(AND(ISNUMBER(N51),ISNUMBER(V51)),N51*V51*52/12,"")</f>
        <v/>
      </c>
      <c r="X51" s="114" t="n">
        <v>3.6</v>
      </c>
      <c r="Y51" s="108" t="n">
        <v>139</v>
      </c>
      <c r="Z51" s="115" t="n">
        <v>46307</v>
      </c>
      <c r="AA51" s="115" t="n">
        <v>45963</v>
      </c>
      <c r="AB51" s="105" t="inlineStr">
        <is>
          <t>FBA</t>
        </is>
      </c>
      <c r="AC51" s="105" t="inlineStr">
        <is>
          <t>CN</t>
        </is>
      </c>
      <c r="AD51" s="108" t="n"/>
      <c r="AE51" s="108" t="n"/>
      <c r="AF51" s="116" t="n"/>
      <c r="AG51" s="116" t="n"/>
      <c r="AH51" s="39" t="n"/>
      <c r="AI51" s="116" t="n"/>
      <c r="AJ51" s="116" t="n"/>
      <c r="AK51" s="116" t="n"/>
      <c r="AL51" s="116" t="n"/>
      <c r="AM51" s="108" t="n"/>
      <c r="AN51" s="108" t="n"/>
      <c r="AO51" s="108" t="n"/>
      <c r="AP51" s="108" t="n"/>
      <c r="AQ51" s="108" t="n"/>
      <c r="AR51" s="108" t="n"/>
      <c r="AS51" s="117" t="n"/>
      <c r="AT51" s="112" t="n"/>
      <c r="AU51" s="118" t="inlineStr">
        <is>
          <t>N</t>
        </is>
      </c>
      <c r="AV51" s="118" t="inlineStr">
        <is>
          <t>none</t>
        </is>
      </c>
      <c r="AW51" s="124" t="n"/>
      <c r="AX51" s="119" t="n">
        <v>24.99</v>
      </c>
      <c r="AY51" s="118" t="inlineStr">
        <is>
          <t>none</t>
        </is>
      </c>
      <c r="AZ51" s="118" t="inlineStr">
        <is>
          <t>Y</t>
        </is>
      </c>
      <c r="BA51" s="118" t="inlineStr">
        <is>
          <t>2026-10-13 23:40:10</t>
        </is>
      </c>
      <c r="BB51" s="120" t="inlineStr">
        <is>
          <t>None</t>
        </is>
      </c>
      <c r="BC51" s="125" t="n"/>
      <c r="BD51" s="121" t="n">
        <v>25.99</v>
      </c>
      <c r="BE51" s="121" t="n">
        <v>24.99</v>
      </c>
      <c r="BF51" s="110">
        <f>IF(AND(ISNUMBER(BD51),ISNUMBER(BE51),N(BD51)&gt;0),1-BE51/BD51,"")</f>
        <v/>
      </c>
      <c r="BG51" s="122" t="n">
        <v>306956</v>
      </c>
      <c r="BH51" s="122" t="n">
        <v>316258</v>
      </c>
      <c r="BI51" s="123">
        <f>IF(AND(ISNUMBER(BG51),ISNUMBER(BH51),N(BH51)&gt;0),BG51/BH51,"")</f>
        <v/>
      </c>
      <c r="BJ51" s="120" t="inlineStr">
        <is>
          <t>N</t>
        </is>
      </c>
      <c r="BK51" s="120" t="inlineStr">
        <is>
          <t>List Price $25.99</t>
        </is>
      </c>
    </row>
    <row r="52" ht="62" customHeight="1">
      <c r="A52" s="12">
        <f>_xlfn.IMAGE("https://images-na.ssl-images-amazon.com/images/I/81Z4WE5vHsL.jpg")</f>
        <v/>
      </c>
      <c r="B52" s="105" t="inlineStr">
        <is>
          <t>TQianJiang</t>
        </is>
      </c>
      <c r="C52" s="39" t="inlineStr">
        <is>
          <t>Interchangeable Welcome Sign for Front Porch Standing 47"X8" Wood</t>
        </is>
      </c>
      <c r="D52" s="105" t="inlineStr">
        <is>
          <t>Beatable</t>
        </is>
      </c>
      <c r="E52" s="134" t="inlineStr">
        <is>
          <t>Not classified</t>
        </is>
      </c>
      <c r="F52" s="105" t="n"/>
      <c r="G52" s="39" t="inlineStr">
        <is>
          <t>Not a sheet, pillowcase or comforter product; competitors are compared on price and sales only.</t>
        </is>
      </c>
      <c r="H52" s="107" t="inlineStr">
        <is>
          <t>B0D2XCKW3D</t>
        </is>
      </c>
      <c r="I52" s="107" t="inlineStr">
        <is>
          <t>B0D2X1FT1X</t>
        </is>
      </c>
      <c r="J52" s="105" t="inlineStr">
        <is>
          <t>47 ×8Inches</t>
        </is>
      </c>
      <c r="K52" s="105" t="inlineStr">
        <is>
          <t>Wood</t>
        </is>
      </c>
      <c r="L52" s="108" t="n">
        <v>3</v>
      </c>
      <c r="M52" s="39" t="inlineStr"/>
      <c r="N52" s="109" t="n">
        <v>34.99</v>
      </c>
      <c r="O52" s="109" t="n"/>
      <c r="P52" s="110">
        <f>IF(AND(ISNUMBER(O52),ISNUMBER(N52),N(N52)&gt;0),O52/N52-1,"")</f>
        <v/>
      </c>
      <c r="Q52" s="111">
        <f>IF(P52="","No List Price",IF(P52&lt;=0,"At/below price",IF(P52&lt;=0.12,"&lt;=12% STR zone",IF(P52&lt;=0.25,"12-25%","&gt;25% over"))))</f>
        <v/>
      </c>
      <c r="R52" s="109" t="n">
        <v>37.95</v>
      </c>
      <c r="S52" s="112">
        <f>IF(AND(ISNUMBER(N52),ISNUMBER(R52),N(R52)&gt;0),N52/R52-1,"")</f>
        <v/>
      </c>
      <c r="T52" s="39" t="inlineStr">
        <is>
          <t>vs our blended price (market data, Mar 2026 - STALE)</t>
        </is>
      </c>
      <c r="U52" s="108" t="n">
        <v>202496</v>
      </c>
      <c r="V52" s="108" t="n">
        <v>35</v>
      </c>
      <c r="W52" s="113">
        <f>IF(AND(ISNUMBER(N52),ISNUMBER(V52)),N52*V52*52/12,"")</f>
        <v/>
      </c>
      <c r="X52" s="114" t="n">
        <v>3.8</v>
      </c>
      <c r="Y52" s="108" t="n">
        <v>221</v>
      </c>
      <c r="Z52" s="115" t="n">
        <v>46307</v>
      </c>
      <c r="AA52" s="115" t="n">
        <v>45442</v>
      </c>
      <c r="AB52" s="105" t="inlineStr">
        <is>
          <t>FBA</t>
        </is>
      </c>
      <c r="AC52" s="105" t="inlineStr">
        <is>
          <t>CN</t>
        </is>
      </c>
      <c r="AD52" s="108" t="n"/>
      <c r="AE52" s="108" t="n"/>
      <c r="AF52" s="116" t="n"/>
      <c r="AG52" s="116" t="n"/>
      <c r="AH52" s="39" t="n"/>
      <c r="AI52" s="116" t="n"/>
      <c r="AJ52" s="116" t="n"/>
      <c r="AK52" s="116" t="n"/>
      <c r="AL52" s="116" t="n"/>
      <c r="AM52" s="108" t="n"/>
      <c r="AN52" s="108" t="n"/>
      <c r="AO52" s="108" t="n"/>
      <c r="AP52" s="108" t="n"/>
      <c r="AQ52" s="108" t="n"/>
      <c r="AR52" s="108" t="n"/>
      <c r="AS52" s="117" t="n"/>
      <c r="AT52" s="112" t="n"/>
      <c r="AU52" s="118" t="inlineStr">
        <is>
          <t>N</t>
        </is>
      </c>
      <c r="AV52" s="118" t="inlineStr">
        <is>
          <t>none</t>
        </is>
      </c>
      <c r="AW52" s="124" t="n"/>
      <c r="AX52" s="119" t="n">
        <v>34.99</v>
      </c>
      <c r="AY52" s="118" t="inlineStr">
        <is>
          <t>none</t>
        </is>
      </c>
      <c r="AZ52" s="118" t="inlineStr">
        <is>
          <t>Y</t>
        </is>
      </c>
      <c r="BA52" s="118" t="inlineStr">
        <is>
          <t>2026-10-13 23:43:20</t>
        </is>
      </c>
      <c r="BB52" s="120" t="inlineStr">
        <is>
          <t>None</t>
        </is>
      </c>
      <c r="BC52" s="125" t="n"/>
      <c r="BD52" s="121" t="n">
        <v>37.99</v>
      </c>
      <c r="BE52" s="121" t="n">
        <v>37.99</v>
      </c>
      <c r="BF52" s="110">
        <f>IF(AND(ISNUMBER(BD52),ISNUMBER(BE52),N(BD52)&gt;0),1-BE52/BD52,"")</f>
        <v/>
      </c>
      <c r="BG52" s="122" t="n">
        <v>229489</v>
      </c>
      <c r="BH52" s="122" t="n">
        <v>285800</v>
      </c>
      <c r="BI52" s="123">
        <f>IF(AND(ISNUMBER(BG52),ISNUMBER(BH52),N(BH52)&gt;0),BG52/BH52,"")</f>
        <v/>
      </c>
      <c r="BJ52" s="120" t="inlineStr">
        <is>
          <t>N</t>
        </is>
      </c>
      <c r="BK52" s="120" t="inlineStr">
        <is>
          <t>List Price $39.99</t>
        </is>
      </c>
    </row>
    <row r="53" ht="62" customHeight="1">
      <c r="A53" s="12">
        <f>_xlfn.IMAGE("https://images-na.ssl-images-amazon.com/images/I/81idvhxcZdL.jpg")</f>
        <v/>
      </c>
      <c r="B53" s="105" t="inlineStr">
        <is>
          <t>comurdyo</t>
        </is>
      </c>
      <c r="C53" s="39" t="inlineStr">
        <is>
          <t>comurdyo Welcome-ish Sign for Front porch Standing 45"X9" Wood Black</t>
        </is>
      </c>
      <c r="D53" s="105" t="inlineStr">
        <is>
          <t>Beatable</t>
        </is>
      </c>
      <c r="E53" s="134" t="inlineStr">
        <is>
          <t>Not classified</t>
        </is>
      </c>
      <c r="F53" s="105" t="n"/>
      <c r="G53" s="39" t="inlineStr">
        <is>
          <t>Not a sheet, pillowcase or comforter product; competitors are compared on price and sales only.</t>
        </is>
      </c>
      <c r="H53" s="107" t="inlineStr">
        <is>
          <t>B0CLV68M42</t>
        </is>
      </c>
      <c r="I53" s="107" t="inlineStr">
        <is>
          <t>B0CLV2KQ6T</t>
        </is>
      </c>
      <c r="J53" s="105" t="inlineStr">
        <is>
          <t>45x9 Inches</t>
        </is>
      </c>
      <c r="K53" s="105" t="inlineStr">
        <is>
          <t>Wood Black-Wood Sign</t>
        </is>
      </c>
      <c r="L53" s="108" t="n">
        <v>3</v>
      </c>
      <c r="M53" s="39" t="inlineStr"/>
      <c r="N53" s="109" t="n">
        <v>35.69</v>
      </c>
      <c r="O53" s="109" t="n">
        <v>39.89</v>
      </c>
      <c r="P53" s="110">
        <f>IF(AND(ISNUMBER(O53),ISNUMBER(N53),N(N53)&gt;0),O53/N53-1,"")</f>
        <v/>
      </c>
      <c r="Q53" s="111">
        <f>IF(P53="","No List Price",IF(P53&lt;=0,"At/below price",IF(P53&lt;=0.12,"&lt;=12% STR zone",IF(P53&lt;=0.25,"12-25%","&gt;25% over"))))</f>
        <v/>
      </c>
      <c r="R53" s="109" t="n">
        <v>37.95</v>
      </c>
      <c r="S53" s="112">
        <f>IF(AND(ISNUMBER(N53),ISNUMBER(R53),N(R53)&gt;0),N53/R53-1,"")</f>
        <v/>
      </c>
      <c r="T53" s="39" t="inlineStr">
        <is>
          <t>vs our blended price (market data, Mar 2026 - STALE)</t>
        </is>
      </c>
      <c r="U53" s="108" t="n">
        <v>62615</v>
      </c>
      <c r="V53" s="108" t="n">
        <v>18</v>
      </c>
      <c r="W53" s="113">
        <f>IF(AND(ISNUMBER(N53),ISNUMBER(V53)),N53*V53*52/12,"")</f>
        <v/>
      </c>
      <c r="X53" s="114" t="n">
        <v>4.2</v>
      </c>
      <c r="Y53" s="108" t="n">
        <v>263</v>
      </c>
      <c r="Z53" s="115" t="n">
        <v>46307</v>
      </c>
      <c r="AA53" s="115" t="n">
        <v>45258</v>
      </c>
      <c r="AB53" s="105" t="inlineStr">
        <is>
          <t>FBA</t>
        </is>
      </c>
      <c r="AC53" s="105" t="inlineStr">
        <is>
          <t>CN</t>
        </is>
      </c>
      <c r="AD53" s="108" t="n"/>
      <c r="AE53" s="108" t="n"/>
      <c r="AF53" s="116" t="n"/>
      <c r="AG53" s="116" t="n"/>
      <c r="AH53" s="39" t="n"/>
      <c r="AI53" s="116" t="n"/>
      <c r="AJ53" s="116" t="n"/>
      <c r="AK53" s="116" t="n"/>
      <c r="AL53" s="116" t="n"/>
      <c r="AM53" s="108" t="n"/>
      <c r="AN53" s="108" t="n"/>
      <c r="AO53" s="108" t="n"/>
      <c r="AP53" s="108" t="n"/>
      <c r="AQ53" s="108" t="n"/>
      <c r="AR53" s="108" t="n"/>
      <c r="AS53" s="117" t="n"/>
      <c r="AT53" s="112" t="n"/>
      <c r="AU53" s="118" t="inlineStr">
        <is>
          <t>Y</t>
        </is>
      </c>
      <c r="AV53" s="118" t="inlineStr">
        <is>
          <t>Typical price</t>
        </is>
      </c>
      <c r="AW53" s="119" t="n">
        <v>39.89</v>
      </c>
      <c r="AX53" s="119" t="n">
        <v>35.69</v>
      </c>
      <c r="AY53" s="118" t="inlineStr">
        <is>
          <t>none</t>
        </is>
      </c>
      <c r="AZ53" s="118" t="inlineStr">
        <is>
          <t>Y</t>
        </is>
      </c>
      <c r="BA53" s="118" t="inlineStr">
        <is>
          <t>2026-10-13 23:44:13</t>
        </is>
      </c>
      <c r="BB53" s="120" t="inlineStr">
        <is>
          <t>None</t>
        </is>
      </c>
      <c r="BC53" s="125" t="n"/>
      <c r="BD53" s="121" t="n">
        <v>36.99</v>
      </c>
      <c r="BE53" s="121" t="n">
        <v>36.99</v>
      </c>
      <c r="BF53" s="110">
        <f>IF(AND(ISNUMBER(BD53),ISNUMBER(BE53),N(BD53)&gt;0),1-BE53/BD53,"")</f>
        <v/>
      </c>
      <c r="BG53" s="122" t="n">
        <v>59637</v>
      </c>
      <c r="BH53" s="122" t="n">
        <v>74698</v>
      </c>
      <c r="BI53" s="123">
        <f>IF(AND(ISNUMBER(BG53),ISNUMBER(BH53),N(BH53)&gt;0),BG53/BH53,"")</f>
        <v/>
      </c>
      <c r="BJ53" s="120" t="inlineStr">
        <is>
          <t>N</t>
        </is>
      </c>
      <c r="BK53" s="120" t="inlineStr">
        <is>
          <t>List Price $64.99</t>
        </is>
      </c>
    </row>
    <row r="54" ht="62" customHeight="1">
      <c r="A54" s="12">
        <f>_xlfn.IMAGE("https://m.media-amazon.com/images/I/71srtIyHG1L._AC_SL1500_.jpg")</f>
        <v/>
      </c>
      <c r="B54" s="105" t="inlineStr">
        <is>
          <t>LianheCy</t>
        </is>
      </c>
      <c r="C54" s="39" t="inlineStr">
        <is>
          <t>Front Door Welcome Sign</t>
        </is>
      </c>
      <c r="D54" s="105" t="inlineStr">
        <is>
          <t>Beatable</t>
        </is>
      </c>
      <c r="E54" s="134" t="inlineStr">
        <is>
          <t>Not classified</t>
        </is>
      </c>
      <c r="F54" s="105" t="n"/>
      <c r="G54" s="39" t="inlineStr">
        <is>
          <t>Not a sheet, pillowcase or comforter product; competitors are compared on price and sales only.</t>
        </is>
      </c>
      <c r="H54" s="107" t="inlineStr">
        <is>
          <t>B0FSCRCQQR</t>
        </is>
      </c>
      <c r="I54" s="107" t="inlineStr">
        <is>
          <t>B0FSD5K63B</t>
        </is>
      </c>
      <c r="J54" s="105" t="inlineStr">
        <is>
          <t>47x7.8x0.9 inches</t>
        </is>
      </c>
      <c r="K54" s="105" t="inlineStr">
        <is>
          <t>home-Brown</t>
        </is>
      </c>
      <c r="L54" s="108" t="n"/>
      <c r="M54" s="39" t="inlineStr"/>
      <c r="N54" s="109" t="n">
        <v>24.99</v>
      </c>
      <c r="O54" s="109" t="n"/>
      <c r="P54" s="110">
        <f>IF(AND(ISNUMBER(O54),ISNUMBER(N54),N(N54)&gt;0),O54/N54-1,"")</f>
        <v/>
      </c>
      <c r="Q54" s="111">
        <f>IF(P54="","No List Price",IF(P54&lt;=0,"At/below price",IF(P54&lt;=0.12,"&lt;=12% STR zone",IF(P54&lt;=0.25,"12-25%","&gt;25% over"))))</f>
        <v/>
      </c>
      <c r="R54" s="109" t="n">
        <v>37.95</v>
      </c>
      <c r="S54" s="112">
        <f>IF(AND(ISNUMBER(N54),ISNUMBER(R54),N(R54)&gt;0),N54/R54-1,"")</f>
        <v/>
      </c>
      <c r="T54" s="39" t="inlineStr">
        <is>
          <t>vs our blended price (market data, Mar 2026 - STALE)</t>
        </is>
      </c>
      <c r="U54" s="108" t="n">
        <v>176481</v>
      </c>
      <c r="V54" s="108" t="n">
        <v>18</v>
      </c>
      <c r="W54" s="113">
        <f>IF(AND(ISNUMBER(N54),ISNUMBER(V54)),N54*V54*52/12,"")</f>
        <v/>
      </c>
      <c r="X54" s="114" t="n">
        <v>4</v>
      </c>
      <c r="Y54" s="108" t="n">
        <v>115</v>
      </c>
      <c r="Z54" s="115" t="n">
        <v>46307</v>
      </c>
      <c r="AA54" s="115" t="n"/>
      <c r="AB54" s="105" t="n"/>
      <c r="AC54" s="105" t="n"/>
      <c r="AD54" s="108" t="n"/>
      <c r="AE54" s="108" t="n"/>
      <c r="AF54" s="116" t="n"/>
      <c r="AG54" s="116" t="n"/>
      <c r="AH54" s="39" t="n"/>
      <c r="AI54" s="116" t="n"/>
      <c r="AJ54" s="116" t="n"/>
      <c r="AK54" s="116" t="n"/>
      <c r="AL54" s="116" t="n"/>
      <c r="AM54" s="108" t="n"/>
      <c r="AN54" s="108" t="n"/>
      <c r="AO54" s="108" t="n"/>
      <c r="AP54" s="108" t="n"/>
      <c r="AQ54" s="108" t="n"/>
      <c r="AR54" s="108" t="n"/>
      <c r="AS54" s="117" t="n"/>
      <c r="AT54" s="112" t="n"/>
      <c r="AU54" s="118" t="inlineStr">
        <is>
          <t>N</t>
        </is>
      </c>
      <c r="AV54" s="118" t="inlineStr">
        <is>
          <t>none</t>
        </is>
      </c>
      <c r="AW54" s="124" t="n"/>
      <c r="AX54" s="119" t="n">
        <v>24.99</v>
      </c>
      <c r="AY54" s="118" t="inlineStr">
        <is>
          <t>none</t>
        </is>
      </c>
      <c r="AZ54" s="118" t="inlineStr">
        <is>
          <t>Y</t>
        </is>
      </c>
      <c r="BA54" s="118" t="inlineStr">
        <is>
          <t>2026-10-13 23:41:37</t>
        </is>
      </c>
      <c r="BB54" s="120" t="inlineStr">
        <is>
          <t>None</t>
        </is>
      </c>
      <c r="BC54" s="125" t="n"/>
      <c r="BD54" s="121" t="n">
        <v>24.99</v>
      </c>
      <c r="BE54" s="121" t="n">
        <v>24.99</v>
      </c>
      <c r="BF54" s="110">
        <f>IF(AND(ISNUMBER(BD54),ISNUMBER(BE54),N(BD54)&gt;0),1-BE54/BD54,"")</f>
        <v/>
      </c>
      <c r="BG54" s="122" t="n">
        <v>319366</v>
      </c>
      <c r="BH54" s="122" t="n">
        <v>263688</v>
      </c>
      <c r="BI54" s="123">
        <f>IF(AND(ISNUMBER(BG54),ISNUMBER(BH54),N(BH54)&gt;0),BG54/BH54,"")</f>
        <v/>
      </c>
      <c r="BJ54" s="120" t="inlineStr">
        <is>
          <t>N</t>
        </is>
      </c>
      <c r="BK54" s="120" t="inlineStr">
        <is>
          <t>List Price $22.99</t>
        </is>
      </c>
    </row>
    <row r="55" ht="62" customHeight="1">
      <c r="A55" s="12">
        <f>_xlfn.IMAGE("https://images-na.ssl-images-amazon.com/images/I/71-ZcYRNwZL.jpg")</f>
        <v/>
      </c>
      <c r="B55" s="105" t="inlineStr">
        <is>
          <t>MODE HOME</t>
        </is>
      </c>
      <c r="C55" s="39" t="inlineStr">
        <is>
          <t>MODE HOME Large Vertical Welcome Sign for Front Door Porch, 47x10 Inch Solid Wood Farmhouse Porch Decor, 3D Raised Letters Rustic Welcome to Our Home Sign with Beads &amp; Bow, No Assembly Required, Whitewashed</t>
        </is>
      </c>
      <c r="D55" s="105" t="inlineStr">
        <is>
          <t>Beatable</t>
        </is>
      </c>
      <c r="E55" s="134" t="inlineStr">
        <is>
          <t>Not classified</t>
        </is>
      </c>
      <c r="F55" s="105" t="n"/>
      <c r="G55" s="39" t="inlineStr">
        <is>
          <t>Not a sheet, pillowcase or comforter product; competitors are compared on price and sales only.</t>
        </is>
      </c>
      <c r="H55" s="107" t="inlineStr">
        <is>
          <t>B0BTW5F4LQ</t>
        </is>
      </c>
      <c r="I55" s="107" t="inlineStr">
        <is>
          <t>B0DM8RQ2MV</t>
        </is>
      </c>
      <c r="J55" s="105" t="inlineStr">
        <is>
          <t>47.21 inches x 9.84 inches</t>
        </is>
      </c>
      <c r="K55" s="105" t="inlineStr">
        <is>
          <t>Whitewashed</t>
        </is>
      </c>
      <c r="L55" s="108" t="n">
        <v>3</v>
      </c>
      <c r="M55" s="39" t="inlineStr"/>
      <c r="N55" s="109" t="n">
        <v>43.99</v>
      </c>
      <c r="O55" s="109" t="n"/>
      <c r="P55" s="110">
        <f>IF(AND(ISNUMBER(O55),ISNUMBER(N55),N(N55)&gt;0),O55/N55-1,"")</f>
        <v/>
      </c>
      <c r="Q55" s="111">
        <f>IF(P55="","No List Price",IF(P55&lt;=0,"At/below price",IF(P55&lt;=0.12,"&lt;=12% STR zone",IF(P55&lt;=0.25,"12-25%","&gt;25% over"))))</f>
        <v/>
      </c>
      <c r="R55" s="109" t="n">
        <v>37.95</v>
      </c>
      <c r="S55" s="112">
        <f>IF(AND(ISNUMBER(N55),ISNUMBER(R55),N(R55)&gt;0),N55/R55-1,"")</f>
        <v/>
      </c>
      <c r="T55" s="39" t="inlineStr">
        <is>
          <t>vs our blended price (market data, Mar 2026 - STALE)</t>
        </is>
      </c>
      <c r="U55" s="108" t="n">
        <v>216901</v>
      </c>
      <c r="V55" s="108" t="n">
        <v>18</v>
      </c>
      <c r="W55" s="113">
        <f>IF(AND(ISNUMBER(N55),ISNUMBER(V55)),N55*V55*52/12,"")</f>
        <v/>
      </c>
      <c r="X55" s="114" t="n">
        <v>4.4</v>
      </c>
      <c r="Y55" s="108" t="n">
        <v>312</v>
      </c>
      <c r="Z55" s="115" t="n">
        <v>46307</v>
      </c>
      <c r="AA55" s="115" t="n">
        <v>45640</v>
      </c>
      <c r="AB55" s="105" t="inlineStr">
        <is>
          <t>FBA</t>
        </is>
      </c>
      <c r="AC55" s="105" t="inlineStr">
        <is>
          <t>CN</t>
        </is>
      </c>
      <c r="AD55" s="108" t="n"/>
      <c r="AE55" s="108" t="n"/>
      <c r="AF55" s="116" t="n"/>
      <c r="AG55" s="116" t="n"/>
      <c r="AH55" s="39" t="n"/>
      <c r="AI55" s="116" t="n"/>
      <c r="AJ55" s="116" t="n"/>
      <c r="AK55" s="116" t="n"/>
      <c r="AL55" s="116" t="n"/>
      <c r="AM55" s="108" t="n"/>
      <c r="AN55" s="108" t="n"/>
      <c r="AO55" s="108" t="n"/>
      <c r="AP55" s="108" t="n"/>
      <c r="AQ55" s="108" t="n"/>
      <c r="AR55" s="108" t="n"/>
      <c r="AS55" s="117" t="n"/>
      <c r="AT55" s="112" t="n"/>
      <c r="AU55" s="118" t="inlineStr">
        <is>
          <t>N</t>
        </is>
      </c>
      <c r="AV55" s="118" t="inlineStr">
        <is>
          <t>none</t>
        </is>
      </c>
      <c r="AW55" s="124" t="n"/>
      <c r="AX55" s="119" t="n">
        <v>43.99</v>
      </c>
      <c r="AY55" s="118" t="inlineStr">
        <is>
          <t>none</t>
        </is>
      </c>
      <c r="AZ55" s="118" t="inlineStr">
        <is>
          <t>Y</t>
        </is>
      </c>
      <c r="BA55" s="118" t="inlineStr">
        <is>
          <t>2026-10-13 23:41:50</t>
        </is>
      </c>
      <c r="BB55" s="120" t="inlineStr">
        <is>
          <t>Prime Exclusive Discount</t>
        </is>
      </c>
      <c r="BC55" s="120" t="inlineStr">
        <is>
          <t>11-20 to 12-01</t>
        </is>
      </c>
      <c r="BD55" s="121" t="n">
        <v>38.99</v>
      </c>
      <c r="BE55" s="121" t="n">
        <v>31.19</v>
      </c>
      <c r="BF55" s="110">
        <f>IF(AND(ISNUMBER(BD55),ISNUMBER(BE55),N(BD55)&gt;0),1-BE55/BD55,"")</f>
        <v/>
      </c>
      <c r="BG55" s="122" t="n">
        <v>222652</v>
      </c>
      <c r="BH55" s="122" t="n">
        <v>195986</v>
      </c>
      <c r="BI55" s="123">
        <f>IF(AND(ISNUMBER(BG55),ISNUMBER(BH55),N(BH55)&gt;0),BG55/BH55,"")</f>
        <v/>
      </c>
      <c r="BJ55" s="120" t="inlineStr">
        <is>
          <t>N</t>
        </is>
      </c>
      <c r="BK55" s="120" t="inlineStr">
        <is>
          <t>List Price $49.99</t>
        </is>
      </c>
    </row>
    <row r="56" ht="62" customHeight="1">
      <c r="A56" s="12">
        <f>_xlfn.IMAGE("https://m.media-amazon.com/images/I/81dGwx5TqEL._AC_SL1500_.jpg")</f>
        <v/>
      </c>
      <c r="B56" s="105" t="inlineStr">
        <is>
          <t>SRSZHIYUE</t>
        </is>
      </c>
      <c r="C56" s="39" t="inlineStr">
        <is>
          <t>Front Door Welcome Sign</t>
        </is>
      </c>
      <c r="D56" s="105" t="inlineStr">
        <is>
          <t>Beatable</t>
        </is>
      </c>
      <c r="E56" s="134" t="inlineStr">
        <is>
          <t>Not classified</t>
        </is>
      </c>
      <c r="F56" s="105" t="n"/>
      <c r="G56" s="39" t="inlineStr">
        <is>
          <t>Not a sheet, pillowcase or comforter product; competitors are compared on price and sales only.</t>
        </is>
      </c>
      <c r="H56" s="107" t="inlineStr">
        <is>
          <t>B0HHR2H9D1</t>
        </is>
      </c>
      <c r="I56" s="107" t="inlineStr">
        <is>
          <t>B0FLPZN8VF</t>
        </is>
      </c>
      <c r="J56" s="105" t="inlineStr">
        <is>
          <t>45"X9"</t>
        </is>
      </c>
      <c r="K56" s="105" t="inlineStr">
        <is>
          <t>Interchangeable Welcome Black</t>
        </is>
      </c>
      <c r="L56" s="108" t="n"/>
      <c r="M56" s="39" t="inlineStr"/>
      <c r="N56" s="109" t="n">
        <v>40.89</v>
      </c>
      <c r="O56" s="109" t="n"/>
      <c r="P56" s="110">
        <f>IF(AND(ISNUMBER(O56),ISNUMBER(N56),N(N56)&gt;0),O56/N56-1,"")</f>
        <v/>
      </c>
      <c r="Q56" s="111">
        <f>IF(P56="","No List Price",IF(P56&lt;=0,"At/below price",IF(P56&lt;=0.12,"&lt;=12% STR zone",IF(P56&lt;=0.25,"12-25%","&gt;25% over"))))</f>
        <v/>
      </c>
      <c r="R56" s="109" t="n">
        <v>37.95</v>
      </c>
      <c r="S56" s="112">
        <f>IF(AND(ISNUMBER(N56),ISNUMBER(R56),N(R56)&gt;0),N56/R56-1,"")</f>
        <v/>
      </c>
      <c r="T56" s="39" t="inlineStr">
        <is>
          <t>vs our blended price (market data, Mar 2026 - STALE)</t>
        </is>
      </c>
      <c r="U56" s="108" t="n">
        <v>119925</v>
      </c>
      <c r="V56" s="108" t="n">
        <v>18</v>
      </c>
      <c r="W56" s="113">
        <f>IF(AND(ISNUMBER(N56),ISNUMBER(V56)),N56*V56*52/12,"")</f>
        <v/>
      </c>
      <c r="X56" s="114" t="n">
        <v>3.9</v>
      </c>
      <c r="Y56" s="108" t="n">
        <v>23</v>
      </c>
      <c r="Z56" s="115" t="n">
        <v>46307</v>
      </c>
      <c r="AA56" s="115" t="n"/>
      <c r="AB56" s="105" t="n"/>
      <c r="AC56" s="105" t="n"/>
      <c r="AD56" s="108" t="n"/>
      <c r="AE56" s="108" t="n"/>
      <c r="AF56" s="116" t="n"/>
      <c r="AG56" s="116" t="n"/>
      <c r="AH56" s="39" t="n"/>
      <c r="AI56" s="116" t="n"/>
      <c r="AJ56" s="116" t="n"/>
      <c r="AK56" s="116" t="n"/>
      <c r="AL56" s="116" t="n"/>
      <c r="AM56" s="108" t="n"/>
      <c r="AN56" s="108" t="n"/>
      <c r="AO56" s="108" t="n"/>
      <c r="AP56" s="108" t="n"/>
      <c r="AQ56" s="108" t="n"/>
      <c r="AR56" s="108" t="n"/>
      <c r="AS56" s="117" t="n"/>
      <c r="AT56" s="112" t="n"/>
      <c r="AU56" s="118" t="inlineStr">
        <is>
          <t>N</t>
        </is>
      </c>
      <c r="AV56" s="118" t="inlineStr">
        <is>
          <t>none</t>
        </is>
      </c>
      <c r="AW56" s="124" t="n"/>
      <c r="AX56" s="119" t="n">
        <v>40.89</v>
      </c>
      <c r="AY56" s="118" t="inlineStr">
        <is>
          <t>none</t>
        </is>
      </c>
      <c r="AZ56" s="118" t="inlineStr">
        <is>
          <t>Y</t>
        </is>
      </c>
      <c r="BA56" s="118" t="inlineStr">
        <is>
          <t>2026-10-13 23:42:50</t>
        </is>
      </c>
      <c r="BB56" s="120" t="inlineStr">
        <is>
          <t>None</t>
        </is>
      </c>
      <c r="BC56" s="125" t="n"/>
      <c r="BD56" s="121" t="n">
        <v>38.49</v>
      </c>
      <c r="BE56" s="121" t="n">
        <v>38.49</v>
      </c>
      <c r="BF56" s="110">
        <f>IF(AND(ISNUMBER(BD56),ISNUMBER(BE56),N(BD56)&gt;0),1-BE56/BD56,"")</f>
        <v/>
      </c>
      <c r="BG56" s="122" t="n">
        <v>178486</v>
      </c>
      <c r="BH56" s="122" t="n">
        <v>123282</v>
      </c>
      <c r="BI56" s="123">
        <f>IF(AND(ISNUMBER(BG56),ISNUMBER(BH56),N(BH56)&gt;0),BG56/BH56,"")</f>
        <v/>
      </c>
      <c r="BJ56" s="120" t="inlineStr">
        <is>
          <t>N</t>
        </is>
      </c>
      <c r="BK56" s="120" t="inlineStr">
        <is>
          <t>List Price $43.99</t>
        </is>
      </c>
    </row>
    <row r="57" ht="62" customHeight="1">
      <c r="A57" s="12">
        <f>_xlfn.IMAGE("https://images-na.ssl-images-amazon.com/images/I/71pQygIBqtL.jpg")</f>
        <v/>
      </c>
      <c r="B57" s="105" t="inlineStr">
        <is>
          <t>Yalikop</t>
        </is>
      </c>
      <c r="C57" s="39" t="inlineStr">
        <is>
          <t>Yalikop Interchangeable Welcome Sign for Front Porch 47 x 7.9'', Wood Color</t>
        </is>
      </c>
      <c r="D57" s="105" t="inlineStr">
        <is>
          <t>Beatable</t>
        </is>
      </c>
      <c r="E57" s="134" t="inlineStr">
        <is>
          <t>Not classified</t>
        </is>
      </c>
      <c r="F57" s="105" t="n"/>
      <c r="G57" s="39" t="inlineStr">
        <is>
          <t>Not a sheet, pillowcase or comforter product; competitors are compared on price and sales only.</t>
        </is>
      </c>
      <c r="H57" s="107" t="inlineStr">
        <is>
          <t>B0FCS2QVKW</t>
        </is>
      </c>
      <c r="I57" s="107" t="inlineStr">
        <is>
          <t>B0FCRYV96S</t>
        </is>
      </c>
      <c r="J57" s="105" t="inlineStr">
        <is>
          <t>47.2 x 7.9 x 0.8 inches</t>
        </is>
      </c>
      <c r="K57" s="105" t="inlineStr">
        <is>
          <t>Wood Color</t>
        </is>
      </c>
      <c r="L57" s="108" t="n">
        <v>2</v>
      </c>
      <c r="M57" s="39" t="inlineStr"/>
      <c r="N57" s="109" t="n">
        <v>39.99</v>
      </c>
      <c r="O57" s="109" t="n"/>
      <c r="P57" s="110">
        <f>IF(AND(ISNUMBER(O57),ISNUMBER(N57),N(N57)&gt;0),O57/N57-1,"")</f>
        <v/>
      </c>
      <c r="Q57" s="111">
        <f>IF(P57="","No List Price",IF(P57&lt;=0,"At/below price",IF(P57&lt;=0.12,"&lt;=12% STR zone",IF(P57&lt;=0.25,"12-25%","&gt;25% over"))))</f>
        <v/>
      </c>
      <c r="R57" s="109" t="n">
        <v>37.95</v>
      </c>
      <c r="S57" s="112">
        <f>IF(AND(ISNUMBER(N57),ISNUMBER(R57),N(R57)&gt;0),N57/R57-1,"")</f>
        <v/>
      </c>
      <c r="T57" s="39" t="inlineStr">
        <is>
          <t>vs our blended price (market data, Mar 2026 - STALE)</t>
        </is>
      </c>
      <c r="U57" s="108" t="n">
        <v>245605</v>
      </c>
      <c r="V57" s="108" t="n">
        <v>18</v>
      </c>
      <c r="W57" s="113">
        <f>IF(AND(ISNUMBER(N57),ISNUMBER(V57)),N57*V57*52/12,"")</f>
        <v/>
      </c>
      <c r="X57" s="114" t="n">
        <v>3.8</v>
      </c>
      <c r="Y57" s="108" t="n">
        <v>51</v>
      </c>
      <c r="Z57" s="115" t="n">
        <v>46307</v>
      </c>
      <c r="AA57" s="115" t="n">
        <v>45819</v>
      </c>
      <c r="AB57" s="105" t="inlineStr">
        <is>
          <t>FBA</t>
        </is>
      </c>
      <c r="AC57" s="105" t="inlineStr">
        <is>
          <t>CN</t>
        </is>
      </c>
      <c r="AD57" s="108" t="n"/>
      <c r="AE57" s="108" t="n"/>
      <c r="AF57" s="116" t="n"/>
      <c r="AG57" s="116" t="n"/>
      <c r="AH57" s="39" t="n"/>
      <c r="AI57" s="116" t="n"/>
      <c r="AJ57" s="116" t="n"/>
      <c r="AK57" s="116" t="n"/>
      <c r="AL57" s="116" t="n"/>
      <c r="AM57" s="108" t="n"/>
      <c r="AN57" s="108" t="n"/>
      <c r="AO57" s="108" t="n"/>
      <c r="AP57" s="108" t="n"/>
      <c r="AQ57" s="108" t="n"/>
      <c r="AR57" s="108" t="n"/>
      <c r="AS57" s="117" t="n"/>
      <c r="AT57" s="112" t="n"/>
      <c r="AU57" s="118" t="inlineStr">
        <is>
          <t>N</t>
        </is>
      </c>
      <c r="AV57" s="118" t="inlineStr">
        <is>
          <t>none</t>
        </is>
      </c>
      <c r="AW57" s="124" t="n"/>
      <c r="AX57" s="119" t="n">
        <v>39.99</v>
      </c>
      <c r="AY57" s="118" t="inlineStr">
        <is>
          <t>none</t>
        </is>
      </c>
      <c r="AZ57" s="118" t="inlineStr">
        <is>
          <t>Y</t>
        </is>
      </c>
      <c r="BA57" s="118" t="inlineStr">
        <is>
          <t>2026-10-13 23:43:52</t>
        </is>
      </c>
      <c r="BB57" s="120" t="inlineStr">
        <is>
          <t>None</t>
        </is>
      </c>
      <c r="BC57" s="125" t="n"/>
      <c r="BD57" s="121" t="n">
        <v>41.99</v>
      </c>
      <c r="BE57" s="121" t="n">
        <v>41.99</v>
      </c>
      <c r="BF57" s="110">
        <f>IF(AND(ISNUMBER(BD57),ISNUMBER(BE57),N(BD57)&gt;0),1-BE57/BD57,"")</f>
        <v/>
      </c>
      <c r="BG57" s="122" t="n">
        <v>551854</v>
      </c>
      <c r="BH57" s="122" t="n">
        <v>470737</v>
      </c>
      <c r="BI57" s="123">
        <f>IF(AND(ISNUMBER(BG57),ISNUMBER(BH57),N(BH57)&gt;0),BG57/BH57,"")</f>
        <v/>
      </c>
      <c r="BJ57" s="120" t="inlineStr">
        <is>
          <t>N</t>
        </is>
      </c>
      <c r="BK57" s="120" t="inlineStr">
        <is>
          <t>List Price $41.99</t>
        </is>
      </c>
    </row>
    <row r="58" ht="62" customHeight="1">
      <c r="A58" s="12">
        <f>_xlfn.IMAGE("https://images-na.ssl-images-amazon.com/images/I/8173SwtzP6L.jpg")</f>
        <v/>
      </c>
      <c r="B58" s="105" t="inlineStr">
        <is>
          <t>Consevisen</t>
        </is>
      </c>
      <c r="C58" s="39" t="inlineStr">
        <is>
          <t>Consevisen Welcome Sign for Front Door Porch Standing, Interchangeable 47 x 7.9 Inch Outdoor Vertical Wooden Welcome Sign with 12 Seasonal Icons for Spring Fall Christmas Easter Farmhouse Home Decor</t>
        </is>
      </c>
      <c r="D58" s="105" t="inlineStr">
        <is>
          <t>Beatable</t>
        </is>
      </c>
      <c r="E58" s="134" t="inlineStr">
        <is>
          <t>Not classified</t>
        </is>
      </c>
      <c r="F58" s="105" t="n"/>
      <c r="G58" s="39" t="inlineStr">
        <is>
          <t>Not a sheet, pillowcase or comforter product; competitors are compared on price and sales only.</t>
        </is>
      </c>
      <c r="H58" s="107" t="inlineStr">
        <is>
          <t>B0CKVSC1SZ</t>
        </is>
      </c>
      <c r="I58" s="107" t="inlineStr">
        <is>
          <t>B0CKVPXJ8Z</t>
        </is>
      </c>
      <c r="J58" s="105" t="inlineStr">
        <is>
          <t>Large</t>
        </is>
      </c>
      <c r="K58" s="105" t="inlineStr">
        <is>
          <t>Black</t>
        </is>
      </c>
      <c r="L58" s="108" t="n">
        <v>1</v>
      </c>
      <c r="M58" s="39" t="inlineStr"/>
      <c r="N58" s="109" t="n">
        <v>31.99</v>
      </c>
      <c r="O58" s="109" t="n"/>
      <c r="P58" s="110">
        <f>IF(AND(ISNUMBER(O58),ISNUMBER(N58),N(N58)&gt;0),O58/N58-1,"")</f>
        <v/>
      </c>
      <c r="Q58" s="111">
        <f>IF(P58="","No List Price",IF(P58&lt;=0,"At/below price",IF(P58&lt;=0.12,"&lt;=12% STR zone",IF(P58&lt;=0.25,"12-25%","&gt;25% over"))))</f>
        <v/>
      </c>
      <c r="R58" s="109" t="n">
        <v>37.95</v>
      </c>
      <c r="S58" s="112">
        <f>IF(AND(ISNUMBER(N58),ISNUMBER(R58),N(R58)&gt;0),N58/R58-1,"")</f>
        <v/>
      </c>
      <c r="T58" s="39" t="inlineStr">
        <is>
          <t>vs our blended price (market data, Mar 2026 - STALE)</t>
        </is>
      </c>
      <c r="U58" s="108" t="n">
        <v>736260</v>
      </c>
      <c r="V58" s="108" t="n">
        <v>5</v>
      </c>
      <c r="W58" s="113">
        <f>IF(AND(ISNUMBER(N58),ISNUMBER(V58)),N58*V58*52/12,"")</f>
        <v/>
      </c>
      <c r="X58" s="114" t="n">
        <v>3.5</v>
      </c>
      <c r="Y58" s="108" t="n">
        <v>198</v>
      </c>
      <c r="Z58" s="115" t="n">
        <v>46307</v>
      </c>
      <c r="AA58" s="115" t="n">
        <v>45246</v>
      </c>
      <c r="AB58" s="105" t="inlineStr">
        <is>
          <t>FBM</t>
        </is>
      </c>
      <c r="AC58" s="105" t="inlineStr">
        <is>
          <t>N/A</t>
        </is>
      </c>
      <c r="AD58" s="108" t="n"/>
      <c r="AE58" s="108" t="n"/>
      <c r="AF58" s="116" t="n"/>
      <c r="AG58" s="116" t="n"/>
      <c r="AH58" s="39" t="n"/>
      <c r="AI58" s="116" t="n"/>
      <c r="AJ58" s="116" t="n"/>
      <c r="AK58" s="116" t="n"/>
      <c r="AL58" s="116" t="n"/>
      <c r="AM58" s="108" t="n"/>
      <c r="AN58" s="108" t="n"/>
      <c r="AO58" s="108" t="n"/>
      <c r="AP58" s="108" t="n"/>
      <c r="AQ58" s="108" t="n"/>
      <c r="AR58" s="108" t="n"/>
      <c r="AS58" s="117" t="n"/>
      <c r="AT58" s="112" t="n"/>
      <c r="AU58" s="118" t="inlineStr">
        <is>
          <t>N</t>
        </is>
      </c>
      <c r="AV58" s="118" t="inlineStr">
        <is>
          <t>none</t>
        </is>
      </c>
      <c r="AW58" s="124" t="n"/>
      <c r="AX58" s="124" t="n"/>
      <c r="AY58" s="118" t="inlineStr">
        <is>
          <t>none</t>
        </is>
      </c>
      <c r="AZ58" s="118" t="inlineStr">
        <is>
          <t>N</t>
        </is>
      </c>
      <c r="BA58" s="118" t="inlineStr">
        <is>
          <t>2026-10-13 23:40:04</t>
        </is>
      </c>
      <c r="BB58" s="125" t="n"/>
      <c r="BC58" s="125" t="n"/>
      <c r="BD58" s="124" t="n"/>
      <c r="BE58" s="124" t="n"/>
      <c r="BF58" s="110">
        <f>IF(AND(ISNUMBER(BD58),ISNUMBER(BE58),N(BD58)&gt;0),1-BE58/BD58,"")</f>
        <v/>
      </c>
      <c r="BG58" s="122" t="n">
        <v>1093046</v>
      </c>
      <c r="BH58" s="122" t="n">
        <v>1195838</v>
      </c>
      <c r="BI58" s="123">
        <f>IF(AND(ISNUMBER(BG58),ISNUMBER(BH58),N(BH58)&gt;0),BG58/BH58,"")</f>
        <v/>
      </c>
      <c r="BJ58" s="120" t="inlineStr">
        <is>
          <t>Y</t>
        </is>
      </c>
      <c r="BK58" s="120" t="inlineStr">
        <is>
          <t>No Buy Box history in price history for BFCM 2025; List Price $59.99</t>
        </is>
      </c>
    </row>
    <row r="59" ht="62" customHeight="1">
      <c r="A59" s="12">
        <f>_xlfn.IMAGE("https://m.media-amazon.com/images/I/81YYmnYwYCL._AC_SL1500_.jpg")</f>
        <v/>
      </c>
      <c r="B59" s="105" t="inlineStr">
        <is>
          <t>flowtorely</t>
        </is>
      </c>
      <c r="C59" s="39" t="inlineStr">
        <is>
          <t>Front Door Welcome Sign</t>
        </is>
      </c>
      <c r="D59" s="105" t="inlineStr">
        <is>
          <t>Beatable</t>
        </is>
      </c>
      <c r="E59" s="134" t="inlineStr">
        <is>
          <t>Not classified</t>
        </is>
      </c>
      <c r="F59" s="105" t="n"/>
      <c r="G59" s="39" t="inlineStr">
        <is>
          <t>Not a sheet, pillowcase or comforter product; competitors are compared on price and sales only.</t>
        </is>
      </c>
      <c r="H59" s="107" t="inlineStr">
        <is>
          <t>B0GMWJVN14</t>
        </is>
      </c>
      <c r="I59" s="107" t="inlineStr">
        <is>
          <t>B0D5HJM483</t>
        </is>
      </c>
      <c r="J59" s="105" t="inlineStr">
        <is>
          <t>45"L x 9"W</t>
        </is>
      </c>
      <c r="K59" s="105" t="inlineStr">
        <is>
          <t>Oh Hello There Outdoor （Welcome Black)</t>
        </is>
      </c>
      <c r="L59" s="108" t="n"/>
      <c r="M59" s="39" t="inlineStr"/>
      <c r="N59" s="109" t="n">
        <v>40.99</v>
      </c>
      <c r="O59" s="109" t="n"/>
      <c r="P59" s="110">
        <f>IF(AND(ISNUMBER(O59),ISNUMBER(N59),N(N59)&gt;0),O59/N59-1,"")</f>
        <v/>
      </c>
      <c r="Q59" s="111">
        <f>IF(P59="","No List Price",IF(P59&lt;=0,"At/below price",IF(P59&lt;=0.12,"&lt;=12% STR zone",IF(P59&lt;=0.25,"12-25%","&gt;25% over"))))</f>
        <v/>
      </c>
      <c r="R59" s="109" t="n">
        <v>37.95</v>
      </c>
      <c r="S59" s="112">
        <f>IF(AND(ISNUMBER(N59),ISNUMBER(R59),N(R59)&gt;0),N59/R59-1,"")</f>
        <v/>
      </c>
      <c r="T59" s="39" t="inlineStr">
        <is>
          <t>vs our blended price (market data, Mar 2026 - STALE)</t>
        </is>
      </c>
      <c r="U59" s="108" t="n">
        <v>203350</v>
      </c>
      <c r="V59" s="108" t="n">
        <v>5</v>
      </c>
      <c r="W59" s="113">
        <f>IF(AND(ISNUMBER(N59),ISNUMBER(V59)),N59*V59*52/12,"")</f>
        <v/>
      </c>
      <c r="X59" s="114" t="n">
        <v>4.5</v>
      </c>
      <c r="Y59" s="108" t="n">
        <v>557</v>
      </c>
      <c r="Z59" s="115" t="n">
        <v>46307</v>
      </c>
      <c r="AA59" s="115" t="n"/>
      <c r="AB59" s="105" t="n"/>
      <c r="AC59" s="105" t="n"/>
      <c r="AD59" s="108" t="n"/>
      <c r="AE59" s="108" t="n"/>
      <c r="AF59" s="116" t="n"/>
      <c r="AG59" s="116" t="n"/>
      <c r="AH59" s="39" t="n"/>
      <c r="AI59" s="116" t="n"/>
      <c r="AJ59" s="116" t="n"/>
      <c r="AK59" s="116" t="n"/>
      <c r="AL59" s="116" t="n"/>
      <c r="AM59" s="108" t="n"/>
      <c r="AN59" s="108" t="n"/>
      <c r="AO59" s="108" t="n"/>
      <c r="AP59" s="108" t="n"/>
      <c r="AQ59" s="108" t="n"/>
      <c r="AR59" s="108" t="n"/>
      <c r="AS59" s="117" t="n"/>
      <c r="AT59" s="112" t="n"/>
      <c r="AU59" s="118" t="inlineStr">
        <is>
          <t>N</t>
        </is>
      </c>
      <c r="AV59" s="118" t="inlineStr">
        <is>
          <t>none</t>
        </is>
      </c>
      <c r="AW59" s="124" t="n"/>
      <c r="AX59" s="119" t="n">
        <v>40.99</v>
      </c>
      <c r="AY59" s="118" t="inlineStr">
        <is>
          <t>none</t>
        </is>
      </c>
      <c r="AZ59" s="118" t="inlineStr">
        <is>
          <t>Y</t>
        </is>
      </c>
      <c r="BA59" s="118" t="inlineStr">
        <is>
          <t>2026-10-13 23:44:16</t>
        </is>
      </c>
      <c r="BB59" s="120" t="inlineStr">
        <is>
          <t>None</t>
        </is>
      </c>
      <c r="BC59" s="125" t="n"/>
      <c r="BD59" s="121" t="n">
        <v>38.99</v>
      </c>
      <c r="BE59" s="121" t="n">
        <v>38.99</v>
      </c>
      <c r="BF59" s="110">
        <f>IF(AND(ISNUMBER(BD59),ISNUMBER(BE59),N(BD59)&gt;0),1-BE59/BD59,"")</f>
        <v/>
      </c>
      <c r="BG59" s="122" t="n">
        <v>194058</v>
      </c>
      <c r="BH59" s="122" t="n">
        <v>190431</v>
      </c>
      <c r="BI59" s="123">
        <f>IF(AND(ISNUMBER(BG59),ISNUMBER(BH59),N(BH59)&gt;0),BG59/BH59,"")</f>
        <v/>
      </c>
      <c r="BJ59" s="120" t="inlineStr">
        <is>
          <t>N</t>
        </is>
      </c>
      <c r="BK59" s="120" t="inlineStr">
        <is>
          <t>List Price $40.99</t>
        </is>
      </c>
    </row>
    <row r="60" ht="62" customHeight="1">
      <c r="A60" s="12">
        <f>_xlfn.IMAGE("https://images-na.ssl-images-amazon.com/images/I/81l+mEjvGuL.jpg")</f>
        <v/>
      </c>
      <c r="B60" s="105" t="inlineStr">
        <is>
          <t>Hentonwell</t>
        </is>
      </c>
      <c r="C60" s="39" t="inlineStr">
        <is>
          <t>Welcome Porch Sign Decor,Hanging Wooden Door Sign,Rustic Porch Standing Decorative Signs,Vertical Plaques for Front Door,Farmhouse Outdoor Indoor Welcome Sign 47.2"H（Black）</t>
        </is>
      </c>
      <c r="D60" s="105" t="inlineStr">
        <is>
          <t>Beatable</t>
        </is>
      </c>
      <c r="E60" s="134" t="inlineStr">
        <is>
          <t>Not classified</t>
        </is>
      </c>
      <c r="F60" s="105" t="n"/>
      <c r="G60" s="39" t="inlineStr">
        <is>
          <t>Not a sheet, pillowcase or comforter product; competitors are compared on price and sales only.</t>
        </is>
      </c>
      <c r="H60" s="107" t="inlineStr">
        <is>
          <t>B0FHWJW2GJ</t>
        </is>
      </c>
      <c r="I60" s="107" t="inlineStr">
        <is>
          <t>B0FHWKTVFW</t>
        </is>
      </c>
      <c r="J60" s="105" t="inlineStr">
        <is>
          <t>47.2 inches (Height)</t>
        </is>
      </c>
      <c r="K60" s="105" t="inlineStr">
        <is>
          <t>Black</t>
        </is>
      </c>
      <c r="L60" s="108" t="n">
        <v>1</v>
      </c>
      <c r="M60" s="39" t="inlineStr"/>
      <c r="N60" s="109" t="n">
        <v>23.99</v>
      </c>
      <c r="O60" s="109" t="n">
        <v>26.99</v>
      </c>
      <c r="P60" s="110">
        <f>IF(AND(ISNUMBER(O60),ISNUMBER(N60),N(N60)&gt;0),O60/N60-1,"")</f>
        <v/>
      </c>
      <c r="Q60" s="111">
        <f>IF(P60="","No List Price",IF(P60&lt;=0,"At/below price",IF(P60&lt;=0.12,"&lt;=12% STR zone",IF(P60&lt;=0.25,"12-25%","&gt;25% over"))))</f>
        <v/>
      </c>
      <c r="R60" s="109" t="n">
        <v>37.95</v>
      </c>
      <c r="S60" s="112">
        <f>IF(AND(ISNUMBER(N60),ISNUMBER(R60),N(R60)&gt;0),N60/R60-1,"")</f>
        <v/>
      </c>
      <c r="T60" s="39" t="inlineStr">
        <is>
          <t>vs our blended price (market data, Mar 2026 - STALE)</t>
        </is>
      </c>
      <c r="U60" s="108" t="n">
        <v>854564</v>
      </c>
      <c r="V60" s="108" t="n">
        <v>5</v>
      </c>
      <c r="W60" s="113">
        <f>IF(AND(ISNUMBER(N60),ISNUMBER(V60)),N60*V60*52/12,"")</f>
        <v/>
      </c>
      <c r="X60" s="114" t="n">
        <v>4</v>
      </c>
      <c r="Y60" s="108" t="n">
        <v>54</v>
      </c>
      <c r="Z60" s="115" t="n">
        <v>46307</v>
      </c>
      <c r="AA60" s="115" t="n">
        <v>45868</v>
      </c>
      <c r="AB60" s="105" t="inlineStr">
        <is>
          <t>FBA</t>
        </is>
      </c>
      <c r="AC60" s="105" t="inlineStr">
        <is>
          <t>CN</t>
        </is>
      </c>
      <c r="AD60" s="108" t="n"/>
      <c r="AE60" s="108" t="n"/>
      <c r="AF60" s="116" t="n"/>
      <c r="AG60" s="116" t="n"/>
      <c r="AH60" s="39" t="n"/>
      <c r="AI60" s="116" t="n"/>
      <c r="AJ60" s="116" t="n"/>
      <c r="AK60" s="116" t="n"/>
      <c r="AL60" s="116" t="n"/>
      <c r="AM60" s="108" t="n"/>
      <c r="AN60" s="108" t="n"/>
      <c r="AO60" s="108" t="n"/>
      <c r="AP60" s="108" t="n"/>
      <c r="AQ60" s="108" t="n"/>
      <c r="AR60" s="108" t="n"/>
      <c r="AS60" s="117" t="n"/>
      <c r="AT60" s="112" t="n"/>
      <c r="AU60" s="118" t="inlineStr">
        <is>
          <t>Y</t>
        </is>
      </c>
      <c r="AV60" s="118" t="inlineStr">
        <is>
          <t>Typical price</t>
        </is>
      </c>
      <c r="AW60" s="119" t="n">
        <v>26.99</v>
      </c>
      <c r="AX60" s="119" t="n">
        <v>23.99</v>
      </c>
      <c r="AY60" s="118" t="inlineStr">
        <is>
          <t>none</t>
        </is>
      </c>
      <c r="AZ60" s="118" t="inlineStr">
        <is>
          <t>Y</t>
        </is>
      </c>
      <c r="BA60" s="118" t="inlineStr">
        <is>
          <t>2026-10-13 23:41:12</t>
        </is>
      </c>
      <c r="BB60" s="120" t="inlineStr">
        <is>
          <t>None</t>
        </is>
      </c>
      <c r="BC60" s="125" t="n"/>
      <c r="BD60" s="121" t="n">
        <v>23.85</v>
      </c>
      <c r="BE60" s="121" t="n">
        <v>23.83</v>
      </c>
      <c r="BF60" s="110">
        <f>IF(AND(ISNUMBER(BD60),ISNUMBER(BE60),N(BD60)&gt;0),1-BE60/BD60,"")</f>
        <v/>
      </c>
      <c r="BG60" s="122" t="n">
        <v>355607</v>
      </c>
      <c r="BH60" s="122" t="n">
        <v>462698</v>
      </c>
      <c r="BI60" s="123">
        <f>IF(AND(ISNUMBER(BG60),ISNUMBER(BH60),N(BH60)&gt;0),BG60/BH60,"")</f>
        <v/>
      </c>
      <c r="BJ60" s="120" t="inlineStr">
        <is>
          <t>N</t>
        </is>
      </c>
      <c r="BK60" s="120" t="inlineStr">
        <is>
          <t>List Price $27.99</t>
        </is>
      </c>
    </row>
    <row r="61" ht="62" customHeight="1">
      <c r="A61" s="12">
        <f>_xlfn.IMAGE("https://m.media-amazon.com/images/I/71r6jZo6jqL._AC_SL1500_.jpg")</f>
        <v/>
      </c>
      <c r="B61" s="105" t="inlineStr">
        <is>
          <t>homuvdok</t>
        </is>
      </c>
      <c r="C61" s="39" t="inlineStr">
        <is>
          <t>Front Door Welcome Sign</t>
        </is>
      </c>
      <c r="D61" s="105" t="inlineStr">
        <is>
          <t>Beatable</t>
        </is>
      </c>
      <c r="E61" s="134" t="inlineStr">
        <is>
          <t>Not classified</t>
        </is>
      </c>
      <c r="F61" s="105" t="n"/>
      <c r="G61" s="39" t="inlineStr">
        <is>
          <t>Not a sheet, pillowcase or comforter product; competitors are compared on price and sales only.</t>
        </is>
      </c>
      <c r="H61" s="107" t="inlineStr">
        <is>
          <t>B0G2XD3DW6</t>
        </is>
      </c>
      <c r="I61" s="107" t="inlineStr">
        <is>
          <t>B0FWC4V93F</t>
        </is>
      </c>
      <c r="J61" s="105" t="inlineStr">
        <is>
          <t>7.8" x 47.2"</t>
        </is>
      </c>
      <c r="K61" s="105" t="inlineStr">
        <is>
          <t>Natural Board</t>
        </is>
      </c>
      <c r="L61" s="108" t="n"/>
      <c r="M61" s="39" t="inlineStr"/>
      <c r="N61" s="109" t="n">
        <v>25.99</v>
      </c>
      <c r="O61" s="109" t="n"/>
      <c r="P61" s="110">
        <f>IF(AND(ISNUMBER(O61),ISNUMBER(N61),N(N61)&gt;0),O61/N61-1,"")</f>
        <v/>
      </c>
      <c r="Q61" s="111">
        <f>IF(P61="","No List Price",IF(P61&lt;=0,"At/below price",IF(P61&lt;=0.12,"&lt;=12% STR zone",IF(P61&lt;=0.25,"12-25%","&gt;25% over"))))</f>
        <v/>
      </c>
      <c r="R61" s="109" t="n">
        <v>37.95</v>
      </c>
      <c r="S61" s="112">
        <f>IF(AND(ISNUMBER(N61),ISNUMBER(R61),N(R61)&gt;0),N61/R61-1,"")</f>
        <v/>
      </c>
      <c r="T61" s="39" t="inlineStr">
        <is>
          <t>vs our blended price (market data, Mar 2026 - STALE)</t>
        </is>
      </c>
      <c r="U61" s="108" t="n">
        <v>89173</v>
      </c>
      <c r="V61" s="108" t="n">
        <v>5</v>
      </c>
      <c r="W61" s="113">
        <f>IF(AND(ISNUMBER(N61),ISNUMBER(V61)),N61*V61*52/12,"")</f>
        <v/>
      </c>
      <c r="X61" s="114" t="n">
        <v>4</v>
      </c>
      <c r="Y61" s="108" t="n">
        <v>129</v>
      </c>
      <c r="Z61" s="115" t="n">
        <v>46307</v>
      </c>
      <c r="AA61" s="115" t="n"/>
      <c r="AB61" s="105" t="n"/>
      <c r="AC61" s="105" t="n"/>
      <c r="AD61" s="108" t="n"/>
      <c r="AE61" s="108" t="n"/>
      <c r="AF61" s="116" t="n"/>
      <c r="AG61" s="116" t="n"/>
      <c r="AH61" s="39" t="n"/>
      <c r="AI61" s="116" t="n"/>
      <c r="AJ61" s="116" t="n"/>
      <c r="AK61" s="116" t="n"/>
      <c r="AL61" s="116" t="n"/>
      <c r="AM61" s="108" t="n"/>
      <c r="AN61" s="108" t="n"/>
      <c r="AO61" s="108" t="n"/>
      <c r="AP61" s="108" t="n"/>
      <c r="AQ61" s="108" t="n"/>
      <c r="AR61" s="108" t="n"/>
      <c r="AS61" s="117" t="n"/>
      <c r="AT61" s="112" t="n"/>
      <c r="AU61" s="118" t="inlineStr">
        <is>
          <t>N</t>
        </is>
      </c>
      <c r="AV61" s="118" t="inlineStr">
        <is>
          <t>none</t>
        </is>
      </c>
      <c r="AW61" s="124" t="n"/>
      <c r="AX61" s="119" t="n">
        <v>25.99</v>
      </c>
      <c r="AY61" s="118" t="inlineStr">
        <is>
          <t>none</t>
        </is>
      </c>
      <c r="AZ61" s="118" t="inlineStr">
        <is>
          <t>Y</t>
        </is>
      </c>
      <c r="BA61" s="118" t="inlineStr">
        <is>
          <t>2026-10-13 23:44:19</t>
        </is>
      </c>
      <c r="BB61" s="120" t="inlineStr">
        <is>
          <t>Price cut only</t>
        </is>
      </c>
      <c r="BC61" s="120" t="inlineStr">
        <is>
          <t>11-20 to 12-01</t>
        </is>
      </c>
      <c r="BD61" s="121" t="n">
        <v>39.99</v>
      </c>
      <c r="BE61" s="121" t="n">
        <v>25.99</v>
      </c>
      <c r="BF61" s="110">
        <f>IF(AND(ISNUMBER(BD61),ISNUMBER(BE61),N(BD61)&gt;0),1-BE61/BD61,"")</f>
        <v/>
      </c>
      <c r="BG61" s="126" t="n"/>
      <c r="BH61" s="122" t="n">
        <v>139710</v>
      </c>
      <c r="BI61" s="123">
        <f>IF(AND(ISNUMBER(BG61),ISNUMBER(BH61),N(BH61)&gt;0),BG61/BH61,"")</f>
        <v/>
      </c>
      <c r="BJ61" s="120" t="inlineStr">
        <is>
          <t>N</t>
        </is>
      </c>
      <c r="BK61" s="120" t="inlineStr">
        <is>
          <t>List Price $39.99</t>
        </is>
      </c>
    </row>
    <row r="62" ht="62" customHeight="1">
      <c r="A62" s="12">
        <f>_xlfn.IMAGE("https://m.media-amazon.com/images/I/81+Gr2iZoCL._AC_SL1500_.jpg")</f>
        <v/>
      </c>
      <c r="B62" s="105" t="inlineStr">
        <is>
          <t>RLWangChao</t>
        </is>
      </c>
      <c r="C62" s="39" t="inlineStr">
        <is>
          <t>Front Door Welcome Sign</t>
        </is>
      </c>
      <c r="D62" s="105" t="inlineStr">
        <is>
          <t>Beatable</t>
        </is>
      </c>
      <c r="E62" s="134" t="inlineStr">
        <is>
          <t>Not classified</t>
        </is>
      </c>
      <c r="F62" s="105" t="n"/>
      <c r="G62" s="39" t="inlineStr">
        <is>
          <t>Not a sheet, pillowcase or comforter product; competitors are compared on price and sales only.</t>
        </is>
      </c>
      <c r="H62" s="107" t="inlineStr">
        <is>
          <t>B0D1VHD6PY</t>
        </is>
      </c>
      <c r="I62" s="107" t="inlineStr">
        <is>
          <t>B0DG2RHFFV</t>
        </is>
      </c>
      <c r="J62" s="105" t="inlineStr">
        <is>
          <t>47"L x 8"W</t>
        </is>
      </c>
      <c r="K62" s="105" t="inlineStr">
        <is>
          <t>White</t>
        </is>
      </c>
      <c r="L62" s="108" t="n"/>
      <c r="M62" s="39" t="inlineStr"/>
      <c r="N62" s="109" t="n">
        <v>25.49</v>
      </c>
      <c r="O62" s="109" t="n">
        <v>29.99</v>
      </c>
      <c r="P62" s="110">
        <f>IF(AND(ISNUMBER(O62),ISNUMBER(N62),N(N62)&gt;0),O62/N62-1,"")</f>
        <v/>
      </c>
      <c r="Q62" s="111">
        <f>IF(P62="","No List Price",IF(P62&lt;=0,"At/below price",IF(P62&lt;=0.12,"&lt;=12% STR zone",IF(P62&lt;=0.25,"12-25%","&gt;25% over"))))</f>
        <v/>
      </c>
      <c r="R62" s="109" t="n">
        <v>37.95</v>
      </c>
      <c r="S62" s="112">
        <f>IF(AND(ISNUMBER(N62),ISNUMBER(R62),N(R62)&gt;0),N62/R62-1,"")</f>
        <v/>
      </c>
      <c r="T62" s="39" t="inlineStr">
        <is>
          <t>vs our blended price (market data, Mar 2026 - STALE)</t>
        </is>
      </c>
      <c r="U62" s="108" t="n">
        <v>111258</v>
      </c>
      <c r="V62" s="108" t="n">
        <v>5</v>
      </c>
      <c r="W62" s="113">
        <f>IF(AND(ISNUMBER(N62),ISNUMBER(V62)),N62*V62*52/12,"")</f>
        <v/>
      </c>
      <c r="X62" s="114" t="n">
        <v>3.8</v>
      </c>
      <c r="Y62" s="108" t="n">
        <v>233</v>
      </c>
      <c r="Z62" s="115" t="n">
        <v>46307</v>
      </c>
      <c r="AA62" s="115" t="n"/>
      <c r="AB62" s="105" t="n"/>
      <c r="AC62" s="105" t="n"/>
      <c r="AD62" s="108" t="n"/>
      <c r="AE62" s="108" t="n"/>
      <c r="AF62" s="116" t="n"/>
      <c r="AG62" s="116" t="n"/>
      <c r="AH62" s="39" t="n"/>
      <c r="AI62" s="116" t="n"/>
      <c r="AJ62" s="116" t="n"/>
      <c r="AK62" s="116" t="n"/>
      <c r="AL62" s="116" t="n"/>
      <c r="AM62" s="108" t="n"/>
      <c r="AN62" s="108" t="n"/>
      <c r="AO62" s="108" t="n"/>
      <c r="AP62" s="108" t="n"/>
      <c r="AQ62" s="108" t="n"/>
      <c r="AR62" s="108" t="n"/>
      <c r="AS62" s="117" t="n"/>
      <c r="AT62" s="112" t="n"/>
      <c r="AU62" s="118" t="inlineStr">
        <is>
          <t>Y</t>
        </is>
      </c>
      <c r="AV62" s="118" t="inlineStr">
        <is>
          <t>Typical price</t>
        </is>
      </c>
      <c r="AW62" s="119" t="n">
        <v>29.99</v>
      </c>
      <c r="AX62" s="119" t="n">
        <v>25.49</v>
      </c>
      <c r="AY62" s="118" t="inlineStr">
        <is>
          <t>none</t>
        </is>
      </c>
      <c r="AZ62" s="118" t="inlineStr">
        <is>
          <t>Y</t>
        </is>
      </c>
      <c r="BA62" s="118" t="inlineStr">
        <is>
          <t>2026-10-13 23:42:34</t>
        </is>
      </c>
      <c r="BB62" s="120" t="inlineStr">
        <is>
          <t>Price cut only</t>
        </is>
      </c>
      <c r="BC62" s="120" t="inlineStr">
        <is>
          <t>11-26 to 12-01</t>
        </is>
      </c>
      <c r="BD62" s="121" t="n">
        <v>29.99</v>
      </c>
      <c r="BE62" s="121" t="n">
        <v>20.99</v>
      </c>
      <c r="BF62" s="110">
        <f>IF(AND(ISNUMBER(BD62),ISNUMBER(BE62),N(BD62)&gt;0),1-BE62/BD62,"")</f>
        <v/>
      </c>
      <c r="BG62" s="122" t="n">
        <v>57082</v>
      </c>
      <c r="BH62" s="122" t="n">
        <v>58530</v>
      </c>
      <c r="BI62" s="123">
        <f>IF(AND(ISNUMBER(BG62),ISNUMBER(BH62),N(BH62)&gt;0),BG62/BH62,"")</f>
        <v/>
      </c>
      <c r="BJ62" s="120" t="inlineStr">
        <is>
          <t>N</t>
        </is>
      </c>
      <c r="BK62" s="120" t="inlineStr">
        <is>
          <t>List Price $39.99</t>
        </is>
      </c>
    </row>
    <row r="63" ht="62" customHeight="1">
      <c r="A63" s="12">
        <f>_xlfn.IMAGE("https://images-na.ssl-images-amazon.com/images/I/81CvR4cjzTL.jpg")</f>
        <v/>
      </c>
      <c r="B63" s="105" t="inlineStr">
        <is>
          <t>Dlerom</t>
        </is>
      </c>
      <c r="C63" s="39" t="inlineStr">
        <is>
          <t>Spring Summer Welcome for Front Porch Standing, Daisy Wooden Porch Sign for Front Door Decorations, Rustic Farmhouse Hanging Wall Sign for Spring Home Decor, 47.2"H</t>
        </is>
      </c>
      <c r="D63" s="105" t="inlineStr">
        <is>
          <t>Untiered</t>
        </is>
      </c>
      <c r="E63" s="134" t="inlineStr">
        <is>
          <t>Not classified</t>
        </is>
      </c>
      <c r="F63" s="105" t="n"/>
      <c r="G63" s="39" t="inlineStr">
        <is>
          <t>Not a sheet, pillowcase or comforter product; competitors are compared on price and sales only.</t>
        </is>
      </c>
      <c r="H63" s="107" t="inlineStr">
        <is>
          <t>B0G82967V2</t>
        </is>
      </c>
      <c r="I63" s="107" t="inlineStr">
        <is>
          <t>B0G82967V2</t>
        </is>
      </c>
      <c r="J63" s="105" t="inlineStr">
        <is>
          <t>47x7.8 inches</t>
        </is>
      </c>
      <c r="K63" s="105" t="inlineStr">
        <is>
          <t>Yellow &amp; White</t>
        </is>
      </c>
      <c r="L63" s="108" t="n">
        <v>1</v>
      </c>
      <c r="M63" s="39" t="inlineStr"/>
      <c r="N63" s="109" t="n">
        <v>17.99</v>
      </c>
      <c r="O63" s="109" t="n"/>
      <c r="P63" s="110">
        <f>IF(AND(ISNUMBER(O63),ISNUMBER(N63),N(N63)&gt;0),O63/N63-1,"")</f>
        <v/>
      </c>
      <c r="Q63" s="111">
        <f>IF(P63="","No List Price",IF(P63&lt;=0,"At/below price",IF(P63&lt;=0.12,"&lt;=12% STR zone",IF(P63&lt;=0.25,"12-25%","&gt;25% over"))))</f>
        <v/>
      </c>
      <c r="R63" s="109" t="n">
        <v>37.95</v>
      </c>
      <c r="S63" s="112">
        <f>IF(AND(ISNUMBER(N63),ISNUMBER(R63),N(R63)&gt;0),N63/R63-1,"")</f>
        <v/>
      </c>
      <c r="T63" s="39" t="inlineStr">
        <is>
          <t>vs our blended price (market data, Mar 2026 - STALE)</t>
        </is>
      </c>
      <c r="U63" s="108" t="n">
        <v>1671691</v>
      </c>
      <c r="V63" s="108" t="n">
        <v>5</v>
      </c>
      <c r="W63" s="113">
        <f>IF(AND(ISNUMBER(N63),ISNUMBER(V63)),N63*V63*52/12,"")</f>
        <v/>
      </c>
      <c r="X63" s="114" t="n">
        <v>3.9</v>
      </c>
      <c r="Y63" s="108" t="n">
        <v>17</v>
      </c>
      <c r="Z63" s="115" t="n">
        <v>46307</v>
      </c>
      <c r="AA63" s="115" t="n">
        <v>46037</v>
      </c>
      <c r="AB63" s="105" t="inlineStr">
        <is>
          <t>FBM</t>
        </is>
      </c>
      <c r="AC63" s="105" t="inlineStr">
        <is>
          <t>N/A</t>
        </is>
      </c>
      <c r="AD63" s="108" t="n"/>
      <c r="AE63" s="108" t="n"/>
      <c r="AF63" s="116" t="n"/>
      <c r="AG63" s="116" t="n"/>
      <c r="AH63" s="39" t="n"/>
      <c r="AI63" s="116" t="n"/>
      <c r="AJ63" s="116" t="n"/>
      <c r="AK63" s="116" t="n"/>
      <c r="AL63" s="116" t="n"/>
      <c r="AM63" s="108" t="n"/>
      <c r="AN63" s="108" t="n"/>
      <c r="AO63" s="108" t="n"/>
      <c r="AP63" s="108" t="n"/>
      <c r="AQ63" s="108" t="n"/>
      <c r="AR63" s="108" t="n"/>
      <c r="AS63" s="117" t="n"/>
      <c r="AT63" s="112" t="n"/>
      <c r="AU63" s="118" t="inlineStr">
        <is>
          <t>N</t>
        </is>
      </c>
      <c r="AV63" s="118" t="inlineStr">
        <is>
          <t>none</t>
        </is>
      </c>
      <c r="AW63" s="124" t="n"/>
      <c r="AX63" s="124" t="n"/>
      <c r="AY63" s="118" t="inlineStr">
        <is>
          <t>none</t>
        </is>
      </c>
      <c r="AZ63" s="118" t="inlineStr">
        <is>
          <t>N</t>
        </is>
      </c>
      <c r="BA63" s="118" t="inlineStr">
        <is>
          <t>2026-10-13 23:40:13</t>
        </is>
      </c>
      <c r="BB63" s="120" t="inlineStr">
        <is>
          <t>Not live in 2025</t>
        </is>
      </c>
      <c r="BC63" s="125" t="n"/>
      <c r="BD63" s="124" t="n"/>
      <c r="BE63" s="124" t="n"/>
      <c r="BF63" s="110">
        <f>IF(AND(ISNUMBER(BD63),ISNUMBER(BE63),N(BD63)&gt;0),1-BE63/BD63,"")</f>
        <v/>
      </c>
      <c r="BG63" s="126" t="n"/>
      <c r="BH63" s="126" t="n"/>
      <c r="BI63" s="123">
        <f>IF(AND(ISNUMBER(BG63),ISNUMBER(BH63),N(BH63)&gt;0),BG63/BH63,"")</f>
        <v/>
      </c>
      <c r="BJ63" s="125" t="n"/>
      <c r="BK63" s="125" t="n"/>
    </row>
    <row r="64"/>
    <row r="65" ht="22" customHeight="1">
      <c r="A65" s="65" t="inlineStr">
        <is>
          <t>5 ▼</t>
        </is>
      </c>
      <c r="B65" s="66" t="inlineStr">
        <is>
          <t>WHAT THIS MEANS FOR BFCM</t>
        </is>
      </c>
      <c r="C65" s="67" t="n"/>
      <c r="D65" s="67" t="n"/>
      <c r="E65" s="67" t="n"/>
      <c r="F65" s="67" t="n"/>
      <c r="G65" s="67" t="n"/>
      <c r="H65" s="67" t="n"/>
      <c r="I65" s="67" t="n"/>
      <c r="J65" s="67" t="n"/>
      <c r="K65" s="67" t="n"/>
      <c r="L65" s="67" t="n"/>
      <c r="M65" s="67" t="n"/>
      <c r="N65" s="67" t="n"/>
      <c r="O65" s="67" t="n"/>
      <c r="P65" s="67" t="n"/>
      <c r="Q65" s="67" t="n"/>
      <c r="R65" s="67" t="n"/>
      <c r="S65" s="67" t="n"/>
      <c r="T65" s="67" t="n"/>
      <c r="U65" s="67" t="n"/>
      <c r="V65" s="67" t="n"/>
      <c r="W65" s="67" t="n"/>
      <c r="X65" s="67" t="n"/>
      <c r="Y65" s="67" t="n"/>
      <c r="Z65" s="67" t="n"/>
      <c r="AA65" s="67" t="n"/>
      <c r="AB65" s="67" t="n"/>
      <c r="AC65" s="67" t="n"/>
      <c r="AD65" s="67" t="n"/>
      <c r="AE65" s="67" t="n"/>
      <c r="AF65" s="67" t="n"/>
      <c r="AG65" s="67" t="n"/>
      <c r="AH65" s="67" t="n"/>
      <c r="AI65" s="67" t="n"/>
      <c r="AJ65" s="67" t="n"/>
      <c r="AK65" s="67" t="n"/>
      <c r="AL65" s="67" t="n"/>
      <c r="AM65" s="67" t="n"/>
      <c r="AN65" s="67" t="n"/>
      <c r="AO65" s="67" t="n"/>
      <c r="AP65" s="67" t="n"/>
      <c r="AQ65" s="67" t="n"/>
      <c r="AR65" s="67" t="n"/>
      <c r="AS65" s="67" t="n"/>
      <c r="AT65" s="67" t="n"/>
      <c r="AU65" s="67" t="n"/>
      <c r="AV65" s="67" t="n"/>
      <c r="AW65" s="67" t="n"/>
      <c r="AX65" s="67" t="n"/>
      <c r="AY65" s="67" t="n"/>
      <c r="AZ65" s="67" t="n"/>
      <c r="BA65" s="67" t="n"/>
      <c r="BB65" s="67" t="n"/>
      <c r="BC65" s="67" t="n"/>
      <c r="BD65" s="67" t="n"/>
      <c r="BE65" s="67" t="n"/>
      <c r="BF65" s="67" t="n"/>
      <c r="BG65" s="67" t="n"/>
      <c r="BH65" s="67" t="n"/>
      <c r="BI65" s="67" t="n"/>
      <c r="BJ65" s="67" t="n"/>
      <c r="BK65" s="67" t="n"/>
    </row>
    <row r="66" ht="30" customHeight="1">
      <c r="A66" s="129" t="inlineStr">
        <is>
          <t>• Who sells most: PERFNIQUE ~104/wk at $34.99; Seimip ~104/wk at $23.99; DOUSUI ~81/wk at $24.99; MONJITA ~35/wk at $33.99; Surfapans ~35/wk at $40.99. Tracked rivals ~514 units/wk; we sell ~0/wk (0.1% of the tracked set).</t>
        </is>
      </c>
    </row>
    <row r="67" ht="18" customHeight="1">
      <c r="A67" s="129" t="inlineStr">
        <is>
          <t>• Strikethrough: 3 of 17 rivals set a List Price above price; 1 within 12%: comurdyo +12%.</t>
        </is>
      </c>
    </row>
    <row r="68" ht="18" customHeight="1">
      <c r="A68" s="129" t="inlineStr">
        <is>
          <t>• Price: 12 of 17 rivals sit below our price today (same size where the title states one). Cheapest strong rivals: Seimip $23.99, Hentonwell $23.99, DOUSUI $24.99, LianheCy $24.99.</t>
        </is>
      </c>
    </row>
    <row r="69" ht="30" customHeight="1">
      <c r="A69" s="129" t="inlineStr">
        <is>
          <t>• Strikethrough on the page today (Oct 13 check): 3 of 17 checked rivals show one: comurdyo Typical price $39.89 vs $35.69 (+12%), Hentonwell Typical price $26.99 vs $23.99 (+13%), RLWangChao Typical price $29.99 vs $25.49 (+18%).</t>
        </is>
      </c>
    </row>
    <row r="70" ht="30" customHeight="1">
      <c r="A70" s="129" t="inlineStr">
        <is>
          <t>• BFCM 2025, 15 rivals with price history history: None 9, Prime Exclusive Discount 4, Price cut only 2. Median depth vs their Nov 1-19 price 0%; median BSR lift 1.01x. 4 raised their Buy Box in BFCM week, so their deal looked deeper than it was.</t>
        </is>
      </c>
    </row>
    <row r="71" ht="18" customHeight="1">
      <c r="A71" s="129" t="inlineStr">
        <is>
          <t>• 1 rival not in the price history pulls yet (yellow BFCM 2025 columns) - remaining P2 batches,.</t>
        </is>
      </c>
    </row>
  </sheetData>
  <autoFilter ref="B46:BK63"/>
  <mergeCells count="61">
    <mergeCell ref="A39:BK39"/>
    <mergeCell ref="L5:Q5"/>
    <mergeCell ref="AA45:AC45"/>
    <mergeCell ref="A36:BK36"/>
    <mergeCell ref="A27:C27"/>
    <mergeCell ref="Q11:T11"/>
    <mergeCell ref="L8:Q8"/>
    <mergeCell ref="A70:BK70"/>
    <mergeCell ref="A45:K45"/>
    <mergeCell ref="L4:Q4"/>
    <mergeCell ref="D7:I7"/>
    <mergeCell ref="A13:D13"/>
    <mergeCell ref="I13:L13"/>
    <mergeCell ref="A33:C33"/>
    <mergeCell ref="BB45:BK45"/>
    <mergeCell ref="A69:BK69"/>
    <mergeCell ref="N45:Z45"/>
    <mergeCell ref="D4:I4"/>
    <mergeCell ref="L10:Q10"/>
    <mergeCell ref="E12:H12"/>
    <mergeCell ref="Q13:T13"/>
    <mergeCell ref="A32:C32"/>
    <mergeCell ref="D9:I9"/>
    <mergeCell ref="A66:BK66"/>
    <mergeCell ref="U12:X12"/>
    <mergeCell ref="L9:Q9"/>
    <mergeCell ref="Q12:T12"/>
    <mergeCell ref="A37:BK37"/>
    <mergeCell ref="A11:D11"/>
    <mergeCell ref="A29:C29"/>
    <mergeCell ref="A35:C35"/>
    <mergeCell ref="I11:L11"/>
    <mergeCell ref="D8:I8"/>
    <mergeCell ref="L6:Q6"/>
    <mergeCell ref="A4:B9"/>
    <mergeCell ref="A28:C28"/>
    <mergeCell ref="T6:Y6"/>
    <mergeCell ref="AD45:AT45"/>
    <mergeCell ref="A71:BK71"/>
    <mergeCell ref="D5:I5"/>
    <mergeCell ref="M11:P11"/>
    <mergeCell ref="A30:C30"/>
    <mergeCell ref="U11:X11"/>
    <mergeCell ref="A34:C34"/>
    <mergeCell ref="E13:H13"/>
    <mergeCell ref="D10:I10"/>
    <mergeCell ref="L7:Q7"/>
    <mergeCell ref="T5:Y5"/>
    <mergeCell ref="A38:BK38"/>
    <mergeCell ref="A12:D12"/>
    <mergeCell ref="M13:P13"/>
    <mergeCell ref="AU45:BA45"/>
    <mergeCell ref="I12:L12"/>
    <mergeCell ref="U13:X13"/>
    <mergeCell ref="A68:BK68"/>
    <mergeCell ref="M12:P12"/>
    <mergeCell ref="T4:Y4"/>
    <mergeCell ref="D6:I6"/>
    <mergeCell ref="A67:BK67"/>
    <mergeCell ref="E11:H11"/>
    <mergeCell ref="A40:BK40"/>
  </mergeCells>
  <conditionalFormatting sqref="Q47:Q63">
    <cfRule type="expression" priority="1" dxfId="1">
      <formula>Q47="&lt;=12% STR zone"</formula>
    </cfRule>
  </conditionalFormatting>
  <conditionalFormatting sqref="Z47:Z63">
    <cfRule type="expression" priority="2" dxfId="0">
      <formula>AND(ISNUMBER(Z47),Z47&lt;DATE(2026,10,6))</formula>
    </cfRule>
  </conditionalFormatting>
  <conditionalFormatting sqref="T47:T63">
    <cfRule type="expression" priority="3" dxfId="0">
      <formula>ISNUMBER(SEARCH("STALE",T47))</formula>
    </cfRule>
  </conditionalFormatting>
  <conditionalFormatting sqref="S47:S63">
    <cfRule type="expression" priority="4" dxfId="0">
      <formula>AND(ISNUMBER(S47),S47&lt;0)</formula>
    </cfRule>
  </conditionalFormatting>
  <dataValidations count="3">
    <dataValidation sqref="AU47:AU63 BJ47:BJ63" showDropDown="0" showInputMessage="0" showErrorMessage="0" allowBlank="1" type="list">
      <formula1>"Y,N"</formula1>
    </dataValidation>
    <dataValidation sqref="AV47:AV63" showDropDown="0" showInputMessage="0" showErrorMessage="0" allowBlank="1" type="list">
      <formula1>"List Price,Typical price,Was price,None"</formula1>
    </dataValidation>
    <dataValidation sqref="BB47:BB63"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Welcome Sign'!A3" display="1 Our product ↓"/>
    <hyperlink ref="D2" location="'US DC Welcome Sign'!A15" display="2 Our variations ↓"/>
    <hyperlink ref="E2" location="'US DC Welcome Sign'!A26" display="3 Our BFCM 2025 ↓"/>
    <hyperlink ref="F2" location="'US DC Welcome Sign'!A43" display="4 COMPETITORS (17 mapped) ↓"/>
    <hyperlink ref="G2" location="'US DC Welcome Sign'!A65" display="5 What it means ↓"/>
    <hyperlink xmlns:r="http://schemas.openxmlformats.org/officeDocument/2006/relationships" ref="H47" r:id="rId1"/>
    <hyperlink xmlns:r="http://schemas.openxmlformats.org/officeDocument/2006/relationships" ref="I47" r:id="rId2"/>
    <hyperlink xmlns:r="http://schemas.openxmlformats.org/officeDocument/2006/relationships" ref="H48" r:id="rId3"/>
    <hyperlink xmlns:r="http://schemas.openxmlformats.org/officeDocument/2006/relationships" ref="I48" r:id="rId4"/>
    <hyperlink xmlns:r="http://schemas.openxmlformats.org/officeDocument/2006/relationships" ref="H49" r:id="rId5"/>
    <hyperlink xmlns:r="http://schemas.openxmlformats.org/officeDocument/2006/relationships" ref="I49" r:id="rId6"/>
    <hyperlink xmlns:r="http://schemas.openxmlformats.org/officeDocument/2006/relationships" ref="H50" r:id="rId7"/>
    <hyperlink xmlns:r="http://schemas.openxmlformats.org/officeDocument/2006/relationships" ref="I50" r:id="rId8"/>
    <hyperlink xmlns:r="http://schemas.openxmlformats.org/officeDocument/2006/relationships" ref="H51" r:id="rId9"/>
    <hyperlink xmlns:r="http://schemas.openxmlformats.org/officeDocument/2006/relationships" ref="I51" r:id="rId10"/>
    <hyperlink xmlns:r="http://schemas.openxmlformats.org/officeDocument/2006/relationships" ref="H52" r:id="rId11"/>
    <hyperlink xmlns:r="http://schemas.openxmlformats.org/officeDocument/2006/relationships" ref="I52" r:id="rId12"/>
    <hyperlink xmlns:r="http://schemas.openxmlformats.org/officeDocument/2006/relationships" ref="H53" r:id="rId13"/>
    <hyperlink xmlns:r="http://schemas.openxmlformats.org/officeDocument/2006/relationships" ref="I53" r:id="rId14"/>
    <hyperlink xmlns:r="http://schemas.openxmlformats.org/officeDocument/2006/relationships" ref="H54" r:id="rId15"/>
    <hyperlink xmlns:r="http://schemas.openxmlformats.org/officeDocument/2006/relationships" ref="I54" r:id="rId16"/>
    <hyperlink xmlns:r="http://schemas.openxmlformats.org/officeDocument/2006/relationships" ref="H55" r:id="rId17"/>
    <hyperlink xmlns:r="http://schemas.openxmlformats.org/officeDocument/2006/relationships" ref="I55" r:id="rId18"/>
    <hyperlink xmlns:r="http://schemas.openxmlformats.org/officeDocument/2006/relationships" ref="H56" r:id="rId19"/>
    <hyperlink xmlns:r="http://schemas.openxmlformats.org/officeDocument/2006/relationships" ref="I56" r:id="rId20"/>
    <hyperlink xmlns:r="http://schemas.openxmlformats.org/officeDocument/2006/relationships" ref="H57" r:id="rId21"/>
    <hyperlink xmlns:r="http://schemas.openxmlformats.org/officeDocument/2006/relationships" ref="I57" r:id="rId22"/>
    <hyperlink xmlns:r="http://schemas.openxmlformats.org/officeDocument/2006/relationships" ref="H58" r:id="rId23"/>
    <hyperlink xmlns:r="http://schemas.openxmlformats.org/officeDocument/2006/relationships" ref="I58" r:id="rId24"/>
    <hyperlink xmlns:r="http://schemas.openxmlformats.org/officeDocument/2006/relationships" ref="H59" r:id="rId25"/>
    <hyperlink xmlns:r="http://schemas.openxmlformats.org/officeDocument/2006/relationships" ref="I59" r:id="rId26"/>
    <hyperlink xmlns:r="http://schemas.openxmlformats.org/officeDocument/2006/relationships" ref="H60" r:id="rId27"/>
    <hyperlink xmlns:r="http://schemas.openxmlformats.org/officeDocument/2006/relationships" ref="I60" r:id="rId28"/>
    <hyperlink xmlns:r="http://schemas.openxmlformats.org/officeDocument/2006/relationships" ref="H61" r:id="rId29"/>
    <hyperlink xmlns:r="http://schemas.openxmlformats.org/officeDocument/2006/relationships" ref="I61" r:id="rId30"/>
    <hyperlink xmlns:r="http://schemas.openxmlformats.org/officeDocument/2006/relationships" ref="H62" r:id="rId31"/>
    <hyperlink xmlns:r="http://schemas.openxmlformats.org/officeDocument/2006/relationships" ref="I62" r:id="rId32"/>
    <hyperlink xmlns:r="http://schemas.openxmlformats.org/officeDocument/2006/relationships" ref="H63" r:id="rId33"/>
    <hyperlink xmlns:r="http://schemas.openxmlformats.org/officeDocument/2006/relationships" ref="I63" r:id="rId34"/>
  </hyperlink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9DC3E6"/>
    <outlinePr summaryBelow="1" summaryRight="1"/>
    <pageSetUpPr/>
  </sheetPr>
  <dimension ref="A1:BK85"/>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US</t>
        </is>
      </c>
      <c r="B1" s="62" t="inlineStr">
        <is>
          <t>Decolure Waterproof Chair Cover · Amazon.com (US) · Other · BFCM role: Other · Scope: Other</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(23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_xlfn.IMAGE("https://images-na.ssl-images-amazon.com/images/I/814u78HU6WL.jpg")</f>
        <v/>
      </c>
      <c r="C4" s="13" t="inlineStr">
        <is>
          <t>Title</t>
        </is>
      </c>
      <c r="D4" s="14" t="inlineStr">
        <is>
          <t>Waterproof Dining Chair Covers Set of 6 - 3 Layers Thick Fabric Parsons Chair Slip Covers - Jacquard Kitchen Chair Covers &amp; Stretch Protectors Dining Room, Restaurant - Removable Washable (Chocolate)</t>
        </is>
      </c>
      <c r="K4" s="13" t="inlineStr">
        <is>
          <t>Sizes</t>
        </is>
      </c>
      <c r="L4" s="68" t="inlineStr">
        <is>
          <t>Pack of 4, Pack of 6</t>
        </is>
      </c>
      <c r="S4" s="13" t="inlineStr">
        <is>
          <t>Break-even ACoS</t>
        </is>
      </c>
      <c r="T4" s="68" t="inlineStr">
        <is>
          <t>13%</t>
        </is>
      </c>
    </row>
    <row r="5" ht="22" customHeight="1">
      <c r="C5" s="13" t="inlineStr">
        <is>
          <t>Brand</t>
        </is>
      </c>
      <c r="D5" s="68" t="inlineStr">
        <is>
          <t>Decolure</t>
        </is>
      </c>
      <c r="K5" s="13" t="inlineStr">
        <is>
          <t>Colours</t>
        </is>
      </c>
      <c r="L5" s="68" t="inlineStr">
        <is>
          <t>Beige, Black, Chocolate, Grey, Navy Blue, Wine Red</t>
        </is>
      </c>
      <c r="S5" s="13" t="inlineStr">
        <is>
          <t>Units last 28 days</t>
        </is>
      </c>
      <c r="T5" s="68" t="inlineStr">
        <is>
          <t>30</t>
        </is>
      </c>
    </row>
    <row r="6" ht="22" customHeight="1">
      <c r="C6" s="13" t="inlineStr">
        <is>
          <t>Marketplace</t>
        </is>
      </c>
      <c r="D6" s="68" t="inlineStr">
        <is>
          <t>Amazon.com (US)</t>
        </is>
      </c>
      <c r="K6" s="13" t="inlineStr">
        <is>
          <t>Price now, best child</t>
        </is>
      </c>
      <c r="L6" s="68" t="inlineStr">
        <is>
          <t>$39.99 (catalog price, 2026-10-13)</t>
        </is>
      </c>
      <c r="S6" s="13" t="inlineStr">
        <is>
          <t>market data product ASIN</t>
        </is>
      </c>
      <c r="T6" s="68" t="inlineStr">
        <is>
          <t>B0CY6QPTVJ (one of our child ASINs, not the Amazon parent)</t>
        </is>
      </c>
    </row>
    <row r="7" ht="22" customHeight="1">
      <c r="C7" s="13" t="inlineStr">
        <is>
          <t>Parent ASIN (Amazon)</t>
        </is>
      </c>
      <c r="D7" s="68" t="inlineStr">
        <is>
          <t>B0FB6DM5X9</t>
        </is>
      </c>
      <c r="K7" s="13" t="inlineStr">
        <is>
          <t>Rating / reviews now</t>
        </is>
      </c>
      <c r="L7" s="68" t="inlineStr">
        <is>
          <t>4.5 / 255 (catalog price, 2026-10-13)</t>
        </is>
      </c>
    </row>
    <row r="8" ht="22" customHeight="1">
      <c r="C8" s="13" t="inlineStr">
        <is>
          <t>Best-selling child ASIN</t>
        </is>
      </c>
      <c r="D8" s="68" t="inlineStr">
        <is>
          <t>B0CY63VCW1</t>
        </is>
      </c>
      <c r="K8" s="13" t="inlineStr">
        <is>
          <t>Live prices held</t>
        </is>
      </c>
      <c r="L8" s="68" t="inlineStr">
        <is>
          <t>5 of 12 variations</t>
        </is>
      </c>
    </row>
    <row r="9" ht="22" customHeight="1">
      <c r="C9" s="13" t="inlineStr">
        <is>
          <t>Stage</t>
        </is>
      </c>
      <c r="D9" s="68" t="inlineStr">
        <is>
          <t>Liquidation</t>
        </is>
      </c>
      <c r="K9" s="13" t="inlineStr">
        <is>
          <t>Blended price (market data)</t>
        </is>
      </c>
      <c r="L9" s="68" t="inlineStr">
        <is>
          <t>$25.24 - fee feed as of 2026-03-30, STALE</t>
        </is>
      </c>
    </row>
    <row r="10">
      <c r="C10" s="13" t="inlineStr">
        <is>
          <t>Total variations (SKUs)</t>
        </is>
      </c>
      <c r="D10" s="68" t="n">
        <v>12</v>
      </c>
      <c r="K10" s="13" t="inlineStr">
        <is>
          <t>Contribution / unit</t>
        </is>
      </c>
      <c r="L10" s="68" t="inlineStr">
        <is>
          <t>$3.20</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LIST PRICE WITHIN 12%</t>
        </is>
      </c>
    </row>
    <row r="12" ht="24" customHeight="1">
      <c r="A12" s="70" t="inlineStr">
        <is>
          <t>0.66x</t>
        </is>
      </c>
      <c r="E12" s="70" t="inlineStr">
        <is>
          <t>n/a</t>
        </is>
      </c>
      <c r="I12" s="70" t="inlineStr">
        <is>
          <t>1.35x</t>
        </is>
      </c>
      <c r="M12" s="70" t="inlineStr">
        <is>
          <t>23</t>
        </is>
      </c>
      <c r="Q12" s="70" t="inlineStr">
        <is>
          <t>14</t>
        </is>
      </c>
      <c r="U12" s="70" t="inlineStr">
        <is>
          <t>0</t>
        </is>
      </c>
    </row>
    <row r="13">
      <c r="A13" s="71" t="inlineStr">
        <is>
          <t>daily sales, BFCM wk vs 30 days before (account data actual)</t>
        </is>
      </c>
      <c r="E13" s="71" t="inlineStr"/>
      <c r="I13" s="71" t="inlineStr">
        <is>
          <t>December daily sales vs Oct 21-Nov 19</t>
        </is>
      </c>
      <c r="M13" s="71" t="inlineStr">
        <is>
          <t>market data map</t>
        </is>
      </c>
      <c r="Q13" s="71" t="inlineStr">
        <is>
          <t>same size, else vs our Queen</t>
        </is>
      </c>
      <c r="U13" s="71" t="inlineStr">
        <is>
          <t>List Price set, &lt;=12% above price</t>
        </is>
      </c>
    </row>
    <row r="14"/>
    <row r="15" ht="22" customHeight="1">
      <c r="A15" s="65" t="inlineStr">
        <is>
          <t>2 ▼</t>
        </is>
      </c>
      <c r="B15" s="66" t="inlineStr">
        <is>
          <t>OUR VARIATIONS (12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_xlfn.IMAGE("https://m.media-amazon.com/images/I/81LMVkrWZmL.jpg")</f>
        <v/>
      </c>
      <c r="B18" s="39" t="inlineStr">
        <is>
          <t>B0CY63VCW1</t>
        </is>
      </c>
      <c r="C18" s="39" t="inlineStr">
        <is>
          <t>WATERPROOF-CHAIR-COVER-CHOCOLATE-6PCS</t>
        </is>
      </c>
      <c r="D18" s="39" t="inlineStr">
        <is>
          <t>Waterproof Dining Chair Covers Set of 6 - 3 Layers Thick Fabric Parsons Chair Slip Covers - Jacquard Kitchen Chair Covers &amp; Stretch Protectors Dining Room, Restaurant - Removable Washable (Chocolate)</t>
        </is>
      </c>
      <c r="E18" s="39" t="inlineStr">
        <is>
          <t>Pack of 6</t>
        </is>
      </c>
      <c r="F18" s="39" t="inlineStr">
        <is>
          <t>Chocolate</t>
        </is>
      </c>
      <c r="G18" s="73" t="n">
        <v>39.99</v>
      </c>
      <c r="H18" s="39" t="inlineStr">
        <is>
          <t>catalog price, 2026-10-13</t>
        </is>
      </c>
      <c r="I18" s="74" t="n">
        <v>20.99</v>
      </c>
      <c r="J18" s="75" t="inlineStr">
        <is>
          <t>2026-03-30</t>
        </is>
      </c>
      <c r="K18" s="40" t="n">
        <v>-0.5300000000000011</v>
      </c>
      <c r="L18" s="76" t="n">
        <v>-0.02525011910433545</v>
      </c>
      <c r="M18" s="77" t="n">
        <v>10</v>
      </c>
      <c r="N18" s="39" t="inlineStr">
        <is>
          <t>Active</t>
        </is>
      </c>
      <c r="O18" s="39" t="n"/>
      <c r="P18" s="78" t="n">
        <v>4.5</v>
      </c>
      <c r="Q18" s="77" t="n">
        <v>255</v>
      </c>
      <c r="R18" s="77" t="n">
        <v>702445</v>
      </c>
      <c r="S18" s="77" t="n">
        <v>1</v>
      </c>
      <c r="T18" s="39" t="n"/>
    </row>
    <row r="19" ht="62" customHeight="1">
      <c r="A19" s="12">
        <f>_xlfn.IMAGE("https://m.media-amazon.com/images/I/91TK2ErRvUL.jpg")</f>
        <v/>
      </c>
      <c r="B19" s="39" t="inlineStr">
        <is>
          <t>B0CY6TMHVW</t>
        </is>
      </c>
      <c r="C19" s="39" t="inlineStr">
        <is>
          <t>WATERPROOF-CHAIR-COVER-BEIGE-6PCS</t>
        </is>
      </c>
      <c r="D19" s="39" t="inlineStr">
        <is>
          <t>Waterproof Dining Chair Covers Set of 6 - 3 Layers Thick Fabric Parsons Chair Slip Covers - Jacquard Kitchen Chair Covers &amp; Stretch Protectors for Dining Room, Restaurant - Removable Washable (Beige)</t>
        </is>
      </c>
      <c r="E19" s="39" t="inlineStr">
        <is>
          <t>Pack of 6</t>
        </is>
      </c>
      <c r="F19" s="39" t="inlineStr">
        <is>
          <t>Beige</t>
        </is>
      </c>
      <c r="G19" s="73" t="n">
        <v>39.99</v>
      </c>
      <c r="H19" s="39" t="inlineStr">
        <is>
          <t>catalog price, 2026-10-13</t>
        </is>
      </c>
      <c r="I19" s="74" t="n">
        <v>29.99</v>
      </c>
      <c r="J19" s="75" t="inlineStr">
        <is>
          <t>2026-03-30</t>
        </is>
      </c>
      <c r="K19" s="40" t="n">
        <v>6.51</v>
      </c>
      <c r="L19" s="76" t="n">
        <v>0.2170723574524842</v>
      </c>
      <c r="M19" s="77" t="n">
        <v>9</v>
      </c>
      <c r="N19" s="39" t="inlineStr">
        <is>
          <t>Active</t>
        </is>
      </c>
      <c r="O19" s="39" t="n"/>
      <c r="P19" s="78" t="n">
        <v>4.5</v>
      </c>
      <c r="Q19" s="77" t="n">
        <v>255</v>
      </c>
      <c r="R19" s="77" t="n">
        <v>702445</v>
      </c>
      <c r="S19" s="77" t="n">
        <v>19</v>
      </c>
      <c r="T19" s="39" t="n"/>
    </row>
    <row r="20" ht="62" customHeight="1">
      <c r="A20" s="12">
        <f>_xlfn.IMAGE("https://m.media-amazon.com/images/I/91TK2ErRvUL.jpg")</f>
        <v/>
      </c>
      <c r="B20" s="39" t="inlineStr">
        <is>
          <t>B0CY6Q9G59</t>
        </is>
      </c>
      <c r="C20" s="39" t="inlineStr">
        <is>
          <t>WATERPROOF-CHAIR-COVER-WINE-RED-4PCS</t>
        </is>
      </c>
      <c r="D20" s="39" t="inlineStr">
        <is>
          <t>Waterproof Dining Chair Covers Set of 4 - 3 Layers Thick Fabric Parsons Chair Slip Covers - Jacquard Kitchen Chair Covers &amp; Stretch Protectors Dining Room, Restaurant - Removable Washable (Wine Red)</t>
        </is>
      </c>
      <c r="E20" s="39" t="inlineStr">
        <is>
          <t>Pack of 4</t>
        </is>
      </c>
      <c r="F20" s="39" t="inlineStr">
        <is>
          <t>Wine Red</t>
        </is>
      </c>
      <c r="G20" s="40" t="n"/>
      <c r="H20" s="39" t="n"/>
      <c r="I20" s="74" t="n">
        <v>22.49</v>
      </c>
      <c r="J20" s="75" t="inlineStr">
        <is>
          <t>2026-03-30</t>
        </is>
      </c>
      <c r="K20" s="40" t="n">
        <v>2.059999999999997</v>
      </c>
      <c r="L20" s="76" t="n">
        <v>0.09159626500666951</v>
      </c>
      <c r="M20" s="77" t="n">
        <v>3</v>
      </c>
      <c r="N20" s="39" t="inlineStr">
        <is>
          <t>Inactive</t>
        </is>
      </c>
      <c r="O20" s="39" t="n"/>
      <c r="P20" s="78" t="n"/>
      <c r="Q20" s="77" t="n"/>
      <c r="R20" s="77" t="n"/>
      <c r="S20" s="77" t="n"/>
      <c r="T20" s="39" t="n"/>
    </row>
    <row r="21" ht="62" customHeight="1">
      <c r="A21" s="12">
        <f>_xlfn.IMAGE("https://m.media-amazon.com/images/I/81P7Rlow13L.jpg")</f>
        <v/>
      </c>
      <c r="B21" s="39" t="inlineStr">
        <is>
          <t>B0CY6H87BC</t>
        </is>
      </c>
      <c r="C21" s="39" t="inlineStr">
        <is>
          <t>WATERPROOF-CHAIR-COVER-CHOCOLATE-4PCS</t>
        </is>
      </c>
      <c r="D21" s="39" t="inlineStr">
        <is>
          <t>Waterproof Dining Chair Covers Set of 4 - 3 Layers Thick Fabric Parsons Chair Slip Covers - Jacquard Kitchen Chair Covers &amp; Stretch Protectors Dining Room, Restaurant - Removable Washable (Chocolate)</t>
        </is>
      </c>
      <c r="E21" s="39" t="inlineStr">
        <is>
          <t>Pack of 4</t>
        </is>
      </c>
      <c r="F21" s="39" t="inlineStr">
        <is>
          <t>Chocolate</t>
        </is>
      </c>
      <c r="G21" s="73" t="n">
        <v>29.99</v>
      </c>
      <c r="H21" s="39" t="inlineStr">
        <is>
          <t>catalog price, 2026-10-13</t>
        </is>
      </c>
      <c r="I21" s="74" t="n">
        <v>22.49</v>
      </c>
      <c r="J21" s="75" t="inlineStr">
        <is>
          <t>2026-03-30</t>
        </is>
      </c>
      <c r="K21" s="40" t="n">
        <v>3.019999999999996</v>
      </c>
      <c r="L21" s="76" t="n">
        <v>0.1342819030680301</v>
      </c>
      <c r="M21" s="77" t="n">
        <v>2</v>
      </c>
      <c r="N21" s="39" t="inlineStr">
        <is>
          <t>Active</t>
        </is>
      </c>
      <c r="O21" s="39" t="n"/>
      <c r="P21" s="78" t="n">
        <v>4.5</v>
      </c>
      <c r="Q21" s="77" t="n">
        <v>255</v>
      </c>
      <c r="R21" s="77" t="n">
        <v>702445</v>
      </c>
      <c r="S21" s="77" t="n">
        <v>3</v>
      </c>
      <c r="T21" s="39" t="n"/>
    </row>
    <row r="22" ht="62" customHeight="1">
      <c r="A22" s="12">
        <f>_xlfn.IMAGE("https://m.media-amazon.com/images/I/814xhZ7ftXL.jpg")</f>
        <v/>
      </c>
      <c r="B22" s="39" t="inlineStr">
        <is>
          <t>B0CY6H5P5T</t>
        </is>
      </c>
      <c r="C22" s="39" t="inlineStr">
        <is>
          <t>WATERPROOF-CHAIR-COVER-BLACK-6PCS</t>
        </is>
      </c>
      <c r="D22" s="39" t="inlineStr">
        <is>
          <t>Waterproof Dining Chair Covers Set of 6 - 3 Layers Thick Fabric Parsons Chair Slip Covers - Jacquard Kitchen Chair Covers &amp; Stretch Protectors for Dining Room, Restaurant - Removable Washable (Black)</t>
        </is>
      </c>
      <c r="E22" s="39" t="inlineStr">
        <is>
          <t>Pack of 6</t>
        </is>
      </c>
      <c r="F22" s="39" t="inlineStr">
        <is>
          <t>Black</t>
        </is>
      </c>
      <c r="G22" s="73" t="n">
        <v>39.99</v>
      </c>
      <c r="H22" s="39" t="inlineStr">
        <is>
          <t>catalog price, 2026-10-13</t>
        </is>
      </c>
      <c r="I22" s="74" t="n">
        <v>29.99</v>
      </c>
      <c r="J22" s="75" t="inlineStr">
        <is>
          <t>2026-03-30</t>
        </is>
      </c>
      <c r="K22" s="40" t="n">
        <v>5.989999999999998</v>
      </c>
      <c r="L22" s="76" t="n">
        <v>0.1997332444148049</v>
      </c>
      <c r="M22" s="77" t="n">
        <v>2</v>
      </c>
      <c r="N22" s="39" t="inlineStr">
        <is>
          <t>Active</t>
        </is>
      </c>
      <c r="O22" s="39" t="n"/>
      <c r="P22" s="78" t="n">
        <v>4.5</v>
      </c>
      <c r="Q22" s="77" t="n">
        <v>255</v>
      </c>
      <c r="R22" s="77" t="n">
        <v>702445</v>
      </c>
      <c r="S22" s="77" t="n">
        <v>11</v>
      </c>
      <c r="T22" s="39" t="n"/>
    </row>
    <row r="23" ht="62" customHeight="1">
      <c r="A23" s="12">
        <f>_xlfn.IMAGE("https://m.media-amazon.com/images/I/91TK2ErRvUL.jpg")</f>
        <v/>
      </c>
      <c r="B23" s="39" t="inlineStr">
        <is>
          <t>B0CY6H5CGX</t>
        </is>
      </c>
      <c r="C23" s="39" t="inlineStr">
        <is>
          <t>WATERPROOF-CHAIR-COVER-WINE-RED-6PCS</t>
        </is>
      </c>
      <c r="D23" s="39" t="inlineStr">
        <is>
          <t>Waterproof Dining Chair Covers Set of 6 - 3 Layers Thick Fabric Parsons Chair Slip Covers - Jacquard Kitchen Chair Covers &amp; Stretch Protectors Dining Room, Restaurant - Removable Washable (Wine Red)</t>
        </is>
      </c>
      <c r="E23" s="39" t="inlineStr">
        <is>
          <t>Pack of 6</t>
        </is>
      </c>
      <c r="F23" s="39" t="inlineStr">
        <is>
          <t>Wine Red</t>
        </is>
      </c>
      <c r="G23" s="40" t="n"/>
      <c r="H23" s="39" t="n"/>
      <c r="I23" s="74" t="n">
        <v>29.99</v>
      </c>
      <c r="J23" s="75" t="inlineStr">
        <is>
          <t>2026-03-30</t>
        </is>
      </c>
      <c r="K23" s="40" t="n">
        <v>6.66</v>
      </c>
      <c r="L23" s="76" t="n">
        <v>0.2220740246748917</v>
      </c>
      <c r="M23" s="77" t="n">
        <v>2</v>
      </c>
      <c r="N23" s="39" t="inlineStr">
        <is>
          <t>Active</t>
        </is>
      </c>
      <c r="O23" s="39" t="n"/>
      <c r="P23" s="78" t="n"/>
      <c r="Q23" s="77" t="n"/>
      <c r="R23" s="77" t="n"/>
      <c r="S23" s="77" t="n"/>
      <c r="T23" s="39" t="n"/>
    </row>
    <row r="24" ht="62" customHeight="1">
      <c r="A24" s="12">
        <f>_xlfn.IMAGE("https://m.media-amazon.com/images/I/91TK2ErRvUL.jpg")</f>
        <v/>
      </c>
      <c r="B24" s="39" t="inlineStr">
        <is>
          <t>B0CY6QPTVJ</t>
        </is>
      </c>
      <c r="C24" s="39" t="inlineStr">
        <is>
          <t>WATERPROOF-CHAIR-COVER-BEIGE-4PCS</t>
        </is>
      </c>
      <c r="D24" s="39" t="inlineStr">
        <is>
          <t>Waterproof Dining Chair Covers Set of 4 - 3 Layers Thick Fabric Parsons Chair Slip Covers - Jacquard Kitchen Chair Covers &amp; Stretch Protectors for Dining Room, Restaurant - Removable Washable (Beige)</t>
        </is>
      </c>
      <c r="E24" s="39" t="inlineStr">
        <is>
          <t>Pack of 4</t>
        </is>
      </c>
      <c r="F24" s="39" t="inlineStr">
        <is>
          <t>Beige</t>
        </is>
      </c>
      <c r="G24" s="40" t="n"/>
      <c r="H24" s="39" t="n"/>
      <c r="I24" s="74" t="n">
        <v>22.49</v>
      </c>
      <c r="J24" s="75" t="inlineStr">
        <is>
          <t>2026-03-30</t>
        </is>
      </c>
      <c r="K24" s="40" t="n">
        <v>2.669999999999996</v>
      </c>
      <c r="L24" s="76" t="n">
        <v>0.118719430858159</v>
      </c>
      <c r="M24" s="77" t="n">
        <v>1</v>
      </c>
      <c r="N24" s="39" t="inlineStr">
        <is>
          <t>Inactive</t>
        </is>
      </c>
      <c r="O24" s="39" t="n"/>
      <c r="P24" s="78" t="n"/>
      <c r="Q24" s="77" t="n"/>
      <c r="R24" s="77" t="n"/>
      <c r="S24" s="77" t="n"/>
      <c r="T24" s="39" t="n"/>
    </row>
    <row r="25" ht="62" customHeight="1">
      <c r="A25" s="12">
        <f>_xlfn.IMAGE("https://m.media-amazon.com/images/I/81SNoF+EXHL.jpg")</f>
        <v/>
      </c>
      <c r="B25" s="39" t="inlineStr">
        <is>
          <t>B0CY6MJBWN</t>
        </is>
      </c>
      <c r="C25" s="39" t="inlineStr">
        <is>
          <t>WATERPROOF-CHAIR-COVER-BLACK-4PCS</t>
        </is>
      </c>
      <c r="D25" s="39" t="inlineStr">
        <is>
          <t>Waterproof Dining Chair Covers Set of 4 - 3 Layers Thick Fabric Parsons Chair Slip Covers - Jacquard Kitchen Chair Covers &amp; Stretch Protectors for Dining Room, Restaurant - Removable Washable (Black)</t>
        </is>
      </c>
      <c r="E25" s="39" t="inlineStr">
        <is>
          <t>Pack of 4</t>
        </is>
      </c>
      <c r="F25" s="39" t="inlineStr">
        <is>
          <t>Black</t>
        </is>
      </c>
      <c r="G25" s="73" t="n">
        <v>29.99</v>
      </c>
      <c r="H25" s="39" t="inlineStr">
        <is>
          <t>catalog price, 2026-10-13</t>
        </is>
      </c>
      <c r="I25" s="74" t="n">
        <v>22.49</v>
      </c>
      <c r="J25" s="75" t="inlineStr">
        <is>
          <t>2026-03-30</t>
        </is>
      </c>
      <c r="K25" s="40" t="n">
        <v>2.559999999999999</v>
      </c>
      <c r="L25" s="76" t="n">
        <v>0.1138283681636282</v>
      </c>
      <c r="M25" s="77" t="n">
        <v>1</v>
      </c>
      <c r="N25" s="39" t="inlineStr">
        <is>
          <t>Active</t>
        </is>
      </c>
      <c r="O25" s="39" t="n"/>
      <c r="P25" s="78" t="n">
        <v>4.5</v>
      </c>
      <c r="Q25" s="77" t="n">
        <v>255</v>
      </c>
      <c r="R25" s="77" t="n">
        <v>702445</v>
      </c>
      <c r="S25" s="77" t="n">
        <v>3</v>
      </c>
      <c r="T25" s="39" t="n"/>
    </row>
    <row r="26" ht="62" customHeight="1">
      <c r="A26" s="12">
        <f>_xlfn.IMAGE("https://m.media-amazon.com/images/I/91TK2ErRvUL.jpg")</f>
        <v/>
      </c>
      <c r="B26" s="39" t="inlineStr">
        <is>
          <t>B0CY6TKSGM</t>
        </is>
      </c>
      <c r="C26" s="39" t="inlineStr">
        <is>
          <t>WATERPROOF-CHAIR-COVER-GREY-4PCS</t>
        </is>
      </c>
      <c r="D26" s="39" t="inlineStr">
        <is>
          <t>Waterproof Dining Chair Covers Set of 4 - 3 Layers Thick Fabric Parsons Chair Slip Covers - Jacquard Kitchen Chair Covers &amp; Stretch Protectors for Dining Room, Restaurant - Removable Washable (Grey)</t>
        </is>
      </c>
      <c r="E26" s="39" t="inlineStr">
        <is>
          <t>Pack of 4</t>
        </is>
      </c>
      <c r="F26" s="39" t="inlineStr">
        <is>
          <t>Grey</t>
        </is>
      </c>
      <c r="G26" s="40" t="n"/>
      <c r="H26" s="39" t="n"/>
      <c r="I26" s="40" t="n"/>
      <c r="J26" s="39" t="n"/>
      <c r="K26" s="40" t="n"/>
      <c r="L26" s="76" t="n"/>
      <c r="M26" s="77" t="n"/>
      <c r="N26" s="39" t="inlineStr">
        <is>
          <t>Inactive</t>
        </is>
      </c>
      <c r="O26" s="39" t="n"/>
      <c r="P26" s="78" t="n"/>
      <c r="Q26" s="77" t="n"/>
      <c r="R26" s="77" t="n"/>
      <c r="S26" s="77" t="n"/>
      <c r="T26" s="39" t="n"/>
    </row>
    <row r="27" ht="62" customHeight="1">
      <c r="A27" s="12">
        <f>_xlfn.IMAGE("https://m.media-amazon.com/images/I/91TK2ErRvUL.jpg")</f>
        <v/>
      </c>
      <c r="B27" s="39" t="inlineStr">
        <is>
          <t>B0CY6V73WQ</t>
        </is>
      </c>
      <c r="C27" s="39" t="inlineStr">
        <is>
          <t>WATERPROOF-CHAIR-COVER-NAVY-BLUE-4PCS</t>
        </is>
      </c>
      <c r="D27" s="39" t="inlineStr">
        <is>
          <t>Waterproof Dining Chair Covers Set of 4 - 3 Layers Thick Fabric Parsons Chair Slip Covers - Jacquard Kitchen Chair Covers &amp; Stretch Protectors Dining Room, Restaurant - Removable Washable (Navy Blue)</t>
        </is>
      </c>
      <c r="E27" s="39" t="inlineStr">
        <is>
          <t>Pack of 4</t>
        </is>
      </c>
      <c r="F27" s="39" t="inlineStr">
        <is>
          <t>Navy Blue</t>
        </is>
      </c>
      <c r="G27" s="40" t="n"/>
      <c r="H27" s="39" t="n"/>
      <c r="I27" s="74" t="n">
        <v>22.49</v>
      </c>
      <c r="J27" s="75" t="inlineStr">
        <is>
          <t>2026-03-12</t>
        </is>
      </c>
      <c r="K27" s="40" t="n">
        <v>2.729999999999999</v>
      </c>
      <c r="L27" s="76" t="n">
        <v>0.1213872832369942</v>
      </c>
      <c r="M27" s="77" t="n"/>
      <c r="N27" s="39" t="inlineStr">
        <is>
          <t>Inactive</t>
        </is>
      </c>
      <c r="O27" s="39" t="n"/>
      <c r="P27" s="78" t="n"/>
      <c r="Q27" s="77" t="n"/>
      <c r="R27" s="77" t="n"/>
      <c r="S27" s="77" t="n"/>
      <c r="T27" s="39" t="n"/>
    </row>
    <row r="28" ht="62" customHeight="1">
      <c r="A28" s="12">
        <f>_xlfn.IMAGE("https://m.media-amazon.com/images/I/91TK2ErRvUL.jpg")</f>
        <v/>
      </c>
      <c r="B28" s="39" t="inlineStr">
        <is>
          <t>B0CY6L59XS</t>
        </is>
      </c>
      <c r="C28" s="39" t="inlineStr">
        <is>
          <t>WATERPROOF-CHAIR-COVER-GREY-6PCS</t>
        </is>
      </c>
      <c r="D28" s="39" t="inlineStr">
        <is>
          <t>Waterproof Dining Chair Covers Set of 6 - 3 Layers Thick Fabric Parsons Chair Slip Covers - Jacquard Kitchen Chair Covers &amp; Stretch Protectors for Dining Room, Restaurant - Removable Washable (Grey)</t>
        </is>
      </c>
      <c r="E28" s="39" t="inlineStr">
        <is>
          <t>Pack of 6</t>
        </is>
      </c>
      <c r="F28" s="39" t="inlineStr">
        <is>
          <t>Grey</t>
        </is>
      </c>
      <c r="G28" s="40" t="n"/>
      <c r="H28" s="39" t="n"/>
      <c r="I28" s="74" t="n">
        <v>29.99</v>
      </c>
      <c r="J28" s="75" t="inlineStr">
        <is>
          <t>2026-03-30</t>
        </is>
      </c>
      <c r="K28" s="40" t="n">
        <v>5.92</v>
      </c>
      <c r="L28" s="76" t="n">
        <v>0.1973991330443481</v>
      </c>
      <c r="M28" s="77" t="n"/>
      <c r="N28" s="39" t="inlineStr">
        <is>
          <t>Inactive</t>
        </is>
      </c>
      <c r="O28" s="39" t="n"/>
      <c r="P28" s="78" t="n"/>
      <c r="Q28" s="77" t="n"/>
      <c r="R28" s="77" t="n"/>
      <c r="S28" s="77" t="n"/>
      <c r="T28" s="39" t="n"/>
    </row>
    <row r="29" ht="62" customHeight="1">
      <c r="A29" s="12">
        <f>_xlfn.IMAGE("https://m.media-amazon.com/images/I/91TK2ErRvUL.jpg")</f>
        <v/>
      </c>
      <c r="B29" s="39" t="inlineStr">
        <is>
          <t>B0CY685B6H</t>
        </is>
      </c>
      <c r="C29" s="39" t="inlineStr">
        <is>
          <t>WATERPROOF-CHAIR-COVER-NAVY-BLUE-6PCS</t>
        </is>
      </c>
      <c r="D29" s="39" t="inlineStr">
        <is>
          <t>Waterproof Dining Chair Covers Set of 6 - 3 Layers Thick Fabric Parsons Chair Slip Covers - Jacquard Kitchen Chair Covers &amp; Stretch Protectors Dining Room, Restaurant - Removable Washable (Navy Blue)</t>
        </is>
      </c>
      <c r="E29" s="39" t="inlineStr">
        <is>
          <t>Pack of 6</t>
        </is>
      </c>
      <c r="F29" s="39" t="inlineStr">
        <is>
          <t>Navy Blue</t>
        </is>
      </c>
      <c r="G29" s="40" t="n"/>
      <c r="H29" s="39" t="n"/>
      <c r="I29" s="74" t="n">
        <v>29.99</v>
      </c>
      <c r="J29" s="75" t="inlineStr">
        <is>
          <t>2026-03-30</t>
        </is>
      </c>
      <c r="K29" s="40" t="n">
        <v>6.809999999999997</v>
      </c>
      <c r="L29" s="76" t="n">
        <v>0.227075691897299</v>
      </c>
      <c r="M29" s="77" t="n"/>
      <c r="N29" s="39" t="inlineStr">
        <is>
          <t>Inactive</t>
        </is>
      </c>
      <c r="O29" s="39" t="n"/>
      <c r="P29" s="78" t="n"/>
      <c r="Q29" s="77" t="n"/>
      <c r="R29" s="77" t="n"/>
      <c r="S29" s="77" t="n"/>
      <c r="T29" s="39" t="n"/>
    </row>
    <row r="30"/>
    <row r="31" ht="22" customHeight="1">
      <c r="A31" s="65" t="inlineStr">
        <is>
          <t>3 ▼</t>
        </is>
      </c>
      <c r="B31" s="66" t="inlineStr">
        <is>
          <t>OUR BFCM 2025 RESULT &amp; EVENT VISIBILITY</t>
        </is>
      </c>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c r="AC31" s="67" t="n"/>
      <c r="AD31" s="67" t="n"/>
      <c r="AE31" s="67" t="n"/>
      <c r="AF31" s="67" t="n"/>
      <c r="AG31" s="67" t="n"/>
      <c r="AH31" s="67" t="n"/>
      <c r="AI31" s="67" t="n"/>
      <c r="AJ31" s="67" t="n"/>
      <c r="AK31" s="67" t="n"/>
      <c r="AL31" s="67" t="n"/>
      <c r="AM31" s="67" t="n"/>
      <c r="AN31" s="67" t="n"/>
      <c r="AO31" s="67" t="n"/>
      <c r="AP31" s="67" t="n"/>
      <c r="AQ31" s="67" t="n"/>
      <c r="AR31" s="67" t="n"/>
      <c r="AS31" s="67" t="n"/>
      <c r="AT31" s="67" t="n"/>
      <c r="AU31" s="67" t="n"/>
      <c r="AV31" s="67" t="n"/>
      <c r="AW31" s="67" t="n"/>
      <c r="AX31" s="67" t="n"/>
      <c r="AY31" s="67" t="n"/>
      <c r="AZ31" s="67" t="n"/>
      <c r="BA31" s="67" t="n"/>
      <c r="BB31" s="67" t="n"/>
      <c r="BC31" s="67" t="n"/>
      <c r="BD31" s="67" t="n"/>
      <c r="BE31" s="67" t="n"/>
      <c r="BF31" s="67" t="n"/>
      <c r="BG31" s="67" t="n"/>
      <c r="BH31" s="67" t="n"/>
      <c r="BI31" s="67" t="n"/>
      <c r="BJ31" s="67" t="n"/>
      <c r="BK31" s="67" t="n"/>
    </row>
    <row r="32">
      <c r="A32" s="80" t="inlineStr">
        <is>
          <t>Window</t>
        </is>
      </c>
      <c r="B32" s="81" t="n"/>
      <c r="C32" s="82" t="n"/>
      <c r="D32" s="80" t="inlineStr">
        <is>
          <t>Ad spend</t>
        </is>
      </c>
      <c r="E32" s="80" t="inlineStr">
        <is>
          <t>Ad sales</t>
        </is>
      </c>
      <c r="F32" s="80" t="inlineStr">
        <is>
          <t>ACoS</t>
        </is>
      </c>
      <c r="G32" s="80" t="inlineStr">
        <is>
          <t>TACoS</t>
        </is>
      </c>
      <c r="H32" s="80" t="inlineStr">
        <is>
          <t>Total sales (derived)</t>
        </is>
      </c>
      <c r="J32" s="80" t="inlineStr">
        <is>
          <t>Ad orders</t>
        </is>
      </c>
      <c r="K32" s="80" t="inlineStr">
        <is>
          <t>CVR</t>
        </is>
      </c>
    </row>
    <row r="33">
      <c r="A33" s="83" t="inlineStr">
        <is>
          <t>Pre-event Oct 21 - Nov 19, 2025 (30d)</t>
        </is>
      </c>
      <c r="B33" s="81" t="n"/>
      <c r="C33" s="82" t="n"/>
      <c r="D33" s="84" t="n"/>
      <c r="E33" s="84" t="n"/>
      <c r="F33" s="85" t="n"/>
      <c r="G33" s="85" t="n"/>
      <c r="H33" s="84" t="n"/>
      <c r="J33" s="86" t="n"/>
      <c r="K33" s="87" t="n"/>
    </row>
    <row r="34">
      <c r="A34" s="83" t="inlineStr">
        <is>
          <t>BFCM week Nov 20 - Dec 1, 2025 (12d)</t>
        </is>
      </c>
      <c r="B34" s="81" t="n"/>
      <c r="C34" s="82" t="n"/>
      <c r="D34" s="84" t="n"/>
      <c r="E34" s="84" t="n"/>
      <c r="F34" s="85" t="n"/>
      <c r="G34" s="85" t="n"/>
      <c r="H34" s="84" t="n"/>
      <c r="J34" s="86" t="n"/>
      <c r="K34" s="87" t="n"/>
    </row>
    <row r="35">
      <c r="A35" s="83" t="inlineStr">
        <is>
          <t>December 2 - 31, 2025 (30d)</t>
        </is>
      </c>
      <c r="B35" s="81" t="n"/>
      <c r="C35" s="82" t="n"/>
      <c r="D35" s="84" t="n"/>
      <c r="E35" s="84" t="n"/>
      <c r="F35" s="85" t="n"/>
      <c r="G35" s="85" t="n"/>
      <c r="H35" s="84" t="n"/>
      <c r="J35" s="86" t="n"/>
      <c r="K35" s="87" t="n"/>
    </row>
    <row r="36"/>
    <row r="37">
      <c r="A37" s="80" t="inlineStr">
        <is>
          <t>Actual sales (account data)</t>
        </is>
      </c>
      <c r="B37" s="81" t="n"/>
      <c r="C37" s="82" t="n"/>
      <c r="D37" s="80" t="inlineStr">
        <is>
          <t>Sales</t>
        </is>
      </c>
      <c r="E37" s="80" t="inlineStr">
        <is>
          <t>Units</t>
        </is>
      </c>
      <c r="F37" s="80" t="inlineStr">
        <is>
          <t>Organic units</t>
        </is>
      </c>
      <c r="G37" s="80" t="inlineStr">
        <is>
          <t>Ad units</t>
        </is>
      </c>
      <c r="H37" s="80" t="inlineStr">
        <is>
          <t>Ad cost</t>
        </is>
      </c>
      <c r="J37" s="80" t="inlineStr">
        <is>
          <t>TACoS (actual)</t>
        </is>
      </c>
      <c r="K37" s="80" t="inlineStr">
        <is>
          <t>Sessions</t>
        </is>
      </c>
      <c r="L37" s="80" t="inlineStr">
        <is>
          <t>Unit session %</t>
        </is>
      </c>
      <c r="M37" s="80" t="inlineStr">
        <is>
          <t>Avg price</t>
        </is>
      </c>
      <c r="N37" s="80" t="inlineStr">
        <is>
          <t>Refunds</t>
        </is>
      </c>
    </row>
    <row r="38">
      <c r="A38" s="83" t="inlineStr">
        <is>
          <t>Pre-event Oct 21 - Nov 19, 2025 (30d)</t>
        </is>
      </c>
      <c r="B38" s="81" t="n"/>
      <c r="C38" s="82" t="n"/>
      <c r="D38" s="84" t="n">
        <v>683.83</v>
      </c>
      <c r="E38" s="86" t="n">
        <v>17</v>
      </c>
      <c r="F38" s="86" t="n">
        <v>17</v>
      </c>
      <c r="G38" s="86" t="n">
        <v>0</v>
      </c>
      <c r="H38" s="84" t="n">
        <v>82.90000000000001</v>
      </c>
      <c r="J38" s="88" t="n">
        <v>0.121228960414138</v>
      </c>
      <c r="K38" s="86" t="n">
        <v>656</v>
      </c>
      <c r="L38" s="88" t="n">
        <v>0.02591463414634146</v>
      </c>
      <c r="M38" s="89" t="n">
        <v>40.22529411764706</v>
      </c>
      <c r="N38" s="86" t="n">
        <v>4</v>
      </c>
    </row>
    <row r="39">
      <c r="A39" s="83" t="inlineStr">
        <is>
          <t>BFCM week Nov 20 - Dec 1, 2025 (12d)</t>
        </is>
      </c>
      <c r="B39" s="81" t="n"/>
      <c r="C39" s="82" t="n"/>
      <c r="D39" s="84" t="n">
        <v>179.95</v>
      </c>
      <c r="E39" s="86" t="n">
        <v>5</v>
      </c>
      <c r="F39" s="86" t="n">
        <v>5</v>
      </c>
      <c r="G39" s="86" t="n">
        <v>0</v>
      </c>
      <c r="H39" s="84" t="n">
        <v>7.79</v>
      </c>
      <c r="J39" s="88" t="n">
        <v>0.04328980272297861</v>
      </c>
      <c r="K39" s="86" t="n">
        <v>193</v>
      </c>
      <c r="L39" s="88" t="n">
        <v>0.02590673575129534</v>
      </c>
      <c r="M39" s="89" t="n">
        <v>35.98999999999999</v>
      </c>
      <c r="N39" s="86" t="n">
        <v>1</v>
      </c>
    </row>
    <row r="40">
      <c r="A40" s="83" t="inlineStr">
        <is>
          <t>December 2 - 31, 2025 (30d)</t>
        </is>
      </c>
      <c r="B40" s="81" t="n"/>
      <c r="C40" s="82" t="n"/>
      <c r="D40" s="84" t="n">
        <v>921.75</v>
      </c>
      <c r="E40" s="86" t="n">
        <v>25</v>
      </c>
      <c r="F40" s="86" t="n">
        <v>16</v>
      </c>
      <c r="G40" s="86" t="n">
        <v>9</v>
      </c>
      <c r="H40" s="84" t="n">
        <v>63.36</v>
      </c>
      <c r="J40" s="88" t="n">
        <v>0.06873881204231082</v>
      </c>
      <c r="K40" s="86" t="n">
        <v>520</v>
      </c>
      <c r="L40" s="88" t="n">
        <v>0.04807692307692309</v>
      </c>
      <c r="M40" s="89" t="n">
        <v>36.87</v>
      </c>
      <c r="N40" s="86" t="n">
        <v>2</v>
      </c>
    </row>
    <row r="41">
      <c r="A41" s="90" t="inlineStr">
        <is>
          <t>account data, Amazon parent B0FB6DM5X9 plus any of this product's child ASINs account data lists on their own, UTC days. Lift above uses these actual sales.</t>
        </is>
      </c>
    </row>
    <row r="42" ht="30" customHeight="1">
      <c r="A42" s="91" t="inlineStr">
        <is>
          <t>Deals we ran or scheduled, Nov 1 - Dec 5, 2025 (deal records promotions; scheduled deal price not in the feed. price history price = lowest Buy Box seen during the deal, an observation for the hero child only, not the scheduled deal price): Best Deal 11-20 to 12-02 (cancelled, 12 variations).</t>
        </is>
      </c>
    </row>
    <row r="43" ht="18" customHeight="1">
      <c r="A43" s="92" t="inlineStr">
        <is>
          <t>BFCM 2026 plan: Best Deal 11/19-11/30. Deal price and depth not yet given; not yet visible in Amazon's deal feed.</t>
        </is>
      </c>
    </row>
    <row r="44" ht="30" customHeight="1">
      <c r="A44" s="94" t="inlineStr">
        <is>
          <t>BFCM 2026 stock (account data, Oct 15): 130 units at Amazon + 0 already sent (no ETA in account data); selling 1.4 a day; need about 96 to Nov 30 with a 2.74x BFCM lift (ASSUMED: account BFCM 2025 lift (US); product's own 2025 lift not reliable). Variations: 2 covered, 0 need the inbound in time, 4 short even with inbound (25 units), 2 out of stock now. Detail: BFCM Stock tab.</t>
        </is>
      </c>
    </row>
    <row r="45" ht="18" customHeight="1">
      <c r="A45" s="95" t="inlineStr">
        <is>
          <t>ASSUMED 2026 deal prices, until the team's final: B0CY63VCW1 today $39.99; $33.99 at 15% off (Nov 19-26) and $31.99 at 20% off (Nov 27-30, Black Friday to Cyber Monday). Rule: team rule agreed Oct 15, 2026. Evidence: our BFCM 2025 deal on B0CY63VCW1 (US, price history): $41.99 before, $39.99 during, 5% off; US competitors' median price cut in BFCM 2025: 30% (3 rivals). Amazon may use a lower reference price than today's (it sets it the day before the deal), which would lower the deal price.</t>
        </is>
      </c>
    </row>
    <row r="46" ht="30" customHeight="1">
      <c r="A46" s="91" t="inlineStr">
        <is>
          <t>Our hero child B0CY63VCW1 in price history (market data, US): price $41.99 before (median Nov 1-19) → $39.99 in BFCM week (median Nov 20 - Dec 1), 5% lower; lowest $39.99; Best Seller Rank 721,803 → 785,429 (1.09x worse). Price is price history's lowest new offer (price history holds no Buy Box series for our own ASINs; we are the only seller).</t>
        </is>
      </c>
    </row>
    <row r="47">
      <c r="A47" s="90" t="inlineStr">
        <is>
          <t>No market data visibility history for our best child ASIN.</t>
        </is>
      </c>
    </row>
    <row r="48">
      <c r="A48" s="132" t="inlineStr">
        <is>
          <t>No BFCM 2025 PPC data for this product (not advertised or launched after BFCM 2025).</t>
        </is>
      </c>
    </row>
    <row r="49"/>
    <row r="50" ht="22" customHeight="1">
      <c r="A50" s="65" t="inlineStr">
        <is>
          <t>4 ▼</t>
        </is>
      </c>
      <c r="B50" s="66" t="inlineStr">
        <is>
          <t>COMPETITOR LANDSCAPE (23 mapped)</t>
        </is>
      </c>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c r="AC50" s="67" t="n"/>
      <c r="AD50" s="67" t="n"/>
      <c r="AE50" s="67" t="n"/>
      <c r="AF50" s="67" t="n"/>
      <c r="AG50" s="67" t="n"/>
      <c r="AH50" s="67" t="n"/>
      <c r="AI50" s="67" t="n"/>
      <c r="AJ50" s="67" t="n"/>
      <c r="AK50" s="67" t="n"/>
      <c r="AL50" s="67" t="n"/>
      <c r="AM50" s="67" t="n"/>
      <c r="AN50" s="67" t="n"/>
      <c r="AO50" s="67" t="n"/>
      <c r="AP50" s="67" t="n"/>
      <c r="AQ50" s="67" t="n"/>
      <c r="AR50" s="67" t="n"/>
      <c r="AS50" s="67" t="n"/>
      <c r="AT50" s="67" t="n"/>
      <c r="AU50" s="67" t="n"/>
      <c r="AV50" s="67" t="n"/>
      <c r="AW50" s="67" t="n"/>
      <c r="AX50" s="67" t="n"/>
      <c r="AY50" s="67" t="n"/>
      <c r="AZ50" s="67" t="n"/>
      <c r="BA50" s="67" t="n"/>
      <c r="BB50" s="67" t="n"/>
      <c r="BC50" s="67" t="n"/>
      <c r="BD50" s="67" t="n"/>
      <c r="BE50" s="67" t="n"/>
      <c r="BF50" s="67" t="n"/>
      <c r="BG50" s="67" t="n"/>
      <c r="BH50" s="67" t="n"/>
      <c r="BI50" s="67" t="n"/>
      <c r="BJ50" s="67" t="n"/>
      <c r="BK50" s="67" t="n"/>
    </row>
    <row r="51" ht="20" customHeight="1">
      <c r="A51" s="96" t="inlineStr">
        <is>
          <t>▼▼▼</t>
        </is>
      </c>
      <c r="B51" s="97" t="inlineStr">
        <is>
          <t>COMPETITOR DATA BELOW: one row per competitor (0 direct first, then alternative material). Scroll right for listing, search, strikethrough now and BFCM 2025 history (deal type, price, discount, rank change).</t>
        </is>
      </c>
      <c r="C51" s="98" t="n"/>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c r="AA51" s="98" t="n"/>
      <c r="AB51" s="98" t="n"/>
      <c r="AC51" s="98" t="n"/>
      <c r="AD51" s="98" t="n"/>
      <c r="AE51" s="98" t="n"/>
      <c r="AF51" s="98" t="n"/>
      <c r="AG51" s="98" t="n"/>
      <c r="AH51" s="98" t="n"/>
      <c r="AI51" s="98" t="n"/>
      <c r="AJ51" s="98" t="n"/>
      <c r="AK51" s="98" t="n"/>
      <c r="AL51" s="98" t="n"/>
      <c r="AM51" s="98" t="n"/>
      <c r="AN51" s="98" t="n"/>
      <c r="AO51" s="98" t="n"/>
      <c r="AP51" s="98" t="n"/>
      <c r="AQ51" s="98" t="n"/>
      <c r="AR51" s="98" t="n"/>
      <c r="AS51" s="98" t="n"/>
      <c r="AT51" s="98" t="n"/>
      <c r="AU51" s="98" t="n"/>
      <c r="AV51" s="98" t="n"/>
      <c r="AW51" s="98" t="n"/>
      <c r="AX51" s="98" t="n"/>
      <c r="AY51" s="98" t="n"/>
      <c r="AZ51" s="98" t="n"/>
      <c r="BA51" s="98" t="n"/>
      <c r="BB51" s="98" t="n"/>
      <c r="BC51" s="98" t="n"/>
      <c r="BD51" s="98" t="n"/>
      <c r="BE51" s="98" t="n"/>
      <c r="BF51" s="98" t="n"/>
      <c r="BG51" s="98" t="n"/>
      <c r="BH51" s="98" t="n"/>
      <c r="BI51" s="98" t="n"/>
      <c r="BJ51" s="98" t="n"/>
      <c r="BK51" s="98" t="n"/>
    </row>
    <row r="52">
      <c r="A52" s="99" t="inlineStr">
        <is>
          <t>COMPETITOR</t>
        </is>
      </c>
      <c r="L52" s="100" t="inlineStr">
        <is>
          <t>LISTING - catalog data</t>
        </is>
      </c>
      <c r="M52" s="101" t="inlineStr">
        <is>
          <t>SEARCH STRATEGY - market data search data</t>
        </is>
      </c>
      <c r="N52" s="102" t="inlineStr">
        <is>
          <t>PRICE &amp; SALES - market data snapshot (date per row)</t>
        </is>
      </c>
      <c r="AA52" s="100" t="inlineStr">
        <is>
          <t>LISTING - catalog data</t>
        </is>
      </c>
      <c r="AD52" s="101" t="inlineStr">
        <is>
          <t>SEARCH STRATEGY - market data search data</t>
        </is>
      </c>
      <c r="AU52" s="103" t="inlineStr">
        <is>
          <t>STR NOW - Amazon page check (Oct 13, P1 + P2)</t>
        </is>
      </c>
      <c r="BB52" s="104" t="inlineStr">
        <is>
          <t>BFCM 2025 - price history (P1 filled; yellow = not pulled yet)</t>
        </is>
      </c>
    </row>
    <row r="53" ht="48" customHeight="1">
      <c r="A53" s="26" t="inlineStr">
        <is>
          <t>Image</t>
        </is>
      </c>
      <c r="B53" s="26" t="inlineStr">
        <is>
          <t>Brand</t>
        </is>
      </c>
      <c r="C53" s="26" t="inlineStr">
        <is>
          <t>Product title</t>
        </is>
      </c>
      <c r="D53" s="26" t="inlineStr">
        <is>
          <t>Tier</t>
        </is>
      </c>
      <c r="E53" s="26" t="inlineStr">
        <is>
          <t>Competitor type</t>
        </is>
      </c>
      <c r="F53" s="26" t="inlineStr">
        <is>
          <t>Material</t>
        </is>
      </c>
      <c r="G53" s="26" t="inlineStr">
        <is>
          <t>Why this type</t>
        </is>
      </c>
      <c r="H53" s="26" t="inlineStr">
        <is>
          <t>Parent ASIN</t>
        </is>
      </c>
      <c r="I53" s="26" t="inlineStr">
        <is>
          <t>Tracked child ASIN</t>
        </is>
      </c>
      <c r="J53" s="26" t="inlineStr">
        <is>
          <t>Size</t>
        </is>
      </c>
      <c r="K53" s="26" t="inlineStr">
        <is>
          <t>Colour</t>
        </is>
      </c>
      <c r="L53" s="26" t="inlineStr">
        <is>
          <t>Variations</t>
        </is>
      </c>
      <c r="M53" s="26" t="inlineStr">
        <is>
          <t>Hero child ASINs (share of their visibility)</t>
        </is>
      </c>
      <c r="N53" s="26" t="inlineStr">
        <is>
          <t>Price ($)</t>
        </is>
      </c>
      <c r="O53" s="26" t="inlineStr">
        <is>
          <t>List Price ($)</t>
        </is>
      </c>
      <c r="P53" s="26" t="inlineStr">
        <is>
          <t>List Price % over</t>
        </is>
      </c>
      <c r="Q53" s="26" t="inlineStr">
        <is>
          <t>STR band</t>
        </is>
      </c>
      <c r="R53" s="26" t="inlineStr">
        <is>
          <t>Our price, same size ($)</t>
        </is>
      </c>
      <c r="S53" s="26" t="inlineStr">
        <is>
          <t>Their price vs ours</t>
        </is>
      </c>
      <c r="T53" s="26" t="inlineStr">
        <is>
          <t>Comparison basis</t>
        </is>
      </c>
      <c r="U53" s="26" t="inlineStr">
        <is>
          <t>BSR</t>
        </is>
      </c>
      <c r="V53" s="26" t="inlineStr">
        <is>
          <t>Est weekly units</t>
        </is>
      </c>
      <c r="W53" s="26" t="inlineStr">
        <is>
          <t>Est monthly revenue ($)</t>
        </is>
      </c>
      <c r="X53" s="26" t="inlineStr">
        <is>
          <t>Rating</t>
        </is>
      </c>
      <c r="Y53" s="26" t="inlineStr">
        <is>
          <t>Reviews</t>
        </is>
      </c>
      <c r="Z53" s="26" t="inlineStr">
        <is>
          <t>Snapshot date</t>
        </is>
      </c>
      <c r="AA53" s="26" t="inlineStr">
        <is>
          <t>Listed</t>
        </is>
      </c>
      <c r="AB53" s="26" t="inlineStr">
        <is>
          <t>Fulfil.</t>
        </is>
      </c>
      <c r="AC53" s="26" t="inlineStr">
        <is>
          <t>Seller country</t>
        </is>
      </c>
      <c r="AD53" s="26" t="inlineStr">
        <is>
          <t>search data 7d traffic</t>
        </is>
      </c>
      <c r="AE53" s="26" t="inlineStr">
        <is>
          <t>Keywords ranked</t>
        </is>
      </c>
      <c r="AF53" s="26" t="inlineStr">
        <is>
          <t>Organic share of traffic</t>
        </is>
      </c>
      <c r="AG53" s="26" t="inlineStr">
        <is>
          <t>Ad share of traffic</t>
        </is>
      </c>
      <c r="AH53" s="26" t="inlineStr">
        <is>
          <t>Top keyword</t>
        </is>
      </c>
      <c r="AI53" s="26" t="inlineStr">
        <is>
          <t>SP reach</t>
        </is>
      </c>
      <c r="AJ53" s="26" t="inlineStr">
        <is>
          <t>SB reach</t>
        </is>
      </c>
      <c r="AK53" s="26" t="inlineStr">
        <is>
          <t>SB video reach</t>
        </is>
      </c>
      <c r="AL53" s="26" t="inlineStr">
        <is>
          <t>Amazon's Choice reach</t>
        </is>
      </c>
      <c r="AM53" s="26" t="inlineStr">
        <is>
          <t>Shared keywords</t>
        </is>
      </c>
      <c r="AN53" s="26" t="inlineStr">
        <is>
          <t>We win</t>
        </is>
      </c>
      <c r="AO53" s="26" t="inlineStr">
        <is>
          <t>We lose</t>
        </is>
      </c>
      <c r="AP53" s="26" t="inlineStr">
        <is>
          <t>Their keywords we miss</t>
        </is>
      </c>
      <c r="AQ53" s="26" t="inlineStr">
        <is>
          <t>KWs they advertise, we don't</t>
        </is>
      </c>
      <c r="AR53" s="26" t="inlineStr">
        <is>
          <t>KWs they out-advertise us</t>
        </is>
      </c>
      <c r="AS53" s="26" t="inlineStr">
        <is>
          <t>Prime Day 2026 organic vis lift</t>
        </is>
      </c>
      <c r="AT53" s="26" t="inlineStr">
        <is>
          <t>Organic trend (Aug-Sep vs Q2)</t>
        </is>
      </c>
      <c r="AU53" s="26" t="inlineStr">
        <is>
          <t>STR showing now? (Y/N)</t>
        </is>
      </c>
      <c r="AV53" s="26" t="inlineStr">
        <is>
          <t>STR label</t>
        </is>
      </c>
      <c r="AW53" s="26" t="inlineStr">
        <is>
          <t>Strikethrough price ($)</t>
        </is>
      </c>
      <c r="AX53" s="26" t="inlineStr">
        <is>
          <t>Page price at check ($)</t>
        </is>
      </c>
      <c r="AY53" s="26" t="inlineStr">
        <is>
          <t>Deal / coupon now</t>
        </is>
      </c>
      <c r="AZ53" s="26" t="inlineStr">
        <is>
          <t>Orderable now (Y/N)</t>
        </is>
      </c>
      <c r="BA53" s="26" t="inlineStr">
        <is>
          <t>Checked (ET)</t>
        </is>
      </c>
      <c r="BB53" s="26" t="inlineStr">
        <is>
          <t>BFCM 2025 deal type</t>
        </is>
      </c>
      <c r="BC53" s="26" t="inlineStr">
        <is>
          <t>BFCM 2025 deal dates</t>
        </is>
      </c>
      <c r="BD53" s="26" t="inlineStr">
        <is>
          <t>Pre-event price ($)</t>
        </is>
      </c>
      <c r="BE53" s="26" t="inlineStr">
        <is>
          <t>BFCM 2025 low ($)</t>
        </is>
      </c>
      <c r="BF53" s="26" t="inlineStr">
        <is>
          <t>BFCM 2025 discount</t>
        </is>
      </c>
      <c r="BG53" s="26" t="inlineStr">
        <is>
          <t>BSR pre-event</t>
        </is>
      </c>
      <c r="BH53" s="26" t="inlineStr">
        <is>
          <t>BSR BFCM wk</t>
        </is>
      </c>
      <c r="BI53" s="26" t="inlineStr">
        <is>
          <t>BSR lift (x)</t>
        </is>
      </c>
      <c r="BJ53" s="26" t="inlineStr">
        <is>
          <t>OOS in BFCM? (Y/N)</t>
        </is>
      </c>
      <c r="BK53" s="26" t="inlineStr">
        <is>
          <t>Notes</t>
        </is>
      </c>
    </row>
    <row r="54" ht="62" customHeight="1">
      <c r="A54" s="12">
        <f>_xlfn.IMAGE("https://m.media-amazon.com/images/I/71JDgyYulCL._AC_SL1500_.jpg")</f>
        <v/>
      </c>
      <c r="B54" s="105" t="inlineStr">
        <is>
          <t>BIETYONE</t>
        </is>
      </c>
      <c r="C54" s="39" t="inlineStr">
        <is>
          <t>Waterproof Chair Cover</t>
        </is>
      </c>
      <c r="D54" s="105" t="inlineStr">
        <is>
          <t>Aspirational</t>
        </is>
      </c>
      <c r="E54" s="134" t="inlineStr">
        <is>
          <t>Not classified</t>
        </is>
      </c>
      <c r="F54" s="105" t="n"/>
      <c r="G54" s="39" t="inlineStr">
        <is>
          <t>Not a sheet, pillowcase or comforter product; competitors are compared on price and sales only.</t>
        </is>
      </c>
      <c r="H54" s="107" t="inlineStr">
        <is>
          <t>B0HG11YYNY</t>
        </is>
      </c>
      <c r="I54" s="107" t="inlineStr">
        <is>
          <t>B0DGGSVWZQ</t>
        </is>
      </c>
      <c r="J54" s="105" t="n"/>
      <c r="K54" s="105" t="inlineStr">
        <is>
          <t>.Black</t>
        </is>
      </c>
      <c r="L54" s="108" t="n"/>
      <c r="M54" s="39" t="inlineStr"/>
      <c r="N54" s="109" t="n">
        <v>20.99</v>
      </c>
      <c r="O54" s="109" t="n"/>
      <c r="P54" s="110">
        <f>IF(AND(ISNUMBER(O54),ISNUMBER(N54),N(N54)&gt;0),O54/N54-1,"")</f>
        <v/>
      </c>
      <c r="Q54" s="111">
        <f>IF(P54="","No List Price",IF(P54&lt;=0,"At/below price",IF(P54&lt;=0.12,"&lt;=12% STR zone",IF(P54&lt;=0.25,"12-25%","&gt;25% over"))))</f>
        <v/>
      </c>
      <c r="R54" s="109" t="n">
        <v>25.24</v>
      </c>
      <c r="S54" s="112">
        <f>IF(AND(ISNUMBER(N54),ISNUMBER(R54),N(R54)&gt;0),N54/R54-1,"")</f>
        <v/>
      </c>
      <c r="T54" s="39" t="inlineStr">
        <is>
          <t>vs our blended price (market data, Mar 2026 - STALE)</t>
        </is>
      </c>
      <c r="U54" s="108" t="n">
        <v>11189</v>
      </c>
      <c r="V54" s="108" t="n">
        <v>347</v>
      </c>
      <c r="W54" s="113">
        <f>IF(AND(ISNUMBER(N54),ISNUMBER(V54)),N54*V54*52/12,"")</f>
        <v/>
      </c>
      <c r="X54" s="114" t="n">
        <v>4.6</v>
      </c>
      <c r="Y54" s="108" t="n">
        <v>1765</v>
      </c>
      <c r="Z54" s="115" t="n">
        <v>46307</v>
      </c>
      <c r="AA54" s="115" t="n"/>
      <c r="AB54" s="105" t="n"/>
      <c r="AC54" s="105" t="n"/>
      <c r="AD54" s="108" t="n"/>
      <c r="AE54" s="108" t="n"/>
      <c r="AF54" s="116" t="n"/>
      <c r="AG54" s="116" t="n"/>
      <c r="AH54" s="39" t="n"/>
      <c r="AI54" s="116" t="n"/>
      <c r="AJ54" s="116" t="n"/>
      <c r="AK54" s="116" t="n"/>
      <c r="AL54" s="116" t="n"/>
      <c r="AM54" s="108" t="n"/>
      <c r="AN54" s="108" t="n"/>
      <c r="AO54" s="108" t="n"/>
      <c r="AP54" s="108" t="n"/>
      <c r="AQ54" s="108" t="n"/>
      <c r="AR54" s="108" t="n"/>
      <c r="AS54" s="117" t="n"/>
      <c r="AT54" s="112" t="n"/>
      <c r="AU54" s="118" t="inlineStr">
        <is>
          <t>N</t>
        </is>
      </c>
      <c r="AV54" s="118" t="inlineStr">
        <is>
          <t>none</t>
        </is>
      </c>
      <c r="AW54" s="124" t="n"/>
      <c r="AX54" s="119" t="n">
        <v>20.99</v>
      </c>
      <c r="AY54" s="118" t="inlineStr">
        <is>
          <t>none</t>
        </is>
      </c>
      <c r="AZ54" s="118" t="inlineStr">
        <is>
          <t>Y</t>
        </is>
      </c>
      <c r="BA54" s="118" t="inlineStr">
        <is>
          <t>2026-10-13 23:39:45</t>
        </is>
      </c>
      <c r="BB54" s="120" t="inlineStr">
        <is>
          <t>Price cut only</t>
        </is>
      </c>
      <c r="BC54" s="120" t="inlineStr">
        <is>
          <t>11-22 to 12-01</t>
        </is>
      </c>
      <c r="BD54" s="121" t="n">
        <v>26.99</v>
      </c>
      <c r="BE54" s="121" t="n">
        <v>16.93</v>
      </c>
      <c r="BF54" s="110">
        <f>IF(AND(ISNUMBER(BD54),ISNUMBER(BE54),N(BD54)&gt;0),1-BE54/BD54,"")</f>
        <v/>
      </c>
      <c r="BG54" s="122" t="n">
        <v>25479</v>
      </c>
      <c r="BH54" s="122" t="n">
        <v>15815</v>
      </c>
      <c r="BI54" s="123">
        <f>IF(AND(ISNUMBER(BG54),ISNUMBER(BH54),N(BH54)&gt;0),BG54/BH54,"")</f>
        <v/>
      </c>
      <c r="BJ54" s="120" t="inlineStr">
        <is>
          <t>N</t>
        </is>
      </c>
      <c r="BK54" s="120" t="inlineStr">
        <is>
          <t>List Price $32.99</t>
        </is>
      </c>
    </row>
    <row r="55" ht="62" customHeight="1">
      <c r="A55" s="12">
        <f>_xlfn.IMAGE("https://images-na.ssl-images-amazon.com/images/I/71VoH4GIgpL.jpg")</f>
        <v/>
      </c>
      <c r="B55" s="105" t="inlineStr">
        <is>
          <t>Fafua</t>
        </is>
      </c>
      <c r="C55" s="39" t="inlineStr">
        <is>
          <t>Fafua Chair Covers, Stretch Dining Room Chair Covers Set of 6, Removable Washable Dining Chair Slipcovers for Home, Hotel, Banquet</t>
        </is>
      </c>
      <c r="D55" s="105" t="inlineStr">
        <is>
          <t>Aspirational</t>
        </is>
      </c>
      <c r="E55" s="134" t="inlineStr">
        <is>
          <t>Not classified</t>
        </is>
      </c>
      <c r="F55" s="105" t="n"/>
      <c r="G55" s="39" t="inlineStr">
        <is>
          <t>Not a sheet, pillowcase or comforter product; competitors are compared on price and sales only.</t>
        </is>
      </c>
      <c r="H55" s="107" t="inlineStr">
        <is>
          <t>B0D6R57FVR</t>
        </is>
      </c>
      <c r="I55" s="107" t="inlineStr">
        <is>
          <t>B0CQ7YQJ5H</t>
        </is>
      </c>
      <c r="J55" s="105" t="n"/>
      <c r="K55" s="105" t="inlineStr">
        <is>
          <t>.Grey</t>
        </is>
      </c>
      <c r="L55" s="108" t="n">
        <v>71</v>
      </c>
      <c r="M55" s="39" t="inlineStr"/>
      <c r="N55" s="109" t="n">
        <v>17.89</v>
      </c>
      <c r="O55" s="109" t="n"/>
      <c r="P55" s="110">
        <f>IF(AND(ISNUMBER(O55),ISNUMBER(N55),N(N55)&gt;0),O55/N55-1,"")</f>
        <v/>
      </c>
      <c r="Q55" s="111">
        <f>IF(P55="","No List Price",IF(P55&lt;=0,"At/below price",IF(P55&lt;=0.12,"&lt;=12% STR zone",IF(P55&lt;=0.25,"12-25%","&gt;25% over"))))</f>
        <v/>
      </c>
      <c r="R55" s="109" t="n">
        <v>25.24</v>
      </c>
      <c r="S55" s="112">
        <f>IF(AND(ISNUMBER(N55),ISNUMBER(R55),N(R55)&gt;0),N55/R55-1,"")</f>
        <v/>
      </c>
      <c r="T55" s="39" t="inlineStr">
        <is>
          <t>vs our blended price (market data, Mar 2026 - STALE)</t>
        </is>
      </c>
      <c r="U55" s="108" t="n">
        <v>18955</v>
      </c>
      <c r="V55" s="108" t="n">
        <v>173</v>
      </c>
      <c r="W55" s="113">
        <f>IF(AND(ISNUMBER(N55),ISNUMBER(V55)),N55*V55*52/12,"")</f>
        <v/>
      </c>
      <c r="X55" s="114" t="n">
        <v>4.6</v>
      </c>
      <c r="Y55" s="108" t="n">
        <v>2227</v>
      </c>
      <c r="Z55" s="115" t="n">
        <v>46307</v>
      </c>
      <c r="AA55" s="115" t="n">
        <v>45274</v>
      </c>
      <c r="AB55" s="105" t="inlineStr">
        <is>
          <t>FBA</t>
        </is>
      </c>
      <c r="AC55" s="105" t="inlineStr">
        <is>
          <t>CN</t>
        </is>
      </c>
      <c r="AD55" s="108" t="n"/>
      <c r="AE55" s="108" t="n"/>
      <c r="AF55" s="116" t="n"/>
      <c r="AG55" s="116" t="n"/>
      <c r="AH55" s="39" t="n"/>
      <c r="AI55" s="116" t="n"/>
      <c r="AJ55" s="116" t="n"/>
      <c r="AK55" s="116" t="n"/>
      <c r="AL55" s="116" t="n"/>
      <c r="AM55" s="108" t="n"/>
      <c r="AN55" s="108" t="n"/>
      <c r="AO55" s="108" t="n"/>
      <c r="AP55" s="108" t="n"/>
      <c r="AQ55" s="108" t="n"/>
      <c r="AR55" s="108" t="n"/>
      <c r="AS55" s="117" t="n"/>
      <c r="AT55" s="112" t="n"/>
      <c r="AU55" s="118" t="inlineStr">
        <is>
          <t>Y</t>
        </is>
      </c>
      <c r="AV55" s="118" t="inlineStr">
        <is>
          <t>List Price</t>
        </is>
      </c>
      <c r="AW55" s="119" t="n">
        <v>18.88</v>
      </c>
      <c r="AX55" s="119" t="n">
        <v>17.89</v>
      </c>
      <c r="AY55" s="118" t="inlineStr">
        <is>
          <t>none</t>
        </is>
      </c>
      <c r="AZ55" s="118" t="inlineStr">
        <is>
          <t>Y</t>
        </is>
      </c>
      <c r="BA55" s="118" t="inlineStr">
        <is>
          <t>2026-10-13 23:40:38</t>
        </is>
      </c>
      <c r="BB55" s="120" t="inlineStr">
        <is>
          <t>Prime Exclusive Discount</t>
        </is>
      </c>
      <c r="BC55" s="120" t="inlineStr">
        <is>
          <t>11-26 to 12-01</t>
        </is>
      </c>
      <c r="BD55" s="121" t="n">
        <v>19.69</v>
      </c>
      <c r="BE55" s="121" t="n">
        <v>17.93</v>
      </c>
      <c r="BF55" s="110">
        <f>IF(AND(ISNUMBER(BD55),ISNUMBER(BE55),N(BD55)&gt;0),1-BE55/BD55,"")</f>
        <v/>
      </c>
      <c r="BG55" s="122" t="n">
        <v>5118</v>
      </c>
      <c r="BH55" s="122" t="n">
        <v>4390</v>
      </c>
      <c r="BI55" s="123">
        <f>IF(AND(ISNUMBER(BG55),ISNUMBER(BH55),N(BH55)&gt;0),BG55/BH55,"")</f>
        <v/>
      </c>
      <c r="BJ55" s="120" t="inlineStr">
        <is>
          <t>N</t>
        </is>
      </c>
      <c r="BK55" s="120" t="inlineStr">
        <is>
          <t>Buy Box RAISED in BFCM week (median $22.93 vs $19.69 before); List Price $21.88</t>
        </is>
      </c>
    </row>
    <row r="56" ht="62" customHeight="1">
      <c r="A56" s="12">
        <f>_xlfn.IMAGE("https://images-na.ssl-images-amazon.com/images/I/81jPNujWT9L.jpg")</f>
        <v/>
      </c>
      <c r="B56" s="105" t="inlineStr">
        <is>
          <t>Genina</t>
        </is>
      </c>
      <c r="C56" s="39" t="inlineStr">
        <is>
          <t>Genina Waterproof Dining Chair Covers Set of 4 Parsons Chair Slipcovers</t>
        </is>
      </c>
      <c r="D56" s="105" t="inlineStr">
        <is>
          <t>Aspirational</t>
        </is>
      </c>
      <c r="E56" s="134" t="inlineStr">
        <is>
          <t>Not classified</t>
        </is>
      </c>
      <c r="F56" s="105" t="n"/>
      <c r="G56" s="39" t="inlineStr">
        <is>
          <t>Not a sheet, pillowcase or comforter product; competitors are compared on price and sales only.</t>
        </is>
      </c>
      <c r="H56" s="107" t="inlineStr">
        <is>
          <t>B0B136S1FV</t>
        </is>
      </c>
      <c r="I56" s="107" t="inlineStr">
        <is>
          <t>B0B136JQD1</t>
        </is>
      </c>
      <c r="J56" s="105" t="n"/>
      <c r="K56" s="105" t="inlineStr">
        <is>
          <t>Leaves-warm Gray</t>
        </is>
      </c>
      <c r="L56" s="108" t="n">
        <v>57</v>
      </c>
      <c r="M56" s="39" t="inlineStr"/>
      <c r="N56" s="109" t="n">
        <v>22.07</v>
      </c>
      <c r="O56" s="109" t="n"/>
      <c r="P56" s="110">
        <f>IF(AND(ISNUMBER(O56),ISNUMBER(N56),N(N56)&gt;0),O56/N56-1,"")</f>
        <v/>
      </c>
      <c r="Q56" s="111">
        <f>IF(P56="","No List Price",IF(P56&lt;=0,"At/below price",IF(P56&lt;=0.12,"&lt;=12% STR zone",IF(P56&lt;=0.25,"12-25%","&gt;25% over"))))</f>
        <v/>
      </c>
      <c r="R56" s="109" t="n">
        <v>25.24</v>
      </c>
      <c r="S56" s="112">
        <f>IF(AND(ISNUMBER(N56),ISNUMBER(R56),N(R56)&gt;0),N56/R56-1,"")</f>
        <v/>
      </c>
      <c r="T56" s="39" t="inlineStr">
        <is>
          <t>vs our blended price (market data, Mar 2026 - STALE)</t>
        </is>
      </c>
      <c r="U56" s="108" t="n">
        <v>15013</v>
      </c>
      <c r="V56" s="108" t="n">
        <v>173</v>
      </c>
      <c r="W56" s="113">
        <f>IF(AND(ISNUMBER(N56),ISNUMBER(V56)),N56*V56*52/12,"")</f>
        <v/>
      </c>
      <c r="X56" s="114" t="n">
        <v>4.7</v>
      </c>
      <c r="Y56" s="108" t="n">
        <v>2930</v>
      </c>
      <c r="Z56" s="115" t="n">
        <v>46307</v>
      </c>
      <c r="AA56" s="115" t="n">
        <v>44692</v>
      </c>
      <c r="AB56" s="105" t="inlineStr">
        <is>
          <t>FBA</t>
        </is>
      </c>
      <c r="AC56" s="105" t="inlineStr">
        <is>
          <t>CN</t>
        </is>
      </c>
      <c r="AD56" s="108" t="n"/>
      <c r="AE56" s="108" t="n"/>
      <c r="AF56" s="116" t="n"/>
      <c r="AG56" s="116" t="n"/>
      <c r="AH56" s="39" t="n"/>
      <c r="AI56" s="116" t="n"/>
      <c r="AJ56" s="116" t="n"/>
      <c r="AK56" s="116" t="n"/>
      <c r="AL56" s="116" t="n"/>
      <c r="AM56" s="108" t="n"/>
      <c r="AN56" s="108" t="n"/>
      <c r="AO56" s="108" t="n"/>
      <c r="AP56" s="108" t="n"/>
      <c r="AQ56" s="108" t="n"/>
      <c r="AR56" s="108" t="n"/>
      <c r="AS56" s="117" t="n"/>
      <c r="AT56" s="112" t="n"/>
      <c r="AU56" s="118" t="inlineStr">
        <is>
          <t>Y</t>
        </is>
      </c>
      <c r="AV56" s="118" t="inlineStr">
        <is>
          <t>Typical price</t>
        </is>
      </c>
      <c r="AW56" s="119" t="n">
        <v>19.99</v>
      </c>
      <c r="AX56" s="119" t="n">
        <v>18.98</v>
      </c>
      <c r="AY56" s="118" t="inlineStr">
        <is>
          <t>none</t>
        </is>
      </c>
      <c r="AZ56" s="118" t="inlineStr">
        <is>
          <t>Y</t>
        </is>
      </c>
      <c r="BA56" s="118" t="inlineStr">
        <is>
          <t>2026-10-13 23:40:41</t>
        </is>
      </c>
      <c r="BB56" s="120" t="inlineStr">
        <is>
          <t>Prime Exclusive Discount</t>
        </is>
      </c>
      <c r="BC56" s="120" t="inlineStr">
        <is>
          <t>11-21 to 12-04</t>
        </is>
      </c>
      <c r="BD56" s="121" t="n">
        <v>19.99</v>
      </c>
      <c r="BE56" s="121" t="n">
        <v>17.69</v>
      </c>
      <c r="BF56" s="110">
        <f>IF(AND(ISNUMBER(BD56),ISNUMBER(BE56),N(BD56)&gt;0),1-BE56/BD56,"")</f>
        <v/>
      </c>
      <c r="BG56" s="122" t="n">
        <v>12823</v>
      </c>
      <c r="BH56" s="122" t="n">
        <v>13462</v>
      </c>
      <c r="BI56" s="123">
        <f>IF(AND(ISNUMBER(BG56),ISNUMBER(BH56),N(BH56)&gt;0),BG56/BH56,"")</f>
        <v/>
      </c>
      <c r="BJ56" s="120" t="inlineStr">
        <is>
          <t>N</t>
        </is>
      </c>
      <c r="BK56" s="120" t="inlineStr">
        <is>
          <t>Buy Box RAISED in BFCM week (median $29.98 vs $19.99 before); List Price $29.98</t>
        </is>
      </c>
    </row>
    <row r="57" ht="62" customHeight="1">
      <c r="A57" s="12">
        <f>_xlfn.IMAGE("https://images-na.ssl-images-amazon.com/images/I/71THLNBLXkL.jpg")</f>
        <v/>
      </c>
      <c r="B57" s="105" t="inlineStr">
        <is>
          <t>Artrello</t>
        </is>
      </c>
      <c r="C57" s="39" t="inlineStr">
        <is>
          <t>Chair Covers for Dining Room - Stretch Chair Slipcovers for Decorative Seat Protector Armless Removable Washable Elastic Dinner Universal Spandex Solid Chair Slip Covers Set (autumn orange,4)</t>
        </is>
      </c>
      <c r="D57" s="105" t="inlineStr">
        <is>
          <t>Aspirational</t>
        </is>
      </c>
      <c r="E57" s="134" t="inlineStr">
        <is>
          <t>Not classified</t>
        </is>
      </c>
      <c r="F57" s="105" t="n"/>
      <c r="G57" s="39" t="inlineStr">
        <is>
          <t>Not a sheet, pillowcase or comforter product; competitors are compared on price and sales only.</t>
        </is>
      </c>
      <c r="H57" s="107" t="inlineStr">
        <is>
          <t>B0FSDPTLPL</t>
        </is>
      </c>
      <c r="I57" s="107" t="inlineStr">
        <is>
          <t>B08T761T9S</t>
        </is>
      </c>
      <c r="J57" s="105" t="n"/>
      <c r="K57" s="105" t="inlineStr">
        <is>
          <t>Autumn Orange</t>
        </is>
      </c>
      <c r="L57" s="108" t="n">
        <v>19</v>
      </c>
      <c r="M57" s="39" t="inlineStr"/>
      <c r="N57" s="109" t="n">
        <v>23.99</v>
      </c>
      <c r="O57" s="109" t="n"/>
      <c r="P57" s="110">
        <f>IF(AND(ISNUMBER(O57),ISNUMBER(N57),N(N57)&gt;0),O57/N57-1,"")</f>
        <v/>
      </c>
      <c r="Q57" s="111">
        <f>IF(P57="","No List Price",IF(P57&lt;=0,"At/below price",IF(P57&lt;=0.12,"&lt;=12% STR zone",IF(P57&lt;=0.25,"12-25%","&gt;25% over"))))</f>
        <v/>
      </c>
      <c r="R57" s="109" t="n">
        <v>25.24</v>
      </c>
      <c r="S57" s="112">
        <f>IF(AND(ISNUMBER(N57),ISNUMBER(R57),N(R57)&gt;0),N57/R57-1,"")</f>
        <v/>
      </c>
      <c r="T57" s="39" t="inlineStr">
        <is>
          <t>vs our blended price (market data, Mar 2026 - STALE)</t>
        </is>
      </c>
      <c r="U57" s="108" t="n">
        <v>39894</v>
      </c>
      <c r="V57" s="108" t="n">
        <v>92</v>
      </c>
      <c r="W57" s="113">
        <f>IF(AND(ISNUMBER(N57),ISNUMBER(V57)),N57*V57*52/12,"")</f>
        <v/>
      </c>
      <c r="X57" s="114" t="n">
        <v>4.5</v>
      </c>
      <c r="Y57" s="108" t="n">
        <v>4016</v>
      </c>
      <c r="Z57" s="115" t="n">
        <v>46307</v>
      </c>
      <c r="AA57" s="115" t="n">
        <v>43985</v>
      </c>
      <c r="AB57" s="105" t="inlineStr">
        <is>
          <t>FBA</t>
        </is>
      </c>
      <c r="AC57" s="105" t="inlineStr">
        <is>
          <t>CN</t>
        </is>
      </c>
      <c r="AD57" s="108" t="n"/>
      <c r="AE57" s="108" t="n"/>
      <c r="AF57" s="116" t="n"/>
      <c r="AG57" s="116" t="n"/>
      <c r="AH57" s="39" t="n"/>
      <c r="AI57" s="116" t="n"/>
      <c r="AJ57" s="116" t="n"/>
      <c r="AK57" s="116" t="n"/>
      <c r="AL57" s="116" t="n"/>
      <c r="AM57" s="108" t="n"/>
      <c r="AN57" s="108" t="n"/>
      <c r="AO57" s="108" t="n"/>
      <c r="AP57" s="108" t="n"/>
      <c r="AQ57" s="108" t="n"/>
      <c r="AR57" s="108" t="n"/>
      <c r="AS57" s="117" t="n"/>
      <c r="AT57" s="112" t="n"/>
      <c r="AU57" s="118" t="inlineStr">
        <is>
          <t>N</t>
        </is>
      </c>
      <c r="AV57" s="118" t="inlineStr">
        <is>
          <t>none</t>
        </is>
      </c>
      <c r="AW57" s="124" t="n"/>
      <c r="AX57" s="119" t="n">
        <v>23.99</v>
      </c>
      <c r="AY57" s="118" t="inlineStr">
        <is>
          <t>none</t>
        </is>
      </c>
      <c r="AZ57" s="118" t="inlineStr">
        <is>
          <t>Y</t>
        </is>
      </c>
      <c r="BA57" s="118" t="inlineStr">
        <is>
          <t>2026-10-13 23:39:39</t>
        </is>
      </c>
      <c r="BB57" s="125" t="n"/>
      <c r="BC57" s="125" t="n"/>
      <c r="BD57" s="121" t="n">
        <v>23.99</v>
      </c>
      <c r="BE57" s="124" t="n"/>
      <c r="BF57" s="110">
        <f>IF(AND(ISNUMBER(BD57),ISNUMBER(BE57),N(BD57)&gt;0),1-BE57/BD57,"")</f>
        <v/>
      </c>
      <c r="BG57" s="122" t="n">
        <v>48329</v>
      </c>
      <c r="BH57" s="122" t="n">
        <v>68168</v>
      </c>
      <c r="BI57" s="123">
        <f>IF(AND(ISNUMBER(BG57),ISNUMBER(BH57),N(BH57)&gt;0),BG57/BH57,"")</f>
        <v/>
      </c>
      <c r="BJ57" s="120" t="inlineStr">
        <is>
          <t>Y</t>
        </is>
      </c>
      <c r="BK57" s="120" t="inlineStr">
        <is>
          <t>No Buy Box history in price history for BFCM 2025; List Price $34.99</t>
        </is>
      </c>
    </row>
    <row r="58" ht="62" customHeight="1">
      <c r="A58" s="12">
        <f>_xlfn.IMAGE("https://images-na.ssl-images-amazon.com/images/I/81LBQiUKrSS.jpg")</f>
        <v/>
      </c>
      <c r="B58" s="105" t="inlineStr">
        <is>
          <t>Easy-Going</t>
        </is>
      </c>
      <c r="C58" s="39" t="inlineStr">
        <is>
          <t>Easy-Going 100% Waterproof Dining Room Chair Covers Set of 6, Large</t>
        </is>
      </c>
      <c r="D58" s="105" t="inlineStr">
        <is>
          <t>Aspirational</t>
        </is>
      </c>
      <c r="E58" s="134" t="inlineStr">
        <is>
          <t>Not classified</t>
        </is>
      </c>
      <c r="F58" s="105" t="n"/>
      <c r="G58" s="39" t="inlineStr">
        <is>
          <t>Not a sheet, pillowcase or comforter product; competitors are compared on price and sales only.</t>
        </is>
      </c>
      <c r="H58" s="107" t="inlineStr">
        <is>
          <t>B0D56RHFVV</t>
        </is>
      </c>
      <c r="I58" s="107" t="inlineStr">
        <is>
          <t>B08TT88SXY</t>
        </is>
      </c>
      <c r="J58" s="105" t="n"/>
      <c r="K58" s="105" t="inlineStr">
        <is>
          <t>Light Gray</t>
        </is>
      </c>
      <c r="L58" s="108" t="n">
        <v>74</v>
      </c>
      <c r="M58" s="39" t="inlineStr"/>
      <c r="N58" s="109" t="n">
        <v>25.99</v>
      </c>
      <c r="O58" s="109" t="n"/>
      <c r="P58" s="110">
        <f>IF(AND(ISNUMBER(O58),ISNUMBER(N58),N(N58)&gt;0),O58/N58-1,"")</f>
        <v/>
      </c>
      <c r="Q58" s="111">
        <f>IF(P58="","No List Price",IF(P58&lt;=0,"At/below price",IF(P58&lt;=0.12,"&lt;=12% STR zone",IF(P58&lt;=0.25,"12-25%","&gt;25% over"))))</f>
        <v/>
      </c>
      <c r="R58" s="109" t="n">
        <v>25.24</v>
      </c>
      <c r="S58" s="112">
        <f>IF(AND(ISNUMBER(N58),ISNUMBER(R58),N(R58)&gt;0),N58/R58-1,"")</f>
        <v/>
      </c>
      <c r="T58" s="39" t="inlineStr">
        <is>
          <t>vs our blended price (market data, Mar 2026 - STALE)</t>
        </is>
      </c>
      <c r="U58" s="108" t="n">
        <v>25992</v>
      </c>
      <c r="V58" s="108" t="n">
        <v>92</v>
      </c>
      <c r="W58" s="113">
        <f>IF(AND(ISNUMBER(N58),ISNUMBER(V58)),N58*V58*52/12,"")</f>
        <v/>
      </c>
      <c r="X58" s="114" t="n">
        <v>4.6</v>
      </c>
      <c r="Y58" s="108" t="n">
        <v>4711</v>
      </c>
      <c r="Z58" s="115" t="n">
        <v>46307</v>
      </c>
      <c r="AA58" s="115" t="n">
        <v>44219</v>
      </c>
      <c r="AB58" s="105" t="inlineStr">
        <is>
          <t>FBA</t>
        </is>
      </c>
      <c r="AC58" s="105" t="inlineStr">
        <is>
          <t>HK</t>
        </is>
      </c>
      <c r="AD58" s="108" t="n"/>
      <c r="AE58" s="108" t="n"/>
      <c r="AF58" s="116" t="n"/>
      <c r="AG58" s="116" t="n"/>
      <c r="AH58" s="39" t="n"/>
      <c r="AI58" s="116" t="n"/>
      <c r="AJ58" s="116" t="n"/>
      <c r="AK58" s="116" t="n"/>
      <c r="AL58" s="116" t="n"/>
      <c r="AM58" s="108" t="n"/>
      <c r="AN58" s="108" t="n"/>
      <c r="AO58" s="108" t="n"/>
      <c r="AP58" s="108" t="n"/>
      <c r="AQ58" s="108" t="n"/>
      <c r="AR58" s="108" t="n"/>
      <c r="AS58" s="117" t="n"/>
      <c r="AT58" s="112" t="n"/>
      <c r="AU58" s="118" t="inlineStr">
        <is>
          <t>N</t>
        </is>
      </c>
      <c r="AV58" s="118" t="inlineStr">
        <is>
          <t>none</t>
        </is>
      </c>
      <c r="AW58" s="124" t="n"/>
      <c r="AX58" s="119" t="n">
        <v>25.99</v>
      </c>
      <c r="AY58" s="118" t="inlineStr">
        <is>
          <t>coupon 10%</t>
        </is>
      </c>
      <c r="AZ58" s="118" t="inlineStr">
        <is>
          <t>Y</t>
        </is>
      </c>
      <c r="BA58" s="118" t="inlineStr">
        <is>
          <t>2026-10-13 23:40:16</t>
        </is>
      </c>
      <c r="BB58" s="120" t="inlineStr">
        <is>
          <t>Coupon only</t>
        </is>
      </c>
      <c r="BC58" s="120" t="inlineStr">
        <is>
          <t>11-07 to 11-20</t>
        </is>
      </c>
      <c r="BD58" s="121" t="n">
        <v>25.99</v>
      </c>
      <c r="BE58" s="121" t="n">
        <v>23.39</v>
      </c>
      <c r="BF58" s="110">
        <f>IF(AND(ISNUMBER(BD58),ISNUMBER(BE58),N(BD58)&gt;0),1-BE58/BD58,"")</f>
        <v/>
      </c>
      <c r="BG58" s="122" t="n">
        <v>14640</v>
      </c>
      <c r="BH58" s="122" t="n">
        <v>11289</v>
      </c>
      <c r="BI58" s="123">
        <f>IF(AND(ISNUMBER(BG58),ISNUMBER(BH58),N(BH58)&gt;0),BG58/BH58,"")</f>
        <v/>
      </c>
      <c r="BJ58" s="120" t="inlineStr">
        <is>
          <t>N</t>
        </is>
      </c>
      <c r="BK58" s="120" t="inlineStr">
        <is>
          <t>Coupon 10%; List Price $34.99</t>
        </is>
      </c>
    </row>
    <row r="59" ht="62" customHeight="1">
      <c r="A59" s="12">
        <f>_xlfn.IMAGE("https://m.media-amazon.com/images/I/71LwQAGMJHS._AC_SL1500_.jpg")</f>
        <v/>
      </c>
      <c r="B59" s="105" t="inlineStr">
        <is>
          <t>Genina</t>
        </is>
      </c>
      <c r="C59" s="39" t="inlineStr">
        <is>
          <t>Waterproof Chair Cover</t>
        </is>
      </c>
      <c r="D59" s="105" t="inlineStr">
        <is>
          <t>Aspirational</t>
        </is>
      </c>
      <c r="E59" s="134" t="inlineStr">
        <is>
          <t>Not classified</t>
        </is>
      </c>
      <c r="F59" s="105" t="n"/>
      <c r="G59" s="39" t="inlineStr">
        <is>
          <t>Not a sheet, pillowcase or comforter product; competitors are compared on price and sales only.</t>
        </is>
      </c>
      <c r="H59" s="107" t="inlineStr">
        <is>
          <t>B0CD2CC5XV</t>
        </is>
      </c>
      <c r="I59" s="107" t="inlineStr">
        <is>
          <t>B095H7XNTP</t>
        </is>
      </c>
      <c r="J59" s="105" t="n"/>
      <c r="K59" s="105" t="inlineStr">
        <is>
          <t>Beige</t>
        </is>
      </c>
      <c r="L59" s="108" t="n"/>
      <c r="M59" s="39" t="inlineStr"/>
      <c r="N59" s="109" t="n">
        <v>28.49</v>
      </c>
      <c r="O59" s="109" t="n"/>
      <c r="P59" s="110">
        <f>IF(AND(ISNUMBER(O59),ISNUMBER(N59),N(N59)&gt;0),O59/N59-1,"")</f>
        <v/>
      </c>
      <c r="Q59" s="111">
        <f>IF(P59="","No List Price",IF(P59&lt;=0,"At/below price",IF(P59&lt;=0.12,"&lt;=12% STR zone",IF(P59&lt;=0.25,"12-25%","&gt;25% over"))))</f>
        <v/>
      </c>
      <c r="R59" s="109" t="n">
        <v>25.24</v>
      </c>
      <c r="S59" s="112">
        <f>IF(AND(ISNUMBER(N59),ISNUMBER(R59),N(R59)&gt;0),N59/R59-1,"")</f>
        <v/>
      </c>
      <c r="T59" s="39" t="inlineStr">
        <is>
          <t>vs our blended price (market data, Mar 2026 - STALE)</t>
        </is>
      </c>
      <c r="U59" s="108" t="n">
        <v>36868</v>
      </c>
      <c r="V59" s="108" t="n">
        <v>92</v>
      </c>
      <c r="W59" s="113">
        <f>IF(AND(ISNUMBER(N59),ISNUMBER(V59)),N59*V59*52/12,"")</f>
        <v/>
      </c>
      <c r="X59" s="114" t="n">
        <v>4.6</v>
      </c>
      <c r="Y59" s="108" t="n">
        <v>2729</v>
      </c>
      <c r="Z59" s="115" t="n">
        <v>46307</v>
      </c>
      <c r="AA59" s="115" t="n"/>
      <c r="AB59" s="105" t="n"/>
      <c r="AC59" s="105" t="n"/>
      <c r="AD59" s="108" t="n"/>
      <c r="AE59" s="108" t="n"/>
      <c r="AF59" s="116" t="n"/>
      <c r="AG59" s="116" t="n"/>
      <c r="AH59" s="39" t="n"/>
      <c r="AI59" s="116" t="n"/>
      <c r="AJ59" s="116" t="n"/>
      <c r="AK59" s="116" t="n"/>
      <c r="AL59" s="116" t="n"/>
      <c r="AM59" s="108" t="n"/>
      <c r="AN59" s="108" t="n"/>
      <c r="AO59" s="108" t="n"/>
      <c r="AP59" s="108" t="n"/>
      <c r="AQ59" s="108" t="n"/>
      <c r="AR59" s="108" t="n"/>
      <c r="AS59" s="117" t="n"/>
      <c r="AT59" s="112" t="n"/>
      <c r="AU59" s="118" t="inlineStr">
        <is>
          <t>N</t>
        </is>
      </c>
      <c r="AV59" s="118" t="inlineStr">
        <is>
          <t>none</t>
        </is>
      </c>
      <c r="AW59" s="124" t="n"/>
      <c r="AX59" s="119" t="n">
        <v>29.99</v>
      </c>
      <c r="AY59" s="118" t="inlineStr">
        <is>
          <t>none</t>
        </is>
      </c>
      <c r="AZ59" s="118" t="inlineStr">
        <is>
          <t>Y</t>
        </is>
      </c>
      <c r="BA59" s="118" t="inlineStr">
        <is>
          <t>2026-10-13 23:40:44</t>
        </is>
      </c>
      <c r="BB59" s="120" t="inlineStr">
        <is>
          <t>Prime Exclusive Discount</t>
        </is>
      </c>
      <c r="BC59" s="120" t="inlineStr">
        <is>
          <t>11-26 to 12-05</t>
        </is>
      </c>
      <c r="BD59" s="121" t="n">
        <v>31.99</v>
      </c>
      <c r="BE59" s="121" t="n">
        <v>26.63</v>
      </c>
      <c r="BF59" s="110">
        <f>IF(AND(ISNUMBER(BD59),ISNUMBER(BE59),N(BD59)&gt;0),1-BE59/BD59,"")</f>
        <v/>
      </c>
      <c r="BG59" s="122" t="n">
        <v>44523</v>
      </c>
      <c r="BH59" s="122" t="n">
        <v>37114</v>
      </c>
      <c r="BI59" s="123">
        <f>IF(AND(ISNUMBER(BG59),ISNUMBER(BH59),N(BH59)&gt;0),BG59/BH59,"")</f>
        <v/>
      </c>
      <c r="BJ59" s="120" t="inlineStr">
        <is>
          <t>N</t>
        </is>
      </c>
      <c r="BK59" s="120" t="inlineStr">
        <is>
          <t>Buy Box RAISED in BFCM week (median $35.99 vs $31.99 before); List Price $36.99</t>
        </is>
      </c>
    </row>
    <row r="60" ht="62" customHeight="1">
      <c r="A60" s="12">
        <f>_xlfn.IMAGE("https://m.media-amazon.com/images/I/81IZPD5HX+L._AC_SL1500_.jpg")</f>
        <v/>
      </c>
      <c r="B60" s="105" t="inlineStr">
        <is>
          <t>SearchI</t>
        </is>
      </c>
      <c r="C60" s="39" t="inlineStr">
        <is>
          <t>Waterproof Chair Cover</t>
        </is>
      </c>
      <c r="D60" s="105" t="inlineStr">
        <is>
          <t>Aspirational</t>
        </is>
      </c>
      <c r="E60" s="134" t="inlineStr">
        <is>
          <t>Not classified</t>
        </is>
      </c>
      <c r="F60" s="105" t="n"/>
      <c r="G60" s="39" t="inlineStr">
        <is>
          <t>Not a sheet, pillowcase or comforter product; competitors are compared on price and sales only.</t>
        </is>
      </c>
      <c r="H60" s="107" t="inlineStr">
        <is>
          <t>B0DC3S5WV2</t>
        </is>
      </c>
      <c r="I60" s="107" t="inlineStr">
        <is>
          <t>B09FL11K2J</t>
        </is>
      </c>
      <c r="J60" s="105" t="n"/>
      <c r="K60" s="105" t="inlineStr">
        <is>
          <t>Beige Rhombus</t>
        </is>
      </c>
      <c r="L60" s="108" t="n"/>
      <c r="M60" s="39" t="inlineStr"/>
      <c r="N60" s="109" t="n">
        <v>29.99</v>
      </c>
      <c r="O60" s="109" t="n">
        <v>34.99</v>
      </c>
      <c r="P60" s="110">
        <f>IF(AND(ISNUMBER(O60),ISNUMBER(N60),N(N60)&gt;0),O60/N60-1,"")</f>
        <v/>
      </c>
      <c r="Q60" s="111">
        <f>IF(P60="","No List Price",IF(P60&lt;=0,"At/below price",IF(P60&lt;=0.12,"&lt;=12% STR zone",IF(P60&lt;=0.25,"12-25%","&gt;25% over"))))</f>
        <v/>
      </c>
      <c r="R60" s="109" t="n">
        <v>25.24</v>
      </c>
      <c r="S60" s="112">
        <f>IF(AND(ISNUMBER(N60),ISNUMBER(R60),N(R60)&gt;0),N60/R60-1,"")</f>
        <v/>
      </c>
      <c r="T60" s="39" t="inlineStr">
        <is>
          <t>vs our blended price (market data, Mar 2026 - STALE)</t>
        </is>
      </c>
      <c r="U60" s="108" t="n">
        <v>10321</v>
      </c>
      <c r="V60" s="108" t="n">
        <v>92</v>
      </c>
      <c r="W60" s="113">
        <f>IF(AND(ISNUMBER(N60),ISNUMBER(V60)),N60*V60*52/12,"")</f>
        <v/>
      </c>
      <c r="X60" s="114" t="n">
        <v>4.6</v>
      </c>
      <c r="Y60" s="108" t="n">
        <v>10643</v>
      </c>
      <c r="Z60" s="115" t="n">
        <v>46307</v>
      </c>
      <c r="AA60" s="115" t="n"/>
      <c r="AB60" s="105" t="n"/>
      <c r="AC60" s="105" t="n"/>
      <c r="AD60" s="108" t="n"/>
      <c r="AE60" s="108" t="n"/>
      <c r="AF60" s="116" t="n"/>
      <c r="AG60" s="116" t="n"/>
      <c r="AH60" s="39" t="n"/>
      <c r="AI60" s="116" t="n"/>
      <c r="AJ60" s="116" t="n"/>
      <c r="AK60" s="116" t="n"/>
      <c r="AL60" s="116" t="n"/>
      <c r="AM60" s="108" t="n"/>
      <c r="AN60" s="108" t="n"/>
      <c r="AO60" s="108" t="n"/>
      <c r="AP60" s="108" t="n"/>
      <c r="AQ60" s="108" t="n"/>
      <c r="AR60" s="108" t="n"/>
      <c r="AS60" s="117" t="n"/>
      <c r="AT60" s="112" t="n"/>
      <c r="AU60" s="118" t="inlineStr">
        <is>
          <t>Y</t>
        </is>
      </c>
      <c r="AV60" s="118" t="inlineStr">
        <is>
          <t>List Price</t>
        </is>
      </c>
      <c r="AW60" s="119" t="n">
        <v>34.99</v>
      </c>
      <c r="AX60" s="119" t="n">
        <v>29.99</v>
      </c>
      <c r="AY60" s="118" t="inlineStr">
        <is>
          <t>none</t>
        </is>
      </c>
      <c r="AZ60" s="118" t="inlineStr">
        <is>
          <t>Y</t>
        </is>
      </c>
      <c r="BA60" s="118" t="inlineStr">
        <is>
          <t>2026-10-13 23:42:59</t>
        </is>
      </c>
      <c r="BB60" s="120" t="inlineStr">
        <is>
          <t>Price cut only</t>
        </is>
      </c>
      <c r="BC60" s="120" t="inlineStr">
        <is>
          <t>11-20 to 12-01</t>
        </is>
      </c>
      <c r="BD60" s="121" t="n">
        <v>37.04</v>
      </c>
      <c r="BE60" s="121" t="n">
        <v>26.59</v>
      </c>
      <c r="BF60" s="110">
        <f>IF(AND(ISNUMBER(BD60),ISNUMBER(BE60),N(BD60)&gt;0),1-BE60/BD60,"")</f>
        <v/>
      </c>
      <c r="BG60" s="122" t="n">
        <v>19780</v>
      </c>
      <c r="BH60" s="122" t="n">
        <v>8962</v>
      </c>
      <c r="BI60" s="123">
        <f>IF(AND(ISNUMBER(BG60),ISNUMBER(BH60),N(BH60)&gt;0),BG60/BH60,"")</f>
        <v/>
      </c>
      <c r="BJ60" s="120" t="inlineStr">
        <is>
          <t>N</t>
        </is>
      </c>
      <c r="BK60" s="120" t="inlineStr">
        <is>
          <t>Lightning Deal 11-02 to 11-16; List Price $38.99</t>
        </is>
      </c>
    </row>
    <row r="61" ht="62" customHeight="1">
      <c r="A61" s="12">
        <f>_xlfn.IMAGE("https://images-na.ssl-images-amazon.com/images/I/71jOUNGjjeL.jpg")</f>
        <v/>
      </c>
      <c r="B61" s="105" t="inlineStr">
        <is>
          <t>Genina</t>
        </is>
      </c>
      <c r="C61" s="39" t="inlineStr">
        <is>
          <t>Waterproof Dining Room Chair Covers, Stretch Parsons Chair Slipcovers</t>
        </is>
      </c>
      <c r="D61" s="105" t="inlineStr">
        <is>
          <t>Aspirational</t>
        </is>
      </c>
      <c r="E61" s="134" t="inlineStr">
        <is>
          <t>Not classified</t>
        </is>
      </c>
      <c r="F61" s="105" t="n"/>
      <c r="G61" s="39" t="inlineStr">
        <is>
          <t>Not a sheet, pillowcase or comforter product; competitors are compared on price and sales only.</t>
        </is>
      </c>
      <c r="H61" s="107" t="inlineStr">
        <is>
          <t>B0BYZ5J2G2</t>
        </is>
      </c>
      <c r="I61" s="107" t="inlineStr">
        <is>
          <t>B0B12QRW73</t>
        </is>
      </c>
      <c r="J61" s="105" t="n"/>
      <c r="K61" s="105" t="inlineStr">
        <is>
          <t>Flower Pattern-dark Gray</t>
        </is>
      </c>
      <c r="L61" s="108" t="n">
        <v>71</v>
      </c>
      <c r="M61" s="39" t="inlineStr"/>
      <c r="N61" s="109" t="n">
        <v>19.99</v>
      </c>
      <c r="O61" s="109" t="n">
        <v>23.99</v>
      </c>
      <c r="P61" s="110">
        <f>IF(AND(ISNUMBER(O61),ISNUMBER(N61),N(N61)&gt;0),O61/N61-1,"")</f>
        <v/>
      </c>
      <c r="Q61" s="111">
        <f>IF(P61="","No List Price",IF(P61&lt;=0,"At/below price",IF(P61&lt;=0.12,"&lt;=12% STR zone",IF(P61&lt;=0.25,"12-25%","&gt;25% over"))))</f>
        <v/>
      </c>
      <c r="R61" s="109" t="n">
        <v>25.24</v>
      </c>
      <c r="S61" s="112">
        <f>IF(AND(ISNUMBER(N61),ISNUMBER(R61),N(R61)&gt;0),N61/R61-1,"")</f>
        <v/>
      </c>
      <c r="T61" s="39" t="inlineStr">
        <is>
          <t>vs our blended price (market data, Mar 2026 - STALE)</t>
        </is>
      </c>
      <c r="U61" s="108" t="n">
        <v>36704</v>
      </c>
      <c r="V61" s="108" t="n">
        <v>81</v>
      </c>
      <c r="W61" s="113">
        <f>IF(AND(ISNUMBER(N61),ISNUMBER(V61)),N61*V61*52/12,"")</f>
        <v/>
      </c>
      <c r="X61" s="114" t="n">
        <v>4.7</v>
      </c>
      <c r="Y61" s="108" t="n">
        <v>1655</v>
      </c>
      <c r="Z61" s="115" t="n">
        <v>46307</v>
      </c>
      <c r="AA61" s="115" t="n">
        <v>44692</v>
      </c>
      <c r="AB61" s="105" t="inlineStr">
        <is>
          <t>FBA</t>
        </is>
      </c>
      <c r="AC61" s="105" t="inlineStr">
        <is>
          <t>CN</t>
        </is>
      </c>
      <c r="AD61" s="108" t="n"/>
      <c r="AE61" s="108" t="n"/>
      <c r="AF61" s="116" t="n"/>
      <c r="AG61" s="116" t="n"/>
      <c r="AH61" s="39" t="n"/>
      <c r="AI61" s="116" t="n"/>
      <c r="AJ61" s="116" t="n"/>
      <c r="AK61" s="116" t="n"/>
      <c r="AL61" s="116" t="n"/>
      <c r="AM61" s="108" t="n"/>
      <c r="AN61" s="108" t="n"/>
      <c r="AO61" s="108" t="n"/>
      <c r="AP61" s="108" t="n"/>
      <c r="AQ61" s="108" t="n"/>
      <c r="AR61" s="108" t="n"/>
      <c r="AS61" s="117" t="n"/>
      <c r="AT61" s="112" t="n"/>
      <c r="AU61" s="118" t="inlineStr">
        <is>
          <t>Y</t>
        </is>
      </c>
      <c r="AV61" s="118" t="inlineStr">
        <is>
          <t>List Price</t>
        </is>
      </c>
      <c r="AW61" s="119" t="n">
        <v>23.99</v>
      </c>
      <c r="AX61" s="119" t="n">
        <v>19.99</v>
      </c>
      <c r="AY61" s="118" t="inlineStr">
        <is>
          <t>none</t>
        </is>
      </c>
      <c r="AZ61" s="118" t="inlineStr">
        <is>
          <t>Y</t>
        </is>
      </c>
      <c r="BA61" s="118" t="inlineStr">
        <is>
          <t>2026-10-13 23:40:48</t>
        </is>
      </c>
      <c r="BB61" s="120" t="inlineStr">
        <is>
          <t>Prime Exclusive Discount</t>
        </is>
      </c>
      <c r="BC61" s="120" t="inlineStr">
        <is>
          <t>11-25 to 12-02</t>
        </is>
      </c>
      <c r="BD61" s="121" t="n">
        <v>18.99</v>
      </c>
      <c r="BE61" s="121" t="n">
        <v>17.14</v>
      </c>
      <c r="BF61" s="110">
        <f>IF(AND(ISNUMBER(BD61),ISNUMBER(BE61),N(BD61)&gt;0),1-BE61/BD61,"")</f>
        <v/>
      </c>
      <c r="BG61" s="122" t="n">
        <v>20458</v>
      </c>
      <c r="BH61" s="122" t="n">
        <v>17842</v>
      </c>
      <c r="BI61" s="123">
        <f>IF(AND(ISNUMBER(BG61),ISNUMBER(BH61),N(BH61)&gt;0),BG61/BH61,"")</f>
        <v/>
      </c>
      <c r="BJ61" s="120" t="inlineStr">
        <is>
          <t>N</t>
        </is>
      </c>
      <c r="BK61" s="120" t="inlineStr">
        <is>
          <t>Buy Box RAISED in BFCM week (median $21.69 vs $18.99 before); List Price $21.69</t>
        </is>
      </c>
    </row>
    <row r="62" ht="62" customHeight="1">
      <c r="A62" s="12">
        <f>_xlfn.IMAGE("https://images-na.ssl-images-amazon.com/images/I/81w0LNt7hUS.jpg")</f>
        <v/>
      </c>
      <c r="B62" s="105" t="inlineStr">
        <is>
          <t>Genina</t>
        </is>
      </c>
      <c r="C62" s="39" t="inlineStr">
        <is>
          <t>Genina Waterproof Chair Covers for Dining Room Chair Slipcovers Set of 4</t>
        </is>
      </c>
      <c r="D62" s="105" t="inlineStr">
        <is>
          <t>Aspirational</t>
        </is>
      </c>
      <c r="E62" s="134" t="inlineStr">
        <is>
          <t>Not classified</t>
        </is>
      </c>
      <c r="F62" s="105" t="n"/>
      <c r="G62" s="39" t="inlineStr">
        <is>
          <t>Not a sheet, pillowcase or comforter product; competitors are compared on price and sales only.</t>
        </is>
      </c>
      <c r="H62" s="107" t="inlineStr">
        <is>
          <t>B0HCPK37ZX</t>
        </is>
      </c>
      <c r="I62" s="107" t="inlineStr">
        <is>
          <t>B08Z3KC7KL</t>
        </is>
      </c>
      <c r="J62" s="105" t="n"/>
      <c r="K62" s="105" t="inlineStr">
        <is>
          <t>Khaki</t>
        </is>
      </c>
      <c r="L62" s="108" t="n">
        <v>50</v>
      </c>
      <c r="M62" s="39" t="inlineStr"/>
      <c r="N62" s="109" t="n">
        <v>19.99</v>
      </c>
      <c r="O62" s="109" t="n"/>
      <c r="P62" s="110">
        <f>IF(AND(ISNUMBER(O62),ISNUMBER(N62),N(N62)&gt;0),O62/N62-1,"")</f>
        <v/>
      </c>
      <c r="Q62" s="111">
        <f>IF(P62="","No List Price",IF(P62&lt;=0,"At/below price",IF(P62&lt;=0.12,"&lt;=12% STR zone",IF(P62&lt;=0.25,"12-25%","&gt;25% over"))))</f>
        <v/>
      </c>
      <c r="R62" s="109" t="n">
        <v>25.24</v>
      </c>
      <c r="S62" s="112">
        <f>IF(AND(ISNUMBER(N62),ISNUMBER(R62),N(R62)&gt;0),N62/R62-1,"")</f>
        <v/>
      </c>
      <c r="T62" s="39" t="inlineStr">
        <is>
          <t>vs our blended price (market data, Mar 2026 - STALE)</t>
        </is>
      </c>
      <c r="U62" s="108" t="n">
        <v>28582</v>
      </c>
      <c r="V62" s="108" t="n">
        <v>81</v>
      </c>
      <c r="W62" s="113">
        <f>IF(AND(ISNUMBER(N62),ISNUMBER(V62)),N62*V62*52/12,"")</f>
        <v/>
      </c>
      <c r="X62" s="114" t="n">
        <v>4.5</v>
      </c>
      <c r="Y62" s="108" t="n">
        <v>1786</v>
      </c>
      <c r="Z62" s="115" t="n">
        <v>46307</v>
      </c>
      <c r="AA62" s="115" t="n">
        <v>44271</v>
      </c>
      <c r="AB62" s="105" t="inlineStr">
        <is>
          <t>FBA</t>
        </is>
      </c>
      <c r="AC62" s="105" t="inlineStr">
        <is>
          <t>CN</t>
        </is>
      </c>
      <c r="AD62" s="108" t="n"/>
      <c r="AE62" s="108" t="n"/>
      <c r="AF62" s="116" t="n"/>
      <c r="AG62" s="116" t="n"/>
      <c r="AH62" s="39" t="n"/>
      <c r="AI62" s="116" t="n"/>
      <c r="AJ62" s="116" t="n"/>
      <c r="AK62" s="116" t="n"/>
      <c r="AL62" s="116" t="n"/>
      <c r="AM62" s="108" t="n"/>
      <c r="AN62" s="108" t="n"/>
      <c r="AO62" s="108" t="n"/>
      <c r="AP62" s="108" t="n"/>
      <c r="AQ62" s="108" t="n"/>
      <c r="AR62" s="108" t="n"/>
      <c r="AS62" s="117" t="n"/>
      <c r="AT62" s="112" t="n"/>
      <c r="AU62" s="118" t="inlineStr">
        <is>
          <t>N</t>
        </is>
      </c>
      <c r="AV62" s="118" t="inlineStr">
        <is>
          <t>none</t>
        </is>
      </c>
      <c r="AW62" s="124" t="n"/>
      <c r="AX62" s="119" t="n">
        <v>19.99</v>
      </c>
      <c r="AY62" s="118" t="inlineStr">
        <is>
          <t>none</t>
        </is>
      </c>
      <c r="AZ62" s="118" t="inlineStr">
        <is>
          <t>Y</t>
        </is>
      </c>
      <c r="BA62" s="118" t="inlineStr">
        <is>
          <t>2026-10-13 23:40:51</t>
        </is>
      </c>
      <c r="BB62" s="120" t="inlineStr">
        <is>
          <t>Prime Exclusive Discount</t>
        </is>
      </c>
      <c r="BC62" s="120" t="inlineStr">
        <is>
          <t>11-01 to 12-05</t>
        </is>
      </c>
      <c r="BD62" s="121" t="n">
        <v>22.08</v>
      </c>
      <c r="BE62" s="121" t="n">
        <v>18.71</v>
      </c>
      <c r="BF62" s="110">
        <f>IF(AND(ISNUMBER(BD62),ISNUMBER(BE62),N(BD62)&gt;0),1-BE62/BD62,"")</f>
        <v/>
      </c>
      <c r="BG62" s="122" t="n">
        <v>30684</v>
      </c>
      <c r="BH62" s="122" t="n">
        <v>25531</v>
      </c>
      <c r="BI62" s="123">
        <f>IF(AND(ISNUMBER(BG62),ISNUMBER(BH62),N(BH62)&gt;0),BG62/BH62,"")</f>
        <v/>
      </c>
      <c r="BJ62" s="120" t="inlineStr">
        <is>
          <t>N</t>
        </is>
      </c>
      <c r="BK62" s="120" t="inlineStr">
        <is>
          <t>Prime Exclusive already running before BFCM week; List Price $29.98</t>
        </is>
      </c>
    </row>
    <row r="63" ht="62" customHeight="1">
      <c r="A63" s="12">
        <f>_xlfn.IMAGE("https://images-na.ssl-images-amazon.com/images/I/61hYlhWoWsL.jpg")</f>
        <v/>
      </c>
      <c r="B63" s="105" t="inlineStr">
        <is>
          <t>H.VERSAILTEX</t>
        </is>
      </c>
      <c r="C63" s="39" t="inlineStr">
        <is>
          <t>H.VERSAILTEX Dining Chair Covers Stretch for Dining Room Set of 4 Parson Chair Slipcovers Protectors, Soft Thick Solid Velvet Fabric Washable, Taupe</t>
        </is>
      </c>
      <c r="D63" s="105" t="inlineStr">
        <is>
          <t>Aspirational</t>
        </is>
      </c>
      <c r="E63" s="134" t="inlineStr">
        <is>
          <t>Not classified</t>
        </is>
      </c>
      <c r="F63" s="105" t="n"/>
      <c r="G63" s="39" t="inlineStr">
        <is>
          <t>Not a sheet, pillowcase or comforter product; competitors are compared on price and sales only.</t>
        </is>
      </c>
      <c r="H63" s="107" t="inlineStr">
        <is>
          <t>B093Q37D94</t>
        </is>
      </c>
      <c r="I63" s="107" t="inlineStr">
        <is>
          <t>B07TKS5LN7</t>
        </is>
      </c>
      <c r="J63" s="105" t="n"/>
      <c r="K63" s="105" t="inlineStr">
        <is>
          <t>Taupe</t>
        </is>
      </c>
      <c r="L63" s="108" t="n">
        <v>37</v>
      </c>
      <c r="M63" s="39" t="inlineStr"/>
      <c r="N63" s="109" t="n">
        <v>31.99</v>
      </c>
      <c r="O63" s="109" t="n"/>
      <c r="P63" s="110">
        <f>IF(AND(ISNUMBER(O63),ISNUMBER(N63),N(N63)&gt;0),O63/N63-1,"")</f>
        <v/>
      </c>
      <c r="Q63" s="111">
        <f>IF(P63="","No List Price",IF(P63&lt;=0,"At/below price",IF(P63&lt;=0.12,"&lt;=12% STR zone",IF(P63&lt;=0.25,"12-25%","&gt;25% over"))))</f>
        <v/>
      </c>
      <c r="R63" s="109" t="n">
        <v>25.24</v>
      </c>
      <c r="S63" s="112">
        <f>IF(AND(ISNUMBER(N63),ISNUMBER(R63),N(R63)&gt;0),N63/R63-1,"")</f>
        <v/>
      </c>
      <c r="T63" s="39" t="inlineStr">
        <is>
          <t>vs our blended price (market data, Mar 2026 - STALE)</t>
        </is>
      </c>
      <c r="U63" s="108" t="n">
        <v>16732</v>
      </c>
      <c r="V63" s="108" t="n">
        <v>81</v>
      </c>
      <c r="W63" s="113">
        <f>IF(AND(ISNUMBER(N63),ISNUMBER(V63)),N63*V63*52/12,"")</f>
        <v/>
      </c>
      <c r="X63" s="114" t="n">
        <v>4.5</v>
      </c>
      <c r="Y63" s="108" t="n">
        <v>5385</v>
      </c>
      <c r="Z63" s="115" t="n">
        <v>46307</v>
      </c>
      <c r="AA63" s="115" t="n">
        <v>43677</v>
      </c>
      <c r="AB63" s="105" t="inlineStr">
        <is>
          <t>FBA</t>
        </is>
      </c>
      <c r="AC63" s="105" t="inlineStr">
        <is>
          <t>CN</t>
        </is>
      </c>
      <c r="AD63" s="108" t="n"/>
      <c r="AE63" s="108" t="n"/>
      <c r="AF63" s="116" t="n"/>
      <c r="AG63" s="116" t="n"/>
      <c r="AH63" s="39" t="n"/>
      <c r="AI63" s="116" t="n"/>
      <c r="AJ63" s="116" t="n"/>
      <c r="AK63" s="116" t="n"/>
      <c r="AL63" s="116" t="n"/>
      <c r="AM63" s="108" t="n"/>
      <c r="AN63" s="108" t="n"/>
      <c r="AO63" s="108" t="n"/>
      <c r="AP63" s="108" t="n"/>
      <c r="AQ63" s="108" t="n"/>
      <c r="AR63" s="108" t="n"/>
      <c r="AS63" s="117" t="n"/>
      <c r="AT63" s="112" t="n"/>
      <c r="AU63" s="118" t="inlineStr">
        <is>
          <t>N</t>
        </is>
      </c>
      <c r="AV63" s="118" t="inlineStr">
        <is>
          <t>none</t>
        </is>
      </c>
      <c r="AW63" s="124" t="n"/>
      <c r="AX63" s="119" t="n">
        <v>31.99</v>
      </c>
      <c r="AY63" s="118" t="inlineStr">
        <is>
          <t>none</t>
        </is>
      </c>
      <c r="AZ63" s="118" t="inlineStr">
        <is>
          <t>Y</t>
        </is>
      </c>
      <c r="BA63" s="118" t="inlineStr">
        <is>
          <t>2026-10-13 23:41:03</t>
        </is>
      </c>
      <c r="BB63" s="120" t="inlineStr">
        <is>
          <t>Prime Exclusive Discount</t>
        </is>
      </c>
      <c r="BC63" s="120" t="inlineStr">
        <is>
          <t>11-20 to 12-01</t>
        </is>
      </c>
      <c r="BD63" s="121" t="n">
        <v>31.99</v>
      </c>
      <c r="BE63" s="121" t="n">
        <v>25.27</v>
      </c>
      <c r="BF63" s="110">
        <f>IF(AND(ISNUMBER(BD63),ISNUMBER(BE63),N(BD63)&gt;0),1-BE63/BD63,"")</f>
        <v/>
      </c>
      <c r="BG63" s="122" t="n">
        <v>12815</v>
      </c>
      <c r="BH63" s="122" t="n">
        <v>11646</v>
      </c>
      <c r="BI63" s="123">
        <f>IF(AND(ISNUMBER(BG63),ISNUMBER(BH63),N(BH63)&gt;0),BG63/BH63,"")</f>
        <v/>
      </c>
      <c r="BJ63" s="120" t="inlineStr">
        <is>
          <t>N</t>
        </is>
      </c>
      <c r="BK63" s="125" t="n"/>
    </row>
    <row r="64" ht="62" customHeight="1">
      <c r="A64" s="12">
        <f>_xlfn.IMAGE("https://images-na.ssl-images-amazon.com/images/I/71hMTmCUTeL.jpg")</f>
        <v/>
      </c>
      <c r="B64" s="105" t="inlineStr">
        <is>
          <t>Sufdari</t>
        </is>
      </c>
      <c r="C64" s="39" t="inlineStr">
        <is>
          <t>Sufdari Dining Chair Covers,Kitchen Cover,Parsons Slipcover,Spandex Protectors for Room Stretch Chairs Cover Set of 4 -Gray</t>
        </is>
      </c>
      <c r="D64" s="105" t="inlineStr">
        <is>
          <t>Aspirational</t>
        </is>
      </c>
      <c r="E64" s="134" t="inlineStr">
        <is>
          <t>Not classified</t>
        </is>
      </c>
      <c r="F64" s="105" t="n"/>
      <c r="G64" s="39" t="inlineStr">
        <is>
          <t>Not a sheet, pillowcase or comforter product; competitors are compared on price and sales only.</t>
        </is>
      </c>
      <c r="H64" s="107" t="inlineStr">
        <is>
          <t>B0DHVVZF9Q</t>
        </is>
      </c>
      <c r="I64" s="107" t="inlineStr">
        <is>
          <t>B09GPP8TRT</t>
        </is>
      </c>
      <c r="J64" s="105" t="n"/>
      <c r="K64" s="105" t="inlineStr">
        <is>
          <t>.Gray</t>
        </is>
      </c>
      <c r="L64" s="108" t="n">
        <v>85</v>
      </c>
      <c r="M64" s="39" t="inlineStr"/>
      <c r="N64" s="109" t="n">
        <v>16.99</v>
      </c>
      <c r="O64" s="109" t="n"/>
      <c r="P64" s="110">
        <f>IF(AND(ISNUMBER(O64),ISNUMBER(N64),N(N64)&gt;0),O64/N64-1,"")</f>
        <v/>
      </c>
      <c r="Q64" s="111">
        <f>IF(P64="","No List Price",IF(P64&lt;=0,"At/below price",IF(P64&lt;=0.12,"&lt;=12% STR zone",IF(P64&lt;=0.25,"12-25%","&gt;25% over"))))</f>
        <v/>
      </c>
      <c r="R64" s="109" t="n">
        <v>25.24</v>
      </c>
      <c r="S64" s="112">
        <f>IF(AND(ISNUMBER(N64),ISNUMBER(R64),N(R64)&gt;0),N64/R64-1,"")</f>
        <v/>
      </c>
      <c r="T64" s="39" t="inlineStr">
        <is>
          <t>vs our blended price (market data, Mar 2026 - STALE)</t>
        </is>
      </c>
      <c r="U64" s="108" t="n">
        <v>59347</v>
      </c>
      <c r="V64" s="108" t="n">
        <v>81</v>
      </c>
      <c r="W64" s="113">
        <f>IF(AND(ISNUMBER(N64),ISNUMBER(V64)),N64*V64*52/12,"")</f>
        <v/>
      </c>
      <c r="X64" s="114" t="n">
        <v>4.6</v>
      </c>
      <c r="Y64" s="108" t="n">
        <v>2070</v>
      </c>
      <c r="Z64" s="115" t="n">
        <v>46307</v>
      </c>
      <c r="AA64" s="115" t="n">
        <v>44546</v>
      </c>
      <c r="AB64" s="105" t="inlineStr">
        <is>
          <t>FBA</t>
        </is>
      </c>
      <c r="AC64" s="105" t="inlineStr">
        <is>
          <t>CN</t>
        </is>
      </c>
      <c r="AD64" s="108" t="n"/>
      <c r="AE64" s="108" t="n"/>
      <c r="AF64" s="116" t="n"/>
      <c r="AG64" s="116" t="n"/>
      <c r="AH64" s="39" t="n"/>
      <c r="AI64" s="116" t="n"/>
      <c r="AJ64" s="116" t="n"/>
      <c r="AK64" s="116" t="n"/>
      <c r="AL64" s="116" t="n"/>
      <c r="AM64" s="108" t="n"/>
      <c r="AN64" s="108" t="n"/>
      <c r="AO64" s="108" t="n"/>
      <c r="AP64" s="108" t="n"/>
      <c r="AQ64" s="108" t="n"/>
      <c r="AR64" s="108" t="n"/>
      <c r="AS64" s="117" t="n"/>
      <c r="AT64" s="112" t="n"/>
      <c r="AU64" s="118" t="inlineStr">
        <is>
          <t>N</t>
        </is>
      </c>
      <c r="AV64" s="118" t="inlineStr">
        <is>
          <t>none</t>
        </is>
      </c>
      <c r="AW64" s="124" t="n"/>
      <c r="AX64" s="119" t="n">
        <v>16.99</v>
      </c>
      <c r="AY64" s="118" t="inlineStr">
        <is>
          <t>none</t>
        </is>
      </c>
      <c r="AZ64" s="118" t="inlineStr">
        <is>
          <t>Y</t>
        </is>
      </c>
      <c r="BA64" s="118" t="inlineStr">
        <is>
          <t>2026-10-13 23:43:14</t>
        </is>
      </c>
      <c r="BB64" s="120" t="inlineStr">
        <is>
          <t>Prime Exclusive Discount</t>
        </is>
      </c>
      <c r="BC64" s="120" t="inlineStr">
        <is>
          <t>11-24 to 12-01</t>
        </is>
      </c>
      <c r="BD64" s="121" t="n">
        <v>18.99</v>
      </c>
      <c r="BE64" s="121" t="n">
        <v>15.19</v>
      </c>
      <c r="BF64" s="110">
        <f>IF(AND(ISNUMBER(BD64),ISNUMBER(BE64),N(BD64)&gt;0),1-BE64/BD64,"")</f>
        <v/>
      </c>
      <c r="BG64" s="122" t="n">
        <v>36044</v>
      </c>
      <c r="BH64" s="122" t="n">
        <v>26250</v>
      </c>
      <c r="BI64" s="123">
        <f>IF(AND(ISNUMBER(BG64),ISNUMBER(BH64),N(BH64)&gt;0),BG64/BH64,"")</f>
        <v/>
      </c>
      <c r="BJ64" s="120" t="inlineStr">
        <is>
          <t>N</t>
        </is>
      </c>
      <c r="BK64" s="120" t="inlineStr">
        <is>
          <t>Coupon 10% (11-01 to 11-05); List Price $17.99</t>
        </is>
      </c>
    </row>
    <row r="65" ht="62" customHeight="1">
      <c r="A65" s="12">
        <f>_xlfn.IMAGE("https://images-na.ssl-images-amazon.com/images/I/81OP4LkrvyL.jpg")</f>
        <v/>
      </c>
      <c r="B65" s="105" t="inlineStr">
        <is>
          <t>YUEANG</t>
        </is>
      </c>
      <c r="C65" s="39" t="inlineStr">
        <is>
          <t>YUEANG Dining Chair Covers Set of 6, Stretch Parsons Chair Slipcovers</t>
        </is>
      </c>
      <c r="D65" s="105" t="inlineStr">
        <is>
          <t>Aspirational</t>
        </is>
      </c>
      <c r="E65" s="134" t="inlineStr">
        <is>
          <t>Not classified</t>
        </is>
      </c>
      <c r="F65" s="105" t="n"/>
      <c r="G65" s="39" t="inlineStr">
        <is>
          <t>Not a sheet, pillowcase or comforter product; competitors are compared on price and sales only.</t>
        </is>
      </c>
      <c r="H65" s="107" t="inlineStr">
        <is>
          <t>B0CJTP9JFK</t>
        </is>
      </c>
      <c r="I65" s="107" t="inlineStr">
        <is>
          <t>B0BYCSLWR6</t>
        </is>
      </c>
      <c r="J65" s="105" t="n"/>
      <c r="K65" s="105" t="inlineStr">
        <is>
          <t>Taupe</t>
        </is>
      </c>
      <c r="L65" s="108" t="n">
        <v>38</v>
      </c>
      <c r="M65" s="39" t="inlineStr"/>
      <c r="N65" s="109" t="n">
        <v>29.99</v>
      </c>
      <c r="O65" s="109" t="n"/>
      <c r="P65" s="110">
        <f>IF(AND(ISNUMBER(O65),ISNUMBER(N65),N(N65)&gt;0),O65/N65-1,"")</f>
        <v/>
      </c>
      <c r="Q65" s="111">
        <f>IF(P65="","No List Price",IF(P65&lt;=0,"At/below price",IF(P65&lt;=0.12,"&lt;=12% STR zone",IF(P65&lt;=0.25,"12-25%","&gt;25% over"))))</f>
        <v/>
      </c>
      <c r="R65" s="109" t="n">
        <v>25.24</v>
      </c>
      <c r="S65" s="112">
        <f>IF(AND(ISNUMBER(N65),ISNUMBER(R65),N(R65)&gt;0),N65/R65-1,"")</f>
        <v/>
      </c>
      <c r="T65" s="39" t="inlineStr">
        <is>
          <t>vs our blended price (market data, Mar 2026 - STALE)</t>
        </is>
      </c>
      <c r="U65" s="108" t="n">
        <v>33484</v>
      </c>
      <c r="V65" s="108" t="n">
        <v>81</v>
      </c>
      <c r="W65" s="113">
        <f>IF(AND(ISNUMBER(N65),ISNUMBER(V65)),N65*V65*52/12,"")</f>
        <v/>
      </c>
      <c r="X65" s="114" t="n">
        <v>4.6</v>
      </c>
      <c r="Y65" s="108" t="n">
        <v>1526</v>
      </c>
      <c r="Z65" s="115" t="n">
        <v>46307</v>
      </c>
      <c r="AA65" s="115" t="n">
        <v>44999</v>
      </c>
      <c r="AB65" s="105" t="inlineStr">
        <is>
          <t>FBA</t>
        </is>
      </c>
      <c r="AC65" s="105" t="inlineStr">
        <is>
          <t>CN</t>
        </is>
      </c>
      <c r="AD65" s="108" t="n"/>
      <c r="AE65" s="108" t="n"/>
      <c r="AF65" s="116" t="n"/>
      <c r="AG65" s="116" t="n"/>
      <c r="AH65" s="39" t="n"/>
      <c r="AI65" s="116" t="n"/>
      <c r="AJ65" s="116" t="n"/>
      <c r="AK65" s="116" t="n"/>
      <c r="AL65" s="116" t="n"/>
      <c r="AM65" s="108" t="n"/>
      <c r="AN65" s="108" t="n"/>
      <c r="AO65" s="108" t="n"/>
      <c r="AP65" s="108" t="n"/>
      <c r="AQ65" s="108" t="n"/>
      <c r="AR65" s="108" t="n"/>
      <c r="AS65" s="117" t="n"/>
      <c r="AT65" s="112" t="n"/>
      <c r="AU65" s="118" t="inlineStr">
        <is>
          <t>N</t>
        </is>
      </c>
      <c r="AV65" s="118" t="inlineStr">
        <is>
          <t>none</t>
        </is>
      </c>
      <c r="AW65" s="124" t="n"/>
      <c r="AX65" s="119" t="n">
        <v>29.99</v>
      </c>
      <c r="AY65" s="118" t="inlineStr">
        <is>
          <t>none</t>
        </is>
      </c>
      <c r="AZ65" s="118" t="inlineStr">
        <is>
          <t>Y</t>
        </is>
      </c>
      <c r="BA65" s="118" t="inlineStr">
        <is>
          <t>2026-10-13 23:43:46</t>
        </is>
      </c>
      <c r="BB65" s="120" t="inlineStr">
        <is>
          <t>None</t>
        </is>
      </c>
      <c r="BC65" s="125" t="n"/>
      <c r="BD65" s="121" t="n">
        <v>35.99</v>
      </c>
      <c r="BE65" s="121" t="n">
        <v>35.99</v>
      </c>
      <c r="BF65" s="110">
        <f>IF(AND(ISNUMBER(BD65),ISNUMBER(BE65),N(BD65)&gt;0),1-BE65/BD65,"")</f>
        <v/>
      </c>
      <c r="BG65" s="122" t="n">
        <v>36189</v>
      </c>
      <c r="BH65" s="122" t="n">
        <v>24491</v>
      </c>
      <c r="BI65" s="123">
        <f>IF(AND(ISNUMBER(BG65),ISNUMBER(BH65),N(BH65)&gt;0),BG65/BH65,"")</f>
        <v/>
      </c>
      <c r="BJ65" s="120" t="inlineStr">
        <is>
          <t>N</t>
        </is>
      </c>
      <c r="BK65" s="120" t="inlineStr">
        <is>
          <t>List Price $35.99</t>
        </is>
      </c>
    </row>
    <row r="66" ht="62" customHeight="1">
      <c r="A66" s="12">
        <f>_xlfn.IMAGE("https://m.media-amazon.com/images/I/71eyNKYGOQL._AC_SL1500_.jpg")</f>
        <v/>
      </c>
      <c r="B66" s="105" t="inlineStr">
        <is>
          <t>Howhic</t>
        </is>
      </c>
      <c r="C66" s="39" t="inlineStr">
        <is>
          <t>Waterproof Chair Cover</t>
        </is>
      </c>
      <c r="D66" s="105" t="inlineStr">
        <is>
          <t>Aspirational</t>
        </is>
      </c>
      <c r="E66" s="134" t="inlineStr">
        <is>
          <t>Not classified</t>
        </is>
      </c>
      <c r="F66" s="105" t="n"/>
      <c r="G66" s="39" t="inlineStr">
        <is>
          <t>Not a sheet, pillowcase or comforter product; competitors are compared on price and sales only.</t>
        </is>
      </c>
      <c r="H66" s="107" t="inlineStr">
        <is>
          <t>B09645XQZT</t>
        </is>
      </c>
      <c r="I66" s="107" t="inlineStr">
        <is>
          <t>B08GCF617Q</t>
        </is>
      </c>
      <c r="J66" s="105" t="n"/>
      <c r="K66" s="105" t="inlineStr">
        <is>
          <t>Pumpkin Orange</t>
        </is>
      </c>
      <c r="L66" s="108" t="n"/>
      <c r="M66" s="39" t="inlineStr"/>
      <c r="N66" s="109" t="n">
        <v>32.99</v>
      </c>
      <c r="O66" s="109" t="n"/>
      <c r="P66" s="110">
        <f>IF(AND(ISNUMBER(O66),ISNUMBER(N66),N(N66)&gt;0),O66/N66-1,"")</f>
        <v/>
      </c>
      <c r="Q66" s="111">
        <f>IF(P66="","No List Price",IF(P66&lt;=0,"At/below price",IF(P66&lt;=0.12,"&lt;=12% STR zone",IF(P66&lt;=0.25,"12-25%","&gt;25% over"))))</f>
        <v/>
      </c>
      <c r="R66" s="109" t="n">
        <v>25.24</v>
      </c>
      <c r="S66" s="112">
        <f>IF(AND(ISNUMBER(N66),ISNUMBER(R66),N(R66)&gt;0),N66/R66-1,"")</f>
        <v/>
      </c>
      <c r="T66" s="39" t="inlineStr">
        <is>
          <t>vs our blended price (market data, Mar 2026 - STALE)</t>
        </is>
      </c>
      <c r="U66" s="108" t="n">
        <v>26195</v>
      </c>
      <c r="V66" s="108" t="n">
        <v>35</v>
      </c>
      <c r="W66" s="113">
        <f>IF(AND(ISNUMBER(N66),ISNUMBER(V66)),N66*V66*52/12,"")</f>
        <v/>
      </c>
      <c r="X66" s="114" t="n">
        <v>4.6</v>
      </c>
      <c r="Y66" s="108" t="n">
        <v>8870</v>
      </c>
      <c r="Z66" s="115" t="n">
        <v>46307</v>
      </c>
      <c r="AA66" s="115" t="n"/>
      <c r="AB66" s="105" t="n"/>
      <c r="AC66" s="105" t="n"/>
      <c r="AD66" s="108" t="n"/>
      <c r="AE66" s="108" t="n"/>
      <c r="AF66" s="116" t="n"/>
      <c r="AG66" s="116" t="n"/>
      <c r="AH66" s="39" t="n"/>
      <c r="AI66" s="116" t="n"/>
      <c r="AJ66" s="116" t="n"/>
      <c r="AK66" s="116" t="n"/>
      <c r="AL66" s="116" t="n"/>
      <c r="AM66" s="108" t="n"/>
      <c r="AN66" s="108" t="n"/>
      <c r="AO66" s="108" t="n"/>
      <c r="AP66" s="108" t="n"/>
      <c r="AQ66" s="108" t="n"/>
      <c r="AR66" s="108" t="n"/>
      <c r="AS66" s="117" t="n"/>
      <c r="AT66" s="112" t="n"/>
      <c r="AU66" s="118" t="inlineStr">
        <is>
          <t>N</t>
        </is>
      </c>
      <c r="AV66" s="118" t="inlineStr">
        <is>
          <t>none</t>
        </is>
      </c>
      <c r="AW66" s="124" t="n"/>
      <c r="AX66" s="119" t="n">
        <v>32.99</v>
      </c>
      <c r="AY66" s="118" t="inlineStr">
        <is>
          <t>none</t>
        </is>
      </c>
      <c r="AZ66" s="118" t="inlineStr">
        <is>
          <t>Y</t>
        </is>
      </c>
      <c r="BA66" s="118" t="inlineStr">
        <is>
          <t>2026-10-13 23:41:15</t>
        </is>
      </c>
      <c r="BB66" s="120" t="inlineStr">
        <is>
          <t>None</t>
        </is>
      </c>
      <c r="BC66" s="125" t="n"/>
      <c r="BD66" s="121" t="n">
        <v>21.99</v>
      </c>
      <c r="BE66" s="121" t="n">
        <v>23.99</v>
      </c>
      <c r="BF66" s="110">
        <f>IF(AND(ISNUMBER(BD66),ISNUMBER(BE66),N(BD66)&gt;0),1-BE66/BD66,"")</f>
        <v/>
      </c>
      <c r="BG66" s="122" t="n">
        <v>18361</v>
      </c>
      <c r="BH66" s="122" t="n">
        <v>22840</v>
      </c>
      <c r="BI66" s="123">
        <f>IF(AND(ISNUMBER(BG66),ISNUMBER(BH66),N(BH66)&gt;0),BG66/BH66,"")</f>
        <v/>
      </c>
      <c r="BJ66" s="120" t="inlineStr">
        <is>
          <t>N</t>
        </is>
      </c>
      <c r="BK66" s="120" t="inlineStr">
        <is>
          <t>Buy Box RAISED in BFCM week (median $24.49 vs $21.99 before); List Price $39.99</t>
        </is>
      </c>
    </row>
    <row r="67" ht="62" customHeight="1">
      <c r="A67" s="12">
        <f>_xlfn.IMAGE("https://images-na.ssl-images-amazon.com/images/I/81ekAED+8mL.jpg")</f>
        <v/>
      </c>
      <c r="B67" s="105" t="inlineStr">
        <is>
          <t>Lalluxy</t>
        </is>
      </c>
      <c r="C67" s="39" t="inlineStr">
        <is>
          <t>Lalluxy Stretchy Washable Parson Dining Chair Covers/Slipcovers Set of 4</t>
        </is>
      </c>
      <c r="D67" s="105" t="inlineStr">
        <is>
          <t>Aspirational</t>
        </is>
      </c>
      <c r="E67" s="134" t="inlineStr">
        <is>
          <t>Not classified</t>
        </is>
      </c>
      <c r="F67" s="105" t="n"/>
      <c r="G67" s="39" t="inlineStr">
        <is>
          <t>Not a sheet, pillowcase or comforter product; competitors are compared on price and sales only.</t>
        </is>
      </c>
      <c r="H67" s="107" t="inlineStr">
        <is>
          <t>B0C53PPZMS</t>
        </is>
      </c>
      <c r="I67" s="107" t="inlineStr">
        <is>
          <t>B08FSDPZZP</t>
        </is>
      </c>
      <c r="J67" s="105" t="n"/>
      <c r="K67" s="105" t="inlineStr">
        <is>
          <t>Orange Flowers</t>
        </is>
      </c>
      <c r="L67" s="108" t="n">
        <v>81</v>
      </c>
      <c r="M67" s="39" t="inlineStr"/>
      <c r="N67" s="109" t="n">
        <v>17.99</v>
      </c>
      <c r="O67" s="109" t="n"/>
      <c r="P67" s="110">
        <f>IF(AND(ISNUMBER(O67),ISNUMBER(N67),N(N67)&gt;0),O67/N67-1,"")</f>
        <v/>
      </c>
      <c r="Q67" s="111">
        <f>IF(P67="","No List Price",IF(P67&lt;=0,"At/below price",IF(P67&lt;=0.12,"&lt;=12% STR zone",IF(P67&lt;=0.25,"12-25%","&gt;25% over"))))</f>
        <v/>
      </c>
      <c r="R67" s="109" t="n">
        <v>25.24</v>
      </c>
      <c r="S67" s="112">
        <f>IF(AND(ISNUMBER(N67),ISNUMBER(R67),N(R67)&gt;0),N67/R67-1,"")</f>
        <v/>
      </c>
      <c r="T67" s="39" t="inlineStr">
        <is>
          <t>vs our blended price (market data, Mar 2026 - STALE)</t>
        </is>
      </c>
      <c r="U67" s="108" t="n">
        <v>59235</v>
      </c>
      <c r="V67" s="108" t="n">
        <v>18</v>
      </c>
      <c r="W67" s="113">
        <f>IF(AND(ISNUMBER(N67),ISNUMBER(V67)),N67*V67*52/12,"")</f>
        <v/>
      </c>
      <c r="X67" s="114" t="n">
        <v>4.6</v>
      </c>
      <c r="Y67" s="108" t="n">
        <v>3594</v>
      </c>
      <c r="Z67" s="115" t="n">
        <v>46307</v>
      </c>
      <c r="AA67" s="115" t="n">
        <v>44058</v>
      </c>
      <c r="AB67" s="105" t="inlineStr">
        <is>
          <t>FBA</t>
        </is>
      </c>
      <c r="AC67" s="105" t="inlineStr">
        <is>
          <t>NZ</t>
        </is>
      </c>
      <c r="AD67" s="108" t="n"/>
      <c r="AE67" s="108" t="n"/>
      <c r="AF67" s="116" t="n"/>
      <c r="AG67" s="116" t="n"/>
      <c r="AH67" s="39" t="n"/>
      <c r="AI67" s="116" t="n"/>
      <c r="AJ67" s="116" t="n"/>
      <c r="AK67" s="116" t="n"/>
      <c r="AL67" s="116" t="n"/>
      <c r="AM67" s="108" t="n"/>
      <c r="AN67" s="108" t="n"/>
      <c r="AO67" s="108" t="n"/>
      <c r="AP67" s="108" t="n"/>
      <c r="AQ67" s="108" t="n"/>
      <c r="AR67" s="108" t="n"/>
      <c r="AS67" s="117" t="n"/>
      <c r="AT67" s="112" t="n"/>
      <c r="AU67" s="118" t="inlineStr">
        <is>
          <t>N</t>
        </is>
      </c>
      <c r="AV67" s="118" t="inlineStr">
        <is>
          <t>none</t>
        </is>
      </c>
      <c r="AW67" s="124" t="n"/>
      <c r="AX67" s="119" t="n">
        <v>17.99</v>
      </c>
      <c r="AY67" s="118" t="inlineStr">
        <is>
          <t>none</t>
        </is>
      </c>
      <c r="AZ67" s="118" t="inlineStr">
        <is>
          <t>Y</t>
        </is>
      </c>
      <c r="BA67" s="118" t="inlineStr">
        <is>
          <t>2026-10-13 23:41:34</t>
        </is>
      </c>
      <c r="BB67" s="120" t="inlineStr">
        <is>
          <t>Price cut only</t>
        </is>
      </c>
      <c r="BC67" s="120" t="inlineStr">
        <is>
          <t>11-20 to 12-01</t>
        </is>
      </c>
      <c r="BD67" s="121" t="n">
        <v>22.99</v>
      </c>
      <c r="BE67" s="121" t="n">
        <v>15.99</v>
      </c>
      <c r="BF67" s="110">
        <f>IF(AND(ISNUMBER(BD67),ISNUMBER(BE67),N(BD67)&gt;0),1-BE67/BD67,"")</f>
        <v/>
      </c>
      <c r="BG67" s="122" t="n">
        <v>41829</v>
      </c>
      <c r="BH67" s="122" t="n">
        <v>48633</v>
      </c>
      <c r="BI67" s="123">
        <f>IF(AND(ISNUMBER(BG67),ISNUMBER(BH67),N(BH67)&gt;0),BG67/BH67,"")</f>
        <v/>
      </c>
      <c r="BJ67" s="120" t="inlineStr">
        <is>
          <t>N</t>
        </is>
      </c>
      <c r="BK67" s="120" t="inlineStr">
        <is>
          <t>List Price $26.99</t>
        </is>
      </c>
    </row>
    <row r="68" ht="62" customHeight="1">
      <c r="A68" s="12">
        <f>_xlfn.IMAGE("https://m.media-amazon.com/images/I/81GjtLjgkdL._AC_SL1500_.jpg")</f>
        <v/>
      </c>
      <c r="B68" s="105" t="inlineStr">
        <is>
          <t>SearchI</t>
        </is>
      </c>
      <c r="C68" s="39" t="inlineStr">
        <is>
          <t>Waterproof Chair Cover</t>
        </is>
      </c>
      <c r="D68" s="105" t="inlineStr">
        <is>
          <t>Aspirational</t>
        </is>
      </c>
      <c r="E68" s="134" t="inlineStr">
        <is>
          <t>Not classified</t>
        </is>
      </c>
      <c r="F68" s="105" t="n"/>
      <c r="G68" s="39" t="inlineStr">
        <is>
          <t>Not a sheet, pillowcase or comforter product; competitors are compared on price and sales only.</t>
        </is>
      </c>
      <c r="H68" s="107" t="inlineStr">
        <is>
          <t>B09GY7YG2P</t>
        </is>
      </c>
      <c r="I68" s="107" t="inlineStr">
        <is>
          <t>B081GQBPRT</t>
        </is>
      </c>
      <c r="J68" s="105" t="n"/>
      <c r="K68" s="105" t="inlineStr">
        <is>
          <t>Beige+flowers</t>
        </is>
      </c>
      <c r="L68" s="108" t="n"/>
      <c r="M68" s="39" t="inlineStr"/>
      <c r="N68" s="109" t="n">
        <v>22.94</v>
      </c>
      <c r="O68" s="109" t="n">
        <v>26.99</v>
      </c>
      <c r="P68" s="110">
        <f>IF(AND(ISNUMBER(O68),ISNUMBER(N68),N(N68)&gt;0),O68/N68-1,"")</f>
        <v/>
      </c>
      <c r="Q68" s="111">
        <f>IF(P68="","No List Price",IF(P68&lt;=0,"At/below price",IF(P68&lt;=0.12,"&lt;=12% STR zone",IF(P68&lt;=0.25,"12-25%","&gt;25% over"))))</f>
        <v/>
      </c>
      <c r="R68" s="109" t="n">
        <v>25.24</v>
      </c>
      <c r="S68" s="112">
        <f>IF(AND(ISNUMBER(N68),ISNUMBER(R68),N(R68)&gt;0),N68/R68-1,"")</f>
        <v/>
      </c>
      <c r="T68" s="39" t="inlineStr">
        <is>
          <t>vs our blended price (market data, Mar 2026 - STALE)</t>
        </is>
      </c>
      <c r="U68" s="108" t="n">
        <v>23786</v>
      </c>
      <c r="V68" s="108" t="n">
        <v>18</v>
      </c>
      <c r="W68" s="113">
        <f>IF(AND(ISNUMBER(N68),ISNUMBER(V68)),N68*V68*52/12,"")</f>
        <v/>
      </c>
      <c r="X68" s="114" t="n">
        <v>4.6</v>
      </c>
      <c r="Y68" s="108" t="n">
        <v>5341</v>
      </c>
      <c r="Z68" s="115" t="n">
        <v>46307</v>
      </c>
      <c r="AA68" s="115" t="n"/>
      <c r="AB68" s="105" t="n"/>
      <c r="AC68" s="105" t="n"/>
      <c r="AD68" s="108" t="n"/>
      <c r="AE68" s="108" t="n"/>
      <c r="AF68" s="116" t="n"/>
      <c r="AG68" s="116" t="n"/>
      <c r="AH68" s="39" t="n"/>
      <c r="AI68" s="116" t="n"/>
      <c r="AJ68" s="116" t="n"/>
      <c r="AK68" s="116" t="n"/>
      <c r="AL68" s="116" t="n"/>
      <c r="AM68" s="108" t="n"/>
      <c r="AN68" s="108" t="n"/>
      <c r="AO68" s="108" t="n"/>
      <c r="AP68" s="108" t="n"/>
      <c r="AQ68" s="108" t="n"/>
      <c r="AR68" s="108" t="n"/>
      <c r="AS68" s="117" t="n"/>
      <c r="AT68" s="112" t="n"/>
      <c r="AU68" s="118" t="inlineStr">
        <is>
          <t>Y</t>
        </is>
      </c>
      <c r="AV68" s="118" t="inlineStr">
        <is>
          <t>List Price</t>
        </is>
      </c>
      <c r="AW68" s="119" t="n">
        <v>26.99</v>
      </c>
      <c r="AX68" s="119" t="n">
        <v>22.94</v>
      </c>
      <c r="AY68" s="118" t="inlineStr">
        <is>
          <t>none</t>
        </is>
      </c>
      <c r="AZ68" s="118" t="inlineStr">
        <is>
          <t>Y</t>
        </is>
      </c>
      <c r="BA68" s="118" t="inlineStr">
        <is>
          <t>2026-10-13 23:43:02</t>
        </is>
      </c>
      <c r="BB68" s="120" t="inlineStr">
        <is>
          <t>Prime Exclusive Discount</t>
        </is>
      </c>
      <c r="BC68" s="120" t="inlineStr">
        <is>
          <t>11-22 to 12-01</t>
        </is>
      </c>
      <c r="BD68" s="121" t="n">
        <v>24.29</v>
      </c>
      <c r="BE68" s="121" t="n">
        <v>21.32</v>
      </c>
      <c r="BF68" s="110">
        <f>IF(AND(ISNUMBER(BD68),ISNUMBER(BE68),N(BD68)&gt;0),1-BE68/BD68,"")</f>
        <v/>
      </c>
      <c r="BG68" s="122" t="n">
        <v>34209</v>
      </c>
      <c r="BH68" s="122" t="n">
        <v>28022</v>
      </c>
      <c r="BI68" s="123">
        <f>IF(AND(ISNUMBER(BG68),ISNUMBER(BH68),N(BH68)&gt;0),BG68/BH68,"")</f>
        <v/>
      </c>
      <c r="BJ68" s="120" t="inlineStr">
        <is>
          <t>N</t>
        </is>
      </c>
      <c r="BK68" s="120" t="inlineStr">
        <is>
          <t>Lightning Deal 11-14 to 11-14; Coupon 10% (11-01 to 11-05); Buy Box RAISED in BFCM week (median $26.99 vs $24.29 before); List Price $31.99</t>
        </is>
      </c>
    </row>
    <row r="69" ht="62" customHeight="1">
      <c r="A69" s="12">
        <f>_xlfn.IMAGE("https://images-na.ssl-images-amazon.com/images/I/51EsdapI2HL.jpg")</f>
        <v/>
      </c>
      <c r="B69" s="105" t="inlineStr">
        <is>
          <t>Smiry</t>
        </is>
      </c>
      <c r="C69" s="39" t="inlineStr">
        <is>
          <t>Smiry Velvet Dining Chair Covers, Parsons Chair Slipcovers Set of 4</t>
        </is>
      </c>
      <c r="D69" s="105" t="inlineStr">
        <is>
          <t>Aspirational</t>
        </is>
      </c>
      <c r="E69" s="134" t="inlineStr">
        <is>
          <t>Not classified</t>
        </is>
      </c>
      <c r="F69" s="105" t="n"/>
      <c r="G69" s="39" t="inlineStr">
        <is>
          <t>Not a sheet, pillowcase or comforter product; competitors are compared on price and sales only.</t>
        </is>
      </c>
      <c r="H69" s="107" t="inlineStr">
        <is>
          <t>B0D4ZNRN1P</t>
        </is>
      </c>
      <c r="I69" s="107" t="inlineStr">
        <is>
          <t>B077XWCV6D</t>
        </is>
      </c>
      <c r="J69" s="105" t="n"/>
      <c r="K69" s="105" t="inlineStr">
        <is>
          <t>Black</t>
        </is>
      </c>
      <c r="L69" s="108" t="n">
        <v>66</v>
      </c>
      <c r="M69" s="39" t="inlineStr"/>
      <c r="N69" s="109" t="n">
        <v>26.99</v>
      </c>
      <c r="O69" s="109" t="n">
        <v>31.99</v>
      </c>
      <c r="P69" s="110">
        <f>IF(AND(ISNUMBER(O69),ISNUMBER(N69),N(N69)&gt;0),O69/N69-1,"")</f>
        <v/>
      </c>
      <c r="Q69" s="111">
        <f>IF(P69="","No List Price",IF(P69&lt;=0,"At/below price",IF(P69&lt;=0.12,"&lt;=12% STR zone",IF(P69&lt;=0.25,"12-25%","&gt;25% over"))))</f>
        <v/>
      </c>
      <c r="R69" s="109" t="n">
        <v>25.24</v>
      </c>
      <c r="S69" s="112">
        <f>IF(AND(ISNUMBER(N69),ISNUMBER(R69),N(R69)&gt;0),N69/R69-1,"")</f>
        <v/>
      </c>
      <c r="T69" s="39" t="inlineStr">
        <is>
          <t>vs our blended price (market data, Mar 2026 - STALE)</t>
        </is>
      </c>
      <c r="U69" s="108" t="n">
        <v>25653</v>
      </c>
      <c r="V69" s="108" t="n">
        <v>18</v>
      </c>
      <c r="W69" s="113">
        <f>IF(AND(ISNUMBER(N69),ISNUMBER(V69)),N69*V69*52/12,"")</f>
        <v/>
      </c>
      <c r="X69" s="114" t="n">
        <v>4.6</v>
      </c>
      <c r="Y69" s="108" t="n">
        <v>7521</v>
      </c>
      <c r="Z69" s="115" t="n">
        <v>46307</v>
      </c>
      <c r="AA69" s="115" t="n">
        <v>43074</v>
      </c>
      <c r="AB69" s="105" t="inlineStr">
        <is>
          <t>FBA</t>
        </is>
      </c>
      <c r="AC69" s="105" t="inlineStr">
        <is>
          <t>CN</t>
        </is>
      </c>
      <c r="AD69" s="108" t="n"/>
      <c r="AE69" s="108" t="n"/>
      <c r="AF69" s="116" t="n"/>
      <c r="AG69" s="116" t="n"/>
      <c r="AH69" s="39" t="n"/>
      <c r="AI69" s="116" t="n"/>
      <c r="AJ69" s="116" t="n"/>
      <c r="AK69" s="116" t="n"/>
      <c r="AL69" s="116" t="n"/>
      <c r="AM69" s="108" t="n"/>
      <c r="AN69" s="108" t="n"/>
      <c r="AO69" s="108" t="n"/>
      <c r="AP69" s="108" t="n"/>
      <c r="AQ69" s="108" t="n"/>
      <c r="AR69" s="108" t="n"/>
      <c r="AS69" s="117" t="n"/>
      <c r="AT69" s="112" t="n"/>
      <c r="AU69" s="118" t="inlineStr">
        <is>
          <t>Y</t>
        </is>
      </c>
      <c r="AV69" s="118" t="inlineStr">
        <is>
          <t>List Price</t>
        </is>
      </c>
      <c r="AW69" s="119" t="n">
        <v>31.99</v>
      </c>
      <c r="AX69" s="119" t="n">
        <v>26.99</v>
      </c>
      <c r="AY69" s="118" t="inlineStr">
        <is>
          <t>none</t>
        </is>
      </c>
      <c r="AZ69" s="118" t="inlineStr">
        <is>
          <t>Y</t>
        </is>
      </c>
      <c r="BA69" s="118" t="inlineStr">
        <is>
          <t>2026-10-13 23:43:11</t>
        </is>
      </c>
      <c r="BB69" s="120" t="inlineStr">
        <is>
          <t>Prime Exclusive Discount</t>
        </is>
      </c>
      <c r="BC69" s="120" t="inlineStr">
        <is>
          <t>11-20 to 12-05</t>
        </is>
      </c>
      <c r="BD69" s="121" t="n">
        <v>26.99</v>
      </c>
      <c r="BE69" s="121" t="n">
        <v>18.89</v>
      </c>
      <c r="BF69" s="110">
        <f>IF(AND(ISNUMBER(BD69),ISNUMBER(BE69),N(BD69)&gt;0),1-BE69/BD69,"")</f>
        <v/>
      </c>
      <c r="BG69" s="122" t="n">
        <v>26277</v>
      </c>
      <c r="BH69" s="122" t="n">
        <v>18108</v>
      </c>
      <c r="BI69" s="123">
        <f>IF(AND(ISNUMBER(BG69),ISNUMBER(BH69),N(BH69)&gt;0),BG69/BH69,"")</f>
        <v/>
      </c>
      <c r="BJ69" s="120" t="inlineStr">
        <is>
          <t>N</t>
        </is>
      </c>
      <c r="BK69" s="120" t="inlineStr">
        <is>
          <t>Coupon 30% (11-01 to 11-05); List Price $33.99</t>
        </is>
      </c>
    </row>
    <row r="70" ht="62" customHeight="1">
      <c r="A70" s="12">
        <f>_xlfn.IMAGE("https://m.media-amazon.com/images/I/81sQWrFcFeL._AC_SL1500_.jpg")</f>
        <v/>
      </c>
      <c r="B70" s="105" t="inlineStr">
        <is>
          <t>SPRINGRICO</t>
        </is>
      </c>
      <c r="C70" s="39" t="inlineStr">
        <is>
          <t>Waterproof Chair Cover</t>
        </is>
      </c>
      <c r="D70" s="105" t="inlineStr">
        <is>
          <t>Aspirational</t>
        </is>
      </c>
      <c r="E70" s="134" t="inlineStr">
        <is>
          <t>Not classified</t>
        </is>
      </c>
      <c r="F70" s="105" t="n"/>
      <c r="G70" s="39" t="inlineStr">
        <is>
          <t>Not a sheet, pillowcase or comforter product; competitors are compared on price and sales only.</t>
        </is>
      </c>
      <c r="H70" s="107" t="inlineStr">
        <is>
          <t>B08K7PDZ1F</t>
        </is>
      </c>
      <c r="I70" s="107" t="inlineStr">
        <is>
          <t>B08K7LPC9L</t>
        </is>
      </c>
      <c r="J70" s="105" t="n"/>
      <c r="K70" s="105" t="inlineStr">
        <is>
          <t>Floral4</t>
        </is>
      </c>
      <c r="L70" s="108" t="n"/>
      <c r="M70" s="39" t="inlineStr"/>
      <c r="N70" s="109" t="n">
        <v>25.49</v>
      </c>
      <c r="O70" s="109" t="n"/>
      <c r="P70" s="110">
        <f>IF(AND(ISNUMBER(O70),ISNUMBER(N70),N(N70)&gt;0),O70/N70-1,"")</f>
        <v/>
      </c>
      <c r="Q70" s="111">
        <f>IF(P70="","No List Price",IF(P70&lt;=0,"At/below price",IF(P70&lt;=0.12,"&lt;=12% STR zone",IF(P70&lt;=0.25,"12-25%","&gt;25% over"))))</f>
        <v/>
      </c>
      <c r="R70" s="109" t="n">
        <v>25.24</v>
      </c>
      <c r="S70" s="112">
        <f>IF(AND(ISNUMBER(N70),ISNUMBER(R70),N(R70)&gt;0),N70/R70-1,"")</f>
        <v/>
      </c>
      <c r="T70" s="39" t="inlineStr">
        <is>
          <t>vs our blended price (market data, Mar 2026 - STALE)</t>
        </is>
      </c>
      <c r="U70" s="108" t="n">
        <v>24520</v>
      </c>
      <c r="V70" s="108" t="n">
        <v>18</v>
      </c>
      <c r="W70" s="113">
        <f>IF(AND(ISNUMBER(N70),ISNUMBER(V70)),N70*V70*52/12,"")</f>
        <v/>
      </c>
      <c r="X70" s="114" t="n">
        <v>4.7</v>
      </c>
      <c r="Y70" s="108" t="n">
        <v>6302</v>
      </c>
      <c r="Z70" s="115" t="n">
        <v>46307</v>
      </c>
      <c r="AA70" s="115" t="n"/>
      <c r="AB70" s="105" t="n"/>
      <c r="AC70" s="105" t="n"/>
      <c r="AD70" s="108" t="n"/>
      <c r="AE70" s="108" t="n"/>
      <c r="AF70" s="116" t="n"/>
      <c r="AG70" s="116" t="n"/>
      <c r="AH70" s="39" t="n"/>
      <c r="AI70" s="116" t="n"/>
      <c r="AJ70" s="116" t="n"/>
      <c r="AK70" s="116" t="n"/>
      <c r="AL70" s="116" t="n"/>
      <c r="AM70" s="108" t="n"/>
      <c r="AN70" s="108" t="n"/>
      <c r="AO70" s="108" t="n"/>
      <c r="AP70" s="108" t="n"/>
      <c r="AQ70" s="108" t="n"/>
      <c r="AR70" s="108" t="n"/>
      <c r="AS70" s="117" t="n"/>
      <c r="AT70" s="112" t="n"/>
      <c r="AU70" s="118" t="inlineStr">
        <is>
          <t>N</t>
        </is>
      </c>
      <c r="AV70" s="118" t="inlineStr">
        <is>
          <t>none</t>
        </is>
      </c>
      <c r="AW70" s="124" t="n"/>
      <c r="AX70" s="119" t="n">
        <v>25.49</v>
      </c>
      <c r="AY70" s="118" t="inlineStr">
        <is>
          <t>none</t>
        </is>
      </c>
      <c r="AZ70" s="118" t="inlineStr">
        <is>
          <t>Y</t>
        </is>
      </c>
      <c r="BA70" s="118" t="inlineStr">
        <is>
          <t>2026-10-13 23:42:43</t>
        </is>
      </c>
      <c r="BB70" s="120" t="inlineStr">
        <is>
          <t>Prime Exclusive Discount</t>
        </is>
      </c>
      <c r="BC70" s="120" t="inlineStr">
        <is>
          <t>11-26 to 12-01</t>
        </is>
      </c>
      <c r="BD70" s="121" t="n">
        <v>25.49</v>
      </c>
      <c r="BE70" s="121" t="n">
        <v>20.14</v>
      </c>
      <c r="BF70" s="110">
        <f>IF(AND(ISNUMBER(BD70),ISNUMBER(BE70),N(BD70)&gt;0),1-BE70/BD70,"")</f>
        <v/>
      </c>
      <c r="BG70" s="122" t="n">
        <v>19050</v>
      </c>
      <c r="BH70" s="122" t="n">
        <v>20384</v>
      </c>
      <c r="BI70" s="123">
        <f>IF(AND(ISNUMBER(BG70),ISNUMBER(BH70),N(BH70)&gt;0),BG70/BH70,"")</f>
        <v/>
      </c>
      <c r="BJ70" s="120" t="inlineStr">
        <is>
          <t>N</t>
        </is>
      </c>
      <c r="BK70" s="120" t="inlineStr">
        <is>
          <t>List Price $26.90</t>
        </is>
      </c>
    </row>
    <row r="71" ht="62" customHeight="1">
      <c r="A71" s="12">
        <f>_xlfn.IMAGE("https://images-na.ssl-images-amazon.com/images/I/71vREPERc7L.jpg")</f>
        <v/>
      </c>
      <c r="B71" s="105" t="inlineStr">
        <is>
          <t>Fafua</t>
        </is>
      </c>
      <c r="C71" s="39" t="inlineStr">
        <is>
          <t>Fafua Stretch Dining Room Chair Covers Set of 6, Removable Washable Chair Covers for Dining Chairs,Dining Room, Hotel, Ceremony</t>
        </is>
      </c>
      <c r="D71" s="105" t="inlineStr">
        <is>
          <t>Beatable</t>
        </is>
      </c>
      <c r="E71" s="134" t="inlineStr">
        <is>
          <t>Not classified</t>
        </is>
      </c>
      <c r="F71" s="105" t="n"/>
      <c r="G71" s="39" t="inlineStr">
        <is>
          <t>Not a sheet, pillowcase or comforter product; competitors are compared on price and sales only.</t>
        </is>
      </c>
      <c r="H71" s="107" t="inlineStr">
        <is>
          <t>B0DFY9MKGZ</t>
        </is>
      </c>
      <c r="I71" s="107" t="inlineStr">
        <is>
          <t>B0D59BMBK7</t>
        </is>
      </c>
      <c r="J71" s="105" t="n"/>
      <c r="K71" s="105" t="inlineStr">
        <is>
          <t>.Black</t>
        </is>
      </c>
      <c r="L71" s="108" t="n">
        <v>107</v>
      </c>
      <c r="M71" s="39" t="inlineStr"/>
      <c r="N71" s="109" t="n">
        <v>19.1</v>
      </c>
      <c r="O71" s="109" t="n">
        <v>23.88</v>
      </c>
      <c r="P71" s="110">
        <f>IF(AND(ISNUMBER(O71),ISNUMBER(N71),N(N71)&gt;0),O71/N71-1,"")</f>
        <v/>
      </c>
      <c r="Q71" s="111">
        <f>IF(P71="","No List Price",IF(P71&lt;=0,"At/below price",IF(P71&lt;=0.12,"&lt;=12% STR zone",IF(P71&lt;=0.25,"12-25%","&gt;25% over"))))</f>
        <v/>
      </c>
      <c r="R71" s="109" t="n">
        <v>25.24</v>
      </c>
      <c r="S71" s="112">
        <f>IF(AND(ISNUMBER(N71),ISNUMBER(R71),N(R71)&gt;0),N71/R71-1,"")</f>
        <v/>
      </c>
      <c r="T71" s="39" t="inlineStr">
        <is>
          <t>vs our blended price (market data, Mar 2026 - STALE)</t>
        </is>
      </c>
      <c r="U71" s="108" t="n">
        <v>60827</v>
      </c>
      <c r="V71" s="108" t="n">
        <v>35</v>
      </c>
      <c r="W71" s="113">
        <f>IF(AND(ISNUMBER(N71),ISNUMBER(V71)),N71*V71*52/12,"")</f>
        <v/>
      </c>
      <c r="X71" s="114" t="n">
        <v>4.6</v>
      </c>
      <c r="Y71" s="108" t="n">
        <v>865</v>
      </c>
      <c r="Z71" s="115" t="n">
        <v>46307</v>
      </c>
      <c r="AA71" s="115" t="n">
        <v>45439</v>
      </c>
      <c r="AB71" s="105" t="inlineStr">
        <is>
          <t>FBA</t>
        </is>
      </c>
      <c r="AC71" s="105" t="inlineStr">
        <is>
          <t>CN</t>
        </is>
      </c>
      <c r="AD71" s="108" t="n"/>
      <c r="AE71" s="108" t="n"/>
      <c r="AF71" s="116" t="n"/>
      <c r="AG71" s="116" t="n"/>
      <c r="AH71" s="39" t="n"/>
      <c r="AI71" s="116" t="n"/>
      <c r="AJ71" s="116" t="n"/>
      <c r="AK71" s="116" t="n"/>
      <c r="AL71" s="116" t="n"/>
      <c r="AM71" s="108" t="n"/>
      <c r="AN71" s="108" t="n"/>
      <c r="AO71" s="108" t="n"/>
      <c r="AP71" s="108" t="n"/>
      <c r="AQ71" s="108" t="n"/>
      <c r="AR71" s="108" t="n"/>
      <c r="AS71" s="117" t="n"/>
      <c r="AT71" s="112" t="n"/>
      <c r="AU71" s="118" t="inlineStr">
        <is>
          <t>Y</t>
        </is>
      </c>
      <c r="AV71" s="118" t="inlineStr">
        <is>
          <t>List Price</t>
        </is>
      </c>
      <c r="AW71" s="119" t="n">
        <v>23.88</v>
      </c>
      <c r="AX71" s="119" t="n">
        <v>19.1</v>
      </c>
      <c r="AY71" s="118" t="inlineStr">
        <is>
          <t>none</t>
        </is>
      </c>
      <c r="AZ71" s="118" t="inlineStr">
        <is>
          <t>Y</t>
        </is>
      </c>
      <c r="BA71" s="118" t="inlineStr">
        <is>
          <t>2026-10-13 23:42:09</t>
        </is>
      </c>
      <c r="BB71" s="120" t="inlineStr">
        <is>
          <t>None</t>
        </is>
      </c>
      <c r="BC71" s="125" t="n"/>
      <c r="BD71" s="121" t="n">
        <v>23.88</v>
      </c>
      <c r="BE71" s="121" t="n">
        <v>23.88</v>
      </c>
      <c r="BF71" s="110">
        <f>IF(AND(ISNUMBER(BD71),ISNUMBER(BE71),N(BD71)&gt;0),1-BE71/BD71,"")</f>
        <v/>
      </c>
      <c r="BG71" s="122" t="n">
        <v>26581</v>
      </c>
      <c r="BH71" s="122" t="n">
        <v>26336</v>
      </c>
      <c r="BI71" s="123">
        <f>IF(AND(ISNUMBER(BG71),ISNUMBER(BH71),N(BH71)&gt;0),BG71/BH71,"")</f>
        <v/>
      </c>
      <c r="BJ71" s="120" t="inlineStr">
        <is>
          <t>N</t>
        </is>
      </c>
      <c r="BK71" s="120" t="inlineStr">
        <is>
          <t>Coupon 20% (11-01 to 12-05); List Price $34.88</t>
        </is>
      </c>
    </row>
    <row r="72" ht="62" customHeight="1">
      <c r="A72" s="12">
        <f>_xlfn.IMAGE("https://m.media-amazon.com/images/I/61XIecJDSKL._AC_SL1500_.jpg")</f>
        <v/>
      </c>
      <c r="B72" s="105" t="inlineStr">
        <is>
          <t>Easy-Going</t>
        </is>
      </c>
      <c r="C72" s="39" t="inlineStr">
        <is>
          <t>Waterproof Chair Cover</t>
        </is>
      </c>
      <c r="D72" s="105" t="inlineStr">
        <is>
          <t>Beatable</t>
        </is>
      </c>
      <c r="E72" s="134" t="inlineStr">
        <is>
          <t>Not classified</t>
        </is>
      </c>
      <c r="F72" s="105" t="n"/>
      <c r="G72" s="39" t="inlineStr">
        <is>
          <t>Not a sheet, pillowcase or comforter product; competitors are compared on price and sales only.</t>
        </is>
      </c>
      <c r="H72" s="107" t="inlineStr">
        <is>
          <t>B0BNHBKDGJ</t>
        </is>
      </c>
      <c r="I72" s="107" t="inlineStr">
        <is>
          <t>B0BNHCYG6Z</t>
        </is>
      </c>
      <c r="J72" s="105" t="n"/>
      <c r="K72" s="105" t="inlineStr">
        <is>
          <t>White</t>
        </is>
      </c>
      <c r="L72" s="108" t="n"/>
      <c r="M72" s="39" t="inlineStr"/>
      <c r="N72" s="109" t="n">
        <v>24.99</v>
      </c>
      <c r="O72" s="109" t="n"/>
      <c r="P72" s="110">
        <f>IF(AND(ISNUMBER(O72),ISNUMBER(N72),N(N72)&gt;0),O72/N72-1,"")</f>
        <v/>
      </c>
      <c r="Q72" s="111">
        <f>IF(P72="","No List Price",IF(P72&lt;=0,"At/below price",IF(P72&lt;=0.12,"&lt;=12% STR zone",IF(P72&lt;=0.25,"12-25%","&gt;25% over"))))</f>
        <v/>
      </c>
      <c r="R72" s="109" t="n">
        <v>25.24</v>
      </c>
      <c r="S72" s="112">
        <f>IF(AND(ISNUMBER(N72),ISNUMBER(R72),N(R72)&gt;0),N72/R72-1,"")</f>
        <v/>
      </c>
      <c r="T72" s="39" t="inlineStr">
        <is>
          <t>vs our blended price (market data, Mar 2026 - STALE)</t>
        </is>
      </c>
      <c r="U72" s="108" t="n">
        <v>48182</v>
      </c>
      <c r="V72" s="108" t="n">
        <v>18</v>
      </c>
      <c r="W72" s="113">
        <f>IF(AND(ISNUMBER(N72),ISNUMBER(V72)),N72*V72*52/12,"")</f>
        <v/>
      </c>
      <c r="X72" s="114" t="n">
        <v>4.6</v>
      </c>
      <c r="Y72" s="108" t="n">
        <v>1034</v>
      </c>
      <c r="Z72" s="115" t="n">
        <v>46307</v>
      </c>
      <c r="AA72" s="115" t="n"/>
      <c r="AB72" s="105" t="n"/>
      <c r="AC72" s="105" t="n"/>
      <c r="AD72" s="108" t="n"/>
      <c r="AE72" s="108" t="n"/>
      <c r="AF72" s="116" t="n"/>
      <c r="AG72" s="116" t="n"/>
      <c r="AH72" s="39" t="n"/>
      <c r="AI72" s="116" t="n"/>
      <c r="AJ72" s="116" t="n"/>
      <c r="AK72" s="116" t="n"/>
      <c r="AL72" s="116" t="n"/>
      <c r="AM72" s="108" t="n"/>
      <c r="AN72" s="108" t="n"/>
      <c r="AO72" s="108" t="n"/>
      <c r="AP72" s="108" t="n"/>
      <c r="AQ72" s="108" t="n"/>
      <c r="AR72" s="108" t="n"/>
      <c r="AS72" s="117" t="n"/>
      <c r="AT72" s="112" t="n"/>
      <c r="AU72" s="118" t="inlineStr">
        <is>
          <t>N</t>
        </is>
      </c>
      <c r="AV72" s="118" t="inlineStr">
        <is>
          <t>none</t>
        </is>
      </c>
      <c r="AW72" s="124" t="n"/>
      <c r="AX72" s="119" t="n">
        <v>24.99</v>
      </c>
      <c r="AY72" s="118" t="inlineStr">
        <is>
          <t>none</t>
        </is>
      </c>
      <c r="AZ72" s="118" t="inlineStr">
        <is>
          <t>Y</t>
        </is>
      </c>
      <c r="BA72" s="118" t="inlineStr">
        <is>
          <t>2026-10-13 23:40:19</t>
        </is>
      </c>
      <c r="BB72" s="120" t="inlineStr">
        <is>
          <t>None</t>
        </is>
      </c>
      <c r="BC72" s="125" t="n"/>
      <c r="BD72" s="121" t="n">
        <v>23.99</v>
      </c>
      <c r="BE72" s="121" t="n">
        <v>23.99</v>
      </c>
      <c r="BF72" s="110">
        <f>IF(AND(ISNUMBER(BD72),ISNUMBER(BE72),N(BD72)&gt;0),1-BE72/BD72,"")</f>
        <v/>
      </c>
      <c r="BG72" s="122" t="n">
        <v>32942</v>
      </c>
      <c r="BH72" s="122" t="n">
        <v>29432</v>
      </c>
      <c r="BI72" s="123">
        <f>IF(AND(ISNUMBER(BG72),ISNUMBER(BH72),N(BH72)&gt;0),BG72/BH72,"")</f>
        <v/>
      </c>
      <c r="BJ72" s="120" t="inlineStr">
        <is>
          <t>N</t>
        </is>
      </c>
      <c r="BK72" s="120" t="inlineStr">
        <is>
          <t>List Price $28.99</t>
        </is>
      </c>
    </row>
    <row r="73" ht="62" customHeight="1">
      <c r="A73" s="12">
        <f>_xlfn.IMAGE("https://m.media-amazon.com/images/I/71w7-AePOOL._AC_SL1500_.jpg")</f>
        <v/>
      </c>
      <c r="B73" s="105" t="inlineStr">
        <is>
          <t>SPRINGRICO</t>
        </is>
      </c>
      <c r="C73" s="39" t="inlineStr">
        <is>
          <t>Waterproof Chair Cover</t>
        </is>
      </c>
      <c r="D73" s="105" t="inlineStr">
        <is>
          <t>Beatable</t>
        </is>
      </c>
      <c r="E73" s="134" t="inlineStr">
        <is>
          <t>Not classified</t>
        </is>
      </c>
      <c r="F73" s="105" t="n"/>
      <c r="G73" s="39" t="inlineStr">
        <is>
          <t>Not a sheet, pillowcase or comforter product; competitors are compared on price and sales only.</t>
        </is>
      </c>
      <c r="H73" s="107" t="inlineStr">
        <is>
          <t>B0BLMYTK9C</t>
        </is>
      </c>
      <c r="I73" s="107" t="inlineStr">
        <is>
          <t>B0BLN1DSXW</t>
        </is>
      </c>
      <c r="J73" s="105" t="n"/>
      <c r="K73" s="105" t="inlineStr">
        <is>
          <t>S2-beige</t>
        </is>
      </c>
      <c r="L73" s="108" t="n"/>
      <c r="M73" s="39" t="inlineStr"/>
      <c r="N73" s="109" t="n">
        <v>29.89</v>
      </c>
      <c r="O73" s="109" t="n"/>
      <c r="P73" s="110">
        <f>IF(AND(ISNUMBER(O73),ISNUMBER(N73),N(N73)&gt;0),O73/N73-1,"")</f>
        <v/>
      </c>
      <c r="Q73" s="111">
        <f>IF(P73="","No List Price",IF(P73&lt;=0,"At/below price",IF(P73&lt;=0.12,"&lt;=12% STR zone",IF(P73&lt;=0.25,"12-25%","&gt;25% over"))))</f>
        <v/>
      </c>
      <c r="R73" s="109" t="n">
        <v>25.24</v>
      </c>
      <c r="S73" s="112">
        <f>IF(AND(ISNUMBER(N73),ISNUMBER(R73),N(R73)&gt;0),N73/R73-1,"")</f>
        <v/>
      </c>
      <c r="T73" s="39" t="inlineStr">
        <is>
          <t>vs our blended price (market data, Mar 2026 - STALE)</t>
        </is>
      </c>
      <c r="U73" s="108" t="n">
        <v>50244</v>
      </c>
      <c r="V73" s="108" t="n">
        <v>18</v>
      </c>
      <c r="W73" s="113">
        <f>IF(AND(ISNUMBER(N73),ISNUMBER(V73)),N73*V73*52/12,"")</f>
        <v/>
      </c>
      <c r="X73" s="114" t="n">
        <v>4.7</v>
      </c>
      <c r="Y73" s="108" t="n">
        <v>1526</v>
      </c>
      <c r="Z73" s="115" t="n">
        <v>46307</v>
      </c>
      <c r="AA73" s="115" t="n"/>
      <c r="AB73" s="105" t="n"/>
      <c r="AC73" s="105" t="n"/>
      <c r="AD73" s="108" t="n"/>
      <c r="AE73" s="108" t="n"/>
      <c r="AF73" s="116" t="n"/>
      <c r="AG73" s="116" t="n"/>
      <c r="AH73" s="39" t="n"/>
      <c r="AI73" s="116" t="n"/>
      <c r="AJ73" s="116" t="n"/>
      <c r="AK73" s="116" t="n"/>
      <c r="AL73" s="116" t="n"/>
      <c r="AM73" s="108" t="n"/>
      <c r="AN73" s="108" t="n"/>
      <c r="AO73" s="108" t="n"/>
      <c r="AP73" s="108" t="n"/>
      <c r="AQ73" s="108" t="n"/>
      <c r="AR73" s="108" t="n"/>
      <c r="AS73" s="117" t="n"/>
      <c r="AT73" s="112" t="n"/>
      <c r="AU73" s="118" t="inlineStr">
        <is>
          <t>N</t>
        </is>
      </c>
      <c r="AV73" s="118" t="inlineStr">
        <is>
          <t>none</t>
        </is>
      </c>
      <c r="AW73" s="124" t="n"/>
      <c r="AX73" s="119" t="n">
        <v>29.89</v>
      </c>
      <c r="AY73" s="118" t="inlineStr">
        <is>
          <t>none</t>
        </is>
      </c>
      <c r="AZ73" s="118" t="inlineStr">
        <is>
          <t>Y</t>
        </is>
      </c>
      <c r="BA73" s="118" t="inlineStr">
        <is>
          <t>2026-10-13 23:42:47</t>
        </is>
      </c>
      <c r="BB73" s="120" t="inlineStr">
        <is>
          <t>Prime Exclusive Discount</t>
        </is>
      </c>
      <c r="BC73" s="120" t="inlineStr">
        <is>
          <t>11-21 to 11-28</t>
        </is>
      </c>
      <c r="BD73" s="121" t="n">
        <v>29.89</v>
      </c>
      <c r="BE73" s="121" t="n">
        <v>23.61</v>
      </c>
      <c r="BF73" s="110">
        <f>IF(AND(ISNUMBER(BD73),ISNUMBER(BE73),N(BD73)&gt;0),1-BE73/BD73,"")</f>
        <v/>
      </c>
      <c r="BG73" s="122" t="n">
        <v>25516</v>
      </c>
      <c r="BH73" s="122" t="n">
        <v>26512</v>
      </c>
      <c r="BI73" s="123">
        <f>IF(AND(ISNUMBER(BG73),ISNUMBER(BH73),N(BH73)&gt;0),BG73/BH73,"")</f>
        <v/>
      </c>
      <c r="BJ73" s="120" t="inlineStr">
        <is>
          <t>N</t>
        </is>
      </c>
      <c r="BK73" s="120" t="inlineStr">
        <is>
          <t>List Price $39.99</t>
        </is>
      </c>
    </row>
    <row r="74" ht="62" customHeight="1">
      <c r="A74" s="12">
        <f>_xlfn.IMAGE("https://m.media-amazon.com/images/I/71ye5oOKCzL._AC_SL1500_.jpg")</f>
        <v/>
      </c>
      <c r="B74" s="105" t="inlineStr">
        <is>
          <t>YEMYHOM</t>
        </is>
      </c>
      <c r="C74" s="39" t="inlineStr">
        <is>
          <t>Waterproof Chair Cover</t>
        </is>
      </c>
      <c r="D74" s="105" t="inlineStr">
        <is>
          <t>Beatable</t>
        </is>
      </c>
      <c r="E74" s="134" t="inlineStr">
        <is>
          <t>Not classified</t>
        </is>
      </c>
      <c r="F74" s="105" t="n"/>
      <c r="G74" s="39" t="inlineStr">
        <is>
          <t>Not a sheet, pillowcase or comforter product; competitors are compared on price and sales only.</t>
        </is>
      </c>
      <c r="H74" s="107" t="inlineStr">
        <is>
          <t>B0DM8Y65RT</t>
        </is>
      </c>
      <c r="I74" s="107" t="inlineStr">
        <is>
          <t>B0895VM7KG</t>
        </is>
      </c>
      <c r="J74" s="105" t="n"/>
      <c r="K74" s="105" t="inlineStr">
        <is>
          <t>Black</t>
        </is>
      </c>
      <c r="L74" s="108" t="n"/>
      <c r="M74" s="39" t="inlineStr"/>
      <c r="N74" s="109" t="n">
        <v>9.99</v>
      </c>
      <c r="O74" s="109" t="n"/>
      <c r="P74" s="110">
        <f>IF(AND(ISNUMBER(O74),ISNUMBER(N74),N(N74)&gt;0),O74/N74-1,"")</f>
        <v/>
      </c>
      <c r="Q74" s="111">
        <f>IF(P74="","No List Price",IF(P74&lt;=0,"At/below price",IF(P74&lt;=0.12,"&lt;=12% STR zone",IF(P74&lt;=0.25,"12-25%","&gt;25% over"))))</f>
        <v/>
      </c>
      <c r="R74" s="109" t="n">
        <v>25.24</v>
      </c>
      <c r="S74" s="112">
        <f>IF(AND(ISNUMBER(N74),ISNUMBER(R74),N(R74)&gt;0),N74/R74-1,"")</f>
        <v/>
      </c>
      <c r="T74" s="39" t="inlineStr">
        <is>
          <t>vs our blended price (market data, Mar 2026 - STALE)</t>
        </is>
      </c>
      <c r="U74" s="108" t="n">
        <v>49521</v>
      </c>
      <c r="V74" s="108" t="n">
        <v>18</v>
      </c>
      <c r="W74" s="113">
        <f>IF(AND(ISNUMBER(N74),ISNUMBER(V74)),N74*V74*52/12,"")</f>
        <v/>
      </c>
      <c r="X74" s="114" t="n">
        <v>4.6</v>
      </c>
      <c r="Y74" s="108" t="n">
        <v>1638</v>
      </c>
      <c r="Z74" s="115" t="n">
        <v>46307</v>
      </c>
      <c r="AA74" s="115" t="n"/>
      <c r="AB74" s="105" t="n"/>
      <c r="AC74" s="105" t="n"/>
      <c r="AD74" s="108" t="n"/>
      <c r="AE74" s="108" t="n"/>
      <c r="AF74" s="116" t="n"/>
      <c r="AG74" s="116" t="n"/>
      <c r="AH74" s="39" t="n"/>
      <c r="AI74" s="116" t="n"/>
      <c r="AJ74" s="116" t="n"/>
      <c r="AK74" s="116" t="n"/>
      <c r="AL74" s="116" t="n"/>
      <c r="AM74" s="108" t="n"/>
      <c r="AN74" s="108" t="n"/>
      <c r="AO74" s="108" t="n"/>
      <c r="AP74" s="108" t="n"/>
      <c r="AQ74" s="108" t="n"/>
      <c r="AR74" s="108" t="n"/>
      <c r="AS74" s="117" t="n"/>
      <c r="AT74" s="112" t="n"/>
      <c r="AU74" s="118" t="inlineStr">
        <is>
          <t>N</t>
        </is>
      </c>
      <c r="AV74" s="118" t="inlineStr">
        <is>
          <t>none</t>
        </is>
      </c>
      <c r="AW74" s="124" t="n"/>
      <c r="AX74" s="119" t="n">
        <v>9.99</v>
      </c>
      <c r="AY74" s="118" t="inlineStr">
        <is>
          <t>none</t>
        </is>
      </c>
      <c r="AZ74" s="118" t="inlineStr">
        <is>
          <t>Y</t>
        </is>
      </c>
      <c r="BA74" s="118" t="inlineStr">
        <is>
          <t>2026-10-13 23:43:42</t>
        </is>
      </c>
      <c r="BB74" s="120" t="inlineStr">
        <is>
          <t>Prime Exclusive Discount</t>
        </is>
      </c>
      <c r="BC74" s="120" t="inlineStr">
        <is>
          <t>11-22 to 12-01</t>
        </is>
      </c>
      <c r="BD74" s="121" t="n">
        <v>9.99</v>
      </c>
      <c r="BE74" s="121" t="n">
        <v>8.369999999999999</v>
      </c>
      <c r="BF74" s="110">
        <f>IF(AND(ISNUMBER(BD74),ISNUMBER(BE74),N(BD74)&gt;0),1-BE74/BD74,"")</f>
        <v/>
      </c>
      <c r="BG74" s="122" t="n">
        <v>28748</v>
      </c>
      <c r="BH74" s="122" t="n">
        <v>30172</v>
      </c>
      <c r="BI74" s="123">
        <f>IF(AND(ISNUMBER(BG74),ISNUMBER(BH74),N(BH74)&gt;0),BG74/BH74,"")</f>
        <v/>
      </c>
      <c r="BJ74" s="120" t="inlineStr">
        <is>
          <t>N</t>
        </is>
      </c>
      <c r="BK74" s="120" t="inlineStr">
        <is>
          <t>Buy Box RAISED in BFCM week (median $10.59 vs $9.99 before); List Price $13.99</t>
        </is>
      </c>
    </row>
    <row r="75" ht="62" customHeight="1">
      <c r="A75" s="12">
        <f>_xlfn.IMAGE("https://m.media-amazon.com/images/I/71gL217ObSL._AC_SL1500_.jpg")</f>
        <v/>
      </c>
      <c r="B75" s="105" t="inlineStr">
        <is>
          <t>FORCHEER</t>
        </is>
      </c>
      <c r="C75" s="39" t="inlineStr">
        <is>
          <t>Waterproof Chair Cover</t>
        </is>
      </c>
      <c r="D75" s="105" t="inlineStr">
        <is>
          <t>Beatable</t>
        </is>
      </c>
      <c r="E75" s="134" t="inlineStr">
        <is>
          <t>Not classified</t>
        </is>
      </c>
      <c r="F75" s="105" t="n"/>
      <c r="G75" s="39" t="inlineStr">
        <is>
          <t>Not a sheet, pillowcase or comforter product; competitors are compared on price and sales only.</t>
        </is>
      </c>
      <c r="H75" s="107" t="inlineStr">
        <is>
          <t>B07YDFJ5K2</t>
        </is>
      </c>
      <c r="I75" s="107" t="inlineStr">
        <is>
          <t>B0DD37H251</t>
        </is>
      </c>
      <c r="J75" s="105" t="n"/>
      <c r="K75" s="105" t="inlineStr">
        <is>
          <t>Christmas 5</t>
        </is>
      </c>
      <c r="L75" s="108" t="n"/>
      <c r="M75" s="39" t="inlineStr"/>
      <c r="N75" s="109" t="n">
        <v>16.99</v>
      </c>
      <c r="O75" s="109" t="n"/>
      <c r="P75" s="110">
        <f>IF(AND(ISNUMBER(O75),ISNUMBER(N75),N(N75)&gt;0),O75/N75-1,"")</f>
        <v/>
      </c>
      <c r="Q75" s="111">
        <f>IF(P75="","No List Price",IF(P75&lt;=0,"At/below price",IF(P75&lt;=0.12,"&lt;=12% STR zone",IF(P75&lt;=0.25,"12-25%","&gt;25% over"))))</f>
        <v/>
      </c>
      <c r="R75" s="109" t="n">
        <v>25.24</v>
      </c>
      <c r="S75" s="112">
        <f>IF(AND(ISNUMBER(N75),ISNUMBER(R75),N(R75)&gt;0),N75/R75-1,"")</f>
        <v/>
      </c>
      <c r="T75" s="39" t="inlineStr">
        <is>
          <t>vs our blended price (market data, Mar 2026 - STALE)</t>
        </is>
      </c>
      <c r="U75" s="108" t="n">
        <v>183734</v>
      </c>
      <c r="V75" s="108" t="n">
        <v>5</v>
      </c>
      <c r="W75" s="113">
        <f>IF(AND(ISNUMBER(N75),ISNUMBER(V75)),N75*V75*52/12,"")</f>
        <v/>
      </c>
      <c r="X75" s="114" t="n">
        <v>4.6</v>
      </c>
      <c r="Y75" s="108" t="n">
        <v>1385</v>
      </c>
      <c r="Z75" s="115" t="n">
        <v>46307</v>
      </c>
      <c r="AA75" s="115" t="n"/>
      <c r="AB75" s="105" t="n"/>
      <c r="AC75" s="105" t="n"/>
      <c r="AD75" s="108" t="n"/>
      <c r="AE75" s="108" t="n"/>
      <c r="AF75" s="116" t="n"/>
      <c r="AG75" s="116" t="n"/>
      <c r="AH75" s="39" t="n"/>
      <c r="AI75" s="116" t="n"/>
      <c r="AJ75" s="116" t="n"/>
      <c r="AK75" s="116" t="n"/>
      <c r="AL75" s="116" t="n"/>
      <c r="AM75" s="108" t="n"/>
      <c r="AN75" s="108" t="n"/>
      <c r="AO75" s="108" t="n"/>
      <c r="AP75" s="108" t="n"/>
      <c r="AQ75" s="108" t="n"/>
      <c r="AR75" s="108" t="n"/>
      <c r="AS75" s="117" t="n"/>
      <c r="AT75" s="112" t="n"/>
      <c r="AU75" s="118" t="inlineStr">
        <is>
          <t>N</t>
        </is>
      </c>
      <c r="AV75" s="118" t="inlineStr">
        <is>
          <t>none</t>
        </is>
      </c>
      <c r="AW75" s="124" t="n"/>
      <c r="AX75" s="119" t="n">
        <v>16.99</v>
      </c>
      <c r="AY75" s="118" t="inlineStr">
        <is>
          <t>none</t>
        </is>
      </c>
      <c r="AZ75" s="118" t="inlineStr">
        <is>
          <t>Y</t>
        </is>
      </c>
      <c r="BA75" s="118" t="inlineStr">
        <is>
          <t>2026-10-13 23:40:35</t>
        </is>
      </c>
      <c r="BB75" s="120" t="inlineStr">
        <is>
          <t>None</t>
        </is>
      </c>
      <c r="BC75" s="125" t="n"/>
      <c r="BD75" s="121" t="n">
        <v>20.99</v>
      </c>
      <c r="BE75" s="121" t="n">
        <v>20.99</v>
      </c>
      <c r="BF75" s="110">
        <f>IF(AND(ISNUMBER(BD75),ISNUMBER(BE75),N(BD75)&gt;0),1-BE75/BD75,"")</f>
        <v/>
      </c>
      <c r="BG75" s="122" t="n">
        <v>62752</v>
      </c>
      <c r="BH75" s="122" t="n">
        <v>74100</v>
      </c>
      <c r="BI75" s="123">
        <f>IF(AND(ISNUMBER(BG75),ISNUMBER(BH75),N(BH75)&gt;0),BG75/BH75,"")</f>
        <v/>
      </c>
      <c r="BJ75" s="120" t="inlineStr">
        <is>
          <t>N</t>
        </is>
      </c>
      <c r="BK75" s="120" t="inlineStr">
        <is>
          <t>List Price $25.99</t>
        </is>
      </c>
    </row>
    <row r="76" ht="62" customHeight="1">
      <c r="A76" s="12">
        <f>_xlfn.IMAGE("https://m.media-amazon.com/images/I/61Wv2MUdaKL._AC_SL1100_.jpg")</f>
        <v/>
      </c>
      <c r="B76" s="105" t="inlineStr">
        <is>
          <t>Secgo</t>
        </is>
      </c>
      <c r="C76" s="39" t="inlineStr">
        <is>
          <t>Waterproof Chair Cover</t>
        </is>
      </c>
      <c r="D76" s="105" t="inlineStr">
        <is>
          <t>Beatable</t>
        </is>
      </c>
      <c r="E76" s="134" t="inlineStr">
        <is>
          <t>Not classified</t>
        </is>
      </c>
      <c r="F76" s="105" t="n"/>
      <c r="G76" s="39" t="inlineStr">
        <is>
          <t>Not a sheet, pillowcase or comforter product; competitors are compared on price and sales only.</t>
        </is>
      </c>
      <c r="H76" s="107" t="inlineStr">
        <is>
          <t>B0DNTT71SM</t>
        </is>
      </c>
      <c r="I76" s="107" t="inlineStr">
        <is>
          <t>B0CYSX48KJ</t>
        </is>
      </c>
      <c r="J76" s="105" t="n"/>
      <c r="K76" s="105" t="inlineStr">
        <is>
          <t>Garden Glam</t>
        </is>
      </c>
      <c r="L76" s="108" t="n"/>
      <c r="M76" s="39" t="inlineStr"/>
      <c r="N76" s="109" t="n">
        <v>9.48</v>
      </c>
      <c r="O76" s="109" t="n"/>
      <c r="P76" s="110">
        <f>IF(AND(ISNUMBER(O76),ISNUMBER(N76),N(N76)&gt;0),O76/N76-1,"")</f>
        <v/>
      </c>
      <c r="Q76" s="111">
        <f>IF(P76="","No List Price",IF(P76&lt;=0,"At/below price",IF(P76&lt;=0.12,"&lt;=12% STR zone",IF(P76&lt;=0.25,"12-25%","&gt;25% over"))))</f>
        <v/>
      </c>
      <c r="R76" s="109" t="n">
        <v>25.24</v>
      </c>
      <c r="S76" s="112">
        <f>IF(AND(ISNUMBER(N76),ISNUMBER(R76),N(R76)&gt;0),N76/R76-1,"")</f>
        <v/>
      </c>
      <c r="T76" s="39" t="inlineStr">
        <is>
          <t>vs our blended price (market data, Mar 2026 - STALE)</t>
        </is>
      </c>
      <c r="U76" s="108" t="n">
        <v>146727</v>
      </c>
      <c r="V76" s="108" t="n">
        <v>5</v>
      </c>
      <c r="W76" s="113">
        <f>IF(AND(ISNUMBER(N76),ISNUMBER(V76)),N76*V76*52/12,"")</f>
        <v/>
      </c>
      <c r="X76" s="114" t="n">
        <v>4.6</v>
      </c>
      <c r="Y76" s="108" t="n">
        <v>837</v>
      </c>
      <c r="Z76" s="115" t="n">
        <v>46307</v>
      </c>
      <c r="AA76" s="115" t="n"/>
      <c r="AB76" s="105" t="n"/>
      <c r="AC76" s="105" t="n"/>
      <c r="AD76" s="108" t="n"/>
      <c r="AE76" s="108" t="n"/>
      <c r="AF76" s="116" t="n"/>
      <c r="AG76" s="116" t="n"/>
      <c r="AH76" s="39" t="n"/>
      <c r="AI76" s="116" t="n"/>
      <c r="AJ76" s="116" t="n"/>
      <c r="AK76" s="116" t="n"/>
      <c r="AL76" s="116" t="n"/>
      <c r="AM76" s="108" t="n"/>
      <c r="AN76" s="108" t="n"/>
      <c r="AO76" s="108" t="n"/>
      <c r="AP76" s="108" t="n"/>
      <c r="AQ76" s="108" t="n"/>
      <c r="AR76" s="108" t="n"/>
      <c r="AS76" s="117" t="n"/>
      <c r="AT76" s="112" t="n"/>
      <c r="AU76" s="118" t="inlineStr">
        <is>
          <t>Y</t>
        </is>
      </c>
      <c r="AV76" s="118" t="inlineStr">
        <is>
          <t>Typical price</t>
        </is>
      </c>
      <c r="AW76" s="119" t="n">
        <v>9.99</v>
      </c>
      <c r="AX76" s="119" t="n">
        <v>9.48</v>
      </c>
      <c r="AY76" s="118" t="inlineStr">
        <is>
          <t>none</t>
        </is>
      </c>
      <c r="AZ76" s="118" t="inlineStr">
        <is>
          <t>Y</t>
        </is>
      </c>
      <c r="BA76" s="118" t="inlineStr">
        <is>
          <t>2026-10-13 23:43:05</t>
        </is>
      </c>
      <c r="BB76" s="120" t="inlineStr">
        <is>
          <t>Prime Exclusive Discount</t>
        </is>
      </c>
      <c r="BC76" s="120" t="inlineStr">
        <is>
          <t>11-07 to 12-05</t>
        </is>
      </c>
      <c r="BD76" s="121" t="n">
        <v>11.1</v>
      </c>
      <c r="BE76" s="121" t="n">
        <v>9.869999999999999</v>
      </c>
      <c r="BF76" s="110">
        <f>IF(AND(ISNUMBER(BD76),ISNUMBER(BE76),N(BD76)&gt;0),1-BE76/BD76,"")</f>
        <v/>
      </c>
      <c r="BG76" s="122" t="n">
        <v>52684</v>
      </c>
      <c r="BH76" s="122" t="n">
        <v>77141</v>
      </c>
      <c r="BI76" s="123">
        <f>IF(AND(ISNUMBER(BG76),ISNUMBER(BH76),N(BH76)&gt;0),BG76/BH76,"")</f>
        <v/>
      </c>
      <c r="BJ76" s="120" t="inlineStr">
        <is>
          <t>N</t>
        </is>
      </c>
      <c r="BK76" s="120" t="inlineStr">
        <is>
          <t>Prime Exclusive already running before BFCM week; List Price $24.99</t>
        </is>
      </c>
    </row>
    <row r="77"/>
    <row r="78" ht="22" customHeight="1">
      <c r="A78" s="65" t="inlineStr">
        <is>
          <t>5 ▼</t>
        </is>
      </c>
      <c r="B78" s="66" t="inlineStr">
        <is>
          <t>WHAT THIS MEANS FOR BFCM</t>
        </is>
      </c>
      <c r="C78" s="67" t="n"/>
      <c r="D78" s="67" t="n"/>
      <c r="E78" s="67" t="n"/>
      <c r="F78" s="67" t="n"/>
      <c r="G78" s="67" t="n"/>
      <c r="H78" s="67" t="n"/>
      <c r="I78" s="67" t="n"/>
      <c r="J78" s="67" t="n"/>
      <c r="K78" s="67" t="n"/>
      <c r="L78" s="67" t="n"/>
      <c r="M78" s="67" t="n"/>
      <c r="N78" s="67" t="n"/>
      <c r="O78" s="67" t="n"/>
      <c r="P78" s="67" t="n"/>
      <c r="Q78" s="67" t="n"/>
      <c r="R78" s="67" t="n"/>
      <c r="S78" s="67" t="n"/>
      <c r="T78" s="67" t="n"/>
      <c r="U78" s="67" t="n"/>
      <c r="V78" s="67" t="n"/>
      <c r="W78" s="67" t="n"/>
      <c r="X78" s="67" t="n"/>
      <c r="Y78" s="67" t="n"/>
      <c r="Z78" s="67" t="n"/>
      <c r="AA78" s="67" t="n"/>
      <c r="AB78" s="67" t="n"/>
      <c r="AC78" s="67" t="n"/>
      <c r="AD78" s="67" t="n"/>
      <c r="AE78" s="67" t="n"/>
      <c r="AF78" s="67" t="n"/>
      <c r="AG78" s="67" t="n"/>
      <c r="AH78" s="67" t="n"/>
      <c r="AI78" s="67" t="n"/>
      <c r="AJ78" s="67" t="n"/>
      <c r="AK78" s="67" t="n"/>
      <c r="AL78" s="67" t="n"/>
      <c r="AM78" s="67" t="n"/>
      <c r="AN78" s="67" t="n"/>
      <c r="AO78" s="67" t="n"/>
      <c r="AP78" s="67" t="n"/>
      <c r="AQ78" s="67" t="n"/>
      <c r="AR78" s="67" t="n"/>
      <c r="AS78" s="67" t="n"/>
      <c r="AT78" s="67" t="n"/>
      <c r="AU78" s="67" t="n"/>
      <c r="AV78" s="67" t="n"/>
      <c r="AW78" s="67" t="n"/>
      <c r="AX78" s="67" t="n"/>
      <c r="AY78" s="67" t="n"/>
      <c r="AZ78" s="67" t="n"/>
      <c r="BA78" s="67" t="n"/>
      <c r="BB78" s="67" t="n"/>
      <c r="BC78" s="67" t="n"/>
      <c r="BD78" s="67" t="n"/>
      <c r="BE78" s="67" t="n"/>
      <c r="BF78" s="67" t="n"/>
      <c r="BG78" s="67" t="n"/>
      <c r="BH78" s="67" t="n"/>
      <c r="BI78" s="67" t="n"/>
      <c r="BJ78" s="67" t="n"/>
      <c r="BK78" s="67" t="n"/>
    </row>
    <row r="79" ht="30" customHeight="1">
      <c r="A79" s="129" t="inlineStr">
        <is>
          <t>• Who sells most: BIETYONE ~347/wk at $20.99; Fafua ~173/wk at $17.89; Genina ~173/wk at $22.07; Artrello ~92/wk at $23.99; Easy-Going ~92/wk at $25.99. Tracked rivals ~1,672 units/wk; we sell ~8/wk (0.4% of the tracked set).</t>
        </is>
      </c>
    </row>
    <row r="80" ht="18" customHeight="1">
      <c r="A80" s="129" t="inlineStr">
        <is>
          <t>• Strikethrough: 5 of 23 rivals set a List Price above price; 0 within 12%.</t>
        </is>
      </c>
    </row>
    <row r="81" ht="18" customHeight="1">
      <c r="A81" s="129" t="inlineStr">
        <is>
          <t>• Price: 14 of 23 rivals sit below our price today (same size where the title states one). Cheapest strong rivals: Secgo $9.48, YEMYHOM $9.99, Sufdari $16.99, FORCHEER $16.99.</t>
        </is>
      </c>
    </row>
    <row r="82" ht="30" customHeight="1">
      <c r="A82" s="129" t="inlineStr">
        <is>
          <t>• Strikethrough on the page today (Oct 13 check): 8 of 23 checked rivals show one: Fafua List Price $18.88 vs $17.89 (+6%), Genina Typical price $19.99 vs $18.98 (+5%), SearchI List Price $34.99 vs $29.99 (+17%), Genina List Price $23.99 vs $19.99 (+20%), SearchI List Price $26.99 vs $22.94 (+18%), Smiry List Price $31.99 vs $26.99 (+19%).</t>
        </is>
      </c>
    </row>
    <row r="83" ht="18" customHeight="1">
      <c r="A83" s="129" t="inlineStr">
        <is>
          <t>• Our BFCM 2025: 0.66x.</t>
        </is>
      </c>
    </row>
    <row r="84" ht="30" customHeight="1">
      <c r="A84" s="129" t="inlineStr">
        <is>
          <t>• BFCM 2025, 22 rivals with price history history: Prime Exclusive Discount 13, None 5, Price cut only 3, Coupon only 1. Median depth vs their Nov 1-19 price 14%; median BSR lift 1.13x. 7 raised their Buy Box in BFCM week, so their deal looked deeper than it was.</t>
        </is>
      </c>
    </row>
    <row r="85" ht="18" customHeight="1">
      <c r="A85" s="129" t="inlineStr">
        <is>
          <t>• 1 rival not in the price history pulls yet (yellow BFCM 2025 columns) - remaining P2 batches,.</t>
        </is>
      </c>
    </row>
  </sheetData>
  <autoFilter ref="B53:BK76"/>
  <mergeCells count="64">
    <mergeCell ref="A82:BK82"/>
    <mergeCell ref="A37:C37"/>
    <mergeCell ref="L5:Q5"/>
    <mergeCell ref="AD52:AT52"/>
    <mergeCell ref="Q11:T11"/>
    <mergeCell ref="A45:BK45"/>
    <mergeCell ref="L8:Q8"/>
    <mergeCell ref="BB52:BK52"/>
    <mergeCell ref="A79:BK79"/>
    <mergeCell ref="L4:Q4"/>
    <mergeCell ref="D7:I7"/>
    <mergeCell ref="A13:D13"/>
    <mergeCell ref="I13:L13"/>
    <mergeCell ref="A33:C33"/>
    <mergeCell ref="A41:BK41"/>
    <mergeCell ref="D4:I4"/>
    <mergeCell ref="L10:Q10"/>
    <mergeCell ref="E12:H12"/>
    <mergeCell ref="Q13:T13"/>
    <mergeCell ref="A32:C32"/>
    <mergeCell ref="A46:BK46"/>
    <mergeCell ref="D9:I9"/>
    <mergeCell ref="AU52:BA52"/>
    <mergeCell ref="A84:BK84"/>
    <mergeCell ref="U12:X12"/>
    <mergeCell ref="L9:Q9"/>
    <mergeCell ref="Q12:T12"/>
    <mergeCell ref="A80:BK80"/>
    <mergeCell ref="A11:D11"/>
    <mergeCell ref="A35:C35"/>
    <mergeCell ref="I11:L11"/>
    <mergeCell ref="A38:C38"/>
    <mergeCell ref="D8:I8"/>
    <mergeCell ref="L6:Q6"/>
    <mergeCell ref="A4:B9"/>
    <mergeCell ref="T6:Y6"/>
    <mergeCell ref="D5:I5"/>
    <mergeCell ref="A47:BK47"/>
    <mergeCell ref="A42:BK42"/>
    <mergeCell ref="A85:BK85"/>
    <mergeCell ref="A40:C40"/>
    <mergeCell ref="M11:P11"/>
    <mergeCell ref="U11:X11"/>
    <mergeCell ref="A34:C34"/>
    <mergeCell ref="A39:C39"/>
    <mergeCell ref="E13:H13"/>
    <mergeCell ref="AA52:AC52"/>
    <mergeCell ref="D10:I10"/>
    <mergeCell ref="L7:Q7"/>
    <mergeCell ref="T5:Y5"/>
    <mergeCell ref="A43:BK43"/>
    <mergeCell ref="A81:BK81"/>
    <mergeCell ref="A12:D12"/>
    <mergeCell ref="M13:P13"/>
    <mergeCell ref="N52:Z52"/>
    <mergeCell ref="I12:L12"/>
    <mergeCell ref="U13:X13"/>
    <mergeCell ref="A52:K52"/>
    <mergeCell ref="M12:P12"/>
    <mergeCell ref="A44:BK44"/>
    <mergeCell ref="T4:Y4"/>
    <mergeCell ref="D6:I6"/>
    <mergeCell ref="E11:H11"/>
    <mergeCell ref="A83:BK83"/>
  </mergeCells>
  <conditionalFormatting sqref="Q54:Q76">
    <cfRule type="expression" priority="1" dxfId="1">
      <formula>Q54="&lt;=12% STR zone"</formula>
    </cfRule>
  </conditionalFormatting>
  <conditionalFormatting sqref="Z54:Z76">
    <cfRule type="expression" priority="2" dxfId="0">
      <formula>AND(ISNUMBER(Z54),Z54&lt;DATE(2026,10,6))</formula>
    </cfRule>
  </conditionalFormatting>
  <conditionalFormatting sqref="T54:T76">
    <cfRule type="expression" priority="3" dxfId="0">
      <formula>ISNUMBER(SEARCH("STALE",T54))</formula>
    </cfRule>
  </conditionalFormatting>
  <conditionalFormatting sqref="S54:S76">
    <cfRule type="expression" priority="4" dxfId="0">
      <formula>AND(ISNUMBER(S54),S54&lt;0)</formula>
    </cfRule>
  </conditionalFormatting>
  <dataValidations count="3">
    <dataValidation sqref="AU54:AU76 BJ54:BJ76" showDropDown="0" showInputMessage="0" showErrorMessage="0" allowBlank="1" type="list">
      <formula1>"Y,N"</formula1>
    </dataValidation>
    <dataValidation sqref="AV54:AV76" showDropDown="0" showInputMessage="0" showErrorMessage="0" allowBlank="1" type="list">
      <formula1>"List Price,Typical price,Was price,None"</formula1>
    </dataValidation>
    <dataValidation sqref="BB54:BB76" showDropDown="0" showInputMessage="0" showErrorMessage="0" allowBlank="1" type="list">
      <formula1>"Lightning Deal,Best Deal,Prime Exclusive Discount,Coupon only,Price cut only,None,Not live in 2025"</formula1>
    </dataValidation>
  </dataValidations>
  <hyperlinks>
    <hyperlink ref="A2" location="'US Dashboard'!A1" display="← Dashboard"/>
    <hyperlink ref="C2" location="'US DC Chair Cover'!A3" display="1 Our product ↓"/>
    <hyperlink ref="D2" location="'US DC Chair Cover'!A15" display="2 Our variations ↓"/>
    <hyperlink ref="E2" location="'US DC Chair Cover'!A31" display="3 Our BFCM 2025 ↓"/>
    <hyperlink ref="F2" location="'US DC Chair Cover'!A50" display="4 COMPETITORS (23 mapped) ↓"/>
    <hyperlink ref="G2" location="'US DC Chair Cover'!A78" display="5 What it means ↓"/>
    <hyperlink xmlns:r="http://schemas.openxmlformats.org/officeDocument/2006/relationships" ref="H54" r:id="rId1"/>
    <hyperlink xmlns:r="http://schemas.openxmlformats.org/officeDocument/2006/relationships" ref="I54" r:id="rId2"/>
    <hyperlink xmlns:r="http://schemas.openxmlformats.org/officeDocument/2006/relationships" ref="H55" r:id="rId3"/>
    <hyperlink xmlns:r="http://schemas.openxmlformats.org/officeDocument/2006/relationships" ref="I55" r:id="rId4"/>
    <hyperlink xmlns:r="http://schemas.openxmlformats.org/officeDocument/2006/relationships" ref="H56" r:id="rId5"/>
    <hyperlink xmlns:r="http://schemas.openxmlformats.org/officeDocument/2006/relationships" ref="I56" r:id="rId6"/>
    <hyperlink xmlns:r="http://schemas.openxmlformats.org/officeDocument/2006/relationships" ref="H57" r:id="rId7"/>
    <hyperlink xmlns:r="http://schemas.openxmlformats.org/officeDocument/2006/relationships" ref="I57" r:id="rId8"/>
    <hyperlink xmlns:r="http://schemas.openxmlformats.org/officeDocument/2006/relationships" ref="H58" r:id="rId9"/>
    <hyperlink xmlns:r="http://schemas.openxmlformats.org/officeDocument/2006/relationships" ref="I58" r:id="rId10"/>
    <hyperlink xmlns:r="http://schemas.openxmlformats.org/officeDocument/2006/relationships" ref="H59" r:id="rId11"/>
    <hyperlink xmlns:r="http://schemas.openxmlformats.org/officeDocument/2006/relationships" ref="I59" r:id="rId12"/>
    <hyperlink xmlns:r="http://schemas.openxmlformats.org/officeDocument/2006/relationships" ref="H60" r:id="rId13"/>
    <hyperlink xmlns:r="http://schemas.openxmlformats.org/officeDocument/2006/relationships" ref="I60" r:id="rId14"/>
    <hyperlink xmlns:r="http://schemas.openxmlformats.org/officeDocument/2006/relationships" ref="H61" r:id="rId15"/>
    <hyperlink xmlns:r="http://schemas.openxmlformats.org/officeDocument/2006/relationships" ref="I61" r:id="rId16"/>
    <hyperlink xmlns:r="http://schemas.openxmlformats.org/officeDocument/2006/relationships" ref="H62" r:id="rId17"/>
    <hyperlink xmlns:r="http://schemas.openxmlformats.org/officeDocument/2006/relationships" ref="I62" r:id="rId18"/>
    <hyperlink xmlns:r="http://schemas.openxmlformats.org/officeDocument/2006/relationships" ref="H63" r:id="rId19"/>
    <hyperlink xmlns:r="http://schemas.openxmlformats.org/officeDocument/2006/relationships" ref="I63" r:id="rId20"/>
    <hyperlink xmlns:r="http://schemas.openxmlformats.org/officeDocument/2006/relationships" ref="H64" r:id="rId21"/>
    <hyperlink xmlns:r="http://schemas.openxmlformats.org/officeDocument/2006/relationships" ref="I64" r:id="rId22"/>
    <hyperlink xmlns:r="http://schemas.openxmlformats.org/officeDocument/2006/relationships" ref="H65" r:id="rId23"/>
    <hyperlink xmlns:r="http://schemas.openxmlformats.org/officeDocument/2006/relationships" ref="I65" r:id="rId24"/>
    <hyperlink xmlns:r="http://schemas.openxmlformats.org/officeDocument/2006/relationships" ref="H66" r:id="rId25"/>
    <hyperlink xmlns:r="http://schemas.openxmlformats.org/officeDocument/2006/relationships" ref="I66" r:id="rId26"/>
    <hyperlink xmlns:r="http://schemas.openxmlformats.org/officeDocument/2006/relationships" ref="H67" r:id="rId27"/>
    <hyperlink xmlns:r="http://schemas.openxmlformats.org/officeDocument/2006/relationships" ref="I67" r:id="rId28"/>
    <hyperlink xmlns:r="http://schemas.openxmlformats.org/officeDocument/2006/relationships" ref="H68" r:id="rId29"/>
    <hyperlink xmlns:r="http://schemas.openxmlformats.org/officeDocument/2006/relationships" ref="I68" r:id="rId30"/>
    <hyperlink xmlns:r="http://schemas.openxmlformats.org/officeDocument/2006/relationships" ref="H69" r:id="rId31"/>
    <hyperlink xmlns:r="http://schemas.openxmlformats.org/officeDocument/2006/relationships" ref="I69" r:id="rId32"/>
    <hyperlink xmlns:r="http://schemas.openxmlformats.org/officeDocument/2006/relationships" ref="H70" r:id="rId33"/>
    <hyperlink xmlns:r="http://schemas.openxmlformats.org/officeDocument/2006/relationships" ref="I70" r:id="rId34"/>
    <hyperlink xmlns:r="http://schemas.openxmlformats.org/officeDocument/2006/relationships" ref="H71" r:id="rId35"/>
    <hyperlink xmlns:r="http://schemas.openxmlformats.org/officeDocument/2006/relationships" ref="I71" r:id="rId36"/>
    <hyperlink xmlns:r="http://schemas.openxmlformats.org/officeDocument/2006/relationships" ref="H72" r:id="rId37"/>
    <hyperlink xmlns:r="http://schemas.openxmlformats.org/officeDocument/2006/relationships" ref="I72" r:id="rId38"/>
    <hyperlink xmlns:r="http://schemas.openxmlformats.org/officeDocument/2006/relationships" ref="H73" r:id="rId39"/>
    <hyperlink xmlns:r="http://schemas.openxmlformats.org/officeDocument/2006/relationships" ref="I73" r:id="rId40"/>
    <hyperlink xmlns:r="http://schemas.openxmlformats.org/officeDocument/2006/relationships" ref="H74" r:id="rId41"/>
    <hyperlink xmlns:r="http://schemas.openxmlformats.org/officeDocument/2006/relationships" ref="I74" r:id="rId42"/>
    <hyperlink xmlns:r="http://schemas.openxmlformats.org/officeDocument/2006/relationships" ref="H75" r:id="rId43"/>
    <hyperlink xmlns:r="http://schemas.openxmlformats.org/officeDocument/2006/relationships" ref="I75" r:id="rId44"/>
    <hyperlink xmlns:r="http://schemas.openxmlformats.org/officeDocument/2006/relationships" ref="H76" r:id="rId45"/>
    <hyperlink xmlns:r="http://schemas.openxmlformats.org/officeDocument/2006/relationships" ref="I76" r:id="rId46"/>
  </hyperlink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F4B183"/>
    <outlinePr summaryBelow="1" summaryRight="1"/>
    <pageSetUpPr/>
  </sheetPr>
  <dimension ref="A1:BK144"/>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Decolure Bamboo Sheets 4 Piece · Amazon.ca (CA) · Bamboo · BFCM role: Hero: rank and profit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_xlfn.IMAGE("https://m.media-amazon.com/images/I/81E9bvs4TYL._AC_SL1500_.jpg")</f>
        <v/>
      </c>
      <c r="C4" s="13" t="inlineStr">
        <is>
          <t>Title</t>
        </is>
      </c>
      <c r="D4" s="14" t="inlineStr">
        <is>
          <t>DECOLURE 100% Organic Bamboo Viscose Sheets Queen Size 4 pcs - Ultra Soft &amp; Luxuriously Cooling, 16" Deep Pocket, Double Stitching, Perfect for Hot Sleepers - Luxury Queen Bed Sheets Set (White)</t>
        </is>
      </c>
      <c r="K4" s="13" t="inlineStr">
        <is>
          <t>Sizes</t>
        </is>
      </c>
      <c r="L4" s="68" t="inlineStr">
        <is>
          <t>California King, Full, King, Queen, Twin</t>
        </is>
      </c>
      <c r="S4" s="13" t="inlineStr">
        <is>
          <t>Break-even ACoS</t>
        </is>
      </c>
      <c r="T4" s="68" t="inlineStr">
        <is>
          <t>47%</t>
        </is>
      </c>
    </row>
    <row r="5" ht="22" customHeight="1">
      <c r="C5" s="13" t="inlineStr">
        <is>
          <t>Brand</t>
        </is>
      </c>
      <c r="D5" s="68" t="inlineStr">
        <is>
          <t>Decolure</t>
        </is>
      </c>
      <c r="K5" s="13" t="inlineStr">
        <is>
          <t>Colours</t>
        </is>
      </c>
      <c r="L5" s="68" t="inlineStr">
        <is>
          <t>Black, Burgundy, Charcoal, Creme, Grey, Light Blue, Light Grey, Light Olive, Light Pink, Midgrey, Navy Blue, Olive, Purple, Sage Green, Taupe, White</t>
        </is>
      </c>
      <c r="S5" s="13" t="inlineStr">
        <is>
          <t>Units last 28 days</t>
        </is>
      </c>
      <c r="T5" s="68" t="inlineStr">
        <is>
          <t>479</t>
        </is>
      </c>
    </row>
    <row r="6" ht="22" customHeight="1">
      <c r="C6" s="13" t="inlineStr">
        <is>
          <t>Marketplace</t>
        </is>
      </c>
      <c r="D6" s="68" t="inlineStr">
        <is>
          <t>Amazon.ca (CA)</t>
        </is>
      </c>
      <c r="K6" s="13" t="inlineStr">
        <is>
          <t>Price now, best child</t>
        </is>
      </c>
      <c r="L6" s="68" t="inlineStr">
        <is>
          <t>$99.99 (catalog price (CAD), 2026-10-14)</t>
        </is>
      </c>
      <c r="S6" s="13" t="inlineStr">
        <is>
          <t>market data product ASIN</t>
        </is>
      </c>
      <c r="T6" s="68" t="inlineStr">
        <is>
          <t>B0BZQ1G5B8 (one of our child ASINs, not the Amazon parent)</t>
        </is>
      </c>
    </row>
    <row r="7" ht="22" customHeight="1">
      <c r="C7" s="13" t="inlineStr">
        <is>
          <t>Parent ASIN (Amazon)</t>
        </is>
      </c>
      <c r="D7" s="68" t="inlineStr">
        <is>
          <t>B08LW37SB9</t>
        </is>
      </c>
      <c r="K7" s="13" t="inlineStr">
        <is>
          <t>Rating / reviews now</t>
        </is>
      </c>
      <c r="L7" s="68" t="inlineStr">
        <is>
          <t>4.4 / 5,844 (catalog price (CAD), 2026-10-14)</t>
        </is>
      </c>
    </row>
    <row r="8" ht="22" customHeight="1">
      <c r="C8" s="13" t="inlineStr">
        <is>
          <t>Best-selling child ASIN</t>
        </is>
      </c>
      <c r="D8" s="68" t="inlineStr">
        <is>
          <t>B08KQJGM74</t>
        </is>
      </c>
      <c r="K8" s="13" t="inlineStr">
        <is>
          <t>Live prices held</t>
        </is>
      </c>
      <c r="L8" s="68" t="inlineStr">
        <is>
          <t>75 of 80 variations</t>
        </is>
      </c>
    </row>
    <row r="9" ht="22" customHeight="1">
      <c r="C9" s="13" t="inlineStr">
        <is>
          <t>Stage</t>
        </is>
      </c>
      <c r="D9" s="68" t="inlineStr">
        <is>
          <t>Re-Launch</t>
        </is>
      </c>
      <c r="K9" s="13" t="inlineStr">
        <is>
          <t>Blended price (market data)</t>
        </is>
      </c>
      <c r="L9" s="68" t="inlineStr">
        <is>
          <t>$98.14 - fee feed as of 2026-03-30, STALE</t>
        </is>
      </c>
    </row>
    <row r="10">
      <c r="C10" s="13" t="inlineStr">
        <is>
          <t>Total variations (SKUs)</t>
        </is>
      </c>
      <c r="D10" s="68" t="n">
        <v>80</v>
      </c>
      <c r="K10" s="13" t="inlineStr">
        <is>
          <t>Contribution / unit</t>
        </is>
      </c>
      <c r="L10" s="68" t="inlineStr">
        <is>
          <t>$45.80</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3.08x</t>
        </is>
      </c>
      <c r="E12" s="70" t="inlineStr">
        <is>
          <t>11.5%</t>
        </is>
      </c>
      <c r="I12" s="70" t="inlineStr">
        <is>
          <t>2.19x</t>
        </is>
      </c>
      <c r="M12" s="70" t="inlineStr">
        <is>
          <t>15</t>
        </is>
      </c>
      <c r="Q12" s="70" t="inlineStr">
        <is>
          <t>13</t>
        </is>
      </c>
      <c r="U12" s="70" t="inlineStr">
        <is>
          <t>8 of 15</t>
        </is>
      </c>
    </row>
    <row r="13">
      <c r="A13" s="71" t="inlineStr">
        <is>
          <t>daily sales, BFCM wk vs 30 days before (account data actual)</t>
        </is>
      </c>
      <c r="E13" s="71" t="inlineStr">
        <is>
          <t>vs 12.7%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(80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_xlfn.IMAGE("https://m.media-amazon.com/images/I/81E9bvs4TYL.jpg")</f>
        <v/>
      </c>
      <c r="B18" s="39" t="inlineStr">
        <is>
          <t>B08KQJGM74</t>
        </is>
      </c>
      <c r="C18" s="39" t="inlineStr">
        <is>
          <t>BAMBOO-QUEEN-WHITE</t>
        </is>
      </c>
      <c r="D18" s="39" t="inlineStr">
        <is>
          <t>DECOLURE 100% Organic Bamboo Viscose Sheets Queen Size 4 pcs - Ultra Soft &amp; Luxuriously Cooling, 16" Deep Pocket, Double Stitching, Perfect for Hot Sleepers - Luxury Queen Bed Sheets Set (White)</t>
        </is>
      </c>
      <c r="E18" s="39" t="inlineStr">
        <is>
          <t>Queen</t>
        </is>
      </c>
      <c r="F18" s="39" t="inlineStr">
        <is>
          <t>White</t>
        </is>
      </c>
      <c r="G18" s="73" t="n">
        <v>99.98999999999999</v>
      </c>
      <c r="H18" s="39" t="inlineStr">
        <is>
          <t>catalog price (CAD), 2026-10-14</t>
        </is>
      </c>
      <c r="I18" s="74" t="n">
        <v>99.98999999999999</v>
      </c>
      <c r="J18" s="75" t="inlineStr">
        <is>
          <t>2026-03-30</t>
        </is>
      </c>
      <c r="K18" s="40" t="n">
        <v>49.53999999999999</v>
      </c>
      <c r="L18" s="76" t="n">
        <v>0.4954495449544954</v>
      </c>
      <c r="M18" s="77" t="n">
        <v>36</v>
      </c>
      <c r="N18" s="39" t="inlineStr">
        <is>
          <t>Active</t>
        </is>
      </c>
      <c r="O18" s="39" t="n"/>
      <c r="P18" s="78" t="n">
        <v>4.4</v>
      </c>
      <c r="Q18" s="77" t="n">
        <v>5844</v>
      </c>
      <c r="R18" s="77" t="n">
        <v>2867</v>
      </c>
      <c r="S18" s="77" t="n">
        <v>39</v>
      </c>
      <c r="T18" s="39" t="n"/>
    </row>
    <row r="19" ht="62" customHeight="1">
      <c r="A19" s="12">
        <f>_xlfn.IMAGE("https://m.media-amazon.com/images/I/81bmbyz5uFL.jpg")</f>
        <v/>
      </c>
      <c r="B19" s="39" t="inlineStr">
        <is>
          <t>B08KQJ61T7</t>
        </is>
      </c>
      <c r="C19" s="39" t="inlineStr">
        <is>
          <t>BAMBOO-KING-TAUPE</t>
        </is>
      </c>
      <c r="D19" s="39" t="inlineStr">
        <is>
          <t>DECOLURE 100% Organic Bamboo Viscose Sheets King Size 4 pcs - Ultra Soft &amp; Luxuriously Cooling, 16" Deep Pocket, Double Stitching, Perfect for Hot Sleepers - Luxury King Bed Sheets Set (Taupe)</t>
        </is>
      </c>
      <c r="E19" s="39" t="inlineStr">
        <is>
          <t>King</t>
        </is>
      </c>
      <c r="F19" s="39" t="inlineStr">
        <is>
          <t>Taupe</t>
        </is>
      </c>
      <c r="G19" s="73" t="n">
        <v>99.98999999999999</v>
      </c>
      <c r="H19" s="39" t="inlineStr">
        <is>
          <t>catalog price (CAD), 2026-10-14</t>
        </is>
      </c>
      <c r="I19" s="74" t="n">
        <v>99.98999999999999</v>
      </c>
      <c r="J19" s="75" t="inlineStr">
        <is>
          <t>2026-03-30</t>
        </is>
      </c>
      <c r="K19" s="40" t="n">
        <v>44.84</v>
      </c>
      <c r="L19" s="76" t="n">
        <v>0.4484448444844485</v>
      </c>
      <c r="M19" s="77" t="n">
        <v>30</v>
      </c>
      <c r="N19" s="39" t="inlineStr">
        <is>
          <t>Active</t>
        </is>
      </c>
      <c r="O19" s="39" t="n"/>
      <c r="P19" s="78" t="n">
        <v>4.4</v>
      </c>
      <c r="Q19" s="77" t="n">
        <v>5844</v>
      </c>
      <c r="R19" s="77" t="n">
        <v>2867</v>
      </c>
      <c r="S19" s="77" t="n">
        <v>30</v>
      </c>
      <c r="T19" s="39" t="n"/>
    </row>
    <row r="20" ht="62" customHeight="1">
      <c r="A20" s="12">
        <f>_xlfn.IMAGE("https://m.media-amazon.com/images/I/81E9bvs4TYL.jpg")</f>
        <v/>
      </c>
      <c r="B20" s="39" t="inlineStr">
        <is>
          <t>B08KQHRDDG</t>
        </is>
      </c>
      <c r="C20" s="39" t="inlineStr">
        <is>
          <t>BAMBOO-KING-WHITE</t>
        </is>
      </c>
      <c r="D20" s="39" t="inlineStr">
        <is>
          <t>DECOLURE 100% Organic Bamboo Viscose Sheets King Size 4 pcs - Ultra Soft &amp; Luxuriously Cooling, 16" Deep Pocket, Double Stitching, Perfect for Hot Sleepers - Luxury King Bed Sheets Set (White)</t>
        </is>
      </c>
      <c r="E20" s="39" t="inlineStr">
        <is>
          <t>King</t>
        </is>
      </c>
      <c r="F20" s="39" t="inlineStr">
        <is>
          <t>White</t>
        </is>
      </c>
      <c r="G20" s="73" t="n">
        <v>99.98999999999999</v>
      </c>
      <c r="H20" s="39" t="inlineStr">
        <is>
          <t>catalog price (CAD), 2026-10-14</t>
        </is>
      </c>
      <c r="I20" s="74" t="n">
        <v>99.98999999999999</v>
      </c>
      <c r="J20" s="75" t="inlineStr">
        <is>
          <t>2026-03-30</t>
        </is>
      </c>
      <c r="K20" s="40" t="n">
        <v>44.74999999999999</v>
      </c>
      <c r="L20" s="76" t="n">
        <v>0.4475447544754474</v>
      </c>
      <c r="M20" s="77" t="n">
        <v>27</v>
      </c>
      <c r="N20" s="39" t="inlineStr">
        <is>
          <t>Active</t>
        </is>
      </c>
      <c r="O20" s="39" t="n"/>
      <c r="P20" s="78" t="n">
        <v>4.4</v>
      </c>
      <c r="Q20" s="77" t="n">
        <v>5844</v>
      </c>
      <c r="R20" s="77" t="n">
        <v>2867</v>
      </c>
      <c r="S20" s="77" t="n">
        <v>6</v>
      </c>
      <c r="T20" s="39" t="n"/>
    </row>
    <row r="21" ht="62" customHeight="1">
      <c r="A21" s="12">
        <f>_xlfn.IMAGE("https://m.media-amazon.com/images/I/81Jrmiuxy2L.jpg")</f>
        <v/>
      </c>
      <c r="B21" s="39" t="inlineStr">
        <is>
          <t>B08KQKKRNC</t>
        </is>
      </c>
      <c r="C21" s="39" t="inlineStr">
        <is>
          <t>BAMBOO-QUEEN-NAVYBLUE</t>
        </is>
      </c>
      <c r="D21" s="39" t="inlineStr">
        <is>
          <t>DECOLURE 100% Organic Bamboo Viscose Sheets Queen Size 4 pcs - Ultra Soft &amp; Luxuriously Cooling, 16" Deep Pocket, Double Stitching,Perfect for Hot Sleepers - Luxury Queen Bed Sheets Set (Navy Blue)</t>
        </is>
      </c>
      <c r="E21" s="39" t="inlineStr">
        <is>
          <t>Queen</t>
        </is>
      </c>
      <c r="F21" s="39" t="inlineStr">
        <is>
          <t>Navy Blue</t>
        </is>
      </c>
      <c r="G21" s="73" t="n">
        <v>99.98999999999999</v>
      </c>
      <c r="H21" s="39" t="inlineStr">
        <is>
          <t>catalog price (CAD), 2026-10-14</t>
        </is>
      </c>
      <c r="I21" s="74" t="n">
        <v>99.98999999999999</v>
      </c>
      <c r="J21" s="75" t="inlineStr">
        <is>
          <t>2026-03-30</t>
        </is>
      </c>
      <c r="K21" s="40" t="n">
        <v>49.59999999999999</v>
      </c>
      <c r="L21" s="76" t="n">
        <v>0.4960496049604959</v>
      </c>
      <c r="M21" s="77" t="n">
        <v>25</v>
      </c>
      <c r="N21" s="39" t="inlineStr">
        <is>
          <t>Active</t>
        </is>
      </c>
      <c r="O21" s="39" t="n"/>
      <c r="P21" s="78" t="n">
        <v>4.4</v>
      </c>
      <c r="Q21" s="77" t="n">
        <v>5844</v>
      </c>
      <c r="R21" s="77" t="n">
        <v>2867</v>
      </c>
      <c r="S21" s="77" t="n">
        <v>10</v>
      </c>
      <c r="T21" s="39" t="n"/>
    </row>
    <row r="22" ht="62" customHeight="1">
      <c r="A22" s="12">
        <f>_xlfn.IMAGE("https://m.media-amazon.com/images/I/81bmbyz5uFL.jpg")</f>
        <v/>
      </c>
      <c r="B22" s="39" t="inlineStr">
        <is>
          <t>B08KQJMZ8Q</t>
        </is>
      </c>
      <c r="C22" s="39" t="inlineStr">
        <is>
          <t>BAMBOO-QUEEN-TAUPE</t>
        </is>
      </c>
      <c r="D22" s="39" t="inlineStr">
        <is>
          <t>DECOLURE 100% Organic Bamboo Viscose Sheets Queen Size 4 pcs - Ultra Soft &amp; Luxuriously Cooling, 16" Deep Pocket, Double Stitching, Perfect for Hot Sleepers - Luxury Queen Bed Sheets Set (Taupe)</t>
        </is>
      </c>
      <c r="E22" s="39" t="inlineStr">
        <is>
          <t>Queen</t>
        </is>
      </c>
      <c r="F22" s="39" t="inlineStr">
        <is>
          <t>Taupe</t>
        </is>
      </c>
      <c r="G22" s="73" t="n">
        <v>99.98999999999999</v>
      </c>
      <c r="H22" s="39" t="inlineStr">
        <is>
          <t>catalog price (CAD), 2026-10-14</t>
        </is>
      </c>
      <c r="I22" s="74" t="n">
        <v>99.98999999999999</v>
      </c>
      <c r="J22" s="75" t="inlineStr">
        <is>
          <t>2026-03-30</t>
        </is>
      </c>
      <c r="K22" s="40" t="n">
        <v>49.54999999999999</v>
      </c>
      <c r="L22" s="76" t="n">
        <v>0.4955495549554955</v>
      </c>
      <c r="M22" s="77" t="n">
        <v>25</v>
      </c>
      <c r="N22" s="39" t="inlineStr">
        <is>
          <t>Active</t>
        </is>
      </c>
      <c r="O22" s="39" t="n"/>
      <c r="P22" s="78" t="n">
        <v>4.4</v>
      </c>
      <c r="Q22" s="77" t="n">
        <v>5844</v>
      </c>
      <c r="R22" s="77" t="n">
        <v>2867</v>
      </c>
      <c r="S22" s="77" t="n">
        <v>10</v>
      </c>
      <c r="T22" s="39" t="n"/>
    </row>
    <row r="23" ht="62" customHeight="1">
      <c r="A23" s="12">
        <f>_xlfn.IMAGE("https://m.media-amazon.com/images/I/81mgYawt2DL.jpg")</f>
        <v/>
      </c>
      <c r="B23" s="39" t="inlineStr">
        <is>
          <t>B0BZPZ2L1R</t>
        </is>
      </c>
      <c r="C23" s="39" t="inlineStr">
        <is>
          <t>BAMBOO-KING-BLACK</t>
        </is>
      </c>
      <c r="D23" s="39" t="inlineStr">
        <is>
          <t>DECOLURE 100% Organic Bamboo Viscose Sheets King Size 4 pcs - Ultra Soft &amp; Luxuriously Cooling, 16" Deep Pocket, Double Stitching, Perfect for Hot Sleepers - Luxury King Bed Sheets Set (Black)</t>
        </is>
      </c>
      <c r="E23" s="39" t="inlineStr">
        <is>
          <t>King</t>
        </is>
      </c>
      <c r="F23" s="39" t="inlineStr">
        <is>
          <t>Black</t>
        </is>
      </c>
      <c r="G23" s="73" t="n">
        <v>99.98999999999999</v>
      </c>
      <c r="H23" s="39" t="inlineStr">
        <is>
          <t>catalog price (CAD), 2026-10-14</t>
        </is>
      </c>
      <c r="I23" s="74" t="n">
        <v>99.98999999999999</v>
      </c>
      <c r="J23" s="75" t="inlineStr">
        <is>
          <t>2026-03-30</t>
        </is>
      </c>
      <c r="K23" s="40" t="n">
        <v>44.52999999999999</v>
      </c>
      <c r="L23" s="76" t="n">
        <v>0.4453445344534453</v>
      </c>
      <c r="M23" s="77" t="n">
        <v>23</v>
      </c>
      <c r="N23" s="39" t="inlineStr">
        <is>
          <t>Active</t>
        </is>
      </c>
      <c r="O23" s="39" t="n"/>
      <c r="P23" s="78" t="n">
        <v>4.4</v>
      </c>
      <c r="Q23" s="77" t="n">
        <v>5844</v>
      </c>
      <c r="R23" s="77" t="n">
        <v>2867</v>
      </c>
      <c r="S23" s="77" t="n">
        <v>9</v>
      </c>
      <c r="T23" s="39" t="n"/>
    </row>
    <row r="24" ht="62" customHeight="1">
      <c r="A24" s="12">
        <f>_xlfn.IMAGE("https://m.media-amazon.com/images/I/81Mz595QL2L.jpg")</f>
        <v/>
      </c>
      <c r="B24" s="39" t="inlineStr">
        <is>
          <t>B08KQJ3M9N</t>
        </is>
      </c>
      <c r="C24" s="39" t="inlineStr">
        <is>
          <t>BAMBOO-KING-LIGHTGREY</t>
        </is>
      </c>
      <c r="D24" s="39" t="inlineStr">
        <is>
          <t>DECOLURE 100% Organic Bamboo Viscose Sheets King Size 4 pcs - Ultra Soft &amp; Luxuriously Cooling, 16" Deep Pocket, Double Stitching, Perfect for Hot Sleepers - Luxury King Bed Sheets Set (Light Grey)</t>
        </is>
      </c>
      <c r="E24" s="39" t="inlineStr">
        <is>
          <t>King</t>
        </is>
      </c>
      <c r="F24" s="39" t="inlineStr">
        <is>
          <t>Light Grey</t>
        </is>
      </c>
      <c r="G24" s="73" t="n">
        <v>99.98999999999999</v>
      </c>
      <c r="H24" s="39" t="inlineStr">
        <is>
          <t>catalog price (CAD), 2026-10-14</t>
        </is>
      </c>
      <c r="I24" s="74" t="n">
        <v>99.98999999999999</v>
      </c>
      <c r="J24" s="75" t="inlineStr">
        <is>
          <t>2026-03-30</t>
        </is>
      </c>
      <c r="K24" s="40" t="n">
        <v>44.34999999999999</v>
      </c>
      <c r="L24" s="76" t="n">
        <v>0.4435443544354435</v>
      </c>
      <c r="M24" s="77" t="n">
        <v>22</v>
      </c>
      <c r="N24" s="39" t="inlineStr">
        <is>
          <t>Active</t>
        </is>
      </c>
      <c r="O24" s="39" t="n"/>
      <c r="P24" s="78" t="n">
        <v>4.4</v>
      </c>
      <c r="Q24" s="77" t="n">
        <v>5844</v>
      </c>
      <c r="R24" s="77" t="n">
        <v>2867</v>
      </c>
      <c r="S24" s="77" t="n">
        <v>9</v>
      </c>
      <c r="T24" s="39" t="n"/>
    </row>
    <row r="25" ht="62" customHeight="1">
      <c r="A25" s="12">
        <f>_xlfn.IMAGE("https://m.media-amazon.com/images/I/81Jj2qvOarL.jpg")</f>
        <v/>
      </c>
      <c r="B25" s="39" t="inlineStr">
        <is>
          <t>B08KQL6HKG</t>
        </is>
      </c>
      <c r="C25" s="39" t="inlineStr">
        <is>
          <t>BAMBOO-KING-LIGHTBLUE</t>
        </is>
      </c>
      <c r="D25" s="39" t="inlineStr">
        <is>
          <t>DECOLURE 100% Organic Bamboo Viscose Sheets King Size 4 pcs - Ultra Soft &amp; Luxuriously Cooling, 16" Deep Pocket, Double Stitching, Perfect for Hot Sleepers - Luxury King Bed Sheets Set (Light Blue)</t>
        </is>
      </c>
      <c r="E25" s="39" t="inlineStr">
        <is>
          <t>King</t>
        </is>
      </c>
      <c r="F25" s="39" t="inlineStr">
        <is>
          <t>Light Blue</t>
        </is>
      </c>
      <c r="G25" s="73" t="n">
        <v>99.98999999999999</v>
      </c>
      <c r="H25" s="39" t="inlineStr">
        <is>
          <t>catalog price (CAD), 2026-10-14</t>
        </is>
      </c>
      <c r="I25" s="74" t="n">
        <v>99.98999999999999</v>
      </c>
      <c r="J25" s="75" t="inlineStr">
        <is>
          <t>2026-03-30</t>
        </is>
      </c>
      <c r="K25" s="40" t="n">
        <v>45.19</v>
      </c>
      <c r="L25" s="76" t="n">
        <v>0.4519451945194519</v>
      </c>
      <c r="M25" s="77" t="n">
        <v>21</v>
      </c>
      <c r="N25" s="39" t="inlineStr">
        <is>
          <t>Active</t>
        </is>
      </c>
      <c r="O25" s="39" t="n"/>
      <c r="P25" s="78" t="n">
        <v>4.4</v>
      </c>
      <c r="Q25" s="77" t="n">
        <v>5844</v>
      </c>
      <c r="R25" s="77" t="n">
        <v>2867</v>
      </c>
      <c r="S25" s="77" t="n">
        <v>6</v>
      </c>
      <c r="T25" s="39" t="n"/>
    </row>
    <row r="26" ht="62" customHeight="1">
      <c r="A26" s="12">
        <f>_xlfn.IMAGE("https://m.media-amazon.com/images/I/81xihWts51L.jpg")</f>
        <v/>
      </c>
      <c r="B26" s="39" t="inlineStr">
        <is>
          <t>B08KQJRSW6</t>
        </is>
      </c>
      <c r="C26" s="39" t="inlineStr">
        <is>
          <t>BAMBOO-QUEEN-OLIVE</t>
        </is>
      </c>
      <c r="D26" s="39" t="inlineStr">
        <is>
          <t>DECOLURE 100% Organic Bamboo Viscose Sheets Queen Size 4 pcs - Ultra Soft &amp; Luxuriously Cooling, 16" Deep Pocket, Double Stitching, Perfect for Hot Sleepers - Luxury Queen Bed Sheets Set (Olive)</t>
        </is>
      </c>
      <c r="E26" s="39" t="inlineStr">
        <is>
          <t>Queen</t>
        </is>
      </c>
      <c r="F26" s="39" t="inlineStr">
        <is>
          <t>Olive</t>
        </is>
      </c>
      <c r="G26" s="73" t="n">
        <v>99.98999999999999</v>
      </c>
      <c r="H26" s="39" t="inlineStr">
        <is>
          <t>catalog price (CAD), 2026-10-14</t>
        </is>
      </c>
      <c r="I26" s="74" t="n">
        <v>99.98999999999999</v>
      </c>
      <c r="J26" s="75" t="inlineStr">
        <is>
          <t>2026-03-30</t>
        </is>
      </c>
      <c r="K26" s="40" t="n">
        <v>49.30999999999999</v>
      </c>
      <c r="L26" s="76" t="n">
        <v>0.493149314931493</v>
      </c>
      <c r="M26" s="77" t="n">
        <v>21</v>
      </c>
      <c r="N26" s="39" t="inlineStr">
        <is>
          <t>Active</t>
        </is>
      </c>
      <c r="O26" s="39" t="n"/>
      <c r="P26" s="78" t="n">
        <v>4.4</v>
      </c>
      <c r="Q26" s="77" t="n">
        <v>5844</v>
      </c>
      <c r="R26" s="77" t="n">
        <v>2867</v>
      </c>
      <c r="S26" s="77" t="n">
        <v>6</v>
      </c>
      <c r="T26" s="39" t="n"/>
    </row>
    <row r="27" ht="62" customHeight="1">
      <c r="A27" s="12">
        <f>_xlfn.IMAGE("https://m.media-amazon.com/images/I/81wmkV-8ExL.jpg")</f>
        <v/>
      </c>
      <c r="B27" s="39" t="inlineStr">
        <is>
          <t>B08KQJQ3C2</t>
        </is>
      </c>
      <c r="C27" s="39" t="inlineStr">
        <is>
          <t>BAMBOO-KING-GREY</t>
        </is>
      </c>
      <c r="D27" s="39" t="inlineStr">
        <is>
          <t>DECOLURE 100% Organic Bamboo Viscose Sheets King Size 4 pcs - Ultra Soft &amp; Luxuriously Cooling, 16" Deep Pocket, Double Stitching, Perfect for Hot Sleepers - Luxury King Bed Sheets Set (Grey)</t>
        </is>
      </c>
      <c r="E27" s="39" t="inlineStr">
        <is>
          <t>King</t>
        </is>
      </c>
      <c r="F27" s="39" t="inlineStr">
        <is>
          <t>Grey</t>
        </is>
      </c>
      <c r="G27" s="73" t="n">
        <v>99.98999999999999</v>
      </c>
      <c r="H27" s="39" t="inlineStr">
        <is>
          <t>catalog price (CAD), 2026-10-14</t>
        </is>
      </c>
      <c r="I27" s="74" t="n">
        <v>113.86</v>
      </c>
      <c r="J27" s="75" t="inlineStr">
        <is>
          <t>2026-03-30</t>
        </is>
      </c>
      <c r="K27" s="40" t="n">
        <v>50.98999999999999</v>
      </c>
      <c r="L27" s="76" t="n">
        <v>0.4478306692429299</v>
      </c>
      <c r="M27" s="77" t="n">
        <v>19</v>
      </c>
      <c r="N27" s="39" t="inlineStr">
        <is>
          <t>Active</t>
        </is>
      </c>
      <c r="O27" s="39" t="n"/>
      <c r="P27" s="78" t="n">
        <v>4.4</v>
      </c>
      <c r="Q27" s="77" t="n">
        <v>5844</v>
      </c>
      <c r="R27" s="77" t="n">
        <v>2867</v>
      </c>
      <c r="S27" s="77" t="n">
        <v>136</v>
      </c>
      <c r="T27" s="39" t="n"/>
    </row>
    <row r="28" ht="62" customHeight="1">
      <c r="A28" s="12">
        <f>_xlfn.IMAGE("https://m.media-amazon.com/images/I/81mgYawt2DL.jpg")</f>
        <v/>
      </c>
      <c r="B28" s="39" t="inlineStr">
        <is>
          <t>B0BZPYZ1XY</t>
        </is>
      </c>
      <c r="C28" s="39" t="inlineStr">
        <is>
          <t>BAMBOO-FULL-BLACK</t>
        </is>
      </c>
      <c r="D28" s="39" t="inlineStr">
        <is>
          <t>DECOLURE 100% Organic Bamboo Viscose Sheets Full Size 4 pcs - Ultra Soft &amp; Luxuriously Cooling, 16" Deep Pocket, Double Stitching, Perfect for Hot Sleepers - Luxury Full Bed Sheets Set (Black)</t>
        </is>
      </c>
      <c r="E28" s="39" t="inlineStr">
        <is>
          <t>Full</t>
        </is>
      </c>
      <c r="F28" s="39" t="inlineStr">
        <is>
          <t>Black</t>
        </is>
      </c>
      <c r="G28" s="73" t="n">
        <v>79.98999999999999</v>
      </c>
      <c r="H28" s="39" t="inlineStr">
        <is>
          <t>catalog price (CAD), 2026-10-14</t>
        </is>
      </c>
      <c r="I28" s="74" t="n">
        <v>79.98999999999999</v>
      </c>
      <c r="J28" s="75" t="inlineStr">
        <is>
          <t>2026-03-30</t>
        </is>
      </c>
      <c r="K28" s="40" t="n">
        <v>33.75999999999999</v>
      </c>
      <c r="L28" s="76" t="n">
        <v>0.4220527565945743</v>
      </c>
      <c r="M28" s="77" t="n">
        <v>15</v>
      </c>
      <c r="N28" s="39" t="inlineStr">
        <is>
          <t>Active</t>
        </is>
      </c>
      <c r="O28" s="39" t="n"/>
      <c r="P28" s="78" t="n">
        <v>4.4</v>
      </c>
      <c r="Q28" s="77" t="n">
        <v>5844</v>
      </c>
      <c r="R28" s="77" t="n">
        <v>2867</v>
      </c>
      <c r="S28" s="77" t="n">
        <v>16</v>
      </c>
      <c r="T28" s="39" t="n"/>
    </row>
    <row r="29" ht="62" customHeight="1">
      <c r="A29" s="12">
        <f>_xlfn.IMAGE("https://m.media-amazon.com/images/I/81aBlh93veL.jpg")</f>
        <v/>
      </c>
      <c r="B29" s="39" t="inlineStr">
        <is>
          <t>B0BZQ18QJB</t>
        </is>
      </c>
      <c r="C29" s="39" t="inlineStr">
        <is>
          <t>BAMBOO-QUEEN-MIDGREY</t>
        </is>
      </c>
      <c r="D29" s="39" t="inlineStr">
        <is>
          <t>DECOLURE 100% Organic Bamboo Viscose Sheets Queen Size 4 pcs - Ultra Soft &amp; Luxuriously Cooling, 16" Deep Pocket, Double Stitching, Perfect for Hot Sleepers - Luxury Queen Bed Sheets Set (Midgrey)</t>
        </is>
      </c>
      <c r="E29" s="39" t="inlineStr">
        <is>
          <t>Queen</t>
        </is>
      </c>
      <c r="F29" s="39" t="inlineStr">
        <is>
          <t>Midgrey</t>
        </is>
      </c>
      <c r="G29" s="73" t="n">
        <v>99.98999999999999</v>
      </c>
      <c r="H29" s="39" t="inlineStr">
        <is>
          <t>catalog price (CAD), 2026-10-14</t>
        </is>
      </c>
      <c r="I29" s="74" t="n">
        <v>99.98999999999999</v>
      </c>
      <c r="J29" s="75" t="inlineStr">
        <is>
          <t>2026-03-30</t>
        </is>
      </c>
      <c r="K29" s="40" t="n">
        <v>49.42999999999999</v>
      </c>
      <c r="L29" s="76" t="n">
        <v>0.4943494349434943</v>
      </c>
      <c r="M29" s="77" t="n">
        <v>14</v>
      </c>
      <c r="N29" s="39" t="inlineStr">
        <is>
          <t>Active</t>
        </is>
      </c>
      <c r="O29" s="39" t="n"/>
      <c r="P29" s="78" t="n">
        <v>4.4</v>
      </c>
      <c r="Q29" s="77" t="n">
        <v>5844</v>
      </c>
      <c r="R29" s="77" t="n">
        <v>2867</v>
      </c>
      <c r="S29" s="77" t="n">
        <v>9</v>
      </c>
      <c r="T29" s="39" t="n"/>
    </row>
    <row r="30" ht="62" customHeight="1">
      <c r="A30" s="12">
        <f>_xlfn.IMAGE("https://m.media-amazon.com/images/I/81Jj2qvOarL.jpg")</f>
        <v/>
      </c>
      <c r="B30" s="39" t="inlineStr">
        <is>
          <t>B08KQKXQLS</t>
        </is>
      </c>
      <c r="C30" s="39" t="inlineStr">
        <is>
          <t>BAMBOO-QUEEN-LIGHTBLUE</t>
        </is>
      </c>
      <c r="D30" s="39" t="inlineStr">
        <is>
          <t>DECOLURE 100% Organic Bamboo Viscose Sheets Queen Size 4 pcs - Ultra Soft &amp; Luxuriously Cooling, 16" Deep Pocket, Double Stitching,Perfect for Hot Sleepers - Luxury Queen Bed Sheets Set (Light Blue)</t>
        </is>
      </c>
      <c r="E30" s="39" t="inlineStr">
        <is>
          <t>Queen</t>
        </is>
      </c>
      <c r="F30" s="39" t="inlineStr">
        <is>
          <t>Light Blue</t>
        </is>
      </c>
      <c r="G30" s="73" t="n">
        <v>99.98999999999999</v>
      </c>
      <c r="H30" s="39" t="inlineStr">
        <is>
          <t>catalog price (CAD), 2026-10-14</t>
        </is>
      </c>
      <c r="I30" s="74" t="n">
        <v>99.98999999999999</v>
      </c>
      <c r="J30" s="75" t="inlineStr">
        <is>
          <t>2026-03-30</t>
        </is>
      </c>
      <c r="K30" s="40" t="n">
        <v>48.67999999999999</v>
      </c>
      <c r="L30" s="76" t="n">
        <v>0.4868486848684868</v>
      </c>
      <c r="M30" s="77" t="n">
        <v>13</v>
      </c>
      <c r="N30" s="39" t="inlineStr">
        <is>
          <t>Active</t>
        </is>
      </c>
      <c r="O30" s="39" t="n"/>
      <c r="P30" s="78" t="n">
        <v>4.4</v>
      </c>
      <c r="Q30" s="77" t="n">
        <v>5844</v>
      </c>
      <c r="R30" s="77" t="n">
        <v>2867</v>
      </c>
      <c r="S30" s="77" t="n">
        <v>7</v>
      </c>
      <c r="T30" s="39" t="n"/>
    </row>
    <row r="31" ht="62" customHeight="1">
      <c r="A31" s="12">
        <f>_xlfn.IMAGE("https://m.media-amazon.com/images/I/81jtUZ9WZqL.jpg")</f>
        <v/>
      </c>
      <c r="B31" s="39" t="inlineStr">
        <is>
          <t>B08KQJ62YC</t>
        </is>
      </c>
      <c r="C31" s="39" t="inlineStr">
        <is>
          <t>BAMBOO-KING-CREME</t>
        </is>
      </c>
      <c r="D31" s="39" t="inlineStr">
        <is>
          <t>DECOLURE 100% Organic Bamboo Viscose Sheets King Size 4 pcs - Ultra Soft &amp; Luxuriously Cooling, 16" Deep Pocket, Double Stitching, Perfect for Hot Sleepers - Luxury King Bed Sheets Set (Creme)</t>
        </is>
      </c>
      <c r="E31" s="39" t="inlineStr">
        <is>
          <t>King</t>
        </is>
      </c>
      <c r="F31" s="39" t="inlineStr">
        <is>
          <t>Creme</t>
        </is>
      </c>
      <c r="G31" s="73" t="n">
        <v>99.98999999999999</v>
      </c>
      <c r="H31" s="39" t="inlineStr">
        <is>
          <t>catalog price (CAD), 2026-10-14</t>
        </is>
      </c>
      <c r="I31" s="74" t="n">
        <v>99.98999999999999</v>
      </c>
      <c r="J31" s="75" t="inlineStr">
        <is>
          <t>2026-03-30</t>
        </is>
      </c>
      <c r="K31" s="40" t="n">
        <v>44.83</v>
      </c>
      <c r="L31" s="76" t="n">
        <v>0.4483448344834484</v>
      </c>
      <c r="M31" s="77" t="n">
        <v>12</v>
      </c>
      <c r="N31" s="39" t="inlineStr">
        <is>
          <t>Active</t>
        </is>
      </c>
      <c r="O31" s="39" t="n"/>
      <c r="P31" s="78" t="n">
        <v>4.4</v>
      </c>
      <c r="Q31" s="77" t="n">
        <v>5844</v>
      </c>
      <c r="R31" s="77" t="n">
        <v>2867</v>
      </c>
      <c r="S31" s="77" t="n">
        <v>6</v>
      </c>
      <c r="T31" s="39" t="n"/>
    </row>
    <row r="32" ht="62" customHeight="1">
      <c r="A32" s="12">
        <f>_xlfn.IMAGE("https://m.media-amazon.com/images/I/81LPiN50m6L.jpg")</f>
        <v/>
      </c>
      <c r="B32" s="39" t="inlineStr">
        <is>
          <t>B0BZQ3ZGNG</t>
        </is>
      </c>
      <c r="C32" s="39" t="inlineStr">
        <is>
          <t>BAMBOO-QUEEN-PURPLE</t>
        </is>
      </c>
      <c r="D32" s="39" t="inlineStr">
        <is>
          <t>DECOLURE 100% Organic Bamboo Viscose Sheets Queen Size 4 pcs - Ultra Soft &amp; Luxuriously Cooling, 16" Deep Pocket, Double Stitching, Perfect for Hot Sleepers - Luxury Queen Bed Sheets Set (Purple)</t>
        </is>
      </c>
      <c r="E32" s="39" t="inlineStr">
        <is>
          <t>Queen</t>
        </is>
      </c>
      <c r="F32" s="39" t="inlineStr">
        <is>
          <t>Purple</t>
        </is>
      </c>
      <c r="G32" s="73" t="n">
        <v>99.98999999999999</v>
      </c>
      <c r="H32" s="39" t="inlineStr">
        <is>
          <t>catalog price (CAD), 2026-10-14</t>
        </is>
      </c>
      <c r="I32" s="74" t="n">
        <v>99.98999999999999</v>
      </c>
      <c r="J32" s="75" t="inlineStr">
        <is>
          <t>2026-03-30</t>
        </is>
      </c>
      <c r="K32" s="40" t="n">
        <v>49.12</v>
      </c>
      <c r="L32" s="76" t="n">
        <v>0.4912491249124913</v>
      </c>
      <c r="M32" s="77" t="n">
        <v>11</v>
      </c>
      <c r="N32" s="39" t="inlineStr">
        <is>
          <t>Active</t>
        </is>
      </c>
      <c r="O32" s="39" t="n"/>
      <c r="P32" s="78" t="n">
        <v>4.4</v>
      </c>
      <c r="Q32" s="77" t="n">
        <v>5844</v>
      </c>
      <c r="R32" s="77" t="n">
        <v>2867</v>
      </c>
      <c r="S32" s="77" t="n">
        <v>6</v>
      </c>
      <c r="T32" s="39" t="n"/>
    </row>
    <row r="33" ht="62" customHeight="1">
      <c r="A33" s="12">
        <f>_xlfn.IMAGE("https://m.media-amazon.com/images/I/81Dxp2jtVQL.jpg")</f>
        <v/>
      </c>
      <c r="B33" s="39" t="inlineStr">
        <is>
          <t>B08KQJRL41</t>
        </is>
      </c>
      <c r="C33" s="39" t="inlineStr">
        <is>
          <t>BAMBOO-TWIN-NAVYBLUE</t>
        </is>
      </c>
      <c r="D33" s="39" t="inlineStr">
        <is>
          <t>DECOLURE 100% Organic Bamboo Viscose Sheets Twin Size 3 pcs - Ultra Soft &amp; Luxuriously Cooling, 16" Deep Pocket, Double Stitching, Perfect for Hot Sleepers - Luxury Twin Bed Sheets Set (Navy Blue)</t>
        </is>
      </c>
      <c r="E33" s="39" t="inlineStr">
        <is>
          <t>Twin</t>
        </is>
      </c>
      <c r="F33" s="39" t="inlineStr">
        <is>
          <t>Navy Blue</t>
        </is>
      </c>
      <c r="G33" s="73" t="n">
        <v>79.98999999999999</v>
      </c>
      <c r="H33" s="39" t="inlineStr">
        <is>
          <t>catalog price (CAD), 2026-10-14</t>
        </is>
      </c>
      <c r="I33" s="74" t="n">
        <v>79.98999999999999</v>
      </c>
      <c r="J33" s="75" t="inlineStr">
        <is>
          <t>2026-03-30</t>
        </is>
      </c>
      <c r="K33" s="40" t="n">
        <v>40.03999999999999</v>
      </c>
      <c r="L33" s="76" t="n">
        <v>0.5005625703212901</v>
      </c>
      <c r="M33" s="77" t="n">
        <v>10</v>
      </c>
      <c r="N33" s="39" t="inlineStr">
        <is>
          <t>Active</t>
        </is>
      </c>
      <c r="O33" s="39" t="n"/>
      <c r="P33" s="78" t="n">
        <v>4.4</v>
      </c>
      <c r="Q33" s="77" t="n">
        <v>5844</v>
      </c>
      <c r="R33" s="77" t="n">
        <v>2867</v>
      </c>
      <c r="S33" s="77" t="n">
        <v>13</v>
      </c>
      <c r="T33" s="39" t="n"/>
    </row>
    <row r="34" ht="62" customHeight="1">
      <c r="A34" s="12">
        <f>_xlfn.IMAGE("https://m.media-amazon.com/images/I/81hxPp-zxnL.jpg")</f>
        <v/>
      </c>
      <c r="B34" s="39" t="inlineStr">
        <is>
          <t>B0CLK9QXX3</t>
        </is>
      </c>
      <c r="C34" s="39" t="inlineStr">
        <is>
          <t>BAMBOO-KING-LIGHT PINK</t>
        </is>
      </c>
      <c r="D34" s="39" t="inlineStr">
        <is>
          <t>DECOLURE 100% Organic Viscose Derived from Bamboo Sheets King Size 4pcs - Ultra Soft &amp; Luxuriously Cooling, 17" Deep Pocket, Double Stitching, Perfect for Hot Sleepers - King Bed Sheets (Light Pink)</t>
        </is>
      </c>
      <c r="E34" s="39" t="inlineStr">
        <is>
          <t>King</t>
        </is>
      </c>
      <c r="F34" s="39" t="inlineStr">
        <is>
          <t>Light Pink</t>
        </is>
      </c>
      <c r="G34" s="73" t="n">
        <v>99.98999999999999</v>
      </c>
      <c r="H34" s="39" t="inlineStr">
        <is>
          <t>catalog price (CAD), 2026-10-14</t>
        </is>
      </c>
      <c r="I34" s="74" t="n">
        <v>99.98999999999999</v>
      </c>
      <c r="J34" s="75" t="inlineStr">
        <is>
          <t>2026-03-30</t>
        </is>
      </c>
      <c r="K34" s="40" t="n">
        <v>43.71999999999998</v>
      </c>
      <c r="L34" s="76" t="n">
        <v>0.4372437243724371</v>
      </c>
      <c r="M34" s="77" t="n">
        <v>9</v>
      </c>
      <c r="N34" s="39" t="inlineStr">
        <is>
          <t>Active</t>
        </is>
      </c>
      <c r="O34" s="39" t="n"/>
      <c r="P34" s="78" t="n">
        <v>4.4</v>
      </c>
      <c r="Q34" s="77" t="n">
        <v>5844</v>
      </c>
      <c r="R34" s="77" t="n">
        <v>2867</v>
      </c>
      <c r="S34" s="77" t="n">
        <v>6</v>
      </c>
      <c r="T34" s="39" t="n"/>
    </row>
    <row r="35" ht="62" customHeight="1">
      <c r="A35" s="12">
        <f>_xlfn.IMAGE("https://m.media-amazon.com/images/I/81T+gwobemL.jpg")</f>
        <v/>
      </c>
      <c r="B35" s="39" t="inlineStr">
        <is>
          <t>B0CLKJL9KD</t>
        </is>
      </c>
      <c r="C35" s="39" t="inlineStr">
        <is>
          <t>BAMBOO-QUEEN-SAGE GREEN</t>
        </is>
      </c>
      <c r="D35" s="39" t="inlineStr">
        <is>
          <t>DECOLURE 100% Organic Viscose Derived from Bamboo Sheets Queen Size 4pcs - Ultra Soft &amp; Luxuriously Cooling, 17" Deep Pocket, Double Stitching, Perfect for Hot Sleepers - Queen Bed Sheets (Sage Green)</t>
        </is>
      </c>
      <c r="E35" s="39" t="inlineStr">
        <is>
          <t>Queen</t>
        </is>
      </c>
      <c r="F35" s="39" t="inlineStr">
        <is>
          <t>Sage Green</t>
        </is>
      </c>
      <c r="G35" s="40" t="n"/>
      <c r="H35" s="39" t="n"/>
      <c r="I35" s="74" t="n">
        <v>99.98999999999999</v>
      </c>
      <c r="J35" s="75" t="inlineStr">
        <is>
          <t>2026-03-22</t>
        </is>
      </c>
      <c r="K35" s="40" t="n">
        <v>49.34999999999999</v>
      </c>
      <c r="L35" s="76" t="n">
        <v>0.4935493549354935</v>
      </c>
      <c r="M35" s="77" t="n">
        <v>9</v>
      </c>
      <c r="N35" s="39" t="inlineStr">
        <is>
          <t>Active</t>
        </is>
      </c>
      <c r="O35" s="39" t="n"/>
      <c r="P35" s="78" t="n"/>
      <c r="Q35" s="77" t="n"/>
      <c r="R35" s="77" t="n"/>
      <c r="S35" s="77" t="n"/>
      <c r="T35" s="39" t="n"/>
    </row>
    <row r="36" ht="62" customHeight="1">
      <c r="A36" s="12">
        <f>_xlfn.IMAGE("https://m.media-amazon.com/images/I/81jAmePDWeL.jpg")</f>
        <v/>
      </c>
      <c r="B36" s="39" t="inlineStr">
        <is>
          <t>B0BZPZPGDC</t>
        </is>
      </c>
      <c r="C36" s="39" t="inlineStr">
        <is>
          <t>BAMBOO-FULL-LIGHTOLIVE</t>
        </is>
      </c>
      <c r="D36" s="39" t="inlineStr">
        <is>
          <t>DECOLURE 100% Organic Bamboo Viscose Sheets Full Size 4 pcs - Ultra Soft &amp; Luxuriously Cooling, 16" Deep Pocket, Double Stitching,Perfect for Hot Sleepers - Luxury Full Bed Sheets Set (Light Olive)</t>
        </is>
      </c>
      <c r="E36" s="39" t="inlineStr">
        <is>
          <t>Full</t>
        </is>
      </c>
      <c r="F36" s="39" t="inlineStr">
        <is>
          <t>Light Olive</t>
        </is>
      </c>
      <c r="G36" s="73" t="n">
        <v>79.98999999999999</v>
      </c>
      <c r="H36" s="39" t="inlineStr">
        <is>
          <t>catalog price (CAD), 2026-10-14</t>
        </is>
      </c>
      <c r="I36" s="74" t="n">
        <v>93.01000000000001</v>
      </c>
      <c r="J36" s="75" t="inlineStr">
        <is>
          <t>2026-03-30</t>
        </is>
      </c>
      <c r="K36" s="40" t="n">
        <v>39.43</v>
      </c>
      <c r="L36" s="76" t="n">
        <v>0.4239329104397376</v>
      </c>
      <c r="M36" s="77" t="n">
        <v>8</v>
      </c>
      <c r="N36" s="39" t="inlineStr">
        <is>
          <t>Active</t>
        </is>
      </c>
      <c r="O36" s="39" t="n"/>
      <c r="P36" s="78" t="n">
        <v>4.4</v>
      </c>
      <c r="Q36" s="77" t="n">
        <v>5844</v>
      </c>
      <c r="R36" s="77" t="n">
        <v>2867</v>
      </c>
      <c r="S36" s="77" t="n">
        <v>12</v>
      </c>
      <c r="T36" s="39" t="n"/>
    </row>
    <row r="37" ht="62" customHeight="1">
      <c r="A37" s="12">
        <f>_xlfn.IMAGE("https://m.media-amazon.com/images/I/81LPiN50m6L.jpg")</f>
        <v/>
      </c>
      <c r="B37" s="39" t="inlineStr">
        <is>
          <t>B0BZPY4PXY</t>
        </is>
      </c>
      <c r="C37" s="39" t="inlineStr">
        <is>
          <t>BAMBOO-FULL-PURPLE</t>
        </is>
      </c>
      <c r="D37" s="39" t="inlineStr">
        <is>
          <t>DECOLURE 100% Organic Bamboo Viscose Sheets Full Size 4 pcs - Ultra Soft &amp; Luxuriously Cooling, 16" Deep Pocket, Double Stitching, Perfect for Hot Sleepers - Luxury Full Bed Sheets Set (Purple)</t>
        </is>
      </c>
      <c r="E37" s="39" t="inlineStr">
        <is>
          <t>Full</t>
        </is>
      </c>
      <c r="F37" s="39" t="inlineStr">
        <is>
          <t>Purple</t>
        </is>
      </c>
      <c r="G37" s="73" t="n">
        <v>79.98999999999999</v>
      </c>
      <c r="H37" s="39" t="inlineStr">
        <is>
          <t>catalog price (CAD), 2026-10-14</t>
        </is>
      </c>
      <c r="I37" s="74" t="n">
        <v>79.98999999999999</v>
      </c>
      <c r="J37" s="75" t="inlineStr">
        <is>
          <t>2026-03-30</t>
        </is>
      </c>
      <c r="K37" s="40" t="n">
        <v>34.45</v>
      </c>
      <c r="L37" s="76" t="n">
        <v>0.4306788348543568</v>
      </c>
      <c r="M37" s="77" t="n">
        <v>8</v>
      </c>
      <c r="N37" s="39" t="inlineStr">
        <is>
          <t>Active</t>
        </is>
      </c>
      <c r="O37" s="39" t="n"/>
      <c r="P37" s="78" t="n">
        <v>4.4</v>
      </c>
      <c r="Q37" s="77" t="n">
        <v>5844</v>
      </c>
      <c r="R37" s="77" t="n">
        <v>2867</v>
      </c>
      <c r="S37" s="77" t="n">
        <v>12</v>
      </c>
      <c r="T37" s="39" t="n"/>
    </row>
    <row r="38" ht="62" customHeight="1">
      <c r="A38" s="12">
        <f>_xlfn.IMAGE("https://m.media-amazon.com/images/I/81T+gwobemL.jpg")</f>
        <v/>
      </c>
      <c r="B38" s="39" t="inlineStr">
        <is>
          <t>B0CLKFLJMZ</t>
        </is>
      </c>
      <c r="C38" s="39" t="inlineStr">
        <is>
          <t>BAMBOO-FULL-SAGE GREEN</t>
        </is>
      </c>
      <c r="D38" s="39" t="inlineStr">
        <is>
          <t>DECOLURE 100% Organic Viscose Derived from Bamboo Sheets Full Size 4pcs - Ultra Soft &amp; Luxuriously Cooling, 17" Deep Pocket, Double Stitching, Perfect for Hot Sleepers - Full Bed Sheets (Sage Green)</t>
        </is>
      </c>
      <c r="E38" s="39" t="inlineStr">
        <is>
          <t>Full</t>
        </is>
      </c>
      <c r="F38" s="39" t="inlineStr">
        <is>
          <t>Sage Green</t>
        </is>
      </c>
      <c r="G38" s="73" t="n">
        <v>79.98999999999999</v>
      </c>
      <c r="H38" s="39" t="inlineStr">
        <is>
          <t>catalog price (CAD), 2026-10-14</t>
        </is>
      </c>
      <c r="I38" s="74" t="n">
        <v>92.81999999999999</v>
      </c>
      <c r="J38" s="75" t="inlineStr">
        <is>
          <t>2026-03-30</t>
        </is>
      </c>
      <c r="K38" s="40" t="n">
        <v>38.87</v>
      </c>
      <c r="L38" s="76" t="n">
        <v>0.4187675070028011</v>
      </c>
      <c r="M38" s="77" t="n">
        <v>8</v>
      </c>
      <c r="N38" s="39" t="inlineStr">
        <is>
          <t>Active</t>
        </is>
      </c>
      <c r="O38" s="39" t="n"/>
      <c r="P38" s="78" t="n">
        <v>4.4</v>
      </c>
      <c r="Q38" s="77" t="n">
        <v>5844</v>
      </c>
      <c r="R38" s="77" t="n">
        <v>2843</v>
      </c>
      <c r="S38" s="77" t="n">
        <v>11</v>
      </c>
      <c r="T38" s="39" t="n"/>
    </row>
    <row r="39" ht="62" customHeight="1">
      <c r="A39" s="12">
        <f>_xlfn.IMAGE("https://m.media-amazon.com/images/I/81kW25KnIDL.jpg")</f>
        <v/>
      </c>
      <c r="B39" s="39" t="inlineStr">
        <is>
          <t>B0CRHYYVZQ</t>
        </is>
      </c>
      <c r="C39" s="39" t="inlineStr">
        <is>
          <t>BAMBOO-KING-BURGUNDY-NEW</t>
        </is>
      </c>
      <c r="D39" s="39" t="inlineStr">
        <is>
          <t>DECOLURE 100% Organic Viscose Derived from Bamboo Sheets King Size 4pcs - Ultra Soft &amp; Luxuriously Cooling, 17" Deep Pocket, Double Stitching, Perfect for Hot Sleepers - King Bed Sheets (Burgundy)</t>
        </is>
      </c>
      <c r="E39" s="39" t="inlineStr">
        <is>
          <t>King</t>
        </is>
      </c>
      <c r="F39" s="39" t="inlineStr">
        <is>
          <t>Burgundy</t>
        </is>
      </c>
      <c r="G39" s="73" t="n">
        <v>99.98999999999999</v>
      </c>
      <c r="H39" s="39" t="inlineStr">
        <is>
          <t>catalog price (CAD), 2026-10-14</t>
        </is>
      </c>
      <c r="I39" s="74" t="n">
        <v>99.98999999999999</v>
      </c>
      <c r="J39" s="75" t="inlineStr">
        <is>
          <t>2026-03-30</t>
        </is>
      </c>
      <c r="K39" s="40" t="n">
        <v>44.11</v>
      </c>
      <c r="L39" s="76" t="n">
        <v>0.4411441144114411</v>
      </c>
      <c r="M39" s="77" t="n">
        <v>8</v>
      </c>
      <c r="N39" s="39" t="inlineStr">
        <is>
          <t>Active</t>
        </is>
      </c>
      <c r="O39" s="39" t="n"/>
      <c r="P39" s="78" t="n">
        <v>4.4</v>
      </c>
      <c r="Q39" s="77" t="n">
        <v>5844</v>
      </c>
      <c r="R39" s="77" t="n">
        <v>2867</v>
      </c>
      <c r="S39" s="77" t="n">
        <v>6</v>
      </c>
      <c r="T39" s="39" t="n"/>
    </row>
    <row r="40" ht="62" customHeight="1">
      <c r="A40" s="12">
        <f>_xlfn.IMAGE("https://m.media-amazon.com/images/I/81jtUZ9WZqL.jpg")</f>
        <v/>
      </c>
      <c r="B40" s="39" t="inlineStr">
        <is>
          <t>B08KQK91X7</t>
        </is>
      </c>
      <c r="C40" s="39" t="inlineStr">
        <is>
          <t>BAMBOO-QUEEN-CREME</t>
        </is>
      </c>
      <c r="D40" s="39" t="inlineStr">
        <is>
          <t>DECOLURE 100% Organic Bamboo Viscose Sheets Queen Size 4 pcs - Ultra Soft &amp; Luxuriously Cooling, 16" Deep Pocket, Double Stitching, Perfect for Hot Sleepers - Luxury Queen Bed Sheets Set (Creme)</t>
        </is>
      </c>
      <c r="E40" s="39" t="inlineStr">
        <is>
          <t>Queen</t>
        </is>
      </c>
      <c r="F40" s="39" t="inlineStr">
        <is>
          <t>Creme</t>
        </is>
      </c>
      <c r="G40" s="73" t="n">
        <v>99.98999999999999</v>
      </c>
      <c r="H40" s="39" t="inlineStr">
        <is>
          <t>catalog price (CAD), 2026-10-14</t>
        </is>
      </c>
      <c r="I40" s="74" t="n">
        <v>99.98999999999999</v>
      </c>
      <c r="J40" s="75" t="inlineStr">
        <is>
          <t>2026-03-30</t>
        </is>
      </c>
      <c r="K40" s="40" t="n">
        <v>49.35999999999999</v>
      </c>
      <c r="L40" s="76" t="n">
        <v>0.4936493649364935</v>
      </c>
      <c r="M40" s="77" t="n">
        <v>8</v>
      </c>
      <c r="N40" s="39" t="inlineStr">
        <is>
          <t>Active</t>
        </is>
      </c>
      <c r="O40" s="39" t="n"/>
      <c r="P40" s="78" t="n">
        <v>4.4</v>
      </c>
      <c r="Q40" s="77" t="n">
        <v>5844</v>
      </c>
      <c r="R40" s="77" t="n">
        <v>2867</v>
      </c>
      <c r="S40" s="77" t="n">
        <v>6</v>
      </c>
      <c r="T40" s="39" t="n"/>
    </row>
    <row r="41" ht="62" customHeight="1">
      <c r="A41" s="12">
        <f>_xlfn.IMAGE("https://m.media-amazon.com/images/I/81Mz595QL2L.jpg")</f>
        <v/>
      </c>
      <c r="B41" s="39" t="inlineStr">
        <is>
          <t>B08KQJDSVC</t>
        </is>
      </c>
      <c r="C41" s="39" t="inlineStr">
        <is>
          <t>BAMBOO-QUEEN-LIGHTGREY</t>
        </is>
      </c>
      <c r="D41" s="39" t="inlineStr">
        <is>
          <t>DECOLURE 100% Organic Bamboo Viscose Sheets Queen Size 4 pcs - Ultra Soft &amp; Luxuriously Cooling, 16" Deep Pocket, Double Stitching,Perfect for Hot Sleepers - Luxury Queen Bed Sheets Set (Light Grey)</t>
        </is>
      </c>
      <c r="E41" s="39" t="inlineStr">
        <is>
          <t>Queen</t>
        </is>
      </c>
      <c r="F41" s="39" t="inlineStr">
        <is>
          <t>Light Grey</t>
        </is>
      </c>
      <c r="G41" s="73" t="n">
        <v>99.98999999999999</v>
      </c>
      <c r="H41" s="39" t="inlineStr">
        <is>
          <t>catalog price (CAD), 2026-10-14</t>
        </is>
      </c>
      <c r="I41" s="74" t="n">
        <v>99.98999999999999</v>
      </c>
      <c r="J41" s="75" t="inlineStr">
        <is>
          <t>2026-03-30</t>
        </is>
      </c>
      <c r="K41" s="40" t="n">
        <v>49.29</v>
      </c>
      <c r="L41" s="76" t="n">
        <v>0.4929492949294929</v>
      </c>
      <c r="M41" s="77" t="n">
        <v>8</v>
      </c>
      <c r="N41" s="39" t="inlineStr">
        <is>
          <t>Active</t>
        </is>
      </c>
      <c r="O41" s="39" t="n"/>
      <c r="P41" s="78" t="n">
        <v>4.4</v>
      </c>
      <c r="Q41" s="77" t="n">
        <v>5844</v>
      </c>
      <c r="R41" s="77" t="n">
        <v>2867</v>
      </c>
      <c r="S41" s="77" t="n">
        <v>8</v>
      </c>
      <c r="T41" s="39" t="n"/>
    </row>
    <row r="42" ht="62" customHeight="1">
      <c r="A42" s="12">
        <f>_xlfn.IMAGE("https://m.media-amazon.com/images/I/81hxPp-zxnL.jpg")</f>
        <v/>
      </c>
      <c r="B42" s="39" t="inlineStr">
        <is>
          <t>B0CLKCT674</t>
        </is>
      </c>
      <c r="C42" s="39" t="inlineStr">
        <is>
          <t>BAMBOO-QUEEN-LIGHT PINK</t>
        </is>
      </c>
      <c r="D42" s="39" t="inlineStr">
        <is>
          <t>DECOLURE 100% Organic Viscose Derived from Bamboo Sheets Queen Size 4pcs - Ultra Soft &amp; Luxuriously Cooling, 17" Deep Pocket, Double Stitching, Perfect for Hot Sleepers - Queen Bed Sheets (Light Pink)</t>
        </is>
      </c>
      <c r="E42" s="39" t="inlineStr">
        <is>
          <t>Queen</t>
        </is>
      </c>
      <c r="F42" s="39" t="inlineStr">
        <is>
          <t>Light Pink</t>
        </is>
      </c>
      <c r="G42" s="73" t="n">
        <v>99.98999999999999</v>
      </c>
      <c r="H42" s="39" t="inlineStr">
        <is>
          <t>catalog price (CAD), 2026-10-14</t>
        </is>
      </c>
      <c r="I42" s="74" t="n">
        <v>99.98999999999999</v>
      </c>
      <c r="J42" s="75" t="inlineStr">
        <is>
          <t>2026-03-30</t>
        </is>
      </c>
      <c r="K42" s="40" t="n">
        <v>49.39999999999999</v>
      </c>
      <c r="L42" s="76" t="n">
        <v>0.494049404940494</v>
      </c>
      <c r="M42" s="77" t="n">
        <v>8</v>
      </c>
      <c r="N42" s="39" t="inlineStr">
        <is>
          <t>Active</t>
        </is>
      </c>
      <c r="O42" s="39" t="n"/>
      <c r="P42" s="78" t="n">
        <v>4.4</v>
      </c>
      <c r="Q42" s="77" t="n">
        <v>5844</v>
      </c>
      <c r="R42" s="77" t="n">
        <v>2867</v>
      </c>
      <c r="S42" s="77" t="n">
        <v>6</v>
      </c>
      <c r="T42" s="39" t="n"/>
    </row>
    <row r="43" ht="62" customHeight="1">
      <c r="A43" s="12">
        <f>_xlfn.IMAGE("https://m.media-amazon.com/images/I/81YWxJJr8JL.jpg")</f>
        <v/>
      </c>
      <c r="B43" s="39" t="inlineStr">
        <is>
          <t>B0BZQ1JFM7</t>
        </is>
      </c>
      <c r="C43" s="39" t="inlineStr">
        <is>
          <t>BAMBOO-QUEEN-CHARCOAL</t>
        </is>
      </c>
      <c r="D43" s="39" t="inlineStr">
        <is>
          <t>DECOLURE 100% Organic Bamboo Viscose Sheets Queen Size 4 pcs - Ultra Soft &amp; Luxuriously Cooling, 16" Deep Pocket, Double Stitching, Perfect for Hot Sleepers - Luxury Queen Bed Sheets Set (Charcoal)</t>
        </is>
      </c>
      <c r="E43" s="39" t="inlineStr">
        <is>
          <t>Queen</t>
        </is>
      </c>
      <c r="F43" s="39" t="inlineStr">
        <is>
          <t>Charcoal</t>
        </is>
      </c>
      <c r="G43" s="73" t="n">
        <v>99.98999999999999</v>
      </c>
      <c r="H43" s="39" t="inlineStr">
        <is>
          <t>catalog price (CAD), 2026-10-14</t>
        </is>
      </c>
      <c r="I43" s="74" t="n">
        <v>99.98999999999999</v>
      </c>
      <c r="J43" s="75" t="inlineStr">
        <is>
          <t>2026-03-30</t>
        </is>
      </c>
      <c r="K43" s="40" t="n">
        <v>48.36999999999999</v>
      </c>
      <c r="L43" s="76" t="n">
        <v>0.4837483748374837</v>
      </c>
      <c r="M43" s="77" t="n">
        <v>7</v>
      </c>
      <c r="N43" s="39" t="inlineStr">
        <is>
          <t>Active</t>
        </is>
      </c>
      <c r="O43" s="39" t="n"/>
      <c r="P43" s="78" t="n">
        <v>4.4</v>
      </c>
      <c r="Q43" s="77" t="n">
        <v>5844</v>
      </c>
      <c r="R43" s="77" t="n">
        <v>2867</v>
      </c>
      <c r="S43" s="77" t="n">
        <v>6</v>
      </c>
      <c r="T43" s="39" t="n"/>
    </row>
    <row r="44" ht="62" customHeight="1">
      <c r="A44" s="12">
        <f>_xlfn.IMAGE("https://m.media-amazon.com/images/I/81wmkV-8ExL.jpg")</f>
        <v/>
      </c>
      <c r="B44" s="39" t="inlineStr">
        <is>
          <t>B08KQ5VVRV</t>
        </is>
      </c>
      <c r="C44" s="39" t="inlineStr">
        <is>
          <t>BAMBOO-QUEEN-GREY</t>
        </is>
      </c>
      <c r="D44" s="39" t="inlineStr">
        <is>
          <t>DECOLURE 100% Organic Bamboo Viscose Sheets Queen Size 4 pcs - Ultra Soft &amp; Luxuriously Cooling, 16" Deep Pocket, Double Stitching, Perfect for Hot Sleepers - Luxury Queen Bed Sheets Set (Grey)</t>
        </is>
      </c>
      <c r="E44" s="39" t="inlineStr">
        <is>
          <t>Queen</t>
        </is>
      </c>
      <c r="F44" s="39" t="inlineStr">
        <is>
          <t>Grey</t>
        </is>
      </c>
      <c r="G44" s="73" t="n">
        <v>99.98999999999999</v>
      </c>
      <c r="H44" s="39" t="inlineStr">
        <is>
          <t>catalog price (CAD), 2026-10-14</t>
        </is>
      </c>
      <c r="I44" s="74" t="n">
        <v>113.64</v>
      </c>
      <c r="J44" s="75" t="inlineStr">
        <is>
          <t>2026-03-30</t>
        </is>
      </c>
      <c r="K44" s="40" t="n">
        <v>55.68000000000001</v>
      </c>
      <c r="L44" s="76" t="n">
        <v>0.4899683210137276</v>
      </c>
      <c r="M44" s="77" t="n">
        <v>7</v>
      </c>
      <c r="N44" s="39" t="inlineStr">
        <is>
          <t>Active</t>
        </is>
      </c>
      <c r="O44" s="39" t="n"/>
      <c r="P44" s="78" t="n">
        <v>4.4</v>
      </c>
      <c r="Q44" s="77" t="n">
        <v>5844</v>
      </c>
      <c r="R44" s="77" t="n">
        <v>2867</v>
      </c>
      <c r="S44" s="77" t="n">
        <v>9</v>
      </c>
      <c r="T44" s="39" t="n"/>
    </row>
    <row r="45" ht="62" customHeight="1">
      <c r="A45" s="12">
        <f>_xlfn.IMAGE("https://m.media-amazon.com/images/I/81bmbyz5uFL.jpg")</f>
        <v/>
      </c>
      <c r="B45" s="39" t="inlineStr">
        <is>
          <t>B08KQJTLZP</t>
        </is>
      </c>
      <c r="C45" s="39" t="inlineStr">
        <is>
          <t>BAMBOO-CALIFKING-TAUPE</t>
        </is>
      </c>
      <c r="D45" s="39" t="inlineStr">
        <is>
          <t>DECOLURE 100% Organic Bamboo Viscose Sheets California King Size 4 pcs - Ultra Soft &amp; Luxuriously Cooling, 16" Deep Pocket, Double Stitching, Perfect for Hot Sleepers - King Bed Sheets Set (Taupe)</t>
        </is>
      </c>
      <c r="E45" s="39" t="inlineStr">
        <is>
          <t>California King</t>
        </is>
      </c>
      <c r="F45" s="39" t="inlineStr">
        <is>
          <t>Taupe</t>
        </is>
      </c>
      <c r="G45" s="73" t="n">
        <v>99.98999999999999</v>
      </c>
      <c r="H45" s="39" t="inlineStr">
        <is>
          <t>catalog price (CAD), 2026-10-14</t>
        </is>
      </c>
      <c r="I45" s="74" t="n">
        <v>99.98999999999999</v>
      </c>
      <c r="J45" s="75" t="inlineStr">
        <is>
          <t>2026-03-30</t>
        </is>
      </c>
      <c r="K45" s="40" t="n">
        <v>45.06999999999999</v>
      </c>
      <c r="L45" s="76" t="n">
        <v>0.4507450745074507</v>
      </c>
      <c r="M45" s="77" t="n">
        <v>5</v>
      </c>
      <c r="N45" s="39" t="inlineStr">
        <is>
          <t>Active</t>
        </is>
      </c>
      <c r="O45" s="39" t="n"/>
      <c r="P45" s="78" t="n">
        <v>4.4</v>
      </c>
      <c r="Q45" s="77" t="n">
        <v>5844</v>
      </c>
      <c r="R45" s="77" t="n">
        <v>2867</v>
      </c>
      <c r="S45" s="77" t="n">
        <v>6</v>
      </c>
      <c r="T45" s="39" t="n"/>
    </row>
    <row r="46" ht="62" customHeight="1">
      <c r="A46" s="12">
        <f>_xlfn.IMAGE("https://m.media-amazon.com/images/I/81jAmePDWeL.jpg")</f>
        <v/>
      </c>
      <c r="B46" s="39" t="inlineStr">
        <is>
          <t>B0BZPZP12L</t>
        </is>
      </c>
      <c r="C46" s="39" t="inlineStr">
        <is>
          <t>BAMBOO-KING-LIGHTOLIVE</t>
        </is>
      </c>
      <c r="D46" s="39" t="inlineStr">
        <is>
          <t>DECOLURE 100% Organic Bamboo Viscose Sheets King Size 4 pcs - Ultra Soft &amp; Luxuriously Cooling, 16" Deep Pocket, Double Stitching,Perfect for Hot Sleepers - Luxury King Bed Sheets Set (Light Olive)</t>
        </is>
      </c>
      <c r="E46" s="39" t="inlineStr">
        <is>
          <t>King</t>
        </is>
      </c>
      <c r="F46" s="39" t="inlineStr">
        <is>
          <t>Light Olive</t>
        </is>
      </c>
      <c r="G46" s="73" t="n">
        <v>154.44</v>
      </c>
      <c r="H46" s="39" t="inlineStr">
        <is>
          <t>catalog price (CAD), 2026-10-14</t>
        </is>
      </c>
      <c r="I46" s="74" t="n">
        <v>99.98999999999999</v>
      </c>
      <c r="J46" s="75" t="inlineStr">
        <is>
          <t>2026-03-30</t>
        </is>
      </c>
      <c r="K46" s="40" t="n">
        <v>45.02999999999999</v>
      </c>
      <c r="L46" s="76" t="n">
        <v>0.4503450345034503</v>
      </c>
      <c r="M46" s="77" t="n">
        <v>5</v>
      </c>
      <c r="N46" s="39" t="inlineStr">
        <is>
          <t>Inactive</t>
        </is>
      </c>
      <c r="O46" s="39" t="n"/>
      <c r="P46" s="78" t="n">
        <v>4.4</v>
      </c>
      <c r="Q46" s="77" t="n">
        <v>5844</v>
      </c>
      <c r="R46" s="77" t="n">
        <v>2867</v>
      </c>
      <c r="S46" s="77" t="n">
        <v>4</v>
      </c>
      <c r="T46" s="39" t="n"/>
    </row>
    <row r="47" ht="62" customHeight="1">
      <c r="A47" s="12">
        <f>_xlfn.IMAGE("https://m.media-amazon.com/images/I/81mgYawt2DL.jpg")</f>
        <v/>
      </c>
      <c r="B47" s="39" t="inlineStr">
        <is>
          <t>B0BZQ1FBJ9</t>
        </is>
      </c>
      <c r="C47" s="39" t="inlineStr">
        <is>
          <t>BAMBOO-QUEEN-BLACK</t>
        </is>
      </c>
      <c r="D47" s="39" t="inlineStr">
        <is>
          <t>DECOLURE 100% Organic Bamboo Viscose Sheets Queen Size 4 pcs - Ultra Soft &amp; Luxuriously Cooling, 16" Deep Pocket, Double Stitching, Perfect for Hot Sleepers - Luxury Queen Bed Sheets Set (Black)</t>
        </is>
      </c>
      <c r="E47" s="39" t="inlineStr">
        <is>
          <t>Queen</t>
        </is>
      </c>
      <c r="F47" s="39" t="inlineStr">
        <is>
          <t>Black</t>
        </is>
      </c>
      <c r="G47" s="40" t="n"/>
      <c r="H47" s="39" t="n"/>
      <c r="I47" s="74" t="n">
        <v>113.48</v>
      </c>
      <c r="J47" s="75" t="inlineStr">
        <is>
          <t>2026-03-04</t>
        </is>
      </c>
      <c r="K47" s="40" t="n">
        <v>60.55000000000001</v>
      </c>
      <c r="L47" s="76" t="n">
        <v>0.533574198096581</v>
      </c>
      <c r="M47" s="77" t="n">
        <v>5</v>
      </c>
      <c r="N47" s="79" t="inlineStr">
        <is>
          <t>Not buyable on Amazon 2026-10-14: page redirects to B0BZQ1G5B8 (California King Black) - FBA stock 0 since 2026-09-29, 48 inbound (deal records 2026-10-14)</t>
        </is>
      </c>
      <c r="O47" s="39" t="n"/>
      <c r="P47" s="78" t="n"/>
      <c r="Q47" s="77" t="n"/>
      <c r="R47" s="77" t="n"/>
      <c r="S47" s="77" t="n"/>
      <c r="T47" s="39" t="n"/>
    </row>
    <row r="48" ht="62" customHeight="1">
      <c r="A48" s="12">
        <f>_xlfn.IMAGE("https://m.media-amazon.com/images/I/81E9bvs4TYL.jpg")</f>
        <v/>
      </c>
      <c r="B48" s="39" t="inlineStr">
        <is>
          <t>B08KQKQ44M</t>
        </is>
      </c>
      <c r="C48" s="39" t="inlineStr">
        <is>
          <t>BAMBOO-CALIFKING-WHITE</t>
        </is>
      </c>
      <c r="D48" s="39" t="inlineStr">
        <is>
          <t>DECOLURE 100% Organic Bamboo Viscose Sheets California King Size 4 pcs - Ultra Soft &amp; Luxuriously Cooling, 16" Deep Pocket, Double Stitching, Perfect for Hot Sleepers - King Bed Sheets Set (White)</t>
        </is>
      </c>
      <c r="E48" s="39" t="inlineStr">
        <is>
          <t>California King</t>
        </is>
      </c>
      <c r="F48" s="39" t="inlineStr">
        <is>
          <t>White</t>
        </is>
      </c>
      <c r="G48" s="73" t="n">
        <v>99.98999999999999</v>
      </c>
      <c r="H48" s="39" t="inlineStr">
        <is>
          <t>catalog price (CAD), 2026-10-14</t>
        </is>
      </c>
      <c r="I48" s="74" t="n">
        <v>84.98999999999999</v>
      </c>
      <c r="J48" s="75" t="inlineStr">
        <is>
          <t>2026-03-30</t>
        </is>
      </c>
      <c r="K48" s="40" t="n">
        <v>32.44</v>
      </c>
      <c r="L48" s="76" t="n">
        <v>0.3816919637604424</v>
      </c>
      <c r="M48" s="77" t="n">
        <v>4</v>
      </c>
      <c r="N48" s="39" t="inlineStr">
        <is>
          <t>Active</t>
        </is>
      </c>
      <c r="O48" s="39" t="n"/>
      <c r="P48" s="78" t="n">
        <v>4.4</v>
      </c>
      <c r="Q48" s="77" t="n">
        <v>5844</v>
      </c>
      <c r="R48" s="77" t="n">
        <v>2867</v>
      </c>
      <c r="S48" s="77" t="n">
        <v>6</v>
      </c>
      <c r="T48" s="39" t="n"/>
    </row>
    <row r="49" ht="62" customHeight="1">
      <c r="A49" s="12">
        <f>_xlfn.IMAGE("https://m.media-amazon.com/images/I/81xihWts51L.jpg")</f>
        <v/>
      </c>
      <c r="B49" s="39" t="inlineStr">
        <is>
          <t>B08KQJTP39</t>
        </is>
      </c>
      <c r="C49" s="39" t="inlineStr">
        <is>
          <t>BAMBOO-FULL-OLIVE</t>
        </is>
      </c>
      <c r="D49" s="39" t="inlineStr">
        <is>
          <t>DECOLURE 100% Organic Bamboo Viscose Sheets Full Size 4 pcs - Ultra Soft &amp; Luxuriously Cooling, 16" Deep Pocket, Double Stitching, Perfect for Hot Sleepers - Luxury Full Bed Sheets Set (Olive)</t>
        </is>
      </c>
      <c r="E49" s="39" t="inlineStr">
        <is>
          <t>Full</t>
        </is>
      </c>
      <c r="F49" s="39" t="inlineStr">
        <is>
          <t>Olive</t>
        </is>
      </c>
      <c r="G49" s="73" t="n">
        <v>79.98</v>
      </c>
      <c r="H49" s="39" t="inlineStr">
        <is>
          <t>catalog price (CAD), 2026-10-14</t>
        </is>
      </c>
      <c r="I49" s="74" t="n">
        <v>79.98999999999999</v>
      </c>
      <c r="J49" s="75" t="inlineStr">
        <is>
          <t>2026-03-30</t>
        </is>
      </c>
      <c r="K49" s="40" t="n">
        <v>34.25</v>
      </c>
      <c r="L49" s="76" t="n">
        <v>0.4281785223152894</v>
      </c>
      <c r="M49" s="77" t="n">
        <v>4</v>
      </c>
      <c r="N49" s="39" t="inlineStr">
        <is>
          <t>Active</t>
        </is>
      </c>
      <c r="O49" s="39" t="n"/>
      <c r="P49" s="78" t="n">
        <v>4.4</v>
      </c>
      <c r="Q49" s="77" t="n">
        <v>5844</v>
      </c>
      <c r="R49" s="77" t="n">
        <v>2867</v>
      </c>
      <c r="S49" s="77" t="n">
        <v>13</v>
      </c>
      <c r="T49" s="39" t="n"/>
    </row>
    <row r="50" ht="62" customHeight="1">
      <c r="A50" s="12">
        <f>_xlfn.IMAGE("https://m.media-amazon.com/images/I/81tiGTo9hDL.jpg")</f>
        <v/>
      </c>
      <c r="B50" s="39" t="inlineStr">
        <is>
          <t>B0BZQ39BTX</t>
        </is>
      </c>
      <c r="C50" s="39" t="inlineStr">
        <is>
          <t>BAMBOO-TWIN-PURPLE</t>
        </is>
      </c>
      <c r="D50" s="39" t="inlineStr">
        <is>
          <t>DECOLURE 100% Organic Bamboo Viscose Sheets Twin Size 3 pcs - Ultra Soft &amp; Luxuriously Cooling, 16" Deep Pocket, Double Stitching, Perfect for Hot Sleepers - Luxury Twin Bed Sheets Set (Purple)</t>
        </is>
      </c>
      <c r="E50" s="39" t="inlineStr">
        <is>
          <t>Twin</t>
        </is>
      </c>
      <c r="F50" s="39" t="inlineStr">
        <is>
          <t>Purple</t>
        </is>
      </c>
      <c r="G50" s="73" t="n">
        <v>79.98999999999999</v>
      </c>
      <c r="H50" s="39" t="inlineStr">
        <is>
          <t>catalog price (CAD), 2026-10-14</t>
        </is>
      </c>
      <c r="I50" s="74" t="n">
        <v>79.98999999999999</v>
      </c>
      <c r="J50" s="75" t="inlineStr">
        <is>
          <t>2026-03-30</t>
        </is>
      </c>
      <c r="K50" s="40" t="n">
        <v>38.75</v>
      </c>
      <c r="L50" s="76" t="n">
        <v>0.4844355544443056</v>
      </c>
      <c r="M50" s="77" t="n">
        <v>4</v>
      </c>
      <c r="N50" s="39" t="inlineStr">
        <is>
          <t>Active</t>
        </is>
      </c>
      <c r="O50" s="39" t="n"/>
      <c r="P50" s="78" t="n">
        <v>4.4</v>
      </c>
      <c r="Q50" s="77" t="n">
        <v>5844</v>
      </c>
      <c r="R50" s="77" t="n">
        <v>2867</v>
      </c>
      <c r="S50" s="77" t="n">
        <v>11</v>
      </c>
      <c r="T50" s="39" t="n"/>
    </row>
    <row r="51" ht="62" customHeight="1">
      <c r="A51" s="12">
        <f>_xlfn.IMAGE("https://m.media-amazon.com/images/I/81kW25KnIDL.jpg")</f>
        <v/>
      </c>
      <c r="B51" s="39" t="inlineStr">
        <is>
          <t>B0CRHYS5KT</t>
        </is>
      </c>
      <c r="C51" s="39" t="inlineStr">
        <is>
          <t>BAMBOO-FULL-BURGUNDY-NEW</t>
        </is>
      </c>
      <c r="D51" s="39" t="inlineStr">
        <is>
          <t>DECOLURE 100% Organic Viscose Derived from Bamboo Sheets Full Size 4pcs - Ultra Soft &amp; Luxuriously Cooling, 17" Deep Pocket, Double Stitching, Perfect for Hot Sleepers - Full Bed Sheets (Burgundy)</t>
        </is>
      </c>
      <c r="E51" s="39" t="inlineStr">
        <is>
          <t>Full</t>
        </is>
      </c>
      <c r="F51" s="39" t="inlineStr">
        <is>
          <t>Burgundy</t>
        </is>
      </c>
      <c r="G51" s="40" t="n"/>
      <c r="H51" s="39" t="n"/>
      <c r="I51" s="74" t="n">
        <v>92.95</v>
      </c>
      <c r="J51" s="75" t="inlineStr">
        <is>
          <t>2026-03-30</t>
        </is>
      </c>
      <c r="K51" s="40" t="n">
        <v>39.68000000000001</v>
      </c>
      <c r="L51" s="76" t="n">
        <v>0.4268961807423347</v>
      </c>
      <c r="M51" s="77" t="n">
        <v>3</v>
      </c>
      <c r="N51" s="79" t="inlineStr">
        <is>
          <t>Not buyable on Amazon 2026-10-14: page redirects to B0CRHYHS4X (California King Burgundy) - FBA stock 0 since 2026-09-27, 12 inbound (deal records 2026-10-14)</t>
        </is>
      </c>
      <c r="O51" s="39" t="n"/>
      <c r="P51" s="78" t="n"/>
      <c r="Q51" s="77" t="n"/>
      <c r="R51" s="77" t="n"/>
      <c r="S51" s="77" t="n"/>
      <c r="T51" s="39" t="n"/>
    </row>
    <row r="52" ht="62" customHeight="1">
      <c r="A52" s="12">
        <f>_xlfn.IMAGE("https://m.media-amazon.com/images/I/81hxPp-zxnL.jpg")</f>
        <v/>
      </c>
      <c r="B52" s="39" t="inlineStr">
        <is>
          <t>B0CLKDSVCV</t>
        </is>
      </c>
      <c r="C52" s="39" t="inlineStr">
        <is>
          <t>BAMBOO-FULL-LIGHT PINK</t>
        </is>
      </c>
      <c r="D52" s="39" t="inlineStr">
        <is>
          <t>DECOLURE 100% Organic Viscose Derived from Bamboo Sheets Full Size 4pcs - Ultra Soft &amp; Luxuriously Cooling, 17" Deep Pocket, Double Stitching, Perfect for Hot Sleepers - Full Bed Sheets (Light Pink)</t>
        </is>
      </c>
      <c r="E52" s="39" t="inlineStr">
        <is>
          <t>Full</t>
        </is>
      </c>
      <c r="F52" s="39" t="inlineStr">
        <is>
          <t>Light Pink</t>
        </is>
      </c>
      <c r="G52" s="40" t="n"/>
      <c r="H52" s="39" t="n"/>
      <c r="I52" s="74" t="n">
        <v>92.59</v>
      </c>
      <c r="J52" s="75" t="inlineStr">
        <is>
          <t>2026-03-04</t>
        </is>
      </c>
      <c r="K52" s="40" t="n">
        <v>45.2</v>
      </c>
      <c r="L52" s="76" t="n">
        <v>0.4881736688627282</v>
      </c>
      <c r="M52" s="77" t="n">
        <v>3</v>
      </c>
      <c r="N52" s="79" t="inlineStr">
        <is>
          <t>Not buyable on Amazon 2026-10-14: page redirects to B0CLKD23ZH (California King Light Pink) - FBA stock 0 since 2026-09-08, 18 inbound (deal records 2026-10-14)</t>
        </is>
      </c>
      <c r="O52" s="39" t="n"/>
      <c r="P52" s="78" t="n"/>
      <c r="Q52" s="77" t="n"/>
      <c r="R52" s="77" t="n"/>
      <c r="S52" s="77" t="n"/>
      <c r="T52" s="39" t="n"/>
    </row>
    <row r="53" ht="62" customHeight="1">
      <c r="A53" s="12">
        <f>_xlfn.IMAGE("https://m.media-amazon.com/images/I/81kW25KnIDL.jpg")</f>
        <v/>
      </c>
      <c r="B53" s="39" t="inlineStr">
        <is>
          <t>B0CRHZ1CK3</t>
        </is>
      </c>
      <c r="C53" s="39" t="inlineStr">
        <is>
          <t>BAMBOO-QUEEN-BURGUNDY-NEW</t>
        </is>
      </c>
      <c r="D53" s="39" t="inlineStr">
        <is>
          <t>DECOLURE 100% Organic Viscose Derived from Bamboo Sheets Queen Size 4pcs - Ultra Soft &amp; Luxuriously Cooling, 17" Deep Pocket, Double Stitching, Perfect for Hot Sleepers - Queen Bed Sheets (Burgundy)</t>
        </is>
      </c>
      <c r="E53" s="39" t="inlineStr">
        <is>
          <t>Queen</t>
        </is>
      </c>
      <c r="F53" s="39" t="inlineStr">
        <is>
          <t>Burgundy</t>
        </is>
      </c>
      <c r="G53" s="73" t="n">
        <v>99.98999999999999</v>
      </c>
      <c r="H53" s="39" t="inlineStr">
        <is>
          <t>catalog price (CAD), 2026-10-14</t>
        </is>
      </c>
      <c r="I53" s="74" t="n">
        <v>99.98999999999999</v>
      </c>
      <c r="J53" s="75" t="inlineStr">
        <is>
          <t>2026-03-30</t>
        </is>
      </c>
      <c r="K53" s="40" t="n">
        <v>48.96</v>
      </c>
      <c r="L53" s="76" t="n">
        <v>0.4896489648964896</v>
      </c>
      <c r="M53" s="77" t="n">
        <v>3</v>
      </c>
      <c r="N53" s="39" t="inlineStr">
        <is>
          <t>Active</t>
        </is>
      </c>
      <c r="O53" s="39" t="n"/>
      <c r="P53" s="78" t="n">
        <v>4.4</v>
      </c>
      <c r="Q53" s="77" t="n">
        <v>5844</v>
      </c>
      <c r="R53" s="77" t="n">
        <v>2867</v>
      </c>
      <c r="S53" s="77" t="n">
        <v>7</v>
      </c>
      <c r="T53" s="39" t="n"/>
    </row>
    <row r="54" ht="62" customHeight="1">
      <c r="A54" s="12">
        <f>_xlfn.IMAGE("https://m.media-amazon.com/images/I/81Fhkpx6DdL.jpg")</f>
        <v/>
      </c>
      <c r="B54" s="39" t="inlineStr">
        <is>
          <t>B0CRHX3LKM</t>
        </is>
      </c>
      <c r="C54" s="39" t="inlineStr">
        <is>
          <t>BAMBOO-TWIN-BURGUNDY-NEW</t>
        </is>
      </c>
      <c r="D54" s="39" t="inlineStr">
        <is>
          <t>DECOLURE 100% Organic Viscose Derived from Bamboo Sheets Twin Size 3pcs - Ultra Soft &amp; Luxuriously Cooling, 17" Deep Pocket, Double Stitching, Perfect for Hot Sleepers - Twin Bed Sheets (Burgundy)</t>
        </is>
      </c>
      <c r="E54" s="39" t="inlineStr">
        <is>
          <t>Twin</t>
        </is>
      </c>
      <c r="F54" s="39" t="inlineStr">
        <is>
          <t>Burgundy</t>
        </is>
      </c>
      <c r="G54" s="73" t="n">
        <v>79.98999999999999</v>
      </c>
      <c r="H54" s="39" t="inlineStr">
        <is>
          <t>catalog price (CAD), 2026-10-14</t>
        </is>
      </c>
      <c r="I54" s="74" t="n">
        <v>79.98999999999999</v>
      </c>
      <c r="J54" s="75" t="inlineStr">
        <is>
          <t>2026-03-30</t>
        </is>
      </c>
      <c r="K54" s="40" t="n">
        <v>38.66999999999999</v>
      </c>
      <c r="L54" s="76" t="n">
        <v>0.4834354294286786</v>
      </c>
      <c r="M54" s="77" t="n">
        <v>3</v>
      </c>
      <c r="N54" s="39" t="inlineStr">
        <is>
          <t>Active</t>
        </is>
      </c>
      <c r="O54" s="39" t="n"/>
      <c r="P54" s="78" t="n">
        <v>4.4</v>
      </c>
      <c r="Q54" s="77" t="n">
        <v>5844</v>
      </c>
      <c r="R54" s="77" t="n">
        <v>2867</v>
      </c>
      <c r="S54" s="77" t="n">
        <v>11</v>
      </c>
      <c r="T54" s="39" t="n"/>
    </row>
    <row r="55" ht="62" customHeight="1">
      <c r="A55" s="12">
        <f>_xlfn.IMAGE("https://m.media-amazon.com/images/I/81VPGVLRjlL.jpg")</f>
        <v/>
      </c>
      <c r="B55" s="39" t="inlineStr">
        <is>
          <t>B0BZQ3XM7P</t>
        </is>
      </c>
      <c r="C55" s="39" t="inlineStr">
        <is>
          <t>BAMBOO-TWIN-LIGHTOLIVE</t>
        </is>
      </c>
      <c r="D55" s="39" t="inlineStr">
        <is>
          <t>DECOLURE 100% Organic Bamboo Viscose Sheets Twin Size 3 pcs - Ultra Soft &amp; Luxuriously Cooling, 16" Deep Pocket,Double Stitching,Perfect for Hot Sleepers - Luxury Twin Bed Sheets Set (Light Olive)</t>
        </is>
      </c>
      <c r="E55" s="39" t="inlineStr">
        <is>
          <t>Twin</t>
        </is>
      </c>
      <c r="F55" s="39" t="inlineStr">
        <is>
          <t>Light Olive</t>
        </is>
      </c>
      <c r="G55" s="73" t="n">
        <v>102.48</v>
      </c>
      <c r="H55" s="39" t="inlineStr">
        <is>
          <t>catalog price (CAD), 2026-10-14</t>
        </is>
      </c>
      <c r="I55" s="74" t="n">
        <v>79.98999999999999</v>
      </c>
      <c r="J55" s="75" t="inlineStr">
        <is>
          <t>2026-03-30</t>
        </is>
      </c>
      <c r="K55" s="40" t="n">
        <v>38.18</v>
      </c>
      <c r="L55" s="76" t="n">
        <v>0.4773096637079635</v>
      </c>
      <c r="M55" s="77" t="n">
        <v>3</v>
      </c>
      <c r="N55" s="39" t="inlineStr">
        <is>
          <t>Inactive</t>
        </is>
      </c>
      <c r="O55" s="39" t="n"/>
      <c r="P55" s="78" t="n">
        <v>4.4</v>
      </c>
      <c r="Q55" s="77" t="n">
        <v>5844</v>
      </c>
      <c r="R55" s="77" t="n">
        <v>2867</v>
      </c>
      <c r="S55" s="77" t="n">
        <v>11</v>
      </c>
      <c r="T55" s="39" t="n"/>
    </row>
    <row r="56" ht="62" customHeight="1">
      <c r="A56" s="12">
        <f>_xlfn.IMAGE("https://m.media-amazon.com/images/I/81jtUZ9WZqL.jpg")</f>
        <v/>
      </c>
      <c r="B56" s="39" t="inlineStr">
        <is>
          <t>B08KQLQ7RG</t>
        </is>
      </c>
      <c r="C56" s="39" t="inlineStr">
        <is>
          <t>BAMBOO-CALIFKING-CREME</t>
        </is>
      </c>
      <c r="D56" s="39" t="inlineStr">
        <is>
          <t>DECOLURE 100% Organic Bamboo Viscose Sheets California King Size 4 pcs - Ultra Soft &amp; Luxuriously Cooling, 16" Deep Pocket, Double Stitching, Perfect for Hot Sleepers - King Bed Sheets Set (Creme)</t>
        </is>
      </c>
      <c r="E56" s="39" t="inlineStr">
        <is>
          <t>California King</t>
        </is>
      </c>
      <c r="F56" s="39" t="inlineStr">
        <is>
          <t>Creme</t>
        </is>
      </c>
      <c r="G56" s="73" t="n">
        <v>99.98999999999999</v>
      </c>
      <c r="H56" s="39" t="inlineStr">
        <is>
          <t>catalog price (CAD), 2026-10-14</t>
        </is>
      </c>
      <c r="I56" s="74" t="n">
        <v>99.98999999999999</v>
      </c>
      <c r="J56" s="75" t="inlineStr">
        <is>
          <t>2026-03-30</t>
        </is>
      </c>
      <c r="K56" s="40" t="n">
        <v>44.95999999999999</v>
      </c>
      <c r="L56" s="76" t="n">
        <v>0.4496449644964496</v>
      </c>
      <c r="M56" s="77" t="n">
        <v>2</v>
      </c>
      <c r="N56" s="39" t="inlineStr">
        <is>
          <t>Active</t>
        </is>
      </c>
      <c r="O56" s="39" t="n"/>
      <c r="P56" s="78" t="n">
        <v>4.4</v>
      </c>
      <c r="Q56" s="77" t="n">
        <v>5844</v>
      </c>
      <c r="R56" s="77" t="n">
        <v>2867</v>
      </c>
      <c r="S56" s="77" t="n">
        <v>9</v>
      </c>
      <c r="T56" s="39" t="n"/>
    </row>
    <row r="57" ht="62" customHeight="1">
      <c r="A57" s="12">
        <f>_xlfn.IMAGE("https://m.media-amazon.com/images/I/81LPiN50m6L.jpg")</f>
        <v/>
      </c>
      <c r="B57" s="39" t="inlineStr">
        <is>
          <t>B0BZQ5SDNS</t>
        </is>
      </c>
      <c r="C57" s="39" t="inlineStr">
        <is>
          <t>BAMBOO-CALIFKING-PURPLE</t>
        </is>
      </c>
      <c r="D57" s="39" t="inlineStr">
        <is>
          <t>DECOLURE 100% Organic Bamboo Viscose Sheets California King Size 4 pcs - Ultra Soft &amp; Luxuriously Cooling, 16" Deep Pocket, Double Stitching, Perfect for Hot Sleepers - King Bed Sheets Set (Purple)</t>
        </is>
      </c>
      <c r="E57" s="39" t="inlineStr">
        <is>
          <t>California King</t>
        </is>
      </c>
      <c r="F57" s="39" t="inlineStr">
        <is>
          <t>Purple</t>
        </is>
      </c>
      <c r="G57" s="73" t="n">
        <v>99.98999999999999</v>
      </c>
      <c r="H57" s="39" t="inlineStr">
        <is>
          <t>catalog price (CAD), 2026-10-14</t>
        </is>
      </c>
      <c r="I57" s="74" t="n">
        <v>99.98999999999999</v>
      </c>
      <c r="J57" s="75" t="inlineStr">
        <is>
          <t>2026-03-30</t>
        </is>
      </c>
      <c r="K57" s="40" t="n">
        <v>44.59999999999999</v>
      </c>
      <c r="L57" s="76" t="n">
        <v>0.446044604460446</v>
      </c>
      <c r="M57" s="77" t="n">
        <v>2</v>
      </c>
      <c r="N57" s="39" t="inlineStr">
        <is>
          <t>Active</t>
        </is>
      </c>
      <c r="O57" s="39" t="n"/>
      <c r="P57" s="78" t="n">
        <v>4.4</v>
      </c>
      <c r="Q57" s="77" t="n">
        <v>5844</v>
      </c>
      <c r="R57" s="77" t="n">
        <v>2867</v>
      </c>
      <c r="S57" s="77" t="n">
        <v>6</v>
      </c>
      <c r="T57" s="39" t="n"/>
    </row>
    <row r="58" ht="62" customHeight="1">
      <c r="A58" s="12">
        <f>_xlfn.IMAGE("https://m.media-amazon.com/images/I/81YWxJJr8JL.jpg")</f>
        <v/>
      </c>
      <c r="B58" s="39" t="inlineStr">
        <is>
          <t>B0BZQ19QT6</t>
        </is>
      </c>
      <c r="C58" s="39" t="inlineStr">
        <is>
          <t>BAMBOO-FULL-CHARCOAL</t>
        </is>
      </c>
      <c r="D58" s="39" t="inlineStr">
        <is>
          <t>DECOLURE 100% Organic Bamboo Viscose Sheets Full Size 4 pcs - Ultra Soft &amp; Luxuriously Cooling, 16" Deep Pocket, Double Stitching, Perfect for Hot Sleepers - Luxury Full Bed Sheets Set (Charcoal)</t>
        </is>
      </c>
      <c r="E58" s="39" t="inlineStr">
        <is>
          <t>Full</t>
        </is>
      </c>
      <c r="F58" s="39" t="inlineStr">
        <is>
          <t>Charcoal</t>
        </is>
      </c>
      <c r="G58" s="73" t="n">
        <v>79.98999999999999</v>
      </c>
      <c r="H58" s="39" t="inlineStr">
        <is>
          <t>catalog price (CAD), 2026-10-14</t>
        </is>
      </c>
      <c r="I58" s="74" t="n">
        <v>93.31</v>
      </c>
      <c r="J58" s="75" t="inlineStr">
        <is>
          <t>2026-03-30</t>
        </is>
      </c>
      <c r="K58" s="40" t="n">
        <v>39.57</v>
      </c>
      <c r="L58" s="76" t="n">
        <v>0.4240703032901083</v>
      </c>
      <c r="M58" s="77" t="n">
        <v>2</v>
      </c>
      <c r="N58" s="39" t="inlineStr">
        <is>
          <t>Inactive</t>
        </is>
      </c>
      <c r="O58" s="39" t="n"/>
      <c r="P58" s="78" t="n">
        <v>4.4</v>
      </c>
      <c r="Q58" s="77" t="n">
        <v>5844</v>
      </c>
      <c r="R58" s="77" t="n">
        <v>2867</v>
      </c>
      <c r="S58" s="77" t="n">
        <v>11</v>
      </c>
      <c r="T58" s="39" t="n"/>
    </row>
    <row r="59" ht="62" customHeight="1">
      <c r="A59" s="12">
        <f>_xlfn.IMAGE("https://m.media-amazon.com/images/I/81wmkV-8ExL.jpg")</f>
        <v/>
      </c>
      <c r="B59" s="39" t="inlineStr">
        <is>
          <t>B08KQJP1K7</t>
        </is>
      </c>
      <c r="C59" s="39" t="inlineStr">
        <is>
          <t>BAMBOO-FULL-GREY</t>
        </is>
      </c>
      <c r="D59" s="39" t="inlineStr">
        <is>
          <t>DECOLURE 100% Organic Bamboo Viscose Sheets Full Size 4 pcs - Ultra Soft &amp; Luxuriously Cooling, 16" Deep Pocket, Double Stitching, Perfect for Hot Sleepers - Luxury Full Bed Sheets Set (Grey)</t>
        </is>
      </c>
      <c r="E59" s="39" t="inlineStr">
        <is>
          <t>Full</t>
        </is>
      </c>
      <c r="F59" s="39" t="inlineStr">
        <is>
          <t>Grey</t>
        </is>
      </c>
      <c r="G59" s="73" t="n">
        <v>79.98999999999999</v>
      </c>
      <c r="H59" s="39" t="inlineStr">
        <is>
          <t>catalog price (CAD), 2026-10-14</t>
        </is>
      </c>
      <c r="I59" s="40" t="n"/>
      <c r="J59" s="39" t="n"/>
      <c r="K59" s="40" t="n"/>
      <c r="L59" s="76" t="n"/>
      <c r="M59" s="77" t="n">
        <v>2</v>
      </c>
      <c r="N59" s="39" t="inlineStr">
        <is>
          <t>Active</t>
        </is>
      </c>
      <c r="O59" s="39" t="n"/>
      <c r="P59" s="78" t="n">
        <v>4.4</v>
      </c>
      <c r="Q59" s="77" t="n">
        <v>5844</v>
      </c>
      <c r="R59" s="77" t="n">
        <v>2867</v>
      </c>
      <c r="S59" s="77" t="n">
        <v>13</v>
      </c>
      <c r="T59" s="39" t="n"/>
    </row>
    <row r="60" ht="62" customHeight="1">
      <c r="A60" s="12">
        <f>_xlfn.IMAGE("https://m.media-amazon.com/images/I/81Jj2qvOarL.jpg")</f>
        <v/>
      </c>
      <c r="B60" s="39" t="inlineStr">
        <is>
          <t>B08KQJYDCR</t>
        </is>
      </c>
      <c r="C60" s="39" t="inlineStr">
        <is>
          <t>BAMBOO-FULL-LIGHTBLUE</t>
        </is>
      </c>
      <c r="D60" s="39" t="inlineStr">
        <is>
          <t>DECOLURE 100% Organic Bamboo Viscose Sheets Full Size 4 pcs - Ultra Soft &amp; Luxuriously Cooling, 16" Deep Pocket, Double Stitching,Perfect for Hot Sleepers - Luxury Full Bed Sheets Set (Light Blue)</t>
        </is>
      </c>
      <c r="E60" s="39" t="inlineStr">
        <is>
          <t>Full</t>
        </is>
      </c>
      <c r="F60" s="39" t="inlineStr">
        <is>
          <t>Light Blue</t>
        </is>
      </c>
      <c r="G60" s="73" t="n">
        <v>79.98999999999999</v>
      </c>
      <c r="H60" s="39" t="inlineStr">
        <is>
          <t>catalog price (CAD), 2026-10-14</t>
        </is>
      </c>
      <c r="I60" s="74" t="n">
        <v>79.98999999999999</v>
      </c>
      <c r="J60" s="75" t="inlineStr">
        <is>
          <t>2026-03-30</t>
        </is>
      </c>
      <c r="K60" s="40" t="n">
        <v>34.27999999999999</v>
      </c>
      <c r="L60" s="76" t="n">
        <v>0.4285535691961495</v>
      </c>
      <c r="M60" s="77" t="n">
        <v>2</v>
      </c>
      <c r="N60" s="39" t="inlineStr">
        <is>
          <t>Active</t>
        </is>
      </c>
      <c r="O60" s="39" t="n"/>
      <c r="P60" s="78" t="n">
        <v>4.4</v>
      </c>
      <c r="Q60" s="77" t="n">
        <v>5844</v>
      </c>
      <c r="R60" s="77" t="n">
        <v>2867</v>
      </c>
      <c r="S60" s="77" t="n">
        <v>13</v>
      </c>
      <c r="T60" s="39" t="n"/>
    </row>
    <row r="61" ht="62" customHeight="1">
      <c r="A61" s="12">
        <f>_xlfn.IMAGE("https://m.media-amazon.com/images/I/81Mz595QL2L.jpg")</f>
        <v/>
      </c>
      <c r="B61" s="39" t="inlineStr">
        <is>
          <t>B08KQJHKFJ</t>
        </is>
      </c>
      <c r="C61" s="39" t="inlineStr">
        <is>
          <t>BAMBOO-FULL-LIGHTGREY</t>
        </is>
      </c>
      <c r="D61" s="39" t="inlineStr">
        <is>
          <t>DECOLURE 100% Organic Bamboo Viscose Sheets Full Size 4 pcs - Ultra Soft &amp; Luxuriously Cooling, 16" Deep Pocket, Double Stitching,Perfect for Hot Sleepers - Luxury Full Bed Sheets Set (Light Grey)</t>
        </is>
      </c>
      <c r="E61" s="39" t="inlineStr">
        <is>
          <t>Full</t>
        </is>
      </c>
      <c r="F61" s="39" t="inlineStr">
        <is>
          <t>Light Grey</t>
        </is>
      </c>
      <c r="G61" s="73" t="n">
        <v>79.98999999999999</v>
      </c>
      <c r="H61" s="39" t="inlineStr">
        <is>
          <t>catalog price (CAD), 2026-10-14</t>
        </is>
      </c>
      <c r="I61" s="74" t="n">
        <v>79.98999999999999</v>
      </c>
      <c r="J61" s="75" t="inlineStr">
        <is>
          <t>2026-03-30</t>
        </is>
      </c>
      <c r="K61" s="40" t="n">
        <v>34.70999999999999</v>
      </c>
      <c r="L61" s="76" t="n">
        <v>0.4339292411551444</v>
      </c>
      <c r="M61" s="77" t="n">
        <v>2</v>
      </c>
      <c r="N61" s="39" t="inlineStr">
        <is>
          <t>Inactive</t>
        </is>
      </c>
      <c r="O61" s="39" t="n"/>
      <c r="P61" s="78" t="n">
        <v>4.4</v>
      </c>
      <c r="Q61" s="77" t="n">
        <v>5844</v>
      </c>
      <c r="R61" s="77" t="n">
        <v>2867</v>
      </c>
      <c r="S61" s="77" t="n">
        <v>6</v>
      </c>
      <c r="T61" s="39" t="n"/>
    </row>
    <row r="62" ht="62" customHeight="1">
      <c r="A62" s="12">
        <f>_xlfn.IMAGE("https://m.media-amazon.com/images/I/81YWxJJr8JL.jpg")</f>
        <v/>
      </c>
      <c r="B62" s="39" t="inlineStr">
        <is>
          <t>B0BZPZ588L</t>
        </is>
      </c>
      <c r="C62" s="39" t="inlineStr">
        <is>
          <t>BAMBOO-KING-CHARCOAL</t>
        </is>
      </c>
      <c r="D62" s="39" t="inlineStr">
        <is>
          <t>DECOLURE 100% Organic Bamboo Viscose Sheets King Size 4 pcs - Ultra Soft &amp; Luxuriously Cooling, 16" Deep Pocket, Double Stitching, Perfect for Hot Sleepers - Luxury King Bed Sheets Set (Charcoal)</t>
        </is>
      </c>
      <c r="E62" s="39" t="inlineStr">
        <is>
          <t>King</t>
        </is>
      </c>
      <c r="F62" s="39" t="inlineStr">
        <is>
          <t>Charcoal</t>
        </is>
      </c>
      <c r="G62" s="73" t="n">
        <v>99.98999999999999</v>
      </c>
      <c r="H62" s="39" t="inlineStr">
        <is>
          <t>catalog price (CAD), 2026-10-14</t>
        </is>
      </c>
      <c r="I62" s="74" t="n">
        <v>99.98999999999999</v>
      </c>
      <c r="J62" s="75" t="inlineStr">
        <is>
          <t>2026-03-30</t>
        </is>
      </c>
      <c r="K62" s="40" t="n">
        <v>44.46999999999999</v>
      </c>
      <c r="L62" s="76" t="n">
        <v>0.4447444744474447</v>
      </c>
      <c r="M62" s="77" t="n">
        <v>2</v>
      </c>
      <c r="N62" s="39" t="inlineStr">
        <is>
          <t>Active</t>
        </is>
      </c>
      <c r="O62" s="39" t="n"/>
      <c r="P62" s="78" t="n">
        <v>4.4</v>
      </c>
      <c r="Q62" s="77" t="n">
        <v>5844</v>
      </c>
      <c r="R62" s="77" t="n">
        <v>2843</v>
      </c>
      <c r="S62" s="77" t="n">
        <v>6</v>
      </c>
      <c r="T62" s="39" t="n"/>
    </row>
    <row r="63" ht="62" customHeight="1">
      <c r="A63" s="12">
        <f>_xlfn.IMAGE("https://m.media-amazon.com/images/I/81mgYawt2DL.jpg")</f>
        <v/>
      </c>
      <c r="B63" s="39" t="inlineStr">
        <is>
          <t>B0BZQ1G5B8</t>
        </is>
      </c>
      <c r="C63" s="39" t="inlineStr">
        <is>
          <t>BAMBOO-CALIFKING-BLACK</t>
        </is>
      </c>
      <c r="D63" s="39" t="inlineStr">
        <is>
          <t>DECOLURE 100% Organic Bamboo Viscose Sheets California King Size 4 pcs - Ultra Soft &amp; Luxuriously Cooling, 16" Deep Pocket, Double Stitching, Perfect for Hot Sleepers - King Bed Sheets Set (Black)</t>
        </is>
      </c>
      <c r="E63" s="39" t="inlineStr">
        <is>
          <t>California King</t>
        </is>
      </c>
      <c r="F63" s="39" t="inlineStr">
        <is>
          <t>Black</t>
        </is>
      </c>
      <c r="G63" s="73" t="n">
        <v>99.98999999999999</v>
      </c>
      <c r="H63" s="39" t="inlineStr">
        <is>
          <t>catalog price (CAD), 2026-10-14</t>
        </is>
      </c>
      <c r="I63" s="74" t="n">
        <v>99.98999999999999</v>
      </c>
      <c r="J63" s="75" t="inlineStr">
        <is>
          <t>2026-03-30</t>
        </is>
      </c>
      <c r="K63" s="40" t="n">
        <v>43.33999999999999</v>
      </c>
      <c r="L63" s="76" t="n">
        <v>0.4334433443344334</v>
      </c>
      <c r="M63" s="77" t="n">
        <v>1</v>
      </c>
      <c r="N63" s="39" t="inlineStr">
        <is>
          <t>Active</t>
        </is>
      </c>
      <c r="O63" s="39" t="n"/>
      <c r="P63" s="78" t="n">
        <v>4.4</v>
      </c>
      <c r="Q63" s="77" t="n">
        <v>5844</v>
      </c>
      <c r="R63" s="77" t="n">
        <v>2867</v>
      </c>
      <c r="S63" s="77" t="n">
        <v>6</v>
      </c>
      <c r="T63" s="39" t="n"/>
    </row>
    <row r="64" ht="62" customHeight="1">
      <c r="A64" s="12">
        <f>_xlfn.IMAGE("https://m.media-amazon.com/images/I/81kW25KnIDL.jpg")</f>
        <v/>
      </c>
      <c r="B64" s="39" t="inlineStr">
        <is>
          <t>B0CRHYHS4X</t>
        </is>
      </c>
      <c r="C64" s="39" t="inlineStr">
        <is>
          <t>BAMBOO-CALIFKING-BURGUNDY-NEW</t>
        </is>
      </c>
      <c r="D64" s="39" t="inlineStr">
        <is>
          <t>DECOLURE 100% Organic Viscose Derived from Bamboo Sheets Cal King Size 4pcs - Ultra Soft &amp; Luxuriously Cooling, 17" Deep Pocket, Double Stitching, Perfect for Hot Sleepers - King Bed Sheets (Burgundy)</t>
        </is>
      </c>
      <c r="E64" s="39" t="inlineStr">
        <is>
          <t>California King</t>
        </is>
      </c>
      <c r="F64" s="39" t="inlineStr">
        <is>
          <t>Burgundy</t>
        </is>
      </c>
      <c r="G64" s="73" t="n">
        <v>99.98999999999999</v>
      </c>
      <c r="H64" s="39" t="inlineStr">
        <is>
          <t>catalog price (CAD), 2026-10-14</t>
        </is>
      </c>
      <c r="I64" s="74" t="n">
        <v>99.98999999999999</v>
      </c>
      <c r="J64" s="75" t="inlineStr">
        <is>
          <t>2026-03-30</t>
        </is>
      </c>
      <c r="K64" s="40" t="n">
        <v>43.48</v>
      </c>
      <c r="L64" s="76" t="n">
        <v>0.4348434843484348</v>
      </c>
      <c r="M64" s="77" t="n">
        <v>1</v>
      </c>
      <c r="N64" s="39" t="inlineStr">
        <is>
          <t>Active</t>
        </is>
      </c>
      <c r="O64" s="39" t="n"/>
      <c r="P64" s="78" t="n">
        <v>4.4</v>
      </c>
      <c r="Q64" s="77" t="n">
        <v>5844</v>
      </c>
      <c r="R64" s="77" t="n">
        <v>2867</v>
      </c>
      <c r="S64" s="77" t="n">
        <v>6</v>
      </c>
      <c r="T64" s="39" t="n"/>
    </row>
    <row r="65" ht="62" customHeight="1">
      <c r="A65" s="12">
        <f>_xlfn.IMAGE("https://m.media-amazon.com/images/I/81Mz595QL2L.jpg")</f>
        <v/>
      </c>
      <c r="B65" s="39" t="inlineStr">
        <is>
          <t>B08KQLFRVR</t>
        </is>
      </c>
      <c r="C65" s="39" t="inlineStr">
        <is>
          <t>BAMBOO-CALIFKING-LIGHTGREY</t>
        </is>
      </c>
      <c r="D65" s="39" t="inlineStr">
        <is>
          <t>DECOLURE 100% Organic Bamboo Viscose Sheets California King Size 4 pcs - Ultra Soft &amp; Luxuriously Cooling, 16" Deep Pocket, Double Stitching,Perfect for Hot Sleepers - King Bed Sheets Set (Light Grey)</t>
        </is>
      </c>
      <c r="E65" s="39" t="inlineStr">
        <is>
          <t>California King</t>
        </is>
      </c>
      <c r="F65" s="39" t="inlineStr">
        <is>
          <t>Light Grey</t>
        </is>
      </c>
      <c r="G65" s="73" t="n">
        <v>99.98999999999999</v>
      </c>
      <c r="H65" s="39" t="inlineStr">
        <is>
          <t>catalog price (CAD), 2026-10-14</t>
        </is>
      </c>
      <c r="I65" s="74" t="n">
        <v>99.98999999999999</v>
      </c>
      <c r="J65" s="75" t="inlineStr">
        <is>
          <t>2026-03-30</t>
        </is>
      </c>
      <c r="K65" s="40" t="n">
        <v>44.69999999999999</v>
      </c>
      <c r="L65" s="76" t="n">
        <v>0.447044704470447</v>
      </c>
      <c r="M65" s="77" t="n">
        <v>1</v>
      </c>
      <c r="N65" s="39" t="inlineStr">
        <is>
          <t>Active</t>
        </is>
      </c>
      <c r="O65" s="39" t="n"/>
      <c r="P65" s="78" t="n">
        <v>4.4</v>
      </c>
      <c r="Q65" s="77" t="n">
        <v>5844</v>
      </c>
      <c r="R65" s="77" t="n">
        <v>2867</v>
      </c>
      <c r="S65" s="77" t="n">
        <v>6</v>
      </c>
      <c r="T65" s="39" t="n"/>
    </row>
    <row r="66" ht="62" customHeight="1">
      <c r="A66" s="12">
        <f>_xlfn.IMAGE("https://m.media-amazon.com/images/I/81Jrmiuxy2L.jpg")</f>
        <v/>
      </c>
      <c r="B66" s="39" t="inlineStr">
        <is>
          <t>B08KQ3C8BX</t>
        </is>
      </c>
      <c r="C66" s="39" t="inlineStr">
        <is>
          <t>BAMBOO-CALIFKING-NAVYBLUE</t>
        </is>
      </c>
      <c r="D66" s="39" t="inlineStr">
        <is>
          <t>DECOLURE 100% Organic Bamboo Viscose Sheets California King Size 4 pcs - Ultra Soft &amp; Luxuriously Cooling, 16" Deep Pocket, Double Stitching,Perfect for Hot Sleepers - King Bed Sheets Set (Navy Blue)</t>
        </is>
      </c>
      <c r="E66" s="39" t="inlineStr">
        <is>
          <t>California King</t>
        </is>
      </c>
      <c r="F66" s="39" t="inlineStr">
        <is>
          <t>Navy Blue</t>
        </is>
      </c>
      <c r="G66" s="73" t="n">
        <v>99.98999999999999</v>
      </c>
      <c r="H66" s="39" t="inlineStr">
        <is>
          <t>catalog price (CAD), 2026-10-14</t>
        </is>
      </c>
      <c r="I66" s="74" t="n">
        <v>99.98999999999999</v>
      </c>
      <c r="J66" s="75" t="inlineStr">
        <is>
          <t>2026-03-30</t>
        </is>
      </c>
      <c r="K66" s="40" t="n">
        <v>45.2</v>
      </c>
      <c r="L66" s="76" t="n">
        <v>0.4520452045204521</v>
      </c>
      <c r="M66" s="77" t="n">
        <v>1</v>
      </c>
      <c r="N66" s="39" t="inlineStr">
        <is>
          <t>Active</t>
        </is>
      </c>
      <c r="O66" s="39" t="n"/>
      <c r="P66" s="78" t="n">
        <v>4.4</v>
      </c>
      <c r="Q66" s="77" t="n">
        <v>5844</v>
      </c>
      <c r="R66" s="77" t="n">
        <v>2867</v>
      </c>
      <c r="S66" s="77" t="n">
        <v>6</v>
      </c>
      <c r="T66" s="39" t="n"/>
    </row>
    <row r="67" ht="62" customHeight="1">
      <c r="A67" s="12">
        <f>_xlfn.IMAGE("https://m.media-amazon.com/images/I/81T+gwobemL.jpg")</f>
        <v/>
      </c>
      <c r="B67" s="39" t="inlineStr">
        <is>
          <t>B0CLKCVLRG</t>
        </is>
      </c>
      <c r="C67" s="39" t="inlineStr">
        <is>
          <t>BAMBOO-CALIFKING-SAGE GREEN</t>
        </is>
      </c>
      <c r="D67" s="39" t="inlineStr">
        <is>
          <t>DECOLURE 100% Organic Viscose Derived from Bamboo Sheets Cal King Size 4pcs - Ultra Soft &amp; Luxuriously Cooling, 17" Deep Pocket,Double Stitching,Perfect for Hot Sleepers - King Bed Sheets (Sage Green)</t>
        </is>
      </c>
      <c r="E67" s="39" t="inlineStr">
        <is>
          <t>California King</t>
        </is>
      </c>
      <c r="F67" s="39" t="inlineStr">
        <is>
          <t>Sage Green</t>
        </is>
      </c>
      <c r="G67" s="73" t="n">
        <v>99.98999999999999</v>
      </c>
      <c r="H67" s="39" t="inlineStr">
        <is>
          <t>catalog price (CAD), 2026-10-14</t>
        </is>
      </c>
      <c r="I67" s="74" t="n">
        <v>99.98999999999999</v>
      </c>
      <c r="J67" s="75" t="inlineStr">
        <is>
          <t>2026-03-30</t>
        </is>
      </c>
      <c r="K67" s="40" t="n">
        <v>44.78</v>
      </c>
      <c r="L67" s="76" t="n">
        <v>0.4478447844784479</v>
      </c>
      <c r="M67" s="77" t="n">
        <v>1</v>
      </c>
      <c r="N67" s="39" t="inlineStr">
        <is>
          <t>Inactive</t>
        </is>
      </c>
      <c r="O67" s="39" t="n"/>
      <c r="P67" s="78" t="n">
        <v>4.4</v>
      </c>
      <c r="Q67" s="77" t="n">
        <v>5844</v>
      </c>
      <c r="R67" s="77" t="n">
        <v>2867</v>
      </c>
      <c r="S67" s="77" t="n">
        <v>5</v>
      </c>
      <c r="T67" s="39" t="n"/>
    </row>
    <row r="68" ht="62" customHeight="1">
      <c r="A68" s="12">
        <f>_xlfn.IMAGE("https://m.media-amazon.com/images/I/81jtUZ9WZqL.jpg")</f>
        <v/>
      </c>
      <c r="B68" s="39" t="inlineStr">
        <is>
          <t>B08KQJ3JSW</t>
        </is>
      </c>
      <c r="C68" s="39" t="inlineStr">
        <is>
          <t>BAMBOO-FULL-CREME</t>
        </is>
      </c>
      <c r="D68" s="39" t="inlineStr">
        <is>
          <t>DECOLURE 100% Organic Bamboo Viscose Sheets Full Size 4 pcs - Ultra Soft &amp; Luxuriously Cooling, 16" Deep Pocket, Double Stitching, Perfect for Hot Sleepers - Luxury Full Bed Sheets Set (Creme)</t>
        </is>
      </c>
      <c r="E68" s="39" t="inlineStr">
        <is>
          <t>Full</t>
        </is>
      </c>
      <c r="F68" s="39" t="inlineStr">
        <is>
          <t>Creme</t>
        </is>
      </c>
      <c r="G68" s="73" t="n">
        <v>79.98999999999999</v>
      </c>
      <c r="H68" s="39" t="inlineStr">
        <is>
          <t>catalog price (CAD), 2026-10-14</t>
        </is>
      </c>
      <c r="I68" s="74" t="n">
        <v>92.36</v>
      </c>
      <c r="J68" s="75" t="inlineStr">
        <is>
          <t>2026-03-30</t>
        </is>
      </c>
      <c r="K68" s="40" t="n">
        <v>39.60000000000001</v>
      </c>
      <c r="L68" s="76" t="n">
        <v>0.4287570376786489</v>
      </c>
      <c r="M68" s="77" t="n">
        <v>1</v>
      </c>
      <c r="N68" s="39" t="inlineStr">
        <is>
          <t>Active</t>
        </is>
      </c>
      <c r="O68" s="39" t="n"/>
      <c r="P68" s="78" t="n">
        <v>4.4</v>
      </c>
      <c r="Q68" s="77" t="n">
        <v>5844</v>
      </c>
      <c r="R68" s="77" t="n">
        <v>2867</v>
      </c>
      <c r="S68" s="77" t="n">
        <v>12</v>
      </c>
      <c r="T68" s="39" t="n"/>
    </row>
    <row r="69" ht="62" customHeight="1">
      <c r="A69" s="12">
        <f>_xlfn.IMAGE("https://m.media-amazon.com/images/I/81aBlh93veL.jpg")</f>
        <v/>
      </c>
      <c r="B69" s="39" t="inlineStr">
        <is>
          <t>B0BZQ43D7W</t>
        </is>
      </c>
      <c r="C69" s="39" t="inlineStr">
        <is>
          <t>BAMBOO-FULL-MIDGREY</t>
        </is>
      </c>
      <c r="D69" s="39" t="inlineStr">
        <is>
          <t>DECOLURE 100% Organic Bamboo Viscose Sheets Full Size 4 pcs - Ultra Soft &amp; Luxuriously Cooling, 16" Deep Pocket, Double Stitching, Perfect for Hot Sleepers - Luxury Full Bed Sheets Set (Midgrey)</t>
        </is>
      </c>
      <c r="E69" s="39" t="inlineStr">
        <is>
          <t>Full</t>
        </is>
      </c>
      <c r="F69" s="39" t="inlineStr">
        <is>
          <t>Midgrey</t>
        </is>
      </c>
      <c r="G69" s="73" t="n">
        <v>79.98999999999999</v>
      </c>
      <c r="H69" s="39" t="inlineStr">
        <is>
          <t>catalog price (CAD), 2026-10-14</t>
        </is>
      </c>
      <c r="I69" s="74" t="n">
        <v>92.14</v>
      </c>
      <c r="J69" s="75" t="inlineStr">
        <is>
          <t>2026-03-30</t>
        </is>
      </c>
      <c r="K69" s="40" t="n">
        <v>39.20999999999999</v>
      </c>
      <c r="L69" s="76" t="n">
        <v>0.4255480790102018</v>
      </c>
      <c r="M69" s="77" t="n">
        <v>1</v>
      </c>
      <c r="N69" s="39" t="inlineStr">
        <is>
          <t>Active</t>
        </is>
      </c>
      <c r="O69" s="39" t="n"/>
      <c r="P69" s="78" t="n">
        <v>4.4</v>
      </c>
      <c r="Q69" s="77" t="n">
        <v>5844</v>
      </c>
      <c r="R69" s="77" t="n">
        <v>2867</v>
      </c>
      <c r="S69" s="77" t="n">
        <v>13</v>
      </c>
      <c r="T69" s="39" t="n"/>
    </row>
    <row r="70" ht="62" customHeight="1">
      <c r="A70" s="12">
        <f>_xlfn.IMAGE("https://m.media-amazon.com/images/I/81Jrmiuxy2L.jpg")</f>
        <v/>
      </c>
      <c r="B70" s="39" t="inlineStr">
        <is>
          <t>B08KQK9WCY</t>
        </is>
      </c>
      <c r="C70" s="39" t="inlineStr">
        <is>
          <t>BAMBOO-KING-NAVYBLUE</t>
        </is>
      </c>
      <c r="D70" s="39" t="inlineStr">
        <is>
          <t>DECOLURE 100% Organic Bamboo Viscose Sheets King Size 4 pcs - Ultra Soft &amp; Luxuriously Cooling, 16" Deep Pocket, Double Stitching, Perfect for Hot Sleepers - Luxury King Bed Sheets Set (Navy Blue)</t>
        </is>
      </c>
      <c r="E70" s="39" t="inlineStr">
        <is>
          <t>King</t>
        </is>
      </c>
      <c r="F70" s="39" t="inlineStr">
        <is>
          <t>Navy Blue</t>
        </is>
      </c>
      <c r="G70" s="73" t="n">
        <v>99.98999999999999</v>
      </c>
      <c r="H70" s="39" t="inlineStr">
        <is>
          <t>catalog price (CAD), 2026-10-14</t>
        </is>
      </c>
      <c r="I70" s="74" t="n">
        <v>115.68</v>
      </c>
      <c r="J70" s="75" t="inlineStr">
        <is>
          <t>2026-03-30</t>
        </is>
      </c>
      <c r="K70" s="40" t="n">
        <v>51.41000000000001</v>
      </c>
      <c r="L70" s="76" t="n">
        <v>0.4444156293222685</v>
      </c>
      <c r="M70" s="77" t="n">
        <v>1</v>
      </c>
      <c r="N70" s="39" t="inlineStr">
        <is>
          <t>Active</t>
        </is>
      </c>
      <c r="O70" s="39" t="n"/>
      <c r="P70" s="78" t="n">
        <v>4.4</v>
      </c>
      <c r="Q70" s="77" t="n">
        <v>5844</v>
      </c>
      <c r="R70" s="77" t="n">
        <v>2867</v>
      </c>
      <c r="S70" s="77" t="n">
        <v>6</v>
      </c>
      <c r="T70" s="39" t="n"/>
    </row>
    <row r="71" ht="62" customHeight="1">
      <c r="A71" s="12">
        <f>_xlfn.IMAGE("https://m.media-amazon.com/images/I/81OoEiBHwdL.jpg")</f>
        <v/>
      </c>
      <c r="B71" s="39" t="inlineStr">
        <is>
          <t>B08KQK8Z1J</t>
        </is>
      </c>
      <c r="C71" s="39" t="inlineStr">
        <is>
          <t>BAMBOO-TWIN-LIGHTGREY</t>
        </is>
      </c>
      <c r="D71" s="39" t="inlineStr">
        <is>
          <t>DECOLURE 100% Organic Bamboo Viscose Sheets Twin Size 3 pcs - Ultra Soft &amp; Luxuriously Cooling, 16" Deep Pocket, Double Stitching,Perfect for Hot Sleepers - Luxury Twin Bed Sheets Set (Light Grey)</t>
        </is>
      </c>
      <c r="E71" s="39" t="inlineStr">
        <is>
          <t>Twin</t>
        </is>
      </c>
      <c r="F71" s="39" t="inlineStr">
        <is>
          <t>Light Grey</t>
        </is>
      </c>
      <c r="G71" s="73" t="n">
        <v>79.98999999999999</v>
      </c>
      <c r="H71" s="39" t="inlineStr">
        <is>
          <t>catalog price (CAD), 2026-10-14</t>
        </is>
      </c>
      <c r="I71" s="74" t="n">
        <v>79.98999999999999</v>
      </c>
      <c r="J71" s="75" t="inlineStr">
        <is>
          <t>2026-03-30</t>
        </is>
      </c>
      <c r="K71" s="40" t="n">
        <v>38.87</v>
      </c>
      <c r="L71" s="76" t="n">
        <v>0.485935741967746</v>
      </c>
      <c r="M71" s="77" t="n">
        <v>1</v>
      </c>
      <c r="N71" s="39" t="inlineStr">
        <is>
          <t>Active</t>
        </is>
      </c>
      <c r="O71" s="39" t="n"/>
      <c r="P71" s="78" t="n">
        <v>4.4</v>
      </c>
      <c r="Q71" s="77" t="n">
        <v>5844</v>
      </c>
      <c r="R71" s="77" t="n">
        <v>2867</v>
      </c>
      <c r="S71" s="77" t="n">
        <v>11</v>
      </c>
      <c r="T71" s="39" t="n"/>
    </row>
    <row r="72" ht="62" customHeight="1">
      <c r="A72" s="12">
        <f>_xlfn.IMAGE("https://m.media-amazon.com/images/I/810zJsI9KBL.jpg")</f>
        <v/>
      </c>
      <c r="B72" s="39" t="inlineStr">
        <is>
          <t>B0CLKDMGHC</t>
        </is>
      </c>
      <c r="C72" s="39" t="inlineStr">
        <is>
          <t>BAMBOO-TWIN-LIGHT PINK</t>
        </is>
      </c>
      <c r="D72" s="39" t="inlineStr">
        <is>
          <t>DECOLURE 100% Organic Viscose Derived from Bamboo Sheets Twin Size 3pcs - Ultra Soft &amp; Luxuriously Cooling, 17" Deep Pocket, Double Stitching, Perfect for Hot Sleepers - Twin Bed Sheets (Light Pink)</t>
        </is>
      </c>
      <c r="E72" s="39" t="inlineStr">
        <is>
          <t>Twin</t>
        </is>
      </c>
      <c r="F72" s="39" t="inlineStr">
        <is>
          <t>Light Pink</t>
        </is>
      </c>
      <c r="G72" s="73" t="n">
        <v>79.98999999999999</v>
      </c>
      <c r="H72" s="39" t="inlineStr">
        <is>
          <t>catalog price (CAD), 2026-10-14</t>
        </is>
      </c>
      <c r="I72" s="74" t="n">
        <v>79.98999999999999</v>
      </c>
      <c r="J72" s="75" t="inlineStr">
        <is>
          <t>2026-03-30</t>
        </is>
      </c>
      <c r="K72" s="40" t="n">
        <v>39.41</v>
      </c>
      <c r="L72" s="76" t="n">
        <v>0.4926865858232279</v>
      </c>
      <c r="M72" s="77" t="n">
        <v>1</v>
      </c>
      <c r="N72" s="39" t="inlineStr">
        <is>
          <t>Active</t>
        </is>
      </c>
      <c r="O72" s="39" t="n"/>
      <c r="P72" s="78" t="n">
        <v>4.4</v>
      </c>
      <c r="Q72" s="77" t="n">
        <v>5844</v>
      </c>
      <c r="R72" s="77" t="n">
        <v>2867</v>
      </c>
      <c r="S72" s="77" t="n">
        <v>9</v>
      </c>
      <c r="T72" s="39" t="n"/>
    </row>
    <row r="73" ht="62" customHeight="1">
      <c r="A73" s="12">
        <f>_xlfn.IMAGE("https://m.media-amazon.com/images/I/81F0yDBRKQL.jpg")</f>
        <v/>
      </c>
      <c r="B73" s="39" t="inlineStr">
        <is>
          <t>B0CLKBT95K</t>
        </is>
      </c>
      <c r="C73" s="39" t="inlineStr">
        <is>
          <t>BAMBOO-TWIN-SAGE GREEN</t>
        </is>
      </c>
      <c r="D73" s="39" t="inlineStr">
        <is>
          <t>DECOLURE 100% Organic Viscose Derived from Bamboo Sheets Twin Size 3pcs - Ultra Soft &amp; Luxuriously Cooling, 17" Deep Pocket, Double Stitching, Perfect for Hot Sleepers - Twin Bed Sheets (Sage Green)</t>
        </is>
      </c>
      <c r="E73" s="39" t="inlineStr">
        <is>
          <t>Twin</t>
        </is>
      </c>
      <c r="F73" s="39" t="inlineStr">
        <is>
          <t>Sage Green</t>
        </is>
      </c>
      <c r="G73" s="73" t="n">
        <v>79.98999999999999</v>
      </c>
      <c r="H73" s="39" t="inlineStr">
        <is>
          <t>catalog price (CAD), 2026-10-14</t>
        </is>
      </c>
      <c r="I73" s="74" t="n">
        <v>79.98999999999999</v>
      </c>
      <c r="J73" s="75" t="inlineStr">
        <is>
          <t>2026-03-30</t>
        </is>
      </c>
      <c r="K73" s="40" t="n">
        <v>39.62</v>
      </c>
      <c r="L73" s="76" t="n">
        <v>0.4953119139892487</v>
      </c>
      <c r="M73" s="77" t="n">
        <v>1</v>
      </c>
      <c r="N73" s="39" t="inlineStr">
        <is>
          <t>Active</t>
        </is>
      </c>
      <c r="O73" s="39" t="n"/>
      <c r="P73" s="78" t="n">
        <v>4.4</v>
      </c>
      <c r="Q73" s="77" t="n">
        <v>5844</v>
      </c>
      <c r="R73" s="77" t="n">
        <v>2867</v>
      </c>
      <c r="S73" s="77" t="n">
        <v>11</v>
      </c>
      <c r="T73" s="39" t="n"/>
    </row>
    <row r="74" ht="62" customHeight="1">
      <c r="A74" s="12">
        <f>_xlfn.IMAGE("https://m.media-amazon.com/images/I/81YWxJJr8JL.jpg")</f>
        <v/>
      </c>
      <c r="B74" s="39" t="inlineStr">
        <is>
          <t>B0BZPZQCBL</t>
        </is>
      </c>
      <c r="C74" s="39" t="inlineStr">
        <is>
          <t>BAMBOO-CALIFKING-CHARCOAL</t>
        </is>
      </c>
      <c r="D74" s="39" t="inlineStr">
        <is>
          <t>DECOLURE 100% Organic Bamboo Viscose Sheets California King Size 4 pcs - Ultra Soft &amp; Luxuriously Cooling, 16" Deep Pocket, Double Stitching,Perfect for Hot Sleepers - King Bed Sheets Set (Charcoal)</t>
        </is>
      </c>
      <c r="E74" s="39" t="inlineStr">
        <is>
          <t>California King</t>
        </is>
      </c>
      <c r="F74" s="39" t="inlineStr">
        <is>
          <t>Charcoal</t>
        </is>
      </c>
      <c r="G74" s="73" t="n">
        <v>156.79</v>
      </c>
      <c r="H74" s="39" t="inlineStr">
        <is>
          <t>catalog price (CAD), 2026-10-14</t>
        </is>
      </c>
      <c r="I74" s="74" t="n">
        <v>99.98999999999999</v>
      </c>
      <c r="J74" s="75" t="inlineStr">
        <is>
          <t>2026-03-30</t>
        </is>
      </c>
      <c r="K74" s="40" t="n">
        <v>44.33</v>
      </c>
      <c r="L74" s="76" t="n">
        <v>0.4433443344334434</v>
      </c>
      <c r="M74" s="77" t="n"/>
      <c r="N74" s="39" t="inlineStr">
        <is>
          <t>Inactive</t>
        </is>
      </c>
      <c r="O74" s="39" t="n"/>
      <c r="P74" s="78" t="n">
        <v>4.4</v>
      </c>
      <c r="Q74" s="77" t="n">
        <v>5844</v>
      </c>
      <c r="R74" s="77" t="n">
        <v>2867</v>
      </c>
      <c r="S74" s="77" t="n">
        <v>3</v>
      </c>
      <c r="T74" s="39" t="n"/>
    </row>
    <row r="75" ht="62" customHeight="1">
      <c r="A75" s="12">
        <f>_xlfn.IMAGE("https://m.media-amazon.com/images/I/81wmkV-8ExL.jpg")</f>
        <v/>
      </c>
      <c r="B75" s="39" t="inlineStr">
        <is>
          <t>B08KQJBFFY</t>
        </is>
      </c>
      <c r="C75" s="39" t="inlineStr">
        <is>
          <t>BAMBOO-CALIFKING-GREY</t>
        </is>
      </c>
      <c r="D75" s="39" t="inlineStr">
        <is>
          <t>DECOLURE 100% Organic Bamboo Viscose Sheets California King Size 4 pcs - Ultra Soft &amp; Luxuriously Cooling, 16" Deep Pocket, Double Stitching, Perfect for Hot Sleepers - King Bed Sheets Set (Grey)</t>
        </is>
      </c>
      <c r="E75" s="39" t="inlineStr">
        <is>
          <t>California King</t>
        </is>
      </c>
      <c r="F75" s="39" t="inlineStr">
        <is>
          <t>Grey</t>
        </is>
      </c>
      <c r="G75" s="73" t="n">
        <v>99.98999999999999</v>
      </c>
      <c r="H75" s="39" t="inlineStr">
        <is>
          <t>catalog price (CAD), 2026-10-14</t>
        </is>
      </c>
      <c r="I75" s="74" t="n">
        <v>99.98999999999999</v>
      </c>
      <c r="J75" s="75" t="inlineStr">
        <is>
          <t>2026-03-30</t>
        </is>
      </c>
      <c r="K75" s="40" t="n">
        <v>44.95999999999999</v>
      </c>
      <c r="L75" s="76" t="n">
        <v>0.4496449644964496</v>
      </c>
      <c r="M75" s="77" t="n">
        <v>0</v>
      </c>
      <c r="N75" s="39" t="inlineStr">
        <is>
          <t>Active</t>
        </is>
      </c>
      <c r="O75" s="39" t="n"/>
      <c r="P75" s="78" t="n">
        <v>4.4</v>
      </c>
      <c r="Q75" s="77" t="n">
        <v>5844</v>
      </c>
      <c r="R75" s="77" t="n">
        <v>2867</v>
      </c>
      <c r="S75" s="77" t="n">
        <v>6</v>
      </c>
      <c r="T75" s="39" t="n"/>
    </row>
    <row r="76" ht="62" customHeight="1">
      <c r="A76" s="12">
        <f>_xlfn.IMAGE("https://m.media-amazon.com/images/I/81Jj2qvOarL.jpg")</f>
        <v/>
      </c>
      <c r="B76" s="39" t="inlineStr">
        <is>
          <t>B08KQHSWSJ</t>
        </is>
      </c>
      <c r="C76" s="39" t="inlineStr">
        <is>
          <t>BAMBOO-CALIFKING-LIGHTBLUE</t>
        </is>
      </c>
      <c r="D76" s="39" t="inlineStr">
        <is>
          <t>DECOLURE 100% Organic Bamboo Viscose Sheets California King Size 4 pcs - Ultra Soft &amp; Luxuriously Cooling, 16" Deep Pocket, Double Stitching,Perfect for Hot Sleepers - King Bed Sheets Set (Light Blue)</t>
        </is>
      </c>
      <c r="E76" s="39" t="inlineStr">
        <is>
          <t>California King</t>
        </is>
      </c>
      <c r="F76" s="39" t="inlineStr">
        <is>
          <t>Light Blue</t>
        </is>
      </c>
      <c r="G76" s="73" t="n">
        <v>95</v>
      </c>
      <c r="H76" s="39" t="inlineStr">
        <is>
          <t>catalog price (CAD), 2026-10-14</t>
        </is>
      </c>
      <c r="I76" s="74" t="n">
        <v>99.98999999999999</v>
      </c>
      <c r="J76" s="75" t="inlineStr">
        <is>
          <t>2026-03-30</t>
        </is>
      </c>
      <c r="K76" s="40" t="n">
        <v>44.01999999999999</v>
      </c>
      <c r="L76" s="76" t="n">
        <v>0.4402440244024401</v>
      </c>
      <c r="M76" s="77" t="n"/>
      <c r="N76" s="39" t="inlineStr">
        <is>
          <t>Inactive</t>
        </is>
      </c>
      <c r="O76" s="39" t="n"/>
      <c r="P76" s="78" t="n">
        <v>4.4</v>
      </c>
      <c r="Q76" s="77" t="n">
        <v>5844</v>
      </c>
      <c r="R76" s="77" t="n">
        <v>2867</v>
      </c>
      <c r="S76" s="77" t="n">
        <v>7</v>
      </c>
      <c r="T76" s="39" t="n"/>
    </row>
    <row r="77" ht="62" customHeight="1">
      <c r="A77" s="12">
        <f>_xlfn.IMAGE("https://m.media-amazon.com/images/I/81jAmePDWeL.jpg")</f>
        <v/>
      </c>
      <c r="B77" s="39" t="inlineStr">
        <is>
          <t>B0BZQ19Z47</t>
        </is>
      </c>
      <c r="C77" s="39" t="inlineStr">
        <is>
          <t>BAMBOO-CALIFKING-LIGHTOLIVE</t>
        </is>
      </c>
      <c r="D77" s="39" t="inlineStr">
        <is>
          <t>DECOLURE 100% Organic Bamboo Viscose Sheets California King Size 4 pcs - Ultra Soft &amp; Luxuriously Cooling, 16" Deep Pocket,Double Stitching,Perfect for Hot Sleepers - King Bed Sheets Set (Light Olive)</t>
        </is>
      </c>
      <c r="E77" s="39" t="inlineStr">
        <is>
          <t>California King</t>
        </is>
      </c>
      <c r="F77" s="39" t="inlineStr">
        <is>
          <t>Light Olive</t>
        </is>
      </c>
      <c r="G77" s="73" t="n">
        <v>99.98999999999999</v>
      </c>
      <c r="H77" s="39" t="inlineStr">
        <is>
          <t>catalog price (CAD), 2026-10-14</t>
        </is>
      </c>
      <c r="I77" s="74" t="n">
        <v>99.98999999999999</v>
      </c>
      <c r="J77" s="75" t="inlineStr">
        <is>
          <t>2026-03-30</t>
        </is>
      </c>
      <c r="K77" s="40" t="n">
        <v>44.51000000000001</v>
      </c>
      <c r="L77" s="76" t="n">
        <v>0.4451445144514452</v>
      </c>
      <c r="M77" s="77" t="n">
        <v>0</v>
      </c>
      <c r="N77" s="39" t="inlineStr">
        <is>
          <t>Active</t>
        </is>
      </c>
      <c r="O77" s="39" t="n"/>
      <c r="P77" s="78" t="n">
        <v>4.4</v>
      </c>
      <c r="Q77" s="77" t="n">
        <v>5844</v>
      </c>
      <c r="R77" s="77" t="n">
        <v>2867</v>
      </c>
      <c r="S77" s="77" t="n">
        <v>6</v>
      </c>
      <c r="T77" s="39" t="n"/>
    </row>
    <row r="78" ht="62" customHeight="1">
      <c r="A78" s="12">
        <f>_xlfn.IMAGE("https://m.media-amazon.com/images/I/81hxPp-zxnL.jpg")</f>
        <v/>
      </c>
      <c r="B78" s="39" t="inlineStr">
        <is>
          <t>B0CLKD23ZH</t>
        </is>
      </c>
      <c r="C78" s="39" t="inlineStr">
        <is>
          <t>BAMBOO-CALIFKING-LIGHT PINK</t>
        </is>
      </c>
      <c r="D78" s="39" t="inlineStr">
        <is>
          <t>DECOLURE 100% Organic Viscose Derived from Bamboo Sheets Cal King Size 4pcs - Ultra Soft &amp; Luxuriously Cooling, 17" Deep Pocket,Double Stitching,Perfect for Hot Sleepers - King Bed Sheets (Light Pink)</t>
        </is>
      </c>
      <c r="E78" s="39" t="inlineStr">
        <is>
          <t>California King</t>
        </is>
      </c>
      <c r="F78" s="39" t="inlineStr">
        <is>
          <t>Light Pink</t>
        </is>
      </c>
      <c r="G78" s="73" t="n">
        <v>99.98999999999999</v>
      </c>
      <c r="H78" s="39" t="inlineStr">
        <is>
          <t>catalog price (CAD), 2026-10-14</t>
        </is>
      </c>
      <c r="I78" s="74" t="n">
        <v>99.98999999999999</v>
      </c>
      <c r="J78" s="75" t="inlineStr">
        <is>
          <t>2026-03-30</t>
        </is>
      </c>
      <c r="K78" s="40" t="n">
        <v>44.78</v>
      </c>
      <c r="L78" s="76" t="n">
        <v>0.4478447844784479</v>
      </c>
      <c r="M78" s="77" t="n">
        <v>0</v>
      </c>
      <c r="N78" s="39" t="inlineStr">
        <is>
          <t>Active</t>
        </is>
      </c>
      <c r="O78" s="39" t="n"/>
      <c r="P78" s="78" t="n">
        <v>4.4</v>
      </c>
      <c r="Q78" s="77" t="n">
        <v>5844</v>
      </c>
      <c r="R78" s="77" t="n">
        <v>2867</v>
      </c>
      <c r="S78" s="77" t="n">
        <v>6</v>
      </c>
      <c r="T78" s="39" t="n"/>
    </row>
    <row r="79" ht="62" customHeight="1">
      <c r="A79" s="12">
        <f>_xlfn.IMAGE("https://m.media-amazon.com/images/I/81aBlh93veL.jpg")</f>
        <v/>
      </c>
      <c r="B79" s="39" t="inlineStr">
        <is>
          <t>B0BZPY841G</t>
        </is>
      </c>
      <c r="C79" s="39" t="inlineStr">
        <is>
          <t>BAMBOO-CALIFKING-MIDGREY</t>
        </is>
      </c>
      <c r="D79" s="39" t="inlineStr">
        <is>
          <t>DECOLURE 100% Organic Bamboo Viscose Sheets California King Size 4 pcs - Ultra Soft &amp; Luxuriously Cooling, 16" Deep Pocket, Double Stitching, Perfect for Hot Sleepers - King Bed Sheets Set (Midgrey)</t>
        </is>
      </c>
      <c r="E79" s="39" t="inlineStr">
        <is>
          <t>California King</t>
        </is>
      </c>
      <c r="F79" s="39" t="inlineStr">
        <is>
          <t>Midgrey</t>
        </is>
      </c>
      <c r="G79" s="73" t="n">
        <v>99.98999999999999</v>
      </c>
      <c r="H79" s="39" t="inlineStr">
        <is>
          <t>catalog price (CAD), 2026-10-14</t>
        </is>
      </c>
      <c r="I79" s="74" t="n">
        <v>99.98999999999999</v>
      </c>
      <c r="J79" s="75" t="inlineStr">
        <is>
          <t>2026-03-30</t>
        </is>
      </c>
      <c r="K79" s="40" t="n">
        <v>44.41</v>
      </c>
      <c r="L79" s="76" t="n">
        <v>0.4441444144414441</v>
      </c>
      <c r="M79" s="77" t="n">
        <v>0</v>
      </c>
      <c r="N79" s="39" t="inlineStr">
        <is>
          <t>Active</t>
        </is>
      </c>
      <c r="O79" s="39" t="n"/>
      <c r="P79" s="78" t="n">
        <v>4.4</v>
      </c>
      <c r="Q79" s="77" t="n">
        <v>5844</v>
      </c>
      <c r="R79" s="77" t="n">
        <v>2867</v>
      </c>
      <c r="S79" s="77" t="n">
        <v>6</v>
      </c>
      <c r="T79" s="39" t="n"/>
    </row>
    <row r="80" ht="62" customHeight="1">
      <c r="A80" s="12">
        <f>_xlfn.IMAGE("https://m.media-amazon.com/images/I/81xihWts51L.jpg")</f>
        <v/>
      </c>
      <c r="B80" s="39" t="inlineStr">
        <is>
          <t>B08KQJZHGC</t>
        </is>
      </c>
      <c r="C80" s="39" t="inlineStr">
        <is>
          <t>BAMBOO-CALIFKING-OLIVE</t>
        </is>
      </c>
      <c r="D80" s="39" t="inlineStr">
        <is>
          <t>DECOLURE 100% Organic Bamboo Viscose Sheets California King Size 4 pcs - Ultra Soft &amp; Luxuriously Cooling, 16" Deep Pocket, Double Stitching, Perfect for Hot Sleepers - King Bed Sheets Set (Olive)</t>
        </is>
      </c>
      <c r="E80" s="39" t="inlineStr">
        <is>
          <t>California King</t>
        </is>
      </c>
      <c r="F80" s="39" t="inlineStr">
        <is>
          <t>Olive</t>
        </is>
      </c>
      <c r="G80" s="73" t="n">
        <v>99.98999999999999</v>
      </c>
      <c r="H80" s="39" t="inlineStr">
        <is>
          <t>catalog price (CAD), 2026-10-14</t>
        </is>
      </c>
      <c r="I80" s="74" t="n">
        <v>99.98999999999999</v>
      </c>
      <c r="J80" s="75" t="inlineStr">
        <is>
          <t>2026-03-30</t>
        </is>
      </c>
      <c r="K80" s="40" t="n">
        <v>44.95999999999999</v>
      </c>
      <c r="L80" s="76" t="n">
        <v>0.4496449644964496</v>
      </c>
      <c r="M80" s="77" t="n">
        <v>0</v>
      </c>
      <c r="N80" s="39" t="inlineStr">
        <is>
          <t>Active</t>
        </is>
      </c>
      <c r="O80" s="39" t="n"/>
      <c r="P80" s="78" t="n">
        <v>4.4</v>
      </c>
      <c r="Q80" s="77" t="n">
        <v>5844</v>
      </c>
      <c r="R80" s="77" t="n">
        <v>2867</v>
      </c>
      <c r="S80" s="77" t="n">
        <v>7</v>
      </c>
      <c r="T80" s="39" t="n"/>
    </row>
    <row r="81" ht="62" customHeight="1">
      <c r="A81" s="12">
        <f>_xlfn.IMAGE("https://m.media-amazon.com/images/I/81Jrmiuxy2L.jpg")</f>
        <v/>
      </c>
      <c r="B81" s="39" t="inlineStr">
        <is>
          <t>B08KQL2JT8</t>
        </is>
      </c>
      <c r="C81" s="39" t="inlineStr">
        <is>
          <t>BAMBOO-FULL-NAVYBLUE</t>
        </is>
      </c>
      <c r="D81" s="39" t="inlineStr">
        <is>
          <t>DECOLURE 100% Organic Bamboo Viscose Sheets Full Size 4 pcs - Ultra Soft &amp; Luxuriously Cooling, 16" Deep Pocket, Double Stitching, Perfect for Hot Sleepers - Luxury Full Bed Sheets Set (Navy Blue)</t>
        </is>
      </c>
      <c r="E81" s="39" t="inlineStr">
        <is>
          <t>Full</t>
        </is>
      </c>
      <c r="F81" s="39" t="inlineStr">
        <is>
          <t>Navy Blue</t>
        </is>
      </c>
      <c r="G81" s="73" t="n">
        <v>99.11</v>
      </c>
      <c r="H81" s="39" t="inlineStr">
        <is>
          <t>catalog price (CAD), 2026-10-14</t>
        </is>
      </c>
      <c r="I81" s="74" t="n">
        <v>92.98</v>
      </c>
      <c r="J81" s="75" t="inlineStr">
        <is>
          <t>2026-03-30</t>
        </is>
      </c>
      <c r="K81" s="40" t="n">
        <v>39.67</v>
      </c>
      <c r="L81" s="76" t="n">
        <v>0.4266508926650893</v>
      </c>
      <c r="M81" s="77" t="n">
        <v>0</v>
      </c>
      <c r="N81" s="39" t="inlineStr">
        <is>
          <t>Inactive</t>
        </is>
      </c>
      <c r="O81" s="39" t="n"/>
      <c r="P81" s="78" t="n">
        <v>4.4</v>
      </c>
      <c r="Q81" s="77" t="n">
        <v>5844</v>
      </c>
      <c r="R81" s="77" t="n">
        <v>2867</v>
      </c>
      <c r="S81" s="77" t="n">
        <v>10</v>
      </c>
      <c r="T81" s="39" t="n"/>
    </row>
    <row r="82" ht="62" customHeight="1">
      <c r="A82" s="12">
        <f>_xlfn.IMAGE("https://m.media-amazon.com/images/I/81bmbyz5uFL.jpg")</f>
        <v/>
      </c>
      <c r="B82" s="39" t="inlineStr">
        <is>
          <t>B08KQJBRKM</t>
        </is>
      </c>
      <c r="C82" s="39" t="inlineStr">
        <is>
          <t>BAMBOO-FULL-TAUPE</t>
        </is>
      </c>
      <c r="D82" s="39" t="inlineStr">
        <is>
          <t>DECOLURE 100% Organic Bamboo Viscose Sheets Full Size 4 pcs - Ultra Soft &amp; Luxuriously Cooling, 16" Deep Pocket, Double Stitching, Perfect for Hot Sleepers - Luxury Full Bed Sheets Set (Taupe)</t>
        </is>
      </c>
      <c r="E82" s="39" t="inlineStr">
        <is>
          <t>Full</t>
        </is>
      </c>
      <c r="F82" s="39" t="inlineStr">
        <is>
          <t>Taupe</t>
        </is>
      </c>
      <c r="G82" s="40" t="n"/>
      <c r="H82" s="39" t="n"/>
      <c r="I82" s="74" t="n">
        <v>90.72</v>
      </c>
      <c r="J82" s="75" t="inlineStr">
        <is>
          <t>2026-03-30</t>
        </is>
      </c>
      <c r="K82" s="40" t="n">
        <v>38.14</v>
      </c>
      <c r="L82" s="76" t="n">
        <v>0.4204144620811288</v>
      </c>
      <c r="M82" s="77" t="n"/>
      <c r="N82" s="39" t="inlineStr">
        <is>
          <t>Inactive</t>
        </is>
      </c>
      <c r="O82" s="39" t="n"/>
      <c r="P82" s="78" t="n"/>
      <c r="Q82" s="77" t="n"/>
      <c r="R82" s="77" t="n"/>
      <c r="S82" s="77" t="n"/>
      <c r="T82" s="39" t="n"/>
    </row>
    <row r="83" ht="62" customHeight="1">
      <c r="A83" s="12">
        <f>_xlfn.IMAGE("https://m.media-amazon.com/images/I/81E9bvs4TYL.jpg")</f>
        <v/>
      </c>
      <c r="B83" s="39" t="inlineStr">
        <is>
          <t>B08KQJV49M</t>
        </is>
      </c>
      <c r="C83" s="39" t="inlineStr">
        <is>
          <t>BAMBOO-FULL-WHITE</t>
        </is>
      </c>
      <c r="D83" s="39" t="inlineStr">
        <is>
          <t>DECOLURE 100% Organic Bamboo Viscose Sheets Full Size 4 pcs - Ultra Soft &amp; Luxuriously Cooling, 16" Deep Pocket, Double Stitching, Perfect for Hot Sleepers - Luxury Full Bed Sheets Set (White)</t>
        </is>
      </c>
      <c r="E83" s="39" t="inlineStr">
        <is>
          <t>Full</t>
        </is>
      </c>
      <c r="F83" s="39" t="inlineStr">
        <is>
          <t>White</t>
        </is>
      </c>
      <c r="G83" s="73" t="n">
        <v>79.98999999999999</v>
      </c>
      <c r="H83" s="39" t="inlineStr">
        <is>
          <t>catalog price (CAD), 2026-10-14</t>
        </is>
      </c>
      <c r="I83" s="74" t="n">
        <v>79.98999999999999</v>
      </c>
      <c r="J83" s="75" t="inlineStr">
        <is>
          <t>2026-03-30</t>
        </is>
      </c>
      <c r="K83" s="40" t="n">
        <v>34.3</v>
      </c>
      <c r="L83" s="76" t="n">
        <v>0.4288036004500562</v>
      </c>
      <c r="M83" s="77" t="n">
        <v>0</v>
      </c>
      <c r="N83" s="39" t="inlineStr">
        <is>
          <t>Inactive</t>
        </is>
      </c>
      <c r="O83" s="39" t="n"/>
      <c r="P83" s="78" t="n">
        <v>4.4</v>
      </c>
      <c r="Q83" s="77" t="n">
        <v>5844</v>
      </c>
      <c r="R83" s="77" t="n">
        <v>2867</v>
      </c>
      <c r="S83" s="77" t="n">
        <v>0.1423</v>
      </c>
      <c r="T83" s="39" t="n"/>
    </row>
    <row r="84" ht="62" customHeight="1">
      <c r="A84" s="12">
        <f>_xlfn.IMAGE("https://m.media-amazon.com/images/I/81aBlh93veL.jpg")</f>
        <v/>
      </c>
      <c r="B84" s="39" t="inlineStr">
        <is>
          <t>B0BZPVXR69</t>
        </is>
      </c>
      <c r="C84" s="39" t="inlineStr">
        <is>
          <t>BAMBOO-KING-MIDGREY</t>
        </is>
      </c>
      <c r="D84" s="39" t="inlineStr">
        <is>
          <t>DECOLURE 100% Organic Bamboo Viscose Sheets King Size 4 pcs - Ultra Soft &amp; Luxuriously Cooling, 16" Deep Pocket, Double Stitching, Perfect for Hot Sleepers - Luxury King Bed Sheets Set (Midgrey)</t>
        </is>
      </c>
      <c r="E84" s="39" t="inlineStr">
        <is>
          <t>King</t>
        </is>
      </c>
      <c r="F84" s="39" t="inlineStr">
        <is>
          <t>Midgrey</t>
        </is>
      </c>
      <c r="G84" s="73" t="n">
        <v>99.98999999999999</v>
      </c>
      <c r="H84" s="39" t="inlineStr">
        <is>
          <t>catalog price (CAD), 2026-10-14</t>
        </is>
      </c>
      <c r="I84" s="74" t="n">
        <v>99.98999999999999</v>
      </c>
      <c r="J84" s="75" t="inlineStr">
        <is>
          <t>2026-03-30</t>
        </is>
      </c>
      <c r="K84" s="40" t="n">
        <v>44.38</v>
      </c>
      <c r="L84" s="76" t="n">
        <v>0.4438443844384438</v>
      </c>
      <c r="M84" s="77" t="n"/>
      <c r="N84" s="39" t="inlineStr">
        <is>
          <t>Inactive</t>
        </is>
      </c>
      <c r="O84" s="39" t="n"/>
      <c r="P84" s="78" t="n">
        <v>4.4</v>
      </c>
      <c r="Q84" s="77" t="n">
        <v>5844</v>
      </c>
      <c r="R84" s="77" t="n">
        <v>2867</v>
      </c>
      <c r="S84" s="77" t="n">
        <v>0.1642</v>
      </c>
      <c r="T84" s="39" t="n"/>
    </row>
    <row r="85" ht="62" customHeight="1">
      <c r="A85" s="12">
        <f>_xlfn.IMAGE("https://m.media-amazon.com/images/I/81xihWts51L.jpg")</f>
        <v/>
      </c>
      <c r="B85" s="39" t="inlineStr">
        <is>
          <t>B08KQLK2HK</t>
        </is>
      </c>
      <c r="C85" s="39" t="inlineStr">
        <is>
          <t>BAMBOO-KING-OLIVE</t>
        </is>
      </c>
      <c r="D85" s="39" t="inlineStr">
        <is>
          <t>DECOLURE 100% Organic Bamboo Viscose Sheets King Size 4 pcs - Ultra Soft &amp; Luxuriously Cooling, 16" Deep Pocket, Double Stitching, Perfect for Hot Sleepers - Luxury King Bed Sheets Set (Olive)</t>
        </is>
      </c>
      <c r="E85" s="39" t="inlineStr">
        <is>
          <t>King</t>
        </is>
      </c>
      <c r="F85" s="39" t="inlineStr">
        <is>
          <t>Olive</t>
        </is>
      </c>
      <c r="G85" s="73" t="n">
        <v>210.25</v>
      </c>
      <c r="H85" s="39" t="inlineStr">
        <is>
          <t>catalog price (CAD), 2026-10-14</t>
        </is>
      </c>
      <c r="I85" s="74" t="n">
        <v>99.98999999999999</v>
      </c>
      <c r="J85" s="75" t="inlineStr">
        <is>
          <t>2026-03-30</t>
        </is>
      </c>
      <c r="K85" s="40" t="n">
        <v>44.66</v>
      </c>
      <c r="L85" s="76" t="n">
        <v>0.4466446644664466</v>
      </c>
      <c r="M85" s="77" t="n"/>
      <c r="N85" s="39" t="inlineStr">
        <is>
          <t>Inactive</t>
        </is>
      </c>
      <c r="O85" s="39" t="n"/>
      <c r="P85" s="78" t="n">
        <v>4.4</v>
      </c>
      <c r="Q85" s="77" t="n">
        <v>5844</v>
      </c>
      <c r="R85" s="77" t="n">
        <v>2867</v>
      </c>
      <c r="S85" s="77" t="n">
        <v>5</v>
      </c>
      <c r="T85" s="39" t="n"/>
    </row>
    <row r="86" ht="62" customHeight="1">
      <c r="A86" s="12">
        <f>_xlfn.IMAGE("https://m.media-amazon.com/images/I/81LPiN50m6L.jpg")</f>
        <v/>
      </c>
      <c r="B86" s="39" t="inlineStr">
        <is>
          <t>B0BZQ3F8RQ</t>
        </is>
      </c>
      <c r="C86" s="39" t="inlineStr">
        <is>
          <t>BAMBOO-KING-PURPLE</t>
        </is>
      </c>
      <c r="D86" s="39" t="inlineStr">
        <is>
          <t>DECOLURE 100% Organic Bamboo Viscose Sheets King Size 4 pcs - Ultra Soft &amp; Luxuriously Cooling, 16" Deep Pocket, Double Stitching, Perfect for Hot Sleepers - Luxury King Bed Sheets Set (Purple)</t>
        </is>
      </c>
      <c r="E86" s="39" t="inlineStr">
        <is>
          <t>King</t>
        </is>
      </c>
      <c r="F86" s="39" t="inlineStr">
        <is>
          <t>Purple</t>
        </is>
      </c>
      <c r="G86" s="73" t="n">
        <v>99.98999999999999</v>
      </c>
      <c r="H86" s="39" t="inlineStr">
        <is>
          <t>catalog price (CAD), 2026-10-14</t>
        </is>
      </c>
      <c r="I86" s="74" t="n">
        <v>99.98999999999999</v>
      </c>
      <c r="J86" s="75" t="inlineStr">
        <is>
          <t>2026-03-30</t>
        </is>
      </c>
      <c r="K86" s="40" t="n">
        <v>45.48</v>
      </c>
      <c r="L86" s="76" t="n">
        <v>0.454845484548455</v>
      </c>
      <c r="M86" s="77" t="n">
        <v>0</v>
      </c>
      <c r="N86" s="39" t="inlineStr">
        <is>
          <t>Inactive</t>
        </is>
      </c>
      <c r="O86" s="39" t="n"/>
      <c r="P86" s="78" t="n">
        <v>4.4</v>
      </c>
      <c r="Q86" s="77" t="n">
        <v>5844</v>
      </c>
      <c r="R86" s="77" t="n">
        <v>2867</v>
      </c>
      <c r="S86" s="77" t="n">
        <v>0.07480000000000001</v>
      </c>
      <c r="T86" s="39" t="n"/>
    </row>
    <row r="87" ht="62" customHeight="1">
      <c r="A87" s="12">
        <f>_xlfn.IMAGE("https://m.media-amazon.com/images/I/81T+gwobemL.jpg")</f>
        <v/>
      </c>
      <c r="B87" s="39" t="inlineStr">
        <is>
          <t>B0CLKCDHHS</t>
        </is>
      </c>
      <c r="C87" s="39" t="inlineStr">
        <is>
          <t>BAMBOO-KING-SAGE GREEN</t>
        </is>
      </c>
      <c r="D87" s="39" t="inlineStr">
        <is>
          <t>DECOLURE 100% Organic Viscose Derived from Bamboo Sheets King Size 4pcs - Ultra Soft &amp; Luxuriously Cooling, 17" Deep Pocket, Double Stitching, Perfect for Hot Sleepers - King Bed Sheets (Sage Green)</t>
        </is>
      </c>
      <c r="E87" s="39" t="inlineStr">
        <is>
          <t>King</t>
        </is>
      </c>
      <c r="F87" s="39" t="inlineStr">
        <is>
          <t>Sage Green</t>
        </is>
      </c>
      <c r="G87" s="73" t="n">
        <v>142.37</v>
      </c>
      <c r="H87" s="39" t="inlineStr">
        <is>
          <t>catalog price (CAD), 2026-10-14</t>
        </is>
      </c>
      <c r="I87" s="74" t="n">
        <v>99.98999999999999</v>
      </c>
      <c r="J87" s="75" t="inlineStr">
        <is>
          <t>2026-03-30</t>
        </is>
      </c>
      <c r="K87" s="40" t="n">
        <v>44.38</v>
      </c>
      <c r="L87" s="76" t="n">
        <v>0.4438443844384438</v>
      </c>
      <c r="M87" s="77" t="n">
        <v>0</v>
      </c>
      <c r="N87" s="39" t="inlineStr">
        <is>
          <t>Inactive</t>
        </is>
      </c>
      <c r="O87" s="39" t="n"/>
      <c r="P87" s="78" t="n">
        <v>4.4</v>
      </c>
      <c r="Q87" s="77" t="n">
        <v>5844</v>
      </c>
      <c r="R87" s="77" t="n">
        <v>2867</v>
      </c>
      <c r="S87" s="77" t="n">
        <v>0.2515</v>
      </c>
      <c r="T87" s="39" t="n"/>
    </row>
    <row r="88" ht="62" customHeight="1">
      <c r="A88" s="12">
        <f>_xlfn.IMAGE("https://m.media-amazon.com/images/I/81jAmePDWeL.jpg")</f>
        <v/>
      </c>
      <c r="B88" s="39" t="inlineStr">
        <is>
          <t>B0BZQ19Z44</t>
        </is>
      </c>
      <c r="C88" s="39" t="inlineStr">
        <is>
          <t>BAMBOO-QUEEN-LIGHTOLIVE</t>
        </is>
      </c>
      <c r="D88" s="39" t="inlineStr">
        <is>
          <t>DECOLURE 100% Organic Bamboo Viscose Sheets Queen Size 4 pcs - Ultra Soft &amp; Luxuriously Cooling, 16" Deep Pocket, Double Stitching,Perfect for Hot Sleepers - Luxury Queen Bed Sheets Set (Light Olive)</t>
        </is>
      </c>
      <c r="E88" s="39" t="inlineStr">
        <is>
          <t>Queen</t>
        </is>
      </c>
      <c r="F88" s="39" t="inlineStr">
        <is>
          <t>Light Olive</t>
        </is>
      </c>
      <c r="G88" s="73" t="n">
        <v>99.98999999999999</v>
      </c>
      <c r="H88" s="39" t="inlineStr">
        <is>
          <t>catalog price (CAD), 2026-10-14</t>
        </is>
      </c>
      <c r="I88" s="74" t="n">
        <v>99.98999999999999</v>
      </c>
      <c r="J88" s="75" t="inlineStr">
        <is>
          <t>2026-03-30</t>
        </is>
      </c>
      <c r="K88" s="40" t="n">
        <v>49.55</v>
      </c>
      <c r="L88" s="76" t="n">
        <v>0.4955495549554955</v>
      </c>
      <c r="M88" s="77" t="n">
        <v>0</v>
      </c>
      <c r="N88" s="39" t="inlineStr">
        <is>
          <t>Active</t>
        </is>
      </c>
      <c r="O88" s="39" t="n"/>
      <c r="P88" s="78" t="n">
        <v>4.4</v>
      </c>
      <c r="Q88" s="77" t="n">
        <v>5844</v>
      </c>
      <c r="R88" s="77" t="n">
        <v>2843</v>
      </c>
      <c r="S88" s="77" t="n">
        <v>8</v>
      </c>
      <c r="T88" s="39" t="n"/>
    </row>
    <row r="89" ht="62" customHeight="1">
      <c r="A89" s="12">
        <f>_xlfn.IMAGE("https://m.media-amazon.com/images/I/81URS7+KRYL.jpg")</f>
        <v/>
      </c>
      <c r="B89" s="39" t="inlineStr">
        <is>
          <t>B0BZPZN1GV</t>
        </is>
      </c>
      <c r="C89" s="39" t="inlineStr">
        <is>
          <t>BAMBOO-TWIN-BLACK</t>
        </is>
      </c>
      <c r="D89" s="39" t="inlineStr">
        <is>
          <t>DECOLURE 100% Organic Bamboo Viscose Sheets Twin Size 3 pcs - Ultra Soft &amp; Luxuriously Cooling, 16" Deep Pocket, Double Stitching, Perfect for Hot Sleepers - Luxury Twin Bed Sheets Set (Black)</t>
        </is>
      </c>
      <c r="E89" s="39" t="inlineStr">
        <is>
          <t>Twin</t>
        </is>
      </c>
      <c r="F89" s="39" t="inlineStr">
        <is>
          <t>Black</t>
        </is>
      </c>
      <c r="G89" s="73" t="n">
        <v>109.91</v>
      </c>
      <c r="H89" s="39" t="inlineStr">
        <is>
          <t>catalog price (CAD), 2026-10-14</t>
        </is>
      </c>
      <c r="I89" s="74" t="n">
        <v>79.98999999999999</v>
      </c>
      <c r="J89" s="75" t="inlineStr">
        <is>
          <t>2026-03-30</t>
        </is>
      </c>
      <c r="K89" s="40" t="n">
        <v>38.09</v>
      </c>
      <c r="L89" s="76" t="n">
        <v>0.4761845230653832</v>
      </c>
      <c r="M89" s="77" t="n"/>
      <c r="N89" s="39" t="inlineStr">
        <is>
          <t>Inactive</t>
        </is>
      </c>
      <c r="O89" s="39" t="n"/>
      <c r="P89" s="78" t="n">
        <v>4.4</v>
      </c>
      <c r="Q89" s="77" t="n">
        <v>5844</v>
      </c>
      <c r="R89" s="77" t="n">
        <v>2867</v>
      </c>
      <c r="S89" s="77" t="n">
        <v>4</v>
      </c>
      <c r="T89" s="39" t="n"/>
    </row>
    <row r="90" ht="62" customHeight="1">
      <c r="A90" s="12">
        <f>_xlfn.IMAGE("https://m.media-amazon.com/images/I/81iM1GJtuCL.jpg")</f>
        <v/>
      </c>
      <c r="B90" s="39" t="inlineStr">
        <is>
          <t>B0BZQ228PV</t>
        </is>
      </c>
      <c r="C90" s="39" t="inlineStr">
        <is>
          <t>BAMBOO-TWIN-CHARCOAL</t>
        </is>
      </c>
      <c r="D90" s="39" t="inlineStr">
        <is>
          <t>DECOLURE 100% Organic Viscose Derived from Bamboo Sheets Twin Size 3pcs - Ultra Soft &amp; Luxuriously Cooling, 17" Deep Pocket, Double Stitching, Perfect for Hot Sleepers - Twin Bed Sheets (Charcoal)</t>
        </is>
      </c>
      <c r="E90" s="39" t="inlineStr">
        <is>
          <t>Twin</t>
        </is>
      </c>
      <c r="F90" s="39" t="inlineStr">
        <is>
          <t>Charcoal</t>
        </is>
      </c>
      <c r="G90" s="73" t="n">
        <v>79.98999999999999</v>
      </c>
      <c r="H90" s="39" t="inlineStr">
        <is>
          <t>catalog price (CAD), 2026-10-14</t>
        </is>
      </c>
      <c r="I90" s="74" t="n">
        <v>79.98999999999999</v>
      </c>
      <c r="J90" s="75" t="inlineStr">
        <is>
          <t>2026-03-30</t>
        </is>
      </c>
      <c r="K90" s="40" t="n">
        <v>38.59999999999999</v>
      </c>
      <c r="L90" s="76" t="n">
        <v>0.4825603200400049</v>
      </c>
      <c r="M90" s="77" t="n">
        <v>0</v>
      </c>
      <c r="N90" s="39" t="inlineStr">
        <is>
          <t>Active</t>
        </is>
      </c>
      <c r="O90" s="39" t="n"/>
      <c r="P90" s="78" t="n">
        <v>4.4</v>
      </c>
      <c r="Q90" s="77" t="n">
        <v>5844</v>
      </c>
      <c r="R90" s="77" t="n">
        <v>2867</v>
      </c>
      <c r="S90" s="77" t="n">
        <v>9</v>
      </c>
      <c r="T90" s="39" t="n"/>
    </row>
    <row r="91" ht="62" customHeight="1">
      <c r="A91" s="12">
        <f>_xlfn.IMAGE("https://m.media-amazon.com/images/I/81xF6TwRowL.jpg")</f>
        <v/>
      </c>
      <c r="B91" s="39" t="inlineStr">
        <is>
          <t>B08KQKS54Q</t>
        </is>
      </c>
      <c r="C91" s="39" t="inlineStr">
        <is>
          <t>BAMBOO-TWIN-CREME</t>
        </is>
      </c>
      <c r="D91" s="39" t="inlineStr">
        <is>
          <t>DECOLURE 100% Organic Bamboo Viscose Sheets Twin Size 3 pcs - Ultra Soft &amp; Luxuriously Cooling, 16" Deep Pocket, Double Stitching, Perfect for Hot Sleepers - Luxury Twin Bed Sheets Set (Creme)</t>
        </is>
      </c>
      <c r="E91" s="39" t="inlineStr">
        <is>
          <t>Twin</t>
        </is>
      </c>
      <c r="F91" s="39" t="inlineStr">
        <is>
          <t>Creme</t>
        </is>
      </c>
      <c r="G91" s="73" t="n">
        <v>138.4</v>
      </c>
      <c r="H91" s="39" t="inlineStr">
        <is>
          <t>catalog price (CAD), 2026-10-14</t>
        </is>
      </c>
      <c r="I91" s="74" t="n">
        <v>79.98999999999999</v>
      </c>
      <c r="J91" s="75" t="inlineStr">
        <is>
          <t>2026-03-30</t>
        </is>
      </c>
      <c r="K91" s="40" t="n">
        <v>39.84999999999999</v>
      </c>
      <c r="L91" s="76" t="n">
        <v>0.4981872734091761</v>
      </c>
      <c r="M91" s="77" t="n"/>
      <c r="N91" s="39" t="inlineStr">
        <is>
          <t>Inactive</t>
        </is>
      </c>
      <c r="O91" s="39" t="n"/>
      <c r="P91" s="78" t="n">
        <v>4.4</v>
      </c>
      <c r="Q91" s="77" t="n">
        <v>5844</v>
      </c>
      <c r="R91" s="77" t="n">
        <v>2867</v>
      </c>
      <c r="S91" s="77" t="n">
        <v>3</v>
      </c>
      <c r="T91" s="39" t="n"/>
    </row>
    <row r="92" ht="62" customHeight="1">
      <c r="A92" s="12">
        <f>_xlfn.IMAGE("https://m.media-amazon.com/images/I/81tcLn4AhyL.jpg")</f>
        <v/>
      </c>
      <c r="B92" s="39" t="inlineStr">
        <is>
          <t>B08KQKJXDK</t>
        </is>
      </c>
      <c r="C92" s="39" t="inlineStr">
        <is>
          <t>BAMBOO-TWIN-GREY</t>
        </is>
      </c>
      <c r="D92" s="39" t="inlineStr">
        <is>
          <t>DECOLURE 100% Organic Viscose Derived from Bamboo Sheets Twin Size 3pcs - Ultra Soft &amp; Luxuriously Cooling, 17" Deep Pocket, Double Stitching, Perfect for Hot Sleepers - Twin Bed Sheets (Grey)</t>
        </is>
      </c>
      <c r="E92" s="39" t="inlineStr">
        <is>
          <t>Twin</t>
        </is>
      </c>
      <c r="F92" s="39" t="inlineStr">
        <is>
          <t>Grey</t>
        </is>
      </c>
      <c r="G92" s="73" t="n">
        <v>99.11</v>
      </c>
      <c r="H92" s="39" t="inlineStr">
        <is>
          <t>catalog price (CAD), 2026-10-14</t>
        </is>
      </c>
      <c r="I92" s="74" t="n">
        <v>62.99</v>
      </c>
      <c r="J92" s="75" t="inlineStr">
        <is>
          <t>2026-03-30</t>
        </is>
      </c>
      <c r="K92" s="40" t="n">
        <v>25.33000000000001</v>
      </c>
      <c r="L92" s="76" t="n">
        <v>0.4021273217971108</v>
      </c>
      <c r="M92" s="77" t="n">
        <v>0</v>
      </c>
      <c r="N92" s="39" t="inlineStr">
        <is>
          <t>Active</t>
        </is>
      </c>
      <c r="O92" s="39" t="n"/>
      <c r="P92" s="78" t="n">
        <v>4.4</v>
      </c>
      <c r="Q92" s="77" t="n">
        <v>5844</v>
      </c>
      <c r="R92" s="77" t="n">
        <v>2867</v>
      </c>
      <c r="S92" s="77" t="n">
        <v>11</v>
      </c>
      <c r="T92" s="39" t="n"/>
    </row>
    <row r="93" ht="62" customHeight="1">
      <c r="A93" s="12">
        <f>_xlfn.IMAGE("https://m.media-amazon.com/images/I/81gCPnwH3FL.jpg")</f>
        <v/>
      </c>
      <c r="B93" s="39" t="inlineStr">
        <is>
          <t>B08KQJGSW2</t>
        </is>
      </c>
      <c r="C93" s="39" t="inlineStr">
        <is>
          <t>BAMBOO-TWIN-LIGHTBLUE</t>
        </is>
      </c>
      <c r="D93" s="39" t="inlineStr">
        <is>
          <t>DECOLURE 100% Organic Bamboo Viscose Sheets Twin Size 3 pcs - Ultra Soft &amp; Luxuriously Cooling, 16" Deep Pocket, Double Stitching,Perfect for Hot Sleepers - Luxury Twin Bed Sheets Set (Light Blue)</t>
        </is>
      </c>
      <c r="E93" s="39" t="inlineStr">
        <is>
          <t>Twin</t>
        </is>
      </c>
      <c r="F93" s="39" t="inlineStr">
        <is>
          <t>Light Blue</t>
        </is>
      </c>
      <c r="G93" s="73" t="n">
        <v>99.11</v>
      </c>
      <c r="H93" s="39" t="inlineStr">
        <is>
          <t>catalog price (CAD), 2026-10-14</t>
        </is>
      </c>
      <c r="I93" s="74" t="n">
        <v>79.98999999999999</v>
      </c>
      <c r="J93" s="75" t="inlineStr">
        <is>
          <t>2026-03-30</t>
        </is>
      </c>
      <c r="K93" s="40" t="n">
        <v>40.45</v>
      </c>
      <c r="L93" s="76" t="n">
        <v>0.5056882110263783</v>
      </c>
      <c r="M93" s="77" t="n">
        <v>0</v>
      </c>
      <c r="N93" s="39" t="inlineStr">
        <is>
          <t>Active</t>
        </is>
      </c>
      <c r="O93" s="39" t="n"/>
      <c r="P93" s="78" t="n">
        <v>4.4</v>
      </c>
      <c r="Q93" s="77" t="n">
        <v>5844</v>
      </c>
      <c r="R93" s="77" t="n">
        <v>2867</v>
      </c>
      <c r="S93" s="77" t="n">
        <v>12</v>
      </c>
      <c r="T93" s="39" t="n"/>
    </row>
    <row r="94" ht="62" customHeight="1">
      <c r="A94" s="12">
        <f>_xlfn.IMAGE("https://m.media-amazon.com/images/I/81b+6M6XcyL.jpg")</f>
        <v/>
      </c>
      <c r="B94" s="39" t="inlineStr">
        <is>
          <t>B0BZQ21K22</t>
        </is>
      </c>
      <c r="C94" s="39" t="inlineStr">
        <is>
          <t>BAMBOO-TWIN-MIDGREY</t>
        </is>
      </c>
      <c r="D94" s="39" t="inlineStr">
        <is>
          <t>DECOLURE 100% Organic Bamboo Viscose Sheets Twin Size 3 pcs - Ultra Soft &amp; Luxuriously Cooling, 16" Deep Pocket, Double Stitching, Perfect for Hot Sleepers - Luxury Twin Bed Sheets Set (Midgrey)</t>
        </is>
      </c>
      <c r="E94" s="39" t="inlineStr">
        <is>
          <t>Twin</t>
        </is>
      </c>
      <c r="F94" s="39" t="inlineStr">
        <is>
          <t>Midgrey</t>
        </is>
      </c>
      <c r="G94" s="73" t="n">
        <v>105.39</v>
      </c>
      <c r="H94" s="39" t="inlineStr">
        <is>
          <t>catalog price (CAD), 2026-10-14</t>
        </is>
      </c>
      <c r="I94" s="74" t="n">
        <v>79.98999999999999</v>
      </c>
      <c r="J94" s="75" t="inlineStr">
        <is>
          <t>2026-03-30</t>
        </is>
      </c>
      <c r="K94" s="40" t="n">
        <v>38.18</v>
      </c>
      <c r="L94" s="76" t="n">
        <v>0.4773096637079635</v>
      </c>
      <c r="M94" s="77" t="n"/>
      <c r="N94" s="39" t="inlineStr">
        <is>
          <t>Inactive</t>
        </is>
      </c>
      <c r="O94" s="39" t="n"/>
      <c r="P94" s="78" t="n">
        <v>4.4</v>
      </c>
      <c r="Q94" s="77" t="n">
        <v>5844</v>
      </c>
      <c r="R94" s="77" t="n">
        <v>2867</v>
      </c>
      <c r="S94" s="77" t="n">
        <v>4</v>
      </c>
      <c r="T94" s="39" t="n"/>
    </row>
    <row r="95" ht="62" customHeight="1">
      <c r="A95" s="12">
        <f>_xlfn.IMAGE("https://m.media-amazon.com/images/I/81+SsPmr6TL.jpg")</f>
        <v/>
      </c>
      <c r="B95" s="39" t="inlineStr">
        <is>
          <t>B08KQKKVSX</t>
        </is>
      </c>
      <c r="C95" s="39" t="inlineStr">
        <is>
          <t>BAMBOO-TWIN-OLIVE</t>
        </is>
      </c>
      <c r="D95" s="39" t="inlineStr">
        <is>
          <t>DECOLURE 100% Organic Bamboo Viscose Sheets Twin Size 3 pcs - Ultra Soft &amp; Luxuriously Cooling, 16" Deep Pocket, Double Stitching, Perfect for Hot Sleepers - Luxury Twin Bed Sheets Set (Olive)</t>
        </is>
      </c>
      <c r="E95" s="39" t="inlineStr">
        <is>
          <t>Twin</t>
        </is>
      </c>
      <c r="F95" s="39" t="inlineStr">
        <is>
          <t>Olive</t>
        </is>
      </c>
      <c r="G95" s="73" t="n">
        <v>106.48</v>
      </c>
      <c r="H95" s="39" t="inlineStr">
        <is>
          <t>catalog price (CAD), 2026-10-14</t>
        </is>
      </c>
      <c r="I95" s="74" t="n">
        <v>79.98999999999999</v>
      </c>
      <c r="J95" s="75" t="inlineStr">
        <is>
          <t>2026-03-30</t>
        </is>
      </c>
      <c r="K95" s="40" t="n">
        <v>39.85999999999999</v>
      </c>
      <c r="L95" s="76" t="n">
        <v>0.4983122890361295</v>
      </c>
      <c r="M95" s="77" t="n"/>
      <c r="N95" s="39" t="inlineStr">
        <is>
          <t>Inactive</t>
        </is>
      </c>
      <c r="O95" s="39" t="n"/>
      <c r="P95" s="78" t="n">
        <v>4.4</v>
      </c>
      <c r="Q95" s="77" t="n">
        <v>5844</v>
      </c>
      <c r="R95" s="77" t="n">
        <v>2867</v>
      </c>
      <c r="S95" s="77" t="n">
        <v>3</v>
      </c>
      <c r="T95" s="39" t="n"/>
    </row>
    <row r="96" ht="62" customHeight="1">
      <c r="A96" s="12">
        <f>_xlfn.IMAGE("https://m.media-amazon.com/images/I/81D6WwGAJIL.jpg")</f>
        <v/>
      </c>
      <c r="B96" s="39" t="inlineStr">
        <is>
          <t>B08KQJBFFZ</t>
        </is>
      </c>
      <c r="C96" s="39" t="inlineStr">
        <is>
          <t>BAMBOO-TWIN-TAUPE</t>
        </is>
      </c>
      <c r="D96" s="39" t="inlineStr">
        <is>
          <t>DECOLURE 100% Organic Bamboo Viscose Sheets Twin Size 3 pcs - Ultra Soft &amp; Luxuriously Cooling, 16" Deep Pocket, Double Stitching, Perfect for Hot Sleepers - Luxury Twin Bed Sheets Set (Taupe)</t>
        </is>
      </c>
      <c r="E96" s="39" t="inlineStr">
        <is>
          <t>Twin</t>
        </is>
      </c>
      <c r="F96" s="39" t="inlineStr">
        <is>
          <t>Taupe</t>
        </is>
      </c>
      <c r="G96" s="73" t="n">
        <v>108.52</v>
      </c>
      <c r="H96" s="39" t="inlineStr">
        <is>
          <t>catalog price (CAD), 2026-10-14</t>
        </is>
      </c>
      <c r="I96" s="74" t="n">
        <v>79.98999999999999</v>
      </c>
      <c r="J96" s="75" t="inlineStr">
        <is>
          <t>2026-03-30</t>
        </is>
      </c>
      <c r="K96" s="40" t="n">
        <v>39.67</v>
      </c>
      <c r="L96" s="76" t="n">
        <v>0.4959369921240155</v>
      </c>
      <c r="M96" s="77" t="n"/>
      <c r="N96" s="39" t="inlineStr">
        <is>
          <t>Inactive</t>
        </is>
      </c>
      <c r="O96" s="39" t="n"/>
      <c r="P96" s="78" t="n">
        <v>4.4</v>
      </c>
      <c r="Q96" s="77" t="n">
        <v>5844</v>
      </c>
      <c r="R96" s="77" t="n">
        <v>2867</v>
      </c>
      <c r="S96" s="77" t="n">
        <v>4</v>
      </c>
      <c r="T96" s="39" t="n"/>
    </row>
    <row r="97" ht="62" customHeight="1">
      <c r="A97" s="12">
        <f>_xlfn.IMAGE("https://m.media-amazon.com/images/I/81nhzUehPUL.jpg")</f>
        <v/>
      </c>
      <c r="B97" s="39" t="inlineStr">
        <is>
          <t>B08KQKBM4Q</t>
        </is>
      </c>
      <c r="C97" s="39" t="inlineStr">
        <is>
          <t>BAMBOO-TWIN-WHITE</t>
        </is>
      </c>
      <c r="D97" s="39" t="inlineStr">
        <is>
          <t>DECOLURE 100% Organic Bamboo Viscose Sheets Twin Size 3 pcs - Ultra Soft &amp; Luxuriously Cooling, 16" Deep Pocket, Double Stitching, Perfect for Hot Sleepers - Luxury Twin Bed Sheets Set (White)</t>
        </is>
      </c>
      <c r="E97" s="39" t="inlineStr">
        <is>
          <t>Twin</t>
        </is>
      </c>
      <c r="F97" s="39" t="inlineStr">
        <is>
          <t>White</t>
        </is>
      </c>
      <c r="G97" s="73" t="n">
        <v>99.11</v>
      </c>
      <c r="H97" s="39" t="inlineStr">
        <is>
          <t>catalog price (CAD), 2026-10-14</t>
        </is>
      </c>
      <c r="I97" s="74" t="n">
        <v>66.48999999999999</v>
      </c>
      <c r="J97" s="75" t="inlineStr">
        <is>
          <t>2026-03-30</t>
        </is>
      </c>
      <c r="K97" s="40" t="n">
        <v>28.41</v>
      </c>
      <c r="L97" s="76" t="n">
        <v>0.4272822980899383</v>
      </c>
      <c r="M97" s="77" t="n">
        <v>0</v>
      </c>
      <c r="N97" s="39" t="inlineStr">
        <is>
          <t>Active</t>
        </is>
      </c>
      <c r="O97" s="39" t="n"/>
      <c r="P97" s="78" t="n">
        <v>4.4</v>
      </c>
      <c r="Q97" s="77" t="n">
        <v>5844</v>
      </c>
      <c r="R97" s="77" t="n">
        <v>2867</v>
      </c>
      <c r="S97" s="77" t="n">
        <v>13</v>
      </c>
      <c r="T97" s="39" t="n"/>
    </row>
    <row r="98"/>
    <row r="99" ht="22" customHeight="1">
      <c r="A99" s="65" t="inlineStr">
        <is>
          <t>3 ▼</t>
        </is>
      </c>
      <c r="B99" s="66" t="inlineStr">
        <is>
          <t>OUR BFCM 2025 RESULT &amp; EVENT VISIBILITY</t>
        </is>
      </c>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c r="AC99" s="67" t="n"/>
      <c r="AD99" s="67" t="n"/>
      <c r="AE99" s="67" t="n"/>
      <c r="AF99" s="67" t="n"/>
      <c r="AG99" s="67" t="n"/>
      <c r="AH99" s="67" t="n"/>
      <c r="AI99" s="67" t="n"/>
      <c r="AJ99" s="67" t="n"/>
      <c r="AK99" s="67" t="n"/>
      <c r="AL99" s="67" t="n"/>
      <c r="AM99" s="67" t="n"/>
      <c r="AN99" s="67" t="n"/>
      <c r="AO99" s="67" t="n"/>
      <c r="AP99" s="67" t="n"/>
      <c r="AQ99" s="67" t="n"/>
      <c r="AR99" s="67" t="n"/>
      <c r="AS99" s="67" t="n"/>
      <c r="AT99" s="67" t="n"/>
      <c r="AU99" s="67" t="n"/>
      <c r="AV99" s="67" t="n"/>
      <c r="AW99" s="67" t="n"/>
      <c r="AX99" s="67" t="n"/>
      <c r="AY99" s="67" t="n"/>
      <c r="AZ99" s="67" t="n"/>
      <c r="BA99" s="67" t="n"/>
      <c r="BB99" s="67" t="n"/>
      <c r="BC99" s="67" t="n"/>
      <c r="BD99" s="67" t="n"/>
      <c r="BE99" s="67" t="n"/>
      <c r="BF99" s="67" t="n"/>
      <c r="BG99" s="67" t="n"/>
      <c r="BH99" s="67" t="n"/>
      <c r="BI99" s="67" t="n"/>
      <c r="BJ99" s="67" t="n"/>
      <c r="BK99" s="67" t="n"/>
    </row>
    <row r="100">
      <c r="A100" s="80" t="inlineStr">
        <is>
          <t>Window</t>
        </is>
      </c>
      <c r="B100" s="81" t="n"/>
      <c r="C100" s="82" t="n"/>
      <c r="D100" s="80" t="inlineStr">
        <is>
          <t>Ad spend</t>
        </is>
      </c>
      <c r="E100" s="80" t="inlineStr">
        <is>
          <t>Ad sales</t>
        </is>
      </c>
      <c r="F100" s="80" t="inlineStr">
        <is>
          <t>ACoS</t>
        </is>
      </c>
      <c r="G100" s="80" t="inlineStr">
        <is>
          <t>TACoS</t>
        </is>
      </c>
      <c r="H100" s="80" t="inlineStr">
        <is>
          <t>Total sales (derived)</t>
        </is>
      </c>
      <c r="J100" s="80" t="inlineStr">
        <is>
          <t>Ad orders</t>
        </is>
      </c>
      <c r="K100" s="80" t="inlineStr">
        <is>
          <t>CVR</t>
        </is>
      </c>
    </row>
    <row r="101">
      <c r="A101" s="83" t="inlineStr">
        <is>
          <t>Pre-event Oct 21 - Nov 19, 2025 (30d)</t>
        </is>
      </c>
      <c r="B101" s="81" t="n"/>
      <c r="C101" s="82" t="n"/>
      <c r="D101" s="84" t="n">
        <v>6820.550000000001</v>
      </c>
      <c r="E101" s="84" t="n">
        <v>34009.91999999999</v>
      </c>
      <c r="F101" s="85" t="n">
        <v>20.1</v>
      </c>
      <c r="G101" s="85" t="n">
        <v>12.66279758423702</v>
      </c>
      <c r="H101" s="84" t="n">
        <v>53862.9</v>
      </c>
      <c r="J101" s="86" t="n">
        <v>391</v>
      </c>
      <c r="K101" s="87" t="n">
        <v>12.84</v>
      </c>
    </row>
    <row r="102">
      <c r="A102" s="83" t="inlineStr">
        <is>
          <t>BFCM week Nov 20 - Dec 1, 2025 (12d)</t>
        </is>
      </c>
      <c r="B102" s="81" t="n"/>
      <c r="C102" s="82" t="n"/>
      <c r="D102" s="84" t="n">
        <v>7633.49</v>
      </c>
      <c r="E102" s="84" t="n">
        <v>44669.14999999999</v>
      </c>
      <c r="F102" s="85" t="n">
        <v>17.1</v>
      </c>
      <c r="G102" s="85" t="n">
        <v>11.50265547667106</v>
      </c>
      <c r="H102" s="84" t="n">
        <v>66362.85000000001</v>
      </c>
      <c r="J102" s="86" t="n">
        <v>617</v>
      </c>
      <c r="K102" s="87" t="n">
        <v>15.19</v>
      </c>
    </row>
    <row r="103">
      <c r="A103" s="83" t="inlineStr">
        <is>
          <t>December 2 - 31, 2025 (30d)</t>
        </is>
      </c>
      <c r="B103" s="81" t="n"/>
      <c r="C103" s="82" t="n"/>
      <c r="D103" s="84" t="n">
        <v>15000.62</v>
      </c>
      <c r="E103" s="84" t="n">
        <v>81285.10999999999</v>
      </c>
      <c r="F103" s="85" t="n">
        <v>18.5</v>
      </c>
      <c r="G103" s="85" t="n">
        <v>13.93889311736128</v>
      </c>
      <c r="H103" s="84" t="n">
        <v>107617.01</v>
      </c>
      <c r="J103" s="86" t="n">
        <v>996</v>
      </c>
      <c r="K103" s="87" t="n">
        <v>15.12</v>
      </c>
    </row>
    <row r="104"/>
    <row r="105">
      <c r="A105" s="80" t="inlineStr">
        <is>
          <t>Actual sales (account data)</t>
        </is>
      </c>
      <c r="B105" s="81" t="n"/>
      <c r="C105" s="82" t="n"/>
      <c r="D105" s="80" t="inlineStr">
        <is>
          <t>Sales</t>
        </is>
      </c>
      <c r="E105" s="80" t="inlineStr">
        <is>
          <t>Units</t>
        </is>
      </c>
      <c r="F105" s="80" t="inlineStr">
        <is>
          <t>Organic units</t>
        </is>
      </c>
      <c r="G105" s="80" t="inlineStr">
        <is>
          <t>Ad units</t>
        </is>
      </c>
      <c r="H105" s="80" t="inlineStr">
        <is>
          <t>Ad cost</t>
        </is>
      </c>
      <c r="J105" s="80" t="inlineStr">
        <is>
          <t>TACoS (actual)</t>
        </is>
      </c>
      <c r="K105" s="80" t="inlineStr">
        <is>
          <t>Sessions</t>
        </is>
      </c>
      <c r="L105" s="80" t="inlineStr">
        <is>
          <t>Unit session %</t>
        </is>
      </c>
      <c r="M105" s="80" t="inlineStr">
        <is>
          <t>Avg price</t>
        </is>
      </c>
      <c r="N105" s="80" t="inlineStr">
        <is>
          <t>Refunds</t>
        </is>
      </c>
    </row>
    <row r="106">
      <c r="A106" s="83" t="inlineStr">
        <is>
          <t>Pre-event Oct 21 - Nov 19, 2025 (30d)</t>
        </is>
      </c>
      <c r="B106" s="81" t="n"/>
      <c r="C106" s="82" t="n"/>
      <c r="D106" s="84" t="n">
        <v>38404.46</v>
      </c>
      <c r="E106" s="86" t="n">
        <v>636</v>
      </c>
      <c r="F106" s="86" t="n">
        <v>604</v>
      </c>
      <c r="G106" s="86" t="n">
        <v>32</v>
      </c>
      <c r="H106" s="84" t="n">
        <v>5034.51</v>
      </c>
      <c r="J106" s="88" t="n">
        <v>0.131091805483009</v>
      </c>
      <c r="K106" s="86" t="n">
        <v>15737</v>
      </c>
      <c r="L106" s="88" t="n">
        <v>0.04041431022431213</v>
      </c>
      <c r="M106" s="89" t="n">
        <v>60.38437106918239</v>
      </c>
      <c r="N106" s="86" t="n">
        <v>40</v>
      </c>
    </row>
    <row r="107">
      <c r="A107" s="83" t="inlineStr">
        <is>
          <t>BFCM week Nov 20 - Dec 1, 2025 (12d)</t>
        </is>
      </c>
      <c r="B107" s="81" t="n"/>
      <c r="C107" s="82" t="n"/>
      <c r="D107" s="84" t="n">
        <v>47286.51</v>
      </c>
      <c r="E107" s="86" t="n">
        <v>908</v>
      </c>
      <c r="F107" s="86" t="n">
        <v>834</v>
      </c>
      <c r="G107" s="86" t="n">
        <v>74</v>
      </c>
      <c r="H107" s="84" t="n">
        <v>5782.83</v>
      </c>
      <c r="J107" s="88" t="n">
        <v>0.1222934405605319</v>
      </c>
      <c r="K107" s="86" t="n">
        <v>20224</v>
      </c>
      <c r="L107" s="88" t="n">
        <v>0.04489715189873418</v>
      </c>
      <c r="M107" s="89" t="n">
        <v>52.07765418502203</v>
      </c>
      <c r="N107" s="86" t="n">
        <v>26</v>
      </c>
    </row>
    <row r="108">
      <c r="A108" s="83" t="inlineStr">
        <is>
          <t>December 2 - 31, 2025 (30d)</t>
        </is>
      </c>
      <c r="B108" s="81" t="n"/>
      <c r="C108" s="82" t="n"/>
      <c r="D108" s="84" t="n">
        <v>84122.55</v>
      </c>
      <c r="E108" s="86" t="n">
        <v>1439</v>
      </c>
      <c r="F108" s="86" t="n">
        <v>1317</v>
      </c>
      <c r="G108" s="86" t="n">
        <v>122</v>
      </c>
      <c r="H108" s="84" t="n">
        <v>11213.35</v>
      </c>
      <c r="J108" s="88" t="n">
        <v>0.1332977899504948</v>
      </c>
      <c r="K108" s="86" t="n">
        <v>32665</v>
      </c>
      <c r="L108" s="88" t="n">
        <v>0.04405326802387877</v>
      </c>
      <c r="M108" s="89" t="n">
        <v>58.4590340514246</v>
      </c>
      <c r="N108" s="86" t="n">
        <v>85</v>
      </c>
    </row>
    <row r="109">
      <c r="A109" s="90" t="inlineStr">
        <is>
          <t>account data, Amazon parent B08LW37SB9 plus any of this product's child ASINs account data lists on their own, UTC days. Lift above uses these actual sales (3.08x; the ad-spend estimate was 3.08x). Amazon.ca sales here are in USD: account data converts to the account currency, while the market data table above is in CAD (ratio ~0.71). Lift is a ratio, so it is unaffected.</t>
        </is>
      </c>
    </row>
    <row r="110" ht="30" customHeight="1">
      <c r="A110" s="91" t="inlineStr">
        <is>
          <t>Deals we ran or scheduled, Nov 1 - Dec 5, 2025 (deal records promotions; scheduled deal price not in the feed. price history price = lowest Buy Box seen during the deal, an observation for the hero child only, not the scheduled deal price): Lightning Deal 11-08 to 11-09 (ran, 80 variations, 38 units; price history lowest Buy Box during it C$104.99 on B08KQHRDDG); Lightning Deal 11-15 to 11-15 (ran, 80 variations, 13 units; price history lowest Buy Box during it C$104.99 on B08KQHRDDG); Best Deal 11-20 to 12-02 (ran, 77 variations, 891 units; price history lowest Buy Box during it C$79.99 on B08KQHRDDG).</t>
        </is>
      </c>
    </row>
    <row r="111" ht="18" customHeight="1">
      <c r="A111" s="92" t="inlineStr">
        <is>
          <t>BFCM 2026 plan: Best Deal 11/19-11/30. Deal price and depth not yet given; not yet visible in Amazon's deal feed.</t>
        </is>
      </c>
    </row>
    <row r="112" ht="30" customHeight="1">
      <c r="A112" s="93" t="inlineStr">
        <is>
          <t>Amazon deal price now: Amazon uses the current CA$99.99 as reference. BFCM max showing now: 12% off (CA$87.99 on most King/Queen/Cal King); the figure keeps changing. The Sep 30 LD drops out of the lookback by Oct 30.</t>
        </is>
      </c>
    </row>
    <row r="113" ht="18" customHeight="1">
      <c r="A113" s="93" t="inlineStr">
        <is>
          <t>Pre-BFCM deal decision: Oct 16-24 Canada Best Deal: cancel approved to keep the BFCM price clean.</t>
        </is>
      </c>
    </row>
    <row r="114" ht="30" customHeight="1">
      <c r="A114" s="94" t="inlineStr">
        <is>
          <t>BFCM 2026 stock (account data, Oct 15): 1,615 units at Amazon + 2,658 already sent (no ETA in account data); selling 27.2 a day; need about 1,928 to Nov 30 with a 3.08x BFCM lift (own BFCM 2025 lift (account data)). Variations: 32 covered, 13 need the inbound in time, 5 short even with inbound (583 units), 21 out of stock now. Detail: BFCM Stock tab.</t>
        </is>
      </c>
    </row>
    <row r="115" ht="18" customHeight="1">
      <c r="A115" s="95" t="inlineStr">
        <is>
          <t>ASSUMED 2026 deal prices, until the team's final: B08KQJGM74 today C$99.99; C$84.99 at 15% off (Nov 19-26) and C$79.99 at 20% off (Nov 27-30, Black Friday to Cyber Monday). Rule: team rule agreed Oct 15, 2026. Evidence: our BFCM 2025 deal on B08KQHRDDG (US, price history): $74.99 before, $71.24 during, 5% off; US competitors' median price cut in BFCM 2025: 26% (7 rivals). Amazon may use a lower reference price than today's (it sets it the day before the deal), which would lower the deal price.</t>
        </is>
      </c>
    </row>
    <row r="116" ht="40" customHeight="1">
      <c r="A116" s="91" t="inlineStr">
        <is>
          <t>Stock in BFCM week 2025 (FBA inventory snapshots, child-ASIN level, revision 2): 1 of 79 variations hit zero FBA stock on at least one observed day; weighted by today's sales mix that is ~2.1% of variation-days lost. Most important: B0BZPYZ1XY 2/3 days. Days with no snapshot (Nov 24, 29 and 30), inferred from sales that day and the readings either side: 220 of 240 variation-days in stock, 0 out of stock, 20 unknown. Inferred, not a stock reading.</t>
        </is>
      </c>
    </row>
    <row r="117">
      <c r="A117" s="90" t="inlineStr">
        <is>
          <t>Figures above are Amazon.ca in CAD. Visibility history is held for US ASINs only.</t>
        </is>
      </c>
    </row>
    <row r="118"/>
    <row r="119" ht="22" customHeight="1">
      <c r="A119" s="65" t="inlineStr">
        <is>
          <t>4 ▼</t>
        </is>
      </c>
      <c r="B119" s="66" t="inlineStr">
        <is>
          <t>COMPETITOR LANDSCAPE (15 mapped)</t>
        </is>
      </c>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c r="AC119" s="67" t="n"/>
      <c r="AD119" s="67" t="n"/>
      <c r="AE119" s="67" t="n"/>
      <c r="AF119" s="67" t="n"/>
      <c r="AG119" s="67" t="n"/>
      <c r="AH119" s="67" t="n"/>
      <c r="AI119" s="67" t="n"/>
      <c r="AJ119" s="67" t="n"/>
      <c r="AK119" s="67" t="n"/>
      <c r="AL119" s="67" t="n"/>
      <c r="AM119" s="67" t="n"/>
      <c r="AN119" s="67" t="n"/>
      <c r="AO119" s="67" t="n"/>
      <c r="AP119" s="67" t="n"/>
      <c r="AQ119" s="67" t="n"/>
      <c r="AR119" s="67" t="n"/>
      <c r="AS119" s="67" t="n"/>
      <c r="AT119" s="67" t="n"/>
      <c r="AU119" s="67" t="n"/>
      <c r="AV119" s="67" t="n"/>
      <c r="AW119" s="67" t="n"/>
      <c r="AX119" s="67" t="n"/>
      <c r="AY119" s="67" t="n"/>
      <c r="AZ119" s="67" t="n"/>
      <c r="BA119" s="67" t="n"/>
      <c r="BB119" s="67" t="n"/>
      <c r="BC119" s="67" t="n"/>
      <c r="BD119" s="67" t="n"/>
      <c r="BE119" s="67" t="n"/>
      <c r="BF119" s="67" t="n"/>
      <c r="BG119" s="67" t="n"/>
      <c r="BH119" s="67" t="n"/>
      <c r="BI119" s="67" t="n"/>
      <c r="BJ119" s="67" t="n"/>
      <c r="BK119" s="67" t="n"/>
    </row>
    <row r="120" ht="20" customHeight="1">
      <c r="A120" s="96" t="inlineStr">
        <is>
          <t>▼▼▼</t>
        </is>
      </c>
      <c r="B120" s="97" t="inlineStr">
        <is>
          <t>COMPETITOR DATA BELOW: one row per competitor (15 direct first, then alternative material). Scroll right for listing, search, strikethrough now and BFCM 2025 history (deal type, price, discount, rank change).</t>
        </is>
      </c>
      <c r="C120" s="98" t="n"/>
      <c r="D120" s="98" t="n"/>
      <c r="E120" s="98" t="n"/>
      <c r="F120" s="98" t="n"/>
      <c r="G120" s="98" t="n"/>
      <c r="H120" s="98" t="n"/>
      <c r="I120" s="98" t="n"/>
      <c r="J120" s="98" t="n"/>
      <c r="K120" s="98" t="n"/>
      <c r="L120" s="98" t="n"/>
      <c r="M120" s="98" t="n"/>
      <c r="N120" s="98" t="n"/>
      <c r="O120" s="98" t="n"/>
      <c r="P120" s="98" t="n"/>
      <c r="Q120" s="98" t="n"/>
      <c r="R120" s="98" t="n"/>
      <c r="S120" s="98" t="n"/>
      <c r="T120" s="98" t="n"/>
      <c r="U120" s="98" t="n"/>
      <c r="V120" s="98" t="n"/>
      <c r="W120" s="98" t="n"/>
      <c r="X120" s="98" t="n"/>
      <c r="Y120" s="98" t="n"/>
      <c r="Z120" s="98" t="n"/>
      <c r="AA120" s="98" t="n"/>
      <c r="AB120" s="98" t="n"/>
      <c r="AC120" s="98" t="n"/>
      <c r="AD120" s="98" t="n"/>
      <c r="AE120" s="98" t="n"/>
      <c r="AF120" s="98" t="n"/>
      <c r="AG120" s="98" t="n"/>
      <c r="AH120" s="98" t="n"/>
      <c r="AI120" s="98" t="n"/>
      <c r="AJ120" s="98" t="n"/>
      <c r="AK120" s="98" t="n"/>
      <c r="AL120" s="98" t="n"/>
      <c r="AM120" s="98" t="n"/>
      <c r="AN120" s="98" t="n"/>
      <c r="AO120" s="98" t="n"/>
      <c r="AP120" s="98" t="n"/>
      <c r="AQ120" s="98" t="n"/>
      <c r="AR120" s="98" t="n"/>
      <c r="AS120" s="98" t="n"/>
      <c r="AT120" s="98" t="n"/>
      <c r="AU120" s="98" t="n"/>
      <c r="AV120" s="98" t="n"/>
      <c r="AW120" s="98" t="n"/>
      <c r="AX120" s="98" t="n"/>
      <c r="AY120" s="98" t="n"/>
      <c r="AZ120" s="98" t="n"/>
      <c r="BA120" s="98" t="n"/>
      <c r="BB120" s="98" t="n"/>
      <c r="BC120" s="98" t="n"/>
      <c r="BD120" s="98" t="n"/>
      <c r="BE120" s="98" t="n"/>
      <c r="BF120" s="98" t="n"/>
      <c r="BG120" s="98" t="n"/>
      <c r="BH120" s="98" t="n"/>
      <c r="BI120" s="98" t="n"/>
      <c r="BJ120" s="98" t="n"/>
      <c r="BK120" s="98" t="n"/>
    </row>
    <row r="121" ht="30" customHeight="1">
      <c r="A121"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22">
      <c r="A122" s="99" t="inlineStr">
        <is>
          <t>COMPETITOR</t>
        </is>
      </c>
      <c r="L122" s="100" t="inlineStr">
        <is>
          <t>LISTING - catalog data</t>
        </is>
      </c>
      <c r="M122" s="101" t="inlineStr">
        <is>
          <t>SEARCH STRATEGY - market data search data</t>
        </is>
      </c>
      <c r="N122" s="102" t="inlineStr">
        <is>
          <t>PRICE &amp; SALES - market data snapshot (date per row)</t>
        </is>
      </c>
      <c r="AA122" s="100" t="inlineStr">
        <is>
          <t>LISTING - catalog data</t>
        </is>
      </c>
      <c r="AD122" s="101" t="inlineStr">
        <is>
          <t>SEARCH STRATEGY - market data search data</t>
        </is>
      </c>
      <c r="AU122" s="103" t="inlineStr">
        <is>
          <t>STR NOW - Amazon page check (Oct 13, P1 + P2)</t>
        </is>
      </c>
      <c r="BB122" s="104" t="inlineStr">
        <is>
          <t>BFCM 2025 - price history (P1 filled; yellow = not pulled yet)</t>
        </is>
      </c>
    </row>
    <row r="123" ht="48" customHeight="1">
      <c r="A123" s="26" t="inlineStr">
        <is>
          <t>Image</t>
        </is>
      </c>
      <c r="B123" s="26" t="inlineStr">
        <is>
          <t>Brand</t>
        </is>
      </c>
      <c r="C123" s="26" t="inlineStr">
        <is>
          <t>Product title</t>
        </is>
      </c>
      <c r="D123" s="26" t="inlineStr">
        <is>
          <t>Tier</t>
        </is>
      </c>
      <c r="E123" s="26" t="inlineStr">
        <is>
          <t>Competitor type</t>
        </is>
      </c>
      <c r="F123" s="26" t="inlineStr">
        <is>
          <t>Material</t>
        </is>
      </c>
      <c r="G123" s="26" t="inlineStr">
        <is>
          <t>Why this type</t>
        </is>
      </c>
      <c r="H123" s="26" t="inlineStr">
        <is>
          <t>Parent ASIN</t>
        </is>
      </c>
      <c r="I123" s="26" t="inlineStr">
        <is>
          <t>Tracked child ASIN</t>
        </is>
      </c>
      <c r="J123" s="26" t="inlineStr">
        <is>
          <t>Size</t>
        </is>
      </c>
      <c r="K123" s="26" t="inlineStr">
        <is>
          <t>Colour</t>
        </is>
      </c>
      <c r="L123" s="26" t="inlineStr">
        <is>
          <t>Variations</t>
        </is>
      </c>
      <c r="M123" s="26" t="inlineStr">
        <is>
          <t>Hero child ASINs (share of their visibility)</t>
        </is>
      </c>
      <c r="N123" s="26" t="inlineStr">
        <is>
          <t>Price ($)</t>
        </is>
      </c>
      <c r="O123" s="26" t="inlineStr">
        <is>
          <t>List Price ($)</t>
        </is>
      </c>
      <c r="P123" s="26" t="inlineStr">
        <is>
          <t>List Price % over</t>
        </is>
      </c>
      <c r="Q123" s="26" t="inlineStr">
        <is>
          <t>STR band</t>
        </is>
      </c>
      <c r="R123" s="26" t="inlineStr">
        <is>
          <t>Our price, same size ($)</t>
        </is>
      </c>
      <c r="S123" s="26" t="inlineStr">
        <is>
          <t>Their price vs ours</t>
        </is>
      </c>
      <c r="T123" s="26" t="inlineStr">
        <is>
          <t>Comparison basis</t>
        </is>
      </c>
      <c r="U123" s="26" t="inlineStr">
        <is>
          <t>BSR</t>
        </is>
      </c>
      <c r="V123" s="26" t="inlineStr">
        <is>
          <t>Est weekly units</t>
        </is>
      </c>
      <c r="W123" s="26" t="inlineStr">
        <is>
          <t>Est monthly revenue ($)</t>
        </is>
      </c>
      <c r="X123" s="26" t="inlineStr">
        <is>
          <t>Rating</t>
        </is>
      </c>
      <c r="Y123" s="26" t="inlineStr">
        <is>
          <t>Reviews</t>
        </is>
      </c>
      <c r="Z123" s="26" t="inlineStr">
        <is>
          <t>Snapshot date</t>
        </is>
      </c>
      <c r="AA123" s="26" t="inlineStr">
        <is>
          <t>Listed</t>
        </is>
      </c>
      <c r="AB123" s="26" t="inlineStr">
        <is>
          <t>Fulfil.</t>
        </is>
      </c>
      <c r="AC123" s="26" t="inlineStr">
        <is>
          <t>Seller country</t>
        </is>
      </c>
      <c r="AD123" s="26" t="inlineStr">
        <is>
          <t>search data 7d traffic</t>
        </is>
      </c>
      <c r="AE123" s="26" t="inlineStr">
        <is>
          <t>Keywords ranked</t>
        </is>
      </c>
      <c r="AF123" s="26" t="inlineStr">
        <is>
          <t>Organic share of traffic</t>
        </is>
      </c>
      <c r="AG123" s="26" t="inlineStr">
        <is>
          <t>Ad share of traffic</t>
        </is>
      </c>
      <c r="AH123" s="26" t="inlineStr">
        <is>
          <t>Top keyword</t>
        </is>
      </c>
      <c r="AI123" s="26" t="inlineStr">
        <is>
          <t>SP reach</t>
        </is>
      </c>
      <c r="AJ123" s="26" t="inlineStr">
        <is>
          <t>SB reach</t>
        </is>
      </c>
      <c r="AK123" s="26" t="inlineStr">
        <is>
          <t>SB video reach</t>
        </is>
      </c>
      <c r="AL123" s="26" t="inlineStr">
        <is>
          <t>Amazon's Choice reach</t>
        </is>
      </c>
      <c r="AM123" s="26" t="inlineStr">
        <is>
          <t>Shared keywords</t>
        </is>
      </c>
      <c r="AN123" s="26" t="inlineStr">
        <is>
          <t>We win</t>
        </is>
      </c>
      <c r="AO123" s="26" t="inlineStr">
        <is>
          <t>We lose</t>
        </is>
      </c>
      <c r="AP123" s="26" t="inlineStr">
        <is>
          <t>Their keywords we miss</t>
        </is>
      </c>
      <c r="AQ123" s="26" t="inlineStr">
        <is>
          <t>KWs they advertise, we don't</t>
        </is>
      </c>
      <c r="AR123" s="26" t="inlineStr">
        <is>
          <t>KWs they out-advertise us</t>
        </is>
      </c>
      <c r="AS123" s="26" t="inlineStr">
        <is>
          <t>Prime Day 2026 organic vis lift</t>
        </is>
      </c>
      <c r="AT123" s="26" t="inlineStr">
        <is>
          <t>Organic trend (Aug-Sep vs Q2)</t>
        </is>
      </c>
      <c r="AU123" s="26" t="inlineStr">
        <is>
          <t>STR showing now? (Y/N)</t>
        </is>
      </c>
      <c r="AV123" s="26" t="inlineStr">
        <is>
          <t>STR label</t>
        </is>
      </c>
      <c r="AW123" s="26" t="inlineStr">
        <is>
          <t>Strikethrough price ($)</t>
        </is>
      </c>
      <c r="AX123" s="26" t="inlineStr">
        <is>
          <t>Page price at check ($)</t>
        </is>
      </c>
      <c r="AY123" s="26" t="inlineStr">
        <is>
          <t>Deal / coupon now</t>
        </is>
      </c>
      <c r="AZ123" s="26" t="inlineStr">
        <is>
          <t>Orderable now (Y/N)</t>
        </is>
      </c>
      <c r="BA123" s="26" t="inlineStr">
        <is>
          <t>Checked (ET)</t>
        </is>
      </c>
      <c r="BB123" s="26" t="inlineStr">
        <is>
          <t>BFCM 2025 deal type</t>
        </is>
      </c>
      <c r="BC123" s="26" t="inlineStr">
        <is>
          <t>BFCM 2025 deal dates</t>
        </is>
      </c>
      <c r="BD123" s="26" t="inlineStr">
        <is>
          <t>Pre-event price ($)</t>
        </is>
      </c>
      <c r="BE123" s="26" t="inlineStr">
        <is>
          <t>BFCM 2025 low ($)</t>
        </is>
      </c>
      <c r="BF123" s="26" t="inlineStr">
        <is>
          <t>BFCM 2025 discount</t>
        </is>
      </c>
      <c r="BG123" s="26" t="inlineStr">
        <is>
          <t>BSR pre-event</t>
        </is>
      </c>
      <c r="BH123" s="26" t="inlineStr">
        <is>
          <t>BSR BFCM wk</t>
        </is>
      </c>
      <c r="BI123" s="26" t="inlineStr">
        <is>
          <t>BSR lift (x)</t>
        </is>
      </c>
      <c r="BJ123" s="26" t="inlineStr">
        <is>
          <t>OOS in BFCM? (Y/N)</t>
        </is>
      </c>
      <c r="BK123" s="26" t="inlineStr">
        <is>
          <t>Notes</t>
        </is>
      </c>
    </row>
    <row r="124" ht="62" customHeight="1">
      <c r="A124" s="12">
        <f>_xlfn.IMAGE("https://m.media-amazon.com/images/I/81BJgcF3cZL.jpg")</f>
        <v/>
      </c>
      <c r="B124" s="105" t="inlineStr">
        <is>
          <t>Bedsure</t>
        </is>
      </c>
      <c r="C124" s="39" t="inlineStr">
        <is>
          <t>Bedsure Sheet Queen Size - 4 Piece 100% Bamboo Rayon Sheet Set Dark Grey</t>
        </is>
      </c>
      <c r="D124" s="105" t="inlineStr">
        <is>
          <t>Untiered</t>
        </is>
      </c>
      <c r="E124" s="106" t="inlineStr">
        <is>
          <t>Direct</t>
        </is>
      </c>
      <c r="F124" s="105" t="inlineStr">
        <is>
          <t>Bamboo viscose</t>
        </is>
      </c>
      <c r="G124" s="39" t="inlineStr">
        <is>
          <t>Same product (sheet set) in the same material family: Bamboo viscose (title: Bedsure Sheet Queen Size - 4 Piece 100% Bamboo Rayon Sheet S); ours: our listing: viscose from bamboo.</t>
        </is>
      </c>
      <c r="H124" s="107" t="inlineStr">
        <is>
          <t>B086R38NZ6</t>
        </is>
      </c>
      <c r="I124" s="107" t="inlineStr">
        <is>
          <t>B07YKCZHGK</t>
        </is>
      </c>
      <c r="J124" s="105" t="inlineStr">
        <is>
          <t>Queen</t>
        </is>
      </c>
      <c r="K124" s="105" t="inlineStr">
        <is>
          <t>01 - Dark Grey</t>
        </is>
      </c>
      <c r="L124" s="108" t="n">
        <v>61</v>
      </c>
      <c r="M124" s="39" t="n"/>
      <c r="N124" s="109" t="n">
        <v>94.98999999999999</v>
      </c>
      <c r="O124" s="109" t="n"/>
      <c r="P124" s="110">
        <f>IF(AND(ISNUMBER(O124),ISNUMBER(N124),N(N124)&gt;0),O124/N124-1,"")</f>
        <v/>
      </c>
      <c r="Q124" s="111">
        <f>IF(P124="","No List Price",IF(P124&lt;=0,"At/below price",IF(P124&lt;=0.12,"&lt;=12% STR zone",IF(P124&lt;=0.25,"12-25%","&gt;25% over"))))</f>
        <v/>
      </c>
      <c r="R124" s="109" t="n">
        <v>99.98999999999999</v>
      </c>
      <c r="S124" s="112">
        <f>IF(AND(ISNUMBER(N124),ISNUMBER(R124),N(R124)&gt;0),N124/R124-1,"")</f>
        <v/>
      </c>
      <c r="T124" s="39" t="inlineStr">
        <is>
          <t>Same size (Queen), CAD. Ours live: catalog price (CAD), 2026-10-14; 14 children</t>
        </is>
      </c>
      <c r="U124" s="108" t="n">
        <v>996</v>
      </c>
      <c r="V124" s="108" t="n"/>
      <c r="W124" s="113">
        <f>IF(AND(ISNUMBER(N124),ISNUMBER(V124)),N124*V124*52/12,"")</f>
        <v/>
      </c>
      <c r="X124" s="114" t="n">
        <v>4.3</v>
      </c>
      <c r="Y124" s="108" t="n">
        <v>60808</v>
      </c>
      <c r="Z124" s="115" t="n">
        <v>46309</v>
      </c>
      <c r="AA124" s="115" t="n"/>
      <c r="AB124" s="105" t="n"/>
      <c r="AC124" s="105" t="n"/>
      <c r="AD124" s="108" t="n"/>
      <c r="AE124" s="108" t="n"/>
      <c r="AF124" s="116" t="n"/>
      <c r="AG124" s="116" t="n"/>
      <c r="AH124" s="39" t="n"/>
      <c r="AI124" s="116" t="n"/>
      <c r="AJ124" s="116" t="n"/>
      <c r="AK124" s="116" t="n"/>
      <c r="AL124" s="116" t="n"/>
      <c r="AM124" s="108" t="n"/>
      <c r="AN124" s="108" t="n"/>
      <c r="AO124" s="108" t="n"/>
      <c r="AP124" s="108" t="n"/>
      <c r="AQ124" s="108" t="n"/>
      <c r="AR124" s="108" t="n"/>
      <c r="AS124" s="117" t="n"/>
      <c r="AT124" s="112" t="n"/>
      <c r="AU124" s="118" t="inlineStr">
        <is>
          <t>Y</t>
        </is>
      </c>
      <c r="AV124" s="118" t="inlineStr">
        <is>
          <t>List Price</t>
        </is>
      </c>
      <c r="AW124" s="119" t="n">
        <v>109.99</v>
      </c>
      <c r="AX124" s="119" t="n">
        <v>94.98999999999999</v>
      </c>
      <c r="AY124" s="118" t="inlineStr">
        <is>
          <t>none</t>
        </is>
      </c>
      <c r="AZ124" s="118" t="inlineStr">
        <is>
          <t>Y</t>
        </is>
      </c>
      <c r="BA124" s="118" t="inlineStr">
        <is>
          <t>2026-10-14 00:29:51</t>
        </is>
      </c>
      <c r="BB124" s="120" t="inlineStr">
        <is>
          <t>Prime Exclusive Discount</t>
        </is>
      </c>
      <c r="BC124" s="120" t="inlineStr">
        <is>
          <t>11-01 to 12-01</t>
        </is>
      </c>
      <c r="BD124" s="121" t="n">
        <v>72.19</v>
      </c>
      <c r="BE124" s="121" t="n">
        <v>55.27</v>
      </c>
      <c r="BF124" s="110">
        <f>IF(AND(ISNUMBER(BD124),ISNUMBER(BE124),N(BD124)&gt;0),1-BE124/BD124,"")</f>
        <v/>
      </c>
      <c r="BG124" s="122" t="n">
        <v>2074</v>
      </c>
      <c r="BH124" s="122" t="n">
        <v>1132</v>
      </c>
      <c r="BI124" s="123">
        <f>IF(AND(ISNUMBER(BG124),ISNUMBER(BH124),N(BH124)&gt;0),BG124/BH124,"")</f>
        <v/>
      </c>
      <c r="BJ124" s="120" t="inlineStr">
        <is>
          <t>N</t>
        </is>
      </c>
      <c r="BK124" s="120" t="inlineStr">
        <is>
          <t>Amazon.ca organic #1 for 'bamboo sheets queen'; 100% Bamboo; 600+ bought in past month bought past month; variation_count = distinct children exposed in page variation map, not a guaranteed complete catalogue. price history: Prime Exclusive already running before BFCM week; List Price C$109.99</t>
        </is>
      </c>
    </row>
    <row r="125" ht="62" customHeight="1">
      <c r="A125" s="12">
        <f>_xlfn.IMAGE("https://m.media-amazon.com/images/I/71AsFyQ2clL.jpg")</f>
        <v/>
      </c>
      <c r="B125" s="105" t="inlineStr">
        <is>
          <t>BAMPURE</t>
        </is>
      </c>
      <c r="C125" s="39" t="inlineStr">
        <is>
          <t>BAMPURE 100% Organic Bamboo Sheets Queen 4PC - Cooling Sheets Set</t>
        </is>
      </c>
      <c r="D125" s="105" t="inlineStr">
        <is>
          <t>Untiered</t>
        </is>
      </c>
      <c r="E125" s="106" t="inlineStr">
        <is>
          <t>Direct</t>
        </is>
      </c>
      <c r="F125" s="105" t="inlineStr">
        <is>
          <t>Bamboo viscose</t>
        </is>
      </c>
      <c r="G125" s="39" t="inlineStr">
        <is>
          <t>Same product (sheet set) in the same material family: Bamboo viscose (title: BAMPURE 100% Organic Bamboo Sheets Queen 4PC - Cooling Sheet); ours: our listing: viscose from bamboo.</t>
        </is>
      </c>
      <c r="H125" s="107" t="inlineStr">
        <is>
          <t>B0HHZYV9G4</t>
        </is>
      </c>
      <c r="I125" s="107" t="inlineStr">
        <is>
          <t>B07X8FPWJH</t>
        </is>
      </c>
      <c r="J125" s="105" t="inlineStr">
        <is>
          <t>Queen</t>
        </is>
      </c>
      <c r="K125" s="105" t="inlineStr">
        <is>
          <t>Stone Gray</t>
        </is>
      </c>
      <c r="L125" s="108" t="n">
        <v>25</v>
      </c>
      <c r="M125" s="39" t="n"/>
      <c r="N125" s="109" t="n">
        <v>83.69</v>
      </c>
      <c r="O125" s="109" t="n"/>
      <c r="P125" s="110">
        <f>IF(AND(ISNUMBER(O125),ISNUMBER(N125),N(N125)&gt;0),O125/N125-1,"")</f>
        <v/>
      </c>
      <c r="Q125" s="111">
        <f>IF(P125="","No List Price",IF(P125&lt;=0,"At/below price",IF(P125&lt;=0.12,"&lt;=12% STR zone",IF(P125&lt;=0.25,"12-25%","&gt;25% over"))))</f>
        <v/>
      </c>
      <c r="R125" s="109" t="n">
        <v>99.98999999999999</v>
      </c>
      <c r="S125" s="112">
        <f>IF(AND(ISNUMBER(N125),ISNUMBER(R125),N(R125)&gt;0),N125/R125-1,"")</f>
        <v/>
      </c>
      <c r="T125" s="39" t="inlineStr">
        <is>
          <t>Same size (Queen), CAD. Ours live: catalog price (CAD), 2026-10-14; 14 children</t>
        </is>
      </c>
      <c r="U125" s="108" t="n">
        <v>724</v>
      </c>
      <c r="V125" s="108" t="n"/>
      <c r="W125" s="113">
        <f>IF(AND(ISNUMBER(N125),ISNUMBER(V125)),N125*V125*52/12,"")</f>
        <v/>
      </c>
      <c r="X125" s="114" t="n">
        <v>4.3</v>
      </c>
      <c r="Y125" s="108" t="n">
        <v>7346</v>
      </c>
      <c r="Z125" s="115" t="n">
        <v>46309</v>
      </c>
      <c r="AA125" s="115" t="n"/>
      <c r="AB125" s="105" t="n"/>
      <c r="AC125" s="105" t="n"/>
      <c r="AD125" s="108" t="n"/>
      <c r="AE125" s="108" t="n"/>
      <c r="AF125" s="116" t="n"/>
      <c r="AG125" s="116" t="n"/>
      <c r="AH125" s="39" t="n"/>
      <c r="AI125" s="116" t="n"/>
      <c r="AJ125" s="116" t="n"/>
      <c r="AK125" s="116" t="n"/>
      <c r="AL125" s="116" t="n"/>
      <c r="AM125" s="108" t="n"/>
      <c r="AN125" s="108" t="n"/>
      <c r="AO125" s="108" t="n"/>
      <c r="AP125" s="108" t="n"/>
      <c r="AQ125" s="108" t="n"/>
      <c r="AR125" s="108" t="n"/>
      <c r="AS125" s="117" t="n"/>
      <c r="AT125" s="112" t="n"/>
      <c r="AU125" s="118" t="inlineStr">
        <is>
          <t>Y</t>
        </is>
      </c>
      <c r="AV125" s="118" t="inlineStr">
        <is>
          <t>Was price</t>
        </is>
      </c>
      <c r="AW125" s="119" t="n">
        <v>92.98999999999999</v>
      </c>
      <c r="AX125" s="119" t="n">
        <v>83.69</v>
      </c>
      <c r="AY125" s="118" t="inlineStr">
        <is>
          <t>Limited-time deal</t>
        </is>
      </c>
      <c r="AZ125" s="118" t="inlineStr">
        <is>
          <t>Y</t>
        </is>
      </c>
      <c r="BA125" s="118" t="inlineStr">
        <is>
          <t>2026-10-14 00:29:42</t>
        </is>
      </c>
      <c r="BB125" s="120" t="inlineStr">
        <is>
          <t>Price cut only</t>
        </is>
      </c>
      <c r="BC125" s="120" t="inlineStr">
        <is>
          <t>11-20 to 12-01</t>
        </is>
      </c>
      <c r="BD125" s="121" t="n">
        <v>92.98999999999999</v>
      </c>
      <c r="BE125" s="121" t="n">
        <v>78.98999999999999</v>
      </c>
      <c r="BF125" s="110">
        <f>IF(AND(ISNUMBER(BD125),ISNUMBER(BE125),N(BD125)&gt;0),1-BE125/BD125,"")</f>
        <v/>
      </c>
      <c r="BG125" s="122" t="n">
        <v>1939</v>
      </c>
      <c r="BH125" s="122" t="n">
        <v>1376</v>
      </c>
      <c r="BI125" s="123">
        <f>IF(AND(ISNUMBER(BG125),ISNUMBER(BH125),N(BH125)&gt;0),BG125/BH125,"")</f>
        <v/>
      </c>
      <c r="BJ125" s="120" t="inlineStr">
        <is>
          <t>N</t>
        </is>
      </c>
      <c r="BK125" s="120" t="inlineStr">
        <is>
          <t>Amazon.ca organic #1 for 'bamboo sheets king'; 100% Viscose Derived from Bamboo; Search child B07XF1K1R3; selected Queen child B07X8FPWJH. variation_count = distinct children exposed in page variation map, not a guaranteed complete catalogue</t>
        </is>
      </c>
    </row>
    <row r="126" ht="62" customHeight="1">
      <c r="A126" s="12">
        <f>_xlfn.IMAGE("https://m.media-amazon.com/images/I/612X5uLV3GL.jpg")</f>
        <v/>
      </c>
      <c r="B126" s="105" t="inlineStr">
        <is>
          <t>Sasttie</t>
        </is>
      </c>
      <c r="C126" s="39" t="inlineStr">
        <is>
          <t>Sasttie White Silky-Soft Bamboo Sheets Queen Size 4-Piece, 100% Rayon Made from Bamboo 300TC, Cooling Sheet for Hot Sleepers, 16" Deep Pocket, Secure Corner Straps, Head Tag, Washable &amp; Breathable</t>
        </is>
      </c>
      <c r="D126" s="105" t="inlineStr">
        <is>
          <t>Untiered</t>
        </is>
      </c>
      <c r="E126" s="106" t="inlineStr">
        <is>
          <t>Direct</t>
        </is>
      </c>
      <c r="F126" s="105" t="inlineStr">
        <is>
          <t>Bamboo viscose</t>
        </is>
      </c>
      <c r="G126" s="39" t="inlineStr">
        <is>
          <t>Same product (sheet set) in the same material family: Bamboo viscose (title: Sasttie White Silky-Soft Bamboo Sheets Queen Size 4-Piece, 1); ours: our listing: viscose from bamboo.</t>
        </is>
      </c>
      <c r="H126" s="107" t="inlineStr">
        <is>
          <t>B0H9R791B2</t>
        </is>
      </c>
      <c r="I126" s="107" t="inlineStr">
        <is>
          <t>B0H9QD7RD5</t>
        </is>
      </c>
      <c r="J126" s="105" t="inlineStr">
        <is>
          <t>Queen</t>
        </is>
      </c>
      <c r="K126" s="105" t="inlineStr">
        <is>
          <t>White</t>
        </is>
      </c>
      <c r="L126" s="108" t="n">
        <v>38</v>
      </c>
      <c r="M126" s="39" t="n"/>
      <c r="N126" s="109" t="n">
        <v>49.99</v>
      </c>
      <c r="O126" s="109" t="n"/>
      <c r="P126" s="110">
        <f>IF(AND(ISNUMBER(O126),ISNUMBER(N126),N(N126)&gt;0),O126/N126-1,"")</f>
        <v/>
      </c>
      <c r="Q126" s="111">
        <f>IF(P126="","No List Price",IF(P126&lt;=0,"At/below price",IF(P126&lt;=0.12,"&lt;=12% STR zone",IF(P126&lt;=0.25,"12-25%","&gt;25% over"))))</f>
        <v/>
      </c>
      <c r="R126" s="109" t="n">
        <v>99.98999999999999</v>
      </c>
      <c r="S126" s="112">
        <f>IF(AND(ISNUMBER(N126),ISNUMBER(R126),N(R126)&gt;0),N126/R126-1,"")</f>
        <v/>
      </c>
      <c r="T126" s="39" t="inlineStr">
        <is>
          <t>Same size (Queen), CAD. Ours live: catalog price (CAD), 2026-10-14; 14 children</t>
        </is>
      </c>
      <c r="U126" s="108" t="n">
        <v>7761</v>
      </c>
      <c r="V126" s="108" t="n"/>
      <c r="W126" s="113">
        <f>IF(AND(ISNUMBER(N126),ISNUMBER(V126)),N126*V126*52/12,"")</f>
        <v/>
      </c>
      <c r="X126" s="114" t="n">
        <v>4.5</v>
      </c>
      <c r="Y126" s="108" t="n">
        <v>19</v>
      </c>
      <c r="Z126" s="115" t="n">
        <v>46309</v>
      </c>
      <c r="AA126" s="115" t="n"/>
      <c r="AB126" s="105" t="n"/>
      <c r="AC126" s="105" t="n"/>
      <c r="AD126" s="108" t="n"/>
      <c r="AE126" s="108" t="n"/>
      <c r="AF126" s="116" t="n"/>
      <c r="AG126" s="116" t="n"/>
      <c r="AH126" s="39" t="n"/>
      <c r="AI126" s="116" t="n"/>
      <c r="AJ126" s="116" t="n"/>
      <c r="AK126" s="116" t="n"/>
      <c r="AL126" s="116" t="n"/>
      <c r="AM126" s="108" t="n"/>
      <c r="AN126" s="108" t="n"/>
      <c r="AO126" s="108" t="n"/>
      <c r="AP126" s="108" t="n"/>
      <c r="AQ126" s="108" t="n"/>
      <c r="AR126" s="108" t="n"/>
      <c r="AS126" s="117" t="n"/>
      <c r="AT126" s="112" t="n"/>
      <c r="AU126" s="118" t="inlineStr">
        <is>
          <t>Y</t>
        </is>
      </c>
      <c r="AV126" s="118" t="inlineStr">
        <is>
          <t>List Price</t>
        </is>
      </c>
      <c r="AW126" s="119" t="n">
        <v>64.98999999999999</v>
      </c>
      <c r="AX126" s="119" t="n">
        <v>49.99</v>
      </c>
      <c r="AY126" s="118" t="inlineStr">
        <is>
          <t>none</t>
        </is>
      </c>
      <c r="AZ126" s="118" t="inlineStr">
        <is>
          <t>Y</t>
        </is>
      </c>
      <c r="BA126" s="118" t="inlineStr">
        <is>
          <t>2026-10-14 00:30:38</t>
        </is>
      </c>
      <c r="BB126" s="120" t="inlineStr">
        <is>
          <t>Not live in 2025</t>
        </is>
      </c>
      <c r="BC126" s="125" t="n"/>
      <c r="BD126" s="124" t="n"/>
      <c r="BE126" s="124" t="n"/>
      <c r="BF126" s="110">
        <f>IF(AND(ISNUMBER(BD126),ISNUMBER(BE126),N(BD126)&gt;0),1-BE126/BD126,"")</f>
        <v/>
      </c>
      <c r="BG126" s="126" t="n"/>
      <c r="BH126" s="126" t="n"/>
      <c r="BI126" s="123">
        <f>IF(AND(ISNUMBER(BG126),ISNUMBER(BH126),N(BH126)&gt;0),BG126/BH126,"")</f>
        <v/>
      </c>
      <c r="BJ126" s="125" t="n"/>
      <c r="BK126" s="120" t="inlineStr">
        <is>
          <t>Amazon.ca organic #2 for 'cooling bamboo sheets'; Rayon Derived from Bamboo; variation_count = distinct children exposed in page variation map, not a guaranteed complete catalogue. Bought-past-month badge not displayed.</t>
        </is>
      </c>
    </row>
    <row r="127" ht="62" customHeight="1">
      <c r="A127" s="12">
        <f>_xlfn.IMAGE("https://m.media-amazon.com/images/I/61iXhiLg79L.jpg")</f>
        <v/>
      </c>
      <c r="B127" s="105" t="inlineStr">
        <is>
          <t>Andency</t>
        </is>
      </c>
      <c r="C127" s="39" t="inlineStr">
        <is>
          <t>Andency Bamboo Cooling Olive Sheets Set, 4pcs Queen Sheets for Hot Sleepers</t>
        </is>
      </c>
      <c r="D127" s="105" t="inlineStr">
        <is>
          <t>Untiered</t>
        </is>
      </c>
      <c r="E127" s="106" t="inlineStr">
        <is>
          <t>Direct</t>
        </is>
      </c>
      <c r="F127" s="105" t="inlineStr">
        <is>
          <t>Bamboo viscose</t>
        </is>
      </c>
      <c r="G127" s="39" t="inlineStr">
        <is>
          <t>Same product (sheet set) in the same material family: Bamboo viscose (title: Andency Bamboo Cooling Olive Sheets Set, 4pcs Queen Sheets f); ours: our listing: viscose from bamboo.</t>
        </is>
      </c>
      <c r="H127" s="107" t="inlineStr">
        <is>
          <t>B0CMV6MR96</t>
        </is>
      </c>
      <c r="I127" s="107" t="inlineStr">
        <is>
          <t>B0CWK92XQD</t>
        </is>
      </c>
      <c r="J127" s="105" t="inlineStr">
        <is>
          <t>Queen</t>
        </is>
      </c>
      <c r="K127" s="105" t="inlineStr">
        <is>
          <t>Olive Green</t>
        </is>
      </c>
      <c r="L127" s="108" t="n">
        <v>48</v>
      </c>
      <c r="M127" s="39" t="n"/>
      <c r="N127" s="109" t="n">
        <v>69.98999999999999</v>
      </c>
      <c r="O127" s="109" t="n"/>
      <c r="P127" s="110">
        <f>IF(AND(ISNUMBER(O127),ISNUMBER(N127),N(N127)&gt;0),O127/N127-1,"")</f>
        <v/>
      </c>
      <c r="Q127" s="111">
        <f>IF(P127="","No List Price",IF(P127&lt;=0,"At/below price",IF(P127&lt;=0.12,"&lt;=12% STR zone",IF(P127&lt;=0.25,"12-25%","&gt;25% over"))))</f>
        <v/>
      </c>
      <c r="R127" s="109" t="n">
        <v>99.98999999999999</v>
      </c>
      <c r="S127" s="112">
        <f>IF(AND(ISNUMBER(N127),ISNUMBER(R127),N(R127)&gt;0),N127/R127-1,"")</f>
        <v/>
      </c>
      <c r="T127" s="39" t="inlineStr">
        <is>
          <t>Same size (Queen), CAD. Ours live: catalog price (CAD), 2026-10-14; 14 children</t>
        </is>
      </c>
      <c r="U127" s="108" t="n">
        <v>10681</v>
      </c>
      <c r="V127" s="108" t="n"/>
      <c r="W127" s="113">
        <f>IF(AND(ISNUMBER(N127),ISNUMBER(V127)),N127*V127*52/12,"")</f>
        <v/>
      </c>
      <c r="X127" s="114" t="n">
        <v>4.4</v>
      </c>
      <c r="Y127" s="108" t="n">
        <v>736</v>
      </c>
      <c r="Z127" s="115" t="n">
        <v>46309</v>
      </c>
      <c r="AA127" s="115" t="n"/>
      <c r="AB127" s="105" t="n"/>
      <c r="AC127" s="105" t="n"/>
      <c r="AD127" s="108" t="n"/>
      <c r="AE127" s="108" t="n"/>
      <c r="AF127" s="116" t="n"/>
      <c r="AG127" s="116" t="n"/>
      <c r="AH127" s="39" t="n"/>
      <c r="AI127" s="116" t="n"/>
      <c r="AJ127" s="116" t="n"/>
      <c r="AK127" s="116" t="n"/>
      <c r="AL127" s="116" t="n"/>
      <c r="AM127" s="108" t="n"/>
      <c r="AN127" s="108" t="n"/>
      <c r="AO127" s="108" t="n"/>
      <c r="AP127" s="108" t="n"/>
      <c r="AQ127" s="108" t="n"/>
      <c r="AR127" s="108" t="n"/>
      <c r="AS127" s="117" t="n"/>
      <c r="AT127" s="112" t="n"/>
      <c r="AU127" s="118" t="inlineStr">
        <is>
          <t>N</t>
        </is>
      </c>
      <c r="AV127" s="118" t="inlineStr">
        <is>
          <t>none</t>
        </is>
      </c>
      <c r="AW127" s="124" t="n"/>
      <c r="AX127" s="119" t="n">
        <v>69.98999999999999</v>
      </c>
      <c r="AY127" s="118" t="inlineStr">
        <is>
          <t>none</t>
        </is>
      </c>
      <c r="AZ127" s="118" t="inlineStr">
        <is>
          <t>Y</t>
        </is>
      </c>
      <c r="BA127" s="118" t="inlineStr">
        <is>
          <t>2026-10-14 00:32:13</t>
        </is>
      </c>
      <c r="BB127" s="125" t="n"/>
      <c r="BC127" s="125" t="n"/>
      <c r="BD127" s="124" t="n"/>
      <c r="BE127" s="124" t="n"/>
      <c r="BF127" s="110">
        <f>IF(AND(ISNUMBER(BD127),ISNUMBER(BE127),N(BD127)&gt;0),1-BE127/BD127,"")</f>
        <v/>
      </c>
      <c r="BG127" s="126" t="n"/>
      <c r="BH127" s="126" t="n"/>
      <c r="BI127" s="123">
        <f>IF(AND(ISNUMBER(BG127),ISNUMBER(BH127),N(BH127)&gt;0),BG127/BH127,"")</f>
        <v/>
      </c>
      <c r="BJ127" s="120" t="inlineStr">
        <is>
          <t>Y</t>
        </is>
      </c>
      <c r="BK127" s="120" t="inlineStr">
        <is>
          <t>Amazon.ca organic #5 for 'bamboo sheets king'; Bamboo Viscose – Temperature Regulation for Deeper, Restful Sleep; Search child B0CWKJ5SJ9; selected Queen child B0CWK92XQD. variation_count = distinct children exposed in page variation map, not a guaranteed complete catalogue price history: No Buy Box history in price history for BFCM 2025</t>
        </is>
      </c>
    </row>
    <row r="128" ht="62" customHeight="1">
      <c r="A128" s="12">
        <f>_xlfn.IMAGE("https://m.media-amazon.com/images/I/81Oi9KYdBWL.jpg")</f>
        <v/>
      </c>
      <c r="B128" s="105" t="inlineStr">
        <is>
          <t>ACCURATEX</t>
        </is>
      </c>
      <c r="C128" s="39" t="inlineStr">
        <is>
          <t>ACCURATEX Bamboo Cooling Sheets for Hot Sleepers, Queen Size, Grey</t>
        </is>
      </c>
      <c r="D128" s="105" t="inlineStr">
        <is>
          <t>Untiered</t>
        </is>
      </c>
      <c r="E128" s="106" t="inlineStr">
        <is>
          <t>Direct</t>
        </is>
      </c>
      <c r="F128" s="105" t="inlineStr">
        <is>
          <t>Bamboo viscose</t>
        </is>
      </c>
      <c r="G128" s="39" t="inlineStr">
        <is>
          <t>Same product (sheet set) in the same material family: Bamboo viscose (title: ACCURATEX Bamboo Cooling Sheets for Hot Sleepers, Queen Size); ours: our listing: viscose from bamboo.</t>
        </is>
      </c>
      <c r="H128" s="107" t="inlineStr">
        <is>
          <t>B0DK51QCDN</t>
        </is>
      </c>
      <c r="I128" s="107" t="inlineStr">
        <is>
          <t>B0BKLHTWGS</t>
        </is>
      </c>
      <c r="J128" s="105" t="inlineStr">
        <is>
          <t>Queen</t>
        </is>
      </c>
      <c r="K128" s="105" t="inlineStr">
        <is>
          <t>Grey</t>
        </is>
      </c>
      <c r="L128" s="108" t="n">
        <v>51</v>
      </c>
      <c r="M128" s="39" t="n"/>
      <c r="N128" s="109" t="n">
        <v>94.98999999999999</v>
      </c>
      <c r="O128" s="109" t="n"/>
      <c r="P128" s="110">
        <f>IF(AND(ISNUMBER(O128),ISNUMBER(N128),N(N128)&gt;0),O128/N128-1,"")</f>
        <v/>
      </c>
      <c r="Q128" s="111">
        <f>IF(P128="","No List Price",IF(P128&lt;=0,"At/below price",IF(P128&lt;=0.12,"&lt;=12% STR zone",IF(P128&lt;=0.25,"12-25%","&gt;25% over"))))</f>
        <v/>
      </c>
      <c r="R128" s="109" t="n">
        <v>99.98999999999999</v>
      </c>
      <c r="S128" s="112">
        <f>IF(AND(ISNUMBER(N128),ISNUMBER(R128),N(R128)&gt;0),N128/R128-1,"")</f>
        <v/>
      </c>
      <c r="T128" s="39" t="inlineStr">
        <is>
          <t>Same size (Queen), CAD. Ours live: catalog price (CAD), 2026-10-14; 14 children</t>
        </is>
      </c>
      <c r="U128" s="108" t="n">
        <v>14889</v>
      </c>
      <c r="V128" s="108" t="n"/>
      <c r="W128" s="113">
        <f>IF(AND(ISNUMBER(N128),ISNUMBER(V128)),N128*V128*52/12,"")</f>
        <v/>
      </c>
      <c r="X128" s="114" t="n">
        <v>4.3</v>
      </c>
      <c r="Y128" s="108" t="n">
        <v>1019</v>
      </c>
      <c r="Z128" s="115" t="n">
        <v>46309</v>
      </c>
      <c r="AA128" s="115" t="n"/>
      <c r="AB128" s="105" t="n"/>
      <c r="AC128" s="105" t="n"/>
      <c r="AD128" s="108" t="n"/>
      <c r="AE128" s="108" t="n"/>
      <c r="AF128" s="116" t="n"/>
      <c r="AG128" s="116" t="n"/>
      <c r="AH128" s="39" t="n"/>
      <c r="AI128" s="116" t="n"/>
      <c r="AJ128" s="116" t="n"/>
      <c r="AK128" s="116" t="n"/>
      <c r="AL128" s="116" t="n"/>
      <c r="AM128" s="108" t="n"/>
      <c r="AN128" s="108" t="n"/>
      <c r="AO128" s="108" t="n"/>
      <c r="AP128" s="108" t="n"/>
      <c r="AQ128" s="108" t="n"/>
      <c r="AR128" s="108" t="n"/>
      <c r="AS128" s="117" t="n"/>
      <c r="AT128" s="112" t="n"/>
      <c r="AU128" s="118" t="inlineStr">
        <is>
          <t>N</t>
        </is>
      </c>
      <c r="AV128" s="118" t="inlineStr">
        <is>
          <t>none</t>
        </is>
      </c>
      <c r="AW128" s="124" t="n"/>
      <c r="AX128" s="119" t="n">
        <v>94.98999999999999</v>
      </c>
      <c r="AY128" s="118" t="inlineStr">
        <is>
          <t>none</t>
        </is>
      </c>
      <c r="AZ128" s="118" t="inlineStr">
        <is>
          <t>Y</t>
        </is>
      </c>
      <c r="BA128" s="118" t="inlineStr">
        <is>
          <t>2026-10-14 00:33:55</t>
        </is>
      </c>
      <c r="BB128" s="120" t="inlineStr">
        <is>
          <t>Prime Exclusive Discount</t>
        </is>
      </c>
      <c r="BC128" s="120" t="inlineStr">
        <is>
          <t>11-20 to 12-01</t>
        </is>
      </c>
      <c r="BD128" s="121" t="n">
        <v>94.98999999999999</v>
      </c>
      <c r="BE128" s="121" t="n">
        <v>75.98999999999999</v>
      </c>
      <c r="BF128" s="110">
        <f>IF(AND(ISNUMBER(BD128),ISNUMBER(BE128),N(BD128)&gt;0),1-BE128/BD128,"")</f>
        <v/>
      </c>
      <c r="BG128" s="122" t="n">
        <v>38877</v>
      </c>
      <c r="BH128" s="122" t="n">
        <v>30442</v>
      </c>
      <c r="BI128" s="123">
        <f>IF(AND(ISNUMBER(BG128),ISNUMBER(BH128),N(BH128)&gt;0),BG128/BH128,"")</f>
        <v/>
      </c>
      <c r="BJ128" s="120" t="inlineStr">
        <is>
          <t>N</t>
        </is>
      </c>
      <c r="BK128" s="120" t="inlineStr">
        <is>
          <t>Amazon.ca organic #7 for 'cooling bamboo sheets'; 100% bamboo; Search child B09PYB9C45; selected Queen child B0BKLHTWGS. Orderable; availability wording: variation_count = distinct children exposed in page variation map, n</t>
        </is>
      </c>
    </row>
    <row r="129" ht="62" customHeight="1">
      <c r="A129" s="12">
        <f>_xlfn.IMAGE("https://m.media-amazon.com/images/I/61-LBYlR5KL.jpg")</f>
        <v/>
      </c>
      <c r="B129" s="105" t="inlineStr">
        <is>
          <t>KRIMANO</t>
        </is>
      </c>
      <c r="C129" s="39" t="inlineStr">
        <is>
          <t>Bamboo Viscose Sheet Set Queen Size, Cooling Sheets Bed Set 4pcs</t>
        </is>
      </c>
      <c r="D129" s="105" t="inlineStr">
        <is>
          <t>Untiered</t>
        </is>
      </c>
      <c r="E129" s="106" t="inlineStr">
        <is>
          <t>Direct</t>
        </is>
      </c>
      <c r="F129" s="105" t="inlineStr">
        <is>
          <t>Bamboo viscose</t>
        </is>
      </c>
      <c r="G129" s="39" t="inlineStr">
        <is>
          <t>Same product (sheet set) in the same material family: Bamboo viscose (title: Bamboo Viscose Sheet Set Queen Size, Cooling Sheets Bed Set ); ours: our listing: viscose from bamboo.</t>
        </is>
      </c>
      <c r="H129" s="107" t="inlineStr">
        <is>
          <t>B0FXVJLRTW</t>
        </is>
      </c>
      <c r="I129" s="107" t="inlineStr">
        <is>
          <t>B0FT7LV7PP</t>
        </is>
      </c>
      <c r="J129" s="105" t="inlineStr">
        <is>
          <t>Queen</t>
        </is>
      </c>
      <c r="K129" s="105" t="inlineStr">
        <is>
          <t>1.navy Blue</t>
        </is>
      </c>
      <c r="L129" s="108" t="n">
        <v>47</v>
      </c>
      <c r="M129" s="39" t="n"/>
      <c r="N129" s="109" t="n">
        <v>97.98999999999999</v>
      </c>
      <c r="O129" s="109" t="n"/>
      <c r="P129" s="110">
        <f>IF(AND(ISNUMBER(O129),ISNUMBER(N129),N(N129)&gt;0),O129/N129-1,"")</f>
        <v/>
      </c>
      <c r="Q129" s="111">
        <f>IF(P129="","No List Price",IF(P129&lt;=0,"At/below price",IF(P129&lt;=0.12,"&lt;=12% STR zone",IF(P129&lt;=0.25,"12-25%","&gt;25% over"))))</f>
        <v/>
      </c>
      <c r="R129" s="109" t="n">
        <v>99.98999999999999</v>
      </c>
      <c r="S129" s="112">
        <f>IF(AND(ISNUMBER(N129),ISNUMBER(R129),N(R129)&gt;0),N129/R129-1,"")</f>
        <v/>
      </c>
      <c r="T129" s="39" t="inlineStr">
        <is>
          <t>Same size (Queen), CAD. Ours live: catalog price (CAD), 2026-10-14; 14 children</t>
        </is>
      </c>
      <c r="U129" s="108" t="n">
        <v>32819</v>
      </c>
      <c r="V129" s="108" t="n"/>
      <c r="W129" s="113">
        <f>IF(AND(ISNUMBER(N129),ISNUMBER(V129)),N129*V129*52/12,"")</f>
        <v/>
      </c>
      <c r="X129" s="114" t="n">
        <v>4.4</v>
      </c>
      <c r="Y129" s="108" t="n">
        <v>765</v>
      </c>
      <c r="Z129" s="115" t="n">
        <v>46309</v>
      </c>
      <c r="AA129" s="115" t="n"/>
      <c r="AB129" s="105" t="n"/>
      <c r="AC129" s="105" t="n"/>
      <c r="AD129" s="108" t="n"/>
      <c r="AE129" s="108" t="n"/>
      <c r="AF129" s="116" t="n"/>
      <c r="AG129" s="116" t="n"/>
      <c r="AH129" s="39" t="n"/>
      <c r="AI129" s="116" t="n"/>
      <c r="AJ129" s="116" t="n"/>
      <c r="AK129" s="116" t="n"/>
      <c r="AL129" s="116" t="n"/>
      <c r="AM129" s="108" t="n"/>
      <c r="AN129" s="108" t="n"/>
      <c r="AO129" s="108" t="n"/>
      <c r="AP129" s="108" t="n"/>
      <c r="AQ129" s="108" t="n"/>
      <c r="AR129" s="108" t="n"/>
      <c r="AS129" s="117" t="n"/>
      <c r="AT129" s="112" t="n"/>
      <c r="AU129" s="118" t="inlineStr">
        <is>
          <t>N</t>
        </is>
      </c>
      <c r="AV129" s="118" t="inlineStr">
        <is>
          <t>none</t>
        </is>
      </c>
      <c r="AW129" s="124" t="n"/>
      <c r="AX129" s="119" t="n">
        <v>97.98999999999999</v>
      </c>
      <c r="AY129" s="118" t="inlineStr">
        <is>
          <t>none</t>
        </is>
      </c>
      <c r="AZ129" s="118" t="inlineStr">
        <is>
          <t>Y</t>
        </is>
      </c>
      <c r="BA129" s="118" t="inlineStr">
        <is>
          <t>2026-10-14 00:34:38</t>
        </is>
      </c>
      <c r="BB129" s="120" t="inlineStr">
        <is>
          <t>Not live in 2025</t>
        </is>
      </c>
      <c r="BC129" s="125" t="n"/>
      <c r="BD129" s="124" t="n"/>
      <c r="BE129" s="124" t="n"/>
      <c r="BF129" s="110">
        <f>IF(AND(ISNUMBER(BD129),ISNUMBER(BE129),N(BD129)&gt;0),1-BE129/BD129,"")</f>
        <v/>
      </c>
      <c r="BG129" s="126" t="n"/>
      <c r="BH129" s="126" t="n"/>
      <c r="BI129" s="123">
        <f>IF(AND(ISNUMBER(BG129),ISNUMBER(BH129),N(BH129)&gt;0),BG129/BH129,"")</f>
        <v/>
      </c>
      <c r="BJ129" s="125" t="n"/>
      <c r="BK129" s="120" t="inlineStr">
        <is>
          <t>Amazon.ca organic #10 for 'bamboo sheets king'; Viscose Derived from Bamboo; Search child B0FT7LZ2CD; selected Queen child B0FT7LV7PP. variation_count = distinct children exposed in page variation map, not a guaranteed complete catalogue</t>
        </is>
      </c>
    </row>
    <row r="130" ht="62" customHeight="1">
      <c r="A130" s="12">
        <f>_xlfn.IMAGE("https://m.media-amazon.com/images/I/71UaTjhX+fL.jpg")</f>
        <v/>
      </c>
      <c r="B130" s="105" t="inlineStr">
        <is>
          <t>MCO</t>
        </is>
      </c>
      <c r="C130" s="39" t="inlineStr">
        <is>
          <t>100% Bamboo King Size Sheets Set, Cooling&amp;Breathable-Light Blue</t>
        </is>
      </c>
      <c r="D130" s="105" t="inlineStr">
        <is>
          <t>Untiered</t>
        </is>
      </c>
      <c r="E130" s="106" t="inlineStr">
        <is>
          <t>Direct</t>
        </is>
      </c>
      <c r="F130" s="105" t="inlineStr">
        <is>
          <t>Bamboo viscose</t>
        </is>
      </c>
      <c r="G130" s="39" t="inlineStr">
        <is>
          <t>Same product (sheet set) in the same material family: Bamboo viscose (title: 100% Bamboo King Size Sheets Set, Cooling&amp;Breathable-Light B); ours: our listing: viscose from bamboo.</t>
        </is>
      </c>
      <c r="H130" s="107" t="inlineStr">
        <is>
          <t>B0CDCNVNPR</t>
        </is>
      </c>
      <c r="I130" s="107" t="inlineStr">
        <is>
          <t>B0C8CXS58F</t>
        </is>
      </c>
      <c r="J130" s="105" t="inlineStr">
        <is>
          <t>King</t>
        </is>
      </c>
      <c r="K130" s="105" t="inlineStr">
        <is>
          <t>Light Blue</t>
        </is>
      </c>
      <c r="L130" s="108" t="n">
        <v>3</v>
      </c>
      <c r="M130" s="39" t="n"/>
      <c r="N130" s="109" t="n">
        <v>38.99</v>
      </c>
      <c r="O130" s="109" t="n"/>
      <c r="P130" s="110">
        <f>IF(AND(ISNUMBER(O130),ISNUMBER(N130),N(N130)&gt;0),O130/N130-1,"")</f>
        <v/>
      </c>
      <c r="Q130" s="111">
        <f>IF(P130="","No List Price",IF(P130&lt;=0,"At/below price",IF(P130&lt;=0.12,"&lt;=12% STR zone",IF(P130&lt;=0.25,"12-25%","&gt;25% over"))))</f>
        <v/>
      </c>
      <c r="R130" s="109" t="n">
        <v>99.98999999999999</v>
      </c>
      <c r="S130" s="112">
        <f>IF(AND(ISNUMBER(N130),ISNUMBER(R130),N(R130)&gt;0),N130/R130-1,"")</f>
        <v/>
      </c>
      <c r="T130" s="39" t="inlineStr">
        <is>
          <t>Same size (King), CAD. Ours live: catalog price (CAD), 2026-10-14; 16 children</t>
        </is>
      </c>
      <c r="U130" s="108" t="n">
        <v>67260</v>
      </c>
      <c r="V130" s="108" t="n"/>
      <c r="W130" s="113">
        <f>IF(AND(ISNUMBER(N130),ISNUMBER(V130)),N130*V130*52/12,"")</f>
        <v/>
      </c>
      <c r="X130" s="114" t="n">
        <v>3.9</v>
      </c>
      <c r="Y130" s="108" t="n">
        <v>255</v>
      </c>
      <c r="Z130" s="115" t="n">
        <v>46309</v>
      </c>
      <c r="AA130" s="115" t="n"/>
      <c r="AB130" s="105" t="n"/>
      <c r="AC130" s="105" t="n"/>
      <c r="AD130" s="108" t="n"/>
      <c r="AE130" s="108" t="n"/>
      <c r="AF130" s="116" t="n"/>
      <c r="AG130" s="116" t="n"/>
      <c r="AH130" s="39" t="n"/>
      <c r="AI130" s="116" t="n"/>
      <c r="AJ130" s="116" t="n"/>
      <c r="AK130" s="116" t="n"/>
      <c r="AL130" s="116" t="n"/>
      <c r="AM130" s="108" t="n"/>
      <c r="AN130" s="108" t="n"/>
      <c r="AO130" s="108" t="n"/>
      <c r="AP130" s="108" t="n"/>
      <c r="AQ130" s="108" t="n"/>
      <c r="AR130" s="108" t="n"/>
      <c r="AS130" s="117" t="n"/>
      <c r="AT130" s="112" t="n"/>
      <c r="AU130" s="118" t="inlineStr">
        <is>
          <t>N</t>
        </is>
      </c>
      <c r="AV130" s="118" t="inlineStr">
        <is>
          <t>none</t>
        </is>
      </c>
      <c r="AW130" s="124" t="n"/>
      <c r="AX130" s="119" t="n">
        <v>38.99</v>
      </c>
      <c r="AY130" s="118" t="inlineStr">
        <is>
          <t>none</t>
        </is>
      </c>
      <c r="AZ130" s="118" t="inlineStr">
        <is>
          <t>Y</t>
        </is>
      </c>
      <c r="BA130" s="118" t="inlineStr">
        <is>
          <t>2026-10-14 00:33:09</t>
        </is>
      </c>
      <c r="BB130" s="120" t="inlineStr">
        <is>
          <t>None</t>
        </is>
      </c>
      <c r="BC130" s="125" t="n"/>
      <c r="BD130" s="121" t="n">
        <v>39.99</v>
      </c>
      <c r="BE130" s="121" t="n">
        <v>39.99</v>
      </c>
      <c r="BF130" s="110">
        <f>IF(AND(ISNUMBER(BD130),ISNUMBER(BE130),N(BD130)&gt;0),1-BE130/BD130,"")</f>
        <v/>
      </c>
      <c r="BG130" s="122" t="n">
        <v>13182</v>
      </c>
      <c r="BH130" s="122" t="n">
        <v>24331</v>
      </c>
      <c r="BI130" s="123">
        <f>IF(AND(ISNUMBER(BG130),ISNUMBER(BH130),N(BH130)&gt;0),BG130/BH130,"")</f>
        <v/>
      </c>
      <c r="BJ130" s="120" t="inlineStr">
        <is>
          <t>N</t>
        </is>
      </c>
      <c r="BK130" s="120" t="inlineStr">
        <is>
          <t>Amazon.ca organic #11 for 'bamboo sheets king'; 100% Bamboo; No Queen option exposed; King used. variation_count = distinct children exposed in page variation map, not a guaranteed complete catalogue. Bought-past-month ba</t>
        </is>
      </c>
    </row>
    <row r="131" ht="62" customHeight="1">
      <c r="A131" s="12">
        <f>_xlfn.IMAGE("https://m.media-amazon.com/images/I/7132udf75EL.jpg")</f>
        <v/>
      </c>
      <c r="B131" s="105" t="inlineStr">
        <is>
          <t>KRIMANO</t>
        </is>
      </c>
      <c r="C131" s="39" t="inlineStr">
        <is>
          <t>Queen Size Sheet Set, Viscose Bamboo Sheets 4-Piece, 100% Viscose Derived from Bamboo, Hotel Luxury Silky &amp; Cooling for Hot Sleepers, Deep Pocket Up to 17", Taupe</t>
        </is>
      </c>
      <c r="D131" s="105" t="inlineStr">
        <is>
          <t>Untiered</t>
        </is>
      </c>
      <c r="E131" s="106" t="inlineStr">
        <is>
          <t>Direct</t>
        </is>
      </c>
      <c r="F131" s="105" t="inlineStr">
        <is>
          <t>Bamboo viscose</t>
        </is>
      </c>
      <c r="G131" s="39" t="inlineStr">
        <is>
          <t>Same product (sheet set) in the same material family: Bamboo viscose (title: Queen Size Sheet Set, Viscose Bamboo Sheets 4-Piece, 100% Vi); ours: our listing: viscose from bamboo.</t>
        </is>
      </c>
      <c r="H131" s="107" t="inlineStr">
        <is>
          <t>B0H4LQ1XJH</t>
        </is>
      </c>
      <c r="I131" s="107" t="inlineStr">
        <is>
          <t>B0H4LHZTBY</t>
        </is>
      </c>
      <c r="J131" s="105" t="inlineStr">
        <is>
          <t>Queen</t>
        </is>
      </c>
      <c r="K131" s="105" t="inlineStr">
        <is>
          <t>3. Premium Taupe</t>
        </is>
      </c>
      <c r="L131" s="108" t="n">
        <v>12</v>
      </c>
      <c r="M131" s="39" t="n"/>
      <c r="N131" s="109" t="n">
        <v>85.48999999999999</v>
      </c>
      <c r="O131" s="109" t="n"/>
      <c r="P131" s="110">
        <f>IF(AND(ISNUMBER(O131),ISNUMBER(N131),N(N131)&gt;0),O131/N131-1,"")</f>
        <v/>
      </c>
      <c r="Q131" s="111">
        <f>IF(P131="","No List Price",IF(P131&lt;=0,"At/below price",IF(P131&lt;=0.12,"&lt;=12% STR zone",IF(P131&lt;=0.25,"12-25%","&gt;25% over"))))</f>
        <v/>
      </c>
      <c r="R131" s="109" t="n">
        <v>99.98999999999999</v>
      </c>
      <c r="S131" s="112">
        <f>IF(AND(ISNUMBER(N131),ISNUMBER(R131),N(R131)&gt;0),N131/R131-1,"")</f>
        <v/>
      </c>
      <c r="T131" s="39" t="inlineStr">
        <is>
          <t>Same size (Queen), CAD. Ours live: catalog price (CAD), 2026-10-14; 14 children</t>
        </is>
      </c>
      <c r="U131" s="108" t="n">
        <v>39816</v>
      </c>
      <c r="V131" s="108" t="n"/>
      <c r="W131" s="113">
        <f>IF(AND(ISNUMBER(N131),ISNUMBER(V131)),N131*V131*52/12,"")</f>
        <v/>
      </c>
      <c r="X131" s="114" t="n">
        <v>4.5</v>
      </c>
      <c r="Y131" s="108" t="n">
        <v>23</v>
      </c>
      <c r="Z131" s="115" t="n">
        <v>46309</v>
      </c>
      <c r="AA131" s="115" t="n"/>
      <c r="AB131" s="105" t="n"/>
      <c r="AC131" s="105" t="n"/>
      <c r="AD131" s="108" t="n"/>
      <c r="AE131" s="108" t="n"/>
      <c r="AF131" s="116" t="n"/>
      <c r="AG131" s="116" t="n"/>
      <c r="AH131" s="39" t="n"/>
      <c r="AI131" s="116" t="n"/>
      <c r="AJ131" s="116" t="n"/>
      <c r="AK131" s="116" t="n"/>
      <c r="AL131" s="116" t="n"/>
      <c r="AM131" s="108" t="n"/>
      <c r="AN131" s="108" t="n"/>
      <c r="AO131" s="108" t="n"/>
      <c r="AP131" s="108" t="n"/>
      <c r="AQ131" s="108" t="n"/>
      <c r="AR131" s="108" t="n"/>
      <c r="AS131" s="117" t="n"/>
      <c r="AT131" s="112" t="n"/>
      <c r="AU131" s="118" t="inlineStr">
        <is>
          <t>Y</t>
        </is>
      </c>
      <c r="AV131" s="118" t="inlineStr">
        <is>
          <t>Was price</t>
        </is>
      </c>
      <c r="AW131" s="119" t="n">
        <v>89.98999999999999</v>
      </c>
      <c r="AX131" s="119" t="n">
        <v>85.48999999999999</v>
      </c>
      <c r="AY131" s="118" t="inlineStr">
        <is>
          <t>none</t>
        </is>
      </c>
      <c r="AZ131" s="118" t="inlineStr">
        <is>
          <t>Y</t>
        </is>
      </c>
      <c r="BA131" s="118" t="inlineStr">
        <is>
          <t>2026-10-14 00:34:57</t>
        </is>
      </c>
      <c r="BB131" s="120" t="inlineStr">
        <is>
          <t>Not live in 2025</t>
        </is>
      </c>
      <c r="BC131" s="125" t="n"/>
      <c r="BD131" s="124" t="n"/>
      <c r="BE131" s="124" t="n"/>
      <c r="BF131" s="110">
        <f>IF(AND(ISNUMBER(BD131),ISNUMBER(BE131),N(BD131)&gt;0),1-BE131/BD131,"")</f>
        <v/>
      </c>
      <c r="BG131" s="126" t="n"/>
      <c r="BH131" s="126" t="n"/>
      <c r="BI131" s="123">
        <f>IF(AND(ISNUMBER(BG131),ISNUMBER(BH131),N(BH131)&gt;0),BG131/BH131,"")</f>
        <v/>
      </c>
      <c r="BJ131" s="125" t="n"/>
      <c r="BK131" s="120" t="inlineStr">
        <is>
          <t>Amazon.ca organic #12 for 'bamboo sheets queen'; 100% Viscose Derived from Bamboo; variation_count = distinct children exposed in page variation map, not a guaranteed complete catalogue. Bought-past-month badge not displayed.</t>
        </is>
      </c>
    </row>
    <row r="132" ht="62" customHeight="1">
      <c r="A132" s="12">
        <f>_xlfn.IMAGE("https://m.media-amazon.com/images/I/81svKInu7aL.jpg")</f>
        <v/>
      </c>
      <c r="B132" s="105" t="inlineStr">
        <is>
          <t>Bambaw</t>
        </is>
      </c>
      <c r="C132" s="39" t="inlineStr">
        <is>
          <t>Bambaw 100% Viscose Derived from Bamboo Sheets Queen Size Set – 4pcs Cooling Sheet Set, Super Soft Sheets Queen Size, Luxury Bed Sheets, Deep Pocket Fits Up to 16'' Mattresses (Charcoal)</t>
        </is>
      </c>
      <c r="D132" s="105" t="inlineStr">
        <is>
          <t>Untiered</t>
        </is>
      </c>
      <c r="E132" s="106" t="inlineStr">
        <is>
          <t>Direct</t>
        </is>
      </c>
      <c r="F132" s="105" t="inlineStr">
        <is>
          <t>Bamboo viscose</t>
        </is>
      </c>
      <c r="G132" s="39" t="inlineStr">
        <is>
          <t>Same product (sheet set) in the same material family: Bamboo viscose (title: Bambaw 100% Viscose Derived from Bamboo Sheets Queen Size Se); ours: our listing: viscose from bamboo.</t>
        </is>
      </c>
      <c r="H132" s="107" t="inlineStr">
        <is>
          <t>B07K6SYX8L</t>
        </is>
      </c>
      <c r="I132" s="107" t="inlineStr">
        <is>
          <t>B0DR99Q37Y</t>
        </is>
      </c>
      <c r="J132" s="105" t="inlineStr">
        <is>
          <t>Queen</t>
        </is>
      </c>
      <c r="K132" s="105" t="inlineStr">
        <is>
          <t>Charcoal</t>
        </is>
      </c>
      <c r="L132" s="108" t="n">
        <v>112</v>
      </c>
      <c r="M132" s="39" t="n"/>
      <c r="N132" s="109" t="n">
        <v>139.95</v>
      </c>
      <c r="O132" s="109" t="n"/>
      <c r="P132" s="110">
        <f>IF(AND(ISNUMBER(O132),ISNUMBER(N132),N(N132)&gt;0),O132/N132-1,"")</f>
        <v/>
      </c>
      <c r="Q132" s="111">
        <f>IF(P132="","No List Price",IF(P132&lt;=0,"At/below price",IF(P132&lt;=0.12,"&lt;=12% STR zone",IF(P132&lt;=0.25,"12-25%","&gt;25% over"))))</f>
        <v/>
      </c>
      <c r="R132" s="109" t="n">
        <v>99.98999999999999</v>
      </c>
      <c r="S132" s="112">
        <f>IF(AND(ISNUMBER(N132),ISNUMBER(R132),N(R132)&gt;0),N132/R132-1,"")</f>
        <v/>
      </c>
      <c r="T132" s="39" t="inlineStr">
        <is>
          <t>Same size (Queen), CAD. Ours live: catalog price (CAD), 2026-10-14; 14 children</t>
        </is>
      </c>
      <c r="U132" s="108" t="n">
        <v>5024</v>
      </c>
      <c r="V132" s="108" t="n"/>
      <c r="W132" s="113">
        <f>IF(AND(ISNUMBER(N132),ISNUMBER(V132)),N132*V132*52/12,"")</f>
        <v/>
      </c>
      <c r="X132" s="114" t="n">
        <v>4.3</v>
      </c>
      <c r="Y132" s="108" t="n">
        <v>3030</v>
      </c>
      <c r="Z132" s="115" t="n">
        <v>46309</v>
      </c>
      <c r="AA132" s="115" t="n"/>
      <c r="AB132" s="105" t="n"/>
      <c r="AC132" s="105" t="n"/>
      <c r="AD132" s="108" t="n"/>
      <c r="AE132" s="108" t="n"/>
      <c r="AF132" s="116" t="n"/>
      <c r="AG132" s="116" t="n"/>
      <c r="AH132" s="39" t="n"/>
      <c r="AI132" s="116" t="n"/>
      <c r="AJ132" s="116" t="n"/>
      <c r="AK132" s="116" t="n"/>
      <c r="AL132" s="116" t="n"/>
      <c r="AM132" s="108" t="n"/>
      <c r="AN132" s="108" t="n"/>
      <c r="AO132" s="108" t="n"/>
      <c r="AP132" s="108" t="n"/>
      <c r="AQ132" s="108" t="n"/>
      <c r="AR132" s="108" t="n"/>
      <c r="AS132" s="117" t="n"/>
      <c r="AT132" s="112" t="n"/>
      <c r="AU132" s="118" t="inlineStr">
        <is>
          <t>N</t>
        </is>
      </c>
      <c r="AV132" s="118" t="inlineStr">
        <is>
          <t>none</t>
        </is>
      </c>
      <c r="AW132" s="124" t="n"/>
      <c r="AX132" s="119" t="n">
        <v>139.95</v>
      </c>
      <c r="AY132" s="118" t="inlineStr">
        <is>
          <t>none</t>
        </is>
      </c>
      <c r="AZ132" s="118" t="inlineStr">
        <is>
          <t>Y</t>
        </is>
      </c>
      <c r="BA132" s="118" t="inlineStr">
        <is>
          <t>2026-10-14 00:34:55</t>
        </is>
      </c>
      <c r="BB132" s="120" t="inlineStr">
        <is>
          <t>Price cut only</t>
        </is>
      </c>
      <c r="BC132" s="120" t="inlineStr">
        <is>
          <t>11-20 to 12-01</t>
        </is>
      </c>
      <c r="BD132" s="121" t="n">
        <v>139.95</v>
      </c>
      <c r="BE132" s="121" t="n">
        <v>118.96</v>
      </c>
      <c r="BF132" s="110">
        <f>IF(AND(ISNUMBER(BD132),ISNUMBER(BE132),N(BD132)&gt;0),1-BE132/BD132,"")</f>
        <v/>
      </c>
      <c r="BG132" s="122" t="n">
        <v>8116</v>
      </c>
      <c r="BH132" s="122" t="n">
        <v>5068</v>
      </c>
      <c r="BI132" s="123">
        <f>IF(AND(ISNUMBER(BG132),ISNUMBER(BH132),N(BH132)&gt;0),BG132/BH132,"")</f>
        <v/>
      </c>
      <c r="BJ132" s="120" t="inlineStr">
        <is>
          <t>N</t>
        </is>
      </c>
      <c r="BK132" s="120" t="inlineStr">
        <is>
          <t>Amazon.ca organic #12 for 'bamboo sheets king'; 100% Viscose Derived from Bamboo; Search child B0DR98RPTK; selected Queen - 4 PCS child B0DR99Q37Y. variation_count = distinct children exposed in page variation map, not a guaranteed complete c</t>
        </is>
      </c>
    </row>
    <row r="133" ht="62" customHeight="1">
      <c r="A133" s="12">
        <f>_xlfn.IMAGE("https://m.media-amazon.com/images/I/819Dj6rLeGL.jpg")</f>
        <v/>
      </c>
      <c r="B133" s="105" t="inlineStr">
        <is>
          <t>GOKOTTA</t>
        </is>
      </c>
      <c r="C133" s="39" t="inlineStr">
        <is>
          <t>Gökotta Queen Bed Sheets 4 Piece, 100% FSC® Certified Bamboo, Cooling</t>
        </is>
      </c>
      <c r="D133" s="105" t="inlineStr">
        <is>
          <t>Untiered</t>
        </is>
      </c>
      <c r="E133" s="106" t="inlineStr">
        <is>
          <t>Direct</t>
        </is>
      </c>
      <c r="F133" s="105" t="inlineStr">
        <is>
          <t>Bamboo viscose</t>
        </is>
      </c>
      <c r="G133" s="39" t="inlineStr">
        <is>
          <t>Same product (sheet set) in the same material family: Bamboo viscose (title: Gökotta Queen Bed Sheets 4 Piece, 100% FSC® Certified Bamboo); ours: our listing: viscose from bamboo.</t>
        </is>
      </c>
      <c r="H133" s="107" t="inlineStr">
        <is>
          <t>B09WY1GFH8</t>
        </is>
      </c>
      <c r="I133" s="107" t="inlineStr">
        <is>
          <t>B08F3HFQ6X</t>
        </is>
      </c>
      <c r="J133" s="105" t="inlineStr">
        <is>
          <t>Queen</t>
        </is>
      </c>
      <c r="K133" s="105" t="inlineStr">
        <is>
          <t>01 Cream White</t>
        </is>
      </c>
      <c r="L133" s="108" t="n">
        <v>101</v>
      </c>
      <c r="M133" s="39" t="n"/>
      <c r="N133" s="109" t="n">
        <v>139.99</v>
      </c>
      <c r="O133" s="109" t="n"/>
      <c r="P133" s="110">
        <f>IF(AND(ISNUMBER(O133),ISNUMBER(N133),N(N133)&gt;0),O133/N133-1,"")</f>
        <v/>
      </c>
      <c r="Q133" s="111">
        <f>IF(P133="","No List Price",IF(P133&lt;=0,"At/below price",IF(P133&lt;=0.12,"&lt;=12% STR zone",IF(P133&lt;=0.25,"12-25%","&gt;25% over"))))</f>
        <v/>
      </c>
      <c r="R133" s="109" t="n">
        <v>99.98999999999999</v>
      </c>
      <c r="S133" s="112">
        <f>IF(AND(ISNUMBER(N133),ISNUMBER(R133),N(R133)&gt;0),N133/R133-1,"")</f>
        <v/>
      </c>
      <c r="T133" s="39" t="inlineStr">
        <is>
          <t>Same size (Queen), CAD. Ours live: catalog price (CAD), 2026-10-14; 14 children</t>
        </is>
      </c>
      <c r="U133" s="108" t="n">
        <v>4180</v>
      </c>
      <c r="V133" s="108" t="n"/>
      <c r="W133" s="113">
        <f>IF(AND(ISNUMBER(N133),ISNUMBER(V133)),N133*V133*52/12,"")</f>
        <v/>
      </c>
      <c r="X133" s="114" t="n">
        <v>4.4</v>
      </c>
      <c r="Y133" s="108" t="n">
        <v>2698</v>
      </c>
      <c r="Z133" s="115" t="n">
        <v>46309</v>
      </c>
      <c r="AA133" s="115" t="n"/>
      <c r="AB133" s="105" t="n"/>
      <c r="AC133" s="105" t="n"/>
      <c r="AD133" s="108" t="n"/>
      <c r="AE133" s="108" t="n"/>
      <c r="AF133" s="116" t="n"/>
      <c r="AG133" s="116" t="n"/>
      <c r="AH133" s="39" t="n"/>
      <c r="AI133" s="116" t="n"/>
      <c r="AJ133" s="116" t="n"/>
      <c r="AK133" s="116" t="n"/>
      <c r="AL133" s="116" t="n"/>
      <c r="AM133" s="108" t="n"/>
      <c r="AN133" s="108" t="n"/>
      <c r="AO133" s="108" t="n"/>
      <c r="AP133" s="108" t="n"/>
      <c r="AQ133" s="108" t="n"/>
      <c r="AR133" s="108" t="n"/>
      <c r="AS133" s="117" t="n"/>
      <c r="AT133" s="112" t="n"/>
      <c r="AU133" s="118" t="inlineStr">
        <is>
          <t>Y</t>
        </is>
      </c>
      <c r="AV133" s="118" t="inlineStr">
        <is>
          <t>List Price</t>
        </is>
      </c>
      <c r="AW133" s="119" t="n">
        <v>154.99</v>
      </c>
      <c r="AX133" s="119" t="n">
        <v>139.99</v>
      </c>
      <c r="AY133" s="118" t="inlineStr">
        <is>
          <t>coupon $10</t>
        </is>
      </c>
      <c r="AZ133" s="118" t="inlineStr">
        <is>
          <t>Y</t>
        </is>
      </c>
      <c r="BA133" s="118" t="inlineStr">
        <is>
          <t>2026-10-14 00:35:00</t>
        </is>
      </c>
      <c r="BB133" s="120" t="inlineStr">
        <is>
          <t>Price cut only</t>
        </is>
      </c>
      <c r="BC133" s="120" t="inlineStr">
        <is>
          <t>11-20 to 12-01</t>
        </is>
      </c>
      <c r="BD133" s="121" t="n">
        <v>139.99</v>
      </c>
      <c r="BE133" s="121" t="n">
        <v>114.99</v>
      </c>
      <c r="BF133" s="110">
        <f>IF(AND(ISNUMBER(BD133),ISNUMBER(BE133),N(BD133)&gt;0),1-BE133/BD133,"")</f>
        <v/>
      </c>
      <c r="BG133" s="122" t="n">
        <v>4401</v>
      </c>
      <c r="BH133" s="122" t="n">
        <v>2814</v>
      </c>
      <c r="BI133" s="123">
        <f>IF(AND(ISNUMBER(BG133),ISNUMBER(BH133),N(BH133)&gt;0),BG133/BH133,"")</f>
        <v/>
      </c>
      <c r="BJ133" s="120" t="inlineStr">
        <is>
          <t>N</t>
        </is>
      </c>
      <c r="BK133" s="120" t="inlineStr">
        <is>
          <t>Amazon.ca organic #12 for 'cooling bamboo sheets'; 100% Rayon Made from Bamboo; Search child B0B6VQC7LD; selected Queen - 4 PCS child B08F3HFQ6X. variation_count = distinct children exposed in page variation map, not a guaranteed complete c price history: Lightning Deal 11-11 to 11-11; Coupon 25.00 CAD (11-02 to 11-10); List Price C$169.99</t>
        </is>
      </c>
    </row>
    <row r="134" ht="62" customHeight="1">
      <c r="A134" s="12">
        <f>_xlfn.IMAGE("https://m.media-amazon.com/images/I/71wGI7mFbBL.jpg")</f>
        <v/>
      </c>
      <c r="B134" s="105" t="inlineStr">
        <is>
          <t>Viviland</t>
        </is>
      </c>
      <c r="C134" s="39" t="inlineStr">
        <is>
          <t>Viviland Cooling Queen Sheets, 100% Viscose Derived Bamboo, Sage Green</t>
        </is>
      </c>
      <c r="D134" s="105" t="inlineStr">
        <is>
          <t>Untiered</t>
        </is>
      </c>
      <c r="E134" s="106" t="inlineStr">
        <is>
          <t>Direct</t>
        </is>
      </c>
      <c r="F134" s="105" t="inlineStr">
        <is>
          <t>Bamboo viscose</t>
        </is>
      </c>
      <c r="G134" s="39" t="inlineStr">
        <is>
          <t>Same product (sheet set) in the same material family: Bamboo viscose (title: Viviland Cooling Queen Sheets, 100% Viscose Derived Bamboo); ours: our listing: viscose from bamboo.</t>
        </is>
      </c>
      <c r="H134" s="107" t="inlineStr">
        <is>
          <t>B0F24WLDTG</t>
        </is>
      </c>
      <c r="I134" s="107" t="inlineStr">
        <is>
          <t>B0H8S57BK7</t>
        </is>
      </c>
      <c r="J134" s="105" t="inlineStr">
        <is>
          <t>Queen</t>
        </is>
      </c>
      <c r="K134" s="105" t="inlineStr">
        <is>
          <t>Sage Green</t>
        </is>
      </c>
      <c r="L134" s="108" t="n">
        <v>52</v>
      </c>
      <c r="M134" s="39" t="n"/>
      <c r="N134" s="109" t="n">
        <v>68.39</v>
      </c>
      <c r="O134" s="109" t="n"/>
      <c r="P134" s="110">
        <f>IF(AND(ISNUMBER(O134),ISNUMBER(N134),N(N134)&gt;0),O134/N134-1,"")</f>
        <v/>
      </c>
      <c r="Q134" s="111">
        <f>IF(P134="","No List Price",IF(P134&lt;=0,"At/below price",IF(P134&lt;=0.12,"&lt;=12% STR zone",IF(P134&lt;=0.25,"12-25%","&gt;25% over"))))</f>
        <v/>
      </c>
      <c r="R134" s="109" t="n">
        <v>99.98999999999999</v>
      </c>
      <c r="S134" s="112">
        <f>IF(AND(ISNUMBER(N134),ISNUMBER(R134),N(R134)&gt;0),N134/R134-1,"")</f>
        <v/>
      </c>
      <c r="T134" s="39" t="inlineStr">
        <is>
          <t>Same size (Queen), CAD. Ours live: catalog price (CAD), 2026-10-14; 14 children</t>
        </is>
      </c>
      <c r="U134" s="108" t="n">
        <v>12341</v>
      </c>
      <c r="V134" s="108" t="n"/>
      <c r="W134" s="113">
        <f>IF(AND(ISNUMBER(N134),ISNUMBER(V134)),N134*V134*52/12,"")</f>
        <v/>
      </c>
      <c r="X134" s="114" t="n">
        <v>4.4</v>
      </c>
      <c r="Y134" s="108" t="n">
        <v>146</v>
      </c>
      <c r="Z134" s="115" t="n">
        <v>46309</v>
      </c>
      <c r="AA134" s="115" t="n"/>
      <c r="AB134" s="105" t="n"/>
      <c r="AC134" s="105" t="n"/>
      <c r="AD134" s="108" t="n"/>
      <c r="AE134" s="108" t="n"/>
      <c r="AF134" s="116" t="n"/>
      <c r="AG134" s="116" t="n"/>
      <c r="AH134" s="39" t="n"/>
      <c r="AI134" s="116" t="n"/>
      <c r="AJ134" s="116" t="n"/>
      <c r="AK134" s="116" t="n"/>
      <c r="AL134" s="116" t="n"/>
      <c r="AM134" s="108" t="n"/>
      <c r="AN134" s="108" t="n"/>
      <c r="AO134" s="108" t="n"/>
      <c r="AP134" s="108" t="n"/>
      <c r="AQ134" s="108" t="n"/>
      <c r="AR134" s="108" t="n"/>
      <c r="AS134" s="117" t="n"/>
      <c r="AT134" s="112" t="n"/>
      <c r="AU134" s="118" t="inlineStr">
        <is>
          <t>Y</t>
        </is>
      </c>
      <c r="AV134" s="118" t="inlineStr">
        <is>
          <t>Was price</t>
        </is>
      </c>
      <c r="AW134" s="119" t="n">
        <v>71.98999999999999</v>
      </c>
      <c r="AX134" s="119" t="n">
        <v>68.39</v>
      </c>
      <c r="AY134" s="118" t="inlineStr">
        <is>
          <t>none</t>
        </is>
      </c>
      <c r="AZ134" s="118" t="inlineStr">
        <is>
          <t>Y</t>
        </is>
      </c>
      <c r="BA134" s="118" t="inlineStr">
        <is>
          <t>2026-10-14 00:33:38</t>
        </is>
      </c>
      <c r="BB134" s="120" t="inlineStr">
        <is>
          <t>Not live in 2025</t>
        </is>
      </c>
      <c r="BC134" s="125" t="n"/>
      <c r="BD134" s="124" t="n"/>
      <c r="BE134" s="124" t="n"/>
      <c r="BF134" s="110">
        <f>IF(AND(ISNUMBER(BD134),ISNUMBER(BE134),N(BD134)&gt;0),1-BE134/BD134,"")</f>
        <v/>
      </c>
      <c r="BG134" s="126" t="n"/>
      <c r="BH134" s="126" t="n"/>
      <c r="BI134" s="123">
        <f>IF(AND(ISNUMBER(BG134),ISNUMBER(BH134),N(BH134)&gt;0),BG134/BH134,"")</f>
        <v/>
      </c>
      <c r="BJ134" s="125" t="n"/>
      <c r="BK134" s="120" t="inlineStr">
        <is>
          <t>Amazon.ca organic #13 for 'bamboo sheets king'; 100% Viscose; Search child B0F1KLQJZ7; selected Queen (U.S. Standard) child B0H8S57BK7. variation_count = distinct children exposed in page variation map, not a guaranteed co</t>
        </is>
      </c>
    </row>
    <row r="135" ht="62" customHeight="1">
      <c r="A135" s="12">
        <f>_xlfn.IMAGE("https://m.media-amazon.com/images/I/717ErtYBKJL.jpg")</f>
        <v/>
      </c>
      <c r="B135" s="105" t="inlineStr">
        <is>
          <t>BAMPURE</t>
        </is>
      </c>
      <c r="C135" s="39" t="inlineStr">
        <is>
          <t>BAMPURE 100% Organic Bamboo Sheets Queen 4PC - Cooling Sheets Set</t>
        </is>
      </c>
      <c r="D135" s="105" t="inlineStr">
        <is>
          <t>Untiered</t>
        </is>
      </c>
      <c r="E135" s="106" t="inlineStr">
        <is>
          <t>Direct</t>
        </is>
      </c>
      <c r="F135" s="105" t="inlineStr">
        <is>
          <t>Bamboo viscose</t>
        </is>
      </c>
      <c r="G135" s="39" t="inlineStr">
        <is>
          <t>Same product (sheet set) in the same material family: Bamboo viscose (title: BAMPURE 100% Organic Bamboo Sheets Queen 4PC - Cooling Sheet); ours: our listing: viscose from bamboo.</t>
        </is>
      </c>
      <c r="H135" s="105" t="n"/>
      <c r="I135" s="107" t="inlineStr">
        <is>
          <t>B0DPLJ4BN4</t>
        </is>
      </c>
      <c r="J135" s="105" t="inlineStr">
        <is>
          <t>Queen</t>
        </is>
      </c>
      <c r="K135" s="105" t="inlineStr">
        <is>
          <t>Navy</t>
        </is>
      </c>
      <c r="L135" s="108" t="n"/>
      <c r="M135" s="39" t="n"/>
      <c r="N135" s="109" t="n">
        <v>74.98999999999999</v>
      </c>
      <c r="O135" s="109" t="n"/>
      <c r="P135" s="110">
        <f>IF(AND(ISNUMBER(O135),ISNUMBER(N135),N(N135)&gt;0),O135/N135-1,"")</f>
        <v/>
      </c>
      <c r="Q135" s="111">
        <f>IF(P135="","No List Price",IF(P135&lt;=0,"At/below price",IF(P135&lt;=0.12,"&lt;=12% STR zone",IF(P135&lt;=0.25,"12-25%","&gt;25% over"))))</f>
        <v/>
      </c>
      <c r="R135" s="109" t="n">
        <v>99.98999999999999</v>
      </c>
      <c r="S135" s="112">
        <f>IF(AND(ISNUMBER(N135),ISNUMBER(R135),N(R135)&gt;0),N135/R135-1,"")</f>
        <v/>
      </c>
      <c r="T135" s="39" t="inlineStr">
        <is>
          <t>Same size (Queen), CAD. Ours live: catalog price (CAD), 2026-10-14; 14 children</t>
        </is>
      </c>
      <c r="U135" s="108" t="n">
        <v>110902</v>
      </c>
      <c r="V135" s="108" t="n"/>
      <c r="W135" s="113">
        <f>IF(AND(ISNUMBER(N135),ISNUMBER(V135)),N135*V135*52/12,"")</f>
        <v/>
      </c>
      <c r="X135" s="114" t="n">
        <v>3.3</v>
      </c>
      <c r="Y135" s="108" t="n">
        <v>18</v>
      </c>
      <c r="Z135" s="115" t="n">
        <v>46309</v>
      </c>
      <c r="AA135" s="115" t="n"/>
      <c r="AB135" s="105" t="n"/>
      <c r="AC135" s="105" t="n"/>
      <c r="AD135" s="108" t="n"/>
      <c r="AE135" s="108" t="n"/>
      <c r="AF135" s="116" t="n"/>
      <c r="AG135" s="116" t="n"/>
      <c r="AH135" s="39" t="n"/>
      <c r="AI135" s="116" t="n"/>
      <c r="AJ135" s="116" t="n"/>
      <c r="AK135" s="116" t="n"/>
      <c r="AL135" s="116" t="n"/>
      <c r="AM135" s="108" t="n"/>
      <c r="AN135" s="108" t="n"/>
      <c r="AO135" s="108" t="n"/>
      <c r="AP135" s="108" t="n"/>
      <c r="AQ135" s="108" t="n"/>
      <c r="AR135" s="108" t="n"/>
      <c r="AS135" s="117" t="n"/>
      <c r="AT135" s="112" t="n"/>
      <c r="AU135" s="118" t="inlineStr">
        <is>
          <t>Y</t>
        </is>
      </c>
      <c r="AV135" s="118" t="inlineStr">
        <is>
          <t>List Price</t>
        </is>
      </c>
      <c r="AW135" s="119" t="n">
        <v>89.98999999999999</v>
      </c>
      <c r="AX135" s="119" t="n">
        <v>74.98999999999999</v>
      </c>
      <c r="AY135" s="118" t="inlineStr">
        <is>
          <t>none</t>
        </is>
      </c>
      <c r="AZ135" s="118" t="inlineStr">
        <is>
          <t>Y</t>
        </is>
      </c>
      <c r="BA135" s="118" t="inlineStr">
        <is>
          <t>2026-10-14 00:35:15</t>
        </is>
      </c>
      <c r="BB135" s="120" t="inlineStr">
        <is>
          <t>Price cut only</t>
        </is>
      </c>
      <c r="BC135" s="120" t="inlineStr">
        <is>
          <t>11-20 to 11-27</t>
        </is>
      </c>
      <c r="BD135" s="121" t="n">
        <v>89.98999999999999</v>
      </c>
      <c r="BE135" s="121" t="n">
        <v>78.98999999999999</v>
      </c>
      <c r="BF135" s="110">
        <f>IF(AND(ISNUMBER(BD135),ISNUMBER(BE135),N(BD135)&gt;0),1-BE135/BD135,"")</f>
        <v/>
      </c>
      <c r="BG135" s="122" t="n">
        <v>1937</v>
      </c>
      <c r="BH135" s="122" t="n">
        <v>1376</v>
      </c>
      <c r="BI135" s="123">
        <f>IF(AND(ISNUMBER(BG135),ISNUMBER(BH135),N(BH135)&gt;0),BG135/BH135,"")</f>
        <v/>
      </c>
      <c r="BJ135" s="120" t="inlineStr">
        <is>
          <t>N</t>
        </is>
      </c>
      <c r="BK135" s="120" t="inlineStr">
        <is>
          <t>Amazon.ca organic #14 for 'bamboo sheets queen'; 100% Viscose Derived from Bamboo; Page parent field repeats the selected child; no distinct parent ASIN exposed. Treated as standalone observed listing. Parent ASIN not exposed. No child variati</t>
        </is>
      </c>
    </row>
    <row r="136" ht="62" customHeight="1">
      <c r="A136" s="12">
        <f>_xlfn.IMAGE("https://m.media-amazon.com/images/I/81cBDD-c36L.jpg")</f>
        <v/>
      </c>
      <c r="B136" s="105" t="inlineStr">
        <is>
          <t>YASMENG</t>
        </is>
      </c>
      <c r="C136" s="39" t="inlineStr">
        <is>
          <t>100% Bamboo Rayon Cooling Sheets Queen Set Black Silky Soft Bedding</t>
        </is>
      </c>
      <c r="D136" s="105" t="inlineStr">
        <is>
          <t>Untiered</t>
        </is>
      </c>
      <c r="E136" s="106" t="inlineStr">
        <is>
          <t>Direct</t>
        </is>
      </c>
      <c r="F136" s="105" t="inlineStr">
        <is>
          <t>Bamboo viscose</t>
        </is>
      </c>
      <c r="G136" s="39" t="inlineStr">
        <is>
          <t>Same product (sheet set) in the same material family: Bamboo viscose (title: 100% Bamboo Rayon Cooling Sheets Queen Set Black Silky Soft ); ours: our listing: viscose from bamboo.</t>
        </is>
      </c>
      <c r="H136" s="105" t="n"/>
      <c r="I136" s="107" t="inlineStr">
        <is>
          <t>B0FXWJD1B1</t>
        </is>
      </c>
      <c r="J136" s="105" t="inlineStr">
        <is>
          <t>Queen</t>
        </is>
      </c>
      <c r="K136" s="105" t="inlineStr">
        <is>
          <t>Black</t>
        </is>
      </c>
      <c r="L136" s="108" t="n"/>
      <c r="M136" s="39" t="n"/>
      <c r="N136" s="109" t="n">
        <v>44.99</v>
      </c>
      <c r="O136" s="109" t="n"/>
      <c r="P136" s="110">
        <f>IF(AND(ISNUMBER(O136),ISNUMBER(N136),N(N136)&gt;0),O136/N136-1,"")</f>
        <v/>
      </c>
      <c r="Q136" s="111">
        <f>IF(P136="","No List Price",IF(P136&lt;=0,"At/below price",IF(P136&lt;=0.12,"&lt;=12% STR zone",IF(P136&lt;=0.25,"12-25%","&gt;25% over"))))</f>
        <v/>
      </c>
      <c r="R136" s="109" t="n">
        <v>99.98999999999999</v>
      </c>
      <c r="S136" s="112">
        <f>IF(AND(ISNUMBER(N136),ISNUMBER(R136),N(R136)&gt;0),N136/R136-1,"")</f>
        <v/>
      </c>
      <c r="T136" s="39" t="inlineStr">
        <is>
          <t>Same size (Queen), CAD. Ours live: catalog price (CAD), 2026-10-14; 14 children</t>
        </is>
      </c>
      <c r="U136" s="108" t="n">
        <v>153053</v>
      </c>
      <c r="V136" s="108" t="n"/>
      <c r="W136" s="113">
        <f>IF(AND(ISNUMBER(N136),ISNUMBER(V136)),N136*V136*52/12,"")</f>
        <v/>
      </c>
      <c r="X136" s="114" t="n">
        <v>1</v>
      </c>
      <c r="Y136" s="108" t="n">
        <v>1</v>
      </c>
      <c r="Z136" s="115" t="n">
        <v>46309</v>
      </c>
      <c r="AA136" s="115" t="n"/>
      <c r="AB136" s="105" t="n"/>
      <c r="AC136" s="105" t="n"/>
      <c r="AD136" s="108" t="n"/>
      <c r="AE136" s="108" t="n"/>
      <c r="AF136" s="116" t="n"/>
      <c r="AG136" s="116" t="n"/>
      <c r="AH136" s="39" t="n"/>
      <c r="AI136" s="116" t="n"/>
      <c r="AJ136" s="116" t="n"/>
      <c r="AK136" s="116" t="n"/>
      <c r="AL136" s="116" t="n"/>
      <c r="AM136" s="108" t="n"/>
      <c r="AN136" s="108" t="n"/>
      <c r="AO136" s="108" t="n"/>
      <c r="AP136" s="108" t="n"/>
      <c r="AQ136" s="108" t="n"/>
      <c r="AR136" s="108" t="n"/>
      <c r="AS136" s="117" t="n"/>
      <c r="AT136" s="112" t="n"/>
      <c r="AU136" s="118" t="inlineStr">
        <is>
          <t>Y</t>
        </is>
      </c>
      <c r="AV136" s="118" t="inlineStr">
        <is>
          <t>List Price</t>
        </is>
      </c>
      <c r="AW136" s="119" t="n">
        <v>94.98999999999999</v>
      </c>
      <c r="AX136" s="119" t="n">
        <v>44.99</v>
      </c>
      <c r="AY136" s="118" t="inlineStr">
        <is>
          <t>none</t>
        </is>
      </c>
      <c r="AZ136" s="118" t="inlineStr">
        <is>
          <t>Y</t>
        </is>
      </c>
      <c r="BA136" s="118" t="inlineStr">
        <is>
          <t>2026-10-14 00:35:39</t>
        </is>
      </c>
      <c r="BB136" s="120" t="inlineStr">
        <is>
          <t>Not live in 2025</t>
        </is>
      </c>
      <c r="BC136" s="125" t="n"/>
      <c r="BD136" s="124" t="n"/>
      <c r="BE136" s="124" t="n"/>
      <c r="BF136" s="110">
        <f>IF(AND(ISNUMBER(BD136),ISNUMBER(BE136),N(BD136)&gt;0),1-BE136/BD136,"")</f>
        <v/>
      </c>
      <c r="BG136" s="126" t="n"/>
      <c r="BH136" s="126" t="n"/>
      <c r="BI136" s="123">
        <f>IF(AND(ISNUMBER(BG136),ISNUMBER(BH136),N(BH136)&gt;0),BG136/BH136,"")</f>
        <v/>
      </c>
      <c r="BJ136" s="125" t="n"/>
      <c r="BK136" s="120" t="inlineStr">
        <is>
          <t>Amazon.ca organic #17 for 'bamboo sheets queen'; 100% Rayon Derived from Bamboo; Page parent field repeats the selected child; no distinct parent ASIN exposed. Treated as standalone observed listing. Parent ASIN not exposed. No child variati</t>
        </is>
      </c>
    </row>
    <row r="137" ht="62" customHeight="1">
      <c r="A137" s="12">
        <f>_xlfn.IMAGE("https://m.media-amazon.com/images/I/717dwVGXtTL.jpg")</f>
        <v/>
      </c>
      <c r="B137" s="105" t="inlineStr">
        <is>
          <t>Sweave</t>
        </is>
      </c>
      <c r="C137" s="39" t="inlineStr">
        <is>
          <t>100% Organically Rayon Derived from Bamboo Sheets Queen, 4Pcs Set, Ivory</t>
        </is>
      </c>
      <c r="D137" s="105" t="inlineStr">
        <is>
          <t>Untiered</t>
        </is>
      </c>
      <c r="E137" s="106" t="inlineStr">
        <is>
          <t>Direct</t>
        </is>
      </c>
      <c r="F137" s="105" t="inlineStr">
        <is>
          <t>Bamboo viscose</t>
        </is>
      </c>
      <c r="G137" s="39" t="inlineStr">
        <is>
          <t>Same product (sheet set) in the same material family: Bamboo viscose (title: 100% Organically Rayon Derived from Bamboo Sheets Queen, 4Pc); ours: our listing: viscose from bamboo.</t>
        </is>
      </c>
      <c r="H137" s="107" t="inlineStr">
        <is>
          <t>B091Z7KM7B</t>
        </is>
      </c>
      <c r="I137" s="107" t="inlineStr">
        <is>
          <t>B0CNRQXKYR</t>
        </is>
      </c>
      <c r="J137" s="105" t="inlineStr">
        <is>
          <t>Queen</t>
        </is>
      </c>
      <c r="K137" s="105" t="inlineStr">
        <is>
          <t>Ivory (100% Organic Viscose Made from Bamboo)</t>
        </is>
      </c>
      <c r="L137" s="108" t="n">
        <v>15</v>
      </c>
      <c r="M137" s="39" t="n"/>
      <c r="N137" s="109" t="n">
        <v>71.98999999999999</v>
      </c>
      <c r="O137" s="109" t="n"/>
      <c r="P137" s="110">
        <f>IF(AND(ISNUMBER(O137),ISNUMBER(N137),N(N137)&gt;0),O137/N137-1,"")</f>
        <v/>
      </c>
      <c r="Q137" s="111">
        <f>IF(P137="","No List Price",IF(P137&lt;=0,"At/below price",IF(P137&lt;=0.12,"&lt;=12% STR zone",IF(P137&lt;=0.25,"12-25%","&gt;25% over"))))</f>
        <v/>
      </c>
      <c r="R137" s="109" t="n">
        <v>99.98999999999999</v>
      </c>
      <c r="S137" s="112">
        <f>IF(AND(ISNUMBER(N137),ISNUMBER(R137),N(R137)&gt;0),N137/R137-1,"")</f>
        <v/>
      </c>
      <c r="T137" s="39" t="inlineStr">
        <is>
          <t>Same size (Queen), CAD. Ours live: catalog price (CAD), 2026-10-14; 14 children</t>
        </is>
      </c>
      <c r="U137" s="108" t="n">
        <v>46605</v>
      </c>
      <c r="V137" s="108" t="n"/>
      <c r="W137" s="113">
        <f>IF(AND(ISNUMBER(N137),ISNUMBER(V137)),N137*V137*52/12,"")</f>
        <v/>
      </c>
      <c r="X137" s="114" t="n">
        <v>4</v>
      </c>
      <c r="Y137" s="108" t="n">
        <v>25</v>
      </c>
      <c r="Z137" s="115" t="n">
        <v>46309</v>
      </c>
      <c r="AA137" s="115" t="n"/>
      <c r="AB137" s="105" t="n"/>
      <c r="AC137" s="105" t="n"/>
      <c r="AD137" s="108" t="n"/>
      <c r="AE137" s="108" t="n"/>
      <c r="AF137" s="116" t="n"/>
      <c r="AG137" s="116" t="n"/>
      <c r="AH137" s="39" t="n"/>
      <c r="AI137" s="116" t="n"/>
      <c r="AJ137" s="116" t="n"/>
      <c r="AK137" s="116" t="n"/>
      <c r="AL137" s="116" t="n"/>
      <c r="AM137" s="108" t="n"/>
      <c r="AN137" s="108" t="n"/>
      <c r="AO137" s="108" t="n"/>
      <c r="AP137" s="108" t="n"/>
      <c r="AQ137" s="108" t="n"/>
      <c r="AR137" s="108" t="n"/>
      <c r="AS137" s="117" t="n"/>
      <c r="AT137" s="112" t="n"/>
      <c r="AU137" s="118" t="inlineStr">
        <is>
          <t>N</t>
        </is>
      </c>
      <c r="AV137" s="118" t="inlineStr">
        <is>
          <t>none</t>
        </is>
      </c>
      <c r="AW137" s="124" t="n"/>
      <c r="AX137" s="119" t="n">
        <v>71.98999999999999</v>
      </c>
      <c r="AY137" s="118" t="inlineStr">
        <is>
          <t>none</t>
        </is>
      </c>
      <c r="AZ137" s="118" t="inlineStr">
        <is>
          <t>Y</t>
        </is>
      </c>
      <c r="BA137" s="118" t="inlineStr">
        <is>
          <t>2026-10-14 00:35:36</t>
        </is>
      </c>
      <c r="BB137" s="120" t="inlineStr">
        <is>
          <t>None</t>
        </is>
      </c>
      <c r="BC137" s="125" t="n"/>
      <c r="BD137" s="121" t="n">
        <v>146.53</v>
      </c>
      <c r="BE137" s="121" t="n">
        <v>146.53</v>
      </c>
      <c r="BF137" s="110">
        <f>IF(AND(ISNUMBER(BD137),ISNUMBER(BE137),N(BD137)&gt;0),1-BE137/BD137,"")</f>
        <v/>
      </c>
      <c r="BG137" s="122" t="n">
        <v>668586</v>
      </c>
      <c r="BH137" s="122" t="n">
        <v>748996</v>
      </c>
      <c r="BI137" s="123">
        <f>IF(AND(ISNUMBER(BG137),ISNUMBER(BH137),N(BH137)&gt;0),BG137/BH137,"")</f>
        <v/>
      </c>
      <c r="BJ137" s="120" t="inlineStr">
        <is>
          <t>N</t>
        </is>
      </c>
      <c r="BK137" s="120" t="inlineStr">
        <is>
          <t>Amazon.ca organic #17 for 'bamboo sheets king'; 100% Organic Viscose Derived from Bamboo; Search child B0CNRPZJBK; selected Queen child B0CNRQXKYR. variation_count = distinct children exposed in page variation map, not a guaranteed complete catalogue</t>
        </is>
      </c>
    </row>
    <row r="138" ht="62" customHeight="1">
      <c r="A138" s="12">
        <f>_xlfn.IMAGE("https://m.media-amazon.com/images/I/71XnPNu62FL.jpg")</f>
        <v/>
      </c>
      <c r="B138" s="105" t="inlineStr">
        <is>
          <t>CAROMIO</t>
        </is>
      </c>
      <c r="C138" s="39" t="inlineStr">
        <is>
          <t>CAROMIO Sheets Set Queen Size Rayon Derived from Bamboo, Cooling Bed Sheets</t>
        </is>
      </c>
      <c r="D138" s="105" t="inlineStr">
        <is>
          <t>Untiered</t>
        </is>
      </c>
      <c r="E138" s="106" t="inlineStr">
        <is>
          <t>Direct</t>
        </is>
      </c>
      <c r="F138" s="105" t="inlineStr">
        <is>
          <t>Bamboo viscose</t>
        </is>
      </c>
      <c r="G138" s="39" t="inlineStr">
        <is>
          <t>Same product (sheet set) in the same material family: Bamboo viscose (title: CAROMIO Sheets Set Queen Size Rayon Derived from Bamboo, Coo); ours: our listing: viscose from bamboo.</t>
        </is>
      </c>
      <c r="H138" s="107" t="inlineStr">
        <is>
          <t>B095L9VFG4</t>
        </is>
      </c>
      <c r="I138" s="107" t="inlineStr">
        <is>
          <t>B08XK2ZFTL</t>
        </is>
      </c>
      <c r="J138" s="105" t="inlineStr">
        <is>
          <t>Queen</t>
        </is>
      </c>
      <c r="K138" s="105" t="inlineStr">
        <is>
          <t>White</t>
        </is>
      </c>
      <c r="L138" s="108" t="n">
        <v>29</v>
      </c>
      <c r="M138" s="39" t="n"/>
      <c r="N138" s="109" t="n">
        <v>69.98999999999999</v>
      </c>
      <c r="O138" s="109" t="n"/>
      <c r="P138" s="110">
        <f>IF(AND(ISNUMBER(O138),ISNUMBER(N138),N(N138)&gt;0),O138/N138-1,"")</f>
        <v/>
      </c>
      <c r="Q138" s="111">
        <f>IF(P138="","No List Price",IF(P138&lt;=0,"At/below price",IF(P138&lt;=0.12,"&lt;=12% STR zone",IF(P138&lt;=0.25,"12-25%","&gt;25% over"))))</f>
        <v/>
      </c>
      <c r="R138" s="109" t="n">
        <v>99.98999999999999</v>
      </c>
      <c r="S138" s="112">
        <f>IF(AND(ISNUMBER(N138),ISNUMBER(R138),N(R138)&gt;0),N138/R138-1,"")</f>
        <v/>
      </c>
      <c r="T138" s="39" t="inlineStr">
        <is>
          <t>Same size (Queen), CAD. Ours live: catalog price (CAD), 2026-10-14; 14 children</t>
        </is>
      </c>
      <c r="U138" s="108" t="n">
        <v>70805</v>
      </c>
      <c r="V138" s="108" t="n"/>
      <c r="W138" s="113">
        <f>IF(AND(ISNUMBER(N138),ISNUMBER(V138)),N138*V138*52/12,"")</f>
        <v/>
      </c>
      <c r="X138" s="114" t="n">
        <v>4.2</v>
      </c>
      <c r="Y138" s="108" t="n">
        <v>1050</v>
      </c>
      <c r="Z138" s="115" t="n">
        <v>46309</v>
      </c>
      <c r="AA138" s="115" t="n"/>
      <c r="AB138" s="105" t="n"/>
      <c r="AC138" s="105" t="n"/>
      <c r="AD138" s="108" t="n"/>
      <c r="AE138" s="108" t="n"/>
      <c r="AF138" s="116" t="n"/>
      <c r="AG138" s="116" t="n"/>
      <c r="AH138" s="39" t="n"/>
      <c r="AI138" s="116" t="n"/>
      <c r="AJ138" s="116" t="n"/>
      <c r="AK138" s="116" t="n"/>
      <c r="AL138" s="116" t="n"/>
      <c r="AM138" s="108" t="n"/>
      <c r="AN138" s="108" t="n"/>
      <c r="AO138" s="108" t="n"/>
      <c r="AP138" s="108" t="n"/>
      <c r="AQ138" s="108" t="n"/>
      <c r="AR138" s="108" t="n"/>
      <c r="AS138" s="117" t="n"/>
      <c r="AT138" s="112" t="n"/>
      <c r="AU138" s="118" t="inlineStr">
        <is>
          <t>N</t>
        </is>
      </c>
      <c r="AV138" s="118" t="inlineStr">
        <is>
          <t>none</t>
        </is>
      </c>
      <c r="AW138" s="124" t="n"/>
      <c r="AX138" s="119" t="n">
        <v>69.98999999999999</v>
      </c>
      <c r="AY138" s="118" t="inlineStr">
        <is>
          <t>none</t>
        </is>
      </c>
      <c r="AZ138" s="118" t="inlineStr">
        <is>
          <t>Y</t>
        </is>
      </c>
      <c r="BA138" s="118" t="inlineStr">
        <is>
          <t>2026-10-14 00:34:37</t>
        </is>
      </c>
      <c r="BB138" s="120" t="inlineStr">
        <is>
          <t>Prime Exclusive Discount</t>
        </is>
      </c>
      <c r="BC138" s="120" t="inlineStr">
        <is>
          <t>11-20 to 12-01</t>
        </is>
      </c>
      <c r="BD138" s="121" t="n">
        <v>79.98999999999999</v>
      </c>
      <c r="BE138" s="121" t="n">
        <v>62.99</v>
      </c>
      <c r="BF138" s="110">
        <f>IF(AND(ISNUMBER(BD138),ISNUMBER(BE138),N(BD138)&gt;0),1-BE138/BD138,"")</f>
        <v/>
      </c>
      <c r="BG138" s="122" t="n">
        <v>18567</v>
      </c>
      <c r="BH138" s="122" t="n">
        <v>16929</v>
      </c>
      <c r="BI138" s="123">
        <f>IF(AND(ISNUMBER(BG138),ISNUMBER(BH138),N(BH138)&gt;0),BG138/BH138,"")</f>
        <v/>
      </c>
      <c r="BJ138" s="120" t="inlineStr">
        <is>
          <t>N</t>
        </is>
      </c>
      <c r="BK138" s="120" t="inlineStr">
        <is>
          <t>Amazon.ca organic #18 for 'bamboo sheets king'; 100% Viscose from Bamboo; Search child B08XK9TQDZ; selected Queen child B08XK2ZFTL. variation_count = distinct children exposed in page variation map, not a guaranteed complete catalogue</t>
        </is>
      </c>
    </row>
    <row r="139"/>
    <row r="140" ht="22" customHeight="1">
      <c r="A140" s="65" t="inlineStr">
        <is>
          <t>5 ▼</t>
        </is>
      </c>
      <c r="B140" s="66" t="inlineStr">
        <is>
          <t>WHAT THIS MEANS FOR BFCM</t>
        </is>
      </c>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c r="AC140" s="67" t="n"/>
      <c r="AD140" s="67" t="n"/>
      <c r="AE140" s="67" t="n"/>
      <c r="AF140" s="67" t="n"/>
      <c r="AG140" s="67" t="n"/>
      <c r="AH140" s="67" t="n"/>
      <c r="AI140" s="67" t="n"/>
      <c r="AJ140" s="67" t="n"/>
      <c r="AK140" s="67" t="n"/>
      <c r="AL140" s="67" t="n"/>
      <c r="AM140" s="67" t="n"/>
      <c r="AN140" s="67" t="n"/>
      <c r="AO140" s="67" t="n"/>
      <c r="AP140" s="67" t="n"/>
      <c r="AQ140" s="67" t="n"/>
      <c r="AR140" s="67" t="n"/>
      <c r="AS140" s="67" t="n"/>
      <c r="AT140" s="67" t="n"/>
      <c r="AU140" s="67" t="n"/>
      <c r="AV140" s="67" t="n"/>
      <c r="AW140" s="67" t="n"/>
      <c r="AX140" s="67" t="n"/>
      <c r="AY140" s="67" t="n"/>
      <c r="AZ140" s="67" t="n"/>
      <c r="BA140" s="67" t="n"/>
      <c r="BB140" s="67" t="n"/>
      <c r="BC140" s="67" t="n"/>
      <c r="BD140" s="67" t="n"/>
      <c r="BE140" s="67" t="n"/>
      <c r="BF140" s="67" t="n"/>
      <c r="BG140" s="67" t="n"/>
      <c r="BH140" s="67" t="n"/>
      <c r="BI140" s="67" t="n"/>
      <c r="BJ140" s="67" t="n"/>
      <c r="BK140" s="67" t="n"/>
    </row>
    <row r="141" ht="30" customHeight="1">
      <c r="A141" s="129" t="inlineStr">
        <is>
          <t>• Price: 13 of 15 rivals sit below our price today (same size where the title states one). Cheapest strong rivals: MCO $38.99, YASMENG $44.99, Sasttie $49.99, Viviland $68.39. CA prices are CAD; ours is the live Amazon.ca price (catalog price) where held.</t>
        </is>
      </c>
    </row>
    <row r="142" ht="30" customHeight="1">
      <c r="A142" s="129" t="inlineStr">
        <is>
          <t>• Top organic on Amazon.ca (Oct 13): #1 Bedsure $94.99 (bamboo sheets queen); #1 BAMPURE $83.69 (bamboo sheets king); #2 Sasttie $49.99 (cooling bamboo sheets); #5 Andency $69.99 (bamboo sheets king); #7 ACCURATEX $94.99 (cooling bamboo sheets).</t>
        </is>
      </c>
    </row>
    <row r="143" ht="30" customHeight="1">
      <c r="A143" s="129" t="inlineStr">
        <is>
          <t>• Strikethrough on the page today (Oct 13 check): 8 of 15 checked rivals show one: Bedsure List Price $109.99 vs $94.99 (+16%), BAMPURE Was price $92.99 vs $83.69 (+11%) with deal, Sasttie List Price $64.99 vs $49.99 (+30%), KRIMANO Was price $89.99 vs $85.49 (+5%), GOKOTTA List Price $154.99 vs $139.99 (+11%), Viviland Was price $71.99 vs $68.39 (+5%).</t>
        </is>
      </c>
    </row>
    <row r="144" ht="18" customHeight="1">
      <c r="A144" s="129" t="inlineStr">
        <is>
          <t>• Our BFCM 2025: 3.08x daily sales in BFCM week vs the 30 days before; TACoS 11.5% vs 12.7% before; December 2.19x.</t>
        </is>
      </c>
    </row>
  </sheetData>
  <autoFilter ref="B123:BK138"/>
  <mergeCells count="64">
    <mergeCell ref="AD122:AT122"/>
    <mergeCell ref="A108:C108"/>
    <mergeCell ref="A142:BK142"/>
    <mergeCell ref="L5:Q5"/>
    <mergeCell ref="AU122:BA122"/>
    <mergeCell ref="Q11:T11"/>
    <mergeCell ref="A101:C101"/>
    <mergeCell ref="L8:Q8"/>
    <mergeCell ref="A105:C105"/>
    <mergeCell ref="A110:BK110"/>
    <mergeCell ref="L4:Q4"/>
    <mergeCell ref="D7:I7"/>
    <mergeCell ref="A13:D13"/>
    <mergeCell ref="I13:L13"/>
    <mergeCell ref="D4:I4"/>
    <mergeCell ref="L10:Q10"/>
    <mergeCell ref="E12:H12"/>
    <mergeCell ref="Q13:T13"/>
    <mergeCell ref="D9:I9"/>
    <mergeCell ref="U12:X12"/>
    <mergeCell ref="L9:Q9"/>
    <mergeCell ref="Q12:T12"/>
    <mergeCell ref="A100:C100"/>
    <mergeCell ref="A11:D11"/>
    <mergeCell ref="A106:C106"/>
    <mergeCell ref="I11:L11"/>
    <mergeCell ref="D8:I8"/>
    <mergeCell ref="L6:Q6"/>
    <mergeCell ref="A4:B9"/>
    <mergeCell ref="T6:Y6"/>
    <mergeCell ref="AA122:AC122"/>
    <mergeCell ref="BB122:BK122"/>
    <mergeCell ref="A102:C102"/>
    <mergeCell ref="A113:BK113"/>
    <mergeCell ref="D5:I5"/>
    <mergeCell ref="N122:Z122"/>
    <mergeCell ref="M11:P11"/>
    <mergeCell ref="A116:BK116"/>
    <mergeCell ref="U11:X11"/>
    <mergeCell ref="A141:BK141"/>
    <mergeCell ref="A144:BK144"/>
    <mergeCell ref="E13:H13"/>
    <mergeCell ref="A122:K122"/>
    <mergeCell ref="D10:I10"/>
    <mergeCell ref="L7:Q7"/>
    <mergeCell ref="T5:Y5"/>
    <mergeCell ref="A107:C107"/>
    <mergeCell ref="A109:BK109"/>
    <mergeCell ref="A103:C103"/>
    <mergeCell ref="A12:D12"/>
    <mergeCell ref="M13:P13"/>
    <mergeCell ref="A121:BK121"/>
    <mergeCell ref="I12:L12"/>
    <mergeCell ref="U13:X13"/>
    <mergeCell ref="A112:BK112"/>
    <mergeCell ref="A115:BK115"/>
    <mergeCell ref="M12:P12"/>
    <mergeCell ref="T4:Y4"/>
    <mergeCell ref="A117:BK117"/>
    <mergeCell ref="D6:I6"/>
    <mergeCell ref="A111:BK111"/>
    <mergeCell ref="E11:H11"/>
    <mergeCell ref="A114:BK114"/>
    <mergeCell ref="A143:BK143"/>
  </mergeCells>
  <conditionalFormatting sqref="Q124:Q138">
    <cfRule type="expression" priority="1" dxfId="1">
      <formula>Q124="&lt;=12% STR zone"</formula>
    </cfRule>
  </conditionalFormatting>
  <conditionalFormatting sqref="Z124:Z138">
    <cfRule type="expression" priority="2" dxfId="0">
      <formula>AND(ISNUMBER(Z124),Z124&lt;DATE(2026,10,6))</formula>
    </cfRule>
  </conditionalFormatting>
  <conditionalFormatting sqref="T124:T138">
    <cfRule type="expression" priority="3" dxfId="0">
      <formula>ISNUMBER(SEARCH("STALE",T124))</formula>
    </cfRule>
  </conditionalFormatting>
  <conditionalFormatting sqref="S124:S138">
    <cfRule type="expression" priority="4" dxfId="0">
      <formula>AND(ISNUMBER(S124),S124&lt;0)</formula>
    </cfRule>
  </conditionalFormatting>
  <dataValidations count="3">
    <dataValidation sqref="AU124:AU138 BJ124:BJ138" showDropDown="0" showInputMessage="0" showErrorMessage="0" allowBlank="1" type="list">
      <formula1>"Y,N"</formula1>
    </dataValidation>
    <dataValidation sqref="AV124:AV138" showDropDown="0" showInputMessage="0" showErrorMessage="0" allowBlank="1" type="list">
      <formula1>"List Price,Typical price,Was price,None"</formula1>
    </dataValidation>
    <dataValidation sqref="BB124:BB138"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DC B4'!A3" display="1 Our product ↓"/>
    <hyperlink ref="D2" location="'CA DC B4'!A15" display="2 Our variations ↓"/>
    <hyperlink ref="E2" location="'CA DC B4'!A99" display="3 Our BFCM 2025 ↓"/>
    <hyperlink ref="F2" location="'CA DC B4'!A119" display="4 COMPETITORS (15 mapped) ↓"/>
    <hyperlink ref="G2" location="'CA DC B4'!A140" display="5 What it means ↓"/>
    <hyperlink xmlns:r="http://schemas.openxmlformats.org/officeDocument/2006/relationships" ref="H124" r:id="rId1"/>
    <hyperlink xmlns:r="http://schemas.openxmlformats.org/officeDocument/2006/relationships" ref="I124" r:id="rId2"/>
    <hyperlink xmlns:r="http://schemas.openxmlformats.org/officeDocument/2006/relationships" ref="H125" r:id="rId3"/>
    <hyperlink xmlns:r="http://schemas.openxmlformats.org/officeDocument/2006/relationships" ref="I125" r:id="rId4"/>
    <hyperlink xmlns:r="http://schemas.openxmlformats.org/officeDocument/2006/relationships" ref="H126" r:id="rId5"/>
    <hyperlink xmlns:r="http://schemas.openxmlformats.org/officeDocument/2006/relationships" ref="I126" r:id="rId6"/>
    <hyperlink xmlns:r="http://schemas.openxmlformats.org/officeDocument/2006/relationships" ref="H127" r:id="rId7"/>
    <hyperlink xmlns:r="http://schemas.openxmlformats.org/officeDocument/2006/relationships" ref="I127" r:id="rId8"/>
    <hyperlink xmlns:r="http://schemas.openxmlformats.org/officeDocument/2006/relationships" ref="H128" r:id="rId9"/>
    <hyperlink xmlns:r="http://schemas.openxmlformats.org/officeDocument/2006/relationships" ref="I128" r:id="rId10"/>
    <hyperlink xmlns:r="http://schemas.openxmlformats.org/officeDocument/2006/relationships" ref="H129" r:id="rId11"/>
    <hyperlink xmlns:r="http://schemas.openxmlformats.org/officeDocument/2006/relationships" ref="I129" r:id="rId12"/>
    <hyperlink xmlns:r="http://schemas.openxmlformats.org/officeDocument/2006/relationships" ref="H130" r:id="rId13"/>
    <hyperlink xmlns:r="http://schemas.openxmlformats.org/officeDocument/2006/relationships" ref="I130" r:id="rId14"/>
    <hyperlink xmlns:r="http://schemas.openxmlformats.org/officeDocument/2006/relationships" ref="H131" r:id="rId15"/>
    <hyperlink xmlns:r="http://schemas.openxmlformats.org/officeDocument/2006/relationships" ref="I131" r:id="rId16"/>
    <hyperlink xmlns:r="http://schemas.openxmlformats.org/officeDocument/2006/relationships" ref="H132" r:id="rId17"/>
    <hyperlink xmlns:r="http://schemas.openxmlformats.org/officeDocument/2006/relationships" ref="I132" r:id="rId18"/>
    <hyperlink xmlns:r="http://schemas.openxmlformats.org/officeDocument/2006/relationships" ref="H133" r:id="rId19"/>
    <hyperlink xmlns:r="http://schemas.openxmlformats.org/officeDocument/2006/relationships" ref="I133" r:id="rId20"/>
    <hyperlink xmlns:r="http://schemas.openxmlformats.org/officeDocument/2006/relationships" ref="H134" r:id="rId21"/>
    <hyperlink xmlns:r="http://schemas.openxmlformats.org/officeDocument/2006/relationships" ref="I134" r:id="rId22"/>
    <hyperlink xmlns:r="http://schemas.openxmlformats.org/officeDocument/2006/relationships" ref="I135" r:id="rId23"/>
    <hyperlink xmlns:r="http://schemas.openxmlformats.org/officeDocument/2006/relationships" ref="I136" r:id="rId24"/>
    <hyperlink xmlns:r="http://schemas.openxmlformats.org/officeDocument/2006/relationships" ref="H137" r:id="rId25"/>
    <hyperlink xmlns:r="http://schemas.openxmlformats.org/officeDocument/2006/relationships" ref="I137" r:id="rId26"/>
    <hyperlink xmlns:r="http://schemas.openxmlformats.org/officeDocument/2006/relationships" ref="H138" r:id="rId27"/>
    <hyperlink xmlns:r="http://schemas.openxmlformats.org/officeDocument/2006/relationships" ref="I138" r:id="rId28"/>
  </hyperlink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F4B183"/>
    <outlinePr summaryBelow="1" summaryRight="1"/>
    <pageSetUpPr/>
  </sheetPr>
  <dimension ref="A1:BK136"/>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Decolure Bamboo Sheets 6 Piece · Amazon.ca (CA) · Bamboo · BFCM role: Hero: rank and profit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(8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_xlfn.IMAGE("https://m.media-amazon.com/images/I/81JHZOIZl1L._AC_SL1500_.jpg")</f>
        <v/>
      </c>
      <c r="C4" s="13" t="inlineStr">
        <is>
          <t>Title</t>
        </is>
      </c>
      <c r="D4" s="14" t="inlineStr">
        <is>
          <t>DECOLURE 100% Organic Viscose Derived from Bamboo Sheets King Size 6pcs - Ultra Soft &amp; Luxuriously Cooling, 17" Deep Pocket, Double Stitching, Perfect for Hot Sleepers - King Bed Sheets (Taupe)</t>
        </is>
      </c>
      <c r="K4" s="13" t="inlineStr">
        <is>
          <t>Sizes</t>
        </is>
      </c>
      <c r="L4" s="68" t="inlineStr">
        <is>
          <t>California King, Full, King, Queen, Twin</t>
        </is>
      </c>
      <c r="S4" s="13" t="inlineStr">
        <is>
          <t>Break-even ACoS</t>
        </is>
      </c>
      <c r="T4" s="68" t="inlineStr">
        <is>
          <t>38%</t>
        </is>
      </c>
    </row>
    <row r="5" ht="22" customHeight="1">
      <c r="C5" s="13" t="inlineStr">
        <is>
          <t>Brand</t>
        </is>
      </c>
      <c r="D5" s="68" t="inlineStr">
        <is>
          <t>Decolure</t>
        </is>
      </c>
      <c r="K5" s="13" t="inlineStr">
        <is>
          <t>Colours</t>
        </is>
      </c>
      <c r="L5" s="68" t="inlineStr">
        <is>
          <t>Black, Burgundy, Charcoal, Creme, Grey, Light Blue, Light Grey, Light Olive, Light Pink, Midgrey, Navy Blue, Olive, Purple, Sage Green, Taupe, White</t>
        </is>
      </c>
      <c r="S5" s="13" t="inlineStr">
        <is>
          <t>Units last 28 days</t>
        </is>
      </c>
      <c r="T5" s="68" t="inlineStr">
        <is>
          <t>714</t>
        </is>
      </c>
    </row>
    <row r="6" ht="22" customHeight="1">
      <c r="C6" s="13" t="inlineStr">
        <is>
          <t>Marketplace</t>
        </is>
      </c>
      <c r="D6" s="68" t="inlineStr">
        <is>
          <t>Amazon.ca (CA)</t>
        </is>
      </c>
      <c r="K6" s="13" t="inlineStr">
        <is>
          <t>Price now, best child</t>
        </is>
      </c>
      <c r="L6" s="68" t="inlineStr">
        <is>
          <t>$99.99 (catalog price (CAD), 2026-10-14)</t>
        </is>
      </c>
      <c r="S6" s="13" t="inlineStr">
        <is>
          <t>market data product ASIN</t>
        </is>
      </c>
      <c r="T6" s="68" t="inlineStr">
        <is>
          <t>B0CQ31D5FM (one of our child ASINs, not the Amazon parent)</t>
        </is>
      </c>
    </row>
    <row r="7" ht="22" customHeight="1">
      <c r="C7" s="13" t="inlineStr">
        <is>
          <t>Parent ASIN (Amazon)</t>
        </is>
      </c>
      <c r="D7" s="68" t="inlineStr">
        <is>
          <t>B0D71YJYNL</t>
        </is>
      </c>
      <c r="K7" s="13" t="inlineStr">
        <is>
          <t>Rating / reviews now</t>
        </is>
      </c>
      <c r="L7" s="68" t="inlineStr">
        <is>
          <t>4.4 / 3,337 (catalog price (CAD), 2026-10-14)</t>
        </is>
      </c>
    </row>
    <row r="8" ht="22" customHeight="1">
      <c r="C8" s="13" t="inlineStr">
        <is>
          <t>Best-selling child ASIN</t>
        </is>
      </c>
      <c r="D8" s="68" t="inlineStr">
        <is>
          <t>B0CQ3178D7</t>
        </is>
      </c>
      <c r="K8" s="13" t="inlineStr">
        <is>
          <t>Live prices held</t>
        </is>
      </c>
      <c r="L8" s="68" t="inlineStr">
        <is>
          <t>74 of 81 variations</t>
        </is>
      </c>
    </row>
    <row r="9" ht="22" customHeight="1">
      <c r="C9" s="13" t="inlineStr">
        <is>
          <t>Stage</t>
        </is>
      </c>
      <c r="D9" s="68" t="inlineStr">
        <is>
          <t>Re-Launch</t>
        </is>
      </c>
      <c r="K9" s="13" t="inlineStr">
        <is>
          <t>Blended price (market data)</t>
        </is>
      </c>
      <c r="L9" s="68" t="inlineStr">
        <is>
          <t>$92.62 - fee feed as of 2026-03-30, STALE</t>
        </is>
      </c>
    </row>
    <row r="10">
      <c r="C10" s="13" t="inlineStr">
        <is>
          <t>Total variations (SKUs)</t>
        </is>
      </c>
      <c r="D10" s="68" t="n">
        <v>80</v>
      </c>
      <c r="K10" s="13" t="inlineStr">
        <is>
          <t>Contribution / unit</t>
        </is>
      </c>
      <c r="L10" s="68" t="inlineStr">
        <is>
          <t>$35.16</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3.07x</t>
        </is>
      </c>
      <c r="E12" s="70" t="inlineStr">
        <is>
          <t>6.1%</t>
        </is>
      </c>
      <c r="I12" s="70" t="inlineStr">
        <is>
          <t>1.27x</t>
        </is>
      </c>
      <c r="M12" s="70" t="inlineStr">
        <is>
          <t>8</t>
        </is>
      </c>
      <c r="Q12" s="70" t="inlineStr">
        <is>
          <t>1</t>
        </is>
      </c>
      <c r="U12" s="70" t="inlineStr">
        <is>
          <t>0 of 8</t>
        </is>
      </c>
    </row>
    <row r="13">
      <c r="A13" s="71" t="inlineStr">
        <is>
          <t>daily sales, BFCM wk vs 30 days before (account data actual)</t>
        </is>
      </c>
      <c r="E13" s="71" t="inlineStr">
        <is>
          <t>vs 12.5%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(81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_xlfn.IMAGE("https://m.media-amazon.com/images/I/81fJLSDJpFL.jpg")</f>
        <v/>
      </c>
      <c r="B18" s="39" t="inlineStr">
        <is>
          <t>B0CQ2XQF9N</t>
        </is>
      </c>
      <c r="C18" s="39" t="inlineStr">
        <is>
          <t>BAMBOO-KING-WHITE-6PCS</t>
        </is>
      </c>
      <c r="D18" s="39" t="inlineStr">
        <is>
          <t>DECOLURE 100% Organic Viscose Derived from Bamboo Sheets King Size 6pcs - Ultra Soft &amp; Luxuriously Cooling, 17" Deep Pocket, Double Stitching, Perfect for Hot Sleepers - King Bed Sheets (White)</t>
        </is>
      </c>
      <c r="E18" s="39" t="inlineStr">
        <is>
          <t>King</t>
        </is>
      </c>
      <c r="F18" s="39" t="inlineStr">
        <is>
          <t>White</t>
        </is>
      </c>
      <c r="G18" s="73" t="n">
        <v>99.98999999999999</v>
      </c>
      <c r="H18" s="39" t="inlineStr">
        <is>
          <t>catalog price (CAD), 2026-10-14</t>
        </is>
      </c>
      <c r="I18" s="74" t="n">
        <v>99.98999999999999</v>
      </c>
      <c r="J18" s="75" t="inlineStr">
        <is>
          <t>2026-03-30</t>
        </is>
      </c>
      <c r="K18" s="40" t="n">
        <v>33.13999999999999</v>
      </c>
      <c r="L18" s="76" t="n">
        <v>0.3314331433143314</v>
      </c>
      <c r="M18" s="77" t="n">
        <v>66</v>
      </c>
      <c r="N18" s="39" t="inlineStr">
        <is>
          <t>Active</t>
        </is>
      </c>
      <c r="O18" s="39" t="n"/>
      <c r="P18" s="78" t="n">
        <v>4.4</v>
      </c>
      <c r="Q18" s="77" t="n">
        <v>3337</v>
      </c>
      <c r="R18" s="77" t="n">
        <v>2074</v>
      </c>
      <c r="S18" s="77" t="n">
        <v>83</v>
      </c>
      <c r="T18" s="39" t="n"/>
    </row>
    <row r="19" ht="62" customHeight="1">
      <c r="A19" s="12">
        <f>_xlfn.IMAGE("https://m.media-amazon.com/images/I/81JHZOIZl1L.jpg")</f>
        <v/>
      </c>
      <c r="B19" s="39" t="inlineStr">
        <is>
          <t>B0CQ3178D7</t>
        </is>
      </c>
      <c r="C19" s="39" t="inlineStr">
        <is>
          <t>BAMBOO-KING-TAUPE-6PCS</t>
        </is>
      </c>
      <c r="D19" s="39" t="inlineStr">
        <is>
          <t>DECOLURE 100% Organic Viscose Derived from Bamboo Sheets King Size 6pcs - Ultra Soft &amp; Luxuriously Cooling, 17" Deep Pocket, Double Stitching, Perfect for Hot Sleepers - King Bed Sheets (Taupe)</t>
        </is>
      </c>
      <c r="E19" s="39" t="inlineStr">
        <is>
          <t>King</t>
        </is>
      </c>
      <c r="F19" s="39" t="inlineStr">
        <is>
          <t>Taupe</t>
        </is>
      </c>
      <c r="G19" s="73" t="n">
        <v>99.98999999999999</v>
      </c>
      <c r="H19" s="39" t="inlineStr">
        <is>
          <t>catalog price (CAD), 2026-10-14</t>
        </is>
      </c>
      <c r="I19" s="74" t="n">
        <v>117.12</v>
      </c>
      <c r="J19" s="75" t="inlineStr">
        <is>
          <t>2026-03-30</t>
        </is>
      </c>
      <c r="K19" s="40" t="n">
        <v>48.98000000000001</v>
      </c>
      <c r="L19" s="76" t="n">
        <v>0.4182035519125684</v>
      </c>
      <c r="M19" s="77" t="n">
        <v>58</v>
      </c>
      <c r="N19" s="39" t="inlineStr">
        <is>
          <t>Active</t>
        </is>
      </c>
      <c r="O19" s="39" t="n"/>
      <c r="P19" s="78" t="n">
        <v>4.4</v>
      </c>
      <c r="Q19" s="77" t="n">
        <v>3337</v>
      </c>
      <c r="R19" s="77" t="n">
        <v>2072</v>
      </c>
      <c r="S19" s="77" t="n">
        <v>55</v>
      </c>
      <c r="T19" s="39" t="n"/>
    </row>
    <row r="20" ht="62" customHeight="1">
      <c r="A20" s="12">
        <f>_xlfn.IMAGE("https://m.media-amazon.com/images/I/81fJLSDJpFL.jpg")</f>
        <v/>
      </c>
      <c r="B20" s="39" t="inlineStr">
        <is>
          <t>B0CQ2ZWGNQ</t>
        </is>
      </c>
      <c r="C20" s="39" t="inlineStr">
        <is>
          <t>BAMBOO-QUEEN-WHITE-6PCS</t>
        </is>
      </c>
      <c r="D20" s="39" t="inlineStr">
        <is>
          <t>DECOLURE 100% Organic Viscose Derived from Bamboo Sheets Queen Size 6pcs - Ultra Soft &amp; Luxuriously Cooling, 17" Deep Pocket, Double Stitching, Perfect for Hot Sleepers - Queen Bed Sheets (White)</t>
        </is>
      </c>
      <c r="E20" s="39" t="inlineStr">
        <is>
          <t>Queen</t>
        </is>
      </c>
      <c r="F20" s="39" t="inlineStr">
        <is>
          <t>White</t>
        </is>
      </c>
      <c r="G20" s="73" t="n">
        <v>99.98999999999999</v>
      </c>
      <c r="H20" s="39" t="inlineStr">
        <is>
          <t>catalog price (CAD), 2026-10-14</t>
        </is>
      </c>
      <c r="I20" s="74" t="n">
        <v>114.72</v>
      </c>
      <c r="J20" s="75" t="inlineStr">
        <is>
          <t>2026-03-30</t>
        </is>
      </c>
      <c r="K20" s="40" t="n">
        <v>58.2</v>
      </c>
      <c r="L20" s="76" t="n">
        <v>0.5073221757322175</v>
      </c>
      <c r="M20" s="77" t="n">
        <v>45</v>
      </c>
      <c r="N20" s="39" t="inlineStr">
        <is>
          <t>Active</t>
        </is>
      </c>
      <c r="O20" s="39" t="n"/>
      <c r="P20" s="78" t="n">
        <v>4.4</v>
      </c>
      <c r="Q20" s="77" t="n">
        <v>3337</v>
      </c>
      <c r="R20" s="77" t="n">
        <v>2072</v>
      </c>
      <c r="S20" s="77" t="n">
        <v>123</v>
      </c>
      <c r="T20" s="39" t="n"/>
    </row>
    <row r="21" ht="62" customHeight="1">
      <c r="A21" s="12">
        <f>_xlfn.IMAGE("https://m.media-amazon.com/images/I/81qE6QSwrML.jpg")</f>
        <v/>
      </c>
      <c r="B21" s="39" t="inlineStr">
        <is>
          <t>B0CQ316YRY</t>
        </is>
      </c>
      <c r="C21" s="39" t="inlineStr">
        <is>
          <t>BAMBOO-KING-NAVYBLUE-6PCS</t>
        </is>
      </c>
      <c r="D21" s="39" t="inlineStr">
        <is>
          <t>DECOLURE 100% Viscose Derived from Bamboo Sheets King Size - Luxury 6 Pc Naturally Cooling Sheets, Ultra Soft Bed Set - Deep 17" Pockets, Durable Double Stitching, Oeko Tex Standard (Navy Blue)</t>
        </is>
      </c>
      <c r="E21" s="39" t="inlineStr">
        <is>
          <t>King</t>
        </is>
      </c>
      <c r="F21" s="39" t="inlineStr">
        <is>
          <t>Navy Blue</t>
        </is>
      </c>
      <c r="G21" s="73" t="n">
        <v>99.98999999999999</v>
      </c>
      <c r="H21" s="39" t="inlineStr">
        <is>
          <t>catalog price (CAD), 2026-10-14</t>
        </is>
      </c>
      <c r="I21" s="74" t="n">
        <v>117.12</v>
      </c>
      <c r="J21" s="75" t="inlineStr">
        <is>
          <t>2026-03-06</t>
        </is>
      </c>
      <c r="K21" s="40" t="n">
        <v>55.3</v>
      </c>
      <c r="L21" s="76" t="n">
        <v>0.4721653005464481</v>
      </c>
      <c r="M21" s="77" t="n">
        <v>41</v>
      </c>
      <c r="N21" s="39" t="inlineStr">
        <is>
          <t>Active</t>
        </is>
      </c>
      <c r="O21" s="39" t="n"/>
      <c r="P21" s="78" t="n">
        <v>4.4</v>
      </c>
      <c r="Q21" s="77" t="n">
        <v>3337</v>
      </c>
      <c r="R21" s="77" t="n">
        <v>2074</v>
      </c>
      <c r="S21" s="77" t="n">
        <v>52</v>
      </c>
      <c r="T21" s="39" t="n"/>
    </row>
    <row r="22" ht="62" customHeight="1">
      <c r="A22" s="12">
        <f>_xlfn.IMAGE("https://m.media-amazon.com/images/I/81JHZOIZl1L.jpg")</f>
        <v/>
      </c>
      <c r="B22" s="39" t="inlineStr">
        <is>
          <t>B0CQ33198K</t>
        </is>
      </c>
      <c r="C22" s="39" t="inlineStr">
        <is>
          <t>BAMBOO-QUEEN-TAUPE-6PCS</t>
        </is>
      </c>
      <c r="D22" s="39" t="inlineStr">
        <is>
          <t>DECOLURE 100% Organic Viscose Derived from Bamboo Sheets Queen Size 6pcs - Ultra Soft &amp; Luxuriously Cooling, 17" Deep Pocket, Double Stitching, Perfect for Hot Sleepers - Queen Bed Sheets (Taupe)</t>
        </is>
      </c>
      <c r="E22" s="39" t="inlineStr">
        <is>
          <t>Queen</t>
        </is>
      </c>
      <c r="F22" s="39" t="inlineStr">
        <is>
          <t>Taupe</t>
        </is>
      </c>
      <c r="G22" s="73" t="n">
        <v>99.98999999999999</v>
      </c>
      <c r="H22" s="39" t="inlineStr">
        <is>
          <t>catalog price (CAD), 2026-10-14</t>
        </is>
      </c>
      <c r="I22" s="74" t="n">
        <v>99.98999999999999</v>
      </c>
      <c r="J22" s="75" t="inlineStr">
        <is>
          <t>2026-03-30</t>
        </is>
      </c>
      <c r="K22" s="40" t="n">
        <v>46.77999999999999</v>
      </c>
      <c r="L22" s="76" t="n">
        <v>0.4678467846784677</v>
      </c>
      <c r="M22" s="77" t="n">
        <v>33</v>
      </c>
      <c r="N22" s="39" t="inlineStr">
        <is>
          <t>Active</t>
        </is>
      </c>
      <c r="O22" s="39" t="n"/>
      <c r="P22" s="78" t="n">
        <v>4.4</v>
      </c>
      <c r="Q22" s="77" t="n">
        <v>3337</v>
      </c>
      <c r="R22" s="77" t="n">
        <v>2072</v>
      </c>
      <c r="S22" s="77" t="n">
        <v>5</v>
      </c>
      <c r="T22" s="39" t="n"/>
    </row>
    <row r="23" ht="62" customHeight="1">
      <c r="A23" s="12">
        <f>_xlfn.IMAGE("https://m.media-amazon.com/images/I/81PXZ9VB3EL.jpg")</f>
        <v/>
      </c>
      <c r="B23" s="39" t="inlineStr">
        <is>
          <t>B0CQ33KG5X</t>
        </is>
      </c>
      <c r="C23" s="39" t="inlineStr">
        <is>
          <t>BAMBOO-KING-CREME-6PCS</t>
        </is>
      </c>
      <c r="D23" s="39" t="inlineStr">
        <is>
          <t>DECOLURE 100% Organic Viscose Derived from Bamboo Sheets King Size 6pcs - Ultra Soft &amp; Luxuriously Cooling, 17" Deep Pocket, Double Stitching, Perfect for Hot Sleepers - King Bed Sheets (Creme)</t>
        </is>
      </c>
      <c r="E23" s="39" t="inlineStr">
        <is>
          <t>King</t>
        </is>
      </c>
      <c r="F23" s="39" t="inlineStr">
        <is>
          <t>Creme</t>
        </is>
      </c>
      <c r="G23" s="73" t="n">
        <v>99.98999999999999</v>
      </c>
      <c r="H23" s="39" t="inlineStr">
        <is>
          <t>catalog price (CAD), 2026-10-14</t>
        </is>
      </c>
      <c r="I23" s="74" t="n">
        <v>76.48999999999999</v>
      </c>
      <c r="J23" s="75" t="inlineStr">
        <is>
          <t>2026-03-30</t>
        </is>
      </c>
      <c r="K23" s="40" t="n">
        <v>20.02</v>
      </c>
      <c r="L23" s="76" t="n">
        <v>0.2617335599424761</v>
      </c>
      <c r="M23" s="77" t="n">
        <v>30</v>
      </c>
      <c r="N23" s="39" t="inlineStr">
        <is>
          <t>Active</t>
        </is>
      </c>
      <c r="O23" s="39" t="n"/>
      <c r="P23" s="78" t="n">
        <v>4.4</v>
      </c>
      <c r="Q23" s="77" t="n">
        <v>3337</v>
      </c>
      <c r="R23" s="77" t="n">
        <v>2074</v>
      </c>
      <c r="S23" s="77" t="n">
        <v>4</v>
      </c>
      <c r="T23" s="39" t="n"/>
    </row>
    <row r="24" ht="62" customHeight="1">
      <c r="A24" s="12">
        <f>_xlfn.IMAGE("https://m.media-amazon.com/images/I/81fJLSDJpFL.jpg")</f>
        <v/>
      </c>
      <c r="B24" s="39" t="inlineStr">
        <is>
          <t>B0CQ31Q559</t>
        </is>
      </c>
      <c r="C24" s="39" t="inlineStr">
        <is>
          <t>BAMBOO-FULL-WHITE-6PCS</t>
        </is>
      </c>
      <c r="D24" s="39" t="inlineStr">
        <is>
          <t>DECOLURE 100% Organic Viscose Derived from Bamboo Sheets Full Size 6pcs - Ultra Soft &amp; Luxuriously Cooling, 17" Deep Pocket, Double Stitching, Perfect for Hot Sleepers - Full Bed Sheets (White)</t>
        </is>
      </c>
      <c r="E24" s="39" t="inlineStr">
        <is>
          <t>Full</t>
        </is>
      </c>
      <c r="F24" s="39" t="inlineStr">
        <is>
          <t>White</t>
        </is>
      </c>
      <c r="G24" s="73" t="n">
        <v>79.98999999999999</v>
      </c>
      <c r="H24" s="39" t="inlineStr">
        <is>
          <t>catalog price (CAD), 2026-10-14</t>
        </is>
      </c>
      <c r="I24" s="74" t="n">
        <v>76.48</v>
      </c>
      <c r="J24" s="75" t="inlineStr">
        <is>
          <t>2026-03-30</t>
        </is>
      </c>
      <c r="K24" s="40" t="n">
        <v>22.57</v>
      </c>
      <c r="L24" s="76" t="n">
        <v>0.2951098326359833</v>
      </c>
      <c r="M24" s="77" t="n">
        <v>27</v>
      </c>
      <c r="N24" s="39" t="inlineStr">
        <is>
          <t>Active</t>
        </is>
      </c>
      <c r="O24" s="39" t="n"/>
      <c r="P24" s="78" t="n">
        <v>4.4</v>
      </c>
      <c r="Q24" s="77" t="n">
        <v>3337</v>
      </c>
      <c r="R24" s="77" t="n">
        <v>2074</v>
      </c>
      <c r="S24" s="77" t="n">
        <v>46</v>
      </c>
      <c r="T24" s="39" t="n"/>
    </row>
    <row r="25" ht="62" customHeight="1">
      <c r="A25" s="12">
        <f>_xlfn.IMAGE("https://m.media-amazon.com/images/I/81+83kJjC0L.jpg")</f>
        <v/>
      </c>
      <c r="B25" s="39" t="inlineStr">
        <is>
          <t>B0CQ33C286</t>
        </is>
      </c>
      <c r="C25" s="39" t="inlineStr">
        <is>
          <t>BAMBOO-QUEEN-CHARCOAL-6PCS</t>
        </is>
      </c>
      <c r="D25" s="39" t="inlineStr">
        <is>
          <t>DECOLURE 100% Organic Viscose Derived from Bamboo Sheets Queen Size 6pcs - Ultra Soft &amp; Luxuriously Cooling, 17" Deep Pocket, Double Stitching, Perfect for Hot Sleepers - Queen Bed Sheets (Charcoal)</t>
        </is>
      </c>
      <c r="E25" s="39" t="inlineStr">
        <is>
          <t>Queen</t>
        </is>
      </c>
      <c r="F25" s="39" t="inlineStr">
        <is>
          <t>Charcoal</t>
        </is>
      </c>
      <c r="G25" s="73" t="n">
        <v>99.98999999999999</v>
      </c>
      <c r="H25" s="39" t="inlineStr">
        <is>
          <t>catalog price (CAD), 2026-10-14</t>
        </is>
      </c>
      <c r="I25" s="74" t="n">
        <v>99.98999999999999</v>
      </c>
      <c r="J25" s="75" t="inlineStr">
        <is>
          <t>2026-03-30</t>
        </is>
      </c>
      <c r="K25" s="40" t="n">
        <v>44.55</v>
      </c>
      <c r="L25" s="76" t="n">
        <v>0.4455445544554456</v>
      </c>
      <c r="M25" s="77" t="n">
        <v>27</v>
      </c>
      <c r="N25" s="39" t="inlineStr">
        <is>
          <t>Active</t>
        </is>
      </c>
      <c r="O25" s="39" t="n"/>
      <c r="P25" s="78" t="n">
        <v>4.4</v>
      </c>
      <c r="Q25" s="77" t="n">
        <v>3337</v>
      </c>
      <c r="R25" s="77" t="n">
        <v>2074</v>
      </c>
      <c r="S25" s="77" t="n">
        <v>13</v>
      </c>
      <c r="T25" s="39" t="n"/>
    </row>
    <row r="26" ht="62" customHeight="1">
      <c r="A26" s="12">
        <f>_xlfn.IMAGE("https://m.media-amazon.com/images/I/81MRRHk3q4L.jpg")</f>
        <v/>
      </c>
      <c r="B26" s="39" t="inlineStr">
        <is>
          <t>B0CQ32F3HY</t>
        </is>
      </c>
      <c r="C26" s="39" t="inlineStr">
        <is>
          <t>BAMBOO-QUEEN-LIGHTBLUE-6PCS</t>
        </is>
      </c>
      <c r="D26" s="39" t="inlineStr">
        <is>
          <t>DECOLURE 100% Organic Viscose Derived from Bamboo Sheets Queen Size 6pcs - Ultra Soft &amp; Luxuriously Cooling, 17" Deep Pocket, Double Stitching, Perfect for Hot Sleepers - Queen Bed Sheets (Light Blue)</t>
        </is>
      </c>
      <c r="E26" s="39" t="inlineStr">
        <is>
          <t>Queen</t>
        </is>
      </c>
      <c r="F26" s="39" t="inlineStr">
        <is>
          <t>Light Blue</t>
        </is>
      </c>
      <c r="G26" s="73" t="n">
        <v>99.98999999999999</v>
      </c>
      <c r="H26" s="39" t="inlineStr">
        <is>
          <t>catalog price (CAD), 2026-10-14</t>
        </is>
      </c>
      <c r="I26" s="74" t="n">
        <v>76.48999999999999</v>
      </c>
      <c r="J26" s="75" t="inlineStr">
        <is>
          <t>2026-03-30</t>
        </is>
      </c>
      <c r="K26" s="40" t="n">
        <v>25.83</v>
      </c>
      <c r="L26" s="76" t="n">
        <v>0.3376912014642437</v>
      </c>
      <c r="M26" s="77" t="n">
        <v>26</v>
      </c>
      <c r="N26" s="39" t="inlineStr">
        <is>
          <t>Active</t>
        </is>
      </c>
      <c r="O26" s="39" t="n"/>
      <c r="P26" s="78" t="n">
        <v>4.4</v>
      </c>
      <c r="Q26" s="77" t="n">
        <v>3337</v>
      </c>
      <c r="R26" s="77" t="n">
        <v>2074</v>
      </c>
      <c r="S26" s="77" t="n">
        <v>45</v>
      </c>
      <c r="T26" s="39" t="n"/>
    </row>
    <row r="27" ht="62" customHeight="1">
      <c r="A27" s="12">
        <f>_xlfn.IMAGE("https://m.media-amazon.com/images/I/813aFqxnKrL.jpg")</f>
        <v/>
      </c>
      <c r="B27" s="39" t="inlineStr">
        <is>
          <t>B0CQ32B24Y</t>
        </is>
      </c>
      <c r="C27" s="39" t="inlineStr">
        <is>
          <t>BAMBOO-QUEEN-OLIVE-6PCS</t>
        </is>
      </c>
      <c r="D27" s="39" t="inlineStr">
        <is>
          <t>DECOLURE 100% Organic Viscose Derived from Bamboo Sheets Queen Size 6pcs - Ultra Soft &amp; Luxuriously Cooling, 17" Deep Pocket, Double Stitching, Perfect for Hot Sleepers - Queen Bed Sheets (Olive)</t>
        </is>
      </c>
      <c r="E27" s="39" t="inlineStr">
        <is>
          <t>Queen</t>
        </is>
      </c>
      <c r="F27" s="39" t="inlineStr">
        <is>
          <t>Olive</t>
        </is>
      </c>
      <c r="G27" s="73" t="n">
        <v>99.98999999999999</v>
      </c>
      <c r="H27" s="39" t="inlineStr">
        <is>
          <t>catalog price (CAD), 2026-10-14</t>
        </is>
      </c>
      <c r="I27" s="74" t="n">
        <v>79.98999999999999</v>
      </c>
      <c r="J27" s="75" t="inlineStr">
        <is>
          <t>2026-03-30</t>
        </is>
      </c>
      <c r="K27" s="40" t="n">
        <v>28.78999999999999</v>
      </c>
      <c r="L27" s="76" t="n">
        <v>0.3599199899987497</v>
      </c>
      <c r="M27" s="77" t="n">
        <v>26</v>
      </c>
      <c r="N27" s="39" t="inlineStr">
        <is>
          <t>Active</t>
        </is>
      </c>
      <c r="O27" s="39" t="n"/>
      <c r="P27" s="78" t="n">
        <v>4.4</v>
      </c>
      <c r="Q27" s="77" t="n">
        <v>3337</v>
      </c>
      <c r="R27" s="77" t="n">
        <v>2074</v>
      </c>
      <c r="S27" s="77" t="n">
        <v>33</v>
      </c>
      <c r="T27" s="39" t="n"/>
    </row>
    <row r="28" ht="62" customHeight="1">
      <c r="A28" s="12">
        <f>_xlfn.IMAGE("https://m.media-amazon.com/images/I/81+83kJjC0L.jpg")</f>
        <v/>
      </c>
      <c r="B28" s="39" t="inlineStr">
        <is>
          <t>B0CQ2ZZW88</t>
        </is>
      </c>
      <c r="C28" s="39" t="inlineStr">
        <is>
          <t>BAMBOO-KING-CHARCOAL-6PCS</t>
        </is>
      </c>
      <c r="D28" s="39" t="inlineStr">
        <is>
          <t>DECOLURE 100% Organic Viscose Derived from Bamboo Sheets King Size 6pcs - Ultra Soft &amp; Luxuriously Cooling, 17" Deep Pocket, Double Stitching, Perfect for Hot Sleepers - King Bed Sheets (Charcoal)</t>
        </is>
      </c>
      <c r="E28" s="39" t="inlineStr">
        <is>
          <t>King</t>
        </is>
      </c>
      <c r="F28" s="39" t="inlineStr">
        <is>
          <t>Charcoal</t>
        </is>
      </c>
      <c r="G28" s="73" t="n">
        <v>99.98999999999999</v>
      </c>
      <c r="H28" s="39" t="inlineStr">
        <is>
          <t>catalog price (CAD), 2026-10-14</t>
        </is>
      </c>
      <c r="I28" s="74" t="n">
        <v>99.98999999999999</v>
      </c>
      <c r="J28" s="75" t="inlineStr">
        <is>
          <t>2026-03-30</t>
        </is>
      </c>
      <c r="K28" s="40" t="n">
        <v>39.91999999999999</v>
      </c>
      <c r="L28" s="76" t="n">
        <v>0.3992399239923992</v>
      </c>
      <c r="M28" s="77" t="n">
        <v>25</v>
      </c>
      <c r="N28" s="39" t="inlineStr">
        <is>
          <t>Active</t>
        </is>
      </c>
      <c r="O28" s="39" t="n"/>
      <c r="P28" s="78" t="n">
        <v>4.4</v>
      </c>
      <c r="Q28" s="77" t="n">
        <v>3337</v>
      </c>
      <c r="R28" s="77" t="n">
        <v>2074</v>
      </c>
      <c r="S28" s="77" t="n">
        <v>38</v>
      </c>
      <c r="T28" s="39" t="n"/>
    </row>
    <row r="29" ht="62" customHeight="1">
      <c r="A29" s="12">
        <f>_xlfn.IMAGE("https://m.media-amazon.com/images/I/81PXZ9VB3EL.jpg")</f>
        <v/>
      </c>
      <c r="B29" s="39" t="inlineStr">
        <is>
          <t>B0CQ32Z6VP</t>
        </is>
      </c>
      <c r="C29" s="39" t="inlineStr">
        <is>
          <t>BAMBOO-QUEEN-CREME-6PCS</t>
        </is>
      </c>
      <c r="D29" s="39" t="inlineStr">
        <is>
          <t>DECOLURE 100% Organic Viscose Derived from Bamboo Sheets Queen Size 6pcs - Ultra Soft &amp; Luxuriously Cooling, 17" Deep Pocket, Double Stitching, Perfect for Hot Sleepers - Queen Bed Sheets (Creme)</t>
        </is>
      </c>
      <c r="E29" s="39" t="inlineStr">
        <is>
          <t>Queen</t>
        </is>
      </c>
      <c r="F29" s="39" t="inlineStr">
        <is>
          <t>Creme</t>
        </is>
      </c>
      <c r="G29" s="73" t="n">
        <v>99.98999999999999</v>
      </c>
      <c r="H29" s="39" t="inlineStr">
        <is>
          <t>catalog price (CAD), 2026-10-14</t>
        </is>
      </c>
      <c r="I29" s="74" t="n">
        <v>76.48999999999999</v>
      </c>
      <c r="J29" s="75" t="inlineStr">
        <is>
          <t>2026-03-30</t>
        </is>
      </c>
      <c r="K29" s="40" t="n">
        <v>25.94</v>
      </c>
      <c r="L29" s="76" t="n">
        <v>0.3391292979474441</v>
      </c>
      <c r="M29" s="77" t="n">
        <v>25</v>
      </c>
      <c r="N29" s="39" t="inlineStr">
        <is>
          <t>Active</t>
        </is>
      </c>
      <c r="O29" s="39" t="n"/>
      <c r="P29" s="78" t="n">
        <v>4.4</v>
      </c>
      <c r="Q29" s="77" t="n">
        <v>3337</v>
      </c>
      <c r="R29" s="77" t="n">
        <v>2074</v>
      </c>
      <c r="S29" s="77" t="n">
        <v>44</v>
      </c>
      <c r="T29" s="39" t="n"/>
    </row>
    <row r="30" ht="62" customHeight="1">
      <c r="A30" s="12">
        <f>_xlfn.IMAGE("https://m.media-amazon.com/images/I/81KfdRGP46L.jpg")</f>
        <v/>
      </c>
      <c r="B30" s="39" t="inlineStr">
        <is>
          <t>B0CQ32NPF5</t>
        </is>
      </c>
      <c r="C30" s="39" t="inlineStr">
        <is>
          <t>BAMBOO-KING-BURGUNDY-6PCS</t>
        </is>
      </c>
      <c r="D30" s="39" t="inlineStr">
        <is>
          <t>DECOLURE 100% Organic Viscose Derived from Bamboo Sheets King Size 6pcs - Ultra Soft &amp; Luxuriously Cooling, 17" Deep Pocket, Double Stitching, Perfect for Hot Sleepers - King Bed Sheets (Burgundy)</t>
        </is>
      </c>
      <c r="E30" s="39" t="inlineStr">
        <is>
          <t>King</t>
        </is>
      </c>
      <c r="F30" s="39" t="inlineStr">
        <is>
          <t>Burgundy</t>
        </is>
      </c>
      <c r="G30" s="73" t="n">
        <v>99.98999999999999</v>
      </c>
      <c r="H30" s="39" t="inlineStr">
        <is>
          <t>catalog price (CAD), 2026-10-14</t>
        </is>
      </c>
      <c r="I30" s="40" t="n"/>
      <c r="J30" s="39" t="n"/>
      <c r="K30" s="40" t="n"/>
      <c r="L30" s="76" t="n"/>
      <c r="M30" s="77" t="n">
        <v>23</v>
      </c>
      <c r="N30" s="39" t="inlineStr">
        <is>
          <t>Active</t>
        </is>
      </c>
      <c r="O30" s="39" t="n"/>
      <c r="P30" s="78" t="n">
        <v>4.4</v>
      </c>
      <c r="Q30" s="77" t="n">
        <v>3337</v>
      </c>
      <c r="R30" s="77" t="n">
        <v>2074</v>
      </c>
      <c r="S30" s="77" t="n">
        <v>4</v>
      </c>
      <c r="T30" s="39" t="n"/>
    </row>
    <row r="31" ht="62" customHeight="1">
      <c r="A31" s="12">
        <f>_xlfn.IMAGE("https://m.media-amazon.com/images/I/81I312usunL.jpg")</f>
        <v/>
      </c>
      <c r="B31" s="39" t="inlineStr">
        <is>
          <t>B0CQ33H4QW</t>
        </is>
      </c>
      <c r="C31" s="39" t="inlineStr">
        <is>
          <t>BAMBOO-KING-LIGHTGREY-6PCS</t>
        </is>
      </c>
      <c r="D31" s="39" t="inlineStr">
        <is>
          <t>DECOLURE 100% Organic Viscose Derived from Bamboo Sheets King Size 6pcs - Ultra Soft &amp; Luxuriously Cooling, 17" Deep Pocket, Double Stitching, Perfect for Hot Sleepers - King Bed Sheets (Light Grey)</t>
        </is>
      </c>
      <c r="E31" s="39" t="inlineStr">
        <is>
          <t>King</t>
        </is>
      </c>
      <c r="F31" s="39" t="inlineStr">
        <is>
          <t>Light Grey</t>
        </is>
      </c>
      <c r="G31" s="73" t="n">
        <v>99.98999999999999</v>
      </c>
      <c r="H31" s="39" t="inlineStr">
        <is>
          <t>catalog price (CAD), 2026-10-14</t>
        </is>
      </c>
      <c r="I31" s="74" t="n">
        <v>79.98999999999999</v>
      </c>
      <c r="J31" s="75" t="inlineStr">
        <is>
          <t>2026-03-30</t>
        </is>
      </c>
      <c r="K31" s="40" t="n">
        <v>23.09</v>
      </c>
      <c r="L31" s="76" t="n">
        <v>0.2886610826353294</v>
      </c>
      <c r="M31" s="77" t="n">
        <v>22</v>
      </c>
      <c r="N31" s="39" t="inlineStr">
        <is>
          <t>Active</t>
        </is>
      </c>
      <c r="O31" s="39" t="n"/>
      <c r="P31" s="78" t="n">
        <v>4.4</v>
      </c>
      <c r="Q31" s="77" t="n">
        <v>3337</v>
      </c>
      <c r="R31" s="77" t="n">
        <v>2074</v>
      </c>
      <c r="S31" s="77" t="n">
        <v>38</v>
      </c>
      <c r="T31" s="39" t="n"/>
    </row>
    <row r="32" ht="62" customHeight="1">
      <c r="A32" s="12">
        <f>_xlfn.IMAGE("https://m.media-amazon.com/images/I/81C7Qfwu1WL.jpg")</f>
        <v/>
      </c>
      <c r="B32" s="39" t="inlineStr">
        <is>
          <t>B0CQ31XHCV</t>
        </is>
      </c>
      <c r="C32" s="39" t="inlineStr">
        <is>
          <t>BAMBOO-QUEEN-GREY-6PCS</t>
        </is>
      </c>
      <c r="D32" s="39" t="inlineStr">
        <is>
          <t>DECOLURE 100% Organic Viscose Derived from Bamboo Sheets Queen Size 6pcs - Ultra Soft &amp; Luxuriously Cooling, 17" Deep Pocket, Double Stitching, Perfect for Hot Sleepers - Queen Bed Sheets (Grey)</t>
        </is>
      </c>
      <c r="E32" s="39" t="inlineStr">
        <is>
          <t>Queen</t>
        </is>
      </c>
      <c r="F32" s="39" t="inlineStr">
        <is>
          <t>Grey</t>
        </is>
      </c>
      <c r="G32" s="73" t="n">
        <v>99.98999999999999</v>
      </c>
      <c r="H32" s="39" t="inlineStr">
        <is>
          <t>catalog price (CAD), 2026-10-14</t>
        </is>
      </c>
      <c r="I32" s="74" t="n">
        <v>94.93000000000001</v>
      </c>
      <c r="J32" s="75" t="inlineStr">
        <is>
          <t>2026-03-30</t>
        </is>
      </c>
      <c r="K32" s="40" t="n">
        <v>36.66000000000001</v>
      </c>
      <c r="L32" s="76" t="n">
        <v>0.3861792900031603</v>
      </c>
      <c r="M32" s="77" t="n">
        <v>21</v>
      </c>
      <c r="N32" s="39" t="inlineStr">
        <is>
          <t>Active</t>
        </is>
      </c>
      <c r="O32" s="39" t="n"/>
      <c r="P32" s="78" t="n">
        <v>4.4</v>
      </c>
      <c r="Q32" s="77" t="n">
        <v>3337</v>
      </c>
      <c r="R32" s="77" t="n">
        <v>2074</v>
      </c>
      <c r="S32" s="77" t="n">
        <v>4</v>
      </c>
      <c r="T32" s="39" t="n"/>
    </row>
    <row r="33" ht="62" customHeight="1">
      <c r="A33" s="12">
        <f>_xlfn.IMAGE("https://m.media-amazon.com/images/I/817PHsMlA6L.jpg")</f>
        <v/>
      </c>
      <c r="B33" s="39" t="inlineStr">
        <is>
          <t>B0CQ331L15</t>
        </is>
      </c>
      <c r="C33" s="39" t="inlineStr">
        <is>
          <t>BAMBOO-KING-BLACK-6PCS</t>
        </is>
      </c>
      <c r="D33" s="39" t="inlineStr">
        <is>
          <t>DECOLURE 100% Organic Viscose Derived from Bamboo Sheets King Size 6pcs - Ultra Soft &amp; Luxuriously Cooling, 17" Deep Pocket, Double Stitching, Perfect for Hot Sleepers - King Bed Sheets (Black)</t>
        </is>
      </c>
      <c r="E33" s="39" t="inlineStr">
        <is>
          <t>King</t>
        </is>
      </c>
      <c r="F33" s="39" t="inlineStr">
        <is>
          <t>Black</t>
        </is>
      </c>
      <c r="G33" s="73" t="n">
        <v>99.98999999999999</v>
      </c>
      <c r="H33" s="39" t="inlineStr">
        <is>
          <t>catalog price (CAD), 2026-10-14</t>
        </is>
      </c>
      <c r="I33" s="74" t="n">
        <v>76.48999999999999</v>
      </c>
      <c r="J33" s="75" t="inlineStr">
        <is>
          <t>2026-03-30</t>
        </is>
      </c>
      <c r="K33" s="40" t="n">
        <v>19.31</v>
      </c>
      <c r="L33" s="76" t="n">
        <v>0.252451300823637</v>
      </c>
      <c r="M33" s="77" t="n">
        <v>18</v>
      </c>
      <c r="N33" s="39" t="inlineStr">
        <is>
          <t>Active</t>
        </is>
      </c>
      <c r="O33" s="39" t="n"/>
      <c r="P33" s="78" t="n">
        <v>4.4</v>
      </c>
      <c r="Q33" s="77" t="n">
        <v>3337</v>
      </c>
      <c r="R33" s="77" t="n">
        <v>2074</v>
      </c>
      <c r="S33" s="77" t="n">
        <v>4</v>
      </c>
      <c r="T33" s="39" t="n"/>
    </row>
    <row r="34" ht="62" customHeight="1">
      <c r="A34" s="12">
        <f>_xlfn.IMAGE("https://m.media-amazon.com/images/I/81bS-hq76OL.jpg")</f>
        <v/>
      </c>
      <c r="B34" s="39" t="inlineStr">
        <is>
          <t>B0CQ319J1Z</t>
        </is>
      </c>
      <c r="C34" s="39" t="inlineStr">
        <is>
          <t>BAMBOO-KING-MIDGREY-6PCS</t>
        </is>
      </c>
      <c r="D34" s="39" t="inlineStr">
        <is>
          <t>DECOLURE 100% Organic Viscose Derived from Bamboo Sheets King Size 6pcs - Ultra Soft &amp; Luxuriously Cooling, 17" Deep Pocket, Double Stitching, Perfect for Hot Sleepers - King Bed Sheets (Midgrey)</t>
        </is>
      </c>
      <c r="E34" s="39" t="inlineStr">
        <is>
          <t>King</t>
        </is>
      </c>
      <c r="F34" s="39" t="inlineStr">
        <is>
          <t>Midgrey</t>
        </is>
      </c>
      <c r="G34" s="73" t="n">
        <v>99.98999999999999</v>
      </c>
      <c r="H34" s="39" t="inlineStr">
        <is>
          <t>catalog price (CAD), 2026-10-14</t>
        </is>
      </c>
      <c r="I34" s="74" t="n">
        <v>99.98999999999999</v>
      </c>
      <c r="J34" s="75" t="inlineStr">
        <is>
          <t>2026-03-30</t>
        </is>
      </c>
      <c r="K34" s="40" t="n">
        <v>39.84999999999999</v>
      </c>
      <c r="L34" s="76" t="n">
        <v>0.3985398539853985</v>
      </c>
      <c r="M34" s="77" t="n">
        <v>16</v>
      </c>
      <c r="N34" s="39" t="inlineStr">
        <is>
          <t>Active</t>
        </is>
      </c>
      <c r="O34" s="39" t="n"/>
      <c r="P34" s="78" t="n">
        <v>4.4</v>
      </c>
      <c r="Q34" s="77" t="n">
        <v>3337</v>
      </c>
      <c r="R34" s="77" t="n">
        <v>2074</v>
      </c>
      <c r="S34" s="77" t="n">
        <v>6</v>
      </c>
      <c r="T34" s="39" t="n"/>
    </row>
    <row r="35" ht="62" customHeight="1">
      <c r="A35" s="12">
        <f>_xlfn.IMAGE("https://m.media-amazon.com/images/I/81qE6QSwrML.jpg")</f>
        <v/>
      </c>
      <c r="B35" s="39" t="inlineStr">
        <is>
          <t>B0CQ32N392</t>
        </is>
      </c>
      <c r="C35" s="39" t="inlineStr">
        <is>
          <t>BAMBOO-QUEEN-NAVYBLUE-6PCS</t>
        </is>
      </c>
      <c r="D35" s="39" t="inlineStr">
        <is>
          <t>DECOLURE 100% Viscose Derived from Bamboo Sheets Queen Size - Luxury 6 Pc Naturally Cooling Sheets, Ultra Soft Bed Set - Deep 17" Pockets, Durable Double Stitching, Oeko Tex Standard (Navy Blue)</t>
        </is>
      </c>
      <c r="E35" s="39" t="inlineStr">
        <is>
          <t>Queen</t>
        </is>
      </c>
      <c r="F35" s="39" t="inlineStr">
        <is>
          <t>Navy Blue</t>
        </is>
      </c>
      <c r="G35" s="73" t="n">
        <v>99.98999999999999</v>
      </c>
      <c r="H35" s="39" t="inlineStr">
        <is>
          <t>catalog price (CAD), 2026-10-14</t>
        </is>
      </c>
      <c r="I35" s="74" t="n">
        <v>115.22</v>
      </c>
      <c r="J35" s="75" t="inlineStr">
        <is>
          <t>2026-03-30</t>
        </is>
      </c>
      <c r="K35" s="40" t="n">
        <v>53.31</v>
      </c>
      <c r="L35" s="76" t="n">
        <v>0.4626800902621073</v>
      </c>
      <c r="M35" s="77" t="n">
        <v>15</v>
      </c>
      <c r="N35" s="39" t="inlineStr">
        <is>
          <t>Active</t>
        </is>
      </c>
      <c r="O35" s="39" t="n"/>
      <c r="P35" s="78" t="n">
        <v>4.4</v>
      </c>
      <c r="Q35" s="77" t="n">
        <v>3337</v>
      </c>
      <c r="R35" s="77" t="n">
        <v>2074</v>
      </c>
      <c r="S35" s="77" t="n">
        <v>34</v>
      </c>
      <c r="T35" s="39" t="n"/>
    </row>
    <row r="36" ht="62" customHeight="1">
      <c r="A36" s="12">
        <f>_xlfn.IMAGE("https://m.media-amazon.com/images/I/81KfdRGP46L.jpg")</f>
        <v/>
      </c>
      <c r="B36" s="39" t="inlineStr">
        <is>
          <t>B0CQ2ZWSN7</t>
        </is>
      </c>
      <c r="C36" s="39" t="inlineStr">
        <is>
          <t>BAMBOO-QUEEN-BURGUNDY-6PCS</t>
        </is>
      </c>
      <c r="D36" s="39" t="inlineStr">
        <is>
          <t>DECOLURE 100% Organic Viscose Derived from Bamboo Sheets Queen Size 6pcs - Ultra Soft &amp; Luxuriously Cooling, 17" Deep Pocket, Double Stitching, Perfect for Hot Sleepers - Queen Bed Sheets (Burgundy)</t>
        </is>
      </c>
      <c r="E36" s="39" t="inlineStr">
        <is>
          <t>Queen</t>
        </is>
      </c>
      <c r="F36" s="39" t="inlineStr">
        <is>
          <t>Burgundy</t>
        </is>
      </c>
      <c r="G36" s="73" t="n">
        <v>99.98999999999999</v>
      </c>
      <c r="H36" s="39" t="inlineStr">
        <is>
          <t>catalog price (CAD), 2026-10-14</t>
        </is>
      </c>
      <c r="I36" s="74" t="n">
        <v>94</v>
      </c>
      <c r="J36" s="75" t="inlineStr">
        <is>
          <t>2026-03-30</t>
        </is>
      </c>
      <c r="K36" s="40" t="n">
        <v>35.37</v>
      </c>
      <c r="L36" s="76" t="n">
        <v>0.3762765957446809</v>
      </c>
      <c r="M36" s="77" t="n">
        <v>14</v>
      </c>
      <c r="N36" s="39" t="inlineStr">
        <is>
          <t>Active</t>
        </is>
      </c>
      <c r="O36" s="39" t="n"/>
      <c r="P36" s="78" t="n">
        <v>4.4</v>
      </c>
      <c r="Q36" s="77" t="n">
        <v>3337</v>
      </c>
      <c r="R36" s="77" t="n">
        <v>2074</v>
      </c>
      <c r="S36" s="77" t="n">
        <v>32</v>
      </c>
      <c r="T36" s="39" t="n"/>
    </row>
    <row r="37" ht="62" customHeight="1">
      <c r="A37" s="12">
        <f>_xlfn.IMAGE("https://m.media-amazon.com/images/I/81PXZ9VB3EL.jpg")</f>
        <v/>
      </c>
      <c r="B37" s="39" t="inlineStr">
        <is>
          <t>B0CQ2ZVD96</t>
        </is>
      </c>
      <c r="C37" s="39" t="inlineStr">
        <is>
          <t>BAMBOO-FULL-CREME-6PCS</t>
        </is>
      </c>
      <c r="D37" s="39" t="inlineStr">
        <is>
          <t>DECOLURE 100% Organic Viscose Derived from Bamboo Sheets Full Size 6pcs - Ultra Soft &amp; Luxuriously Cooling, 17" Deep Pocket, Double Stitching, Perfect for Hot Sleepers - Full Bed Sheets (Creme)</t>
        </is>
      </c>
      <c r="E37" s="39" t="inlineStr">
        <is>
          <t>Full</t>
        </is>
      </c>
      <c r="F37" s="39" t="inlineStr">
        <is>
          <t>Creme</t>
        </is>
      </c>
      <c r="G37" s="73" t="n">
        <v>79.98999999999999</v>
      </c>
      <c r="H37" s="39" t="inlineStr">
        <is>
          <t>catalog price (CAD), 2026-10-14</t>
        </is>
      </c>
      <c r="I37" s="74" t="n">
        <v>59.49</v>
      </c>
      <c r="J37" s="75" t="inlineStr">
        <is>
          <t>2026-03-30</t>
        </is>
      </c>
      <c r="K37" s="40" t="n">
        <v>11.72</v>
      </c>
      <c r="L37" s="76" t="n">
        <v>0.1970079004874769</v>
      </c>
      <c r="M37" s="77" t="n">
        <v>13</v>
      </c>
      <c r="N37" s="39" t="inlineStr">
        <is>
          <t>Active</t>
        </is>
      </c>
      <c r="O37" s="39" t="n"/>
      <c r="P37" s="78" t="n">
        <v>4.4</v>
      </c>
      <c r="Q37" s="77" t="n">
        <v>3337</v>
      </c>
      <c r="R37" s="77" t="n">
        <v>2074</v>
      </c>
      <c r="S37" s="77" t="n">
        <v>7</v>
      </c>
      <c r="T37" s="39" t="n"/>
    </row>
    <row r="38" ht="62" customHeight="1">
      <c r="A38" s="12">
        <f>_xlfn.IMAGE("https://m.media-amazon.com/images/I/81MRRHk3q4L.jpg")</f>
        <v/>
      </c>
      <c r="B38" s="39" t="inlineStr">
        <is>
          <t>B0CQ31X65Y</t>
        </is>
      </c>
      <c r="C38" s="39" t="inlineStr">
        <is>
          <t>BAMBOO-KING-LIGHTBLUE-6PCS</t>
        </is>
      </c>
      <c r="D38" s="39" t="inlineStr">
        <is>
          <t>DECOLURE 100% Organic Viscose Derived from Bamboo Sheets King Size 6pcs - Ultra Soft &amp; Luxuriously Cooling, 17" Deep Pocket, Double Stitching, Perfect for Hot Sleepers - King Bed Sheets (Light Blue)</t>
        </is>
      </c>
      <c r="E38" s="39" t="inlineStr">
        <is>
          <t>King</t>
        </is>
      </c>
      <c r="F38" s="39" t="inlineStr">
        <is>
          <t>Light Blue</t>
        </is>
      </c>
      <c r="G38" s="73" t="n">
        <v>99.98999999999999</v>
      </c>
      <c r="H38" s="39" t="inlineStr">
        <is>
          <t>catalog price (CAD), 2026-10-14</t>
        </is>
      </c>
      <c r="I38" s="74" t="n">
        <v>79.98999999999999</v>
      </c>
      <c r="J38" s="75" t="inlineStr">
        <is>
          <t>2026-03-22</t>
        </is>
      </c>
      <c r="K38" s="40" t="n">
        <v>23.54</v>
      </c>
      <c r="L38" s="76" t="n">
        <v>0.294286785848231</v>
      </c>
      <c r="M38" s="77" t="n">
        <v>12</v>
      </c>
      <c r="N38" s="39" t="inlineStr">
        <is>
          <t>Active</t>
        </is>
      </c>
      <c r="O38" s="39" t="n"/>
      <c r="P38" s="78" t="n">
        <v>4.4</v>
      </c>
      <c r="Q38" s="77" t="n">
        <v>3337</v>
      </c>
      <c r="R38" s="77" t="n">
        <v>2074</v>
      </c>
      <c r="S38" s="77" t="n">
        <v>4</v>
      </c>
      <c r="T38" s="39" t="n"/>
    </row>
    <row r="39" ht="62" customHeight="1">
      <c r="A39" s="12">
        <f>_xlfn.IMAGE("https://m.media-amazon.com/images/I/81I312usunL.jpg")</f>
        <v/>
      </c>
      <c r="B39" s="39" t="inlineStr">
        <is>
          <t>B0CQ33K3TL</t>
        </is>
      </c>
      <c r="C39" s="39" t="inlineStr">
        <is>
          <t>BAMBOO-QUEEN-LIGHTGREY-6PCS</t>
        </is>
      </c>
      <c r="D39" s="39" t="inlineStr">
        <is>
          <t>DECOLURE 100% Organic Viscose Derived from Bamboo Sheets Queen Size 6pcs - Ultra Soft &amp; Luxuriously Cooling, 17" Deep Pocket, Double Stitching, Perfect for Hot Sleepers - Queen Bed Sheets (Light Grey)</t>
        </is>
      </c>
      <c r="E39" s="39" t="inlineStr">
        <is>
          <t>Queen</t>
        </is>
      </c>
      <c r="F39" s="39" t="inlineStr">
        <is>
          <t>Light Grey</t>
        </is>
      </c>
      <c r="G39" s="73" t="n">
        <v>99.98999999999999</v>
      </c>
      <c r="H39" s="39" t="inlineStr">
        <is>
          <t>catalog price (CAD), 2026-10-14</t>
        </is>
      </c>
      <c r="I39" s="74" t="n">
        <v>99.98999999999999</v>
      </c>
      <c r="J39" s="75" t="inlineStr">
        <is>
          <t>2026-03-30</t>
        </is>
      </c>
      <c r="K39" s="40" t="n">
        <v>46.10999999999999</v>
      </c>
      <c r="L39" s="76" t="n">
        <v>0.461146114611461</v>
      </c>
      <c r="M39" s="77" t="n">
        <v>12</v>
      </c>
      <c r="N39" s="39" t="inlineStr">
        <is>
          <t>Active</t>
        </is>
      </c>
      <c r="O39" s="39" t="n"/>
      <c r="P39" s="78" t="n">
        <v>4.4</v>
      </c>
      <c r="Q39" s="77" t="n">
        <v>3337</v>
      </c>
      <c r="R39" s="77" t="n">
        <v>2074</v>
      </c>
      <c r="S39" s="77" t="n">
        <v>46</v>
      </c>
      <c r="T39" s="39" t="n"/>
    </row>
    <row r="40" ht="62" customHeight="1">
      <c r="A40" s="12">
        <f>_xlfn.IMAGE("https://m.media-amazon.com/images/I/81bS-hq76OL.jpg")</f>
        <v/>
      </c>
      <c r="B40" s="39" t="inlineStr">
        <is>
          <t>B0CQ318RHN</t>
        </is>
      </c>
      <c r="C40" s="39" t="inlineStr">
        <is>
          <t>BAMBOO-FULL-MIDGREY-6PCS</t>
        </is>
      </c>
      <c r="D40" s="39" t="inlineStr">
        <is>
          <t>DECOLURE 100% Organic Viscose Derived from Bamboo Sheets Full Size 6pcs - Ultra Soft &amp; Luxuriously Cooling, 17" Deep Pocket, Double Stitching, Perfect for Hot Sleepers - Full Bed Sheets (Midgrey)</t>
        </is>
      </c>
      <c r="E40" s="39" t="inlineStr">
        <is>
          <t>Full</t>
        </is>
      </c>
      <c r="F40" s="39" t="inlineStr">
        <is>
          <t>Midgrey</t>
        </is>
      </c>
      <c r="G40" s="73" t="n">
        <v>79.98999999999999</v>
      </c>
      <c r="H40" s="39" t="inlineStr">
        <is>
          <t>catalog price (CAD), 2026-10-14</t>
        </is>
      </c>
      <c r="I40" s="74" t="n">
        <v>59.49</v>
      </c>
      <c r="J40" s="75" t="inlineStr">
        <is>
          <t>2026-03-30</t>
        </is>
      </c>
      <c r="K40" s="40" t="n">
        <v>13.68</v>
      </c>
      <c r="L40" s="76" t="n">
        <v>0.2299546142208775</v>
      </c>
      <c r="M40" s="77" t="n">
        <v>11</v>
      </c>
      <c r="N40" s="39" t="inlineStr">
        <is>
          <t>Active</t>
        </is>
      </c>
      <c r="O40" s="39" t="n"/>
      <c r="P40" s="78" t="n">
        <v>4.4</v>
      </c>
      <c r="Q40" s="77" t="n">
        <v>3337</v>
      </c>
      <c r="R40" s="77" t="n">
        <v>2074</v>
      </c>
      <c r="S40" s="77" t="n">
        <v>7</v>
      </c>
      <c r="T40" s="39" t="n"/>
    </row>
    <row r="41" ht="62" customHeight="1">
      <c r="A41" s="12">
        <f>_xlfn.IMAGE("https://m.media-amazon.com/images/I/81Ky84k0RkL.jpg")</f>
        <v/>
      </c>
      <c r="B41" s="39" t="inlineStr">
        <is>
          <t>B0CQ2ZZ9QN</t>
        </is>
      </c>
      <c r="C41" s="39" t="inlineStr">
        <is>
          <t>BAMBOO-KING-SAGE GREEN-6PCS</t>
        </is>
      </c>
      <c r="D41" s="39" t="inlineStr">
        <is>
          <t>DECOLURE 100% Organic Viscose Derived from Bamboo Sheets King Size 6pcs - Ultra Soft &amp; Luxuriously Cooling, 17" Deep Pocket, Double Stitching, Perfect for Hot Sleepers - King Bed Sheets (Sage Green)</t>
        </is>
      </c>
      <c r="E41" s="39" t="inlineStr">
        <is>
          <t>King</t>
        </is>
      </c>
      <c r="F41" s="39" t="inlineStr">
        <is>
          <t>Sage Green</t>
        </is>
      </c>
      <c r="G41" s="73" t="n">
        <v>99.98999999999999</v>
      </c>
      <c r="H41" s="39" t="inlineStr">
        <is>
          <t>catalog price (CAD), 2026-10-14</t>
        </is>
      </c>
      <c r="I41" s="74" t="n">
        <v>80.98999999999999</v>
      </c>
      <c r="J41" s="75" t="inlineStr">
        <is>
          <t>2026-03-30</t>
        </is>
      </c>
      <c r="K41" s="40" t="n">
        <v>23.08999999999999</v>
      </c>
      <c r="L41" s="76" t="n">
        <v>0.2850969255463636</v>
      </c>
      <c r="M41" s="77" t="n">
        <v>11</v>
      </c>
      <c r="N41" s="39" t="inlineStr">
        <is>
          <t>Active</t>
        </is>
      </c>
      <c r="O41" s="39" t="n"/>
      <c r="P41" s="78" t="n">
        <v>4.4</v>
      </c>
      <c r="Q41" s="77" t="n">
        <v>3337</v>
      </c>
      <c r="R41" s="77" t="n">
        <v>2074</v>
      </c>
      <c r="S41" s="77" t="n">
        <v>4</v>
      </c>
      <c r="T41" s="39" t="n"/>
    </row>
    <row r="42" ht="62" customHeight="1">
      <c r="A42" s="12">
        <f>_xlfn.IMAGE("https://m.media-amazon.com/images/I/81qwLZXe5IL.jpg")</f>
        <v/>
      </c>
      <c r="B42" s="39" t="inlineStr">
        <is>
          <t>B0CQ31PZ8Q</t>
        </is>
      </c>
      <c r="C42" s="39" t="inlineStr">
        <is>
          <t>BAMBOO-QUEEN-LIGHT PINK-6PCS</t>
        </is>
      </c>
      <c r="D42" s="39" t="inlineStr">
        <is>
          <t>DECOLURE 100% Organic Viscose Derived from Bamboo Sheets Queen Size 6pcs - Ultra Soft &amp; Luxuriously Cooling, 17" Deep Pocket, Double Stitching, Perfect for Hot Sleepers - Queen Bed Sheets (Light Pink)</t>
        </is>
      </c>
      <c r="E42" s="39" t="inlineStr">
        <is>
          <t>Queen</t>
        </is>
      </c>
      <c r="F42" s="39" t="inlineStr">
        <is>
          <t>Light Pink</t>
        </is>
      </c>
      <c r="G42" s="73" t="n">
        <v>99.98999999999999</v>
      </c>
      <c r="H42" s="39" t="inlineStr">
        <is>
          <t>catalog price (CAD), 2026-10-14</t>
        </is>
      </c>
      <c r="I42" s="74" t="n">
        <v>79.98999999999999</v>
      </c>
      <c r="J42" s="75" t="inlineStr">
        <is>
          <t>2026-03-30</t>
        </is>
      </c>
      <c r="K42" s="40" t="n">
        <v>29.14</v>
      </c>
      <c r="L42" s="76" t="n">
        <v>0.3642955369421179</v>
      </c>
      <c r="M42" s="77" t="n">
        <v>11</v>
      </c>
      <c r="N42" s="39" t="inlineStr">
        <is>
          <t>Active</t>
        </is>
      </c>
      <c r="O42" s="39" t="n"/>
      <c r="P42" s="78" t="n">
        <v>4.4</v>
      </c>
      <c r="Q42" s="77" t="n">
        <v>3337</v>
      </c>
      <c r="R42" s="77" t="n">
        <v>2074</v>
      </c>
      <c r="S42" s="77" t="n">
        <v>51</v>
      </c>
      <c r="T42" s="39" t="n"/>
    </row>
    <row r="43" ht="62" customHeight="1">
      <c r="A43" s="12">
        <f>_xlfn.IMAGE("https://m.media-amazon.com/images/I/81kehc99ZjL.jpg")</f>
        <v/>
      </c>
      <c r="B43" s="39" t="inlineStr">
        <is>
          <t>B0CQ328N9Z</t>
        </is>
      </c>
      <c r="C43" s="39" t="inlineStr">
        <is>
          <t>BAMBOO-KING-PURPLE-6PCS</t>
        </is>
      </c>
      <c r="D43" s="39" t="inlineStr">
        <is>
          <t>DECOLURE 100% Organic Viscose Derived from Bamboo Sheets King Size 6pcs - Ultra Soft &amp; Luxuriously Cooling, 17" Deep Pocket, Double Stitching, Perfect for Hot Sleepers - King Bed Sheets (Purple)</t>
        </is>
      </c>
      <c r="E43" s="39" t="inlineStr">
        <is>
          <t>King</t>
        </is>
      </c>
      <c r="F43" s="39" t="inlineStr">
        <is>
          <t>Purple</t>
        </is>
      </c>
      <c r="G43" s="73" t="n">
        <v>99.98999999999999</v>
      </c>
      <c r="H43" s="39" t="inlineStr">
        <is>
          <t>catalog price (CAD), 2026-10-14</t>
        </is>
      </c>
      <c r="I43" s="74" t="n">
        <v>99.98999999999999</v>
      </c>
      <c r="J43" s="75" t="inlineStr">
        <is>
          <t>2026-03-30</t>
        </is>
      </c>
      <c r="K43" s="40" t="n">
        <v>39.81999999999999</v>
      </c>
      <c r="L43" s="76" t="n">
        <v>0.3982398239823982</v>
      </c>
      <c r="M43" s="77" t="n">
        <v>9</v>
      </c>
      <c r="N43" s="39" t="inlineStr">
        <is>
          <t>Active</t>
        </is>
      </c>
      <c r="O43" s="39" t="n"/>
      <c r="P43" s="78" t="n">
        <v>4.4</v>
      </c>
      <c r="Q43" s="77" t="n">
        <v>3337</v>
      </c>
      <c r="R43" s="77" t="n">
        <v>2074</v>
      </c>
      <c r="S43" s="77" t="n">
        <v>4</v>
      </c>
      <c r="T43" s="39" t="n"/>
    </row>
    <row r="44" ht="62" customHeight="1">
      <c r="A44" s="12">
        <f>_xlfn.IMAGE("https://m.media-amazon.com/images/I/81vnFb6DYQL.jpg")</f>
        <v/>
      </c>
      <c r="B44" s="39" t="inlineStr">
        <is>
          <t>B0CQ312HKC</t>
        </is>
      </c>
      <c r="C44" s="39" t="inlineStr">
        <is>
          <t>BAMBOO-QUEEN-LIGHTOLIVE-6PCS</t>
        </is>
      </c>
      <c r="D44" s="39" t="inlineStr">
        <is>
          <t>DECOLURE 100% Organic Viscose Derived from Bamboo Sheets Queen Size 6pcs - Ultra Soft &amp; Luxuriously Cooling, 17" Deep Pocket, Double Stitching,Perfect for Hot Sleepers - Queen Bed Sheets (Light Olive)</t>
        </is>
      </c>
      <c r="E44" s="39" t="inlineStr">
        <is>
          <t>Queen</t>
        </is>
      </c>
      <c r="F44" s="39" t="inlineStr">
        <is>
          <t>Light Olive</t>
        </is>
      </c>
      <c r="G44" s="73" t="n">
        <v>99.98999999999999</v>
      </c>
      <c r="H44" s="39" t="inlineStr">
        <is>
          <t>catalog price (CAD), 2026-10-14</t>
        </is>
      </c>
      <c r="I44" s="74" t="n">
        <v>79.98999999999999</v>
      </c>
      <c r="J44" s="75" t="inlineStr">
        <is>
          <t>2026-03-30</t>
        </is>
      </c>
      <c r="K44" s="40" t="n">
        <v>28.83999999999999</v>
      </c>
      <c r="L44" s="76" t="n">
        <v>0.3605450681335166</v>
      </c>
      <c r="M44" s="77" t="n">
        <v>9</v>
      </c>
      <c r="N44" s="39" t="inlineStr">
        <is>
          <t>Active</t>
        </is>
      </c>
      <c r="O44" s="39" t="n"/>
      <c r="P44" s="78" t="n">
        <v>4.4</v>
      </c>
      <c r="Q44" s="77" t="n">
        <v>3337</v>
      </c>
      <c r="R44" s="77" t="n">
        <v>2072</v>
      </c>
      <c r="S44" s="77" t="n">
        <v>4</v>
      </c>
      <c r="T44" s="39" t="n"/>
    </row>
    <row r="45" ht="62" customHeight="1">
      <c r="A45" s="12">
        <f>_xlfn.IMAGE("https://m.media-amazon.com/images/I/81qwLZXe5IL.jpg")</f>
        <v/>
      </c>
      <c r="B45" s="39" t="inlineStr">
        <is>
          <t>B0CQ3437ZF</t>
        </is>
      </c>
      <c r="C45" s="39" t="inlineStr">
        <is>
          <t>BAMBOO-KING-LIGHT PINK-6PCS</t>
        </is>
      </c>
      <c r="D45" s="39" t="inlineStr">
        <is>
          <t>DECOLURE 100% Organic Viscose Derived from Bamboo Sheets King Size 6pcs - Ultra Soft &amp; Luxuriously Cooling, 17" Deep Pocket, Double Stitching, Perfect for Hot Sleepers - King Bed Sheets (Light Pink)</t>
        </is>
      </c>
      <c r="E45" s="39" t="inlineStr">
        <is>
          <t>King</t>
        </is>
      </c>
      <c r="F45" s="39" t="inlineStr">
        <is>
          <t>Light Pink</t>
        </is>
      </c>
      <c r="G45" s="73" t="n">
        <v>99.98999999999999</v>
      </c>
      <c r="H45" s="39" t="inlineStr">
        <is>
          <t>catalog price (CAD), 2026-10-14</t>
        </is>
      </c>
      <c r="I45" s="74" t="n">
        <v>63.74</v>
      </c>
      <c r="J45" s="75" t="inlineStr">
        <is>
          <t>2026-03-22</t>
        </is>
      </c>
      <c r="K45" s="40" t="n">
        <v>9.449999999999996</v>
      </c>
      <c r="L45" s="76" t="n">
        <v>0.1482585503608408</v>
      </c>
      <c r="M45" s="77" t="n">
        <v>8</v>
      </c>
      <c r="N45" s="39" t="inlineStr">
        <is>
          <t>Active</t>
        </is>
      </c>
      <c r="O45" s="39" t="n"/>
      <c r="P45" s="78" t="n">
        <v>4.4</v>
      </c>
      <c r="Q45" s="77" t="n">
        <v>3337</v>
      </c>
      <c r="R45" s="77" t="n">
        <v>2074</v>
      </c>
      <c r="S45" s="77" t="n">
        <v>3</v>
      </c>
      <c r="T45" s="39" t="n"/>
    </row>
    <row r="46" ht="62" customHeight="1">
      <c r="A46" s="12">
        <f>_xlfn.IMAGE("https://m.media-amazon.com/images/I/813aFqxnKrL.jpg")</f>
        <v/>
      </c>
      <c r="B46" s="39" t="inlineStr">
        <is>
          <t>B0CQ33ZGQ4</t>
        </is>
      </c>
      <c r="C46" s="39" t="inlineStr">
        <is>
          <t>BAMBOO-FULL-OLIVE-6PCS</t>
        </is>
      </c>
      <c r="D46" s="39" t="inlineStr">
        <is>
          <t>DECOLURE 100% Organic Viscose Derived from Bamboo Sheets Full Size 6pcs - Ultra Soft &amp; Luxuriously Cooling, 17" Deep Pocket, Double Stitching, Perfect for Hot Sleepers - Full Bed Sheets (Olive)</t>
        </is>
      </c>
      <c r="E46" s="39" t="inlineStr">
        <is>
          <t>Full</t>
        </is>
      </c>
      <c r="F46" s="39" t="inlineStr">
        <is>
          <t>Olive</t>
        </is>
      </c>
      <c r="G46" s="73" t="n">
        <v>79.98999999999999</v>
      </c>
      <c r="H46" s="39" t="inlineStr">
        <is>
          <t>catalog price (CAD), 2026-10-14</t>
        </is>
      </c>
      <c r="I46" s="74" t="n">
        <v>62.99</v>
      </c>
      <c r="J46" s="75" t="inlineStr">
        <is>
          <t>2026-03-30</t>
        </is>
      </c>
      <c r="K46" s="40" t="n">
        <v>14.69</v>
      </c>
      <c r="L46" s="76" t="n">
        <v>0.2332116208922051</v>
      </c>
      <c r="M46" s="77" t="n">
        <v>6</v>
      </c>
      <c r="N46" s="39" t="inlineStr">
        <is>
          <t>Active</t>
        </is>
      </c>
      <c r="O46" s="39" t="n"/>
      <c r="P46" s="78" t="n">
        <v>4.4</v>
      </c>
      <c r="Q46" s="77" t="n">
        <v>3337</v>
      </c>
      <c r="R46" s="77" t="n">
        <v>2074</v>
      </c>
      <c r="S46" s="77" t="n">
        <v>7</v>
      </c>
      <c r="T46" s="39" t="n"/>
    </row>
    <row r="47" ht="62" customHeight="1">
      <c r="A47" s="12">
        <f>_xlfn.IMAGE("https://m.media-amazon.com/images/I/81Ky84k0RkL.jpg")</f>
        <v/>
      </c>
      <c r="B47" s="39" t="inlineStr">
        <is>
          <t>B0CQ3CDRTN</t>
        </is>
      </c>
      <c r="C47" s="39" t="inlineStr">
        <is>
          <t>BAMBOO-QUEEN-SAGE GREEN-6PCS</t>
        </is>
      </c>
      <c r="D47" s="39" t="inlineStr">
        <is>
          <t>DECOLURE 100% Organic Viscose Derived from Bamboo Sheets Queen Size 6pcs - Ultra Soft &amp; Luxuriously Cooling, 17" Deep Pocket, Double Stitching, Perfect for Hot Sleepers - Queen Bed Sheets (Sage Green)</t>
        </is>
      </c>
      <c r="E47" s="39" t="inlineStr">
        <is>
          <t>Queen</t>
        </is>
      </c>
      <c r="F47" s="39" t="inlineStr">
        <is>
          <t>Sage Green</t>
        </is>
      </c>
      <c r="G47" s="73" t="n">
        <v>99.98999999999999</v>
      </c>
      <c r="H47" s="39" t="inlineStr">
        <is>
          <t>catalog price (CAD), 2026-10-14</t>
        </is>
      </c>
      <c r="I47" s="74" t="n">
        <v>76.48999999999999</v>
      </c>
      <c r="J47" s="75" t="inlineStr">
        <is>
          <t>2026-03-30</t>
        </is>
      </c>
      <c r="K47" s="40" t="n">
        <v>26.34999999999999</v>
      </c>
      <c r="L47" s="76" t="n">
        <v>0.3444894757484638</v>
      </c>
      <c r="M47" s="77" t="n">
        <v>6</v>
      </c>
      <c r="N47" s="39" t="inlineStr">
        <is>
          <t>Active</t>
        </is>
      </c>
      <c r="O47" s="39" t="n"/>
      <c r="P47" s="78" t="n">
        <v>4.4</v>
      </c>
      <c r="Q47" s="77" t="n">
        <v>3337</v>
      </c>
      <c r="R47" s="77" t="n">
        <v>2074</v>
      </c>
      <c r="S47" s="77" t="n">
        <v>4</v>
      </c>
      <c r="T47" s="39" t="n"/>
    </row>
    <row r="48" ht="62" customHeight="1">
      <c r="A48" s="12">
        <f>_xlfn.IMAGE("https://m.media-amazon.com/images/I/81+83kJjC0L.jpg")</f>
        <v/>
      </c>
      <c r="B48" s="39" t="inlineStr">
        <is>
          <t>B0CQ32JTTK</t>
        </is>
      </c>
      <c r="C48" s="39" t="inlineStr">
        <is>
          <t>BAMBOO-CALIFKING-CHARCOAL-6PCS</t>
        </is>
      </c>
      <c r="D48" s="39" t="inlineStr">
        <is>
          <t>DECOLURE 100% Viscose Derived from Bamboo Sheets California King Size - Luxury 6 Pc Naturally Cooling Sheets, Ultra Soft Bed Set - Deep 17" Pockets, Double Stitching, Oeko Tex Standard (Charcoal)</t>
        </is>
      </c>
      <c r="E48" s="39" t="inlineStr">
        <is>
          <t>California King</t>
        </is>
      </c>
      <c r="F48" s="39" t="inlineStr">
        <is>
          <t>Charcoal</t>
        </is>
      </c>
      <c r="G48" s="73" t="n">
        <v>99.98999999999999</v>
      </c>
      <c r="H48" s="39" t="inlineStr">
        <is>
          <t>catalog price (CAD), 2026-10-14</t>
        </is>
      </c>
      <c r="I48" s="74" t="n">
        <v>89.98999999999999</v>
      </c>
      <c r="J48" s="75" t="inlineStr">
        <is>
          <t>2026-03-30</t>
        </is>
      </c>
      <c r="K48" s="40" t="n">
        <v>29.9</v>
      </c>
      <c r="L48" s="76" t="n">
        <v>0.3322591399044338</v>
      </c>
      <c r="M48" s="77" t="n">
        <v>4</v>
      </c>
      <c r="N48" s="39" t="inlineStr">
        <is>
          <t>Active</t>
        </is>
      </c>
      <c r="O48" s="39" t="n"/>
      <c r="P48" s="78" t="n">
        <v>4.4</v>
      </c>
      <c r="Q48" s="77" t="n">
        <v>3337</v>
      </c>
      <c r="R48" s="77" t="n">
        <v>2074</v>
      </c>
      <c r="S48" s="77" t="n">
        <v>4</v>
      </c>
      <c r="T48" s="39" t="n"/>
    </row>
    <row r="49" ht="62" customHeight="1">
      <c r="A49" s="12">
        <f>_xlfn.IMAGE("https://m.media-amazon.com/images/I/81qE6QSwrML.jpg")</f>
        <v/>
      </c>
      <c r="B49" s="39" t="inlineStr">
        <is>
          <t>B0CQ311QX3</t>
        </is>
      </c>
      <c r="C49" s="39" t="inlineStr">
        <is>
          <t>BAMBOO-CALIFKING-NAVYBLUE-6PCS</t>
        </is>
      </c>
      <c r="D49" s="39" t="inlineStr">
        <is>
          <t>DECOLURE 100% Organic Viscose Derived from Bamboo Sheets Cal King Size 6pcs - Ultra Soft &amp; Luxuriously Cooling, 17" Deep Pocket, Double Stitching,Perfect for Hot Sleepers - King Bed Sheets (Navy Blue)</t>
        </is>
      </c>
      <c r="E49" s="39" t="inlineStr">
        <is>
          <t>California King</t>
        </is>
      </c>
      <c r="F49" s="39" t="inlineStr">
        <is>
          <t>Navy Blue</t>
        </is>
      </c>
      <c r="G49" s="73" t="n">
        <v>99.98999999999999</v>
      </c>
      <c r="H49" s="39" t="inlineStr">
        <is>
          <t>catalog price (CAD), 2026-10-14</t>
        </is>
      </c>
      <c r="I49" s="74" t="n">
        <v>79.98999999999999</v>
      </c>
      <c r="J49" s="75" t="inlineStr">
        <is>
          <t>2026-03-30</t>
        </is>
      </c>
      <c r="K49" s="40" t="n">
        <v>21.89</v>
      </c>
      <c r="L49" s="76" t="n">
        <v>0.2736592074009251</v>
      </c>
      <c r="M49" s="77" t="n">
        <v>4</v>
      </c>
      <c r="N49" s="39" t="inlineStr">
        <is>
          <t>Active</t>
        </is>
      </c>
      <c r="O49" s="39" t="n"/>
      <c r="P49" s="78" t="n">
        <v>4.4</v>
      </c>
      <c r="Q49" s="77" t="n">
        <v>3337</v>
      </c>
      <c r="R49" s="77" t="n">
        <v>2074</v>
      </c>
      <c r="S49" s="77" t="n">
        <v>4</v>
      </c>
      <c r="T49" s="39" t="n"/>
    </row>
    <row r="50" ht="62" customHeight="1">
      <c r="A50" s="12">
        <f>_xlfn.IMAGE("https://m.media-amazon.com/images/I/81KfdRGP46L.jpg")</f>
        <v/>
      </c>
      <c r="B50" s="39" t="inlineStr">
        <is>
          <t>B0CQ3199ZV</t>
        </is>
      </c>
      <c r="C50" s="39" t="inlineStr">
        <is>
          <t>BAMBOO-FULL-BURGUNDY-6PCS</t>
        </is>
      </c>
      <c r="D50" s="39" t="inlineStr">
        <is>
          <t>DECOLURE 100% Organic Viscose Derived from Bamboo Sheets Full Size 6pcs - Ultra Soft &amp; Luxuriously Cooling, 17" Deep Pocket, Double Stitching, Perfect for Hot Sleepers - Full Bed Sheets (Burgundy)</t>
        </is>
      </c>
      <c r="E50" s="39" t="inlineStr">
        <is>
          <t>Full</t>
        </is>
      </c>
      <c r="F50" s="39" t="inlineStr">
        <is>
          <t>Burgundy</t>
        </is>
      </c>
      <c r="G50" s="73" t="n">
        <v>79.98999999999999</v>
      </c>
      <c r="H50" s="39" t="inlineStr">
        <is>
          <t>catalog price (CAD), 2026-10-14</t>
        </is>
      </c>
      <c r="I50" s="74" t="n">
        <v>67.98999999999999</v>
      </c>
      <c r="J50" s="75" t="inlineStr">
        <is>
          <t>2026-03-30</t>
        </is>
      </c>
      <c r="K50" s="40" t="n">
        <v>18.75999999999999</v>
      </c>
      <c r="L50" s="76" t="n">
        <v>0.2759229298426238</v>
      </c>
      <c r="M50" s="77" t="n">
        <v>4</v>
      </c>
      <c r="N50" s="39" t="inlineStr">
        <is>
          <t>Inactive</t>
        </is>
      </c>
      <c r="O50" s="39" t="n"/>
      <c r="P50" s="78" t="n">
        <v>4.4</v>
      </c>
      <c r="Q50" s="77" t="n">
        <v>3337</v>
      </c>
      <c r="R50" s="77" t="n">
        <v>2072</v>
      </c>
      <c r="S50" s="77" t="n">
        <v>7</v>
      </c>
      <c r="T50" s="39" t="n"/>
    </row>
    <row r="51" ht="62" customHeight="1">
      <c r="A51" s="12">
        <f>_xlfn.IMAGE("https://m.media-amazon.com/images/I/81fJLSDJpFL.jpg")</f>
        <v/>
      </c>
      <c r="B51" s="39" t="inlineStr">
        <is>
          <t>B0CQ2ZYZJT</t>
        </is>
      </c>
      <c r="C51" s="39" t="inlineStr">
        <is>
          <t>BAMBOO-CALIFKING-WHITE-6PCS</t>
        </is>
      </c>
      <c r="D51" s="39" t="inlineStr">
        <is>
          <t>DECOLURE 100% Organic Viscose Derived from Bamboo Sheets Cal King Size 6pcs - Ultra Soft &amp; Luxuriously Cooling, 17" Deep Pocket, Double Stitching, Perfect for Hot Sleepers - King Bed Sheets (White)</t>
        </is>
      </c>
      <c r="E51" s="39" t="inlineStr">
        <is>
          <t>California King</t>
        </is>
      </c>
      <c r="F51" s="39" t="inlineStr">
        <is>
          <t>White</t>
        </is>
      </c>
      <c r="G51" s="73" t="n">
        <v>99.98999999999999</v>
      </c>
      <c r="H51" s="39" t="inlineStr">
        <is>
          <t>catalog price (CAD), 2026-10-14</t>
        </is>
      </c>
      <c r="I51" s="74" t="n">
        <v>84.98999999999999</v>
      </c>
      <c r="J51" s="75" t="inlineStr">
        <is>
          <t>2026-03-30</t>
        </is>
      </c>
      <c r="K51" s="40" t="n">
        <v>26.74999999999999</v>
      </c>
      <c r="L51" s="76" t="n">
        <v>0.3147429109306977</v>
      </c>
      <c r="M51" s="77" t="n">
        <v>3</v>
      </c>
      <c r="N51" s="39" t="inlineStr">
        <is>
          <t>Active</t>
        </is>
      </c>
      <c r="O51" s="39" t="n"/>
      <c r="P51" s="78" t="n">
        <v>4.4</v>
      </c>
      <c r="Q51" s="77" t="n">
        <v>3337</v>
      </c>
      <c r="R51" s="77" t="n">
        <v>2074</v>
      </c>
      <c r="S51" s="77" t="n">
        <v>4</v>
      </c>
      <c r="T51" s="39" t="n"/>
    </row>
    <row r="52" ht="62" customHeight="1">
      <c r="A52" s="12">
        <f>_xlfn.IMAGE("https://m.media-amazon.com/images/I/81qwLZXe5IL.jpg")</f>
        <v/>
      </c>
      <c r="B52" s="39" t="inlineStr">
        <is>
          <t>B0CQ32S4MW</t>
        </is>
      </c>
      <c r="C52" s="39" t="inlineStr">
        <is>
          <t>BAMBOO-FULL-LIGHT PINK-6PCS</t>
        </is>
      </c>
      <c r="D52" s="39" t="inlineStr">
        <is>
          <t>DECOLURE 100% Organic Viscose Derived from Bamboo Sheets Full Size 6pcs - Ultra Soft &amp; Luxuriously Cooling, 17" Deep Pocket, Double Stitching, Perfect for Hot Sleepers - Full Bed Sheets (Light Pink)</t>
        </is>
      </c>
      <c r="E52" s="39" t="inlineStr">
        <is>
          <t>Full</t>
        </is>
      </c>
      <c r="F52" s="39" t="inlineStr">
        <is>
          <t>Light Pink</t>
        </is>
      </c>
      <c r="G52" s="73" t="n">
        <v>79.98999999999999</v>
      </c>
      <c r="H52" s="39" t="inlineStr">
        <is>
          <t>catalog price (CAD), 2026-10-14</t>
        </is>
      </c>
      <c r="I52" s="74" t="n">
        <v>62.99</v>
      </c>
      <c r="J52" s="75" t="inlineStr">
        <is>
          <t>2026-03-30</t>
        </is>
      </c>
      <c r="K52" s="40" t="n">
        <v>16.91000000000001</v>
      </c>
      <c r="L52" s="76" t="n">
        <v>0.268455310366725</v>
      </c>
      <c r="M52" s="77" t="n">
        <v>3</v>
      </c>
      <c r="N52" s="39" t="inlineStr">
        <is>
          <t>Active</t>
        </is>
      </c>
      <c r="O52" s="39" t="n"/>
      <c r="P52" s="78" t="n">
        <v>4.4</v>
      </c>
      <c r="Q52" s="77" t="n">
        <v>3337</v>
      </c>
      <c r="R52" s="77" t="n">
        <v>2074</v>
      </c>
      <c r="S52" s="77" t="n">
        <v>4</v>
      </c>
      <c r="T52" s="39" t="n"/>
    </row>
    <row r="53" ht="62" customHeight="1">
      <c r="A53" s="12">
        <f>_xlfn.IMAGE("https://m.media-amazon.com/images/I/81PXZ9VB3EL.jpg")</f>
        <v/>
      </c>
      <c r="B53" s="39" t="inlineStr">
        <is>
          <t>B0CQ31X78V</t>
        </is>
      </c>
      <c r="C53" s="39" t="inlineStr">
        <is>
          <t>BAMBOO-CALIFKING-CREME-6PCS</t>
        </is>
      </c>
      <c r="D53" s="39" t="inlineStr">
        <is>
          <t>DECOLURE 100% Organic Viscose Derived from Bamboo Sheets Cal King Size 6pcs - Ultra Soft &amp; Luxuriously Cooling, 17" Deep Pocket, Double Stitching, Perfect for Hot Sleepers - King Bed Sheets (Creme)</t>
        </is>
      </c>
      <c r="E53" s="39" t="inlineStr">
        <is>
          <t>California King</t>
        </is>
      </c>
      <c r="F53" s="39" t="inlineStr">
        <is>
          <t>Creme</t>
        </is>
      </c>
      <c r="G53" s="73" t="n">
        <v>99.98999999999999</v>
      </c>
      <c r="H53" s="39" t="inlineStr">
        <is>
          <t>catalog price (CAD), 2026-10-14</t>
        </is>
      </c>
      <c r="I53" s="74" t="n">
        <v>89.98999999999999</v>
      </c>
      <c r="J53" s="75" t="inlineStr">
        <is>
          <t>2026-03-30</t>
        </is>
      </c>
      <c r="K53" s="40" t="n">
        <v>29.71999999999999</v>
      </c>
      <c r="L53" s="76" t="n">
        <v>0.3302589176575175</v>
      </c>
      <c r="M53" s="77" t="n">
        <v>2</v>
      </c>
      <c r="N53" s="39" t="inlineStr">
        <is>
          <t>Active</t>
        </is>
      </c>
      <c r="O53" s="39" t="n"/>
      <c r="P53" s="78" t="n">
        <v>4.4</v>
      </c>
      <c r="Q53" s="77" t="n">
        <v>3337</v>
      </c>
      <c r="R53" s="77" t="n">
        <v>2074</v>
      </c>
      <c r="S53" s="77" t="n">
        <v>4</v>
      </c>
      <c r="T53" s="39" t="n"/>
    </row>
    <row r="54" ht="62" customHeight="1">
      <c r="A54" s="12">
        <f>_xlfn.IMAGE("https://m.media-amazon.com/images/I/81bS-hq76OL.jpg")</f>
        <v/>
      </c>
      <c r="B54" s="39" t="inlineStr">
        <is>
          <t>B0CQ316WG1</t>
        </is>
      </c>
      <c r="C54" s="39" t="inlineStr">
        <is>
          <t>BAMBOO-CALIFKING-MIDGREY-6PCS</t>
        </is>
      </c>
      <c r="D54" s="39" t="inlineStr">
        <is>
          <t>DECOLURE 100% Organic Viscose Derived from Bamboo Sheets Cal King Size 6pcs - Ultra Soft &amp; Luxuriously Cooling, 17" Deep Pocket, Double Stitching, Perfect for Hot Sleepers - King Bed Sheets (Midgrey)</t>
        </is>
      </c>
      <c r="E54" s="39" t="inlineStr">
        <is>
          <t>California King</t>
        </is>
      </c>
      <c r="F54" s="39" t="inlineStr">
        <is>
          <t>Midgrey</t>
        </is>
      </c>
      <c r="G54" s="73" t="n">
        <v>99.98999999999999</v>
      </c>
      <c r="H54" s="39" t="inlineStr">
        <is>
          <t>catalog price (CAD), 2026-10-14</t>
        </is>
      </c>
      <c r="I54" s="74" t="n">
        <v>79.19</v>
      </c>
      <c r="J54" s="75" t="inlineStr">
        <is>
          <t>2026-03-30</t>
        </is>
      </c>
      <c r="K54" s="40" t="n">
        <v>22.09</v>
      </c>
      <c r="L54" s="76" t="n">
        <v>0.2789493622932189</v>
      </c>
      <c r="M54" s="77" t="n">
        <v>2</v>
      </c>
      <c r="N54" s="39" t="inlineStr">
        <is>
          <t>Active</t>
        </is>
      </c>
      <c r="O54" s="39" t="n"/>
      <c r="P54" s="78" t="n">
        <v>4.4</v>
      </c>
      <c r="Q54" s="77" t="n">
        <v>3337</v>
      </c>
      <c r="R54" s="77" t="n">
        <v>2074</v>
      </c>
      <c r="S54" s="77" t="n">
        <v>4</v>
      </c>
      <c r="T54" s="39" t="n"/>
    </row>
    <row r="55" ht="62" customHeight="1">
      <c r="A55" s="12">
        <f>_xlfn.IMAGE("https://m.media-amazon.com/images/I/813aFqxnKrL.jpg")</f>
        <v/>
      </c>
      <c r="B55" s="39" t="inlineStr">
        <is>
          <t>B0CQ32JY2T</t>
        </is>
      </c>
      <c r="C55" s="39" t="inlineStr">
        <is>
          <t>BAMBOO-CALIFKING-OLIVE-6PCS</t>
        </is>
      </c>
      <c r="D55" s="39" t="inlineStr">
        <is>
          <t>DECOLURE 100% Organic Viscose Derived from Bamboo Sheets Cal King Size 6pcs - Ultra Soft &amp; Luxuriously Cooling, 17" Deep Pocket, Double Stitching, Perfect for Hot Sleepers - King Bed Sheets (Olive)</t>
        </is>
      </c>
      <c r="E55" s="39" t="inlineStr">
        <is>
          <t>California King</t>
        </is>
      </c>
      <c r="F55" s="39" t="inlineStr">
        <is>
          <t>Olive</t>
        </is>
      </c>
      <c r="G55" s="73" t="n">
        <v>99.98999999999999</v>
      </c>
      <c r="H55" s="39" t="inlineStr">
        <is>
          <t>catalog price (CAD), 2026-10-14</t>
        </is>
      </c>
      <c r="I55" s="74" t="n">
        <v>80.98999999999999</v>
      </c>
      <c r="J55" s="75" t="inlineStr">
        <is>
          <t>2026-03-30</t>
        </is>
      </c>
      <c r="K55" s="40" t="n">
        <v>22.51999999999999</v>
      </c>
      <c r="L55" s="76" t="n">
        <v>0.2780590196320532</v>
      </c>
      <c r="M55" s="77" t="n">
        <v>2</v>
      </c>
      <c r="N55" s="39" t="inlineStr">
        <is>
          <t>Active</t>
        </is>
      </c>
      <c r="O55" s="39" t="n"/>
      <c r="P55" s="78" t="n">
        <v>4.4</v>
      </c>
      <c r="Q55" s="77" t="n">
        <v>3337</v>
      </c>
      <c r="R55" s="77" t="n">
        <v>2074</v>
      </c>
      <c r="S55" s="77" t="n">
        <v>4</v>
      </c>
      <c r="T55" s="39" t="n"/>
    </row>
    <row r="56" ht="62" customHeight="1">
      <c r="A56" s="12">
        <f>_xlfn.IMAGE("https://m.media-amazon.com/images/I/81qX1TwGR6L.jpg")</f>
        <v/>
      </c>
      <c r="B56" s="39" t="inlineStr">
        <is>
          <t>B0CQ31LJ3J</t>
        </is>
      </c>
      <c r="C56" s="39" t="inlineStr">
        <is>
          <t>BAMBOO-CALIFKING-SAGE GREEN-6PCS</t>
        </is>
      </c>
      <c r="D56" s="39" t="inlineStr">
        <is>
          <t>DECOLURE 100% Organic Viscose Derived from Bamboo Sheets Cal King Size 6pcs - Ultra Soft &amp; Luxuriously Cooling, 17" Deep Pocket,Double Stitching,Perfect for Hot Sleepers - King Bed Sheets (Sage Green)</t>
        </is>
      </c>
      <c r="E56" s="39" t="inlineStr">
        <is>
          <t>California King</t>
        </is>
      </c>
      <c r="F56" s="39" t="inlineStr">
        <is>
          <t>Sage Green</t>
        </is>
      </c>
      <c r="G56" s="73" t="n">
        <v>99.98999999999999</v>
      </c>
      <c r="H56" s="39" t="inlineStr">
        <is>
          <t>catalog price (CAD), 2026-10-14</t>
        </is>
      </c>
      <c r="I56" s="74" t="n">
        <v>80.98999999999999</v>
      </c>
      <c r="J56" s="75" t="inlineStr">
        <is>
          <t>2026-03-30</t>
        </is>
      </c>
      <c r="K56" s="40" t="n">
        <v>23.80999999999999</v>
      </c>
      <c r="L56" s="76" t="n">
        <v>0.2939869119644399</v>
      </c>
      <c r="M56" s="77" t="n">
        <v>2</v>
      </c>
      <c r="N56" s="39" t="inlineStr">
        <is>
          <t>Active</t>
        </is>
      </c>
      <c r="O56" s="39" t="n"/>
      <c r="P56" s="78" t="n">
        <v>4.4</v>
      </c>
      <c r="Q56" s="77" t="n">
        <v>3337</v>
      </c>
      <c r="R56" s="77" t="n">
        <v>2074</v>
      </c>
      <c r="S56" s="77" t="n">
        <v>4</v>
      </c>
      <c r="T56" s="39" t="n"/>
    </row>
    <row r="57" ht="62" customHeight="1">
      <c r="A57" s="12">
        <f>_xlfn.IMAGE("https://m.media-amazon.com/images/I/81C7Qfwu1WL.jpg")</f>
        <v/>
      </c>
      <c r="B57" s="39" t="inlineStr">
        <is>
          <t>B0CQ328B82</t>
        </is>
      </c>
      <c r="C57" s="39" t="inlineStr">
        <is>
          <t>BAMBOO-FULL-GREY-6PCS</t>
        </is>
      </c>
      <c r="D57" s="39" t="inlineStr">
        <is>
          <t>DECOLURE 100% Organic Viscose Derived from Bamboo Sheets Full Size 6pcs - Ultra Soft &amp; Luxuriously Cooling, 17" Deep Pocket, Double Stitching, Perfect for Hot Sleepers - Full Bed Sheets (Grey)</t>
        </is>
      </c>
      <c r="E57" s="39" t="inlineStr">
        <is>
          <t>Full</t>
        </is>
      </c>
      <c r="F57" s="39" t="inlineStr">
        <is>
          <t>Grey</t>
        </is>
      </c>
      <c r="G57" s="73" t="n">
        <v>79.98999999999999</v>
      </c>
      <c r="H57" s="39" t="inlineStr">
        <is>
          <t>catalog price (CAD), 2026-10-14</t>
        </is>
      </c>
      <c r="I57" s="74" t="n">
        <v>76.11</v>
      </c>
      <c r="J57" s="75" t="inlineStr">
        <is>
          <t>2026-03-30</t>
        </is>
      </c>
      <c r="K57" s="40" t="n">
        <v>21.18</v>
      </c>
      <c r="L57" s="76" t="n">
        <v>0.278281434765471</v>
      </c>
      <c r="M57" s="77" t="n">
        <v>2</v>
      </c>
      <c r="N57" s="39" t="inlineStr">
        <is>
          <t>Active</t>
        </is>
      </c>
      <c r="O57" s="39" t="n"/>
      <c r="P57" s="78" t="n">
        <v>4.4</v>
      </c>
      <c r="Q57" s="77" t="n">
        <v>3337</v>
      </c>
      <c r="R57" s="77" t="n">
        <v>2074</v>
      </c>
      <c r="S57" s="77" t="n">
        <v>8</v>
      </c>
      <c r="T57" s="39" t="n"/>
    </row>
    <row r="58" ht="62" customHeight="1">
      <c r="A58" s="12">
        <f>_xlfn.IMAGE("https://m.media-amazon.com/images/I/81aP4bechFL.jpg")</f>
        <v/>
      </c>
      <c r="B58" s="39" t="inlineStr">
        <is>
          <t>B0CQ32JNVG</t>
        </is>
      </c>
      <c r="C58" s="39" t="inlineStr">
        <is>
          <t>BAMBOO-FULL-LIGHTBLUE-6PCS</t>
        </is>
      </c>
      <c r="D58" s="39" t="inlineStr">
        <is>
          <t>DECOLURE 100% Organic Viscose Derived from Bamboo Sheets Full Size 6pcs - Ultra Soft &amp; Luxuriously Cooling, 17" Deep Pocket, Double Stitching, Perfect for Hot Sleepers - Full Bed Sheets (Light Blue)</t>
        </is>
      </c>
      <c r="E58" s="39" t="inlineStr">
        <is>
          <t>Full</t>
        </is>
      </c>
      <c r="F58" s="39" t="inlineStr">
        <is>
          <t>Light Blue</t>
        </is>
      </c>
      <c r="G58" s="73" t="n">
        <v>79.98999999999999</v>
      </c>
      <c r="H58" s="39" t="inlineStr">
        <is>
          <t>catalog price (CAD), 2026-10-14</t>
        </is>
      </c>
      <c r="I58" s="74" t="n">
        <v>63.99</v>
      </c>
      <c r="J58" s="75" t="inlineStr">
        <is>
          <t>2026-03-22</t>
        </is>
      </c>
      <c r="K58" s="40" t="n">
        <v>17.37</v>
      </c>
      <c r="L58" s="76" t="n">
        <v>0.2714486638537271</v>
      </c>
      <c r="M58" s="77" t="n">
        <v>2</v>
      </c>
      <c r="N58" s="39" t="inlineStr">
        <is>
          <t>Active</t>
        </is>
      </c>
      <c r="O58" s="39" t="n"/>
      <c r="P58" s="78" t="n">
        <v>4.4</v>
      </c>
      <c r="Q58" s="77" t="n">
        <v>3337</v>
      </c>
      <c r="R58" s="77" t="n">
        <v>2074</v>
      </c>
      <c r="S58" s="77" t="n">
        <v>8</v>
      </c>
      <c r="T58" s="39" t="n"/>
    </row>
    <row r="59" ht="62" customHeight="1">
      <c r="A59" s="12">
        <f>_xlfn.IMAGE("https://m.media-amazon.com/images/I/81JHZOIZl1L.jpg")</f>
        <v/>
      </c>
      <c r="B59" s="39" t="inlineStr">
        <is>
          <t>B0CQ311KCT</t>
        </is>
      </c>
      <c r="C59" s="39" t="inlineStr">
        <is>
          <t>BAMBOO-FULL-TAUPE-6PCS</t>
        </is>
      </c>
      <c r="D59" s="39" t="inlineStr">
        <is>
          <t>DECOLURE 100% Organic Viscose Derived from Bamboo Sheets Full Size 6pcs - Ultra Soft &amp; Luxuriously Cooling, 17" Deep Pocket, Double Stitching, Perfect for Hot Sleepers - Full Bed Sheets (Taupe)</t>
        </is>
      </c>
      <c r="E59" s="39" t="inlineStr">
        <is>
          <t>Full</t>
        </is>
      </c>
      <c r="F59" s="39" t="inlineStr">
        <is>
          <t>Taupe</t>
        </is>
      </c>
      <c r="G59" s="73" t="n">
        <v>79.98999999999999</v>
      </c>
      <c r="H59" s="39" t="inlineStr">
        <is>
          <t>catalog price (CAD), 2026-10-14</t>
        </is>
      </c>
      <c r="I59" s="74" t="n">
        <v>79.98999999999999</v>
      </c>
      <c r="J59" s="75" t="inlineStr">
        <is>
          <t>2026-03-18</t>
        </is>
      </c>
      <c r="K59" s="40" t="n">
        <v>29.97</v>
      </c>
      <c r="L59" s="76" t="n">
        <v>0.3746718339792474</v>
      </c>
      <c r="M59" s="77" t="n">
        <v>2</v>
      </c>
      <c r="N59" s="39" t="inlineStr">
        <is>
          <t>Active</t>
        </is>
      </c>
      <c r="O59" s="39" t="n"/>
      <c r="P59" s="78" t="n">
        <v>4.4</v>
      </c>
      <c r="Q59" s="77" t="n">
        <v>3337</v>
      </c>
      <c r="R59" s="77" t="n">
        <v>2074</v>
      </c>
      <c r="S59" s="77" t="n">
        <v>7</v>
      </c>
      <c r="T59" s="39" t="n"/>
    </row>
    <row r="60" ht="62" customHeight="1">
      <c r="A60" s="12">
        <f>_xlfn.IMAGE("https://m.media-amazon.com/images/I/81RH5ZSH8mL.jpg")</f>
        <v/>
      </c>
      <c r="B60" s="39" t="inlineStr">
        <is>
          <t>B0CQ32QQ47</t>
        </is>
      </c>
      <c r="C60" s="39" t="inlineStr">
        <is>
          <t>BAMBOO-TWIN-TAUPE-6PCS</t>
        </is>
      </c>
      <c r="D60" s="39" t="inlineStr">
        <is>
          <t>DECOLURE 100% Organic Viscose Derived from Bamboo Sheets Twin Size 4pcs - Ultra Soft &amp; Luxuriously Cooling, 17" Deep Pocket, Double Stitching, Perfect for Hot Sleepers - Twin Bed Sheets (Taupe)</t>
        </is>
      </c>
      <c r="E60" s="39" t="inlineStr">
        <is>
          <t>Twin</t>
        </is>
      </c>
      <c r="F60" s="39" t="inlineStr">
        <is>
          <t>Taupe</t>
        </is>
      </c>
      <c r="G60" s="73" t="n">
        <v>79.98999999999999</v>
      </c>
      <c r="H60" s="39" t="inlineStr">
        <is>
          <t>catalog price (CAD), 2026-10-14</t>
        </is>
      </c>
      <c r="I60" s="74" t="n">
        <v>50.99</v>
      </c>
      <c r="J60" s="75" t="inlineStr">
        <is>
          <t>2026-03-30</t>
        </is>
      </c>
      <c r="K60" s="40" t="n">
        <v>12.78</v>
      </c>
      <c r="L60" s="76" t="n">
        <v>0.2506373798784076</v>
      </c>
      <c r="M60" s="77" t="n">
        <v>2</v>
      </c>
      <c r="N60" s="39" t="inlineStr">
        <is>
          <t>Active</t>
        </is>
      </c>
      <c r="O60" s="39" t="n"/>
      <c r="P60" s="78" t="n">
        <v>4.4</v>
      </c>
      <c r="Q60" s="77" t="n">
        <v>3337</v>
      </c>
      <c r="R60" s="77" t="n">
        <v>2074</v>
      </c>
      <c r="S60" s="77" t="n">
        <v>7</v>
      </c>
      <c r="T60" s="39" t="n"/>
    </row>
    <row r="61" ht="62" customHeight="1">
      <c r="A61" s="12">
        <f>_xlfn.IMAGE("https://m.media-amazon.com/images/I/81KfdRGP46L.jpg")</f>
        <v/>
      </c>
      <c r="B61" s="39" t="inlineStr">
        <is>
          <t>B0CQ33QVZK</t>
        </is>
      </c>
      <c r="C61" s="39" t="inlineStr">
        <is>
          <t>BAMBOO-CALIFKING-BURGUNDY-6PCS</t>
        </is>
      </c>
      <c r="D61" s="39" t="inlineStr">
        <is>
          <t>DECOLURE 100% Organic Viscose Derived from Bamboo Sheets Cal King Size 6pcs - Ultra Soft &amp; Luxuriously Cooling, 17" Deep Pocket, Double Stitching, Perfect for Hot Sleepers - King Bed Sheets (Burgundy)</t>
        </is>
      </c>
      <c r="E61" s="39" t="inlineStr">
        <is>
          <t>California King</t>
        </is>
      </c>
      <c r="F61" s="39" t="inlineStr">
        <is>
          <t>Burgundy</t>
        </is>
      </c>
      <c r="G61" s="73" t="n">
        <v>99.98999999999999</v>
      </c>
      <c r="H61" s="39" t="inlineStr">
        <is>
          <t>catalog price (CAD), 2026-10-14</t>
        </is>
      </c>
      <c r="I61" s="74" t="n">
        <v>80.98999999999999</v>
      </c>
      <c r="J61" s="75" t="inlineStr">
        <is>
          <t>2026-03-30</t>
        </is>
      </c>
      <c r="K61" s="40" t="n">
        <v>22.81999999999999</v>
      </c>
      <c r="L61" s="76" t="n">
        <v>0.2817631806395851</v>
      </c>
      <c r="M61" s="77" t="n">
        <v>1</v>
      </c>
      <c r="N61" s="39" t="inlineStr">
        <is>
          <t>Active</t>
        </is>
      </c>
      <c r="O61" s="39" t="n"/>
      <c r="P61" s="78" t="n">
        <v>4.4</v>
      </c>
      <c r="Q61" s="77" t="n">
        <v>3337</v>
      </c>
      <c r="R61" s="77" t="n">
        <v>2074</v>
      </c>
      <c r="S61" s="77" t="n">
        <v>4</v>
      </c>
      <c r="T61" s="39" t="n"/>
    </row>
    <row r="62" ht="62" customHeight="1">
      <c r="A62" s="12">
        <f>_xlfn.IMAGE("https://m.media-amazon.com/images/I/81MRRHk3q4L.jpg")</f>
        <v/>
      </c>
      <c r="B62" s="39" t="inlineStr">
        <is>
          <t>B0CQ31L3V7</t>
        </is>
      </c>
      <c r="C62" s="39" t="inlineStr">
        <is>
          <t>BAMBOO-CALIFKING-LIGHTBLUE-6PCS</t>
        </is>
      </c>
      <c r="D62" s="39" t="inlineStr">
        <is>
          <t>DECOLURE 100% Organic Viscose Derived from Bamboo Sheets Cal King Size 6pcs - Ultra Soft &amp; Luxuriously Cooling, 17" Deep Pocket,Double Stitching,Perfect for Hot Sleepers - King Bed Sheets (Light Blue)</t>
        </is>
      </c>
      <c r="E62" s="39" t="inlineStr">
        <is>
          <t>California King</t>
        </is>
      </c>
      <c r="F62" s="39" t="inlineStr">
        <is>
          <t>Light Blue</t>
        </is>
      </c>
      <c r="G62" s="73" t="n">
        <v>99.98999999999999</v>
      </c>
      <c r="H62" s="39" t="inlineStr">
        <is>
          <t>catalog price (CAD), 2026-10-14</t>
        </is>
      </c>
      <c r="I62" s="74" t="n">
        <v>89.98999999999999</v>
      </c>
      <c r="J62" s="75" t="inlineStr">
        <is>
          <t>2026-03-30</t>
        </is>
      </c>
      <c r="K62" s="40" t="n">
        <v>30.57999999999999</v>
      </c>
      <c r="L62" s="76" t="n">
        <v>0.3398155350594509</v>
      </c>
      <c r="M62" s="77" t="n">
        <v>1</v>
      </c>
      <c r="N62" s="39" t="inlineStr">
        <is>
          <t>Active</t>
        </is>
      </c>
      <c r="O62" s="39" t="n"/>
      <c r="P62" s="78" t="n">
        <v>4.4</v>
      </c>
      <c r="Q62" s="77" t="n">
        <v>3337</v>
      </c>
      <c r="R62" s="77" t="n">
        <v>2074</v>
      </c>
      <c r="S62" s="77" t="n">
        <v>4</v>
      </c>
      <c r="T62" s="39" t="n"/>
    </row>
    <row r="63" ht="62" customHeight="1">
      <c r="A63" s="12">
        <f>_xlfn.IMAGE("https://m.media-amazon.com/images/I/81I312usunL.jpg")</f>
        <v/>
      </c>
      <c r="B63" s="39" t="inlineStr">
        <is>
          <t>B0CQ31X7S5</t>
        </is>
      </c>
      <c r="C63" s="39" t="inlineStr">
        <is>
          <t>BAMBOO-CALIFKING-LIGHTGREY-6PCS</t>
        </is>
      </c>
      <c r="D63" s="39" t="inlineStr">
        <is>
          <t>DECOLURE 100% Organic Viscose Derived from Bamboo Sheets Cal King Size 6pcs - Ultra Soft &amp; Luxuriously Cooling, 17" Deep Pocket,Double Stitching,Perfect for Hot Sleepers - King Bed Sheets (Light Grey)</t>
        </is>
      </c>
      <c r="E63" s="39" t="inlineStr">
        <is>
          <t>California King</t>
        </is>
      </c>
      <c r="F63" s="39" t="inlineStr">
        <is>
          <t>Light Grey</t>
        </is>
      </c>
      <c r="G63" s="73" t="n">
        <v>99.98999999999999</v>
      </c>
      <c r="H63" s="39" t="inlineStr">
        <is>
          <t>catalog price (CAD), 2026-10-14</t>
        </is>
      </c>
      <c r="I63" s="74" t="n">
        <v>99.98999999999999</v>
      </c>
      <c r="J63" s="75" t="inlineStr">
        <is>
          <t>2026-03-30</t>
        </is>
      </c>
      <c r="K63" s="40" t="n">
        <v>38.57999999999999</v>
      </c>
      <c r="L63" s="76" t="n">
        <v>0.3858385838583858</v>
      </c>
      <c r="M63" s="77" t="n">
        <v>1</v>
      </c>
      <c r="N63" s="39" t="inlineStr">
        <is>
          <t>Active</t>
        </is>
      </c>
      <c r="O63" s="39" t="n"/>
      <c r="P63" s="78" t="n">
        <v>4.4</v>
      </c>
      <c r="Q63" s="77" t="n">
        <v>3337</v>
      </c>
      <c r="R63" s="77" t="n">
        <v>2074</v>
      </c>
      <c r="S63" s="77" t="n">
        <v>4</v>
      </c>
      <c r="T63" s="39" t="n"/>
    </row>
    <row r="64" ht="62" customHeight="1">
      <c r="A64" s="12">
        <f>_xlfn.IMAGE("https://m.media-amazon.com/images/I/81kehc99ZjL.jpg")</f>
        <v/>
      </c>
      <c r="B64" s="39" t="inlineStr">
        <is>
          <t>B0CQ32CNNX</t>
        </is>
      </c>
      <c r="C64" s="39" t="inlineStr">
        <is>
          <t>BAMBOO-CALIFKING-PURPLE-6PCS</t>
        </is>
      </c>
      <c r="D64" s="39" t="inlineStr">
        <is>
          <t>DECOLURE 100% Organic Viscose Derived from Bamboo Sheets Cal King Size 6pcs - Ultra Soft &amp; Luxuriously Cooling, 17" Deep Pocket, Double Stitching, Perfect for Hot Sleepers - King Bed Sheets (Purple)</t>
        </is>
      </c>
      <c r="E64" s="39" t="inlineStr">
        <is>
          <t>California King</t>
        </is>
      </c>
      <c r="F64" s="39" t="inlineStr">
        <is>
          <t>Purple</t>
        </is>
      </c>
      <c r="G64" s="40" t="n"/>
      <c r="H64" s="39" t="n"/>
      <c r="I64" s="74" t="n">
        <v>72.89</v>
      </c>
      <c r="J64" s="75" t="inlineStr">
        <is>
          <t>2026-03-30</t>
        </is>
      </c>
      <c r="K64" s="40" t="n">
        <v>15.64</v>
      </c>
      <c r="L64" s="76" t="n">
        <v>0.2145698998490877</v>
      </c>
      <c r="M64" s="77" t="n">
        <v>1</v>
      </c>
      <c r="N64" s="79" t="inlineStr">
        <is>
          <t>Not buyable on Amazon 2026-10-14: page redirects to B0CQ31X3X5 (Full Purple) - FBA stock 0 since 2026-09-22, 12 inbound (deal records 2026-10-14)</t>
        </is>
      </c>
      <c r="O64" s="39" t="n"/>
      <c r="P64" s="78" t="n"/>
      <c r="Q64" s="77" t="n"/>
      <c r="R64" s="77" t="n"/>
      <c r="S64" s="77" t="n"/>
      <c r="T64" s="39" t="n"/>
    </row>
    <row r="65" ht="62" customHeight="1">
      <c r="A65" s="12">
        <f>_xlfn.IMAGE("https://m.media-amazon.com/images/I/81JHZOIZl1L.jpg")</f>
        <v/>
      </c>
      <c r="B65" s="39" t="inlineStr">
        <is>
          <t>B0CQ328DZM</t>
        </is>
      </c>
      <c r="C65" s="39" t="inlineStr">
        <is>
          <t>BAMBOO-CALIFKING-TAUPE-6PCS</t>
        </is>
      </c>
      <c r="D65" s="39" t="inlineStr">
        <is>
          <t>DECOLURE 100% Organic Viscose Derived from Bamboo Sheets Cal King Size 6pcs - Ultra Soft &amp; Luxuriously Cooling, 17" Deep Pocket, Double Stitching, Perfect for Hot Sleepers - King Bed Sheets (Taupe)</t>
        </is>
      </c>
      <c r="E65" s="39" t="inlineStr">
        <is>
          <t>California King</t>
        </is>
      </c>
      <c r="F65" s="39" t="inlineStr">
        <is>
          <t>Taupe</t>
        </is>
      </c>
      <c r="G65" s="73" t="n">
        <v>99.98999999999999</v>
      </c>
      <c r="H65" s="39" t="inlineStr">
        <is>
          <t>catalog price (CAD), 2026-10-14</t>
        </is>
      </c>
      <c r="I65" s="74" t="n">
        <v>99.98999999999999</v>
      </c>
      <c r="J65" s="75" t="inlineStr">
        <is>
          <t>2026-03-30</t>
        </is>
      </c>
      <c r="K65" s="40" t="n">
        <v>38.48999999999999</v>
      </c>
      <c r="L65" s="76" t="n">
        <v>0.3849384938493848</v>
      </c>
      <c r="M65" s="77" t="n">
        <v>1</v>
      </c>
      <c r="N65" s="39" t="inlineStr">
        <is>
          <t>Active</t>
        </is>
      </c>
      <c r="O65" s="39" t="n"/>
      <c r="P65" s="78" t="n">
        <v>4.4</v>
      </c>
      <c r="Q65" s="77" t="n">
        <v>3337</v>
      </c>
      <c r="R65" s="77" t="n">
        <v>2074</v>
      </c>
      <c r="S65" s="77" t="n">
        <v>4</v>
      </c>
      <c r="T65" s="39" t="n"/>
    </row>
    <row r="66" ht="62" customHeight="1">
      <c r="A66" s="12">
        <f>_xlfn.IMAGE("https://m.media-amazon.com/images/I/810i1yrrNKL.jpg")</f>
        <v/>
      </c>
      <c r="B66" s="39" t="inlineStr">
        <is>
          <t>B0CQ32VM8N</t>
        </is>
      </c>
      <c r="C66" s="39" t="inlineStr">
        <is>
          <t>BAMBOO-FULL-LIGHTGREY-6PCS</t>
        </is>
      </c>
      <c r="D66" s="39" t="inlineStr">
        <is>
          <t>DECOLURE 100% Organic Viscose Derived from Bamboo Sheets Full Size 6pcs - Ultra Soft &amp; Luxuriously Cooling, 17" Deep Pocket, Double Stitching, Perfect for Hot Sleepers - Full Bed Sheets (Light Grey)</t>
        </is>
      </c>
      <c r="E66" s="39" t="inlineStr">
        <is>
          <t>Full</t>
        </is>
      </c>
      <c r="F66" s="39" t="inlineStr">
        <is>
          <t>Light Grey</t>
        </is>
      </c>
      <c r="G66" s="73" t="n">
        <v>79.98999999999999</v>
      </c>
      <c r="H66" s="39" t="inlineStr">
        <is>
          <t>catalog price (CAD), 2026-10-14</t>
        </is>
      </c>
      <c r="I66" s="74" t="n">
        <v>62.99</v>
      </c>
      <c r="J66" s="75" t="inlineStr">
        <is>
          <t>2026-03-30</t>
        </is>
      </c>
      <c r="K66" s="40" t="n">
        <v>16.90000000000001</v>
      </c>
      <c r="L66" s="76" t="n">
        <v>0.2682965550087316</v>
      </c>
      <c r="M66" s="77" t="n">
        <v>1</v>
      </c>
      <c r="N66" s="39" t="inlineStr">
        <is>
          <t>Active</t>
        </is>
      </c>
      <c r="O66" s="39" t="n"/>
      <c r="P66" s="78" t="n">
        <v>4.4</v>
      </c>
      <c r="Q66" s="77" t="n">
        <v>3337</v>
      </c>
      <c r="R66" s="77" t="n">
        <v>2074</v>
      </c>
      <c r="S66" s="77" t="n">
        <v>2</v>
      </c>
      <c r="T66" s="39" t="n"/>
    </row>
    <row r="67" ht="62" customHeight="1">
      <c r="A67" s="12">
        <f>_xlfn.IMAGE("https://m.media-amazon.com/images/I/81qE6QSwrML.jpg")</f>
        <v/>
      </c>
      <c r="B67" s="39" t="inlineStr">
        <is>
          <t>B0CQ2ZSDMN</t>
        </is>
      </c>
      <c r="C67" s="39" t="inlineStr">
        <is>
          <t>BAMBOO-FULL-NAVYBLUE-6PCS</t>
        </is>
      </c>
      <c r="D67" s="39" t="inlineStr">
        <is>
          <t>DECOLURE 100% Organic Viscose Derived from Bamboo Sheets Full Size 6pcs - Ultra Soft &amp; Luxuriously Cooling, 17" Deep Pocket, Double Stitching, Perfect for Hot Sleepers - Full Bed Sheets (Navy Blue)</t>
        </is>
      </c>
      <c r="E67" s="39" t="inlineStr">
        <is>
          <t>Full</t>
        </is>
      </c>
      <c r="F67" s="39" t="inlineStr">
        <is>
          <t>Navy Blue</t>
        </is>
      </c>
      <c r="G67" s="73" t="n">
        <v>79.98999999999999</v>
      </c>
      <c r="H67" s="39" t="inlineStr">
        <is>
          <t>catalog price (CAD), 2026-10-14</t>
        </is>
      </c>
      <c r="I67" s="74" t="n">
        <v>59.49</v>
      </c>
      <c r="J67" s="75" t="inlineStr">
        <is>
          <t>2026-03-30</t>
        </is>
      </c>
      <c r="K67" s="40" t="n">
        <v>13.66</v>
      </c>
      <c r="L67" s="76" t="n">
        <v>0.2296184232644142</v>
      </c>
      <c r="M67" s="77" t="n">
        <v>1</v>
      </c>
      <c r="N67" s="39" t="inlineStr">
        <is>
          <t>Active</t>
        </is>
      </c>
      <c r="O67" s="39" t="n"/>
      <c r="P67" s="78" t="n">
        <v>4.4</v>
      </c>
      <c r="Q67" s="77" t="n">
        <v>3337</v>
      </c>
      <c r="R67" s="77" t="n">
        <v>2074</v>
      </c>
      <c r="S67" s="77" t="n">
        <v>5</v>
      </c>
      <c r="T67" s="39" t="n"/>
    </row>
    <row r="68" ht="62" customHeight="1">
      <c r="A68" s="12">
        <f>_xlfn.IMAGE("https://m.media-amazon.com/images/I/81kehc99ZjL.jpg")</f>
        <v/>
      </c>
      <c r="B68" s="39" t="inlineStr">
        <is>
          <t>B0CQ31X3X5</t>
        </is>
      </c>
      <c r="C68" s="39" t="inlineStr">
        <is>
          <t>BAMBOO-FULL-PURPLE-6PCS</t>
        </is>
      </c>
      <c r="D68" s="39" t="inlineStr">
        <is>
          <t>DECOLURE 100% Organic Viscose Derived from Bamboo Sheets Full Size 6pcs - Ultra Soft &amp; Luxuriously Cooling, 17" Deep Pocket, Double Stitching, Perfect for Hot Sleepers - Full Bed Sheets (Purple)</t>
        </is>
      </c>
      <c r="E68" s="39" t="inlineStr">
        <is>
          <t>Full</t>
        </is>
      </c>
      <c r="F68" s="39" t="inlineStr">
        <is>
          <t>Purple</t>
        </is>
      </c>
      <c r="G68" s="73" t="n">
        <v>79.98999999999999</v>
      </c>
      <c r="H68" s="39" t="inlineStr">
        <is>
          <t>catalog price (CAD), 2026-10-14</t>
        </is>
      </c>
      <c r="I68" s="74" t="n">
        <v>62.99</v>
      </c>
      <c r="J68" s="75" t="inlineStr">
        <is>
          <t>2026-03-30</t>
        </is>
      </c>
      <c r="K68" s="40" t="n">
        <v>16.54000000000001</v>
      </c>
      <c r="L68" s="76" t="n">
        <v>0.2625813621209717</v>
      </c>
      <c r="M68" s="77" t="n">
        <v>1</v>
      </c>
      <c r="N68" s="39" t="inlineStr">
        <is>
          <t>Active</t>
        </is>
      </c>
      <c r="O68" s="39" t="n"/>
      <c r="P68" s="78" t="n">
        <v>4.4</v>
      </c>
      <c r="Q68" s="77" t="n">
        <v>3337</v>
      </c>
      <c r="R68" s="77" t="n">
        <v>2074</v>
      </c>
      <c r="S68" s="77" t="n">
        <v>7</v>
      </c>
      <c r="T68" s="39" t="n"/>
    </row>
    <row r="69" ht="62" customHeight="1">
      <c r="A69" s="12">
        <f>_xlfn.IMAGE("https://m.media-amazon.com/images/I/81C7Qfwu1WL.jpg")</f>
        <v/>
      </c>
      <c r="B69" s="39" t="inlineStr">
        <is>
          <t>B0CQ32S4ML</t>
        </is>
      </c>
      <c r="C69" s="39" t="inlineStr">
        <is>
          <t>BAMBOO-KING-GREY-6PCS</t>
        </is>
      </c>
      <c r="D69" s="39" t="inlineStr">
        <is>
          <t>DECOLURE 100% Organic Viscose Derived from Bamboo Sheets King Size 6pcs - Ultra Soft &amp; Luxuriously Cooling, 17" Deep Pocket, Double Stitching, Perfect for Hot Sleepers - King Bed Sheets (Grey)</t>
        </is>
      </c>
      <c r="E69" s="39" t="inlineStr">
        <is>
          <t>King</t>
        </is>
      </c>
      <c r="F69" s="39" t="inlineStr">
        <is>
          <t>Grey</t>
        </is>
      </c>
      <c r="G69" s="73" t="n">
        <v>99.98999999999999</v>
      </c>
      <c r="H69" s="39" t="inlineStr">
        <is>
          <t>catalog price (CAD), 2026-10-14</t>
        </is>
      </c>
      <c r="I69" s="74" t="n">
        <v>117.31</v>
      </c>
      <c r="J69" s="75" t="inlineStr">
        <is>
          <t>2026-03-30</t>
        </is>
      </c>
      <c r="K69" s="40" t="n">
        <v>48.19</v>
      </c>
      <c r="L69" s="76" t="n">
        <v>0.4107919188474981</v>
      </c>
      <c r="M69" s="77" t="n">
        <v>1</v>
      </c>
      <c r="N69" s="39" t="inlineStr">
        <is>
          <t>Active</t>
        </is>
      </c>
      <c r="O69" s="39" t="n"/>
      <c r="P69" s="78" t="n">
        <v>4.4</v>
      </c>
      <c r="Q69" s="77" t="n">
        <v>3337</v>
      </c>
      <c r="R69" s="77" t="n">
        <v>2074</v>
      </c>
      <c r="S69" s="77" t="n">
        <v>4</v>
      </c>
      <c r="T69" s="39" t="n"/>
    </row>
    <row r="70" ht="62" customHeight="1">
      <c r="A70" s="12">
        <f>_xlfn.IMAGE("https://m.media-amazon.com/images/I/81bS-hq76OL.jpg")</f>
        <v/>
      </c>
      <c r="B70" s="39" t="inlineStr">
        <is>
          <t>B0CQ31FR3Y</t>
        </is>
      </c>
      <c r="C70" s="39" t="inlineStr">
        <is>
          <t>BAMBOO-QUEEN-MIDGREY-6PCS</t>
        </is>
      </c>
      <c r="D70" s="39" t="inlineStr">
        <is>
          <t>DECOLURE 100% Organic Viscose Derived from Bamboo Sheets Queen Size 6pcs - Ultra Soft &amp; Luxuriously Cooling, 17" Deep Pocket, Double Stitching, Perfect for Hot Sleepers - Queen Bed Sheets (Midgrey)</t>
        </is>
      </c>
      <c r="E70" s="39" t="inlineStr">
        <is>
          <t>Queen</t>
        </is>
      </c>
      <c r="F70" s="39" t="inlineStr">
        <is>
          <t>Midgrey</t>
        </is>
      </c>
      <c r="G70" s="73" t="n">
        <v>99.98999999999999</v>
      </c>
      <c r="H70" s="39" t="inlineStr">
        <is>
          <t>catalog price (CAD), 2026-10-14</t>
        </is>
      </c>
      <c r="I70" s="74" t="n">
        <v>78.73</v>
      </c>
      <c r="J70" s="75" t="inlineStr">
        <is>
          <t>2026-03-30</t>
        </is>
      </c>
      <c r="K70" s="40" t="n">
        <v>26.21</v>
      </c>
      <c r="L70" s="76" t="n">
        <v>0.3329099453829544</v>
      </c>
      <c r="M70" s="77" t="n">
        <v>1</v>
      </c>
      <c r="N70" s="39" t="inlineStr">
        <is>
          <t>Active</t>
        </is>
      </c>
      <c r="O70" s="39" t="n"/>
      <c r="P70" s="78" t="n">
        <v>4.4</v>
      </c>
      <c r="Q70" s="77" t="n">
        <v>3337</v>
      </c>
      <c r="R70" s="77" t="n">
        <v>2072</v>
      </c>
      <c r="S70" s="77" t="n">
        <v>4</v>
      </c>
      <c r="T70" s="39" t="n"/>
    </row>
    <row r="71" ht="62" customHeight="1">
      <c r="A71" s="12">
        <f>_xlfn.IMAGE("https://m.media-amazon.com/images/I/81E1xMzOfhL.jpg")</f>
        <v/>
      </c>
      <c r="B71" s="39" t="inlineStr">
        <is>
          <t>B0CQ33P28L</t>
        </is>
      </c>
      <c r="C71" s="39" t="inlineStr">
        <is>
          <t>BAMBOO-TWIN-GREY-6PCS</t>
        </is>
      </c>
      <c r="D71" s="39" t="inlineStr">
        <is>
          <t>DECOLURE 100% Organic Viscose Derived from Bamboo Sheets Twin Size 4pcs - Ultra Soft &amp; Luxuriously Cooling, 17" Deep Pocket, Double Stitching, Perfect for Hot Sleepers - Twin Bed Sheets (Grey)</t>
        </is>
      </c>
      <c r="E71" s="39" t="inlineStr">
        <is>
          <t>Twin</t>
        </is>
      </c>
      <c r="F71" s="39" t="inlineStr">
        <is>
          <t>Grey</t>
        </is>
      </c>
      <c r="G71" s="73" t="n">
        <v>79.98</v>
      </c>
      <c r="H71" s="39" t="inlineStr">
        <is>
          <t>catalog price (CAD), 2026-10-14</t>
        </is>
      </c>
      <c r="I71" s="74" t="n">
        <v>71.98999999999999</v>
      </c>
      <c r="J71" s="75" t="inlineStr">
        <is>
          <t>2026-03-30</t>
        </is>
      </c>
      <c r="K71" s="40" t="n">
        <v>27.94</v>
      </c>
      <c r="L71" s="76" t="n">
        <v>0.3881094596471732</v>
      </c>
      <c r="M71" s="77" t="n">
        <v>1</v>
      </c>
      <c r="N71" s="39" t="inlineStr">
        <is>
          <t>Active</t>
        </is>
      </c>
      <c r="O71" s="39" t="n"/>
      <c r="P71" s="78" t="n">
        <v>4.4</v>
      </c>
      <c r="Q71" s="77" t="n">
        <v>3337</v>
      </c>
      <c r="R71" s="77" t="n">
        <v>2074</v>
      </c>
      <c r="S71" s="77" t="n">
        <v>7</v>
      </c>
      <c r="T71" s="39" t="n"/>
    </row>
    <row r="72" ht="62" customHeight="1">
      <c r="A72" s="12">
        <f>_xlfn.IMAGE("https://m.media-amazon.com/images/I/810-YAbkXoL.jpg")</f>
        <v/>
      </c>
      <c r="B72" s="39" t="inlineStr">
        <is>
          <t>B0CQ2YWCB3</t>
        </is>
      </c>
      <c r="C72" s="39" t="inlineStr">
        <is>
          <t>BAMBOO-TWIN-LIGHTOLIVE-6PCS</t>
        </is>
      </c>
      <c r="D72" s="39" t="inlineStr">
        <is>
          <t>DECOLURE 100% Organic Viscose Derived from Bamboo Sheets Twin Size 4pcs - Ultra Soft &amp; Luxuriously Cooling, 17" Deep Pocket, Double Stitching, Perfect for Hot Sleepers - Twin Bed Sheets (Light Olive)</t>
        </is>
      </c>
      <c r="E72" s="39" t="inlineStr">
        <is>
          <t>Twin</t>
        </is>
      </c>
      <c r="F72" s="39" t="inlineStr">
        <is>
          <t>Light Olive</t>
        </is>
      </c>
      <c r="G72" s="73" t="n">
        <v>79.98999999999999</v>
      </c>
      <c r="H72" s="39" t="inlineStr">
        <is>
          <t>catalog price (CAD), 2026-10-14</t>
        </is>
      </c>
      <c r="I72" s="74" t="n">
        <v>62.99</v>
      </c>
      <c r="J72" s="75" t="inlineStr">
        <is>
          <t>2026-03-30</t>
        </is>
      </c>
      <c r="K72" s="40" t="n">
        <v>20.56000000000001</v>
      </c>
      <c r="L72" s="76" t="n">
        <v>0.3264010160342912</v>
      </c>
      <c r="M72" s="77" t="n">
        <v>1</v>
      </c>
      <c r="N72" s="39" t="inlineStr">
        <is>
          <t>Active</t>
        </is>
      </c>
      <c r="O72" s="39" t="n"/>
      <c r="P72" s="78" t="n">
        <v>4.4</v>
      </c>
      <c r="Q72" s="77" t="n">
        <v>3337</v>
      </c>
      <c r="R72" s="77" t="n">
        <v>2074</v>
      </c>
      <c r="S72" s="77" t="n">
        <v>7</v>
      </c>
      <c r="T72" s="39" t="n"/>
    </row>
    <row r="73" ht="62" customHeight="1">
      <c r="A73" s="12">
        <f>_xlfn.IMAGE("https://m.media-amazon.com/images/I/81SvYgazSwL.jpg")</f>
        <v/>
      </c>
      <c r="B73" s="39" t="inlineStr">
        <is>
          <t>B0CQ31N5Q5</t>
        </is>
      </c>
      <c r="C73" s="39" t="inlineStr">
        <is>
          <t>BAMBOO-TWIN-NAVYBLUE-6PCS</t>
        </is>
      </c>
      <c r="D73" s="39" t="inlineStr">
        <is>
          <t>DECOLURE 100% Organic Viscose Derived from Bamboo Sheets Twin Size 4pcs - Ultra Soft &amp; Luxuriously Cooling, 17" Deep Pocket, Double Stitching, Perfect for Hot Sleepers - Twin Bed Sheets (Navy Blue)</t>
        </is>
      </c>
      <c r="E73" s="39" t="inlineStr">
        <is>
          <t>Twin</t>
        </is>
      </c>
      <c r="F73" s="39" t="inlineStr">
        <is>
          <t>Navy Blue</t>
        </is>
      </c>
      <c r="G73" s="73" t="n">
        <v>79.98999999999999</v>
      </c>
      <c r="H73" s="39" t="inlineStr">
        <is>
          <t>catalog price (CAD), 2026-10-14</t>
        </is>
      </c>
      <c r="I73" s="74" t="n">
        <v>74.93000000000001</v>
      </c>
      <c r="J73" s="75" t="inlineStr">
        <is>
          <t>2026-03-30</t>
        </is>
      </c>
      <c r="K73" s="40" t="n">
        <v>27.4</v>
      </c>
      <c r="L73" s="76" t="n">
        <v>0.365674629654344</v>
      </c>
      <c r="M73" s="77" t="n">
        <v>1</v>
      </c>
      <c r="N73" s="39" t="inlineStr">
        <is>
          <t>Active</t>
        </is>
      </c>
      <c r="O73" s="39" t="n"/>
      <c r="P73" s="78" t="n">
        <v>4.4</v>
      </c>
      <c r="Q73" s="77" t="n">
        <v>3337</v>
      </c>
      <c r="R73" s="77" t="n">
        <v>2074</v>
      </c>
      <c r="S73" s="77" t="n">
        <v>7</v>
      </c>
      <c r="T73" s="39" t="n"/>
    </row>
    <row r="74" ht="62" customHeight="1">
      <c r="A74" s="12">
        <f>_xlfn.IMAGE("https://m.media-amazon.com/images/I/81HVmR8NRpL.jpg")</f>
        <v/>
      </c>
      <c r="B74" s="39" t="inlineStr">
        <is>
          <t>B0CQ34D2QS</t>
        </is>
      </c>
      <c r="C74" s="39" t="inlineStr">
        <is>
          <t>BAMBOO-TWIN-WHITE-6PCS</t>
        </is>
      </c>
      <c r="D74" s="39" t="inlineStr">
        <is>
          <t>DECOLURE 100% Viscose Derived from Bamboo Sheets Twin Size - Luxury 4 Pc Naturally Cooling Sheets, Ultra Soft Bed Set - Deep 17" Pockets, Durable Double Stitching, Oeko Tex Standard (White)</t>
        </is>
      </c>
      <c r="E74" s="39" t="inlineStr">
        <is>
          <t>Twin</t>
        </is>
      </c>
      <c r="F74" s="39" t="inlineStr">
        <is>
          <t>White</t>
        </is>
      </c>
      <c r="G74" s="73" t="n">
        <v>79.98999999999999</v>
      </c>
      <c r="H74" s="39" t="inlineStr">
        <is>
          <t>catalog price (CAD), 2026-10-14</t>
        </is>
      </c>
      <c r="I74" s="74" t="n">
        <v>69.98999999999999</v>
      </c>
      <c r="J74" s="75" t="inlineStr">
        <is>
          <t>2026-03-30</t>
        </is>
      </c>
      <c r="K74" s="40" t="n">
        <v>29.35</v>
      </c>
      <c r="L74" s="76" t="n">
        <v>0.4193456208029718</v>
      </c>
      <c r="M74" s="77" t="n">
        <v>1</v>
      </c>
      <c r="N74" s="39" t="inlineStr">
        <is>
          <t>Active</t>
        </is>
      </c>
      <c r="O74" s="39" t="n"/>
      <c r="P74" s="78" t="n">
        <v>4.4</v>
      </c>
      <c r="Q74" s="77" t="n">
        <v>3337</v>
      </c>
      <c r="R74" s="77" t="n">
        <v>2074</v>
      </c>
      <c r="S74" s="77" t="n">
        <v>3</v>
      </c>
      <c r="T74" s="39" t="n"/>
    </row>
    <row r="75" ht="62" customHeight="1">
      <c r="A75" s="12">
        <f>_xlfn.IMAGE("https://m.media-amazon.com/images/I/817PHsMlA6L.jpg")</f>
        <v/>
      </c>
      <c r="B75" s="39" t="inlineStr">
        <is>
          <t>B0CQ31D5FM</t>
        </is>
      </c>
      <c r="C75" s="39" t="inlineStr">
        <is>
          <t>BAMBOO-CALIFKING-BLACK-6PCS</t>
        </is>
      </c>
      <c r="D75" s="39" t="inlineStr">
        <is>
          <t>DECOLURE 100% Organic Viscose Derived from Bamboo Sheets Cal King Size 6pcs - Ultra Soft &amp; Luxuriously Cooling, 17" Deep Pocket, Double Stitching, Perfect for Hot Sleepers - King Bed Sheets (Black)</t>
        </is>
      </c>
      <c r="E75" s="39" t="inlineStr">
        <is>
          <t>California King</t>
        </is>
      </c>
      <c r="F75" s="39" t="inlineStr">
        <is>
          <t>Black</t>
        </is>
      </c>
      <c r="G75" s="73" t="n">
        <v>99.98999999999999</v>
      </c>
      <c r="H75" s="39" t="inlineStr">
        <is>
          <t>catalog price (CAD), 2026-10-14</t>
        </is>
      </c>
      <c r="I75" s="74" t="n">
        <v>71.27</v>
      </c>
      <c r="J75" s="75" t="inlineStr">
        <is>
          <t>2026-03-30</t>
        </is>
      </c>
      <c r="K75" s="40" t="n">
        <v>13.9</v>
      </c>
      <c r="L75" s="76" t="n">
        <v>0.1950329732005051</v>
      </c>
      <c r="M75" s="77" t="n">
        <v>0</v>
      </c>
      <c r="N75" s="39" t="inlineStr">
        <is>
          <t>Active</t>
        </is>
      </c>
      <c r="O75" s="39" t="n"/>
      <c r="P75" s="78" t="n">
        <v>4.4</v>
      </c>
      <c r="Q75" s="77" t="n">
        <v>3337</v>
      </c>
      <c r="R75" s="77" t="n">
        <v>2072</v>
      </c>
      <c r="S75" s="77" t="n">
        <v>4</v>
      </c>
      <c r="T75" s="39" t="n"/>
    </row>
    <row r="76" ht="62" customHeight="1">
      <c r="A76" s="12">
        <f>_xlfn.IMAGE("https://m.media-amazon.com/images/I/81C7Qfwu1WL.jpg")</f>
        <v/>
      </c>
      <c r="B76" s="39" t="inlineStr">
        <is>
          <t>B0CQ33T9BL</t>
        </is>
      </c>
      <c r="C76" s="39" t="inlineStr">
        <is>
          <t>BAMBOO-CALIFKING-GREY-6PCS</t>
        </is>
      </c>
      <c r="D76" s="39" t="inlineStr">
        <is>
          <t>DECOLURE 100% Organic Viscose Derived from Bamboo Sheets Cal King Size 6pcs - Ultra Soft &amp; Luxuriously Cooling, 17" Deep Pocket, Double Stitching, Perfect for Hot Sleepers - King Bed Sheets (Grey)</t>
        </is>
      </c>
      <c r="E76" s="39" t="inlineStr">
        <is>
          <t>California King</t>
        </is>
      </c>
      <c r="F76" s="39" t="inlineStr">
        <is>
          <t>Grey</t>
        </is>
      </c>
      <c r="G76" s="73" t="n">
        <v>99.98999999999999</v>
      </c>
      <c r="H76" s="39" t="inlineStr">
        <is>
          <t>catalog price (CAD), 2026-10-14</t>
        </is>
      </c>
      <c r="I76" s="74" t="n">
        <v>80.98999999999999</v>
      </c>
      <c r="J76" s="75" t="inlineStr">
        <is>
          <t>2026-03-30</t>
        </is>
      </c>
      <c r="K76" s="40" t="n">
        <v>23.28999999999999</v>
      </c>
      <c r="L76" s="76" t="n">
        <v>0.2875663662180515</v>
      </c>
      <c r="M76" s="77" t="n">
        <v>0</v>
      </c>
      <c r="N76" s="39" t="inlineStr">
        <is>
          <t>Active</t>
        </is>
      </c>
      <c r="O76" s="39" t="n"/>
      <c r="P76" s="78" t="n">
        <v>4.4</v>
      </c>
      <c r="Q76" s="77" t="n">
        <v>3337</v>
      </c>
      <c r="R76" s="77" t="n">
        <v>2074</v>
      </c>
      <c r="S76" s="77" t="n">
        <v>4</v>
      </c>
      <c r="T76" s="39" t="n"/>
    </row>
    <row r="77" ht="62" customHeight="1">
      <c r="A77" s="12">
        <f>_xlfn.IMAGE("https://m.media-amazon.com/images/I/81vnFb6DYQL.jpg")</f>
        <v/>
      </c>
      <c r="B77" s="39" t="inlineStr">
        <is>
          <t>B0CQ31V52K</t>
        </is>
      </c>
      <c r="C77" s="39" t="inlineStr">
        <is>
          <t>BAMBOO-CALIFKING-LIGHTOLIVE-6PCS</t>
        </is>
      </c>
      <c r="D77" s="39" t="inlineStr">
        <is>
          <t>DECOLURE 100% Organic Viscose Derived from Bamboo Sheets Cal King Size 6pcs - Ultra Soft &amp; Luxuriously Cooling,17" Deep Pocket,Double Stitching,Perfect for Hot Sleepers - King Bed Sheets (Light Olive)</t>
        </is>
      </c>
      <c r="E77" s="39" t="inlineStr">
        <is>
          <t>California King</t>
        </is>
      </c>
      <c r="F77" s="39" t="inlineStr">
        <is>
          <t>Light Olive</t>
        </is>
      </c>
      <c r="G77" s="40" t="n"/>
      <c r="H77" s="39" t="n"/>
      <c r="I77" s="74" t="n">
        <v>80.98999999999999</v>
      </c>
      <c r="J77" s="75" t="inlineStr">
        <is>
          <t>2026-03-30</t>
        </is>
      </c>
      <c r="K77" s="40" t="n">
        <v>22.51999999999999</v>
      </c>
      <c r="L77" s="76" t="n">
        <v>0.2780590196320532</v>
      </c>
      <c r="M77" s="77" t="n">
        <v>0</v>
      </c>
      <c r="N77" s="39" t="inlineStr">
        <is>
          <t>Inactive</t>
        </is>
      </c>
      <c r="O77" s="39" t="n"/>
      <c r="P77" s="78" t="n"/>
      <c r="Q77" s="77" t="n"/>
      <c r="R77" s="77" t="n"/>
      <c r="S77" s="77" t="n"/>
      <c r="T77" s="39" t="n"/>
    </row>
    <row r="78" ht="62" customHeight="1">
      <c r="A78" s="12">
        <f>_xlfn.IMAGE("https://m.media-amazon.com/images/I/81qwLZXe5IL.jpg")</f>
        <v/>
      </c>
      <c r="B78" s="39" t="inlineStr">
        <is>
          <t>B0CQ2ZS83S</t>
        </is>
      </c>
      <c r="C78" s="39" t="inlineStr">
        <is>
          <t>BAMBOO-CALIFKING-LIGHT PINK-6PCS</t>
        </is>
      </c>
      <c r="D78" s="39" t="inlineStr">
        <is>
          <t>DECOLURE 100% Organic Viscose Derived from Bamboo Sheets Cal King Size 6pcs - Ultra Soft &amp; Luxuriously Cooling, 17" Deep Pocket,Double Stitching,Perfect for Hot Sleepers - King Bed Sheets (Light Pink)</t>
        </is>
      </c>
      <c r="E78" s="39" t="inlineStr">
        <is>
          <t>California King</t>
        </is>
      </c>
      <c r="F78" s="39" t="inlineStr">
        <is>
          <t>Light Pink</t>
        </is>
      </c>
      <c r="G78" s="73" t="n">
        <v>99.98999999999999</v>
      </c>
      <c r="H78" s="39" t="inlineStr">
        <is>
          <t>catalog price (CAD), 2026-10-14</t>
        </is>
      </c>
      <c r="I78" s="74" t="n">
        <v>99.98999999999999</v>
      </c>
      <c r="J78" s="75" t="inlineStr">
        <is>
          <t>2026-03-30</t>
        </is>
      </c>
      <c r="K78" s="40" t="n">
        <v>38.48999999999999</v>
      </c>
      <c r="L78" s="76" t="n">
        <v>0.3849384938493848</v>
      </c>
      <c r="M78" s="77" t="n">
        <v>0</v>
      </c>
      <c r="N78" s="39" t="inlineStr">
        <is>
          <t>Active</t>
        </is>
      </c>
      <c r="O78" s="39" t="n"/>
      <c r="P78" s="78" t="n">
        <v>4.4</v>
      </c>
      <c r="Q78" s="77" t="n">
        <v>3337</v>
      </c>
      <c r="R78" s="77" t="n">
        <v>2074</v>
      </c>
      <c r="S78" s="77" t="n">
        <v>3</v>
      </c>
      <c r="T78" s="39" t="n"/>
    </row>
    <row r="79" ht="62" customHeight="1">
      <c r="A79" s="12">
        <f>_xlfn.IMAGE("https://m.media-amazon.com/images/I/817PHsMlA6L.jpg")</f>
        <v/>
      </c>
      <c r="B79" s="39" t="inlineStr">
        <is>
          <t>B0CQ332KLH</t>
        </is>
      </c>
      <c r="C79" s="39" t="inlineStr">
        <is>
          <t>BAMBOO-FULL-BLACK-6PCS</t>
        </is>
      </c>
      <c r="D79" s="39" t="inlineStr">
        <is>
          <t>DECOLURE 100% Organic Viscose Derived from Bamboo Sheets Full Size 6pcs - Ultra Soft &amp; Luxuriously Cooling, 17" Deep Pocket, Double Stitching, Perfect for Hot Sleepers - Full Bed Sheets (Black)</t>
        </is>
      </c>
      <c r="E79" s="39" t="inlineStr">
        <is>
          <t>Full</t>
        </is>
      </c>
      <c r="F79" s="39" t="inlineStr">
        <is>
          <t>Black</t>
        </is>
      </c>
      <c r="G79" s="73" t="n">
        <v>79.98999999999999</v>
      </c>
      <c r="H79" s="39" t="inlineStr">
        <is>
          <t>catalog price (CAD), 2026-10-14</t>
        </is>
      </c>
      <c r="I79" s="74" t="n">
        <v>62.99</v>
      </c>
      <c r="J79" s="75" t="inlineStr">
        <is>
          <t>2026-03-30</t>
        </is>
      </c>
      <c r="K79" s="40" t="n">
        <v>16.72</v>
      </c>
      <c r="L79" s="76" t="n">
        <v>0.2654389585648516</v>
      </c>
      <c r="M79" s="77" t="n">
        <v>0</v>
      </c>
      <c r="N79" s="39" t="inlineStr">
        <is>
          <t>Active</t>
        </is>
      </c>
      <c r="O79" s="39" t="n"/>
      <c r="P79" s="78" t="n">
        <v>4.4</v>
      </c>
      <c r="Q79" s="77" t="n">
        <v>3337</v>
      </c>
      <c r="R79" s="77" t="n">
        <v>2074</v>
      </c>
      <c r="S79" s="77" t="n">
        <v>9</v>
      </c>
      <c r="T79" s="39" t="n"/>
    </row>
    <row r="80" ht="62" customHeight="1">
      <c r="A80" s="12">
        <f>_xlfn.IMAGE("https://m.media-amazon.com/images/I/81+83kJjC0L.jpg")</f>
        <v/>
      </c>
      <c r="B80" s="39" t="inlineStr">
        <is>
          <t>B0CQ31ZKNJ</t>
        </is>
      </c>
      <c r="C80" s="39" t="inlineStr">
        <is>
          <t>BAMBOO-FULL-CHARCOAL-6PCS</t>
        </is>
      </c>
      <c r="D80" s="39" t="inlineStr">
        <is>
          <t>DECOLURE 100% Organic Viscose Derived from Bamboo Sheets Full Size 6pcs - Ultra Soft &amp; Luxuriously Cooling, 17" Deep Pocket, Double Stitching, Perfect for Hot Sleepers - Full Bed Sheets (Charcoal)</t>
        </is>
      </c>
      <c r="E80" s="39" t="inlineStr">
        <is>
          <t>Full</t>
        </is>
      </c>
      <c r="F80" s="39" t="inlineStr">
        <is>
          <t>Charcoal</t>
        </is>
      </c>
      <c r="G80" s="40" t="n"/>
      <c r="H80" s="39" t="n"/>
      <c r="I80" s="74" t="n">
        <v>71.98999999999999</v>
      </c>
      <c r="J80" s="75" t="inlineStr">
        <is>
          <t>2026-03-30</t>
        </is>
      </c>
      <c r="K80" s="40" t="n">
        <v>22.33999999999999</v>
      </c>
      <c r="L80" s="76" t="n">
        <v>0.3103208778997082</v>
      </c>
      <c r="M80" s="77" t="n">
        <v>0</v>
      </c>
      <c r="N80" s="39" t="inlineStr">
        <is>
          <t>Inactive</t>
        </is>
      </c>
      <c r="O80" s="39" t="n"/>
      <c r="P80" s="78" t="n"/>
      <c r="Q80" s="77" t="n"/>
      <c r="R80" s="77" t="n"/>
      <c r="S80" s="77" t="n"/>
      <c r="T80" s="39" t="n"/>
    </row>
    <row r="81" ht="62" customHeight="1">
      <c r="A81" s="12">
        <f>_xlfn.IMAGE("https://m.media-amazon.com/images/I/81I312usunL.jpg")</f>
        <v/>
      </c>
      <c r="B81" s="39" t="inlineStr">
        <is>
          <t>B0HD13QPG2</t>
        </is>
      </c>
      <c r="C81" s="39" t="inlineStr">
        <is>
          <t>BAMBOO-FULL-LIGHTGREY-6PC</t>
        </is>
      </c>
      <c r="D81" s="39" t="inlineStr">
        <is>
          <t>DECOLURE 100% Organic Viscose Derived from Bamboo Sheets Full Size 6pcs - Ultra Soft &amp; Luxuriously Cooling, 17" Deep Pocket, Double Stitching, Perfect for Hot Sleepers - Full Bed Sheets (Light Grey-1)</t>
        </is>
      </c>
      <c r="E81" s="39" t="inlineStr">
        <is>
          <t>Full</t>
        </is>
      </c>
      <c r="F81" s="39" t="inlineStr">
        <is>
          <t>Light Grey</t>
        </is>
      </c>
      <c r="G81" s="40" t="n"/>
      <c r="H81" s="39" t="n"/>
      <c r="I81" s="40" t="n"/>
      <c r="J81" s="39" t="n"/>
      <c r="K81" s="40" t="n"/>
      <c r="L81" s="76" t="n"/>
      <c r="M81" s="77" t="n">
        <v>0</v>
      </c>
      <c r="N81" s="39" t="inlineStr">
        <is>
          <t>Active</t>
        </is>
      </c>
      <c r="O81" s="39" t="n"/>
      <c r="P81" s="78" t="n"/>
      <c r="Q81" s="77" t="n"/>
      <c r="R81" s="77" t="n"/>
      <c r="S81" s="77" t="n"/>
      <c r="T81" s="39" t="n"/>
    </row>
    <row r="82" ht="62" customHeight="1">
      <c r="A82" s="12">
        <f>_xlfn.IMAGE("https://m.media-amazon.com/images/I/81vnFb6DYQL.jpg")</f>
        <v/>
      </c>
      <c r="B82" s="39" t="inlineStr">
        <is>
          <t>B0CQ2YBSK2</t>
        </is>
      </c>
      <c r="C82" s="39" t="inlineStr">
        <is>
          <t>BAMBOO-FULL-LIGHTOLIVE-6PCS</t>
        </is>
      </c>
      <c r="D82" s="39" t="inlineStr">
        <is>
          <t>DECOLURE 100% Organic Viscose Derived from Bamboo Sheets Full Size 6pcs - Ultra Soft &amp; Luxuriously Cooling, 17" Deep Pocket, Double Stitching, Perfect for Hot Sleepers - Full Bed Sheets (Light Olive)</t>
        </is>
      </c>
      <c r="E82" s="39" t="inlineStr">
        <is>
          <t>Full</t>
        </is>
      </c>
      <c r="F82" s="39" t="inlineStr">
        <is>
          <t>Light Olive</t>
        </is>
      </c>
      <c r="G82" s="73" t="n">
        <v>79.98999999999999</v>
      </c>
      <c r="H82" s="39" t="inlineStr">
        <is>
          <t>catalog price (CAD), 2026-10-14</t>
        </is>
      </c>
      <c r="I82" s="74" t="n">
        <v>62.99</v>
      </c>
      <c r="J82" s="75" t="inlineStr">
        <is>
          <t>2026-03-30</t>
        </is>
      </c>
      <c r="K82" s="40" t="n">
        <v>14.78</v>
      </c>
      <c r="L82" s="76" t="n">
        <v>0.2346404191141452</v>
      </c>
      <c r="M82" s="77" t="n">
        <v>0</v>
      </c>
      <c r="N82" s="39" t="inlineStr">
        <is>
          <t>Active</t>
        </is>
      </c>
      <c r="O82" s="39" t="n"/>
      <c r="P82" s="78" t="n">
        <v>4.4</v>
      </c>
      <c r="Q82" s="77" t="n">
        <v>3337</v>
      </c>
      <c r="R82" s="77" t="n">
        <v>2074</v>
      </c>
      <c r="S82" s="77" t="n">
        <v>7</v>
      </c>
      <c r="T82" s="39" t="n"/>
    </row>
    <row r="83" ht="62" customHeight="1">
      <c r="A83" s="12">
        <f>_xlfn.IMAGE("https://m.media-amazon.com/images/I/81qX1TwGR6L.jpg")</f>
        <v/>
      </c>
      <c r="B83" s="39" t="inlineStr">
        <is>
          <t>B0CQ322XC6</t>
        </is>
      </c>
      <c r="C83" s="39" t="inlineStr">
        <is>
          <t>BAMBOO-FULL-SAGE GREEN-6PCS</t>
        </is>
      </c>
      <c r="D83" s="39" t="inlineStr">
        <is>
          <t>DECOLURE 100% Organic Viscose Derived from Bamboo Sheets Full Size 6pcs - Ultra Soft &amp; Luxuriously Cooling, 17" Deep Pocket, Double Stitching, Perfect for Hot Sleepers - Full Bed Sheets (Sage Green)</t>
        </is>
      </c>
      <c r="E83" s="39" t="inlineStr">
        <is>
          <t>Full</t>
        </is>
      </c>
      <c r="F83" s="39" t="inlineStr">
        <is>
          <t>Sage Green</t>
        </is>
      </c>
      <c r="G83" s="73" t="n">
        <v>79.98999999999999</v>
      </c>
      <c r="H83" s="39" t="inlineStr">
        <is>
          <t>catalog price (CAD), 2026-10-14</t>
        </is>
      </c>
      <c r="I83" s="74" t="n">
        <v>93.20999999999999</v>
      </c>
      <c r="J83" s="75" t="inlineStr">
        <is>
          <t>2026-03-30</t>
        </is>
      </c>
      <c r="K83" s="40" t="n">
        <v>37.65999999999999</v>
      </c>
      <c r="L83" s="76" t="n">
        <v>0.4040339019418516</v>
      </c>
      <c r="M83" s="77" t="n">
        <v>0</v>
      </c>
      <c r="N83" s="39" t="inlineStr">
        <is>
          <t>Active</t>
        </is>
      </c>
      <c r="O83" s="39" t="n"/>
      <c r="P83" s="78" t="n">
        <v>4.4</v>
      </c>
      <c r="Q83" s="77" t="n">
        <v>3337</v>
      </c>
      <c r="R83" s="77" t="n">
        <v>2074</v>
      </c>
      <c r="S83" s="77" t="n">
        <v>7</v>
      </c>
      <c r="T83" s="39" t="n"/>
    </row>
    <row r="84" ht="62" customHeight="1">
      <c r="A84" s="12">
        <f>_xlfn.IMAGE("https://m.media-amazon.com/images/I/81vnFb6DYQL.jpg")</f>
        <v/>
      </c>
      <c r="B84" s="39" t="inlineStr">
        <is>
          <t>B0CQ2YVZ18</t>
        </is>
      </c>
      <c r="C84" s="39" t="inlineStr">
        <is>
          <t>BAMBOO-KING-LIGHTOLIVE-6PCS</t>
        </is>
      </c>
      <c r="D84" s="39" t="inlineStr">
        <is>
          <t>DECOLURE 100% Organic Viscose Derived from Bamboo Sheets King Size 6pcs - Ultra Soft &amp; Luxuriously Cooling, 17" Deep Pocket, Double Stitching, Perfect for Hot Sleepers - King Bed Sheets (Light Olive)</t>
        </is>
      </c>
      <c r="E84" s="39" t="inlineStr">
        <is>
          <t>King</t>
        </is>
      </c>
      <c r="F84" s="39" t="inlineStr">
        <is>
          <t>Light Olive</t>
        </is>
      </c>
      <c r="G84" s="73" t="n">
        <v>99.98999999999999</v>
      </c>
      <c r="H84" s="39" t="inlineStr">
        <is>
          <t>catalog price (CAD), 2026-10-14</t>
        </is>
      </c>
      <c r="I84" s="74" t="n">
        <v>99.98999999999999</v>
      </c>
      <c r="J84" s="75" t="inlineStr">
        <is>
          <t>2026-03-30</t>
        </is>
      </c>
      <c r="K84" s="40" t="n">
        <v>39.62</v>
      </c>
      <c r="L84" s="76" t="n">
        <v>0.3962396239623963</v>
      </c>
      <c r="M84" s="77" t="n">
        <v>0</v>
      </c>
      <c r="N84" s="39" t="inlineStr">
        <is>
          <t>Active</t>
        </is>
      </c>
      <c r="O84" s="39" t="n"/>
      <c r="P84" s="78" t="n">
        <v>4.4</v>
      </c>
      <c r="Q84" s="77" t="n">
        <v>3337</v>
      </c>
      <c r="R84" s="77" t="n">
        <v>2074</v>
      </c>
      <c r="S84" s="77" t="n">
        <v>4</v>
      </c>
      <c r="T84" s="39" t="n"/>
    </row>
    <row r="85" ht="62" customHeight="1">
      <c r="A85" s="12">
        <f>_xlfn.IMAGE("https://m.media-amazon.com/images/I/813aFqxnKrL.jpg")</f>
        <v/>
      </c>
      <c r="B85" s="39" t="inlineStr">
        <is>
          <t>B0CQ2YDPDS</t>
        </is>
      </c>
      <c r="C85" s="39" t="inlineStr">
        <is>
          <t>BAMBOO-KING-OLIVE-6PCS</t>
        </is>
      </c>
      <c r="D85" s="39" t="inlineStr">
        <is>
          <t>DECOLURE 100% Viscose Derived from Bamboo Sheets King Size - Luxury 6 Pc Naturally Cooling Sheets, Ultra Soft Bed Set - Deep 17" Pockets, Durable Double Stitching, Oeko Tex Standard (Olive)</t>
        </is>
      </c>
      <c r="E85" s="39" t="inlineStr">
        <is>
          <t>King</t>
        </is>
      </c>
      <c r="F85" s="39" t="inlineStr">
        <is>
          <t>Olive</t>
        </is>
      </c>
      <c r="G85" s="73" t="n">
        <v>99.98999999999999</v>
      </c>
      <c r="H85" s="39" t="inlineStr">
        <is>
          <t>catalog price (CAD), 2026-10-14</t>
        </is>
      </c>
      <c r="I85" s="74" t="n">
        <v>74.98999999999999</v>
      </c>
      <c r="J85" s="75" t="inlineStr">
        <is>
          <t>2026-03-22</t>
        </is>
      </c>
      <c r="K85" s="40" t="n">
        <v>17.62</v>
      </c>
      <c r="L85" s="76" t="n">
        <v>0.2349646619549273</v>
      </c>
      <c r="M85" s="77" t="n">
        <v>0</v>
      </c>
      <c r="N85" s="39" t="inlineStr">
        <is>
          <t>Active</t>
        </is>
      </c>
      <c r="O85" s="39" t="n"/>
      <c r="P85" s="78" t="n">
        <v>4.4</v>
      </c>
      <c r="Q85" s="77" t="n">
        <v>3337</v>
      </c>
      <c r="R85" s="77" t="n">
        <v>2074</v>
      </c>
      <c r="S85" s="77" t="n">
        <v>2</v>
      </c>
      <c r="T85" s="39" t="n"/>
    </row>
    <row r="86" ht="62" customHeight="1">
      <c r="A86" s="12">
        <f>_xlfn.IMAGE("https://m.media-amazon.com/images/I/817PHsMlA6L.jpg")</f>
        <v/>
      </c>
      <c r="B86" s="39" t="inlineStr">
        <is>
          <t>B0CQ31CZTJ</t>
        </is>
      </c>
      <c r="C86" s="39" t="inlineStr">
        <is>
          <t>BAMBOO-QUEEN-BLACK-6PCS</t>
        </is>
      </c>
      <c r="D86" s="39" t="inlineStr">
        <is>
          <t>DECOLURE 100% Organic Viscose Derived from Bamboo Sheets Queen Size 6pcs - Ultra Soft &amp; Luxuriously Cooling, 17" Deep Pocket, Double Stitching, Perfect for Hot Sleepers - Queen Bed Sheets (Black)</t>
        </is>
      </c>
      <c r="E86" s="39" t="inlineStr">
        <is>
          <t>Queen</t>
        </is>
      </c>
      <c r="F86" s="39" t="inlineStr">
        <is>
          <t>Black</t>
        </is>
      </c>
      <c r="G86" s="73" t="n">
        <v>99.98999999999999</v>
      </c>
      <c r="H86" s="39" t="inlineStr">
        <is>
          <t>catalog price (CAD), 2026-10-14</t>
        </is>
      </c>
      <c r="I86" s="74" t="n">
        <v>115.02</v>
      </c>
      <c r="J86" s="75" t="inlineStr">
        <is>
          <t>2026-03-14</t>
        </is>
      </c>
      <c r="K86" s="40" t="n">
        <v>52.90999999999999</v>
      </c>
      <c r="L86" s="76" t="n">
        <v>0.4600069553121195</v>
      </c>
      <c r="M86" s="77" t="n"/>
      <c r="N86" s="39" t="inlineStr">
        <is>
          <t>Inactive</t>
        </is>
      </c>
      <c r="O86" s="39" t="n"/>
      <c r="P86" s="78" t="n">
        <v>4.4</v>
      </c>
      <c r="Q86" s="77" t="n">
        <v>3337</v>
      </c>
      <c r="R86" s="77" t="n">
        <v>2074</v>
      </c>
      <c r="S86" s="77" t="n">
        <v>0</v>
      </c>
      <c r="T86" s="39" t="n"/>
    </row>
    <row r="87" ht="62" customHeight="1">
      <c r="A87" s="12">
        <f>_xlfn.IMAGE("https://m.media-amazon.com/images/I/81K76gPDPkL.jpg")</f>
        <v/>
      </c>
      <c r="B87" s="39" t="inlineStr">
        <is>
          <t>B0CQ3GXLCJ</t>
        </is>
      </c>
      <c r="C87" s="39" t="n"/>
      <c r="D87" s="39" t="inlineStr">
        <is>
          <t>DECOLURE 100% Organic Viscose Derived from Bamboo Sheets Queen Size 6pcs - Ultra Soft &amp; Luxuriously Cooling, 17" Deep Pocket, Double Stitching, Perfect for Hot Sleepers - Queen Bed Sheets (Purple)</t>
        </is>
      </c>
      <c r="E87" s="39" t="inlineStr">
        <is>
          <t>Queen</t>
        </is>
      </c>
      <c r="F87" s="39" t="inlineStr">
        <is>
          <t>Purple</t>
        </is>
      </c>
      <c r="G87" s="73" t="n">
        <v>99.98999999999999</v>
      </c>
      <c r="H87" s="39" t="inlineStr">
        <is>
          <t>catalog price (CAD), 2026-10-14</t>
        </is>
      </c>
      <c r="I87" s="40" t="n"/>
      <c r="J87" s="39" t="n"/>
      <c r="K87" s="40" t="n"/>
      <c r="L87" s="76" t="n"/>
      <c r="M87" s="77" t="n"/>
      <c r="N87" s="39" t="inlineStr">
        <is>
          <t>Active</t>
        </is>
      </c>
      <c r="O87" s="39" t="n"/>
      <c r="P87" s="78" t="n">
        <v>4.4</v>
      </c>
      <c r="Q87" s="77" t="n">
        <v>3337</v>
      </c>
      <c r="R87" s="77" t="n">
        <v>2072</v>
      </c>
      <c r="S87" s="77" t="n">
        <v>3</v>
      </c>
      <c r="T87" s="39" t="n"/>
    </row>
    <row r="88" ht="62" customHeight="1">
      <c r="A88" s="12">
        <f>_xlfn.IMAGE("https://m.media-amazon.com/images/I/81LUuxH3WqL.jpg")</f>
        <v/>
      </c>
      <c r="B88" s="39" t="inlineStr">
        <is>
          <t>B0CQ3319BK</t>
        </is>
      </c>
      <c r="C88" s="39" t="inlineStr">
        <is>
          <t>BAMBOO-TWIN-BLACK-6PCS</t>
        </is>
      </c>
      <c r="D88" s="39" t="inlineStr">
        <is>
          <t>DECOLURE 100% Organic Viscose Derived from Bamboo Sheets Twin Size 4pcs - Ultra Soft &amp; Luxuriously Cooling, 17" Deep Pocket, Double Stitching, Perfect for Hot Sleepers - Twin Bed Sheets (Black)</t>
        </is>
      </c>
      <c r="E88" s="39" t="inlineStr">
        <is>
          <t>Twin</t>
        </is>
      </c>
      <c r="F88" s="39" t="inlineStr">
        <is>
          <t>Black</t>
        </is>
      </c>
      <c r="G88" s="73" t="n">
        <v>79.98999999999999</v>
      </c>
      <c r="H88" s="39" t="inlineStr">
        <is>
          <t>catalog price (CAD), 2026-10-14</t>
        </is>
      </c>
      <c r="I88" s="74" t="n">
        <v>62.99</v>
      </c>
      <c r="J88" s="75" t="inlineStr">
        <is>
          <t>2026-03-30</t>
        </is>
      </c>
      <c r="K88" s="40" t="n">
        <v>22.69000000000001</v>
      </c>
      <c r="L88" s="76" t="n">
        <v>0.3602159072868711</v>
      </c>
      <c r="M88" s="77" t="n">
        <v>0</v>
      </c>
      <c r="N88" s="39" t="inlineStr">
        <is>
          <t>Active</t>
        </is>
      </c>
      <c r="O88" s="39" t="n"/>
      <c r="P88" s="78" t="n">
        <v>4.4</v>
      </c>
      <c r="Q88" s="77" t="n">
        <v>3337</v>
      </c>
      <c r="R88" s="77" t="n">
        <v>2074</v>
      </c>
      <c r="S88" s="77" t="n">
        <v>5</v>
      </c>
      <c r="T88" s="39" t="n"/>
    </row>
    <row r="89" ht="62" customHeight="1">
      <c r="A89" s="12">
        <f>_xlfn.IMAGE("https://m.media-amazon.com/images/I/81KfdRGP46L.jpg")</f>
        <v/>
      </c>
      <c r="B89" s="39" t="inlineStr">
        <is>
          <t>B0CQ32LWVD</t>
        </is>
      </c>
      <c r="C89" s="39" t="inlineStr">
        <is>
          <t>BAMBOO-TWIN-BURGUNDY-6PCS</t>
        </is>
      </c>
      <c r="D89" s="39" t="inlineStr">
        <is>
          <t>DECOLURE 100% Organic Viscose Derived from Bamboo Sheets Twin Size 4pcs - Ultra Soft &amp; Luxuriously Cooling, 17" Deep Pocket, Double Stitching, Perfect for Hot Sleepers - Twin Bed Sheets (Burgundy)</t>
        </is>
      </c>
      <c r="E89" s="39" t="inlineStr">
        <is>
          <t>Twin</t>
        </is>
      </c>
      <c r="F89" s="39" t="inlineStr">
        <is>
          <t>Burgundy</t>
        </is>
      </c>
      <c r="G89" s="40" t="n"/>
      <c r="H89" s="39" t="n"/>
      <c r="I89" s="74" t="n">
        <v>50.99</v>
      </c>
      <c r="J89" s="75" t="inlineStr">
        <is>
          <t>2026-03-30</t>
        </is>
      </c>
      <c r="K89" s="40" t="n">
        <v>13.02</v>
      </c>
      <c r="L89" s="76" t="n">
        <v>0.2553441851343401</v>
      </c>
      <c r="M89" s="77" t="n"/>
      <c r="N89" s="39" t="inlineStr">
        <is>
          <t>Inactive</t>
        </is>
      </c>
      <c r="O89" s="39" t="n"/>
      <c r="P89" s="78" t="n"/>
      <c r="Q89" s="77" t="n"/>
      <c r="R89" s="77" t="n"/>
      <c r="S89" s="77" t="n"/>
      <c r="T89" s="39" t="n"/>
    </row>
    <row r="90" ht="62" customHeight="1">
      <c r="A90" s="12">
        <f>_xlfn.IMAGE("https://m.media-amazon.com/images/I/81+83kJjC0L.jpg")</f>
        <v/>
      </c>
      <c r="B90" s="39" t="inlineStr">
        <is>
          <t>B0CQ2ZVDC1</t>
        </is>
      </c>
      <c r="C90" s="39" t="inlineStr">
        <is>
          <t>BAMBOO-TWIN-CHARCOAL-6PCS</t>
        </is>
      </c>
      <c r="D90" s="39" t="inlineStr">
        <is>
          <t>DECOLURE 100% Organic Viscose Derived from Bamboo Sheets Twin Size 4pcs - Ultra Soft &amp; Luxuriously Cooling, 17" Deep Pocket, Double Stitching, Perfect for Hot Sleepers - Twin Bed Sheets (Charcoal)</t>
        </is>
      </c>
      <c r="E90" s="39" t="inlineStr">
        <is>
          <t>Twin</t>
        </is>
      </c>
      <c r="F90" s="39" t="inlineStr">
        <is>
          <t>Charcoal</t>
        </is>
      </c>
      <c r="G90" s="40" t="n"/>
      <c r="H90" s="39" t="n"/>
      <c r="I90" s="74" t="n">
        <v>62.99</v>
      </c>
      <c r="J90" s="75" t="inlineStr">
        <is>
          <t>2026-03-30</t>
        </is>
      </c>
      <c r="K90" s="40" t="n">
        <v>20.14000000000001</v>
      </c>
      <c r="L90" s="76" t="n">
        <v>0.3197332909985714</v>
      </c>
      <c r="M90" s="77" t="n"/>
      <c r="N90" s="39" t="inlineStr">
        <is>
          <t>Inactive</t>
        </is>
      </c>
      <c r="O90" s="39" t="n"/>
      <c r="P90" s="78" t="n">
        <v>4.4</v>
      </c>
      <c r="Q90" s="77" t="n">
        <v>3337</v>
      </c>
      <c r="R90" s="77" t="n">
        <v>2074</v>
      </c>
      <c r="S90" s="77" t="n">
        <v>0</v>
      </c>
      <c r="T90" s="39" t="n"/>
    </row>
    <row r="91" ht="62" customHeight="1">
      <c r="A91" s="12">
        <f>_xlfn.IMAGE("https://m.media-amazon.com/images/I/81UukoIufqL.jpg")</f>
        <v/>
      </c>
      <c r="B91" s="39" t="inlineStr">
        <is>
          <t>B0CQ2ZZZ42</t>
        </is>
      </c>
      <c r="C91" s="39" t="inlineStr">
        <is>
          <t>BAMBOO-TWIN-CREME-6PCS</t>
        </is>
      </c>
      <c r="D91" s="39" t="inlineStr">
        <is>
          <t>DECOLURE 100% Organic Viscose Derived from Bamboo Sheets Twin Size 4pcs - Ultra Soft &amp; Luxuriously Cooling, 17" Deep Pocket, Double Stitching, Perfect for Hot Sleepers - Twin Bed Sheets (Creme)</t>
        </is>
      </c>
      <c r="E91" s="39" t="inlineStr">
        <is>
          <t>Twin</t>
        </is>
      </c>
      <c r="F91" s="39" t="inlineStr">
        <is>
          <t>Creme</t>
        </is>
      </c>
      <c r="G91" s="73" t="n">
        <v>79.98999999999999</v>
      </c>
      <c r="H91" s="39" t="inlineStr">
        <is>
          <t>catalog price (CAD), 2026-10-14</t>
        </is>
      </c>
      <c r="I91" s="74" t="n">
        <v>62.99</v>
      </c>
      <c r="J91" s="75" t="inlineStr">
        <is>
          <t>2026-03-30</t>
        </is>
      </c>
      <c r="K91" s="40" t="n">
        <v>23.04000000000001</v>
      </c>
      <c r="L91" s="76" t="n">
        <v>0.3657723448166377</v>
      </c>
      <c r="M91" s="77" t="n"/>
      <c r="N91" s="39" t="inlineStr">
        <is>
          <t>Active</t>
        </is>
      </c>
      <c r="O91" s="39" t="n"/>
      <c r="P91" s="78" t="n">
        <v>4.4</v>
      </c>
      <c r="Q91" s="77" t="n">
        <v>3337</v>
      </c>
      <c r="R91" s="77" t="n">
        <v>2074</v>
      </c>
      <c r="S91" s="77" t="n">
        <v>0.6915</v>
      </c>
      <c r="T91" s="39" t="n"/>
    </row>
    <row r="92" ht="62" customHeight="1">
      <c r="A92" s="12">
        <f>_xlfn.IMAGE("https://m.media-amazon.com/images/I/81Ej8SH6bmL.jpg")</f>
        <v/>
      </c>
      <c r="B92" s="39" t="inlineStr">
        <is>
          <t>B0CQ31CJPJ</t>
        </is>
      </c>
      <c r="C92" s="39" t="inlineStr">
        <is>
          <t>BAMBOO-TWIN-LIGHTBLUE-6PCS</t>
        </is>
      </c>
      <c r="D92" s="39" t="inlineStr">
        <is>
          <t>DECOLURE 100% Organic Viscose Derived from Bamboo Sheets Twin Size 4pcs - Ultra Soft &amp; Luxuriously Cooling, 17" Deep Pocket, Double Stitching, Perfect for Hot Sleepers - Twin Bed Sheets (Light Blue)</t>
        </is>
      </c>
      <c r="E92" s="39" t="inlineStr">
        <is>
          <t>Twin</t>
        </is>
      </c>
      <c r="F92" s="39" t="inlineStr">
        <is>
          <t>Light Blue</t>
        </is>
      </c>
      <c r="G92" s="73" t="n">
        <v>79.98999999999999</v>
      </c>
      <c r="H92" s="39" t="inlineStr">
        <is>
          <t>catalog price (CAD), 2026-10-14</t>
        </is>
      </c>
      <c r="I92" s="74" t="n">
        <v>63.99</v>
      </c>
      <c r="J92" s="75" t="inlineStr">
        <is>
          <t>2026-03-30</t>
        </is>
      </c>
      <c r="K92" s="40" t="n">
        <v>24.48</v>
      </c>
      <c r="L92" s="76" t="n">
        <v>0.3825597749648382</v>
      </c>
      <c r="M92" s="77" t="n">
        <v>0</v>
      </c>
      <c r="N92" s="39" t="inlineStr">
        <is>
          <t>Active</t>
        </is>
      </c>
      <c r="O92" s="39" t="n"/>
      <c r="P92" s="78" t="n">
        <v>4.4</v>
      </c>
      <c r="Q92" s="77" t="n">
        <v>3337</v>
      </c>
      <c r="R92" s="77" t="n">
        <v>2074</v>
      </c>
      <c r="S92" s="77" t="n">
        <v>7</v>
      </c>
      <c r="T92" s="39" t="n"/>
    </row>
    <row r="93" ht="62" customHeight="1">
      <c r="A93" s="12">
        <f>_xlfn.IMAGE("https://m.media-amazon.com/images/I/81FUAGLZKiL.jpg")</f>
        <v/>
      </c>
      <c r="B93" s="39" t="inlineStr">
        <is>
          <t>B0CQ33ZGQL</t>
        </is>
      </c>
      <c r="C93" s="39" t="inlineStr">
        <is>
          <t>BAMBOO-TWIN-LIGHTGREY-6PCS</t>
        </is>
      </c>
      <c r="D93" s="39" t="inlineStr">
        <is>
          <t>DECOLURE 100% Organic Viscose Derived from Bamboo Sheets Twin Size 4pcs - Ultra Soft &amp; Luxuriously Cooling, 17" Deep Pocket, Double Stitching, Perfect for Hot Sleepers - Twin Bed Sheets (Light Grey)</t>
        </is>
      </c>
      <c r="E93" s="39" t="inlineStr">
        <is>
          <t>Twin</t>
        </is>
      </c>
      <c r="F93" s="39" t="inlineStr">
        <is>
          <t>Light Grey</t>
        </is>
      </c>
      <c r="G93" s="73" t="n">
        <v>99.11</v>
      </c>
      <c r="H93" s="39" t="inlineStr">
        <is>
          <t>catalog price (CAD), 2026-10-14</t>
        </is>
      </c>
      <c r="I93" s="74" t="n">
        <v>69.98999999999999</v>
      </c>
      <c r="J93" s="75" t="inlineStr">
        <is>
          <t>2026-03-30</t>
        </is>
      </c>
      <c r="K93" s="40" t="n">
        <v>29.1</v>
      </c>
      <c r="L93" s="76" t="n">
        <v>0.4157736819545649</v>
      </c>
      <c r="M93" s="77" t="n">
        <v>0</v>
      </c>
      <c r="N93" s="39" t="inlineStr">
        <is>
          <t>Active</t>
        </is>
      </c>
      <c r="O93" s="39" t="n"/>
      <c r="P93" s="78" t="n">
        <v>4.4</v>
      </c>
      <c r="Q93" s="77" t="n">
        <v>3337</v>
      </c>
      <c r="R93" s="77" t="n">
        <v>2074</v>
      </c>
      <c r="S93" s="77" t="n">
        <v>3</v>
      </c>
      <c r="T93" s="39" t="n"/>
    </row>
    <row r="94" ht="62" customHeight="1">
      <c r="A94" s="12">
        <f>_xlfn.IMAGE("https://m.media-amazon.com/images/I/81qwLZXe5IL.jpg")</f>
        <v/>
      </c>
      <c r="B94" s="39" t="inlineStr">
        <is>
          <t>B0CQ33BH1K</t>
        </is>
      </c>
      <c r="C94" s="39" t="inlineStr">
        <is>
          <t>BAMBOO-TWIN-LIGHT PINK-6PCS</t>
        </is>
      </c>
      <c r="D94" s="39" t="inlineStr">
        <is>
          <t>DECOLURE 100% Organic Viscose Derived from Bamboo Sheets Twin Size 4pcs - Ultra Soft &amp; Luxuriously Cooling, 17" Deep Pocket, Double Stitching, Perfect for Hot Sleepers - Twin Bed Sheets (Light Pink)</t>
        </is>
      </c>
      <c r="E94" s="39" t="inlineStr">
        <is>
          <t>Twin</t>
        </is>
      </c>
      <c r="F94" s="39" t="inlineStr">
        <is>
          <t>Light Pink</t>
        </is>
      </c>
      <c r="G94" s="40" t="n"/>
      <c r="H94" s="39" t="n"/>
      <c r="I94" s="74" t="n">
        <v>61.59</v>
      </c>
      <c r="J94" s="75" t="inlineStr">
        <is>
          <t>2026-03-30</t>
        </is>
      </c>
      <c r="K94" s="40" t="n">
        <v>22</v>
      </c>
      <c r="L94" s="76" t="n">
        <v>0.3572008442929047</v>
      </c>
      <c r="M94" s="77" t="n"/>
      <c r="N94" s="39" t="inlineStr">
        <is>
          <t>Inactive</t>
        </is>
      </c>
      <c r="O94" s="39" t="n"/>
      <c r="P94" s="78" t="n"/>
      <c r="Q94" s="77" t="n"/>
      <c r="R94" s="77" t="n"/>
      <c r="S94" s="77" t="n"/>
      <c r="T94" s="39" t="n"/>
    </row>
    <row r="95" ht="62" customHeight="1">
      <c r="A95" s="12">
        <f>_xlfn.IMAGE("https://m.media-amazon.com/images/I/81eT+1RWQML.jpg")</f>
        <v/>
      </c>
      <c r="B95" s="39" t="inlineStr">
        <is>
          <t>B0CQ31XF3H</t>
        </is>
      </c>
      <c r="C95" s="39" t="inlineStr">
        <is>
          <t>BAMBOO-TWIN-MIDGREY-6PCS</t>
        </is>
      </c>
      <c r="D95" s="39" t="inlineStr">
        <is>
          <t>DECOLURE 100% Organic Viscose Derived from Bamboo Sheets Twin Size 4pcs - Ultra Soft &amp; Luxuriously Cooling, 17" Deep Pocket, Double Stitching, Perfect for Hot Sleepers - Twin Bed Sheets (Midgrey)</t>
        </is>
      </c>
      <c r="E95" s="39" t="inlineStr">
        <is>
          <t>Twin</t>
        </is>
      </c>
      <c r="F95" s="39" t="inlineStr">
        <is>
          <t>Midgrey</t>
        </is>
      </c>
      <c r="G95" s="73" t="n">
        <v>79.98999999999999</v>
      </c>
      <c r="H95" s="39" t="inlineStr">
        <is>
          <t>catalog price (CAD), 2026-10-14</t>
        </is>
      </c>
      <c r="I95" s="74" t="n">
        <v>52.79</v>
      </c>
      <c r="J95" s="75" t="inlineStr">
        <is>
          <t>2026-03-30</t>
        </is>
      </c>
      <c r="K95" s="40" t="n">
        <v>14.55</v>
      </c>
      <c r="L95" s="76" t="n">
        <v>0.2756203826482288</v>
      </c>
      <c r="M95" s="77" t="n">
        <v>0</v>
      </c>
      <c r="N95" s="39" t="inlineStr">
        <is>
          <t>Active</t>
        </is>
      </c>
      <c r="O95" s="39" t="n"/>
      <c r="P95" s="78" t="n">
        <v>4.4</v>
      </c>
      <c r="Q95" s="77" t="n">
        <v>3337</v>
      </c>
      <c r="R95" s="77" t="n">
        <v>2074</v>
      </c>
      <c r="S95" s="77" t="n">
        <v>10</v>
      </c>
      <c r="T95" s="39" t="n"/>
    </row>
    <row r="96" ht="62" customHeight="1">
      <c r="A96" s="12">
        <f>_xlfn.IMAGE("https://m.media-amazon.com/images/I/81X7gOcKsEL.jpg")</f>
        <v/>
      </c>
      <c r="B96" s="39" t="inlineStr">
        <is>
          <t>B0CQ2ZVMJJ</t>
        </is>
      </c>
      <c r="C96" s="39" t="inlineStr">
        <is>
          <t>BAMBOO-TWIN-OLIVE-6PCS</t>
        </is>
      </c>
      <c r="D96" s="39" t="inlineStr">
        <is>
          <t>DECOLURE 100% Organic Viscose Derived from Bamboo Sheets Twin Size 4pcs - Ultra Soft &amp; Luxuriously Cooling, 17" Deep Pocket, Double Stitching, Perfect for Hot Sleepers - Twin Bed Sheets (Olive)</t>
        </is>
      </c>
      <c r="E96" s="39" t="inlineStr">
        <is>
          <t>Twin</t>
        </is>
      </c>
      <c r="F96" s="39" t="inlineStr">
        <is>
          <t>Olive</t>
        </is>
      </c>
      <c r="G96" s="73" t="n">
        <v>79.98</v>
      </c>
      <c r="H96" s="39" t="inlineStr">
        <is>
          <t>catalog price (CAD), 2026-10-14</t>
        </is>
      </c>
      <c r="I96" s="74" t="n">
        <v>71.98999999999999</v>
      </c>
      <c r="J96" s="75" t="inlineStr">
        <is>
          <t>2026-03-30</t>
        </is>
      </c>
      <c r="K96" s="40" t="n">
        <v>28.21</v>
      </c>
      <c r="L96" s="76" t="n">
        <v>0.3918599805528545</v>
      </c>
      <c r="M96" s="77" t="n">
        <v>0</v>
      </c>
      <c r="N96" s="39" t="inlineStr">
        <is>
          <t>Active</t>
        </is>
      </c>
      <c r="O96" s="39" t="n"/>
      <c r="P96" s="78" t="n">
        <v>4.4</v>
      </c>
      <c r="Q96" s="77" t="n">
        <v>3337</v>
      </c>
      <c r="R96" s="77" t="n">
        <v>2074</v>
      </c>
      <c r="S96" s="77" t="n">
        <v>7</v>
      </c>
      <c r="T96" s="39" t="n"/>
    </row>
    <row r="97" ht="62" customHeight="1">
      <c r="A97" s="12">
        <f>_xlfn.IMAGE("https://m.media-amazon.com/images/I/81ES2nvuC3L.jpg")</f>
        <v/>
      </c>
      <c r="B97" s="39" t="inlineStr">
        <is>
          <t>B0CQ2YMNV7</t>
        </is>
      </c>
      <c r="C97" s="39" t="inlineStr">
        <is>
          <t>BAMBOO-TWIN-PURPLE-6PCS</t>
        </is>
      </c>
      <c r="D97" s="39" t="inlineStr">
        <is>
          <t>DECOLURE 100% Organic Viscose Derived from Bamboo Sheets Twin Size 4pcs - Ultra Soft &amp; Luxuriously Cooling, 17" Deep Pocket, Double Stitching, Perfect for Hot Sleepers - Twin Bed Sheets (Purple)</t>
        </is>
      </c>
      <c r="E97" s="39" t="inlineStr">
        <is>
          <t>Twin</t>
        </is>
      </c>
      <c r="F97" s="39" t="inlineStr">
        <is>
          <t>Purple</t>
        </is>
      </c>
      <c r="G97" s="73" t="n">
        <v>79.98999999999999</v>
      </c>
      <c r="H97" s="39" t="inlineStr">
        <is>
          <t>catalog price (CAD), 2026-10-14</t>
        </is>
      </c>
      <c r="I97" s="74" t="n">
        <v>74.02</v>
      </c>
      <c r="J97" s="75" t="inlineStr">
        <is>
          <t>2026-03-30</t>
        </is>
      </c>
      <c r="K97" s="40" t="n">
        <v>27.16999999999999</v>
      </c>
      <c r="L97" s="76" t="n">
        <v>0.3670629559578491</v>
      </c>
      <c r="M97" s="77" t="n">
        <v>0</v>
      </c>
      <c r="N97" s="39" t="inlineStr">
        <is>
          <t>Active</t>
        </is>
      </c>
      <c r="O97" s="39" t="n"/>
      <c r="P97" s="78" t="n">
        <v>4.4</v>
      </c>
      <c r="Q97" s="77" t="n">
        <v>3337</v>
      </c>
      <c r="R97" s="77" t="n">
        <v>2074</v>
      </c>
      <c r="S97" s="77" t="n">
        <v>7</v>
      </c>
      <c r="T97" s="39" t="n"/>
    </row>
    <row r="98" ht="62" customHeight="1">
      <c r="A98" s="12">
        <f>_xlfn.IMAGE("https://m.media-amazon.com/images/I/81EHFhQyvAL.jpg")</f>
        <v/>
      </c>
      <c r="B98" s="39" t="inlineStr">
        <is>
          <t>B0CQ2YZ364</t>
        </is>
      </c>
      <c r="C98" s="39" t="inlineStr">
        <is>
          <t>BAMBOO-TWIN-SAGE GREEN-6PCS</t>
        </is>
      </c>
      <c r="D98" s="39" t="inlineStr">
        <is>
          <t>DECOLURE 100% Organic Viscose Derived from Bamboo Sheets Twin Size 4pcs - Ultra Soft &amp; Luxuriously Cooling, 17" Deep Pocket, Double Stitching, Perfect for Hot Sleepers - Twin Bed Sheets (Sage Green)</t>
        </is>
      </c>
      <c r="E98" s="39" t="inlineStr">
        <is>
          <t>Twin</t>
        </is>
      </c>
      <c r="F98" s="39" t="inlineStr">
        <is>
          <t>Sage Green</t>
        </is>
      </c>
      <c r="G98" s="73" t="n">
        <v>79.98</v>
      </c>
      <c r="H98" s="39" t="inlineStr">
        <is>
          <t>catalog price (CAD), 2026-10-14</t>
        </is>
      </c>
      <c r="I98" s="74" t="n">
        <v>62.99</v>
      </c>
      <c r="J98" s="75" t="inlineStr">
        <is>
          <t>2026-03-30</t>
        </is>
      </c>
      <c r="K98" s="40" t="n">
        <v>23.42000000000001</v>
      </c>
      <c r="L98" s="76" t="n">
        <v>0.3718050484203843</v>
      </c>
      <c r="M98" s="77" t="n">
        <v>0</v>
      </c>
      <c r="N98" s="39" t="inlineStr">
        <is>
          <t>Active</t>
        </is>
      </c>
      <c r="O98" s="39" t="n"/>
      <c r="P98" s="78" t="n">
        <v>4.4</v>
      </c>
      <c r="Q98" s="77" t="n">
        <v>3337</v>
      </c>
      <c r="R98" s="77" t="n">
        <v>2074</v>
      </c>
      <c r="S98" s="77" t="n">
        <v>7</v>
      </c>
      <c r="T98" s="39" t="n"/>
    </row>
    <row r="99"/>
    <row r="100" ht="22" customHeight="1">
      <c r="A100" s="65" t="inlineStr">
        <is>
          <t>3 ▼</t>
        </is>
      </c>
      <c r="B100" s="66" t="inlineStr">
        <is>
          <t>OUR BFCM 2025 RESULT &amp; EVENT VISIBILITY</t>
        </is>
      </c>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67" t="n"/>
      <c r="AG100" s="67" t="n"/>
      <c r="AH100" s="67" t="n"/>
      <c r="AI100" s="67" t="n"/>
      <c r="AJ100" s="67" t="n"/>
      <c r="AK100" s="67" t="n"/>
      <c r="AL100" s="67" t="n"/>
      <c r="AM100" s="67" t="n"/>
      <c r="AN100" s="67" t="n"/>
      <c r="AO100" s="67" t="n"/>
      <c r="AP100" s="67" t="n"/>
      <c r="AQ100" s="67" t="n"/>
      <c r="AR100" s="67" t="n"/>
      <c r="AS100" s="67" t="n"/>
      <c r="AT100" s="67" t="n"/>
      <c r="AU100" s="67" t="n"/>
      <c r="AV100" s="67" t="n"/>
      <c r="AW100" s="67" t="n"/>
      <c r="AX100" s="67" t="n"/>
      <c r="AY100" s="67" t="n"/>
      <c r="AZ100" s="67" t="n"/>
      <c r="BA100" s="67" t="n"/>
      <c r="BB100" s="67" t="n"/>
      <c r="BC100" s="67" t="n"/>
      <c r="BD100" s="67" t="n"/>
      <c r="BE100" s="67" t="n"/>
      <c r="BF100" s="67" t="n"/>
      <c r="BG100" s="67" t="n"/>
      <c r="BH100" s="67" t="n"/>
      <c r="BI100" s="67" t="n"/>
      <c r="BJ100" s="67" t="n"/>
      <c r="BK100" s="67" t="n"/>
    </row>
    <row r="101">
      <c r="A101" s="80" t="inlineStr">
        <is>
          <t>Window</t>
        </is>
      </c>
      <c r="B101" s="81" t="n"/>
      <c r="C101" s="82" t="n"/>
      <c r="D101" s="80" t="inlineStr">
        <is>
          <t>Ad spend</t>
        </is>
      </c>
      <c r="E101" s="80" t="inlineStr">
        <is>
          <t>Ad sales</t>
        </is>
      </c>
      <c r="F101" s="80" t="inlineStr">
        <is>
          <t>ACoS</t>
        </is>
      </c>
      <c r="G101" s="80" t="inlineStr">
        <is>
          <t>TACoS</t>
        </is>
      </c>
      <c r="H101" s="80" t="inlineStr">
        <is>
          <t>Total sales (derived)</t>
        </is>
      </c>
      <c r="J101" s="80" t="inlineStr">
        <is>
          <t>Ad orders</t>
        </is>
      </c>
      <c r="K101" s="80" t="inlineStr">
        <is>
          <t>CVR</t>
        </is>
      </c>
    </row>
    <row r="102">
      <c r="A102" s="83" t="inlineStr">
        <is>
          <t>Pre-event Oct 21 - Nov 19, 2025 (30d)</t>
        </is>
      </c>
      <c r="B102" s="81" t="n"/>
      <c r="C102" s="82" t="n"/>
      <c r="D102" s="84" t="n">
        <v>13504.03</v>
      </c>
      <c r="E102" s="84" t="n">
        <v>60891.58999999998</v>
      </c>
      <c r="F102" s="85" t="n">
        <v>22.2</v>
      </c>
      <c r="G102" s="85" t="n">
        <v>12.49687324373004</v>
      </c>
      <c r="H102" s="84" t="n">
        <v>108059.27</v>
      </c>
      <c r="J102" s="86" t="n">
        <v>709</v>
      </c>
      <c r="K102" s="87" t="n">
        <v>10.94</v>
      </c>
    </row>
    <row r="103">
      <c r="A103" s="83" t="inlineStr">
        <is>
          <t>BFCM week Nov 20 - Dec 1, 2025 (12d)</t>
        </is>
      </c>
      <c r="B103" s="81" t="n"/>
      <c r="C103" s="82" t="n"/>
      <c r="D103" s="84" t="n">
        <v>8130.229999999998</v>
      </c>
      <c r="E103" s="84" t="n">
        <v>50932.02</v>
      </c>
      <c r="F103" s="85" t="n">
        <v>16</v>
      </c>
      <c r="G103" s="85" t="n">
        <v>6.088840788657071</v>
      </c>
      <c r="H103" s="84" t="n">
        <v>133526.73</v>
      </c>
      <c r="J103" s="86" t="n">
        <v>723</v>
      </c>
      <c r="K103" s="87" t="n">
        <v>16.65</v>
      </c>
    </row>
    <row r="104">
      <c r="A104" s="83" t="inlineStr">
        <is>
          <t>December 2 - 31, 2025 (30d)</t>
        </is>
      </c>
      <c r="B104" s="81" t="n"/>
      <c r="C104" s="82" t="n"/>
      <c r="D104" s="84" t="n">
        <v>12138.7</v>
      </c>
      <c r="E104" s="84" t="n">
        <v>64917.74999999999</v>
      </c>
      <c r="F104" s="85" t="n">
        <v>18.7</v>
      </c>
      <c r="G104" s="85" t="n">
        <v>9.648393640662018</v>
      </c>
      <c r="H104" s="84" t="n">
        <v>125810.58</v>
      </c>
      <c r="J104" s="86" t="n">
        <v>746</v>
      </c>
      <c r="K104" s="87" t="n">
        <v>13.41</v>
      </c>
    </row>
    <row r="105"/>
    <row r="106">
      <c r="A106" s="80" t="inlineStr">
        <is>
          <t>Actual sales (account data)</t>
        </is>
      </c>
      <c r="B106" s="81" t="n"/>
      <c r="C106" s="82" t="n"/>
      <c r="D106" s="80" t="inlineStr">
        <is>
          <t>Sales</t>
        </is>
      </c>
      <c r="E106" s="80" t="inlineStr">
        <is>
          <t>Units</t>
        </is>
      </c>
      <c r="F106" s="80" t="inlineStr">
        <is>
          <t>Organic units</t>
        </is>
      </c>
      <c r="G106" s="80" t="inlineStr">
        <is>
          <t>Ad units</t>
        </is>
      </c>
      <c r="H106" s="80" t="inlineStr">
        <is>
          <t>Ad cost</t>
        </is>
      </c>
      <c r="J106" s="80" t="inlineStr">
        <is>
          <t>TACoS (actual)</t>
        </is>
      </c>
      <c r="K106" s="80" t="inlineStr">
        <is>
          <t>Sessions</t>
        </is>
      </c>
      <c r="L106" s="80" t="inlineStr">
        <is>
          <t>Unit session %</t>
        </is>
      </c>
      <c r="M106" s="80" t="inlineStr">
        <is>
          <t>Avg price</t>
        </is>
      </c>
      <c r="N106" s="80" t="inlineStr">
        <is>
          <t>Refunds</t>
        </is>
      </c>
    </row>
    <row r="107">
      <c r="A107" s="83" t="inlineStr">
        <is>
          <t>Pre-event Oct 21 - Nov 19, 2025 (30d)</t>
        </is>
      </c>
      <c r="B107" s="81" t="n"/>
      <c r="C107" s="82" t="n"/>
      <c r="D107" s="84" t="n">
        <v>78110.10000000001</v>
      </c>
      <c r="E107" s="86" t="n">
        <v>1315</v>
      </c>
      <c r="F107" s="86" t="n">
        <v>1231</v>
      </c>
      <c r="G107" s="86" t="n">
        <v>84</v>
      </c>
      <c r="H107" s="84" t="n">
        <v>9627.639999999999</v>
      </c>
      <c r="J107" s="88" t="n">
        <v>0.1232572996321858</v>
      </c>
      <c r="K107" s="86" t="n">
        <v>30898</v>
      </c>
      <c r="L107" s="88" t="n">
        <v>0.04255938895721406</v>
      </c>
      <c r="M107" s="89" t="n">
        <v>59.39931558935362</v>
      </c>
      <c r="N107" s="86" t="n">
        <v>107</v>
      </c>
    </row>
    <row r="108">
      <c r="A108" s="83" t="inlineStr">
        <is>
          <t>BFCM week Nov 20 - Dec 1, 2025 (12d)</t>
        </is>
      </c>
      <c r="B108" s="81" t="n"/>
      <c r="C108" s="82" t="n"/>
      <c r="D108" s="84" t="n">
        <v>95881.75999999999</v>
      </c>
      <c r="E108" s="86" t="n">
        <v>1982</v>
      </c>
      <c r="F108" s="86" t="n">
        <v>1877</v>
      </c>
      <c r="G108" s="86" t="n">
        <v>105</v>
      </c>
      <c r="H108" s="84" t="n">
        <v>5792.86</v>
      </c>
      <c r="J108" s="88" t="n">
        <v>0.06041670490821194</v>
      </c>
      <c r="K108" s="86" t="n">
        <v>28069</v>
      </c>
      <c r="L108" s="88" t="n">
        <v>0.07061170686522499</v>
      </c>
      <c r="M108" s="89" t="n">
        <v>48.3762663975782</v>
      </c>
      <c r="N108" s="86" t="n">
        <v>48</v>
      </c>
    </row>
    <row r="109">
      <c r="A109" s="83" t="inlineStr">
        <is>
          <t>December 2 - 31, 2025 (30d)</t>
        </is>
      </c>
      <c r="B109" s="81" t="n"/>
      <c r="C109" s="82" t="n"/>
      <c r="D109" s="84" t="n">
        <v>98854.08</v>
      </c>
      <c r="E109" s="86" t="n">
        <v>1631</v>
      </c>
      <c r="F109" s="86" t="n">
        <v>1525</v>
      </c>
      <c r="G109" s="86" t="n">
        <v>106</v>
      </c>
      <c r="H109" s="84" t="n">
        <v>8816.139999999999</v>
      </c>
      <c r="J109" s="88" t="n">
        <v>0.08918337007435605</v>
      </c>
      <c r="K109" s="86" t="n">
        <v>31381</v>
      </c>
      <c r="L109" s="88" t="n">
        <v>0.05197412447022083</v>
      </c>
      <c r="M109" s="89" t="n">
        <v>60.60949110974862</v>
      </c>
      <c r="N109" s="86" t="n">
        <v>160</v>
      </c>
    </row>
    <row r="110">
      <c r="A110" s="90" t="inlineStr">
        <is>
          <t>account data, Amazon parent B0D71YJYNL plus any of this product's child ASINs account data lists on their own, UTC days. Lift above uses these actual sales (3.07x; the ad-spend estimate was 3.09x). Amazon.ca sales here are in USD: account data converts to the account currency, while the market data table above is in CAD (ratio ~0.71). Lift is a ratio, so it is unaffected.</t>
        </is>
      </c>
    </row>
    <row r="111" ht="30" customHeight="1">
      <c r="A111" s="91" t="inlineStr">
        <is>
          <t>Deals we ran or scheduled, Nov 1 - Dec 5, 2025 (deal records promotions; scheduled deal price not in the feed. price history price = lowest Buy Box seen during the deal, an observation for the hero child only, not the scheduled deal price): Lightning Deal 11-05 to 11-05 (ran, 80 variations, 31 units); Lightning Deal 11-13 to 11-14 (ran, 80 variations, 67 units); Best Deal 11-20 to 12-02 (ran, 80 variations, 1,979 units).</t>
        </is>
      </c>
    </row>
    <row r="112" ht="18" customHeight="1">
      <c r="A112" s="92" t="inlineStr">
        <is>
          <t>BFCM 2026 plan: Best Deal 11/19-11/30. Deal price and depth not yet given; not yet visible in Amazon's deal feed.</t>
        </is>
      </c>
    </row>
    <row r="113" ht="30" customHeight="1">
      <c r="A113" s="94" t="inlineStr">
        <is>
          <t>BFCM 2026 stock (account data, Oct 15): 2,744 units at Amazon + 2,642 already sent (no ETA in account data); selling 37.6 a day; need about 2,666 to Nov 30 with a 3.07x BFCM lift (own BFCM 2025 lift (account data)). Variations: 33 covered, 7 need the inbound in time, 8 short even with inbound (1,048 units), 16 out of stock now. Detail: BFCM Stock tab.</t>
        </is>
      </c>
    </row>
    <row r="114" ht="18" customHeight="1">
      <c r="A114" s="95" t="inlineStr">
        <is>
          <t>ASSUMED 2026 deal prices, until the team's final: B0CQ3178D7 today C$99.99; C$84.99 at 15% off (Nov 19-26) and C$79.99 at 20% off (Nov 27-30, Black Friday to Cyber Monday). Rule: team rule agreed Oct 15, 2026. Evidence: our BFCM 2025 deal on B0CQ2XQF9N (US, price history): $79.99 before, $75.99 during, 5% off; US competitors' median price cut in BFCM 2025: 26% (7 rivals). Amazon may use a lower reference price than today's (it sets it the day before the deal), which would lower the deal price.</t>
        </is>
      </c>
    </row>
    <row r="115" ht="40" customHeight="1">
      <c r="A115" s="91" t="inlineStr">
        <is>
          <t>Stock in BFCM week 2025 (FBA inventory snapshots, child-ASIN level, revision 2): 3 of 77 variations hit zero FBA stock on at least one observed day; weighted by today's sales mix that is ~1.0% of variation-days lost. Most important: B0CQ32NPF5 2/9 days; B0CQ319J1Z 1/9 days; B0CQ32S4ML 1/9 days. Days with no snapshot (Nov 24, 29 and 30), inferred from sales that day and the readings either side: 210 of 231 variation-days in stock, 0 out of stock, 19 unknown; 2 sold despite 0 units on both sides (stock arriving that day): B0CQ32NPF5 11-29 (2 sold), B0CQ32NPF5 11-30 (1 sold). Inferred, not a stock reading.</t>
        </is>
      </c>
    </row>
    <row r="116">
      <c r="A116" s="90" t="inlineStr">
        <is>
          <t>Figures above are Amazon.ca in CAD. Visibility history is held for US ASINs only.</t>
        </is>
      </c>
    </row>
    <row r="117"/>
    <row r="118" ht="22" customHeight="1">
      <c r="A118" s="65" t="inlineStr">
        <is>
          <t>4 ▼</t>
        </is>
      </c>
      <c r="B118" s="66" t="inlineStr">
        <is>
          <t>COMPETITOR LANDSCAPE (8 mapped)</t>
        </is>
      </c>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c r="AC118" s="67" t="n"/>
      <c r="AD118" s="67" t="n"/>
      <c r="AE118" s="67" t="n"/>
      <c r="AF118" s="67" t="n"/>
      <c r="AG118" s="67" t="n"/>
      <c r="AH118" s="67" t="n"/>
      <c r="AI118" s="67" t="n"/>
      <c r="AJ118" s="67" t="n"/>
      <c r="AK118" s="67" t="n"/>
      <c r="AL118" s="67" t="n"/>
      <c r="AM118" s="67" t="n"/>
      <c r="AN118" s="67" t="n"/>
      <c r="AO118" s="67" t="n"/>
      <c r="AP118" s="67" t="n"/>
      <c r="AQ118" s="67" t="n"/>
      <c r="AR118" s="67" t="n"/>
      <c r="AS118" s="67" t="n"/>
      <c r="AT118" s="67" t="n"/>
      <c r="AU118" s="67" t="n"/>
      <c r="AV118" s="67" t="n"/>
      <c r="AW118" s="67" t="n"/>
      <c r="AX118" s="67" t="n"/>
      <c r="AY118" s="67" t="n"/>
      <c r="AZ118" s="67" t="n"/>
      <c r="BA118" s="67" t="n"/>
      <c r="BB118" s="67" t="n"/>
      <c r="BC118" s="67" t="n"/>
      <c r="BD118" s="67" t="n"/>
      <c r="BE118" s="67" t="n"/>
      <c r="BF118" s="67" t="n"/>
      <c r="BG118" s="67" t="n"/>
      <c r="BH118" s="67" t="n"/>
      <c r="BI118" s="67" t="n"/>
      <c r="BJ118" s="67" t="n"/>
      <c r="BK118" s="67" t="n"/>
    </row>
    <row r="119" ht="20" customHeight="1">
      <c r="A119" s="96" t="inlineStr">
        <is>
          <t>▼▼▼</t>
        </is>
      </c>
      <c r="B119" s="97" t="inlineStr">
        <is>
          <t>COMPETITOR DATA BELOW: one row per competitor (8 direct first, then alternative material). Scroll right for listing, search, strikethrough now and BFCM 2025 history (deal type, price, discount, rank change).</t>
        </is>
      </c>
      <c r="C119" s="98" t="n"/>
      <c r="D119" s="98" t="n"/>
      <c r="E119" s="98" t="n"/>
      <c r="F119" s="98" t="n"/>
      <c r="G119" s="98" t="n"/>
      <c r="H119" s="98" t="n"/>
      <c r="I119" s="98" t="n"/>
      <c r="J119" s="98" t="n"/>
      <c r="K119" s="98" t="n"/>
      <c r="L119" s="98" t="n"/>
      <c r="M119" s="98" t="n"/>
      <c r="N119" s="98" t="n"/>
      <c r="O119" s="98" t="n"/>
      <c r="P119" s="98" t="n"/>
      <c r="Q119" s="98" t="n"/>
      <c r="R119" s="98" t="n"/>
      <c r="S119" s="98" t="n"/>
      <c r="T119" s="98" t="n"/>
      <c r="U119" s="98" t="n"/>
      <c r="V119" s="98" t="n"/>
      <c r="W119" s="98" t="n"/>
      <c r="X119" s="98" t="n"/>
      <c r="Y119" s="98" t="n"/>
      <c r="Z119" s="98" t="n"/>
      <c r="AA119" s="98" t="n"/>
      <c r="AB119" s="98" t="n"/>
      <c r="AC119" s="98" t="n"/>
      <c r="AD119" s="98" t="n"/>
      <c r="AE119" s="98" t="n"/>
      <c r="AF119" s="98" t="n"/>
      <c r="AG119" s="98" t="n"/>
      <c r="AH119" s="98" t="n"/>
      <c r="AI119" s="98" t="n"/>
      <c r="AJ119" s="98" t="n"/>
      <c r="AK119" s="98" t="n"/>
      <c r="AL119" s="98" t="n"/>
      <c r="AM119" s="98" t="n"/>
      <c r="AN119" s="98" t="n"/>
      <c r="AO119" s="98" t="n"/>
      <c r="AP119" s="98" t="n"/>
      <c r="AQ119" s="98" t="n"/>
      <c r="AR119" s="98" t="n"/>
      <c r="AS119" s="98" t="n"/>
      <c r="AT119" s="98" t="n"/>
      <c r="AU119" s="98" t="n"/>
      <c r="AV119" s="98" t="n"/>
      <c r="AW119" s="98" t="n"/>
      <c r="AX119" s="98" t="n"/>
      <c r="AY119" s="98" t="n"/>
      <c r="AZ119" s="98" t="n"/>
      <c r="BA119" s="98" t="n"/>
      <c r="BB119" s="98" t="n"/>
      <c r="BC119" s="98" t="n"/>
      <c r="BD119" s="98" t="n"/>
      <c r="BE119" s="98" t="n"/>
      <c r="BF119" s="98" t="n"/>
      <c r="BG119" s="98" t="n"/>
      <c r="BH119" s="98" t="n"/>
      <c r="BI119" s="98" t="n"/>
      <c r="BJ119" s="98" t="n"/>
      <c r="BK119" s="98" t="n"/>
    </row>
    <row r="120" ht="30" customHeight="1">
      <c r="A120"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21">
      <c r="A121" s="99" t="inlineStr">
        <is>
          <t>COMPETITOR</t>
        </is>
      </c>
      <c r="L121" s="100" t="inlineStr">
        <is>
          <t>LISTING - catalog data</t>
        </is>
      </c>
      <c r="M121" s="101" t="inlineStr">
        <is>
          <t>SEARCH STRATEGY - market data search data</t>
        </is>
      </c>
      <c r="N121" s="102" t="inlineStr">
        <is>
          <t>PRICE &amp; SALES - market data snapshot (date per row)</t>
        </is>
      </c>
      <c r="AA121" s="100" t="inlineStr">
        <is>
          <t>LISTING - catalog data</t>
        </is>
      </c>
      <c r="AD121" s="101" t="inlineStr">
        <is>
          <t>SEARCH STRATEGY - market data search data</t>
        </is>
      </c>
      <c r="AU121" s="103" t="inlineStr">
        <is>
          <t>STR NOW - Amazon page check (Oct 13, P1 + P2)</t>
        </is>
      </c>
      <c r="BB121" s="104" t="inlineStr">
        <is>
          <t>BFCM 2025 - price history (P1 filled; yellow = not pulled yet)</t>
        </is>
      </c>
    </row>
    <row r="122" ht="48" customHeight="1">
      <c r="A122" s="26" t="inlineStr">
        <is>
          <t>Image</t>
        </is>
      </c>
      <c r="B122" s="26" t="inlineStr">
        <is>
          <t>Brand</t>
        </is>
      </c>
      <c r="C122" s="26" t="inlineStr">
        <is>
          <t>Product title</t>
        </is>
      </c>
      <c r="D122" s="26" t="inlineStr">
        <is>
          <t>Tier</t>
        </is>
      </c>
      <c r="E122" s="26" t="inlineStr">
        <is>
          <t>Competitor type</t>
        </is>
      </c>
      <c r="F122" s="26" t="inlineStr">
        <is>
          <t>Material</t>
        </is>
      </c>
      <c r="G122" s="26" t="inlineStr">
        <is>
          <t>Why this type</t>
        </is>
      </c>
      <c r="H122" s="26" t="inlineStr">
        <is>
          <t>Parent ASIN</t>
        </is>
      </c>
      <c r="I122" s="26" t="inlineStr">
        <is>
          <t>Tracked child ASIN</t>
        </is>
      </c>
      <c r="J122" s="26" t="inlineStr">
        <is>
          <t>Size</t>
        </is>
      </c>
      <c r="K122" s="26" t="inlineStr">
        <is>
          <t>Colour</t>
        </is>
      </c>
      <c r="L122" s="26" t="inlineStr">
        <is>
          <t>Variations</t>
        </is>
      </c>
      <c r="M122" s="26" t="inlineStr">
        <is>
          <t>Hero child ASINs (share of their visibility)</t>
        </is>
      </c>
      <c r="N122" s="26" t="inlineStr">
        <is>
          <t>Price ($)</t>
        </is>
      </c>
      <c r="O122" s="26" t="inlineStr">
        <is>
          <t>List Price ($)</t>
        </is>
      </c>
      <c r="P122" s="26" t="inlineStr">
        <is>
          <t>List Price % over</t>
        </is>
      </c>
      <c r="Q122" s="26" t="inlineStr">
        <is>
          <t>STR band</t>
        </is>
      </c>
      <c r="R122" s="26" t="inlineStr">
        <is>
          <t>Our price, same size ($)</t>
        </is>
      </c>
      <c r="S122" s="26" t="inlineStr">
        <is>
          <t>Their price vs ours</t>
        </is>
      </c>
      <c r="T122" s="26" t="inlineStr">
        <is>
          <t>Comparison basis</t>
        </is>
      </c>
      <c r="U122" s="26" t="inlineStr">
        <is>
          <t>BSR</t>
        </is>
      </c>
      <c r="V122" s="26" t="inlineStr">
        <is>
          <t>Est weekly units</t>
        </is>
      </c>
      <c r="W122" s="26" t="inlineStr">
        <is>
          <t>Est monthly revenue ($)</t>
        </is>
      </c>
      <c r="X122" s="26" t="inlineStr">
        <is>
          <t>Rating</t>
        </is>
      </c>
      <c r="Y122" s="26" t="inlineStr">
        <is>
          <t>Reviews</t>
        </is>
      </c>
      <c r="Z122" s="26" t="inlineStr">
        <is>
          <t>Snapshot date</t>
        </is>
      </c>
      <c r="AA122" s="26" t="inlineStr">
        <is>
          <t>Listed</t>
        </is>
      </c>
      <c r="AB122" s="26" t="inlineStr">
        <is>
          <t>Fulfil.</t>
        </is>
      </c>
      <c r="AC122" s="26" t="inlineStr">
        <is>
          <t>Seller country</t>
        </is>
      </c>
      <c r="AD122" s="26" t="inlineStr">
        <is>
          <t>search data 7d traffic</t>
        </is>
      </c>
      <c r="AE122" s="26" t="inlineStr">
        <is>
          <t>Keywords ranked</t>
        </is>
      </c>
      <c r="AF122" s="26" t="inlineStr">
        <is>
          <t>Organic share of traffic</t>
        </is>
      </c>
      <c r="AG122" s="26" t="inlineStr">
        <is>
          <t>Ad share of traffic</t>
        </is>
      </c>
      <c r="AH122" s="26" t="inlineStr">
        <is>
          <t>Top keyword</t>
        </is>
      </c>
      <c r="AI122" s="26" t="inlineStr">
        <is>
          <t>SP reach</t>
        </is>
      </c>
      <c r="AJ122" s="26" t="inlineStr">
        <is>
          <t>SB reach</t>
        </is>
      </c>
      <c r="AK122" s="26" t="inlineStr">
        <is>
          <t>SB video reach</t>
        </is>
      </c>
      <c r="AL122" s="26" t="inlineStr">
        <is>
          <t>Amazon's Choice reach</t>
        </is>
      </c>
      <c r="AM122" s="26" t="inlineStr">
        <is>
          <t>Shared keywords</t>
        </is>
      </c>
      <c r="AN122" s="26" t="inlineStr">
        <is>
          <t>We win</t>
        </is>
      </c>
      <c r="AO122" s="26" t="inlineStr">
        <is>
          <t>We lose</t>
        </is>
      </c>
      <c r="AP122" s="26" t="inlineStr">
        <is>
          <t>Their keywords we miss</t>
        </is>
      </c>
      <c r="AQ122" s="26" t="inlineStr">
        <is>
          <t>KWs they advertise, we don't</t>
        </is>
      </c>
      <c r="AR122" s="26" t="inlineStr">
        <is>
          <t>KWs they out-advertise us</t>
        </is>
      </c>
      <c r="AS122" s="26" t="inlineStr">
        <is>
          <t>Prime Day 2026 organic vis lift</t>
        </is>
      </c>
      <c r="AT122" s="26" t="inlineStr">
        <is>
          <t>Organic trend (Aug-Sep vs Q2)</t>
        </is>
      </c>
      <c r="AU122" s="26" t="inlineStr">
        <is>
          <t>STR showing now? (Y/N)</t>
        </is>
      </c>
      <c r="AV122" s="26" t="inlineStr">
        <is>
          <t>STR label</t>
        </is>
      </c>
      <c r="AW122" s="26" t="inlineStr">
        <is>
          <t>Strikethrough price ($)</t>
        </is>
      </c>
      <c r="AX122" s="26" t="inlineStr">
        <is>
          <t>Page price at check ($)</t>
        </is>
      </c>
      <c r="AY122" s="26" t="inlineStr">
        <is>
          <t>Deal / coupon now</t>
        </is>
      </c>
      <c r="AZ122" s="26" t="inlineStr">
        <is>
          <t>Orderable now (Y/N)</t>
        </is>
      </c>
      <c r="BA122" s="26" t="inlineStr">
        <is>
          <t>Checked (ET)</t>
        </is>
      </c>
      <c r="BB122" s="26" t="inlineStr">
        <is>
          <t>BFCM 2025 deal type</t>
        </is>
      </c>
      <c r="BC122" s="26" t="inlineStr">
        <is>
          <t>BFCM 2025 deal dates</t>
        </is>
      </c>
      <c r="BD122" s="26" t="inlineStr">
        <is>
          <t>Pre-event price ($)</t>
        </is>
      </c>
      <c r="BE122" s="26" t="inlineStr">
        <is>
          <t>BFCM 2025 low ($)</t>
        </is>
      </c>
      <c r="BF122" s="26" t="inlineStr">
        <is>
          <t>BFCM 2025 discount</t>
        </is>
      </c>
      <c r="BG122" s="26" t="inlineStr">
        <is>
          <t>BSR pre-event</t>
        </is>
      </c>
      <c r="BH122" s="26" t="inlineStr">
        <is>
          <t>BSR BFCM wk</t>
        </is>
      </c>
      <c r="BI122" s="26" t="inlineStr">
        <is>
          <t>BSR lift (x)</t>
        </is>
      </c>
      <c r="BJ122" s="26" t="inlineStr">
        <is>
          <t>OOS in BFCM? (Y/N)</t>
        </is>
      </c>
      <c r="BK122" s="26" t="inlineStr">
        <is>
          <t>Notes</t>
        </is>
      </c>
    </row>
    <row r="123" ht="62" customHeight="1">
      <c r="A123" s="12">
        <f>_xlfn.IMAGE("https://m.media-amazon.com/images/I/81cMXuF9sWL.jpg")</f>
        <v/>
      </c>
      <c r="B123" s="105" t="inlineStr">
        <is>
          <t>GOKOTTA</t>
        </is>
      </c>
      <c r="C123" s="39" t="inlineStr">
        <is>
          <t>Gökotta Queen Bed Sheets 6 Piece, 100% FSC® Certified Bamboo, Cooling</t>
        </is>
      </c>
      <c r="D123" s="105" t="inlineStr">
        <is>
          <t>Untiered</t>
        </is>
      </c>
      <c r="E123" s="106" t="inlineStr">
        <is>
          <t>Direct</t>
        </is>
      </c>
      <c r="F123" s="105" t="inlineStr">
        <is>
          <t>Bamboo viscose</t>
        </is>
      </c>
      <c r="G123" s="39" t="inlineStr">
        <is>
          <t>Same product (sheet set) in the same material family: Bamboo viscose (title: Gökotta Queen Bed Sheets 6 Piece, 100% FSC® Certified Bamboo); ours: our listing: viscose from bamboo.</t>
        </is>
      </c>
      <c r="H123" s="107" t="inlineStr">
        <is>
          <t>B09WY1GFH8</t>
        </is>
      </c>
      <c r="I123" s="107" t="inlineStr">
        <is>
          <t>B0BYMKZ5ZC</t>
        </is>
      </c>
      <c r="J123" s="105" t="inlineStr">
        <is>
          <t>Queen</t>
        </is>
      </c>
      <c r="K123" s="105" t="inlineStr">
        <is>
          <t>05 Dark Grey</t>
        </is>
      </c>
      <c r="L123" s="108" t="n">
        <v>101</v>
      </c>
      <c r="M123" s="39" t="n"/>
      <c r="N123" s="109" t="n">
        <v>159.99</v>
      </c>
      <c r="O123" s="109" t="n"/>
      <c r="P123" s="110">
        <f>IF(AND(ISNUMBER(O123),ISNUMBER(N123),N(N123)&gt;0),O123/N123-1,"")</f>
        <v/>
      </c>
      <c r="Q123" s="111">
        <f>IF(P123="","No List Price",IF(P123&lt;=0,"At/below price",IF(P123&lt;=0.12,"&lt;=12% STR zone",IF(P123&lt;=0.25,"12-25%","&gt;25% over"))))</f>
        <v/>
      </c>
      <c r="R123" s="109" t="n">
        <v>99.98999999999999</v>
      </c>
      <c r="S123" s="112">
        <f>IF(AND(ISNUMBER(N123),ISNUMBER(R123),N(R123)&gt;0),N123/R123-1,"")</f>
        <v/>
      </c>
      <c r="T123" s="39" t="inlineStr">
        <is>
          <t>Same size (Queen), CAD. Ours live: catalog price (CAD), 2026-10-14; 16 children</t>
        </is>
      </c>
      <c r="U123" s="108" t="n">
        <v>4180</v>
      </c>
      <c r="V123" s="108" t="n"/>
      <c r="W123" s="113">
        <f>IF(AND(ISNUMBER(N123),ISNUMBER(V123)),N123*V123*52/12,"")</f>
        <v/>
      </c>
      <c r="X123" s="114" t="n">
        <v>4.4</v>
      </c>
      <c r="Y123" s="108" t="n">
        <v>2698</v>
      </c>
      <c r="Z123" s="115" t="n">
        <v>46309</v>
      </c>
      <c r="AA123" s="115" t="n"/>
      <c r="AB123" s="105" t="n"/>
      <c r="AC123" s="105" t="n"/>
      <c r="AD123" s="108" t="n"/>
      <c r="AE123" s="108" t="n"/>
      <c r="AF123" s="116" t="n"/>
      <c r="AG123" s="116" t="n"/>
      <c r="AH123" s="39" t="n"/>
      <c r="AI123" s="116" t="n"/>
      <c r="AJ123" s="116" t="n"/>
      <c r="AK123" s="116" t="n"/>
      <c r="AL123" s="116" t="n"/>
      <c r="AM123" s="108" t="n"/>
      <c r="AN123" s="108" t="n"/>
      <c r="AO123" s="108" t="n"/>
      <c r="AP123" s="108" t="n"/>
      <c r="AQ123" s="108" t="n"/>
      <c r="AR123" s="108" t="n"/>
      <c r="AS123" s="117" t="n"/>
      <c r="AT123" s="112" t="n"/>
      <c r="AU123" s="118" t="inlineStr">
        <is>
          <t>N</t>
        </is>
      </c>
      <c r="AV123" s="118" t="inlineStr">
        <is>
          <t>none</t>
        </is>
      </c>
      <c r="AW123" s="124" t="n"/>
      <c r="AX123" s="119" t="n">
        <v>159.99</v>
      </c>
      <c r="AY123" s="118" t="inlineStr">
        <is>
          <t>coupon $10</t>
        </is>
      </c>
      <c r="AZ123" s="118" t="inlineStr">
        <is>
          <t>Y</t>
        </is>
      </c>
      <c r="BA123" s="118" t="inlineStr">
        <is>
          <t>2026-10-14 00:30:46</t>
        </is>
      </c>
      <c r="BB123" s="120" t="inlineStr">
        <is>
          <t>Coupon only</t>
        </is>
      </c>
      <c r="BC123" s="120" t="inlineStr">
        <is>
          <t>11-02 to 12-05</t>
        </is>
      </c>
      <c r="BD123" s="121" t="n">
        <v>159.99</v>
      </c>
      <c r="BE123" s="121" t="n">
        <v>127.99</v>
      </c>
      <c r="BF123" s="110">
        <f>IF(AND(ISNUMBER(BD123),ISNUMBER(BE123),N(BD123)&gt;0),1-BE123/BD123,"")</f>
        <v/>
      </c>
      <c r="BG123" s="122" t="n">
        <v>4400</v>
      </c>
      <c r="BH123" s="122" t="n">
        <v>2944</v>
      </c>
      <c r="BI123" s="123">
        <f>IF(AND(ISNUMBER(BG123),ISNUMBER(BH123),N(BH123)&gt;0),BG123/BH123,"")</f>
        <v/>
      </c>
      <c r="BJ123" s="120" t="inlineStr">
        <is>
          <t>N</t>
        </is>
      </c>
      <c r="BK123" s="120" t="inlineStr">
        <is>
          <t>Amazon.ca organic #2 for 'bamboo sheets queen 6 piece'; 100% Rayon Made from Bamboo; variation_count = distinct children exposed in page variation map, not a guaranteed complete catalogue. Bought-past-month badge not displayed. price history: Coupon 30.00 CAD</t>
        </is>
      </c>
    </row>
    <row r="124" ht="62" customHeight="1">
      <c r="A124" s="12">
        <f>_xlfn.IMAGE("https://m.media-amazon.com/images/I/71JCKgmoACL.jpg")</f>
        <v/>
      </c>
      <c r="B124" s="105" t="inlineStr">
        <is>
          <t>Love's cabin</t>
        </is>
      </c>
      <c r="C124" s="39" t="inlineStr">
        <is>
          <t>Love's cabin 100% Rayon Derived from Bamboo, Queen Sheets, 6 Pieces, White</t>
        </is>
      </c>
      <c r="D124" s="105" t="inlineStr">
        <is>
          <t>Untiered</t>
        </is>
      </c>
      <c r="E124" s="106" t="inlineStr">
        <is>
          <t>Direct</t>
        </is>
      </c>
      <c r="F124" s="105" t="inlineStr">
        <is>
          <t>Bamboo viscose</t>
        </is>
      </c>
      <c r="G124" s="39" t="inlineStr">
        <is>
          <t>Same product (sheet set) in the same material family: Bamboo viscose (title: Love's cabin 100% Rayon Derived from Bamboo, Queen Sheets, 6); ours: our listing: viscose from bamboo.</t>
        </is>
      </c>
      <c r="H124" s="107" t="inlineStr">
        <is>
          <t>B0DWH7649Z</t>
        </is>
      </c>
      <c r="I124" s="107" t="inlineStr">
        <is>
          <t>B0GGGRH6PC</t>
        </is>
      </c>
      <c r="J124" s="105" t="inlineStr">
        <is>
          <t>Queen</t>
        </is>
      </c>
      <c r="K124" s="105" t="inlineStr">
        <is>
          <t>01-white</t>
        </is>
      </c>
      <c r="L124" s="108" t="n">
        <v>154</v>
      </c>
      <c r="M124" s="39" t="n"/>
      <c r="N124" s="109" t="n">
        <v>90.36</v>
      </c>
      <c r="O124" s="109" t="n"/>
      <c r="P124" s="110">
        <f>IF(AND(ISNUMBER(O124),ISNUMBER(N124),N(N124)&gt;0),O124/N124-1,"")</f>
        <v/>
      </c>
      <c r="Q124" s="111">
        <f>IF(P124="","No List Price",IF(P124&lt;=0,"At/below price",IF(P124&lt;=0.12,"&lt;=12% STR zone",IF(P124&lt;=0.25,"12-25%","&gt;25% over"))))</f>
        <v/>
      </c>
      <c r="R124" s="109" t="n">
        <v>99.98999999999999</v>
      </c>
      <c r="S124" s="112">
        <f>IF(AND(ISNUMBER(N124),ISNUMBER(R124),N(R124)&gt;0),N124/R124-1,"")</f>
        <v/>
      </c>
      <c r="T124" s="39" t="inlineStr">
        <is>
          <t>Same size (Queen), CAD. Ours live: catalog price (CAD), 2026-10-14; 16 children</t>
        </is>
      </c>
      <c r="U124" s="108" t="n">
        <v>190314</v>
      </c>
      <c r="V124" s="108" t="n"/>
      <c r="W124" s="113">
        <f>IF(AND(ISNUMBER(N124),ISNUMBER(V124)),N124*V124*52/12,"")</f>
        <v/>
      </c>
      <c r="X124" s="114" t="n">
        <v>4.4</v>
      </c>
      <c r="Y124" s="108" t="n">
        <v>1854</v>
      </c>
      <c r="Z124" s="115" t="n">
        <v>46309</v>
      </c>
      <c r="AA124" s="115" t="n"/>
      <c r="AB124" s="105" t="n"/>
      <c r="AC124" s="105" t="n"/>
      <c r="AD124" s="108" t="n"/>
      <c r="AE124" s="108" t="n"/>
      <c r="AF124" s="116" t="n"/>
      <c r="AG124" s="116" t="n"/>
      <c r="AH124" s="39" t="n"/>
      <c r="AI124" s="116" t="n"/>
      <c r="AJ124" s="116" t="n"/>
      <c r="AK124" s="116" t="n"/>
      <c r="AL124" s="116" t="n"/>
      <c r="AM124" s="108" t="n"/>
      <c r="AN124" s="108" t="n"/>
      <c r="AO124" s="108" t="n"/>
      <c r="AP124" s="108" t="n"/>
      <c r="AQ124" s="108" t="n"/>
      <c r="AR124" s="108" t="n"/>
      <c r="AS124" s="117" t="n"/>
      <c r="AT124" s="112" t="n"/>
      <c r="AU124" s="118" t="inlineStr">
        <is>
          <t>N</t>
        </is>
      </c>
      <c r="AV124" s="118" t="inlineStr">
        <is>
          <t>none</t>
        </is>
      </c>
      <c r="AW124" s="124" t="n"/>
      <c r="AX124" s="119" t="n">
        <v>90.36</v>
      </c>
      <c r="AY124" s="118" t="inlineStr">
        <is>
          <t>none</t>
        </is>
      </c>
      <c r="AZ124" s="118" t="inlineStr">
        <is>
          <t>Y</t>
        </is>
      </c>
      <c r="BA124" s="118" t="inlineStr">
        <is>
          <t>2026-10-14 00:34:52</t>
        </is>
      </c>
      <c r="BB124" s="120" t="inlineStr">
        <is>
          <t>Not live in 2025</t>
        </is>
      </c>
      <c r="BC124" s="125" t="n"/>
      <c r="BD124" s="124" t="n"/>
      <c r="BE124" s="124" t="n"/>
      <c r="BF124" s="110">
        <f>IF(AND(ISNUMBER(BD124),ISNUMBER(BE124),N(BD124)&gt;0),1-BE124/BD124,"")</f>
        <v/>
      </c>
      <c r="BG124" s="126" t="n"/>
      <c r="BH124" s="126" t="n"/>
      <c r="BI124" s="123">
        <f>IF(AND(ISNUMBER(BG124),ISNUMBER(BH124),N(BH124)&gt;0),BG124/BH124,"")</f>
        <v/>
      </c>
      <c r="BJ124" s="125" t="n"/>
      <c r="BK124" s="120" t="inlineStr">
        <is>
          <t>Amazon.ca organic #12 for '6 piece bamboo sheets'; 100% Rayon Derived from Bamboo; variation_count = distinct children exposed in page variation map, not a guaranteed complete catalogue. Bought-past-month badge not displayed.</t>
        </is>
      </c>
    </row>
    <row r="125" ht="62" customHeight="1">
      <c r="A125" s="12">
        <f>_xlfn.IMAGE("https://m.media-amazon.com/images/I/61eXrcqZqhL.jpg")</f>
        <v/>
      </c>
      <c r="B125" s="105" t="inlineStr">
        <is>
          <t>Bamboo Bay</t>
        </is>
      </c>
      <c r="C125" s="39" t="inlineStr">
        <is>
          <t>Bamboo Bay Luxury Bamboo Sheets Queen Size - 6 Piece Ultra Soft Cooling Sheets for Hot Sleepers - 100% Organic Bamboo Queen Sheet Set Fits Up to 16" Deep Pocket - Eco Friendly - Queen - Light Blue</t>
        </is>
      </c>
      <c r="D125" s="105" t="inlineStr">
        <is>
          <t>Untiered</t>
        </is>
      </c>
      <c r="E125" s="106" t="inlineStr">
        <is>
          <t>Direct</t>
        </is>
      </c>
      <c r="F125" s="105" t="inlineStr">
        <is>
          <t>Bamboo viscose</t>
        </is>
      </c>
      <c r="G125" s="39" t="inlineStr">
        <is>
          <t>Same product (sheet set) in the same material family: Bamboo viscose (title: Bamboo Bay Luxury Bamboo Sheets Queen Size - 6 Piece Ultra S); ours: our listing: viscose from bamboo.</t>
        </is>
      </c>
      <c r="H125" s="107" t="inlineStr">
        <is>
          <t>B06Y46YNR8</t>
        </is>
      </c>
      <c r="I125" s="107" t="inlineStr">
        <is>
          <t>B08G4PP8H1</t>
        </is>
      </c>
      <c r="J125" s="105" t="inlineStr">
        <is>
          <t>Queen</t>
        </is>
      </c>
      <c r="K125" s="105" t="inlineStr">
        <is>
          <t>Light Blue</t>
        </is>
      </c>
      <c r="L125" s="108" t="n">
        <v>45</v>
      </c>
      <c r="M125" s="39" t="n"/>
      <c r="N125" s="109" t="n"/>
      <c r="O125" s="109" t="n"/>
      <c r="P125" s="110">
        <f>IF(AND(ISNUMBER(O125),ISNUMBER(N125),N(N125)&gt;0),O125/N125-1,"")</f>
        <v/>
      </c>
      <c r="Q125" s="111">
        <f>IF(P125="","No List Price",IF(P125&lt;=0,"At/below price",IF(P125&lt;=0.12,"&lt;=12% STR zone",IF(P125&lt;=0.25,"12-25%","&gt;25% over"))))</f>
        <v/>
      </c>
      <c r="R125" s="109" t="n">
        <v>99.98999999999999</v>
      </c>
      <c r="S125" s="112">
        <f>IF(AND(ISNUMBER(N125),ISNUMBER(R125),N(R125)&gt;0),N125/R125-1,"")</f>
        <v/>
      </c>
      <c r="T125" s="39" t="inlineStr">
        <is>
          <t>Same size (Queen), CAD. Ours live: catalog price (CAD), 2026-10-14; 16 children</t>
        </is>
      </c>
      <c r="U125" s="108" t="n">
        <v>43757</v>
      </c>
      <c r="V125" s="108" t="n"/>
      <c r="W125" s="113">
        <f>IF(AND(ISNUMBER(N125),ISNUMBER(V125)),N125*V125*52/12,"")</f>
        <v/>
      </c>
      <c r="X125" s="114" t="n">
        <v>4.4</v>
      </c>
      <c r="Y125" s="108" t="n">
        <v>2826</v>
      </c>
      <c r="Z125" s="115" t="n">
        <v>46309</v>
      </c>
      <c r="AA125" s="115" t="n"/>
      <c r="AB125" s="105" t="n"/>
      <c r="AC125" s="105" t="n"/>
      <c r="AD125" s="108" t="n"/>
      <c r="AE125" s="108" t="n"/>
      <c r="AF125" s="116" t="n"/>
      <c r="AG125" s="116" t="n"/>
      <c r="AH125" s="39" t="n"/>
      <c r="AI125" s="116" t="n"/>
      <c r="AJ125" s="116" t="n"/>
      <c r="AK125" s="116" t="n"/>
      <c r="AL125" s="116" t="n"/>
      <c r="AM125" s="108" t="n"/>
      <c r="AN125" s="108" t="n"/>
      <c r="AO125" s="108" t="n"/>
      <c r="AP125" s="108" t="n"/>
      <c r="AQ125" s="108" t="n"/>
      <c r="AR125" s="108" t="n"/>
      <c r="AS125" s="117" t="n"/>
      <c r="AT125" s="112" t="n"/>
      <c r="AU125" s="118" t="inlineStr">
        <is>
          <t>N</t>
        </is>
      </c>
      <c r="AV125" s="118" t="inlineStr">
        <is>
          <t>none</t>
        </is>
      </c>
      <c r="AW125" s="124" t="n"/>
      <c r="AX125" s="124" t="n"/>
      <c r="AY125" s="118" t="inlineStr">
        <is>
          <t>none</t>
        </is>
      </c>
      <c r="AZ125" s="125" t="n"/>
      <c r="BA125" s="118" t="inlineStr">
        <is>
          <t>2026-10-14 00:40:07</t>
        </is>
      </c>
      <c r="BB125" s="120" t="inlineStr">
        <is>
          <t>None</t>
        </is>
      </c>
      <c r="BC125" s="125" t="n"/>
      <c r="BD125" s="121" t="n">
        <v>94.98999999999999</v>
      </c>
      <c r="BE125" s="121" t="n">
        <v>94.98999999999999</v>
      </c>
      <c r="BF125" s="110">
        <f>IF(AND(ISNUMBER(BD125),ISNUMBER(BE125),N(BD125)&gt;0),1-BE125/BD125,"")</f>
        <v/>
      </c>
      <c r="BG125" s="122" t="n">
        <v>326901</v>
      </c>
      <c r="BH125" s="122" t="n">
        <v>396726</v>
      </c>
      <c r="BI125" s="123">
        <f>IF(AND(ISNUMBER(BG125),ISNUMBER(BH125),N(BH125)&gt;0),BG125/BH125,"")</f>
        <v/>
      </c>
      <c r="BJ125" s="120" t="inlineStr">
        <is>
          <t>Y</t>
        </is>
      </c>
      <c r="BK125" s="120" t="inlineStr">
        <is>
          <t>Amazon.ca organic #13 for '6 piece bamboo sheets'; 100% Organic Bamboo; Exact standard Queen sheet/set option selected; pillowcase-only, short-Queen, multipack and different-piece-count options not substituted. Search child B08BHVTS</t>
        </is>
      </c>
    </row>
    <row r="126" ht="62" customHeight="1">
      <c r="A126" s="12">
        <f>_xlfn.IMAGE("https://m.media-amazon.com/images/I/61I0uIu6eFL.jpg")</f>
        <v/>
      </c>
      <c r="B126" s="105" t="inlineStr">
        <is>
          <t>GOKOTTA</t>
        </is>
      </c>
      <c r="C126" s="39" t="inlineStr">
        <is>
          <t>Queen Bed Sheets 6 Piece Set by Gökotta, 24" Extra Deep Pocket Fitted Sheets with Elastic Corner Straps, 150 GSM Thicker Luxury Soft Sheets, 100% Rayon Derived from Bamboo, Blue</t>
        </is>
      </c>
      <c r="D126" s="105" t="inlineStr">
        <is>
          <t>Untiered</t>
        </is>
      </c>
      <c r="E126" s="106" t="inlineStr">
        <is>
          <t>Direct</t>
        </is>
      </c>
      <c r="F126" s="105" t="inlineStr">
        <is>
          <t>Bamboo viscose</t>
        </is>
      </c>
      <c r="G126" s="39" t="inlineStr">
        <is>
          <t>Same product (sheet set) in the same material family: Bamboo viscose (title: Queen Bed Sheets 6 Piece Set by Gökotta, 24" Extra Deep Pock); ours: our listing: viscose from bamboo.</t>
        </is>
      </c>
      <c r="H126" s="107" t="inlineStr">
        <is>
          <t>B0CLQ1F333</t>
        </is>
      </c>
      <c r="I126" s="107" t="inlineStr">
        <is>
          <t>B0CCRKZ8G2</t>
        </is>
      </c>
      <c r="J126" s="105" t="inlineStr">
        <is>
          <t>Queen</t>
        </is>
      </c>
      <c r="K126" s="105" t="inlineStr">
        <is>
          <t>03 Blue</t>
        </is>
      </c>
      <c r="L126" s="108" t="n">
        <v>4</v>
      </c>
      <c r="M126" s="39" t="n"/>
      <c r="N126" s="109" t="n">
        <v>174.99</v>
      </c>
      <c r="O126" s="109" t="n"/>
      <c r="P126" s="110">
        <f>IF(AND(ISNUMBER(O126),ISNUMBER(N126),N(N126)&gt;0),O126/N126-1,"")</f>
        <v/>
      </c>
      <c r="Q126" s="111">
        <f>IF(P126="","No List Price",IF(P126&lt;=0,"At/below price",IF(P126&lt;=0.12,"&lt;=12% STR zone",IF(P126&lt;=0.25,"12-25%","&gt;25% over"))))</f>
        <v/>
      </c>
      <c r="R126" s="109" t="n">
        <v>99.98999999999999</v>
      </c>
      <c r="S126" s="112">
        <f>IF(AND(ISNUMBER(N126),ISNUMBER(R126),N(R126)&gt;0),N126/R126-1,"")</f>
        <v/>
      </c>
      <c r="T126" s="39" t="inlineStr">
        <is>
          <t>Same size (Queen), CAD. Ours live: catalog price (CAD), 2026-10-14; 16 children</t>
        </is>
      </c>
      <c r="U126" s="108" t="n">
        <v>160491</v>
      </c>
      <c r="V126" s="108" t="n"/>
      <c r="W126" s="113">
        <f>IF(AND(ISNUMBER(N126),ISNUMBER(V126)),N126*V126*52/12,"")</f>
        <v/>
      </c>
      <c r="X126" s="114" t="n">
        <v>4.5</v>
      </c>
      <c r="Y126" s="108" t="n">
        <v>323</v>
      </c>
      <c r="Z126" s="115" t="n">
        <v>46309</v>
      </c>
      <c r="AA126" s="115" t="n"/>
      <c r="AB126" s="105" t="n"/>
      <c r="AC126" s="105" t="n"/>
      <c r="AD126" s="108" t="n"/>
      <c r="AE126" s="108" t="n"/>
      <c r="AF126" s="116" t="n"/>
      <c r="AG126" s="116" t="n"/>
      <c r="AH126" s="39" t="n"/>
      <c r="AI126" s="116" t="n"/>
      <c r="AJ126" s="116" t="n"/>
      <c r="AK126" s="116" t="n"/>
      <c r="AL126" s="116" t="n"/>
      <c r="AM126" s="108" t="n"/>
      <c r="AN126" s="108" t="n"/>
      <c r="AO126" s="108" t="n"/>
      <c r="AP126" s="108" t="n"/>
      <c r="AQ126" s="108" t="n"/>
      <c r="AR126" s="108" t="n"/>
      <c r="AS126" s="117" t="n"/>
      <c r="AT126" s="112" t="n"/>
      <c r="AU126" s="118" t="inlineStr">
        <is>
          <t>N</t>
        </is>
      </c>
      <c r="AV126" s="118" t="inlineStr">
        <is>
          <t>none</t>
        </is>
      </c>
      <c r="AW126" s="124" t="n"/>
      <c r="AX126" s="119" t="n">
        <v>174.99</v>
      </c>
      <c r="AY126" s="118" t="inlineStr">
        <is>
          <t>coupon $28</t>
        </is>
      </c>
      <c r="AZ126" s="118" t="inlineStr">
        <is>
          <t>Y</t>
        </is>
      </c>
      <c r="BA126" s="118" t="inlineStr">
        <is>
          <t>2026-10-14 00:35:12</t>
        </is>
      </c>
      <c r="BB126" s="120" t="inlineStr">
        <is>
          <t>Price cut only</t>
        </is>
      </c>
      <c r="BC126" s="120" t="inlineStr">
        <is>
          <t>11-21 to 12-01</t>
        </is>
      </c>
      <c r="BD126" s="121" t="n">
        <v>174.99</v>
      </c>
      <c r="BE126" s="121" t="n">
        <v>131.24</v>
      </c>
      <c r="BF126" s="110">
        <f>IF(AND(ISNUMBER(BD126),ISNUMBER(BE126),N(BD126)&gt;0),1-BE126/BD126,"")</f>
        <v/>
      </c>
      <c r="BG126" s="122" t="n">
        <v>32049</v>
      </c>
      <c r="BH126" s="122" t="n">
        <v>24851</v>
      </c>
      <c r="BI126" s="123">
        <f>IF(AND(ISNUMBER(BG126),ISNUMBER(BH126),N(BH126)&gt;0),BG126/BH126,"")</f>
        <v/>
      </c>
      <c r="BJ126" s="120" t="inlineStr">
        <is>
          <t>N</t>
        </is>
      </c>
      <c r="BK126" s="120" t="inlineStr">
        <is>
          <t>Amazon.ca organic #13 for 'bamboo sheets queen 6 piece'; 100% Rayon Derived from Bamboo; variation_count = distinct children exposed in page variation map, not a guaranteed complete catalogue. Bought-past-month badge not displayed. price history: Lightning Deal 11-01 to 11-01</t>
        </is>
      </c>
    </row>
    <row r="127" ht="62" customHeight="1">
      <c r="A127" s="12">
        <f>_xlfn.IMAGE("https://m.media-amazon.com/images/I/81kw-1bG0-L.jpg")</f>
        <v/>
      </c>
      <c r="B127" s="105" t="inlineStr">
        <is>
          <t>Bambaw</t>
        </is>
      </c>
      <c r="C127" s="39" t="inlineStr">
        <is>
          <t>Bambaw 100% Viscose Derived from Bamboo Sheets Queen Size Set – 6pcs Cooling Queen Sheet Set, Deep Pocket Fits Up to 16'' with Elastic Corner Straps, Queen Soft Sheets (Charcoal)</t>
        </is>
      </c>
      <c r="D127" s="105" t="inlineStr">
        <is>
          <t>Untiered</t>
        </is>
      </c>
      <c r="E127" s="106" t="inlineStr">
        <is>
          <t>Direct</t>
        </is>
      </c>
      <c r="F127" s="105" t="inlineStr">
        <is>
          <t>Bamboo viscose</t>
        </is>
      </c>
      <c r="G127" s="39" t="inlineStr">
        <is>
          <t>Same product (sheet set) in the same material family: Bamboo viscose (title: Bambaw 100% Viscose Derived from Bamboo Sheets Queen Size Se); ours: our listing: viscose from bamboo.</t>
        </is>
      </c>
      <c r="H127" s="107" t="inlineStr">
        <is>
          <t>B07K6SYX8L</t>
        </is>
      </c>
      <c r="I127" s="107" t="inlineStr">
        <is>
          <t>B0DR9BMSW2</t>
        </is>
      </c>
      <c r="J127" s="105" t="inlineStr">
        <is>
          <t>Queen</t>
        </is>
      </c>
      <c r="K127" s="105" t="inlineStr">
        <is>
          <t>Charcoal</t>
        </is>
      </c>
      <c r="L127" s="108" t="n">
        <v>112</v>
      </c>
      <c r="M127" s="39" t="n"/>
      <c r="N127" s="109" t="n">
        <v>159.95</v>
      </c>
      <c r="O127" s="109" t="n"/>
      <c r="P127" s="110">
        <f>IF(AND(ISNUMBER(O127),ISNUMBER(N127),N(N127)&gt;0),O127/N127-1,"")</f>
        <v/>
      </c>
      <c r="Q127" s="111">
        <f>IF(P127="","No List Price",IF(P127&lt;=0,"At/below price",IF(P127&lt;=0.12,"&lt;=12% STR zone",IF(P127&lt;=0.25,"12-25%","&gt;25% over"))))</f>
        <v/>
      </c>
      <c r="R127" s="109" t="n">
        <v>99.98999999999999</v>
      </c>
      <c r="S127" s="112">
        <f>IF(AND(ISNUMBER(N127),ISNUMBER(R127),N(R127)&gt;0),N127/R127-1,"")</f>
        <v/>
      </c>
      <c r="T127" s="39" t="inlineStr">
        <is>
          <t>Same size (Queen), CAD. Ours live: catalog price (CAD), 2026-10-14; 16 children</t>
        </is>
      </c>
      <c r="U127" s="108" t="n">
        <v>5024</v>
      </c>
      <c r="V127" s="108" t="n"/>
      <c r="W127" s="113">
        <f>IF(AND(ISNUMBER(N127),ISNUMBER(V127)),N127*V127*52/12,"")</f>
        <v/>
      </c>
      <c r="X127" s="114" t="n">
        <v>4.3</v>
      </c>
      <c r="Y127" s="108" t="n">
        <v>3030</v>
      </c>
      <c r="Z127" s="115" t="n">
        <v>46309</v>
      </c>
      <c r="AA127" s="115" t="n"/>
      <c r="AB127" s="105" t="n"/>
      <c r="AC127" s="105" t="n"/>
      <c r="AD127" s="108" t="n"/>
      <c r="AE127" s="108" t="n"/>
      <c r="AF127" s="116" t="n"/>
      <c r="AG127" s="116" t="n"/>
      <c r="AH127" s="39" t="n"/>
      <c r="AI127" s="116" t="n"/>
      <c r="AJ127" s="116" t="n"/>
      <c r="AK127" s="116" t="n"/>
      <c r="AL127" s="116" t="n"/>
      <c r="AM127" s="108" t="n"/>
      <c r="AN127" s="108" t="n"/>
      <c r="AO127" s="108" t="n"/>
      <c r="AP127" s="108" t="n"/>
      <c r="AQ127" s="108" t="n"/>
      <c r="AR127" s="108" t="n"/>
      <c r="AS127" s="117" t="n"/>
      <c r="AT127" s="112" t="n"/>
      <c r="AU127" s="118" t="inlineStr">
        <is>
          <t>N</t>
        </is>
      </c>
      <c r="AV127" s="118" t="inlineStr">
        <is>
          <t>none</t>
        </is>
      </c>
      <c r="AW127" s="124" t="n"/>
      <c r="AX127" s="119" t="n">
        <v>159.95</v>
      </c>
      <c r="AY127" s="118" t="inlineStr">
        <is>
          <t>none</t>
        </is>
      </c>
      <c r="AZ127" s="118" t="inlineStr">
        <is>
          <t>Y</t>
        </is>
      </c>
      <c r="BA127" s="118" t="inlineStr">
        <is>
          <t>2026-10-14 00:35:39</t>
        </is>
      </c>
      <c r="BB127" s="120" t="inlineStr">
        <is>
          <t>Price cut only</t>
        </is>
      </c>
      <c r="BC127" s="120" t="inlineStr">
        <is>
          <t>11-21 to 12-01</t>
        </is>
      </c>
      <c r="BD127" s="121" t="n">
        <v>159.95</v>
      </c>
      <c r="BE127" s="121" t="n">
        <v>135.96</v>
      </c>
      <c r="BF127" s="110">
        <f>IF(AND(ISNUMBER(BD127),ISNUMBER(BE127),N(BD127)&gt;0),1-BE127/BD127,"")</f>
        <v/>
      </c>
      <c r="BG127" s="122" t="n">
        <v>8119</v>
      </c>
      <c r="BH127" s="122" t="n">
        <v>5032</v>
      </c>
      <c r="BI127" s="123">
        <f>IF(AND(ISNUMBER(BG127),ISNUMBER(BH127),N(BH127)&gt;0),BG127/BH127,"")</f>
        <v/>
      </c>
      <c r="BJ127" s="120" t="inlineStr">
        <is>
          <t>N</t>
        </is>
      </c>
      <c r="BK127" s="120" t="inlineStr">
        <is>
          <t>Amazon.ca organic #17 for 'bamboo sheets queen 6 piece'; 100% Viscose Derived from Bamboo; variation_count = distinct children exposed in page variation map, not a guaranteed complete catalogue. Bought-past-month badge not displayed.</t>
        </is>
      </c>
    </row>
    <row r="128" ht="62" customHeight="1">
      <c r="A128" s="12">
        <f>_xlfn.IMAGE("https://m.media-amazon.com/images/I/71DKiQ4ilnL.jpg")</f>
        <v/>
      </c>
      <c r="B128" s="105" t="inlineStr">
        <is>
          <t>Bamboo Bay</t>
        </is>
      </c>
      <c r="C128" s="39" t="inlineStr">
        <is>
          <t>Bamboo Bay Luxury Bamboo Sheets Queen Size - 6 Piece Ultra Soft Cooling Sheets for Hot Sleepers - 100% Organic Bamboo Queen Sheet Set Fits Up to 16" Deep Pocket - Eco Friendly - Queen - White</t>
        </is>
      </c>
      <c r="D128" s="105" t="inlineStr">
        <is>
          <t>Untiered</t>
        </is>
      </c>
      <c r="E128" s="106" t="inlineStr">
        <is>
          <t>Direct</t>
        </is>
      </c>
      <c r="F128" s="105" t="inlineStr">
        <is>
          <t>Bamboo viscose</t>
        </is>
      </c>
      <c r="G128" s="39" t="inlineStr">
        <is>
          <t>Same product (sheet set) in the same material family: Bamboo viscose (title: Bamboo Bay Luxury Bamboo Sheets Queen Size - 6 Piece Ultra S); ours: our listing: viscose from bamboo.</t>
        </is>
      </c>
      <c r="H128" s="105" t="n"/>
      <c r="I128" s="107" t="inlineStr">
        <is>
          <t>B0777SFXZK</t>
        </is>
      </c>
      <c r="J128" s="105" t="inlineStr">
        <is>
          <t>Queen</t>
        </is>
      </c>
      <c r="K128" s="105" t="inlineStr">
        <is>
          <t>White</t>
        </is>
      </c>
      <c r="L128" s="108" t="n"/>
      <c r="M128" s="39" t="n"/>
      <c r="N128" s="109" t="n">
        <v>112.35</v>
      </c>
      <c r="O128" s="109" t="n"/>
      <c r="P128" s="110">
        <f>IF(AND(ISNUMBER(O128),ISNUMBER(N128),N(N128)&gt;0),O128/N128-1,"")</f>
        <v/>
      </c>
      <c r="Q128" s="111">
        <f>IF(P128="","No List Price",IF(P128&lt;=0,"At/below price",IF(P128&lt;=0.12,"&lt;=12% STR zone",IF(P128&lt;=0.25,"12-25%","&gt;25% over"))))</f>
        <v/>
      </c>
      <c r="R128" s="109" t="n">
        <v>99.98999999999999</v>
      </c>
      <c r="S128" s="112">
        <f>IF(AND(ISNUMBER(N128),ISNUMBER(R128),N(R128)&gt;0),N128/R128-1,"")</f>
        <v/>
      </c>
      <c r="T128" s="39" t="inlineStr">
        <is>
          <t>Same size (Queen), CAD. Ours live: catalog price (CAD), 2026-10-14; 16 children</t>
        </is>
      </c>
      <c r="U128" s="108" t="n">
        <v>2581598</v>
      </c>
      <c r="V128" s="108" t="n"/>
      <c r="W128" s="113">
        <f>IF(AND(ISNUMBER(N128),ISNUMBER(V128)),N128*V128*52/12,"")</f>
        <v/>
      </c>
      <c r="X128" s="114" t="n">
        <v>4.6</v>
      </c>
      <c r="Y128" s="108" t="n">
        <v>222</v>
      </c>
      <c r="Z128" s="115" t="n">
        <v>46309</v>
      </c>
      <c r="AA128" s="115" t="n"/>
      <c r="AB128" s="105" t="n"/>
      <c r="AC128" s="105" t="n"/>
      <c r="AD128" s="108" t="n"/>
      <c r="AE128" s="108" t="n"/>
      <c r="AF128" s="116" t="n"/>
      <c r="AG128" s="116" t="n"/>
      <c r="AH128" s="39" t="n"/>
      <c r="AI128" s="116" t="n"/>
      <c r="AJ128" s="116" t="n"/>
      <c r="AK128" s="116" t="n"/>
      <c r="AL128" s="116" t="n"/>
      <c r="AM128" s="108" t="n"/>
      <c r="AN128" s="108" t="n"/>
      <c r="AO128" s="108" t="n"/>
      <c r="AP128" s="108" t="n"/>
      <c r="AQ128" s="108" t="n"/>
      <c r="AR128" s="108" t="n"/>
      <c r="AS128" s="117" t="n"/>
      <c r="AT128" s="112" t="n"/>
      <c r="AU128" s="118" t="inlineStr">
        <is>
          <t>N</t>
        </is>
      </c>
      <c r="AV128" s="118" t="inlineStr">
        <is>
          <t>none</t>
        </is>
      </c>
      <c r="AW128" s="124" t="n"/>
      <c r="AX128" s="119" t="n">
        <v>112.35</v>
      </c>
      <c r="AY128" s="118" t="inlineStr">
        <is>
          <t>none</t>
        </is>
      </c>
      <c r="AZ128" s="118" t="inlineStr">
        <is>
          <t>Y</t>
        </is>
      </c>
      <c r="BA128" s="118" t="inlineStr">
        <is>
          <t>2026-10-14 00:36:09</t>
        </is>
      </c>
      <c r="BB128" s="125" t="n"/>
      <c r="BC128" s="125" t="n"/>
      <c r="BD128" s="124" t="n"/>
      <c r="BE128" s="124" t="n"/>
      <c r="BF128" s="110">
        <f>IF(AND(ISNUMBER(BD128),ISNUMBER(BE128),N(BD128)&gt;0),1-BE128/BD128,"")</f>
        <v/>
      </c>
      <c r="BG128" s="122" t="n">
        <v>1361922</v>
      </c>
      <c r="BH128" s="122" t="n">
        <v>1398410</v>
      </c>
      <c r="BI128" s="123">
        <f>IF(AND(ISNUMBER(BG128),ISNUMBER(BH128),N(BH128)&gt;0),BG128/BH128,"")</f>
        <v/>
      </c>
      <c r="BJ128" s="120" t="inlineStr">
        <is>
          <t>Y</t>
        </is>
      </c>
      <c r="BK128" s="120" t="inlineStr">
        <is>
          <t>Amazon.ca organic #22 for 'bamboo sheets queen 6 piece'; 100% Organic Bamboo; Page parent field repeats the selected child; no distinct parent ASIN exposed. Treated as standalone observed listing. Parent ASIN not exposed. No child variati price history: No Buy Box history in price history for BFCM 2025</t>
        </is>
      </c>
    </row>
    <row r="129" ht="62" customHeight="1">
      <c r="A129" s="12">
        <f>_xlfn.IMAGE("https://m.media-amazon.com/images/I/71uagjboyTL.jpg")</f>
        <v/>
      </c>
      <c r="B129" s="105" t="inlineStr">
        <is>
          <t>BC BELLA COTERIE</t>
        </is>
      </c>
      <c r="C129" s="39" t="inlineStr">
        <is>
          <t>Bella Coterie 6 Piece Luxury Bamboo Viscose Queen Sheet Set</t>
        </is>
      </c>
      <c r="D129" s="105" t="inlineStr">
        <is>
          <t>Untiered</t>
        </is>
      </c>
      <c r="E129" s="106" t="inlineStr">
        <is>
          <t>Direct</t>
        </is>
      </c>
      <c r="F129" s="105" t="inlineStr">
        <is>
          <t>Bamboo viscose</t>
        </is>
      </c>
      <c r="G129" s="39" t="inlineStr">
        <is>
          <t>Same product (sheet set) in the same material family: Bamboo viscose (title: Bella Coterie 6 Piece Luxury Bamboo Viscose Queen Sheet Set); ours: our listing: viscose from bamboo.</t>
        </is>
      </c>
      <c r="H129" s="107" t="inlineStr">
        <is>
          <t>B08P97YSMW</t>
        </is>
      </c>
      <c r="I129" s="107" t="inlineStr">
        <is>
          <t>B0GTWJ29LG</t>
        </is>
      </c>
      <c r="J129" s="105" t="inlineStr">
        <is>
          <t>Queen</t>
        </is>
      </c>
      <c r="K129" s="105" t="inlineStr">
        <is>
          <t>19 - Lemonade</t>
        </is>
      </c>
      <c r="L129" s="108" t="n">
        <v>233</v>
      </c>
      <c r="M129" s="39" t="n"/>
      <c r="N129" s="109" t="n"/>
      <c r="O129" s="109" t="n"/>
      <c r="P129" s="110">
        <f>IF(AND(ISNUMBER(O129),ISNUMBER(N129),N(N129)&gt;0),O129/N129-1,"")</f>
        <v/>
      </c>
      <c r="Q129" s="111">
        <f>IF(P129="","No List Price",IF(P129&lt;=0,"At/below price",IF(P129&lt;=0.12,"&lt;=12% STR zone",IF(P129&lt;=0.25,"12-25%","&gt;25% over"))))</f>
        <v/>
      </c>
      <c r="R129" s="109" t="n">
        <v>99.98999999999999</v>
      </c>
      <c r="S129" s="112">
        <f>IF(AND(ISNUMBER(N129),ISNUMBER(R129),N(R129)&gt;0),N129/R129-1,"")</f>
        <v/>
      </c>
      <c r="T129" s="39" t="inlineStr">
        <is>
          <t>Same size (Queen), CAD. Ours live: catalog price (CAD), 2026-10-14; 16 children</t>
        </is>
      </c>
      <c r="U129" s="108" t="n">
        <v>297691</v>
      </c>
      <c r="V129" s="108" t="n"/>
      <c r="W129" s="113">
        <f>IF(AND(ISNUMBER(N129),ISNUMBER(V129)),N129*V129*52/12,"")</f>
        <v/>
      </c>
      <c r="X129" s="114" t="n">
        <v>4.4</v>
      </c>
      <c r="Y129" s="108" t="n">
        <v>6192</v>
      </c>
      <c r="Z129" s="115" t="n">
        <v>46309</v>
      </c>
      <c r="AA129" s="115" t="n"/>
      <c r="AB129" s="105" t="n"/>
      <c r="AC129" s="105" t="n"/>
      <c r="AD129" s="108" t="n"/>
      <c r="AE129" s="108" t="n"/>
      <c r="AF129" s="116" t="n"/>
      <c r="AG129" s="116" t="n"/>
      <c r="AH129" s="39" t="n"/>
      <c r="AI129" s="116" t="n"/>
      <c r="AJ129" s="116" t="n"/>
      <c r="AK129" s="116" t="n"/>
      <c r="AL129" s="116" t="n"/>
      <c r="AM129" s="108" t="n"/>
      <c r="AN129" s="108" t="n"/>
      <c r="AO129" s="108" t="n"/>
      <c r="AP129" s="108" t="n"/>
      <c r="AQ129" s="108" t="n"/>
      <c r="AR129" s="108" t="n"/>
      <c r="AS129" s="117" t="n"/>
      <c r="AT129" s="112" t="n"/>
      <c r="AU129" s="118" t="inlineStr">
        <is>
          <t>N</t>
        </is>
      </c>
      <c r="AV129" s="118" t="inlineStr">
        <is>
          <t>none</t>
        </is>
      </c>
      <c r="AW129" s="124" t="n"/>
      <c r="AX129" s="124" t="n"/>
      <c r="AY129" s="118" t="inlineStr">
        <is>
          <t>none</t>
        </is>
      </c>
      <c r="AZ129" s="125" t="n"/>
      <c r="BA129" s="118" t="inlineStr">
        <is>
          <t>2026-10-14 00:38:27</t>
        </is>
      </c>
      <c r="BB129" s="120" t="inlineStr">
        <is>
          <t>Not live in 2025</t>
        </is>
      </c>
      <c r="BC129" s="125" t="n"/>
      <c r="BD129" s="124" t="n"/>
      <c r="BE129" s="124" t="n"/>
      <c r="BF129" s="110">
        <f>IF(AND(ISNUMBER(BD129),ISNUMBER(BE129),N(BD129)&gt;0),1-BE129/BD129,"")</f>
        <v/>
      </c>
      <c r="BG129" s="126" t="n"/>
      <c r="BH129" s="126" t="n"/>
      <c r="BI129" s="123">
        <f>IF(AND(ISNUMBER(BG129),ISNUMBER(BH129),N(BH129)&gt;0),BG129/BH129,"")</f>
        <v/>
      </c>
      <c r="BJ129" s="125" t="n"/>
      <c r="BK129" s="120" t="inlineStr">
        <is>
          <t>Amazon.ca organic #38 for 'bamboo sheets queen 6 piece'; 100% Viscose Made from Bamboo; Selected new-variation stock/orderability not established; in_stock blank. Exact variation buy-box price not displayed; no other-offer substitution. variation_c</t>
        </is>
      </c>
    </row>
    <row r="130" ht="62" customHeight="1">
      <c r="A130" s="12">
        <f>_xlfn.IMAGE("https://m.media-amazon.com/images/I/610q+H2k3BL.jpg")</f>
        <v/>
      </c>
      <c r="B130" s="105" t="inlineStr">
        <is>
          <t>Bamboo Bay</t>
        </is>
      </c>
      <c r="C130" s="39" t="inlineStr">
        <is>
          <t>Bamboo Bay Luxury Bamboo Sheets Queen Size - 6 Piece Ultra Soft Cooling Sheets for Hot Sleepers - 100% Organic Bamboo Queen Sheet Set Fits Up to 16" Deep Pocket - Eco Friendly - Queen - Ivory</t>
        </is>
      </c>
      <c r="D130" s="105" t="inlineStr">
        <is>
          <t>Untiered</t>
        </is>
      </c>
      <c r="E130" s="106" t="inlineStr">
        <is>
          <t>Direct</t>
        </is>
      </c>
      <c r="F130" s="105" t="inlineStr">
        <is>
          <t>Bamboo viscose</t>
        </is>
      </c>
      <c r="G130" s="39" t="inlineStr">
        <is>
          <t>Same product (sheet set) in the same material family: Bamboo viscose (title: Bamboo Bay Luxury Bamboo Sheets Queen Size - 6 Piece Ultra S); ours: our listing: viscose from bamboo.</t>
        </is>
      </c>
      <c r="H130" s="105" t="n"/>
      <c r="I130" s="107" t="inlineStr">
        <is>
          <t>B07PS657BP</t>
        </is>
      </c>
      <c r="J130" s="105" t="inlineStr">
        <is>
          <t>Queen</t>
        </is>
      </c>
      <c r="K130" s="105" t="inlineStr">
        <is>
          <t>Ivory</t>
        </is>
      </c>
      <c r="L130" s="108" t="n"/>
      <c r="M130" s="39" t="n"/>
      <c r="N130" s="109" t="n">
        <v>159.99</v>
      </c>
      <c r="O130" s="109" t="n"/>
      <c r="P130" s="110">
        <f>IF(AND(ISNUMBER(O130),ISNUMBER(N130),N(N130)&gt;0),O130/N130-1,"")</f>
        <v/>
      </c>
      <c r="Q130" s="111">
        <f>IF(P130="","No List Price",IF(P130&lt;=0,"At/below price",IF(P130&lt;=0.12,"&lt;=12% STR zone",IF(P130&lt;=0.25,"12-25%","&gt;25% over"))))</f>
        <v/>
      </c>
      <c r="R130" s="109" t="n">
        <v>99.98999999999999</v>
      </c>
      <c r="S130" s="112">
        <f>IF(AND(ISNUMBER(N130),ISNUMBER(R130),N(R130)&gt;0),N130/R130-1,"")</f>
        <v/>
      </c>
      <c r="T130" s="39" t="inlineStr">
        <is>
          <t>Same size (Queen), CAD. Ours live: catalog price (CAD), 2026-10-14; 16 children</t>
        </is>
      </c>
      <c r="U130" s="108" t="n"/>
      <c r="V130" s="108" t="n"/>
      <c r="W130" s="113">
        <f>IF(AND(ISNUMBER(N130),ISNUMBER(V130)),N130*V130*52/12,"")</f>
        <v/>
      </c>
      <c r="X130" s="114" t="n">
        <v>4.4</v>
      </c>
      <c r="Y130" s="108" t="n">
        <v>107</v>
      </c>
      <c r="Z130" s="115" t="n">
        <v>46309</v>
      </c>
      <c r="AA130" s="115" t="n"/>
      <c r="AB130" s="105" t="n"/>
      <c r="AC130" s="105" t="n"/>
      <c r="AD130" s="108" t="n"/>
      <c r="AE130" s="108" t="n"/>
      <c r="AF130" s="116" t="n"/>
      <c r="AG130" s="116" t="n"/>
      <c r="AH130" s="39" t="n"/>
      <c r="AI130" s="116" t="n"/>
      <c r="AJ130" s="116" t="n"/>
      <c r="AK130" s="116" t="n"/>
      <c r="AL130" s="116" t="n"/>
      <c r="AM130" s="108" t="n"/>
      <c r="AN130" s="108" t="n"/>
      <c r="AO130" s="108" t="n"/>
      <c r="AP130" s="108" t="n"/>
      <c r="AQ130" s="108" t="n"/>
      <c r="AR130" s="108" t="n"/>
      <c r="AS130" s="117" t="n"/>
      <c r="AT130" s="112" t="n"/>
      <c r="AU130" s="118" t="inlineStr">
        <is>
          <t>N</t>
        </is>
      </c>
      <c r="AV130" s="118" t="inlineStr">
        <is>
          <t>none</t>
        </is>
      </c>
      <c r="AW130" s="124" t="n"/>
      <c r="AX130" s="119" t="n">
        <v>159.99</v>
      </c>
      <c r="AY130" s="118" t="inlineStr">
        <is>
          <t>none</t>
        </is>
      </c>
      <c r="AZ130" s="118" t="inlineStr">
        <is>
          <t>Y</t>
        </is>
      </c>
      <c r="BA130" s="118" t="inlineStr">
        <is>
          <t>2026-10-14 00:38:33</t>
        </is>
      </c>
      <c r="BB130" s="125" t="n"/>
      <c r="BC130" s="125" t="n"/>
      <c r="BD130" s="124" t="n"/>
      <c r="BE130" s="124" t="n"/>
      <c r="BF130" s="110">
        <f>IF(AND(ISNUMBER(BD130),ISNUMBER(BE130),N(BD130)&gt;0),1-BE130/BD130,"")</f>
        <v/>
      </c>
      <c r="BG130" s="126" t="n"/>
      <c r="BH130" s="126" t="n"/>
      <c r="BI130" s="123">
        <f>IF(AND(ISNUMBER(BG130),ISNUMBER(BH130),N(BH130)&gt;0),BG130/BH130,"")</f>
        <v/>
      </c>
      <c r="BJ130" s="120" t="inlineStr">
        <is>
          <t>Y</t>
        </is>
      </c>
      <c r="BK130" s="120" t="inlineStr">
        <is>
          <t>Amazon.ca organic #39 for 'bamboo sheets queen 6 piece'; 100% Organic Bamboo; Page parent field repeats the selected child; no distinct parent ASIN exposed. Treated as standalone observed listing. Parent ASIN not exposed. No child variati price history: No Buy Box history in price history for BFCM 2025</t>
        </is>
      </c>
    </row>
    <row r="131"/>
    <row r="132" ht="22" customHeight="1">
      <c r="A132" s="65" t="inlineStr">
        <is>
          <t>5 ▼</t>
        </is>
      </c>
      <c r="B132" s="66" t="inlineStr">
        <is>
          <t>WHAT THIS MEANS FOR BFCM</t>
        </is>
      </c>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c r="AC132" s="67" t="n"/>
      <c r="AD132" s="67" t="n"/>
      <c r="AE132" s="67" t="n"/>
      <c r="AF132" s="67" t="n"/>
      <c r="AG132" s="67" t="n"/>
      <c r="AH132" s="67" t="n"/>
      <c r="AI132" s="67" t="n"/>
      <c r="AJ132" s="67" t="n"/>
      <c r="AK132" s="67" t="n"/>
      <c r="AL132" s="67" t="n"/>
      <c r="AM132" s="67" t="n"/>
      <c r="AN132" s="67" t="n"/>
      <c r="AO132" s="67" t="n"/>
      <c r="AP132" s="67" t="n"/>
      <c r="AQ132" s="67" t="n"/>
      <c r="AR132" s="67" t="n"/>
      <c r="AS132" s="67" t="n"/>
      <c r="AT132" s="67" t="n"/>
      <c r="AU132" s="67" t="n"/>
      <c r="AV132" s="67" t="n"/>
      <c r="AW132" s="67" t="n"/>
      <c r="AX132" s="67" t="n"/>
      <c r="AY132" s="67" t="n"/>
      <c r="AZ132" s="67" t="n"/>
      <c r="BA132" s="67" t="n"/>
      <c r="BB132" s="67" t="n"/>
      <c r="BC132" s="67" t="n"/>
      <c r="BD132" s="67" t="n"/>
      <c r="BE132" s="67" t="n"/>
      <c r="BF132" s="67" t="n"/>
      <c r="BG132" s="67" t="n"/>
      <c r="BH132" s="67" t="n"/>
      <c r="BI132" s="67" t="n"/>
      <c r="BJ132" s="67" t="n"/>
      <c r="BK132" s="67" t="n"/>
    </row>
    <row r="133" ht="30" customHeight="1">
      <c r="A133" s="129" t="inlineStr">
        <is>
          <t>• Price: 1 of 8 rivals sit below our price today (same size where the title states one). Cheapest strong rivals: Love's cabin $90.36. CA prices are CAD; ours is the live Amazon.ca price (catalog price) where held.</t>
        </is>
      </c>
    </row>
    <row r="134" ht="30" customHeight="1">
      <c r="A134" s="129" t="inlineStr">
        <is>
          <t>• Top organic on Amazon.ca (Oct 13): #2 GOKOTTA $159.99 (bamboo sheets queen 6 piece); #12 Love's cabin $90.36 (6 piece bamboo sheets); #13 Bamboo Bay n/a (6 piece bamboo sheets); #13 GOKOTTA $174.99 (bamboo sheets queen 6 piece); #17 Bambaw $159.95 (bamboo sheets queen 6 piece).</t>
        </is>
      </c>
    </row>
    <row r="135" ht="18" customHeight="1">
      <c r="A135" s="129" t="inlineStr">
        <is>
          <t>• Strikethrough on the page today (Oct 13 check): 0 of 8 checked rivals show one.</t>
        </is>
      </c>
    </row>
    <row r="136" ht="18" customHeight="1">
      <c r="A136" s="129" t="inlineStr">
        <is>
          <t>• Our BFCM 2025: 3.07x daily sales in BFCM week vs the 30 days before; TACoS 6.1% vs 12.5% before; December 1.27x.</t>
        </is>
      </c>
    </row>
  </sheetData>
  <autoFilter ref="B122:BK130"/>
  <mergeCells count="62">
    <mergeCell ref="A108:C108"/>
    <mergeCell ref="L5:Q5"/>
    <mergeCell ref="AD121:AT121"/>
    <mergeCell ref="Q11:T11"/>
    <mergeCell ref="A101:C101"/>
    <mergeCell ref="L8:Q8"/>
    <mergeCell ref="A110:BK110"/>
    <mergeCell ref="L4:Q4"/>
    <mergeCell ref="D7:I7"/>
    <mergeCell ref="A13:D13"/>
    <mergeCell ref="A104:C104"/>
    <mergeCell ref="AU121:BA121"/>
    <mergeCell ref="I13:L13"/>
    <mergeCell ref="D4:I4"/>
    <mergeCell ref="L10:Q10"/>
    <mergeCell ref="E12:H12"/>
    <mergeCell ref="Q13:T13"/>
    <mergeCell ref="D9:I9"/>
    <mergeCell ref="U12:X12"/>
    <mergeCell ref="L9:Q9"/>
    <mergeCell ref="Q12:T12"/>
    <mergeCell ref="A106:C106"/>
    <mergeCell ref="A11:D11"/>
    <mergeCell ref="A109:C109"/>
    <mergeCell ref="A120:BK120"/>
    <mergeCell ref="A133:BK133"/>
    <mergeCell ref="I11:L11"/>
    <mergeCell ref="A136:BK136"/>
    <mergeCell ref="D8:I8"/>
    <mergeCell ref="L6:Q6"/>
    <mergeCell ref="A4:B9"/>
    <mergeCell ref="T6:Y6"/>
    <mergeCell ref="A102:C102"/>
    <mergeCell ref="A113:BK113"/>
    <mergeCell ref="D5:I5"/>
    <mergeCell ref="M11:P11"/>
    <mergeCell ref="A116:BK116"/>
    <mergeCell ref="U11:X11"/>
    <mergeCell ref="BB121:BK121"/>
    <mergeCell ref="N121:Z121"/>
    <mergeCell ref="A135:BK135"/>
    <mergeCell ref="E13:H13"/>
    <mergeCell ref="D10:I10"/>
    <mergeCell ref="L7:Q7"/>
    <mergeCell ref="T5:Y5"/>
    <mergeCell ref="A107:C107"/>
    <mergeCell ref="AA121:AC121"/>
    <mergeCell ref="A103:C103"/>
    <mergeCell ref="A134:BK134"/>
    <mergeCell ref="A12:D12"/>
    <mergeCell ref="M13:P13"/>
    <mergeCell ref="I12:L12"/>
    <mergeCell ref="U13:X13"/>
    <mergeCell ref="A112:BK112"/>
    <mergeCell ref="A115:BK115"/>
    <mergeCell ref="A121:K121"/>
    <mergeCell ref="M12:P12"/>
    <mergeCell ref="T4:Y4"/>
    <mergeCell ref="D6:I6"/>
    <mergeCell ref="A111:BK111"/>
    <mergeCell ref="E11:H11"/>
    <mergeCell ref="A114:BK114"/>
  </mergeCells>
  <conditionalFormatting sqref="Q123:Q130">
    <cfRule type="expression" priority="1" dxfId="1">
      <formula>Q123="&lt;=12% STR zone"</formula>
    </cfRule>
  </conditionalFormatting>
  <conditionalFormatting sqref="Z123:Z130">
    <cfRule type="expression" priority="2" dxfId="0">
      <formula>AND(ISNUMBER(Z123),Z123&lt;DATE(2026,10,6))</formula>
    </cfRule>
  </conditionalFormatting>
  <conditionalFormatting sqref="T123:T130">
    <cfRule type="expression" priority="3" dxfId="0">
      <formula>ISNUMBER(SEARCH("STALE",T123))</formula>
    </cfRule>
  </conditionalFormatting>
  <conditionalFormatting sqref="S123:S130">
    <cfRule type="expression" priority="4" dxfId="0">
      <formula>AND(ISNUMBER(S123),S123&lt;0)</formula>
    </cfRule>
  </conditionalFormatting>
  <dataValidations count="3">
    <dataValidation sqref="AU123:AU130 BJ123:BJ130" showDropDown="0" showInputMessage="0" showErrorMessage="0" allowBlank="1" type="list">
      <formula1>"Y,N"</formula1>
    </dataValidation>
    <dataValidation sqref="AV123:AV130" showDropDown="0" showInputMessage="0" showErrorMessage="0" allowBlank="1" type="list">
      <formula1>"List Price,Typical price,Was price,None"</formula1>
    </dataValidation>
    <dataValidation sqref="BB123:BB130"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DC B6'!A3" display="1 Our product ↓"/>
    <hyperlink ref="D2" location="'CA DC B6'!A15" display="2 Our variations ↓"/>
    <hyperlink ref="E2" location="'CA DC B6'!A100" display="3 Our BFCM 2025 ↓"/>
    <hyperlink ref="F2" location="'CA DC B6'!A118" display="4 COMPETITORS (8 mapped) ↓"/>
    <hyperlink ref="G2" location="'CA DC B6'!A132" display="5 What it means ↓"/>
    <hyperlink xmlns:r="http://schemas.openxmlformats.org/officeDocument/2006/relationships" ref="H123" r:id="rId1"/>
    <hyperlink xmlns:r="http://schemas.openxmlformats.org/officeDocument/2006/relationships" ref="I123" r:id="rId2"/>
    <hyperlink xmlns:r="http://schemas.openxmlformats.org/officeDocument/2006/relationships" ref="H124" r:id="rId3"/>
    <hyperlink xmlns:r="http://schemas.openxmlformats.org/officeDocument/2006/relationships" ref="I124" r:id="rId4"/>
    <hyperlink xmlns:r="http://schemas.openxmlformats.org/officeDocument/2006/relationships" ref="H125" r:id="rId5"/>
    <hyperlink xmlns:r="http://schemas.openxmlformats.org/officeDocument/2006/relationships" ref="I125" r:id="rId6"/>
    <hyperlink xmlns:r="http://schemas.openxmlformats.org/officeDocument/2006/relationships" ref="H126" r:id="rId7"/>
    <hyperlink xmlns:r="http://schemas.openxmlformats.org/officeDocument/2006/relationships" ref="I126" r:id="rId8"/>
    <hyperlink xmlns:r="http://schemas.openxmlformats.org/officeDocument/2006/relationships" ref="H127" r:id="rId9"/>
    <hyperlink xmlns:r="http://schemas.openxmlformats.org/officeDocument/2006/relationships" ref="I127" r:id="rId10"/>
    <hyperlink xmlns:r="http://schemas.openxmlformats.org/officeDocument/2006/relationships" ref="I128" r:id="rId11"/>
    <hyperlink xmlns:r="http://schemas.openxmlformats.org/officeDocument/2006/relationships" ref="H129" r:id="rId12"/>
    <hyperlink xmlns:r="http://schemas.openxmlformats.org/officeDocument/2006/relationships" ref="I129" r:id="rId13"/>
    <hyperlink xmlns:r="http://schemas.openxmlformats.org/officeDocument/2006/relationships" ref="I130" r:id="rId14"/>
  </hyperlinks>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F4B183"/>
    <outlinePr summaryBelow="1" summaryRight="1"/>
    <pageSetUpPr/>
  </sheetPr>
  <dimension ref="A1:BK189"/>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Decolure Satin Sheets 4 Piece · Amazon.ca (CA)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_xlfn.IMAGE("https://m.media-amazon.com/images/I/81s3ROxMWEL._AC_SL1500_.jpg")</f>
        <v/>
      </c>
      <c r="C4" s="13" t="inlineStr">
        <is>
          <t>Title</t>
        </is>
      </c>
      <c r="D4" s="14" t="inlineStr">
        <is>
          <t>DECOLURE Satin Bed Sheets - 4 Piece Luxury Silky Queen Size Bedding Set - Softer Than Silk, Wrinkle-Free with 15” Deep Pocket Fitted Sheet, Perfect for Hair &amp; Skin, Gifts for Women (Black)</t>
        </is>
      </c>
      <c r="K4" s="13" t="inlineStr">
        <is>
          <t>Sizes</t>
        </is>
      </c>
      <c r="L4" s="68" t="inlineStr">
        <is>
          <t>Full, King, Queen, Twin</t>
        </is>
      </c>
      <c r="S4" s="13" t="inlineStr">
        <is>
          <t>Break-even ACoS</t>
        </is>
      </c>
      <c r="T4" s="68" t="inlineStr">
        <is>
          <t>43%</t>
        </is>
      </c>
    </row>
    <row r="5" ht="22" customHeight="1">
      <c r="C5" s="13" t="inlineStr">
        <is>
          <t>Brand</t>
        </is>
      </c>
      <c r="D5" s="68" t="inlineStr">
        <is>
          <t>Decolure</t>
        </is>
      </c>
      <c r="K5" s="13" t="inlineStr">
        <is>
          <t>Colours</t>
        </is>
      </c>
      <c r="L5" s="68" t="inlineStr">
        <is>
          <t>Baby Blue, Black, Blue, Blush Pink, Burnt Orange, Champagne, Dark Green, Gold, Grey, Ivory, Lavender, Navy Blue, Pink, Purple, Red, Rosewood, Rosewoord-01, Sage Green, Sea Teal, Stone Grey, Striped Black, Striped Blue, Striped Gold, Striped Grey, Striped Pink, Striped Purple, Striped Red, Striped White, Stripe Pink-01, Taupe, White, Champagne-01, Red-01, Sea Teal-01, Stripe Grey-01, Taupe-01</t>
        </is>
      </c>
      <c r="S5" s="13" t="inlineStr">
        <is>
          <t>Units last 28 days</t>
        </is>
      </c>
      <c r="T5" s="68" t="inlineStr">
        <is>
          <t>455</t>
        </is>
      </c>
    </row>
    <row r="6" ht="22" customHeight="1">
      <c r="C6" s="13" t="inlineStr">
        <is>
          <t>Marketplace</t>
        </is>
      </c>
      <c r="D6" s="68" t="inlineStr">
        <is>
          <t>Amazon.ca (CA)</t>
        </is>
      </c>
      <c r="K6" s="13" t="inlineStr">
        <is>
          <t>Price now, best child</t>
        </is>
      </c>
      <c r="L6" s="68" t="inlineStr">
        <is>
          <t>$47.99 (catalog price (CAD), 2026-10-14)</t>
        </is>
      </c>
      <c r="S6" s="13" t="inlineStr">
        <is>
          <t>market data product ASIN</t>
        </is>
      </c>
      <c r="T6" s="68" t="inlineStr">
        <is>
          <t>B0CQRY9WLD (one of our child ASINs, not the Amazon parent)</t>
        </is>
      </c>
    </row>
    <row r="7" ht="22" customHeight="1">
      <c r="C7" s="13" t="inlineStr">
        <is>
          <t>Parent ASIN (Amazon)</t>
        </is>
      </c>
      <c r="D7" s="68" t="inlineStr">
        <is>
          <t>B0CT3HF44M</t>
        </is>
      </c>
      <c r="K7" s="13" t="inlineStr">
        <is>
          <t>Rating / reviews now</t>
        </is>
      </c>
      <c r="L7" s="68" t="inlineStr">
        <is>
          <t>4.3 / 20,283 (catalog price (CAD), 2026-10-14)</t>
        </is>
      </c>
    </row>
    <row r="8" ht="22" customHeight="1">
      <c r="C8" s="13" t="inlineStr">
        <is>
          <t>Best-selling child ASIN</t>
        </is>
      </c>
      <c r="D8" s="68" t="inlineStr">
        <is>
          <t>B0839MKJMV</t>
        </is>
      </c>
      <c r="K8" s="13" t="inlineStr">
        <is>
          <t>Live prices held</t>
        </is>
      </c>
      <c r="L8" s="68" t="inlineStr">
        <is>
          <t>98 of 127 variations</t>
        </is>
      </c>
    </row>
    <row r="9" ht="22" customHeight="1">
      <c r="C9" s="13" t="inlineStr">
        <is>
          <t>Stage</t>
        </is>
      </c>
      <c r="D9" s="68" t="inlineStr">
        <is>
          <t>Maintenance</t>
        </is>
      </c>
      <c r="K9" s="13" t="inlineStr">
        <is>
          <t>Blended price (market data)</t>
        </is>
      </c>
      <c r="L9" s="68" t="inlineStr">
        <is>
          <t>$46.12 - fee feed as of 2026-03-30, STALE</t>
        </is>
      </c>
    </row>
    <row r="10">
      <c r="C10" s="13" t="inlineStr">
        <is>
          <t>Total variations (SKUs)</t>
        </is>
      </c>
      <c r="D10" s="68" t="n">
        <v>127</v>
      </c>
      <c r="K10" s="13" t="inlineStr">
        <is>
          <t>Contribution / unit</t>
        </is>
      </c>
      <c r="L10" s="68" t="inlineStr">
        <is>
          <t>$19.80</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3.27x</t>
        </is>
      </c>
      <c r="E12" s="70" t="inlineStr">
        <is>
          <t>10.1%</t>
        </is>
      </c>
      <c r="I12" s="70" t="inlineStr">
        <is>
          <t>2.06x</t>
        </is>
      </c>
      <c r="M12" s="70" t="inlineStr">
        <is>
          <t>15</t>
        </is>
      </c>
      <c r="Q12" s="70" t="inlineStr">
        <is>
          <t>10</t>
        </is>
      </c>
      <c r="U12" s="70" t="inlineStr">
        <is>
          <t>6 of 15</t>
        </is>
      </c>
    </row>
    <row r="13">
      <c r="A13" s="71" t="inlineStr">
        <is>
          <t>daily sales, BFCM wk vs 30 days before (account data actual)</t>
        </is>
      </c>
      <c r="E13" s="71" t="inlineStr">
        <is>
          <t>vs 14.7%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(127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_xlfn.IMAGE("https://m.media-amazon.com/images/I/81s3ROxMWEL.jpg")</f>
        <v/>
      </c>
      <c r="B18" s="39" t="inlineStr">
        <is>
          <t>B0839MKJMV</t>
        </is>
      </c>
      <c r="C18" s="39" t="inlineStr">
        <is>
          <t>SATIN-QUEEN-BLACK</t>
        </is>
      </c>
      <c r="D18" s="39" t="inlineStr">
        <is>
          <t>DECOLURE Satin Bed Sheets - 4 Piece Luxury Silky Queen Size Bedding Set - Softer Than Silk, Wrinkle-Free with 15” Deep Pocket Fitted Sheet, Perfect for Hair &amp; Skin, Gifts for Women (Black)</t>
        </is>
      </c>
      <c r="E18" s="39" t="inlineStr">
        <is>
          <t>Queen</t>
        </is>
      </c>
      <c r="F18" s="39" t="inlineStr">
        <is>
          <t>Black</t>
        </is>
      </c>
      <c r="G18" s="73" t="n">
        <v>47.99</v>
      </c>
      <c r="H18" s="39" t="inlineStr">
        <is>
          <t>catalog price (CAD), 2026-10-14</t>
        </is>
      </c>
      <c r="I18" s="40" t="n"/>
      <c r="J18" s="39" t="n"/>
      <c r="K18" s="40" t="n"/>
      <c r="L18" s="76" t="n"/>
      <c r="M18" s="77" t="n">
        <v>34</v>
      </c>
      <c r="N18" s="39" t="inlineStr">
        <is>
          <t>Active</t>
        </is>
      </c>
      <c r="O18" s="39" t="n"/>
      <c r="P18" s="78" t="n">
        <v>4.3</v>
      </c>
      <c r="Q18" s="77" t="n">
        <v>20283</v>
      </c>
      <c r="R18" s="77" t="n">
        <v>2536</v>
      </c>
      <c r="S18" s="77" t="n">
        <v>127</v>
      </c>
      <c r="T18" s="39" t="n"/>
    </row>
    <row r="19" ht="62" customHeight="1">
      <c r="A19" s="12">
        <f>_xlfn.IMAGE("https://m.media-amazon.com/images/I/81RxsA0xn7L.jpg")</f>
        <v/>
      </c>
      <c r="B19" s="39" t="inlineStr">
        <is>
          <t>B0839LQK8K</t>
        </is>
      </c>
      <c r="C19" s="39" t="inlineStr">
        <is>
          <t>SATIN-QUEEN-GREY</t>
        </is>
      </c>
      <c r="D19" s="39" t="inlineStr">
        <is>
          <t>DECOLURE Satin Bed Sheets - 4 Piece Luxury Silky Queen Size Bedding Set - Softer Than Silk, Wrinkle-Free with 15” Deep Pocket Fitted Sheet, Perfect for Hair &amp; Skin, Gifts for Women (Grey)</t>
        </is>
      </c>
      <c r="E19" s="39" t="inlineStr">
        <is>
          <t>Queen</t>
        </is>
      </c>
      <c r="F19" s="39" t="inlineStr">
        <is>
          <t>Grey</t>
        </is>
      </c>
      <c r="G19" s="73" t="n">
        <v>47.99</v>
      </c>
      <c r="H19" s="39" t="inlineStr">
        <is>
          <t>catalog price (CAD), 2026-10-14</t>
        </is>
      </c>
      <c r="I19" s="74" t="n">
        <v>47.99</v>
      </c>
      <c r="J19" s="75" t="inlineStr">
        <is>
          <t>2026-03-30</t>
        </is>
      </c>
      <c r="K19" s="40" t="n">
        <v>22.35</v>
      </c>
      <c r="L19" s="76" t="n">
        <v>0.4657220254219629</v>
      </c>
      <c r="M19" s="77" t="n">
        <v>31</v>
      </c>
      <c r="N19" s="39" t="inlineStr">
        <is>
          <t>Active</t>
        </is>
      </c>
      <c r="O19" s="39" t="n"/>
      <c r="P19" s="78" t="n">
        <v>4.3</v>
      </c>
      <c r="Q19" s="77" t="n">
        <v>20283</v>
      </c>
      <c r="R19" s="77" t="n">
        <v>2554</v>
      </c>
      <c r="S19" s="77" t="n">
        <v>115</v>
      </c>
      <c r="T19" s="39" t="n"/>
    </row>
    <row r="20" ht="62" customHeight="1">
      <c r="A20" s="12">
        <f>_xlfn.IMAGE("https://m.media-amazon.com/images/I/81s3ROxMWEL.jpg")</f>
        <v/>
      </c>
      <c r="B20" s="39" t="inlineStr">
        <is>
          <t>B0839LD2WQ</t>
        </is>
      </c>
      <c r="C20" s="39" t="inlineStr">
        <is>
          <t>SATIN-KING-BLACK</t>
        </is>
      </c>
      <c r="D20" s="39" t="inlineStr">
        <is>
          <t>DECOLURE Satin Bed Sheets - 4 Piece Luxury Silky King Size Bedding Set - Softer Than Silk, Wrinkle-Free with 15” Deep Pocket Fitted Sheet, Perfect for Hair &amp; Skin, Gifts for Women (Black)</t>
        </is>
      </c>
      <c r="E20" s="39" t="inlineStr">
        <is>
          <t>King</t>
        </is>
      </c>
      <c r="F20" s="39" t="inlineStr">
        <is>
          <t>Black</t>
        </is>
      </c>
      <c r="G20" s="73" t="n">
        <v>52.99</v>
      </c>
      <c r="H20" s="39" t="inlineStr">
        <is>
          <t>catalog price (CAD), 2026-10-14</t>
        </is>
      </c>
      <c r="I20" s="74" t="n">
        <v>52.99</v>
      </c>
      <c r="J20" s="75" t="inlineStr">
        <is>
          <t>2026-03-30</t>
        </is>
      </c>
      <c r="K20" s="40" t="n">
        <v>23.71</v>
      </c>
      <c r="L20" s="76" t="n">
        <v>0.4474429137573127</v>
      </c>
      <c r="M20" s="77" t="n">
        <v>29</v>
      </c>
      <c r="N20" s="39" t="inlineStr">
        <is>
          <t>Active</t>
        </is>
      </c>
      <c r="O20" s="39" t="n"/>
      <c r="P20" s="78" t="n">
        <v>4.3</v>
      </c>
      <c r="Q20" s="77" t="n">
        <v>20283</v>
      </c>
      <c r="R20" s="77" t="n">
        <v>2554</v>
      </c>
      <c r="S20" s="77" t="n">
        <v>69</v>
      </c>
      <c r="T20" s="39" t="n"/>
    </row>
    <row r="21" ht="62" customHeight="1">
      <c r="A21" s="12">
        <f>_xlfn.IMAGE("https://m.media-amazon.com/images/I/81zvGkE8vhL.jpg")</f>
        <v/>
      </c>
      <c r="B21" s="39" t="inlineStr">
        <is>
          <t>B0839LQG4C</t>
        </is>
      </c>
      <c r="C21" s="39" t="inlineStr">
        <is>
          <t>SATIN-QUEEN-PINK</t>
        </is>
      </c>
      <c r="D21" s="39" t="inlineStr">
        <is>
          <t>DECOLURE Satin Bed Sheets - 4 Piece Luxury Silky Queen Size Bedding Set - Softer Than Silk, Wrinkle-Free with 15” Deep Pocket Fitted Sheet, Perfect for Hair &amp; Skin, Gifts for Women (Pink)</t>
        </is>
      </c>
      <c r="E21" s="39" t="inlineStr">
        <is>
          <t>Queen</t>
        </is>
      </c>
      <c r="F21" s="39" t="inlineStr">
        <is>
          <t>Pink</t>
        </is>
      </c>
      <c r="G21" s="73" t="n">
        <v>47.99</v>
      </c>
      <c r="H21" s="39" t="inlineStr">
        <is>
          <t>catalog price (CAD), 2026-10-14</t>
        </is>
      </c>
      <c r="I21" s="74" t="n">
        <v>47.99</v>
      </c>
      <c r="J21" s="75" t="inlineStr">
        <is>
          <t>2026-03-30</t>
        </is>
      </c>
      <c r="K21" s="40" t="n">
        <v>22.43</v>
      </c>
      <c r="L21" s="76" t="n">
        <v>0.4673890393832048</v>
      </c>
      <c r="M21" s="77" t="n">
        <v>17</v>
      </c>
      <c r="N21" s="39" t="inlineStr">
        <is>
          <t>Active</t>
        </is>
      </c>
      <c r="O21" s="39" t="n"/>
      <c r="P21" s="78" t="n">
        <v>4.3</v>
      </c>
      <c r="Q21" s="77" t="n">
        <v>20283</v>
      </c>
      <c r="R21" s="77" t="n">
        <v>2554</v>
      </c>
      <c r="S21" s="77" t="n">
        <v>1</v>
      </c>
      <c r="T21" s="39" t="n"/>
    </row>
    <row r="22" ht="62" customHeight="1">
      <c r="A22" s="12">
        <f>_xlfn.IMAGE("https://m.media-amazon.com/images/I/81zgEKHZOlL.jpg")</f>
        <v/>
      </c>
      <c r="B22" s="39" t="inlineStr">
        <is>
          <t>B0CNS9FHSD</t>
        </is>
      </c>
      <c r="C22" s="39" t="inlineStr">
        <is>
          <t>SATIN-FULL-BLUSH PINK</t>
        </is>
      </c>
      <c r="D22" s="39" t="inlineStr">
        <is>
          <t>DECOLURE Satin Bed Sheets - 4 Piece Luxury Silky Full Size Bedding Set - Softer Than Silk, Wrinkle-Free with 15” Deep Pocket Fitted Sheet, Perfect for Hair &amp; Skin, Gifts for Women (Blush Pink)</t>
        </is>
      </c>
      <c r="E22" s="39" t="inlineStr">
        <is>
          <t>Full</t>
        </is>
      </c>
      <c r="F22" s="39" t="inlineStr">
        <is>
          <t>Blush Pink</t>
        </is>
      </c>
      <c r="G22" s="73" t="n">
        <v>44.99</v>
      </c>
      <c r="H22" s="39" t="inlineStr">
        <is>
          <t>catalog price (CAD), 2026-10-14</t>
        </is>
      </c>
      <c r="I22" s="74" t="n">
        <v>44.99</v>
      </c>
      <c r="J22" s="75" t="inlineStr">
        <is>
          <t>2026-03-30</t>
        </is>
      </c>
      <c r="K22" s="40" t="n">
        <v>19.93</v>
      </c>
      <c r="L22" s="76" t="n">
        <v>0.4429873305178929</v>
      </c>
      <c r="M22" s="77" t="n">
        <v>14</v>
      </c>
      <c r="N22" s="39" t="inlineStr">
        <is>
          <t>Active</t>
        </is>
      </c>
      <c r="O22" s="39" t="n"/>
      <c r="P22" s="78" t="n">
        <v>4.3</v>
      </c>
      <c r="Q22" s="77" t="n">
        <v>20283</v>
      </c>
      <c r="R22" s="77" t="n">
        <v>2554</v>
      </c>
      <c r="S22" s="77" t="n">
        <v>6</v>
      </c>
      <c r="T22" s="39" t="n"/>
    </row>
    <row r="23" ht="62" customHeight="1">
      <c r="A23" s="12">
        <f>_xlfn.IMAGE("https://m.media-amazon.com/images/I/81VtFuMce8L.jpg")</f>
        <v/>
      </c>
      <c r="B23" s="39" t="inlineStr">
        <is>
          <t>B0839L4HWH</t>
        </is>
      </c>
      <c r="C23" s="39" t="inlineStr">
        <is>
          <t>SATIN-QUEEN-BLUE</t>
        </is>
      </c>
      <c r="D23" s="39" t="inlineStr">
        <is>
          <t>DECOLURE Satin Bed Sheets - 4 Piece Luxury Silky Queen Size Bedding Set - Softer Than Silk, Wrinkle-Free with 15” Deep Pocket Fitted Sheet, Perfect for Hair &amp; Skin, Gifts for Women (Blue)</t>
        </is>
      </c>
      <c r="E23" s="39" t="inlineStr">
        <is>
          <t>Queen</t>
        </is>
      </c>
      <c r="F23" s="39" t="inlineStr">
        <is>
          <t>Blue</t>
        </is>
      </c>
      <c r="G23" s="73" t="n">
        <v>47.99</v>
      </c>
      <c r="H23" s="39" t="inlineStr">
        <is>
          <t>catalog price (CAD), 2026-10-14</t>
        </is>
      </c>
      <c r="I23" s="74" t="n">
        <v>31.49</v>
      </c>
      <c r="J23" s="75" t="inlineStr">
        <is>
          <t>2026-03-22</t>
        </is>
      </c>
      <c r="K23" s="40" t="n">
        <v>7.379999999999999</v>
      </c>
      <c r="L23" s="76" t="n">
        <v>0.234360114322007</v>
      </c>
      <c r="M23" s="77" t="n">
        <v>14</v>
      </c>
      <c r="N23" s="39" t="inlineStr">
        <is>
          <t>Active</t>
        </is>
      </c>
      <c r="O23" s="39" t="n"/>
      <c r="P23" s="78" t="n">
        <v>4.3</v>
      </c>
      <c r="Q23" s="77" t="n">
        <v>20283</v>
      </c>
      <c r="R23" s="77" t="n">
        <v>2554</v>
      </c>
      <c r="S23" s="77" t="n">
        <v>2</v>
      </c>
      <c r="T23" s="39" t="n"/>
    </row>
    <row r="24" ht="62" customHeight="1">
      <c r="A24" s="12">
        <f>_xlfn.IMAGE("https://m.media-amazon.com/images/I/81gmHuZbW4L.jpg")</f>
        <v/>
      </c>
      <c r="B24" s="39" t="inlineStr">
        <is>
          <t>B08KRXDWNN</t>
        </is>
      </c>
      <c r="C24" s="39" t="inlineStr">
        <is>
          <t>SATIN-WHITE-QUEEN</t>
        </is>
      </c>
      <c r="D24" s="39" t="inlineStr">
        <is>
          <t>DECOLURE Satin Bed Sheets - 4 Piece Luxury Silky Queen Size Bedding Set - Softer Than Silk, Wrinkle-Free with 15” Deep Pocket Fitted Sheet, Perfect for Hair &amp; Skin, Gifts for Women (White)</t>
        </is>
      </c>
      <c r="E24" s="39" t="inlineStr">
        <is>
          <t>Queen</t>
        </is>
      </c>
      <c r="F24" s="39" t="inlineStr">
        <is>
          <t>White</t>
        </is>
      </c>
      <c r="G24" s="73" t="n">
        <v>47.99</v>
      </c>
      <c r="H24" s="39" t="inlineStr">
        <is>
          <t>catalog price (CAD), 2026-10-14</t>
        </is>
      </c>
      <c r="I24" s="74" t="n">
        <v>47.99</v>
      </c>
      <c r="J24" s="75" t="inlineStr">
        <is>
          <t>2026-03-10</t>
        </is>
      </c>
      <c r="K24" s="40" t="n">
        <v>20.2</v>
      </c>
      <c r="L24" s="76" t="n">
        <v>0.4209210252135861</v>
      </c>
      <c r="M24" s="77" t="n">
        <v>14</v>
      </c>
      <c r="N24" s="39" t="inlineStr">
        <is>
          <t>Active</t>
        </is>
      </c>
      <c r="O24" s="39" t="n"/>
      <c r="P24" s="78" t="n">
        <v>4.3</v>
      </c>
      <c r="Q24" s="77" t="n">
        <v>20283</v>
      </c>
      <c r="R24" s="77" t="n">
        <v>2536</v>
      </c>
      <c r="S24" s="77" t="n">
        <v>22</v>
      </c>
      <c r="T24" s="39" t="n"/>
    </row>
    <row r="25" ht="62" customHeight="1">
      <c r="A25" s="12">
        <f>_xlfn.IMAGE("https://m.media-amazon.com/images/I/81s3ROxMWEL.jpg")</f>
        <v/>
      </c>
      <c r="B25" s="39" t="inlineStr">
        <is>
          <t>B0839LCXBP</t>
        </is>
      </c>
      <c r="C25" s="39" t="inlineStr">
        <is>
          <t>SATIN-FULL-BLACK</t>
        </is>
      </c>
      <c r="D25" s="39" t="inlineStr">
        <is>
          <t>DECOLURE Satin Bed Sheets - 4 Piece Luxury Silky Full Size Bedding Set - Softer Than Silk, Wrinkle-Free with 15” Deep Pocket Fitted Sheet, Perfect for Hair &amp; Skin, Gifts for Women (Black)</t>
        </is>
      </c>
      <c r="E25" s="39" t="inlineStr">
        <is>
          <t>Full</t>
        </is>
      </c>
      <c r="F25" s="39" t="inlineStr">
        <is>
          <t>Black</t>
        </is>
      </c>
      <c r="G25" s="73" t="n">
        <v>44.99</v>
      </c>
      <c r="H25" s="39" t="inlineStr">
        <is>
          <t>catalog price (CAD), 2026-10-14</t>
        </is>
      </c>
      <c r="I25" s="74" t="n">
        <v>27.49</v>
      </c>
      <c r="J25" s="75" t="inlineStr">
        <is>
          <t>2026-03-22</t>
        </is>
      </c>
      <c r="K25" s="40" t="n">
        <v>4.869999999999997</v>
      </c>
      <c r="L25" s="76" t="n">
        <v>0.1771553292106219</v>
      </c>
      <c r="M25" s="77" t="n">
        <v>12</v>
      </c>
      <c r="N25" s="39" t="inlineStr">
        <is>
          <t>Active</t>
        </is>
      </c>
      <c r="O25" s="39" t="n"/>
      <c r="P25" s="78" t="n">
        <v>4.3</v>
      </c>
      <c r="Q25" s="77" t="n">
        <v>20283</v>
      </c>
      <c r="R25" s="77" t="n">
        <v>2536</v>
      </c>
      <c r="S25" s="77" t="n">
        <v>48</v>
      </c>
      <c r="T25" s="39" t="n"/>
    </row>
    <row r="26" ht="62" customHeight="1">
      <c r="A26" s="12">
        <f>_xlfn.IMAGE("https://m.media-amazon.com/images/I/81Yn7rZGUhL.jpg")</f>
        <v/>
      </c>
      <c r="B26" s="39" t="inlineStr">
        <is>
          <t>B0839L6R8Y</t>
        </is>
      </c>
      <c r="C26" s="39" t="inlineStr">
        <is>
          <t>SATIN-QUEEN-PURPLE</t>
        </is>
      </c>
      <c r="D26" s="39" t="inlineStr">
        <is>
          <t>DECOLURE Satin Bed Sheets - 4 Piece Luxury Silky Queen Size Bedding Set - Softer Than Silk, Wrinkle-Free with 15” Deep Pocket Fitted Sheet, Perfect for Hair &amp; Skin, Gifts for Women (Purple)</t>
        </is>
      </c>
      <c r="E26" s="39" t="inlineStr">
        <is>
          <t>Queen</t>
        </is>
      </c>
      <c r="F26" s="39" t="inlineStr">
        <is>
          <t>Purple</t>
        </is>
      </c>
      <c r="G26" s="73" t="n">
        <v>47.99</v>
      </c>
      <c r="H26" s="39" t="inlineStr">
        <is>
          <t>catalog price (CAD), 2026-10-14</t>
        </is>
      </c>
      <c r="I26" s="74" t="n">
        <v>47.99</v>
      </c>
      <c r="J26" s="75" t="inlineStr">
        <is>
          <t>2026-03-30</t>
        </is>
      </c>
      <c r="K26" s="40" t="n">
        <v>22.27</v>
      </c>
      <c r="L26" s="76" t="n">
        <v>0.464055011460721</v>
      </c>
      <c r="M26" s="77" t="n">
        <v>11</v>
      </c>
      <c r="N26" s="39" t="inlineStr">
        <is>
          <t>Active</t>
        </is>
      </c>
      <c r="O26" s="39" t="n"/>
      <c r="P26" s="78" t="n">
        <v>4.3</v>
      </c>
      <c r="Q26" s="77" t="n">
        <v>20283</v>
      </c>
      <c r="R26" s="77" t="n">
        <v>2554</v>
      </c>
      <c r="S26" s="77" t="n">
        <v>3</v>
      </c>
      <c r="T26" s="39" t="n"/>
    </row>
    <row r="27" ht="62" customHeight="1">
      <c r="A27" s="12">
        <f>_xlfn.IMAGE("https://m.media-amazon.com/images/I/81zvGkE8vhL.jpg")</f>
        <v/>
      </c>
      <c r="B27" s="39" t="inlineStr">
        <is>
          <t>B0839L6QG5</t>
        </is>
      </c>
      <c r="C27" s="39" t="inlineStr">
        <is>
          <t>SATIN-FULL-PINK</t>
        </is>
      </c>
      <c r="D27" s="39" t="inlineStr">
        <is>
          <t>DECOLURE Satin Bed Sheets - 4 Piece Luxury Silky Full Size Bedding Set - Softer Than Silk, Wrinkle-Free with 15” Deep Pocket Fitted Sheet, Perfect for Hair &amp; Skin, Gifts for Women (Pink)</t>
        </is>
      </c>
      <c r="E27" s="39" t="inlineStr">
        <is>
          <t>Full</t>
        </is>
      </c>
      <c r="F27" s="39" t="inlineStr">
        <is>
          <t>Pink</t>
        </is>
      </c>
      <c r="G27" s="73" t="n">
        <v>44.99</v>
      </c>
      <c r="H27" s="39" t="inlineStr">
        <is>
          <t>catalog price (CAD), 2026-10-14</t>
        </is>
      </c>
      <c r="I27" s="74" t="n">
        <v>44.99</v>
      </c>
      <c r="J27" s="75" t="inlineStr">
        <is>
          <t>2026-03-30</t>
        </is>
      </c>
      <c r="K27" s="40" t="n">
        <v>19.93</v>
      </c>
      <c r="L27" s="76" t="n">
        <v>0.4429873305178929</v>
      </c>
      <c r="M27" s="77" t="n">
        <v>10</v>
      </c>
      <c r="N27" s="39" t="inlineStr">
        <is>
          <t>Active</t>
        </is>
      </c>
      <c r="O27" s="39" t="n"/>
      <c r="P27" s="78" t="n">
        <v>4.3</v>
      </c>
      <c r="Q27" s="77" t="n">
        <v>20283</v>
      </c>
      <c r="R27" s="77" t="n">
        <v>2554</v>
      </c>
      <c r="S27" s="77" t="n">
        <v>3</v>
      </c>
      <c r="T27" s="39" t="n"/>
    </row>
    <row r="28" ht="62" customHeight="1">
      <c r="A28" s="12">
        <f>_xlfn.IMAGE("https://m.media-amazon.com/images/I/81XsKf7Tk0L.jpg")</f>
        <v/>
      </c>
      <c r="B28" s="39" t="inlineStr">
        <is>
          <t>B08KRHBD49</t>
        </is>
      </c>
      <c r="C28" s="39" t="inlineStr">
        <is>
          <t>SATIN-RED-FULL</t>
        </is>
      </c>
      <c r="D28" s="39" t="inlineStr">
        <is>
          <t>DECOLURE Satin Bed Sheets - 4 Piece Luxury Silky Full Size Bedding Set - Softer Than Silk, Wrinkle-Free with 15” Deep Pocket Fitted Sheet, Perfect for Hair &amp; Skin, Gifts for Women (Red)</t>
        </is>
      </c>
      <c r="E28" s="39" t="inlineStr">
        <is>
          <t>Full</t>
        </is>
      </c>
      <c r="F28" s="39" t="inlineStr">
        <is>
          <t>Red</t>
        </is>
      </c>
      <c r="G28" s="73" t="n">
        <v>44.99</v>
      </c>
      <c r="H28" s="39" t="inlineStr">
        <is>
          <t>catalog price (CAD), 2026-10-14</t>
        </is>
      </c>
      <c r="I28" s="74" t="n">
        <v>44.99</v>
      </c>
      <c r="J28" s="75" t="inlineStr">
        <is>
          <t>2026-03-30</t>
        </is>
      </c>
      <c r="K28" s="40" t="n">
        <v>20.93</v>
      </c>
      <c r="L28" s="76" t="n">
        <v>0.4652144921093576</v>
      </c>
      <c r="M28" s="77" t="n">
        <v>9</v>
      </c>
      <c r="N28" s="39" t="inlineStr">
        <is>
          <t>Active</t>
        </is>
      </c>
      <c r="O28" s="39" t="n"/>
      <c r="P28" s="78" t="n">
        <v>4.3</v>
      </c>
      <c r="Q28" s="77" t="n">
        <v>20283</v>
      </c>
      <c r="R28" s="77" t="n">
        <v>2554</v>
      </c>
      <c r="S28" s="77" t="n">
        <v>2</v>
      </c>
      <c r="T28" s="39" t="n"/>
    </row>
    <row r="29" ht="62" customHeight="1">
      <c r="A29" s="12">
        <f>_xlfn.IMAGE("https://m.media-amazon.com/images/I/81xinUykzIL.jpg")</f>
        <v/>
      </c>
      <c r="B29" s="39" t="inlineStr">
        <is>
          <t>B0BG225D1J</t>
        </is>
      </c>
      <c r="C29" s="39" t="inlineStr">
        <is>
          <t>SATIN-IVORY-KING</t>
        </is>
      </c>
      <c r="D29" s="39" t="inlineStr">
        <is>
          <t>DECOLURE Satin Bed Sheets - 4 Piece Luxury Silky King Size Bedding Set - Softer Than Silk, Wrinkle-Free with 15” Deep Pocket Fitted Sheet, Perfect for Hair &amp; Skin, Gifts for Women (Ivory)</t>
        </is>
      </c>
      <c r="E29" s="39" t="inlineStr">
        <is>
          <t>King</t>
        </is>
      </c>
      <c r="F29" s="39" t="inlineStr">
        <is>
          <t>Ivory</t>
        </is>
      </c>
      <c r="G29" s="73" t="n">
        <v>52.99</v>
      </c>
      <c r="H29" s="39" t="inlineStr">
        <is>
          <t>catalog price (CAD), 2026-10-14</t>
        </is>
      </c>
      <c r="I29" s="74" t="n">
        <v>52.99</v>
      </c>
      <c r="J29" s="75" t="inlineStr">
        <is>
          <t>2026-03-30</t>
        </is>
      </c>
      <c r="K29" s="40" t="n">
        <v>23.79</v>
      </c>
      <c r="L29" s="76" t="n">
        <v>0.4489526325721834</v>
      </c>
      <c r="M29" s="77" t="n">
        <v>9</v>
      </c>
      <c r="N29" s="39" t="inlineStr">
        <is>
          <t>Active</t>
        </is>
      </c>
      <c r="O29" s="39" t="n"/>
      <c r="P29" s="78" t="n">
        <v>4.3</v>
      </c>
      <c r="Q29" s="77" t="n">
        <v>20283</v>
      </c>
      <c r="R29" s="77" t="n">
        <v>2554</v>
      </c>
      <c r="S29" s="77" t="n">
        <v>0.8771</v>
      </c>
      <c r="T29" s="39" t="n"/>
    </row>
    <row r="30" ht="62" customHeight="1">
      <c r="A30" s="12">
        <f>_xlfn.IMAGE("https://m.media-amazon.com/images/I/81zgEKHZOlL.jpg")</f>
        <v/>
      </c>
      <c r="B30" s="39" t="inlineStr">
        <is>
          <t>B0CNS8T4ZK</t>
        </is>
      </c>
      <c r="C30" s="39" t="inlineStr">
        <is>
          <t>SATIN-QUEEN-BLUSH PINK</t>
        </is>
      </c>
      <c r="D30" s="39" t="inlineStr">
        <is>
          <t>DECOLURE Satin Bed Sheets - 4 Piece Luxury Silky Queen Size Bedding Set - Softer Than Silk, Wrinkle-Free with 15” Deep Pocket Fitted Sheet, Perfect for Hair &amp; Skin, Gifts for Women (Blush Pink)</t>
        </is>
      </c>
      <c r="E30" s="39" t="inlineStr">
        <is>
          <t>Queen</t>
        </is>
      </c>
      <c r="F30" s="39" t="inlineStr">
        <is>
          <t>Blush Pink</t>
        </is>
      </c>
      <c r="G30" s="73" t="n">
        <v>47.99</v>
      </c>
      <c r="H30" s="39" t="inlineStr">
        <is>
          <t>catalog price (CAD), 2026-10-14</t>
        </is>
      </c>
      <c r="I30" s="74" t="n">
        <v>47.99</v>
      </c>
      <c r="J30" s="75" t="inlineStr">
        <is>
          <t>2026-03-30</t>
        </is>
      </c>
      <c r="K30" s="40" t="n">
        <v>22.32</v>
      </c>
      <c r="L30" s="76" t="n">
        <v>0.4650968951864972</v>
      </c>
      <c r="M30" s="77" t="n">
        <v>9</v>
      </c>
      <c r="N30" s="39" t="inlineStr">
        <is>
          <t>Active</t>
        </is>
      </c>
      <c r="O30" s="39" t="n"/>
      <c r="P30" s="78" t="n">
        <v>4.3</v>
      </c>
      <c r="Q30" s="77" t="n">
        <v>20283</v>
      </c>
      <c r="R30" s="77" t="n">
        <v>2554</v>
      </c>
      <c r="S30" s="77" t="n">
        <v>5</v>
      </c>
      <c r="T30" s="39" t="n"/>
    </row>
    <row r="31" ht="62" customHeight="1">
      <c r="A31" s="12">
        <f>_xlfn.IMAGE("https://m.media-amazon.com/images/I/81Ktu4N6y2L.jpg")</f>
        <v/>
      </c>
      <c r="B31" s="39" t="inlineStr">
        <is>
          <t>B0BG21THPM</t>
        </is>
      </c>
      <c r="C31" s="39" t="inlineStr">
        <is>
          <t>SATIN-ROSEWOOD-QUEEN</t>
        </is>
      </c>
      <c r="D31" s="39" t="inlineStr">
        <is>
          <t>DECOLURE Satin Bed Sheets - 4 Piece Luxury Silky Queen Size Bedding Set - Softer Than Silk, Wrinkle-Free with 15” Deep Pocket Fitted Sheet, Perfect for Hair &amp; Skin, Gifts for Women (Rosewood)</t>
        </is>
      </c>
      <c r="E31" s="39" t="inlineStr">
        <is>
          <t>Queen</t>
        </is>
      </c>
      <c r="F31" s="39" t="inlineStr">
        <is>
          <t>Rosewood</t>
        </is>
      </c>
      <c r="G31" s="73" t="n">
        <v>47.99</v>
      </c>
      <c r="H31" s="39" t="inlineStr">
        <is>
          <t>catalog price (CAD), 2026-10-14</t>
        </is>
      </c>
      <c r="I31" s="74" t="n">
        <v>47.99</v>
      </c>
      <c r="J31" s="75" t="inlineStr">
        <is>
          <t>2026-03-30</t>
        </is>
      </c>
      <c r="K31" s="40" t="n">
        <v>20.2</v>
      </c>
      <c r="L31" s="76" t="n">
        <v>0.4209210252135861</v>
      </c>
      <c r="M31" s="77" t="n">
        <v>9</v>
      </c>
      <c r="N31" s="39" t="inlineStr">
        <is>
          <t>Active</t>
        </is>
      </c>
      <c r="O31" s="39" t="n"/>
      <c r="P31" s="78" t="n">
        <v>4.3</v>
      </c>
      <c r="Q31" s="77" t="n">
        <v>20283</v>
      </c>
      <c r="R31" s="77" t="n">
        <v>2554</v>
      </c>
      <c r="S31" s="77" t="n">
        <v>1</v>
      </c>
      <c r="T31" s="39" t="n"/>
    </row>
    <row r="32" ht="62" customHeight="1">
      <c r="A32" s="12">
        <f>_xlfn.IMAGE("https://m.media-amazon.com/images/I/81b2FINCUgL.jpg")</f>
        <v/>
      </c>
      <c r="B32" s="39" t="inlineStr">
        <is>
          <t>B0CQRWSS2D</t>
        </is>
      </c>
      <c r="C32" s="39" t="inlineStr">
        <is>
          <t>SATIN-4PC-QUEEN-SAGE GREEN</t>
        </is>
      </c>
      <c r="D32" s="39" t="inlineStr">
        <is>
          <t>DECOLURE Satin Bed Sheets - 4 Piece Luxury Silky Queen Size Bedding Set - Softer Than Silk, Wrinkle-Free with 15” Deep Pocket Fitted Sheet, Perfect for Hair &amp; Skin, Gifts for Women (Sage Green)</t>
        </is>
      </c>
      <c r="E32" s="39" t="inlineStr">
        <is>
          <t>Queen</t>
        </is>
      </c>
      <c r="F32" s="39" t="inlineStr">
        <is>
          <t>Sage Green</t>
        </is>
      </c>
      <c r="G32" s="73" t="n">
        <v>47.99</v>
      </c>
      <c r="H32" s="39" t="inlineStr">
        <is>
          <t>catalog price (CAD), 2026-10-14</t>
        </is>
      </c>
      <c r="I32" s="74" t="n">
        <v>47.99</v>
      </c>
      <c r="J32" s="75" t="inlineStr">
        <is>
          <t>2026-03-30</t>
        </is>
      </c>
      <c r="K32" s="40" t="n">
        <v>22.19</v>
      </c>
      <c r="L32" s="76" t="n">
        <v>0.462387997499479</v>
      </c>
      <c r="M32" s="77" t="n">
        <v>9</v>
      </c>
      <c r="N32" s="39" t="inlineStr">
        <is>
          <t>Active</t>
        </is>
      </c>
      <c r="O32" s="39" t="n"/>
      <c r="P32" s="78" t="n">
        <v>4.3</v>
      </c>
      <c r="Q32" s="77" t="n">
        <v>20283</v>
      </c>
      <c r="R32" s="77" t="n">
        <v>2554</v>
      </c>
      <c r="S32" s="77" t="n">
        <v>3</v>
      </c>
      <c r="T32" s="39" t="n"/>
    </row>
    <row r="33" ht="62" customHeight="1">
      <c r="A33" s="12">
        <f>_xlfn.IMAGE("https://m.media-amazon.com/images/I/813j5CwQxPL.jpg")</f>
        <v/>
      </c>
      <c r="B33" s="39" t="inlineStr">
        <is>
          <t>B0CQRYGLY3</t>
        </is>
      </c>
      <c r="C33" s="39" t="inlineStr">
        <is>
          <t>SATIN-4PC-FULL-NAVY BLUE</t>
        </is>
      </c>
      <c r="D33" s="39" t="inlineStr">
        <is>
          <t>DECOLURE Satin Bed Sheets - 4 Piece Luxury Silky Full Size Bedding Set - Softer Than Silk, Wrinkle-Free with 15” Deep Pocket Fitted Sheet, Perfect for Hair &amp; Skin, Gifts for Women (Navy Blue)</t>
        </is>
      </c>
      <c r="E33" s="39" t="inlineStr">
        <is>
          <t>Full</t>
        </is>
      </c>
      <c r="F33" s="39" t="inlineStr">
        <is>
          <t>Navy Blue</t>
        </is>
      </c>
      <c r="G33" s="73" t="n">
        <v>44.99</v>
      </c>
      <c r="H33" s="39" t="inlineStr">
        <is>
          <t>catalog price (CAD), 2026-10-14</t>
        </is>
      </c>
      <c r="I33" s="74" t="n">
        <v>44.99</v>
      </c>
      <c r="J33" s="75" t="inlineStr">
        <is>
          <t>2026-03-30</t>
        </is>
      </c>
      <c r="K33" s="40" t="n">
        <v>21.01</v>
      </c>
      <c r="L33" s="76" t="n">
        <v>0.4669926650366747</v>
      </c>
      <c r="M33" s="77" t="n">
        <v>8</v>
      </c>
      <c r="N33" s="39" t="inlineStr">
        <is>
          <t>Active</t>
        </is>
      </c>
      <c r="O33" s="39" t="n"/>
      <c r="P33" s="78" t="n">
        <v>4.3</v>
      </c>
      <c r="Q33" s="77" t="n">
        <v>20283</v>
      </c>
      <c r="R33" s="77" t="n">
        <v>2554</v>
      </c>
      <c r="S33" s="77" t="n">
        <v>2</v>
      </c>
      <c r="T33" s="39" t="n"/>
    </row>
    <row r="34" ht="62" customHeight="1">
      <c r="A34" s="12">
        <f>_xlfn.IMAGE("https://m.media-amazon.com/images/I/81gmHuZbW4L.jpg")</f>
        <v/>
      </c>
      <c r="B34" s="39" t="inlineStr">
        <is>
          <t>B08KRNYD9B</t>
        </is>
      </c>
      <c r="C34" s="39" t="inlineStr">
        <is>
          <t>SATIN-WHITE-FULL</t>
        </is>
      </c>
      <c r="D34" s="39" t="inlineStr">
        <is>
          <t>DECOLURE Satin Bed Sheets - 4 Piece Luxury Silky Full Size Bedding Set - Softer Than Silk, Wrinkle-Free with 15” Deep Pocket Fitted Sheet, Perfect for Hair &amp; Skin, Gifts for Women (White)</t>
        </is>
      </c>
      <c r="E34" s="39" t="inlineStr">
        <is>
          <t>Full</t>
        </is>
      </c>
      <c r="F34" s="39" t="inlineStr">
        <is>
          <t>White</t>
        </is>
      </c>
      <c r="G34" s="73" t="n">
        <v>44.99</v>
      </c>
      <c r="H34" s="39" t="inlineStr">
        <is>
          <t>catalog price (CAD), 2026-10-14</t>
        </is>
      </c>
      <c r="I34" s="74" t="n">
        <v>44.99</v>
      </c>
      <c r="J34" s="75" t="inlineStr">
        <is>
          <t>2026-03-30</t>
        </is>
      </c>
      <c r="K34" s="40" t="n">
        <v>21</v>
      </c>
      <c r="L34" s="76" t="n">
        <v>0.4667703934207602</v>
      </c>
      <c r="M34" s="77" t="n">
        <v>8</v>
      </c>
      <c r="N34" s="39" t="inlineStr">
        <is>
          <t>Active</t>
        </is>
      </c>
      <c r="O34" s="39" t="n"/>
      <c r="P34" s="78" t="n">
        <v>4.3</v>
      </c>
      <c r="Q34" s="77" t="n">
        <v>20283</v>
      </c>
      <c r="R34" s="77" t="n">
        <v>2554</v>
      </c>
      <c r="S34" s="77" t="n">
        <v>4</v>
      </c>
      <c r="T34" s="39" t="n"/>
    </row>
    <row r="35" ht="62" customHeight="1">
      <c r="A35" s="12">
        <f>_xlfn.IMAGE("https://m.media-amazon.com/images/I/81Bv43jZjZL.jpg")</f>
        <v/>
      </c>
      <c r="B35" s="39" t="inlineStr">
        <is>
          <t>B09G6LBXRX</t>
        </is>
      </c>
      <c r="C35" s="39" t="inlineStr">
        <is>
          <t>SATIN-STRIPE-QUEEN-BLACK</t>
        </is>
      </c>
      <c r="D35" s="39" t="inlineStr">
        <is>
          <t>DECOLURE Satin Bed Sheets - 4 Piece Luxury Silky Queen Size Bedding Set - Softer Than Silk, Wrinkle-Free with 15” Deep Pocket Fitted Sheet, Perfect for Hair &amp; Skin, Gifts for Women (Striped Black)</t>
        </is>
      </c>
      <c r="E35" s="39" t="inlineStr">
        <is>
          <t>Queen</t>
        </is>
      </c>
      <c r="F35" s="39" t="inlineStr">
        <is>
          <t>Striped Black</t>
        </is>
      </c>
      <c r="G35" s="73" t="n">
        <v>47.99</v>
      </c>
      <c r="H35" s="39" t="inlineStr">
        <is>
          <t>catalog price (CAD), 2026-10-14</t>
        </is>
      </c>
      <c r="I35" s="74" t="n">
        <v>47.99</v>
      </c>
      <c r="J35" s="75" t="inlineStr">
        <is>
          <t>2026-03-30</t>
        </is>
      </c>
      <c r="K35" s="40" t="n">
        <v>20.31</v>
      </c>
      <c r="L35" s="76" t="n">
        <v>0.4232131694102936</v>
      </c>
      <c r="M35" s="77" t="n">
        <v>8</v>
      </c>
      <c r="N35" s="39" t="inlineStr">
        <is>
          <t>Active</t>
        </is>
      </c>
      <c r="O35" s="39" t="n"/>
      <c r="P35" s="78" t="n">
        <v>4.3</v>
      </c>
      <c r="Q35" s="77" t="n">
        <v>20283</v>
      </c>
      <c r="R35" s="77" t="n">
        <v>2554</v>
      </c>
      <c r="S35" s="77" t="n">
        <v>4</v>
      </c>
      <c r="T35" s="39" t="n"/>
    </row>
    <row r="36" ht="62" customHeight="1">
      <c r="A36" s="12">
        <f>_xlfn.IMAGE("https://m.media-amazon.com/images/I/81Yn7rZGUhL.jpg")</f>
        <v/>
      </c>
      <c r="B36" s="39" t="inlineStr">
        <is>
          <t>B0839LKZV9</t>
        </is>
      </c>
      <c r="C36" s="39" t="inlineStr">
        <is>
          <t>SATIN-KING-PURPLE</t>
        </is>
      </c>
      <c r="D36" s="39" t="inlineStr">
        <is>
          <t>DECOLURE Satin Bed Sheets - 4 Piece Luxury Silky King Size Bedding Set - Softer Than Silk, Wrinkle-Free with 15” Deep Pocket Fitted Sheet, Perfect for Hair &amp; Skin, Gifts for Women (Purple)</t>
        </is>
      </c>
      <c r="E36" s="39" t="inlineStr">
        <is>
          <t>King</t>
        </is>
      </c>
      <c r="F36" s="39" t="inlineStr">
        <is>
          <t>Purple</t>
        </is>
      </c>
      <c r="G36" s="73" t="n">
        <v>52.99</v>
      </c>
      <c r="H36" s="39" t="inlineStr">
        <is>
          <t>catalog price (CAD), 2026-10-14</t>
        </is>
      </c>
      <c r="I36" s="74" t="n">
        <v>34.39</v>
      </c>
      <c r="J36" s="75" t="inlineStr">
        <is>
          <t>2026-03-22</t>
        </is>
      </c>
      <c r="K36" s="40" t="n">
        <v>7.900000000000002</v>
      </c>
      <c r="L36" s="76" t="n">
        <v>0.2297179412619949</v>
      </c>
      <c r="M36" s="77" t="n">
        <v>7</v>
      </c>
      <c r="N36" s="39" t="inlineStr">
        <is>
          <t>Active</t>
        </is>
      </c>
      <c r="O36" s="39" t="n"/>
      <c r="P36" s="78" t="n">
        <v>4.3</v>
      </c>
      <c r="Q36" s="77" t="n">
        <v>20283</v>
      </c>
      <c r="R36" s="77" t="n">
        <v>2554</v>
      </c>
      <c r="S36" s="77" t="n">
        <v>0.8169</v>
      </c>
      <c r="T36" s="39" t="n"/>
    </row>
    <row r="37" ht="62" customHeight="1">
      <c r="A37" s="12">
        <f>_xlfn.IMAGE("https://m.media-amazon.com/images/I/81xinUykzIL.jpg")</f>
        <v/>
      </c>
      <c r="B37" s="39" t="inlineStr">
        <is>
          <t>B0BG1YXQGT</t>
        </is>
      </c>
      <c r="C37" s="39" t="inlineStr">
        <is>
          <t>SATIN-IVORY-QUEEN</t>
        </is>
      </c>
      <c r="D37" s="39" t="inlineStr">
        <is>
          <t>DECOLURE Satin Bed Sheets - 4 Piece Luxury Silky Queen Size Bedding Set - Softer Than Silk, Wrinkle-Free with 15” Deep Pocket Fitted Sheet, Perfect for Hair &amp; Skin, Gifts for Women (Ivory)</t>
        </is>
      </c>
      <c r="E37" s="39" t="inlineStr">
        <is>
          <t>Queen</t>
        </is>
      </c>
      <c r="F37" s="39" t="inlineStr">
        <is>
          <t>Ivory</t>
        </is>
      </c>
      <c r="G37" s="73" t="n">
        <v>47.99</v>
      </c>
      <c r="H37" s="39" t="inlineStr">
        <is>
          <t>catalog price (CAD), 2026-10-14</t>
        </is>
      </c>
      <c r="I37" s="74" t="n">
        <v>28.34</v>
      </c>
      <c r="J37" s="75" t="inlineStr">
        <is>
          <t>2026-03-22</t>
        </is>
      </c>
      <c r="K37" s="40" t="n">
        <v>5.41</v>
      </c>
      <c r="L37" s="76" t="n">
        <v>0.1908962597035991</v>
      </c>
      <c r="M37" s="77" t="n">
        <v>7</v>
      </c>
      <c r="N37" s="39" t="inlineStr">
        <is>
          <t>Active</t>
        </is>
      </c>
      <c r="O37" s="39" t="n"/>
      <c r="P37" s="78" t="n">
        <v>4.3</v>
      </c>
      <c r="Q37" s="77" t="n">
        <v>20283</v>
      </c>
      <c r="R37" s="77" t="n">
        <v>2554</v>
      </c>
      <c r="S37" s="77" t="n">
        <v>2</v>
      </c>
      <c r="T37" s="39" t="n"/>
    </row>
    <row r="38" ht="62" customHeight="1">
      <c r="A38" s="12">
        <f>_xlfn.IMAGE("https://m.media-amazon.com/images/I/81-wlwJoLcL.jpg")</f>
        <v/>
      </c>
      <c r="B38" s="39" t="inlineStr">
        <is>
          <t>B09G6KCTXW</t>
        </is>
      </c>
      <c r="C38" s="39" t="inlineStr">
        <is>
          <t>SATIN-STRIPE-QUEEN-RED</t>
        </is>
      </c>
      <c r="D38" s="39" t="inlineStr">
        <is>
          <t>DECOLURE Satin Bed Sheets - 4 Piece Luxury Silky Queen Size Bedding Set - Softer Than Silk, Wrinkle-Free with 15” Deep Pocket Fitted Sheet, Perfect for Hair &amp; Skin, Gifts for Women (Striped Red)</t>
        </is>
      </c>
      <c r="E38" s="39" t="inlineStr">
        <is>
          <t>Queen</t>
        </is>
      </c>
      <c r="F38" s="39" t="inlineStr">
        <is>
          <t>Striped Red</t>
        </is>
      </c>
      <c r="G38" s="73" t="n">
        <v>47.99</v>
      </c>
      <c r="H38" s="39" t="inlineStr">
        <is>
          <t>catalog price (CAD), 2026-10-14</t>
        </is>
      </c>
      <c r="I38" s="74" t="n">
        <v>47.99</v>
      </c>
      <c r="J38" s="75" t="inlineStr">
        <is>
          <t>2026-03-30</t>
        </is>
      </c>
      <c r="K38" s="40" t="n">
        <v>21.1</v>
      </c>
      <c r="L38" s="76" t="n">
        <v>0.4396749322775577</v>
      </c>
      <c r="M38" s="77" t="n">
        <v>7</v>
      </c>
      <c r="N38" s="39" t="inlineStr">
        <is>
          <t>Active</t>
        </is>
      </c>
      <c r="O38" s="39" t="n"/>
      <c r="P38" s="78" t="n">
        <v>4.3</v>
      </c>
      <c r="Q38" s="77" t="n">
        <v>20283</v>
      </c>
      <c r="R38" s="77" t="n">
        <v>2554</v>
      </c>
      <c r="S38" s="77" t="n">
        <v>2</v>
      </c>
      <c r="T38" s="39" t="n"/>
    </row>
    <row r="39" ht="62" customHeight="1">
      <c r="A39" s="12">
        <f>_xlfn.IMAGE("https://m.media-amazon.com/images/I/81YR0C1cluL.jpg")</f>
        <v/>
      </c>
      <c r="B39" s="39" t="inlineStr">
        <is>
          <t>B0839LVHL1</t>
        </is>
      </c>
      <c r="C39" s="39" t="inlineStr">
        <is>
          <t>SATIN-TWIN-PINK</t>
        </is>
      </c>
      <c r="D39" s="39" t="inlineStr">
        <is>
          <t>DECOLURE Satin Bed Sheets - 3 Piece Luxury Silky Twin Size Bedding Set - Softer Than Silk, Wrinkle-Free with 15” Deep Pocket Fitted Sheet, Perfect for Hair &amp; Skin, Gifts for Women (Pink)</t>
        </is>
      </c>
      <c r="E39" s="39" t="inlineStr">
        <is>
          <t>Twin</t>
        </is>
      </c>
      <c r="F39" s="39" t="inlineStr">
        <is>
          <t>Pink</t>
        </is>
      </c>
      <c r="G39" s="73" t="n">
        <v>39.99</v>
      </c>
      <c r="H39" s="39" t="inlineStr">
        <is>
          <t>catalog price (CAD), 2026-10-14</t>
        </is>
      </c>
      <c r="I39" s="74" t="n">
        <v>39.99</v>
      </c>
      <c r="J39" s="75" t="inlineStr">
        <is>
          <t>2026-03-30</t>
        </is>
      </c>
      <c r="K39" s="40" t="n">
        <v>17.31</v>
      </c>
      <c r="L39" s="76" t="n">
        <v>0.4328582145536384</v>
      </c>
      <c r="M39" s="77" t="n">
        <v>7</v>
      </c>
      <c r="N39" s="39" t="inlineStr">
        <is>
          <t>Active</t>
        </is>
      </c>
      <c r="O39" s="39" t="n"/>
      <c r="P39" s="78" t="n">
        <v>4.3</v>
      </c>
      <c r="Q39" s="77" t="n">
        <v>20283</v>
      </c>
      <c r="R39" s="77" t="n">
        <v>2554</v>
      </c>
      <c r="S39" s="77" t="n">
        <v>4</v>
      </c>
      <c r="T39" s="39" t="n"/>
    </row>
    <row r="40" ht="62" customHeight="1">
      <c r="A40" s="12">
        <f>_xlfn.IMAGE("https://m.media-amazon.com/images/I/81owOVQLwdL.jpg")</f>
        <v/>
      </c>
      <c r="B40" s="39" t="inlineStr">
        <is>
          <t>B0CQRY9WLD</t>
        </is>
      </c>
      <c r="C40" s="39" t="inlineStr">
        <is>
          <t>SATIN-4PC-FULL-BABY BLUE</t>
        </is>
      </c>
      <c r="D40" s="39" t="inlineStr">
        <is>
          <t>DECOLURE Satin Bed Sheets - 4 Piece Luxury Silky Full Size Bedding Set - Softer Than Silk, Wrinkle-Free with 15” Deep Pocket Fitted Sheet, Perfect for Hair &amp; Skin, Gifts for Women (Baby Blue)</t>
        </is>
      </c>
      <c r="E40" s="39" t="inlineStr">
        <is>
          <t>Full</t>
        </is>
      </c>
      <c r="F40" s="39" t="inlineStr">
        <is>
          <t>Baby Blue</t>
        </is>
      </c>
      <c r="G40" s="73" t="n">
        <v>44.99</v>
      </c>
      <c r="H40" s="39" t="inlineStr">
        <is>
          <t>catalog price (CAD), 2026-10-14</t>
        </is>
      </c>
      <c r="I40" s="74" t="n">
        <v>44.99</v>
      </c>
      <c r="J40" s="75" t="inlineStr">
        <is>
          <t>2026-03-30</t>
        </is>
      </c>
      <c r="K40" s="40" t="n">
        <v>20.6</v>
      </c>
      <c r="L40" s="76" t="n">
        <v>0.4578795287841743</v>
      </c>
      <c r="M40" s="77" t="n">
        <v>6</v>
      </c>
      <c r="N40" s="39" t="inlineStr">
        <is>
          <t>Active</t>
        </is>
      </c>
      <c r="O40" s="39" t="n"/>
      <c r="P40" s="78" t="n">
        <v>4.3</v>
      </c>
      <c r="Q40" s="77" t="n">
        <v>20283</v>
      </c>
      <c r="R40" s="77" t="n">
        <v>2554</v>
      </c>
      <c r="S40" s="77" t="n">
        <v>3</v>
      </c>
      <c r="T40" s="39" t="n"/>
    </row>
    <row r="41" ht="62" customHeight="1">
      <c r="A41" s="12">
        <f>_xlfn.IMAGE("https://m.media-amazon.com/images/I/813j5CwQxPL.jpg")</f>
        <v/>
      </c>
      <c r="B41" s="39" t="inlineStr">
        <is>
          <t>B0CQRXNLN6</t>
        </is>
      </c>
      <c r="C41" s="39" t="inlineStr">
        <is>
          <t>SATIN-4PC-KING-NAVY BLUE</t>
        </is>
      </c>
      <c r="D41" s="39" t="inlineStr">
        <is>
          <t>DECOLURE Satin Bed Sheets - 4 Piece Luxury Silky King Size Bedding Set - Softer Than Silk, Wrinkle-Free with 15” Deep Pocket Fitted Sheet, Perfect for Hair &amp; Skin, Gifts for Women (Navy Blue)</t>
        </is>
      </c>
      <c r="E41" s="39" t="inlineStr">
        <is>
          <t>King</t>
        </is>
      </c>
      <c r="F41" s="39" t="inlineStr">
        <is>
          <t>Navy Blue</t>
        </is>
      </c>
      <c r="G41" s="73" t="n">
        <v>52.99</v>
      </c>
      <c r="H41" s="39" t="inlineStr">
        <is>
          <t>catalog price (CAD), 2026-10-14</t>
        </is>
      </c>
      <c r="I41" s="74" t="n">
        <v>52.99</v>
      </c>
      <c r="J41" s="75" t="inlineStr">
        <is>
          <t>2026-03-30</t>
        </is>
      </c>
      <c r="K41" s="40" t="n">
        <v>24.08</v>
      </c>
      <c r="L41" s="76" t="n">
        <v>0.4544253632760898</v>
      </c>
      <c r="M41" s="77" t="n">
        <v>6</v>
      </c>
      <c r="N41" s="39" t="inlineStr">
        <is>
          <t>Active</t>
        </is>
      </c>
      <c r="O41" s="39" t="n"/>
      <c r="P41" s="78" t="n">
        <v>4.3</v>
      </c>
      <c r="Q41" s="77" t="n">
        <v>20283</v>
      </c>
      <c r="R41" s="77" t="n">
        <v>2554</v>
      </c>
      <c r="S41" s="77" t="n">
        <v>0.9485</v>
      </c>
      <c r="T41" s="39" t="n"/>
    </row>
    <row r="42" ht="62" customHeight="1">
      <c r="A42" s="12">
        <f>_xlfn.IMAGE("https://m.media-amazon.com/images/I/81owOVQLwdL.jpg")</f>
        <v/>
      </c>
      <c r="B42" s="39" t="inlineStr">
        <is>
          <t>B0CQRXLH6M</t>
        </is>
      </c>
      <c r="C42" s="39" t="inlineStr">
        <is>
          <t>SATIN-4PC-QUEEN-BABY BLUE</t>
        </is>
      </c>
      <c r="D42" s="39" t="inlineStr">
        <is>
          <t>DECOLURE Satin Bed Sheets - 4 Piece Luxury Silky Queen Size Bedding Set - Softer Than Silk, Wrinkle-Free with 15” Deep Pocket Fitted Sheet, Perfect for Hair &amp; Skin, Gifts for Women (Baby Blue)</t>
        </is>
      </c>
      <c r="E42" s="39" t="inlineStr">
        <is>
          <t>Queen</t>
        </is>
      </c>
      <c r="F42" s="39" t="inlineStr">
        <is>
          <t>Baby Blue</t>
        </is>
      </c>
      <c r="G42" s="73" t="n">
        <v>47.99</v>
      </c>
      <c r="H42" s="39" t="inlineStr">
        <is>
          <t>catalog price (CAD), 2026-10-14</t>
        </is>
      </c>
      <c r="I42" s="74" t="n">
        <v>47.99</v>
      </c>
      <c r="J42" s="75" t="inlineStr">
        <is>
          <t>2026-03-30</t>
        </is>
      </c>
      <c r="K42" s="40" t="n">
        <v>20.86</v>
      </c>
      <c r="L42" s="76" t="n">
        <v>0.434673890393832</v>
      </c>
      <c r="M42" s="77" t="n">
        <v>6</v>
      </c>
      <c r="N42" s="39" t="inlineStr">
        <is>
          <t>Active</t>
        </is>
      </c>
      <c r="O42" s="39" t="n"/>
      <c r="P42" s="78" t="n">
        <v>4.3</v>
      </c>
      <c r="Q42" s="77" t="n">
        <v>20283</v>
      </c>
      <c r="R42" s="77" t="n">
        <v>2554</v>
      </c>
      <c r="S42" s="77" t="n">
        <v>2</v>
      </c>
      <c r="T42" s="39" t="n"/>
    </row>
    <row r="43" ht="62" customHeight="1">
      <c r="A43" s="12">
        <f>_xlfn.IMAGE("https://m.media-amazon.com/images/I/81Omquwv1WL.jpg")</f>
        <v/>
      </c>
      <c r="B43" s="39" t="inlineStr">
        <is>
          <t>B0CQRXKRPN</t>
        </is>
      </c>
      <c r="C43" s="39" t="inlineStr">
        <is>
          <t>SATIN-4PC-QUEEN-LAVENDER</t>
        </is>
      </c>
      <c r="D43" s="39" t="inlineStr">
        <is>
          <t>DECOLURE Satin Bed Sheets - 4 Piece Luxury Silky Queen Size Bedding Set - Softer Than Silk, Wrinkle-Free with 15” Deep Pocket Fitted Sheet, Perfect for Hair &amp; Skin, Gifts for Women (Lavender)</t>
        </is>
      </c>
      <c r="E43" s="39" t="inlineStr">
        <is>
          <t>Queen</t>
        </is>
      </c>
      <c r="F43" s="39" t="inlineStr">
        <is>
          <t>Lavender</t>
        </is>
      </c>
      <c r="G43" s="73" t="n">
        <v>47.99</v>
      </c>
      <c r="H43" s="39" t="inlineStr">
        <is>
          <t>catalog price (CAD), 2026-10-14</t>
        </is>
      </c>
      <c r="I43" s="74" t="n">
        <v>58.81</v>
      </c>
      <c r="J43" s="75" t="inlineStr">
        <is>
          <t>2026-03-30</t>
        </is>
      </c>
      <c r="K43" s="40" t="n">
        <v>31.42</v>
      </c>
      <c r="L43" s="76" t="n">
        <v>0.5342628804625064</v>
      </c>
      <c r="M43" s="77" t="n">
        <v>6</v>
      </c>
      <c r="N43" s="39" t="inlineStr">
        <is>
          <t>Active</t>
        </is>
      </c>
      <c r="O43" s="39" t="n"/>
      <c r="P43" s="78" t="n">
        <v>4.3</v>
      </c>
      <c r="Q43" s="77" t="n">
        <v>20283</v>
      </c>
      <c r="R43" s="77" t="n">
        <v>2554</v>
      </c>
      <c r="S43" s="77" t="n">
        <v>2</v>
      </c>
      <c r="T43" s="39" t="n"/>
    </row>
    <row r="44" ht="62" customHeight="1">
      <c r="A44" s="12">
        <f>_xlfn.IMAGE("https://m.media-amazon.com/images/I/81XsKf7Tk0L.jpg")</f>
        <v/>
      </c>
      <c r="B44" s="39" t="inlineStr">
        <is>
          <t>B0CV4D54FV</t>
        </is>
      </c>
      <c r="C44" s="39" t="inlineStr">
        <is>
          <t>SATIN-4PC-RED-QUEEN</t>
        </is>
      </c>
      <c r="D44" s="39" t="inlineStr">
        <is>
          <t>DECOLURE Satin Sheets Queen Size Set 4 Pcs - Silky &amp; Luxuriously Soft Satin Bed Sheets w/ 15 inch Deep Pocket - Double Stitching, Wrinkle Free (Red)</t>
        </is>
      </c>
      <c r="E44" s="39" t="inlineStr">
        <is>
          <t>Queen</t>
        </is>
      </c>
      <c r="F44" s="39" t="inlineStr">
        <is>
          <t>Red</t>
        </is>
      </c>
      <c r="G44" s="40" t="n"/>
      <c r="H44" s="39" t="n"/>
      <c r="I44" s="74" t="n">
        <v>47.99</v>
      </c>
      <c r="J44" s="75" t="inlineStr">
        <is>
          <t>2026-03-30</t>
        </is>
      </c>
      <c r="K44" s="40" t="n">
        <v>21.54</v>
      </c>
      <c r="L44" s="76" t="n">
        <v>0.4488435090643883</v>
      </c>
      <c r="M44" s="77" t="n">
        <v>6</v>
      </c>
      <c r="N44" s="39" t="inlineStr">
        <is>
          <t>Active</t>
        </is>
      </c>
      <c r="O44" s="39" t="n"/>
      <c r="P44" s="78" t="n"/>
      <c r="Q44" s="77" t="n"/>
      <c r="R44" s="77" t="n"/>
      <c r="S44" s="77" t="n"/>
      <c r="T44" s="39" t="n"/>
    </row>
    <row r="45" ht="62" customHeight="1">
      <c r="A45" s="12">
        <f>_xlfn.IMAGE("https://m.media-amazon.com/images/I/81hy0m4qaGL.jpg")</f>
        <v/>
      </c>
      <c r="B45" s="39" t="inlineStr">
        <is>
          <t>B09G6K328B</t>
        </is>
      </c>
      <c r="C45" s="39" t="inlineStr">
        <is>
          <t>SATIN-STRIPE-QUEEN-WHITE</t>
        </is>
      </c>
      <c r="D45" s="39" t="inlineStr">
        <is>
          <t>DECOLURE Satin Bed Sheets - 4 Piece Luxury Silky Queen Size Bedding Set - Softer Than Silk, Wrinkle-Free with 15” Deep Pocket Fitted Sheet, Perfect for Hair &amp; Skin, Gifts for Women (Striped White)</t>
        </is>
      </c>
      <c r="E45" s="39" t="inlineStr">
        <is>
          <t>Queen</t>
        </is>
      </c>
      <c r="F45" s="39" t="inlineStr">
        <is>
          <t>Striped White</t>
        </is>
      </c>
      <c r="G45" s="73" t="n">
        <v>47.99</v>
      </c>
      <c r="H45" s="39" t="inlineStr">
        <is>
          <t>catalog price (CAD), 2026-10-14</t>
        </is>
      </c>
      <c r="I45" s="74" t="n">
        <v>47.99</v>
      </c>
      <c r="J45" s="75" t="inlineStr">
        <is>
          <t>2026-03-30</t>
        </is>
      </c>
      <c r="K45" s="40" t="n">
        <v>20.82</v>
      </c>
      <c r="L45" s="76" t="n">
        <v>0.4338403834132111</v>
      </c>
      <c r="M45" s="77" t="n">
        <v>6</v>
      </c>
      <c r="N45" s="39" t="inlineStr">
        <is>
          <t>Active</t>
        </is>
      </c>
      <c r="O45" s="39" t="n"/>
      <c r="P45" s="78" t="n">
        <v>4.3</v>
      </c>
      <c r="Q45" s="77" t="n">
        <v>20283</v>
      </c>
      <c r="R45" s="77" t="n">
        <v>2554</v>
      </c>
      <c r="S45" s="77" t="n">
        <v>2</v>
      </c>
      <c r="T45" s="39" t="n"/>
    </row>
    <row r="46" ht="62" customHeight="1">
      <c r="A46" s="12">
        <f>_xlfn.IMAGE("https://m.media-amazon.com/images/I/81RxsA0xn7L.jpg")</f>
        <v/>
      </c>
      <c r="B46" s="39" t="inlineStr">
        <is>
          <t>B0CV4D38W9</t>
        </is>
      </c>
      <c r="C46" s="39" t="inlineStr">
        <is>
          <t>SATIN-4PC-KING-GREY</t>
        </is>
      </c>
      <c r="D46" s="39" t="inlineStr">
        <is>
          <t>DECOLURE Satin Bed Sheets - 4 Piece Luxury Silky King Size Bedding Set - Softer Than Silk, Wrinkle-Free with 15” Deep Pocket Fitted Sheet, Perfect for Hair &amp; Skin, Gifts for Women (Grey-01)</t>
        </is>
      </c>
      <c r="E46" s="39" t="inlineStr">
        <is>
          <t>King</t>
        </is>
      </c>
      <c r="F46" s="39" t="inlineStr">
        <is>
          <t>Grey</t>
        </is>
      </c>
      <c r="G46" s="73" t="n">
        <v>52.99</v>
      </c>
      <c r="H46" s="39" t="inlineStr">
        <is>
          <t>catalog price (CAD), 2026-10-14</t>
        </is>
      </c>
      <c r="I46" s="74" t="n">
        <v>52.99</v>
      </c>
      <c r="J46" s="75" t="inlineStr">
        <is>
          <t>2026-03-30</t>
        </is>
      </c>
      <c r="K46" s="40" t="n">
        <v>23.51</v>
      </c>
      <c r="L46" s="76" t="n">
        <v>0.4436686167201359</v>
      </c>
      <c r="M46" s="77" t="n">
        <v>5</v>
      </c>
      <c r="N46" s="39" t="inlineStr">
        <is>
          <t>Active</t>
        </is>
      </c>
      <c r="O46" s="39" t="n"/>
      <c r="P46" s="78" t="n">
        <v>4.3</v>
      </c>
      <c r="Q46" s="77" t="n">
        <v>20283</v>
      </c>
      <c r="R46" s="77" t="n">
        <v>2554</v>
      </c>
      <c r="S46" s="77" t="n">
        <v>0.9646</v>
      </c>
      <c r="T46" s="39" t="n"/>
    </row>
    <row r="47" ht="62" customHeight="1">
      <c r="A47" s="12">
        <f>_xlfn.IMAGE("https://m.media-amazon.com/images/I/81pznhbbzLL.jpg")</f>
        <v/>
      </c>
      <c r="B47" s="39" t="inlineStr">
        <is>
          <t>B0BZPVZKVS</t>
        </is>
      </c>
      <c r="C47" s="39" t="inlineStr">
        <is>
          <t>SATIN-TAUPE-KING</t>
        </is>
      </c>
      <c r="D47" s="39" t="inlineStr">
        <is>
          <t>DECOLURE Satin Bed Sheets - 4 Piece Luxury Silky King Size Bedding Set - Softer Than Silk, Wrinkle-Free with 15” Deep Pocket Fitted Sheet, Perfect for Hair &amp; Skin, Gifts for Women (Taupe)</t>
        </is>
      </c>
      <c r="E47" s="39" t="inlineStr">
        <is>
          <t>King</t>
        </is>
      </c>
      <c r="F47" s="39" t="inlineStr">
        <is>
          <t>Taupe</t>
        </is>
      </c>
      <c r="G47" s="40" t="n"/>
      <c r="H47" s="39" t="n"/>
      <c r="I47" s="74" t="n">
        <v>52.99</v>
      </c>
      <c r="J47" s="75" t="inlineStr">
        <is>
          <t>2026-03-30</t>
        </is>
      </c>
      <c r="K47" s="40" t="n">
        <v>23.02</v>
      </c>
      <c r="L47" s="76" t="n">
        <v>0.4344215889790528</v>
      </c>
      <c r="M47" s="77" t="n">
        <v>5</v>
      </c>
      <c r="N47" s="79" t="inlineStr">
        <is>
          <t>Not buyable on Amazon 2026-10-14: page redirects to B0BZPV4LYC (Full Taupe) - FBA stock 0 since 2026-10-02, 100 inbound (deal records 2026-10-14)</t>
        </is>
      </c>
      <c r="O47" s="39" t="n"/>
      <c r="P47" s="78" t="n"/>
      <c r="Q47" s="77" t="n"/>
      <c r="R47" s="77" t="n"/>
      <c r="S47" s="77" t="n"/>
      <c r="T47" s="39" t="n"/>
    </row>
    <row r="48" ht="62" customHeight="1">
      <c r="A48" s="12">
        <f>_xlfn.IMAGE("https://m.media-amazon.com/images/I/81NOa451cTL.jpg")</f>
        <v/>
      </c>
      <c r="B48" s="39" t="inlineStr">
        <is>
          <t>B08KRW2BX3</t>
        </is>
      </c>
      <c r="C48" s="39" t="inlineStr">
        <is>
          <t>SATIN-GOLD-QUEEN</t>
        </is>
      </c>
      <c r="D48" s="39" t="inlineStr">
        <is>
          <t>DECOLURE Satin Bed Sheets - 4 Piece Luxury Silky Queen Size Bedding Set - Softer Than Silk, Wrinkle-Free with 15” Deep Pocket Fitted Sheet, Perfect for Hair &amp; Skin, Gifts for Women (Gold)</t>
        </is>
      </c>
      <c r="E48" s="39" t="inlineStr">
        <is>
          <t>Queen</t>
        </is>
      </c>
      <c r="F48" s="39" t="inlineStr">
        <is>
          <t>Gold</t>
        </is>
      </c>
      <c r="G48" s="73" t="n">
        <v>47.99</v>
      </c>
      <c r="H48" s="39" t="inlineStr">
        <is>
          <t>catalog price (CAD), 2026-10-14</t>
        </is>
      </c>
      <c r="I48" s="74" t="n">
        <v>47.99</v>
      </c>
      <c r="J48" s="75" t="inlineStr">
        <is>
          <t>2026-03-30</t>
        </is>
      </c>
      <c r="K48" s="40" t="n">
        <v>22.02</v>
      </c>
      <c r="L48" s="76" t="n">
        <v>0.4588455928318398</v>
      </c>
      <c r="M48" s="77" t="n">
        <v>5</v>
      </c>
      <c r="N48" s="39" t="inlineStr">
        <is>
          <t>Active</t>
        </is>
      </c>
      <c r="O48" s="39" t="n"/>
      <c r="P48" s="78" t="n">
        <v>4.3</v>
      </c>
      <c r="Q48" s="77" t="n">
        <v>20283</v>
      </c>
      <c r="R48" s="77" t="n">
        <v>2554</v>
      </c>
      <c r="S48" s="77" t="n">
        <v>2</v>
      </c>
      <c r="T48" s="39" t="n"/>
    </row>
    <row r="49" ht="62" customHeight="1">
      <c r="A49" s="12">
        <f>_xlfn.IMAGE("https://m.media-amazon.com/images/I/813j5CwQxPL.jpg")</f>
        <v/>
      </c>
      <c r="B49" s="39" t="inlineStr">
        <is>
          <t>B0CQRXDZYF</t>
        </is>
      </c>
      <c r="C49" s="39" t="inlineStr">
        <is>
          <t>SATIN-4PC-QUEEN-NAVY BLUE</t>
        </is>
      </c>
      <c r="D49" s="39" t="inlineStr">
        <is>
          <t>DECOLURE Satin Bed Sheets - 4 Piece Luxury Silky Queen Size Bedding Set - Softer Than Silk, Wrinkle-Free with 15” Deep Pocket Fitted Sheet, Perfect for Hair &amp; Skin, Gifts for Women (Navy Blue)</t>
        </is>
      </c>
      <c r="E49" s="39" t="inlineStr">
        <is>
          <t>Queen</t>
        </is>
      </c>
      <c r="F49" s="39" t="inlineStr">
        <is>
          <t>Navy Blue</t>
        </is>
      </c>
      <c r="G49" s="73" t="n">
        <v>47.99</v>
      </c>
      <c r="H49" s="39" t="inlineStr">
        <is>
          <t>catalog price (CAD), 2026-10-14</t>
        </is>
      </c>
      <c r="I49" s="74" t="n">
        <v>58.65</v>
      </c>
      <c r="J49" s="75" t="inlineStr">
        <is>
          <t>2026-03-30</t>
        </is>
      </c>
      <c r="K49" s="40" t="n">
        <v>24.07</v>
      </c>
      <c r="L49" s="76" t="n">
        <v>0.4104006820119352</v>
      </c>
      <c r="M49" s="77" t="n">
        <v>5</v>
      </c>
      <c r="N49" s="39" t="inlineStr">
        <is>
          <t>Active</t>
        </is>
      </c>
      <c r="O49" s="39" t="n"/>
      <c r="P49" s="78" t="n">
        <v>4.3</v>
      </c>
      <c r="Q49" s="77" t="n">
        <v>20283</v>
      </c>
      <c r="R49" s="77" t="n">
        <v>2554</v>
      </c>
      <c r="S49" s="77" t="n">
        <v>3</v>
      </c>
      <c r="T49" s="39" t="n"/>
    </row>
    <row r="50" ht="62" customHeight="1">
      <c r="A50" s="12">
        <f>_xlfn.IMAGE("https://m.media-amazon.com/images/I/81wiiAf6okL.jpg")</f>
        <v/>
      </c>
      <c r="B50" s="39" t="inlineStr">
        <is>
          <t>B09G6L5ZW6</t>
        </is>
      </c>
      <c r="C50" s="39" t="inlineStr">
        <is>
          <t>SATIN-STRIPE-QUEEN-PURPLE</t>
        </is>
      </c>
      <c r="D50" s="39" t="inlineStr">
        <is>
          <t>DECOLURE Satin Bed Sheets - 4 Piece Luxury Silky Queen Size Bedding Set - Softer Than Silk, Wrinkle-Free with 15” Deep Pocket Fitted Sheet, Perfect for Hair &amp; Skin, Gifts for Women (Striped Purple)</t>
        </is>
      </c>
      <c r="E50" s="39" t="inlineStr">
        <is>
          <t>Queen</t>
        </is>
      </c>
      <c r="F50" s="39" t="inlineStr">
        <is>
          <t>Striped Purple</t>
        </is>
      </c>
      <c r="G50" s="73" t="n">
        <v>62.81</v>
      </c>
      <c r="H50" s="39" t="inlineStr">
        <is>
          <t>catalog price (CAD), 2026-10-14</t>
        </is>
      </c>
      <c r="I50" s="74" t="n">
        <v>47.99</v>
      </c>
      <c r="J50" s="75" t="inlineStr">
        <is>
          <t>2026-03-30</t>
        </is>
      </c>
      <c r="K50" s="40" t="n">
        <v>20.07</v>
      </c>
      <c r="L50" s="76" t="n">
        <v>0.418212127526568</v>
      </c>
      <c r="M50" s="77" t="n">
        <v>5</v>
      </c>
      <c r="N50" s="39" t="inlineStr">
        <is>
          <t>Inactive</t>
        </is>
      </c>
      <c r="O50" s="39" t="n"/>
      <c r="P50" s="78" t="n">
        <v>4.3</v>
      </c>
      <c r="Q50" s="77" t="n">
        <v>20283</v>
      </c>
      <c r="R50" s="77" t="n">
        <v>2554</v>
      </c>
      <c r="S50" s="77" t="n">
        <v>1</v>
      </c>
      <c r="T50" s="39" t="n"/>
    </row>
    <row r="51" ht="62" customHeight="1">
      <c r="A51" s="12">
        <f>_xlfn.IMAGE("https://m.media-amazon.com/images/I/817oa7VO10L.jpg")</f>
        <v/>
      </c>
      <c r="B51" s="39" t="inlineStr">
        <is>
          <t>B0CQRXM35T</t>
        </is>
      </c>
      <c r="C51" s="39" t="inlineStr">
        <is>
          <t>SATIN-3PC-TWIN-BABY BLUE</t>
        </is>
      </c>
      <c r="D51" s="39" t="inlineStr">
        <is>
          <t>DECOLURE Satin Bed Sheets - 3 Piece Luxury Silky Twin Size Bedding Set - Softer Than Silk, Wrinkle-Free with 15” Deep Pocket Fitted Sheet, Perfect for Hair &amp; Skin, Gifts for Women (Baby Blue)</t>
        </is>
      </c>
      <c r="E51" s="39" t="inlineStr">
        <is>
          <t>Twin</t>
        </is>
      </c>
      <c r="F51" s="39" t="inlineStr">
        <is>
          <t>Baby Blue</t>
        </is>
      </c>
      <c r="G51" s="73" t="n">
        <v>39.99</v>
      </c>
      <c r="H51" s="39" t="inlineStr">
        <is>
          <t>catalog price (CAD), 2026-10-14</t>
        </is>
      </c>
      <c r="I51" s="74" t="n">
        <v>28.79</v>
      </c>
      <c r="J51" s="75" t="inlineStr">
        <is>
          <t>2026-03-30</t>
        </is>
      </c>
      <c r="K51" s="40" t="n">
        <v>7.549999999999999</v>
      </c>
      <c r="L51" s="76" t="n">
        <v>0.2622438346648142</v>
      </c>
      <c r="M51" s="77" t="n">
        <v>5</v>
      </c>
      <c r="N51" s="39" t="inlineStr">
        <is>
          <t>Active</t>
        </is>
      </c>
      <c r="O51" s="39" t="n"/>
      <c r="P51" s="78" t="n">
        <v>4.3</v>
      </c>
      <c r="Q51" s="77" t="n">
        <v>20283</v>
      </c>
      <c r="R51" s="77" t="n">
        <v>2554</v>
      </c>
      <c r="S51" s="77" t="n">
        <v>4</v>
      </c>
      <c r="T51" s="39" t="n"/>
    </row>
    <row r="52" ht="62" customHeight="1">
      <c r="A52" s="12">
        <f>_xlfn.IMAGE("https://m.media-amazon.com/images/I/81O3uGmaMWL.jpg")</f>
        <v/>
      </c>
      <c r="B52" s="39" t="inlineStr">
        <is>
          <t>B0CQRZ6KRR</t>
        </is>
      </c>
      <c r="C52" s="39" t="inlineStr">
        <is>
          <t>SATIN-3PC-TWIN-NAVY BLUE</t>
        </is>
      </c>
      <c r="D52" s="39" t="inlineStr">
        <is>
          <t>DECOLURE Satin Bed Sheets - 3 Piece Luxury Silky Twin Size Bedding Set - Softer Than Silk, Wrinkle-Free with 15” Deep Pocket Fitted Sheet, Perfect for Hair &amp; Skin, Gifts for Women (Navy Blue)</t>
        </is>
      </c>
      <c r="E52" s="39" t="inlineStr">
        <is>
          <t>Twin</t>
        </is>
      </c>
      <c r="F52" s="39" t="inlineStr">
        <is>
          <t>Navy Blue</t>
        </is>
      </c>
      <c r="G52" s="73" t="n">
        <v>39.99</v>
      </c>
      <c r="H52" s="39" t="inlineStr">
        <is>
          <t>catalog price (CAD), 2026-10-14</t>
        </is>
      </c>
      <c r="I52" s="74" t="n">
        <v>39.99</v>
      </c>
      <c r="J52" s="75" t="inlineStr">
        <is>
          <t>2026-03-30</t>
        </is>
      </c>
      <c r="K52" s="40" t="n">
        <v>18.34</v>
      </c>
      <c r="L52" s="76" t="n">
        <v>0.4586146536634159</v>
      </c>
      <c r="M52" s="77" t="n">
        <v>5</v>
      </c>
      <c r="N52" s="39" t="inlineStr">
        <is>
          <t>Active</t>
        </is>
      </c>
      <c r="O52" s="39" t="n"/>
      <c r="P52" s="78" t="n">
        <v>4.3</v>
      </c>
      <c r="Q52" s="77" t="n">
        <v>20283</v>
      </c>
      <c r="R52" s="77" t="n">
        <v>2554</v>
      </c>
      <c r="S52" s="77" t="n">
        <v>4</v>
      </c>
      <c r="T52" s="39" t="n"/>
    </row>
    <row r="53" ht="62" customHeight="1">
      <c r="A53" s="12">
        <f>_xlfn.IMAGE("https://m.media-amazon.com/images/I/814U4uyFqnL.jpg")</f>
        <v/>
      </c>
      <c r="B53" s="39" t="inlineStr">
        <is>
          <t>B0CQRX2Z2G</t>
        </is>
      </c>
      <c r="C53" s="39" t="inlineStr">
        <is>
          <t>SATIN-4PC-FULL-DARK GREEN</t>
        </is>
      </c>
      <c r="D53" s="39" t="inlineStr">
        <is>
          <t>DECOLURE Satin Bed Sheets - 4 Piece Luxury Silky Full Size Bedding Set - Softer Than Silk, Wrinkle-Free with 15” Deep Pocket Fitted Sheet, Perfect for Hair &amp; Skin, Gifts for Women (Dark Green)</t>
        </is>
      </c>
      <c r="E53" s="39" t="inlineStr">
        <is>
          <t>Full</t>
        </is>
      </c>
      <c r="F53" s="39" t="inlineStr">
        <is>
          <t>Dark Green</t>
        </is>
      </c>
      <c r="G53" s="73" t="n">
        <v>44.99</v>
      </c>
      <c r="H53" s="39" t="inlineStr">
        <is>
          <t>catalog price (CAD), 2026-10-14</t>
        </is>
      </c>
      <c r="I53" s="74" t="n">
        <v>44.99</v>
      </c>
      <c r="J53" s="75" t="inlineStr">
        <is>
          <t>2026-03-30</t>
        </is>
      </c>
      <c r="K53" s="40" t="n">
        <v>20.58</v>
      </c>
      <c r="L53" s="76" t="n">
        <v>0.4574349855523449</v>
      </c>
      <c r="M53" s="77" t="n">
        <v>4</v>
      </c>
      <c r="N53" s="39" t="inlineStr">
        <is>
          <t>Active</t>
        </is>
      </c>
      <c r="O53" s="39" t="n"/>
      <c r="P53" s="78" t="n">
        <v>4.3</v>
      </c>
      <c r="Q53" s="77" t="n">
        <v>20283</v>
      </c>
      <c r="R53" s="77" t="n">
        <v>2554</v>
      </c>
      <c r="S53" s="77" t="n">
        <v>2</v>
      </c>
      <c r="T53" s="39" t="n"/>
    </row>
    <row r="54" ht="62" customHeight="1">
      <c r="A54" s="12">
        <f>_xlfn.IMAGE("https://m.media-amazon.com/images/I/81VtFuMce8L.jpg")</f>
        <v/>
      </c>
      <c r="B54" s="39" t="inlineStr">
        <is>
          <t>B0839L5PDJ</t>
        </is>
      </c>
      <c r="C54" s="39" t="inlineStr">
        <is>
          <t>SATIN-KING-BLUE</t>
        </is>
      </c>
      <c r="D54" s="39" t="inlineStr">
        <is>
          <t>DECOLURE Satin Bed Sheets - 4 Piece Luxury Silky King Size Bedding Set - Softer Than Silk, Wrinkle-Free with 15” Deep Pocket Fitted Sheet, Perfect for Hair &amp; Skin, Gifts for Women (Blue)</t>
        </is>
      </c>
      <c r="E54" s="39" t="inlineStr">
        <is>
          <t>King</t>
        </is>
      </c>
      <c r="F54" s="39" t="inlineStr">
        <is>
          <t>Blue</t>
        </is>
      </c>
      <c r="G54" s="73" t="n">
        <v>52.99</v>
      </c>
      <c r="H54" s="39" t="inlineStr">
        <is>
          <t>catalog price (CAD), 2026-10-14</t>
        </is>
      </c>
      <c r="I54" s="74" t="n">
        <v>52.99</v>
      </c>
      <c r="J54" s="75" t="inlineStr">
        <is>
          <t>2026-03-30</t>
        </is>
      </c>
      <c r="K54" s="40" t="n">
        <v>24.35</v>
      </c>
      <c r="L54" s="76" t="n">
        <v>0.4595206642762785</v>
      </c>
      <c r="M54" s="77" t="n">
        <v>4</v>
      </c>
      <c r="N54" s="39" t="inlineStr">
        <is>
          <t>Active</t>
        </is>
      </c>
      <c r="O54" s="39" t="n"/>
      <c r="P54" s="78" t="n">
        <v>4.3</v>
      </c>
      <c r="Q54" s="77" t="n">
        <v>20283</v>
      </c>
      <c r="R54" s="77" t="n">
        <v>2554</v>
      </c>
      <c r="S54" s="77" t="n">
        <v>0.9688</v>
      </c>
      <c r="T54" s="39" t="n"/>
    </row>
    <row r="55" ht="62" customHeight="1">
      <c r="A55" s="12">
        <f>_xlfn.IMAGE("https://m.media-amazon.com/images/I/81zgEKHZOlL.jpg")</f>
        <v/>
      </c>
      <c r="B55" s="39" t="inlineStr">
        <is>
          <t>B0CNS9KLZR</t>
        </is>
      </c>
      <c r="C55" s="39" t="inlineStr">
        <is>
          <t>SATIN-KING-BLUSH PINK</t>
        </is>
      </c>
      <c r="D55" s="39" t="inlineStr">
        <is>
          <t>DECOLURE Satin Bed Sheets - 4 Piece Luxury Silky King Size Bedding Set - Softer Than Silk, Wrinkle-Free with 15” Deep Pocket Fitted Sheet, Perfect for Hair &amp; Skin, Gifts for Women (Blush Pink)</t>
        </is>
      </c>
      <c r="E55" s="39" t="inlineStr">
        <is>
          <t>King</t>
        </is>
      </c>
      <c r="F55" s="39" t="inlineStr">
        <is>
          <t>Blush Pink</t>
        </is>
      </c>
      <c r="G55" s="73" t="n">
        <v>52.99</v>
      </c>
      <c r="H55" s="39" t="inlineStr">
        <is>
          <t>catalog price (CAD), 2026-10-14</t>
        </is>
      </c>
      <c r="I55" s="74" t="n">
        <v>52.99</v>
      </c>
      <c r="J55" s="75" t="inlineStr">
        <is>
          <t>2026-03-30</t>
        </is>
      </c>
      <c r="K55" s="40" t="n">
        <v>23.81</v>
      </c>
      <c r="L55" s="76" t="n">
        <v>0.449330062275901</v>
      </c>
      <c r="M55" s="77" t="n">
        <v>4</v>
      </c>
      <c r="N55" s="39" t="inlineStr">
        <is>
          <t>Active</t>
        </is>
      </c>
      <c r="O55" s="39" t="n"/>
      <c r="P55" s="78" t="n">
        <v>4.3</v>
      </c>
      <c r="Q55" s="77" t="n">
        <v>20283</v>
      </c>
      <c r="R55" s="77" t="n">
        <v>2554</v>
      </c>
      <c r="S55" s="77" t="n">
        <v>5</v>
      </c>
      <c r="T55" s="39" t="n"/>
    </row>
    <row r="56" ht="62" customHeight="1">
      <c r="A56" s="12">
        <f>_xlfn.IMAGE("https://m.media-amazon.com/images/I/81NiOUuge2L.jpg")</f>
        <v/>
      </c>
      <c r="B56" s="39" t="inlineStr">
        <is>
          <t>B0CQRXP69H</t>
        </is>
      </c>
      <c r="C56" s="39" t="inlineStr">
        <is>
          <t>SATIN-4PC-KING-BURNT ORANGE</t>
        </is>
      </c>
      <c r="D56" s="39" t="inlineStr">
        <is>
          <t>DECOLURE Satin Bed Sheets - 4 Piece Luxury Silky King Size Bedding Set - Softer Than Silk, Wrinkle-Free with 15” Deep Pocket Fitted Sheet, Perfect for Hair &amp; Skin, Gifts for Women (Burnt Orange)</t>
        </is>
      </c>
      <c r="E56" s="39" t="inlineStr">
        <is>
          <t>King</t>
        </is>
      </c>
      <c r="F56" s="39" t="inlineStr">
        <is>
          <t>Burnt Orange</t>
        </is>
      </c>
      <c r="G56" s="73" t="n">
        <v>52.99</v>
      </c>
      <c r="H56" s="39" t="inlineStr">
        <is>
          <t>catalog price (CAD), 2026-10-14</t>
        </is>
      </c>
      <c r="I56" s="74" t="n">
        <v>52.99</v>
      </c>
      <c r="J56" s="75" t="inlineStr">
        <is>
          <t>2026-03-30</t>
        </is>
      </c>
      <c r="K56" s="40" t="n">
        <v>23.9</v>
      </c>
      <c r="L56" s="76" t="n">
        <v>0.4510284959426306</v>
      </c>
      <c r="M56" s="77" t="n">
        <v>4</v>
      </c>
      <c r="N56" s="39" t="inlineStr">
        <is>
          <t>Active</t>
        </is>
      </c>
      <c r="O56" s="39" t="n"/>
      <c r="P56" s="78" t="n">
        <v>4.3</v>
      </c>
      <c r="Q56" s="77" t="n">
        <v>20283</v>
      </c>
      <c r="R56" s="77" t="n">
        <v>2554</v>
      </c>
      <c r="S56" s="77" t="n">
        <v>0.8538</v>
      </c>
      <c r="T56" s="39" t="n"/>
    </row>
    <row r="57" ht="62" customHeight="1">
      <c r="A57" s="12">
        <f>_xlfn.IMAGE("https://m.media-amazon.com/images/I/81zDJ9hFOlL.jpg")</f>
        <v/>
      </c>
      <c r="B57" s="39" t="inlineStr">
        <is>
          <t>B09G6K4M5V</t>
        </is>
      </c>
      <c r="C57" s="39" t="inlineStr">
        <is>
          <t>SATIN-STRIPE-KING-GOLD</t>
        </is>
      </c>
      <c r="D57" s="39" t="inlineStr">
        <is>
          <t>DECOLURE Satin Bed Sheets - 4 Piece Luxury Silky King Size Bedding Set - Softer Than Silk, Wrinkle-Free with 15” Deep Pocket Fitted Sheet, Perfect for Hair &amp; Skin, Gifts for Women (Striped Gold)</t>
        </is>
      </c>
      <c r="E57" s="39" t="inlineStr">
        <is>
          <t>King</t>
        </is>
      </c>
      <c r="F57" s="39" t="inlineStr">
        <is>
          <t>Striped Gold</t>
        </is>
      </c>
      <c r="G57" s="73" t="n">
        <v>52.99</v>
      </c>
      <c r="H57" s="39" t="inlineStr">
        <is>
          <t>catalog price (CAD), 2026-10-14</t>
        </is>
      </c>
      <c r="I57" s="74" t="n">
        <v>52.99</v>
      </c>
      <c r="J57" s="75" t="inlineStr">
        <is>
          <t>2026-03-30</t>
        </is>
      </c>
      <c r="K57" s="40" t="n">
        <v>22.23999999999999</v>
      </c>
      <c r="L57" s="76" t="n">
        <v>0.4197018305340629</v>
      </c>
      <c r="M57" s="77" t="n">
        <v>4</v>
      </c>
      <c r="N57" s="39" t="inlineStr">
        <is>
          <t>Active</t>
        </is>
      </c>
      <c r="O57" s="39" t="n"/>
      <c r="P57" s="78" t="n">
        <v>4.3</v>
      </c>
      <c r="Q57" s="77" t="n">
        <v>20283</v>
      </c>
      <c r="R57" s="77" t="n">
        <v>2554</v>
      </c>
      <c r="S57" s="77" t="n">
        <v>0.9721</v>
      </c>
      <c r="T57" s="39" t="n"/>
    </row>
    <row r="58" ht="62" customHeight="1">
      <c r="A58" s="12">
        <f>_xlfn.IMAGE("https://m.media-amazon.com/images/I/81NiOUuge2L.jpg")</f>
        <v/>
      </c>
      <c r="B58" s="39" t="inlineStr">
        <is>
          <t>B0CQRZ6JQ3</t>
        </is>
      </c>
      <c r="C58" s="39" t="inlineStr">
        <is>
          <t>SATIN-4PC-QUEEN-BURNT ORANGE</t>
        </is>
      </c>
      <c r="D58" s="39" t="inlineStr">
        <is>
          <t>DECOLURE Satin Bed Sheets - 4 Piece Luxury Silky Queen Size Bedding Set - Softer Than Silk, Wrinkle-Free with 15” Deep Pocket Fitted Sheet, Perfect for Hair &amp; Skin, Gifts for Women (Burnt Orange)</t>
        </is>
      </c>
      <c r="E58" s="39" t="inlineStr">
        <is>
          <t>Queen</t>
        </is>
      </c>
      <c r="F58" s="39" t="inlineStr">
        <is>
          <t>Burnt Orange</t>
        </is>
      </c>
      <c r="G58" s="73" t="n">
        <v>47.99</v>
      </c>
      <c r="H58" s="39" t="inlineStr">
        <is>
          <t>catalog price (CAD), 2026-10-14</t>
        </is>
      </c>
      <c r="I58" s="74" t="n">
        <v>47.99</v>
      </c>
      <c r="J58" s="75" t="inlineStr">
        <is>
          <t>2026-03-30</t>
        </is>
      </c>
      <c r="K58" s="40" t="n">
        <v>22.26</v>
      </c>
      <c r="L58" s="76" t="n">
        <v>0.4638466347155657</v>
      </c>
      <c r="M58" s="77" t="n">
        <v>4</v>
      </c>
      <c r="N58" s="39" t="inlineStr">
        <is>
          <t>Active</t>
        </is>
      </c>
      <c r="O58" s="39" t="n"/>
      <c r="P58" s="78" t="n">
        <v>4.3</v>
      </c>
      <c r="Q58" s="77" t="n">
        <v>20283</v>
      </c>
      <c r="R58" s="77" t="n">
        <v>2554</v>
      </c>
      <c r="S58" s="77" t="n">
        <v>2</v>
      </c>
      <c r="T58" s="39" t="n"/>
    </row>
    <row r="59" ht="62" customHeight="1">
      <c r="A59" s="12">
        <f>_xlfn.IMAGE("https://m.media-amazon.com/images/I/81Owp6T1ibL.jpg")</f>
        <v/>
      </c>
      <c r="B59" s="39" t="inlineStr">
        <is>
          <t>B0BZPV84V7</t>
        </is>
      </c>
      <c r="C59" s="39" t="inlineStr">
        <is>
          <t>SATIN-CHAMPAGNE-QUEEN</t>
        </is>
      </c>
      <c r="D59" s="39" t="inlineStr">
        <is>
          <t>DECOLURE Satin Bed Sheets - 4 Piece Luxury Silky Queen Size Bedding Set - Softer Than Silk, Wrinkle-Free with 15” Deep Pocket Fitted Sheet, Perfect for Hair &amp; Skin, Gifts for Women (Champagne)</t>
        </is>
      </c>
      <c r="E59" s="39" t="inlineStr">
        <is>
          <t>Queen</t>
        </is>
      </c>
      <c r="F59" s="39" t="inlineStr">
        <is>
          <t>Champagne</t>
        </is>
      </c>
      <c r="G59" s="73" t="n">
        <v>47.99</v>
      </c>
      <c r="H59" s="39" t="inlineStr">
        <is>
          <t>catalog price (CAD), 2026-10-14</t>
        </is>
      </c>
      <c r="I59" s="74" t="n">
        <v>47.99</v>
      </c>
      <c r="J59" s="75" t="inlineStr">
        <is>
          <t>2026-03-30</t>
        </is>
      </c>
      <c r="K59" s="40" t="n">
        <v>22.12</v>
      </c>
      <c r="L59" s="76" t="n">
        <v>0.4609293602833923</v>
      </c>
      <c r="M59" s="77" t="n">
        <v>4</v>
      </c>
      <c r="N59" s="39" t="inlineStr">
        <is>
          <t>Active</t>
        </is>
      </c>
      <c r="O59" s="39" t="n"/>
      <c r="P59" s="78" t="n">
        <v>4.3</v>
      </c>
      <c r="Q59" s="77" t="n">
        <v>20283</v>
      </c>
      <c r="R59" s="77" t="n">
        <v>2554</v>
      </c>
      <c r="S59" s="77" t="n">
        <v>2</v>
      </c>
      <c r="T59" s="39" t="n"/>
    </row>
    <row r="60" ht="62" customHeight="1">
      <c r="A60" s="12">
        <f>_xlfn.IMAGE("https://m.media-amazon.com/images/I/81CS7BCK-hL.jpg")</f>
        <v/>
      </c>
      <c r="B60" s="39" t="inlineStr">
        <is>
          <t>B0839KG4VY</t>
        </is>
      </c>
      <c r="C60" s="39" t="inlineStr">
        <is>
          <t>SATIN-TWIN-BLUE</t>
        </is>
      </c>
      <c r="D60" s="39" t="inlineStr">
        <is>
          <t>DECOLURE Satin Bed Sheets - 3 Piece Luxury Silky Twin Size Bedding Set - Softer Than Silk, Wrinkle-Free with 15” Deep Pocket Fitted Sheet, Perfect for Hair &amp; Skin, Gifts for Women (Blue)</t>
        </is>
      </c>
      <c r="E60" s="39" t="inlineStr">
        <is>
          <t>Twin</t>
        </is>
      </c>
      <c r="F60" s="39" t="inlineStr">
        <is>
          <t>Blue</t>
        </is>
      </c>
      <c r="G60" s="73" t="n">
        <v>39.99</v>
      </c>
      <c r="H60" s="39" t="inlineStr">
        <is>
          <t>catalog price (CAD), 2026-10-14</t>
        </is>
      </c>
      <c r="I60" s="74" t="n">
        <v>28.79</v>
      </c>
      <c r="J60" s="75" t="inlineStr">
        <is>
          <t>2026-03-30</t>
        </is>
      </c>
      <c r="K60" s="40" t="n">
        <v>8.369999999999997</v>
      </c>
      <c r="L60" s="76" t="n">
        <v>0.2907259465092045</v>
      </c>
      <c r="M60" s="77" t="n">
        <v>4</v>
      </c>
      <c r="N60" s="39" t="inlineStr">
        <is>
          <t>Active</t>
        </is>
      </c>
      <c r="O60" s="39" t="n"/>
      <c r="P60" s="78" t="n">
        <v>4.3</v>
      </c>
      <c r="Q60" s="77" t="n">
        <v>20283</v>
      </c>
      <c r="R60" s="77" t="n">
        <v>2554</v>
      </c>
      <c r="S60" s="77" t="n">
        <v>4</v>
      </c>
      <c r="T60" s="39" t="n"/>
    </row>
    <row r="61" ht="62" customHeight="1">
      <c r="A61" s="12">
        <f>_xlfn.IMAGE("https://m.media-amazon.com/images/I/81rWdw-y40L.jpg")</f>
        <v/>
      </c>
      <c r="B61" s="39" t="inlineStr">
        <is>
          <t>B08KRS1K6H</t>
        </is>
      </c>
      <c r="C61" s="39" t="inlineStr">
        <is>
          <t>SATIN-WHITE-TWIN</t>
        </is>
      </c>
      <c r="D61" s="39" t="inlineStr">
        <is>
          <t>DECOLURE Satin Bed Sheets - 3 Piece Luxury Silky Twin Size Bedding Set - Softer Than Silk, Wrinkle-Free with 15” Deep Pocket Fitted Sheet, Perfect for Hair &amp; Skin, Gifts for Women (White)</t>
        </is>
      </c>
      <c r="E61" s="39" t="inlineStr">
        <is>
          <t>Twin</t>
        </is>
      </c>
      <c r="F61" s="39" t="inlineStr">
        <is>
          <t>White</t>
        </is>
      </c>
      <c r="G61" s="73" t="n">
        <v>39.99</v>
      </c>
      <c r="H61" s="39" t="inlineStr">
        <is>
          <t>catalog price (CAD), 2026-10-14</t>
        </is>
      </c>
      <c r="I61" s="74" t="n">
        <v>39.99</v>
      </c>
      <c r="J61" s="75" t="inlineStr">
        <is>
          <t>2026-03-30</t>
        </is>
      </c>
      <c r="K61" s="40" t="n">
        <v>18.65</v>
      </c>
      <c r="L61" s="76" t="n">
        <v>0.466366591647912</v>
      </c>
      <c r="M61" s="77" t="n">
        <v>4</v>
      </c>
      <c r="N61" s="39" t="inlineStr">
        <is>
          <t>Active</t>
        </is>
      </c>
      <c r="O61" s="39" t="n"/>
      <c r="P61" s="78" t="n">
        <v>4.3</v>
      </c>
      <c r="Q61" s="77" t="n">
        <v>20283</v>
      </c>
      <c r="R61" s="77" t="n">
        <v>2554</v>
      </c>
      <c r="S61" s="77" t="n">
        <v>5</v>
      </c>
      <c r="T61" s="39" t="n"/>
    </row>
    <row r="62" ht="62" customHeight="1">
      <c r="A62" s="12">
        <f>_xlfn.IMAGE("https://m.media-amazon.com/images/I/81xinUykzIL.jpg")</f>
        <v/>
      </c>
      <c r="B62" s="39" t="inlineStr">
        <is>
          <t>B0BG22CYFP</t>
        </is>
      </c>
      <c r="C62" s="39" t="inlineStr">
        <is>
          <t>SATIN-IVORY-FULL</t>
        </is>
      </c>
      <c r="D62" s="39" t="inlineStr">
        <is>
          <t>DECOLURE Satin Bed Sheets - 4 Piece Luxury Silky Full Size Bedding Set - Softer Than Silk, Wrinkle-Free with 15” Deep Pocket Fitted Sheet, Perfect for Hair &amp; Skin, Gifts for Women (Ivory)</t>
        </is>
      </c>
      <c r="E62" s="39" t="inlineStr">
        <is>
          <t>Full</t>
        </is>
      </c>
      <c r="F62" s="39" t="inlineStr">
        <is>
          <t>Ivory</t>
        </is>
      </c>
      <c r="G62" s="73" t="n">
        <v>44.99</v>
      </c>
      <c r="H62" s="39" t="inlineStr">
        <is>
          <t>catalog price (CAD), 2026-10-14</t>
        </is>
      </c>
      <c r="I62" s="74" t="n">
        <v>32.39</v>
      </c>
      <c r="J62" s="75" t="inlineStr">
        <is>
          <t>2026-03-22</t>
        </is>
      </c>
      <c r="K62" s="40" t="n">
        <v>9.879999999999999</v>
      </c>
      <c r="L62" s="76" t="n">
        <v>0.3050324174127817</v>
      </c>
      <c r="M62" s="77" t="n">
        <v>3</v>
      </c>
      <c r="N62" s="39" t="inlineStr">
        <is>
          <t>Active</t>
        </is>
      </c>
      <c r="O62" s="39" t="n"/>
      <c r="P62" s="78" t="n">
        <v>4.3</v>
      </c>
      <c r="Q62" s="77" t="n">
        <v>20283</v>
      </c>
      <c r="R62" s="77" t="n">
        <v>2554</v>
      </c>
      <c r="S62" s="77" t="n">
        <v>3</v>
      </c>
      <c r="T62" s="39" t="n"/>
    </row>
    <row r="63" ht="62" customHeight="1">
      <c r="A63" s="12">
        <f>_xlfn.IMAGE("https://m.media-amazon.com/images/I/81Yn7rZGUhL.jpg")</f>
        <v/>
      </c>
      <c r="B63" s="39" t="inlineStr">
        <is>
          <t>B0839LP6TM</t>
        </is>
      </c>
      <c r="C63" s="39" t="inlineStr">
        <is>
          <t>SATIN-FULL-PURPLE</t>
        </is>
      </c>
      <c r="D63" s="39" t="inlineStr">
        <is>
          <t>DECOLURE Satin Bed Sheets - 4 Piece Luxury Silky Full Size Bedding Set - Softer Than Silk, Wrinkle-Free with 15” Deep Pocket Fitted Sheet, Perfect for Hair &amp; Skin, Gifts for Women (Purple)</t>
        </is>
      </c>
      <c r="E63" s="39" t="inlineStr">
        <is>
          <t>Full</t>
        </is>
      </c>
      <c r="F63" s="39" t="inlineStr">
        <is>
          <t>Purple</t>
        </is>
      </c>
      <c r="G63" s="73" t="n">
        <v>44.99</v>
      </c>
      <c r="H63" s="39" t="inlineStr">
        <is>
          <t>catalog price (CAD), 2026-10-14</t>
        </is>
      </c>
      <c r="I63" s="74" t="n">
        <v>44.99</v>
      </c>
      <c r="J63" s="75" t="inlineStr">
        <is>
          <t>2026-03-30</t>
        </is>
      </c>
      <c r="K63" s="40" t="n">
        <v>20.57</v>
      </c>
      <c r="L63" s="76" t="n">
        <v>0.4572127139364303</v>
      </c>
      <c r="M63" s="77" t="n">
        <v>3</v>
      </c>
      <c r="N63" s="39" t="inlineStr">
        <is>
          <t>Active</t>
        </is>
      </c>
      <c r="O63" s="39" t="n"/>
      <c r="P63" s="78" t="n">
        <v>4.3</v>
      </c>
      <c r="Q63" s="77" t="n">
        <v>20283</v>
      </c>
      <c r="R63" s="77" t="n">
        <v>2554</v>
      </c>
      <c r="S63" s="77" t="n">
        <v>3</v>
      </c>
      <c r="T63" s="39" t="n"/>
    </row>
    <row r="64" ht="62" customHeight="1">
      <c r="A64" s="12">
        <f>_xlfn.IMAGE("https://m.media-amazon.com/images/I/81owOVQLwdL.jpg")</f>
        <v/>
      </c>
      <c r="B64" s="39" t="inlineStr">
        <is>
          <t>B0CQRYDFC1</t>
        </is>
      </c>
      <c r="C64" s="39" t="inlineStr">
        <is>
          <t>SATIN-4PC-KING-BABY BLUE</t>
        </is>
      </c>
      <c r="D64" s="39" t="inlineStr">
        <is>
          <t>DECOLURE Satin Bed Sheets - 4 Piece Luxury Silky King Size Bedding Set - Softer Than Silk, Wrinkle-Free with 15” Deep Pocket Fitted Sheet, Perfect for Hair &amp; Skin, Gifts for Women (Baby Blue)</t>
        </is>
      </c>
      <c r="E64" s="39" t="inlineStr">
        <is>
          <t>King</t>
        </is>
      </c>
      <c r="F64" s="39" t="inlineStr">
        <is>
          <t>Baby Blue</t>
        </is>
      </c>
      <c r="G64" s="73" t="n">
        <v>52.99</v>
      </c>
      <c r="H64" s="39" t="inlineStr">
        <is>
          <t>catalog price (CAD), 2026-10-14</t>
        </is>
      </c>
      <c r="I64" s="74" t="n">
        <v>63.26</v>
      </c>
      <c r="J64" s="75" t="inlineStr">
        <is>
          <t>2026-03-30</t>
        </is>
      </c>
      <c r="K64" s="40" t="n">
        <v>26.67</v>
      </c>
      <c r="L64" s="76" t="n">
        <v>0.4215934239645905</v>
      </c>
      <c r="M64" s="77" t="n">
        <v>3</v>
      </c>
      <c r="N64" s="39" t="inlineStr">
        <is>
          <t>Active</t>
        </is>
      </c>
      <c r="O64" s="39" t="n"/>
      <c r="P64" s="78" t="n">
        <v>4.3</v>
      </c>
      <c r="Q64" s="77" t="n">
        <v>20283</v>
      </c>
      <c r="R64" s="77" t="n">
        <v>2554</v>
      </c>
      <c r="S64" s="77" t="n">
        <v>0.8103</v>
      </c>
      <c r="T64" s="39" t="n"/>
    </row>
    <row r="65" ht="62" customHeight="1">
      <c r="A65" s="12">
        <f>_xlfn.IMAGE("https://m.media-amazon.com/images/I/814U4uyFqnL.jpg")</f>
        <v/>
      </c>
      <c r="B65" s="39" t="inlineStr">
        <is>
          <t>B0CQPPJFWN</t>
        </is>
      </c>
      <c r="C65" s="39" t="inlineStr">
        <is>
          <t>SATIN-4PC-KING-DARK GREEN</t>
        </is>
      </c>
      <c r="D65" s="39" t="inlineStr">
        <is>
          <t>DECOLURE Satin Bed Sheets - 4 Piece Luxury Silky King Size Bedding Set - Softer Than Silk, Wrinkle-Free with 15” Deep Pocket Fitted Sheet, Perfect for Hair &amp; Skin, Gifts for Women (Dark Green)</t>
        </is>
      </c>
      <c r="E65" s="39" t="inlineStr">
        <is>
          <t>King</t>
        </is>
      </c>
      <c r="F65" s="39" t="inlineStr">
        <is>
          <t>Dark Green</t>
        </is>
      </c>
      <c r="G65" s="73" t="n">
        <v>52.99</v>
      </c>
      <c r="H65" s="39" t="inlineStr">
        <is>
          <t>catalog price (CAD), 2026-10-14</t>
        </is>
      </c>
      <c r="I65" s="74" t="n">
        <v>52.99</v>
      </c>
      <c r="J65" s="75" t="inlineStr">
        <is>
          <t>2026-03-30</t>
        </is>
      </c>
      <c r="K65" s="40" t="n">
        <v>23.23</v>
      </c>
      <c r="L65" s="76" t="n">
        <v>0.4383846008680884</v>
      </c>
      <c r="M65" s="77" t="n">
        <v>3</v>
      </c>
      <c r="N65" s="39" t="inlineStr">
        <is>
          <t>Active</t>
        </is>
      </c>
      <c r="O65" s="39" t="n"/>
      <c r="P65" s="78" t="n">
        <v>4.3</v>
      </c>
      <c r="Q65" s="77" t="n">
        <v>20283</v>
      </c>
      <c r="R65" s="77" t="n">
        <v>2554</v>
      </c>
      <c r="S65" s="77" t="n">
        <v>1</v>
      </c>
      <c r="T65" s="39" t="n"/>
    </row>
    <row r="66" ht="62" customHeight="1">
      <c r="A66" s="12">
        <f>_xlfn.IMAGE("https://m.media-amazon.com/images/I/81Omquwv1WL.jpg")</f>
        <v/>
      </c>
      <c r="B66" s="39" t="inlineStr">
        <is>
          <t>B0CQRX1Q8Z</t>
        </is>
      </c>
      <c r="C66" s="39" t="inlineStr">
        <is>
          <t>SATIN-4PC-KING-LAVENDER</t>
        </is>
      </c>
      <c r="D66" s="39" t="inlineStr">
        <is>
          <t>DECOLURE Satin Sheets King Size Bed Set 4 Pcs - Elegant Satin Bed Sheets w/ 15 inch Deep Pocket - Hypoallergenic, Double Stitching, Wrinkle Free - Silky &amp; Luxuriously Soft Satin Bedding (Lavender)</t>
        </is>
      </c>
      <c r="E66" s="39" t="inlineStr">
        <is>
          <t>King</t>
        </is>
      </c>
      <c r="F66" s="39" t="inlineStr">
        <is>
          <t>Lavender</t>
        </is>
      </c>
      <c r="G66" s="73" t="n">
        <v>52.99</v>
      </c>
      <c r="H66" s="39" t="inlineStr">
        <is>
          <t>catalog price (CAD), 2026-10-14</t>
        </is>
      </c>
      <c r="I66" s="74" t="n">
        <v>52.99</v>
      </c>
      <c r="J66" s="75" t="inlineStr">
        <is>
          <t>2026-03-30</t>
        </is>
      </c>
      <c r="K66" s="40" t="n">
        <v>23.8</v>
      </c>
      <c r="L66" s="76" t="n">
        <v>0.4491413474240422</v>
      </c>
      <c r="M66" s="77" t="n">
        <v>3</v>
      </c>
      <c r="N66" s="39" t="inlineStr">
        <is>
          <t>Active</t>
        </is>
      </c>
      <c r="O66" s="39" t="n"/>
      <c r="P66" s="78" t="n">
        <v>4.3</v>
      </c>
      <c r="Q66" s="77" t="n">
        <v>20283</v>
      </c>
      <c r="R66" s="77" t="n">
        <v>2554</v>
      </c>
      <c r="S66" s="77" t="n">
        <v>1</v>
      </c>
      <c r="T66" s="39" t="n"/>
    </row>
    <row r="67" ht="62" customHeight="1">
      <c r="A67" s="12">
        <f>_xlfn.IMAGE("https://m.media-amazon.com/images/I/81Bv43jZjZL.jpg")</f>
        <v/>
      </c>
      <c r="B67" s="39" t="inlineStr">
        <is>
          <t>B09G6HZT1K</t>
        </is>
      </c>
      <c r="C67" s="39" t="inlineStr">
        <is>
          <t>SATIN-STRIPE-KING-BLACK</t>
        </is>
      </c>
      <c r="D67" s="39" t="inlineStr">
        <is>
          <t>DECOLURE Satin Bed Sheets - 4 Piece Luxury Silky King Size Bedding Set - Softer Than Silk, Wrinkle-Free with 15” Deep Pocket Fitted Sheet, Perfect for Hair &amp; Skin, Gifts for Women (Striped Black)</t>
        </is>
      </c>
      <c r="E67" s="39" t="inlineStr">
        <is>
          <t>King</t>
        </is>
      </c>
      <c r="F67" s="39" t="inlineStr">
        <is>
          <t>Striped Black</t>
        </is>
      </c>
      <c r="G67" s="73" t="n">
        <v>52.99</v>
      </c>
      <c r="H67" s="39" t="inlineStr">
        <is>
          <t>catalog price (CAD), 2026-10-14</t>
        </is>
      </c>
      <c r="I67" s="74" t="n">
        <v>52.99</v>
      </c>
      <c r="J67" s="75" t="inlineStr">
        <is>
          <t>2026-03-30</t>
        </is>
      </c>
      <c r="K67" s="40" t="n">
        <v>22.92</v>
      </c>
      <c r="L67" s="76" t="n">
        <v>0.4325344404604642</v>
      </c>
      <c r="M67" s="77" t="n">
        <v>3</v>
      </c>
      <c r="N67" s="39" t="inlineStr">
        <is>
          <t>Active</t>
        </is>
      </c>
      <c r="O67" s="39" t="n"/>
      <c r="P67" s="78" t="n">
        <v>4.3</v>
      </c>
      <c r="Q67" s="77" t="n">
        <v>20283</v>
      </c>
      <c r="R67" s="77" t="n">
        <v>2554</v>
      </c>
      <c r="S67" s="77" t="n">
        <v>1</v>
      </c>
      <c r="T67" s="39" t="n"/>
    </row>
    <row r="68" ht="62" customHeight="1">
      <c r="A68" s="12">
        <f>_xlfn.IMAGE("https://m.media-amazon.com/images/I/81oeTNry2PL.jpg")</f>
        <v/>
      </c>
      <c r="B68" s="39" t="inlineStr">
        <is>
          <t>B09G6K53S2</t>
        </is>
      </c>
      <c r="C68" s="39" t="inlineStr">
        <is>
          <t>SATIN-STRIPE-KING-GRAY</t>
        </is>
      </c>
      <c r="D68" s="39" t="inlineStr">
        <is>
          <t>DECOLURE Satin Bed Sheets - 4 Piece Luxury Silky King Size Bedding Set - Softer Than Silk, Wrinkle-Free with 15” Deep Pocket Fitted Sheet, Perfect for Hair &amp; Skin, Gifts for Women (Striped Grey)</t>
        </is>
      </c>
      <c r="E68" s="39" t="inlineStr">
        <is>
          <t>King</t>
        </is>
      </c>
      <c r="F68" s="39" t="inlineStr">
        <is>
          <t>Striped Grey</t>
        </is>
      </c>
      <c r="G68" s="73" t="n">
        <v>62.91</v>
      </c>
      <c r="H68" s="39" t="inlineStr">
        <is>
          <t>catalog price (CAD), 2026-10-14</t>
        </is>
      </c>
      <c r="I68" s="74" t="n">
        <v>52.99</v>
      </c>
      <c r="J68" s="75" t="inlineStr">
        <is>
          <t>2026-03-30</t>
        </is>
      </c>
      <c r="K68" s="40" t="n">
        <v>22.21</v>
      </c>
      <c r="L68" s="76" t="n">
        <v>0.4191356859784865</v>
      </c>
      <c r="M68" s="77" t="n">
        <v>3</v>
      </c>
      <c r="N68" s="39" t="inlineStr">
        <is>
          <t>Inactive</t>
        </is>
      </c>
      <c r="O68" s="39" t="n"/>
      <c r="P68" s="78" t="n">
        <v>4.3</v>
      </c>
      <c r="Q68" s="77" t="n">
        <v>20283</v>
      </c>
      <c r="R68" s="77" t="n">
        <v>2554</v>
      </c>
      <c r="S68" s="77" t="n">
        <v>0.4672</v>
      </c>
      <c r="T68" s="39" t="n"/>
    </row>
    <row r="69" ht="62" customHeight="1">
      <c r="A69" s="12">
        <f>_xlfn.IMAGE("https://m.media-amazon.com/images/I/81hy0m4qaGL.jpg")</f>
        <v/>
      </c>
      <c r="B69" s="39" t="inlineStr">
        <is>
          <t>B09G6N2PNK</t>
        </is>
      </c>
      <c r="C69" s="39" t="inlineStr">
        <is>
          <t>SATIN-STRIPE-KING-WHITE</t>
        </is>
      </c>
      <c r="D69" s="39" t="inlineStr">
        <is>
          <t>DECOLURE Satin Bed Sheets - 4 Piece Luxury Silky King Size Bedding Set - Softer Than Silk, Wrinkle-Free with 15” Deep Pocket Fitted Sheet, Perfect for Hair &amp; Skin, Gifts for Women (Striped White)</t>
        </is>
      </c>
      <c r="E69" s="39" t="inlineStr">
        <is>
          <t>King</t>
        </is>
      </c>
      <c r="F69" s="39" t="inlineStr">
        <is>
          <t>Striped White</t>
        </is>
      </c>
      <c r="G69" s="73" t="n">
        <v>52.99</v>
      </c>
      <c r="H69" s="39" t="inlineStr">
        <is>
          <t>catalog price (CAD), 2026-10-14</t>
        </is>
      </c>
      <c r="I69" s="74" t="n">
        <v>52.99</v>
      </c>
      <c r="J69" s="75" t="inlineStr">
        <is>
          <t>2026-03-30</t>
        </is>
      </c>
      <c r="K69" s="40" t="n">
        <v>23.46</v>
      </c>
      <c r="L69" s="76" t="n">
        <v>0.4427250424608416</v>
      </c>
      <c r="M69" s="77" t="n">
        <v>3</v>
      </c>
      <c r="N69" s="39" t="inlineStr">
        <is>
          <t>Active</t>
        </is>
      </c>
      <c r="O69" s="39" t="n"/>
      <c r="P69" s="78" t="n">
        <v>4.3</v>
      </c>
      <c r="Q69" s="77" t="n">
        <v>20283</v>
      </c>
      <c r="R69" s="77" t="n">
        <v>2554</v>
      </c>
      <c r="S69" s="77" t="n">
        <v>0.7873</v>
      </c>
      <c r="T69" s="39" t="n"/>
    </row>
    <row r="70" ht="62" customHeight="1">
      <c r="A70" s="12">
        <f>_xlfn.IMAGE("https://m.media-amazon.com/images/I/81RxsA0xn7L.jpg")</f>
        <v/>
      </c>
      <c r="B70" s="39" t="inlineStr">
        <is>
          <t>B0839LMS13</t>
        </is>
      </c>
      <c r="C70" s="39" t="inlineStr">
        <is>
          <t>SATIN-FULL-GREY</t>
        </is>
      </c>
      <c r="D70" s="39" t="inlineStr">
        <is>
          <t>DECOLURE Satin Bed Sheets - 4 Piece Luxury Silky Full Size Bedding Set - Softer Than Silk, Wrinkle-Free with 15” Deep Pocket Fitted Sheet, Perfect for Hair &amp; Skin, Gifts for Women (Grey)</t>
        </is>
      </c>
      <c r="E70" s="39" t="inlineStr">
        <is>
          <t>Full</t>
        </is>
      </c>
      <c r="F70" s="39" t="inlineStr">
        <is>
          <t>Grey</t>
        </is>
      </c>
      <c r="G70" s="73" t="n">
        <v>44.99</v>
      </c>
      <c r="H70" s="39" t="inlineStr">
        <is>
          <t>catalog price (CAD), 2026-10-14</t>
        </is>
      </c>
      <c r="I70" s="74" t="n">
        <v>44.99</v>
      </c>
      <c r="J70" s="75" t="inlineStr">
        <is>
          <t>2026-03-30</t>
        </is>
      </c>
      <c r="K70" s="40" t="n">
        <v>20.73</v>
      </c>
      <c r="L70" s="76" t="n">
        <v>0.4607690597910648</v>
      </c>
      <c r="M70" s="77" t="n">
        <v>2</v>
      </c>
      <c r="N70" s="39" t="inlineStr">
        <is>
          <t>Active</t>
        </is>
      </c>
      <c r="O70" s="39" t="n"/>
      <c r="P70" s="78" t="n">
        <v>4.3</v>
      </c>
      <c r="Q70" s="77" t="n">
        <v>20283</v>
      </c>
      <c r="R70" s="77" t="n">
        <v>2554</v>
      </c>
      <c r="S70" s="77" t="n">
        <v>3</v>
      </c>
      <c r="T70" s="39" t="n"/>
    </row>
    <row r="71" ht="62" customHeight="1">
      <c r="A71" s="12">
        <f>_xlfn.IMAGE("https://m.media-amazon.com/images/I/81Omquwv1WL.jpg")</f>
        <v/>
      </c>
      <c r="B71" s="39" t="inlineStr">
        <is>
          <t>B0CQRXZLFQ</t>
        </is>
      </c>
      <c r="C71" s="39" t="inlineStr">
        <is>
          <t>SATIN-4PC-FULL-LAVENDER</t>
        </is>
      </c>
      <c r="D71" s="39" t="inlineStr">
        <is>
          <t>DECOLURE Satin Bed Sheets - 4 Piece Luxury Silky Full Size Bedding Set - Softer Than Silk, Wrinkle-Free with 15” Deep Pocket Fitted Sheet, Perfect for Hair &amp; Skin, Gifts for Women (Lavender)</t>
        </is>
      </c>
      <c r="E71" s="39" t="inlineStr">
        <is>
          <t>Full</t>
        </is>
      </c>
      <c r="F71" s="39" t="inlineStr">
        <is>
          <t>Lavender</t>
        </is>
      </c>
      <c r="G71" s="73" t="n">
        <v>44.99</v>
      </c>
      <c r="H71" s="39" t="inlineStr">
        <is>
          <t>catalog price (CAD), 2026-10-14</t>
        </is>
      </c>
      <c r="I71" s="74" t="n">
        <v>53.82</v>
      </c>
      <c r="J71" s="75" t="inlineStr">
        <is>
          <t>2026-03-30</t>
        </is>
      </c>
      <c r="K71" s="40" t="n">
        <v>22.92</v>
      </c>
      <c r="L71" s="76" t="n">
        <v>0.4258639910813824</v>
      </c>
      <c r="M71" s="77" t="n">
        <v>2</v>
      </c>
      <c r="N71" s="39" t="inlineStr">
        <is>
          <t>Active</t>
        </is>
      </c>
      <c r="O71" s="39" t="n"/>
      <c r="P71" s="78" t="n">
        <v>4.3</v>
      </c>
      <c r="Q71" s="77" t="n">
        <v>20283</v>
      </c>
      <c r="R71" s="77" t="n">
        <v>2554</v>
      </c>
      <c r="S71" s="77" t="n">
        <v>2</v>
      </c>
      <c r="T71" s="39" t="n"/>
    </row>
    <row r="72" ht="62" customHeight="1">
      <c r="A72" s="12">
        <f>_xlfn.IMAGE("https://m.media-amazon.com/images/I/81wiiAf6okL.jpg")</f>
        <v/>
      </c>
      <c r="B72" s="39" t="inlineStr">
        <is>
          <t>B09G6K4PXD</t>
        </is>
      </c>
      <c r="C72" s="39" t="inlineStr">
        <is>
          <t>SATIN-STRIPE-FULL-PURPLE</t>
        </is>
      </c>
      <c r="D72" s="39" t="inlineStr">
        <is>
          <t>DECOLURE Satin Bed Sheets - 4 Piece Luxury Silky Full Size Bedding Set - Softer Than Silk, Wrinkle-Free with 15” Deep Pocket Fitted Sheet, Perfect for Hair &amp; Skin, Gifts for Women (Striped Purple)</t>
        </is>
      </c>
      <c r="E72" s="39" t="inlineStr">
        <is>
          <t>Full</t>
        </is>
      </c>
      <c r="F72" s="39" t="inlineStr">
        <is>
          <t>Striped Purple</t>
        </is>
      </c>
      <c r="G72" s="73" t="n">
        <v>44.99</v>
      </c>
      <c r="H72" s="39" t="inlineStr">
        <is>
          <t>catalog price (CAD), 2026-10-14</t>
        </is>
      </c>
      <c r="I72" s="74" t="n">
        <v>44.99</v>
      </c>
      <c r="J72" s="75" t="inlineStr">
        <is>
          <t>2026-03-30</t>
        </is>
      </c>
      <c r="K72" s="40" t="n">
        <v>19.15</v>
      </c>
      <c r="L72" s="76" t="n">
        <v>0.4256501444765504</v>
      </c>
      <c r="M72" s="77" t="n">
        <v>2</v>
      </c>
      <c r="N72" s="39" t="inlineStr">
        <is>
          <t>Active</t>
        </is>
      </c>
      <c r="O72" s="39" t="n"/>
      <c r="P72" s="78" t="n">
        <v>4.3</v>
      </c>
      <c r="Q72" s="77" t="n">
        <v>20283</v>
      </c>
      <c r="R72" s="77" t="n">
        <v>2554</v>
      </c>
      <c r="S72" s="77" t="n">
        <v>4</v>
      </c>
      <c r="T72" s="39" t="n"/>
    </row>
    <row r="73" ht="62" customHeight="1">
      <c r="A73" s="12">
        <f>_xlfn.IMAGE("https://m.media-amazon.com/images/I/81-wlwJoLcL.jpg")</f>
        <v/>
      </c>
      <c r="B73" s="39" t="inlineStr">
        <is>
          <t>B09G6KKSK6</t>
        </is>
      </c>
      <c r="C73" s="39" t="inlineStr">
        <is>
          <t>SATIN-STRIPE-FULL-RED</t>
        </is>
      </c>
      <c r="D73" s="39" t="inlineStr">
        <is>
          <t>DECOLURE Satin Bed Sheets - 4 Piece Luxury Silky Full Size Bedding Set - Softer Than Silk, Wrinkle-Free with 15” Deep Pocket Fitted Sheet, Perfect for Hair &amp; Skin, Gifts for Women (Striped Red)</t>
        </is>
      </c>
      <c r="E73" s="39" t="inlineStr">
        <is>
          <t>Full</t>
        </is>
      </c>
      <c r="F73" s="39" t="inlineStr">
        <is>
          <t>Striped Red</t>
        </is>
      </c>
      <c r="G73" s="73" t="n">
        <v>44.99</v>
      </c>
      <c r="H73" s="39" t="inlineStr">
        <is>
          <t>catalog price (CAD), 2026-10-14</t>
        </is>
      </c>
      <c r="I73" s="74" t="n">
        <v>26.09</v>
      </c>
      <c r="J73" s="75" t="inlineStr">
        <is>
          <t>2026-03-30</t>
        </is>
      </c>
      <c r="K73" s="40" t="n">
        <v>3.09</v>
      </c>
      <c r="L73" s="76" t="n">
        <v>0.1184361824453814</v>
      </c>
      <c r="M73" s="77" t="n">
        <v>2</v>
      </c>
      <c r="N73" s="39" t="inlineStr">
        <is>
          <t>Active</t>
        </is>
      </c>
      <c r="O73" s="39" t="n"/>
      <c r="P73" s="78" t="n">
        <v>4.3</v>
      </c>
      <c r="Q73" s="77" t="n">
        <v>20283</v>
      </c>
      <c r="R73" s="77" t="n">
        <v>2554</v>
      </c>
      <c r="S73" s="77" t="n">
        <v>4</v>
      </c>
      <c r="T73" s="39" t="n"/>
    </row>
    <row r="74" ht="62" customHeight="1">
      <c r="A74" s="12">
        <f>_xlfn.IMAGE("https://m.media-amazon.com/images/I/81hy0m4qaGL.jpg")</f>
        <v/>
      </c>
      <c r="B74" s="39" t="inlineStr">
        <is>
          <t>B09G6KKB4S</t>
        </is>
      </c>
      <c r="C74" s="39" t="inlineStr">
        <is>
          <t>SATIN-STRIPE-FULL-WHITE</t>
        </is>
      </c>
      <c r="D74" s="39" t="inlineStr">
        <is>
          <t>DECOLURE Satin Bed Sheets - 4 Piece Luxury Silky Full Size Bedding Set - Softer Than Silk, Wrinkle-Free with 15” Deep Pocket Fitted Sheet, Perfect for Hair &amp; Skin, Gifts for Women (Striped White)</t>
        </is>
      </c>
      <c r="E74" s="39" t="inlineStr">
        <is>
          <t>Full</t>
        </is>
      </c>
      <c r="F74" s="39" t="inlineStr">
        <is>
          <t>Striped White</t>
        </is>
      </c>
      <c r="G74" s="73" t="n">
        <v>44.99</v>
      </c>
      <c r="H74" s="39" t="inlineStr">
        <is>
          <t>catalog price (CAD), 2026-10-14</t>
        </is>
      </c>
      <c r="I74" s="74" t="n">
        <v>44.99</v>
      </c>
      <c r="J74" s="75" t="inlineStr">
        <is>
          <t>2026-03-30</t>
        </is>
      </c>
      <c r="K74" s="40" t="n">
        <v>19.15</v>
      </c>
      <c r="L74" s="76" t="n">
        <v>0.4256501444765504</v>
      </c>
      <c r="M74" s="77" t="n">
        <v>2</v>
      </c>
      <c r="N74" s="39" t="inlineStr">
        <is>
          <t>Active</t>
        </is>
      </c>
      <c r="O74" s="39" t="n"/>
      <c r="P74" s="78" t="n">
        <v>4.3</v>
      </c>
      <c r="Q74" s="77" t="n">
        <v>20283</v>
      </c>
      <c r="R74" s="77" t="n">
        <v>2554</v>
      </c>
      <c r="S74" s="77" t="n">
        <v>3</v>
      </c>
      <c r="T74" s="39" t="n"/>
    </row>
    <row r="75" ht="62" customHeight="1">
      <c r="A75" s="12">
        <f>_xlfn.IMAGE("https://m.media-amazon.com/images/I/81b2FINCUgL.jpg")</f>
        <v/>
      </c>
      <c r="B75" s="39" t="inlineStr">
        <is>
          <t>B0CQRWY3Y7</t>
        </is>
      </c>
      <c r="C75" s="39" t="inlineStr">
        <is>
          <t>SATIN-4PC-KING-SAGE GREEN</t>
        </is>
      </c>
      <c r="D75" s="39" t="inlineStr">
        <is>
          <t>DECOLURE Satin Bed Sheets - 4 Piece Luxury Silky King Size Bedding Set - Softer Than Silk, Wrinkle-Free with 15” Deep Pocket Fitted Sheet, Perfect for Hair &amp; Skin, Gifts for Women (Sage Green)</t>
        </is>
      </c>
      <c r="E75" s="39" t="inlineStr">
        <is>
          <t>King</t>
        </is>
      </c>
      <c r="F75" s="39" t="inlineStr">
        <is>
          <t>Sage Green</t>
        </is>
      </c>
      <c r="G75" s="73" t="n">
        <v>52.99</v>
      </c>
      <c r="H75" s="39" t="inlineStr">
        <is>
          <t>catalog price (CAD), 2026-10-14</t>
        </is>
      </c>
      <c r="I75" s="74" t="n">
        <v>52.99</v>
      </c>
      <c r="J75" s="75" t="inlineStr">
        <is>
          <t>2026-03-30</t>
        </is>
      </c>
      <c r="K75" s="40" t="n">
        <v>23.95</v>
      </c>
      <c r="L75" s="76" t="n">
        <v>0.4519720702019248</v>
      </c>
      <c r="M75" s="77" t="n">
        <v>2</v>
      </c>
      <c r="N75" s="39" t="inlineStr">
        <is>
          <t>Active</t>
        </is>
      </c>
      <c r="O75" s="39" t="n"/>
      <c r="P75" s="78" t="n">
        <v>4.3</v>
      </c>
      <c r="Q75" s="77" t="n">
        <v>20283</v>
      </c>
      <c r="R75" s="77" t="n">
        <v>2554</v>
      </c>
      <c r="S75" s="77" t="n">
        <v>0.9496</v>
      </c>
      <c r="T75" s="39" t="n"/>
    </row>
    <row r="76" ht="62" customHeight="1">
      <c r="A76" s="12">
        <f>_xlfn.IMAGE("https://m.media-amazon.com/images/I/814U4uyFqnL.jpg")</f>
        <v/>
      </c>
      <c r="B76" s="39" t="inlineStr">
        <is>
          <t>B0CQRWGHJN</t>
        </is>
      </c>
      <c r="C76" s="39" t="inlineStr">
        <is>
          <t>SATIN-4PC-QUEEN-DARK GREEN</t>
        </is>
      </c>
      <c r="D76" s="39" t="inlineStr">
        <is>
          <t>DECOLURE Satin Bed Sheets - 4 Piece Luxury Silky Queen Size Bedding Set - Softer Than Silk, Wrinkle-Free with 15” Deep Pocket Fitted Sheet, Perfect for Hair &amp; Skin, Gifts for Women (Dark Green)</t>
        </is>
      </c>
      <c r="E76" s="39" t="inlineStr">
        <is>
          <t>Queen</t>
        </is>
      </c>
      <c r="F76" s="39" t="inlineStr">
        <is>
          <t>Dark Green</t>
        </is>
      </c>
      <c r="G76" s="40" t="n"/>
      <c r="H76" s="39" t="n"/>
      <c r="I76" s="74" t="n">
        <v>57.58</v>
      </c>
      <c r="J76" s="75" t="inlineStr">
        <is>
          <t>2026-03-28</t>
        </is>
      </c>
      <c r="K76" s="40" t="n">
        <v>23.22</v>
      </c>
      <c r="L76" s="76" t="n">
        <v>0.4032650225772837</v>
      </c>
      <c r="M76" s="77" t="n">
        <v>2</v>
      </c>
      <c r="N76" s="79" t="inlineStr">
        <is>
          <t>Not buyable on Amazon 2026-10-14: page redirects to B0CQRX2Z2G (Full Dark Green) - FBA stock 0 since 2026-10-03, nothing inbound (deal records 2026-10-14)</t>
        </is>
      </c>
      <c r="O76" s="39" t="n"/>
      <c r="P76" s="78" t="n"/>
      <c r="Q76" s="77" t="n"/>
      <c r="R76" s="77" t="n"/>
      <c r="S76" s="77" t="n"/>
      <c r="T76" s="39" t="n"/>
    </row>
    <row r="77" ht="62" customHeight="1">
      <c r="A77" s="12">
        <f>_xlfn.IMAGE("https://m.media-amazon.com/images/I/81zDJ9hFOlL.jpg")</f>
        <v/>
      </c>
      <c r="B77" s="39" t="inlineStr">
        <is>
          <t>B09G6K9C65</t>
        </is>
      </c>
      <c r="C77" s="39" t="inlineStr">
        <is>
          <t>SATIN-STRIPE-QUEEN-GOLD</t>
        </is>
      </c>
      <c r="D77" s="39" t="inlineStr">
        <is>
          <t>DECOLURE Satin Bed Sheets - 4 Piece Luxury Silky Queen Size Bedding Set - Softer Than Silk, Wrinkle-Free with 15” Deep Pocket Fitted Sheet, Perfect for Hair &amp; Skin, Gifts for Women (Striped Gold)</t>
        </is>
      </c>
      <c r="E77" s="39" t="inlineStr">
        <is>
          <t>Queen</t>
        </is>
      </c>
      <c r="F77" s="39" t="inlineStr">
        <is>
          <t>Striped Gold</t>
        </is>
      </c>
      <c r="G77" s="73" t="n">
        <v>47.99</v>
      </c>
      <c r="H77" s="39" t="inlineStr">
        <is>
          <t>catalog price (CAD), 2026-10-14</t>
        </is>
      </c>
      <c r="I77" s="74" t="n">
        <v>47.99</v>
      </c>
      <c r="J77" s="75" t="inlineStr">
        <is>
          <t>2026-03-30</t>
        </is>
      </c>
      <c r="K77" s="40" t="n">
        <v>21</v>
      </c>
      <c r="L77" s="76" t="n">
        <v>0.4375911648260054</v>
      </c>
      <c r="M77" s="77" t="n">
        <v>2</v>
      </c>
      <c r="N77" s="39" t="inlineStr">
        <is>
          <t>Active</t>
        </is>
      </c>
      <c r="O77" s="39" t="n"/>
      <c r="P77" s="78" t="n">
        <v>4.3</v>
      </c>
      <c r="Q77" s="77" t="n">
        <v>20283</v>
      </c>
      <c r="R77" s="77" t="n">
        <v>2554</v>
      </c>
      <c r="S77" s="77" t="n">
        <v>2</v>
      </c>
      <c r="T77" s="39" t="n"/>
    </row>
    <row r="78" ht="62" customHeight="1">
      <c r="A78" s="12">
        <f>_xlfn.IMAGE("https://m.media-amazon.com/images/I/81X8AMwgFFL.jpg")</f>
        <v/>
      </c>
      <c r="B78" s="39" t="inlineStr">
        <is>
          <t>B0BZQ1LTK3</t>
        </is>
      </c>
      <c r="C78" s="39" t="inlineStr">
        <is>
          <t>SATIN-TAUPE-QUEEN</t>
        </is>
      </c>
      <c r="D78" s="39" t="inlineStr">
        <is>
          <t>DECOLURE Satin Bed Sheets - 4 Piece Luxury Silky Queen Size Bedding Set - Softer Than Silk, Wrinkle-Free with 15” Deep Pocket Fitted Sheet, Perfect for Hair &amp; Skin, Gifts for Women (Taupe)</t>
        </is>
      </c>
      <c r="E78" s="39" t="inlineStr">
        <is>
          <t>Queen</t>
        </is>
      </c>
      <c r="F78" s="39" t="inlineStr">
        <is>
          <t>Taupe-01</t>
        </is>
      </c>
      <c r="G78" s="73" t="n">
        <v>47.99</v>
      </c>
      <c r="H78" s="39" t="inlineStr">
        <is>
          <t>catalog price (CAD), 2026-10-14</t>
        </is>
      </c>
      <c r="I78" s="74" t="n">
        <v>47.99</v>
      </c>
      <c r="J78" s="75" t="inlineStr">
        <is>
          <t>2026-03-30</t>
        </is>
      </c>
      <c r="K78" s="40" t="n">
        <v>21.61</v>
      </c>
      <c r="L78" s="76" t="n">
        <v>0.450302146280475</v>
      </c>
      <c r="M78" s="77" t="n">
        <v>2</v>
      </c>
      <c r="N78" s="39" t="inlineStr">
        <is>
          <t>Active</t>
        </is>
      </c>
      <c r="O78" s="39" t="n"/>
      <c r="P78" s="78" t="n">
        <v>4.3</v>
      </c>
      <c r="Q78" s="77" t="n">
        <v>20283</v>
      </c>
      <c r="R78" s="77" t="n">
        <v>2554</v>
      </c>
      <c r="S78" s="77" t="n">
        <v>1</v>
      </c>
      <c r="T78" s="39" t="n"/>
    </row>
    <row r="79" ht="62" customHeight="1">
      <c r="A79" s="12">
        <f>_xlfn.IMAGE("https://m.media-amazon.com/images/I/815ZdEKucfL.jpg")</f>
        <v/>
      </c>
      <c r="B79" s="39" t="inlineStr">
        <is>
          <t>B0CQRY5N4Q</t>
        </is>
      </c>
      <c r="C79" s="39" t="inlineStr">
        <is>
          <t>SATIN-3PC-TWIN-DARK GREEN</t>
        </is>
      </c>
      <c r="D79" s="39" t="inlineStr">
        <is>
          <t>DECOLURE Satin Bed Sheets - 3 Piece Luxury Silky Twin Size Bedding Set - Softer Than Silk, Wrinkle-Free with 15” Deep Pocket Fitted Sheet, Perfect for Hair &amp; Skin, Gifts for Women (Dark Green)</t>
        </is>
      </c>
      <c r="E79" s="39" t="inlineStr">
        <is>
          <t>Twin</t>
        </is>
      </c>
      <c r="F79" s="39" t="inlineStr">
        <is>
          <t>Dark Green</t>
        </is>
      </c>
      <c r="G79" s="73" t="n">
        <v>39.99</v>
      </c>
      <c r="H79" s="39" t="inlineStr">
        <is>
          <t>catalog price (CAD), 2026-10-14</t>
        </is>
      </c>
      <c r="I79" s="74" t="n">
        <v>39.99</v>
      </c>
      <c r="J79" s="75" t="inlineStr">
        <is>
          <t>2026-03-30</t>
        </is>
      </c>
      <c r="K79" s="40" t="n">
        <v>18.26</v>
      </c>
      <c r="L79" s="76" t="n">
        <v>0.4566141535383846</v>
      </c>
      <c r="M79" s="77" t="n">
        <v>2</v>
      </c>
      <c r="N79" s="39" t="inlineStr">
        <is>
          <t>Active</t>
        </is>
      </c>
      <c r="O79" s="39" t="n"/>
      <c r="P79" s="78" t="n">
        <v>4.3</v>
      </c>
      <c r="Q79" s="77" t="n">
        <v>20283</v>
      </c>
      <c r="R79" s="77" t="n">
        <v>2554</v>
      </c>
      <c r="S79" s="77" t="n">
        <v>4</v>
      </c>
      <c r="T79" s="39" t="n"/>
    </row>
    <row r="80" ht="62" customHeight="1">
      <c r="A80" s="12">
        <f>_xlfn.IMAGE("https://m.media-amazon.com/images/I/814bc366nSL.jpg")</f>
        <v/>
      </c>
      <c r="B80" s="39" t="inlineStr">
        <is>
          <t>B08KR9THFG</t>
        </is>
      </c>
      <c r="C80" s="39" t="inlineStr">
        <is>
          <t>SATIN-GOLD-TWIN</t>
        </is>
      </c>
      <c r="D80" s="39" t="inlineStr">
        <is>
          <t>DECOLURE Satin Bed Sheets - 3 Piece Luxury Silky Twin Size Bedding Set - Softer Than Silk, Wrinkle-Free with 15” Deep Pocket Fitted Sheet, Perfect for Hair &amp; Skin, Gifts for Women (Gold)</t>
        </is>
      </c>
      <c r="E80" s="39" t="inlineStr">
        <is>
          <t>Twin</t>
        </is>
      </c>
      <c r="F80" s="39" t="inlineStr">
        <is>
          <t>Gold</t>
        </is>
      </c>
      <c r="G80" s="73" t="n">
        <v>49.13</v>
      </c>
      <c r="H80" s="39" t="inlineStr">
        <is>
          <t>catalog price (CAD), 2026-10-14</t>
        </is>
      </c>
      <c r="I80" s="74" t="n">
        <v>31.99</v>
      </c>
      <c r="J80" s="75" t="inlineStr">
        <is>
          <t>2026-03-30</t>
        </is>
      </c>
      <c r="K80" s="40" t="n">
        <v>11.49</v>
      </c>
      <c r="L80" s="76" t="n">
        <v>0.3591747421069084</v>
      </c>
      <c r="M80" s="77" t="n">
        <v>2</v>
      </c>
      <c r="N80" s="39" t="inlineStr">
        <is>
          <t>Active</t>
        </is>
      </c>
      <c r="O80" s="39" t="n"/>
      <c r="P80" s="78" t="n">
        <v>4.3</v>
      </c>
      <c r="Q80" s="77" t="n">
        <v>20283</v>
      </c>
      <c r="R80" s="77" t="n">
        <v>2554</v>
      </c>
      <c r="S80" s="77" t="n">
        <v>4</v>
      </c>
      <c r="T80" s="39" t="n"/>
    </row>
    <row r="81" ht="62" customHeight="1">
      <c r="A81" s="12">
        <f>_xlfn.IMAGE("https://m.media-amazon.com/images/I/81c6sUJ9JML.jpg")</f>
        <v/>
      </c>
      <c r="B81" s="39" t="inlineStr">
        <is>
          <t>B0BG21MMW9</t>
        </is>
      </c>
      <c r="C81" s="39" t="inlineStr">
        <is>
          <t>SATIN-SEA-TEAL-TWIN</t>
        </is>
      </c>
      <c r="D81" s="39" t="inlineStr">
        <is>
          <t>DECOLURE Satin Bed Sheets - 3 Piece Luxury Silky Twin Size Bedding Set - Softer Than Silk, Wrinkle-Free with 15” Deep Pocket Fitted Sheet, Perfect for Hair &amp; Skin, Gifts for Women (Sea Teal)</t>
        </is>
      </c>
      <c r="E81" s="39" t="inlineStr">
        <is>
          <t>Twin</t>
        </is>
      </c>
      <c r="F81" s="39" t="inlineStr">
        <is>
          <t>Sea Teal</t>
        </is>
      </c>
      <c r="G81" s="73" t="n">
        <v>39.99</v>
      </c>
      <c r="H81" s="39" t="inlineStr">
        <is>
          <t>catalog price (CAD), 2026-10-14</t>
        </is>
      </c>
      <c r="I81" s="74" t="n">
        <v>48.3</v>
      </c>
      <c r="J81" s="75" t="inlineStr">
        <is>
          <t>2026-03-30</t>
        </is>
      </c>
      <c r="K81" s="40" t="n">
        <v>19.68</v>
      </c>
      <c r="L81" s="76" t="n">
        <v>0.4074534161490683</v>
      </c>
      <c r="M81" s="77" t="n">
        <v>2</v>
      </c>
      <c r="N81" s="39" t="inlineStr">
        <is>
          <t>Active</t>
        </is>
      </c>
      <c r="O81" s="39" t="n"/>
      <c r="P81" s="78" t="n">
        <v>4.3</v>
      </c>
      <c r="Q81" s="77" t="n">
        <v>20283</v>
      </c>
      <c r="R81" s="77" t="n">
        <v>2554</v>
      </c>
      <c r="S81" s="77" t="n">
        <v>5</v>
      </c>
      <c r="T81" s="39" t="n"/>
    </row>
    <row r="82" ht="62" customHeight="1">
      <c r="A82" s="12">
        <f>_xlfn.IMAGE("https://m.media-amazon.com/images/I/81NiOUuge2L.jpg")</f>
        <v/>
      </c>
      <c r="B82" s="39" t="inlineStr">
        <is>
          <t>B0CQSJZV7C</t>
        </is>
      </c>
      <c r="C82" s="39" t="inlineStr">
        <is>
          <t>SATIN-4PC-FULL-BURNT ORANGE</t>
        </is>
      </c>
      <c r="D82" s="39" t="inlineStr">
        <is>
          <t>DECOLURE Satin Bed Sheets - 4 Piece Luxury Silky Full Size Bedding Set - Softer Than Silk, Wrinkle-Free with 15” Deep Pocket Fitted Sheet, Perfect for Hair &amp; Skin, Gifts for Women (Burnt Orange)</t>
        </is>
      </c>
      <c r="E82" s="39" t="inlineStr">
        <is>
          <t>Full</t>
        </is>
      </c>
      <c r="F82" s="39" t="inlineStr">
        <is>
          <t>Burnt Orange</t>
        </is>
      </c>
      <c r="G82" s="73" t="n">
        <v>44.99</v>
      </c>
      <c r="H82" s="39" t="inlineStr">
        <is>
          <t>catalog price (CAD), 2026-10-14</t>
        </is>
      </c>
      <c r="I82" s="74" t="n">
        <v>53.88</v>
      </c>
      <c r="J82" s="75" t="inlineStr">
        <is>
          <t>2026-03-30</t>
        </is>
      </c>
      <c r="K82" s="40" t="n">
        <v>21.90000000000001</v>
      </c>
      <c r="L82" s="76" t="n">
        <v>0.4064587973273943</v>
      </c>
      <c r="M82" s="77" t="n">
        <v>1</v>
      </c>
      <c r="N82" s="39" t="inlineStr">
        <is>
          <t>Active</t>
        </is>
      </c>
      <c r="O82" s="39" t="n"/>
      <c r="P82" s="78" t="n">
        <v>4.3</v>
      </c>
      <c r="Q82" s="77" t="n">
        <v>20283</v>
      </c>
      <c r="R82" s="77" t="n">
        <v>2554</v>
      </c>
      <c r="S82" s="77" t="n">
        <v>2</v>
      </c>
      <c r="T82" s="39" t="n"/>
    </row>
    <row r="83" ht="62" customHeight="1">
      <c r="A83" s="12">
        <f>_xlfn.IMAGE("https://m.media-amazon.com/images/I/81Owp6T1ibL.jpg")</f>
        <v/>
      </c>
      <c r="B83" s="39" t="inlineStr">
        <is>
          <t>B0BZPYNXPB</t>
        </is>
      </c>
      <c r="C83" s="39" t="inlineStr">
        <is>
          <t>SATIN-CHAMPAGNE-FULL</t>
        </is>
      </c>
      <c r="D83" s="39" t="inlineStr">
        <is>
          <t>DECOLURE Satin Bed Sheets - 4 Piece Luxury Silky Full Size Bedding Set - Softer Than Silk, Wrinkle-Free with 15” Deep Pocket Fitted Sheet, Perfect for Hair &amp; Skin, Gifts for Women (Champagne)</t>
        </is>
      </c>
      <c r="E83" s="39" t="inlineStr">
        <is>
          <t>Full</t>
        </is>
      </c>
      <c r="F83" s="39" t="inlineStr">
        <is>
          <t>Champagne</t>
        </is>
      </c>
      <c r="G83" s="73" t="n">
        <v>44.99</v>
      </c>
      <c r="H83" s="39" t="inlineStr">
        <is>
          <t>catalog price (CAD), 2026-10-14</t>
        </is>
      </c>
      <c r="I83" s="74" t="n">
        <v>44.99</v>
      </c>
      <c r="J83" s="75" t="inlineStr">
        <is>
          <t>2026-03-30</t>
        </is>
      </c>
      <c r="K83" s="40" t="n">
        <v>19.94</v>
      </c>
      <c r="L83" s="76" t="n">
        <v>0.4432096021338075</v>
      </c>
      <c r="M83" s="77" t="n">
        <v>1</v>
      </c>
      <c r="N83" s="39" t="inlineStr">
        <is>
          <t>Active</t>
        </is>
      </c>
      <c r="O83" s="39" t="n"/>
      <c r="P83" s="78" t="n">
        <v>4.3</v>
      </c>
      <c r="Q83" s="77" t="n">
        <v>20283</v>
      </c>
      <c r="R83" s="77" t="n">
        <v>2554</v>
      </c>
      <c r="S83" s="77" t="n">
        <v>2</v>
      </c>
      <c r="T83" s="39" t="n"/>
    </row>
    <row r="84" ht="62" customHeight="1">
      <c r="A84" s="12">
        <f>_xlfn.IMAGE("https://m.media-amazon.com/images/I/81NOa451cTL.jpg")</f>
        <v/>
      </c>
      <c r="B84" s="39" t="inlineStr">
        <is>
          <t>B08KR9PWK1</t>
        </is>
      </c>
      <c r="C84" s="39" t="inlineStr">
        <is>
          <t>SATIN-GOLD-FULL</t>
        </is>
      </c>
      <c r="D84" s="39" t="inlineStr">
        <is>
          <t>DECOLURE Satin Bed Sheets - 4 Piece Luxury Silky Full Size Bedding Set - Softer Than Silk, Wrinkle-Free with 15” Deep Pocket Fitted Sheet, Perfect for Hair &amp; Skin, Gifts for Women (Gold)</t>
        </is>
      </c>
      <c r="E84" s="39" t="inlineStr">
        <is>
          <t>Full</t>
        </is>
      </c>
      <c r="F84" s="39" t="inlineStr">
        <is>
          <t>Gold</t>
        </is>
      </c>
      <c r="G84" s="73" t="n">
        <v>44.99</v>
      </c>
      <c r="H84" s="39" t="inlineStr">
        <is>
          <t>catalog price (CAD), 2026-10-14</t>
        </is>
      </c>
      <c r="I84" s="74" t="n">
        <v>44.99</v>
      </c>
      <c r="J84" s="75" t="inlineStr">
        <is>
          <t>2026-03-30</t>
        </is>
      </c>
      <c r="K84" s="40" t="n">
        <v>20.65</v>
      </c>
      <c r="L84" s="76" t="n">
        <v>0.4589908868637476</v>
      </c>
      <c r="M84" s="77" t="n">
        <v>1</v>
      </c>
      <c r="N84" s="39" t="inlineStr">
        <is>
          <t>Active</t>
        </is>
      </c>
      <c r="O84" s="39" t="n"/>
      <c r="P84" s="78" t="n">
        <v>4.3</v>
      </c>
      <c r="Q84" s="77" t="n">
        <v>20283</v>
      </c>
      <c r="R84" s="77" t="n">
        <v>2554</v>
      </c>
      <c r="S84" s="77" t="n">
        <v>3</v>
      </c>
      <c r="T84" s="39" t="n"/>
    </row>
    <row r="85" ht="62" customHeight="1">
      <c r="A85" s="12">
        <f>_xlfn.IMAGE("https://m.media-amazon.com/images/I/81Ktu4N6y2L.jpg")</f>
        <v/>
      </c>
      <c r="B85" s="39" t="inlineStr">
        <is>
          <t>B0DBQVFTZS</t>
        </is>
      </c>
      <c r="C85" s="39" t="inlineStr">
        <is>
          <t>SATIN-4PCS-FULL-ROSEWOOD</t>
        </is>
      </c>
      <c r="D85" s="39" t="inlineStr">
        <is>
          <t>DECOLURE Satin Bed Sheets - 4 Piece Luxury Silky Full Size Bedding Set - Softer Than Silk, Wrinkle-Free with 15” Deep Pocket Fitted Sheet, Perfect for Hair &amp; Skin, Gifts for Women (Rosewood)</t>
        </is>
      </c>
      <c r="E85" s="39" t="inlineStr">
        <is>
          <t>Full</t>
        </is>
      </c>
      <c r="F85" s="39" t="inlineStr">
        <is>
          <t>Rosewood</t>
        </is>
      </c>
      <c r="G85" s="40" t="n"/>
      <c r="H85" s="39" t="n"/>
      <c r="I85" s="74" t="n">
        <v>40.96</v>
      </c>
      <c r="J85" s="75" t="inlineStr">
        <is>
          <t>2026-03-30</t>
        </is>
      </c>
      <c r="K85" s="40" t="n">
        <v>17.25</v>
      </c>
      <c r="L85" s="76" t="n">
        <v>0.421142578125</v>
      </c>
      <c r="M85" s="77" t="n">
        <v>1</v>
      </c>
      <c r="N85" s="79" t="inlineStr">
        <is>
          <t>No Buy Box on Amazon 2026-10-14 (page says 'Price higher than typical') - 146 units in FBA stock, so not a stock-out: offer / listing issue (deal records 2026-10-14)</t>
        </is>
      </c>
      <c r="O85" s="39" t="n"/>
      <c r="P85" s="78" t="n"/>
      <c r="Q85" s="77" t="n"/>
      <c r="R85" s="77" t="n"/>
      <c r="S85" s="77" t="n"/>
      <c r="T85" s="39" t="n"/>
    </row>
    <row r="86" ht="62" customHeight="1">
      <c r="A86" s="12">
        <f>_xlfn.IMAGE("https://m.media-amazon.com/images/I/81zDJ9hFOlL.jpg")</f>
        <v/>
      </c>
      <c r="B86" s="39" t="inlineStr">
        <is>
          <t>B09G6LCV5J</t>
        </is>
      </c>
      <c r="C86" s="39" t="inlineStr">
        <is>
          <t>SATIN-STRIPE-FULL-GOLD</t>
        </is>
      </c>
      <c r="D86" s="39" t="inlineStr">
        <is>
          <t>DECOLURE Satin Bed Sheets - 4 Piece Luxury Silky Full Size Bedding Set - Softer Than Silk, Wrinkle-Free with 15” Deep Pocket Fitted Sheet, Perfect for Hair &amp; Skin, Gifts for Women (Striped Gold)</t>
        </is>
      </c>
      <c r="E86" s="39" t="inlineStr">
        <is>
          <t>Full</t>
        </is>
      </c>
      <c r="F86" s="39" t="inlineStr">
        <is>
          <t>Striped Gold</t>
        </is>
      </c>
      <c r="G86" s="73" t="n">
        <v>44.99</v>
      </c>
      <c r="H86" s="39" t="inlineStr">
        <is>
          <t>catalog price (CAD), 2026-10-14</t>
        </is>
      </c>
      <c r="I86" s="74" t="n">
        <v>44.99</v>
      </c>
      <c r="J86" s="75" t="inlineStr">
        <is>
          <t>2026-03-30</t>
        </is>
      </c>
      <c r="K86" s="40" t="n">
        <v>19.4</v>
      </c>
      <c r="L86" s="76" t="n">
        <v>0.4312069348744166</v>
      </c>
      <c r="M86" s="77" t="n">
        <v>1</v>
      </c>
      <c r="N86" s="39" t="inlineStr">
        <is>
          <t>Active</t>
        </is>
      </c>
      <c r="O86" s="39" t="n"/>
      <c r="P86" s="78" t="n">
        <v>4.3</v>
      </c>
      <c r="Q86" s="77" t="n">
        <v>20283</v>
      </c>
      <c r="R86" s="77" t="n">
        <v>2554</v>
      </c>
      <c r="S86" s="77" t="n">
        <v>3</v>
      </c>
      <c r="T86" s="39" t="n"/>
    </row>
    <row r="87" ht="62" customHeight="1">
      <c r="A87" s="12">
        <f>_xlfn.IMAGE("https://m.media-amazon.com/images/I/81HKWhCknYL.jpg")</f>
        <v/>
      </c>
      <c r="B87" s="39" t="inlineStr">
        <is>
          <t>B09G6LBQHH</t>
        </is>
      </c>
      <c r="C87" s="39" t="inlineStr">
        <is>
          <t>SATIN-STRIPE-KING-PINK</t>
        </is>
      </c>
      <c r="D87" s="39" t="inlineStr">
        <is>
          <t>DECOLURE Satin Bed Sheets - 4 Piece Luxury Silky King Size Bedding Set - Softer Than Silk, Wrinkle-Free with 15” Deep Pocket Fitted Sheet, Perfect for Hair &amp; Skin, Gifts for Women (Striped Pink)</t>
        </is>
      </c>
      <c r="E87" s="39" t="inlineStr">
        <is>
          <t>King</t>
        </is>
      </c>
      <c r="F87" s="39" t="inlineStr">
        <is>
          <t>Striped Pink</t>
        </is>
      </c>
      <c r="G87" s="73" t="n">
        <v>52.99</v>
      </c>
      <c r="H87" s="39" t="inlineStr">
        <is>
          <t>catalog price (CAD), 2026-10-14</t>
        </is>
      </c>
      <c r="I87" s="74" t="n">
        <v>52.99</v>
      </c>
      <c r="J87" s="75" t="inlineStr">
        <is>
          <t>2026-03-12</t>
        </is>
      </c>
      <c r="K87" s="40" t="n">
        <v>23.8</v>
      </c>
      <c r="L87" s="76" t="n">
        <v>0.4491413474240422</v>
      </c>
      <c r="M87" s="77" t="n">
        <v>1</v>
      </c>
      <c r="N87" s="39" t="inlineStr">
        <is>
          <t>Active</t>
        </is>
      </c>
      <c r="O87" s="39" t="n"/>
      <c r="P87" s="78" t="n">
        <v>4.3</v>
      </c>
      <c r="Q87" s="77" t="n">
        <v>20283</v>
      </c>
      <c r="R87" s="77" t="n">
        <v>2554</v>
      </c>
      <c r="S87" s="77" t="n">
        <v>5</v>
      </c>
      <c r="T87" s="39" t="n"/>
    </row>
    <row r="88" ht="62" customHeight="1">
      <c r="A88" s="12">
        <f>_xlfn.IMAGE("https://m.media-amazon.com/images/I/81qJVZURwBL.jpg")</f>
        <v/>
      </c>
      <c r="B88" s="39" t="inlineStr">
        <is>
          <t>B09G6KWNBW</t>
        </is>
      </c>
      <c r="C88" s="39" t="inlineStr">
        <is>
          <t>SATIN-STRIPE-QUEEN-GRAY</t>
        </is>
      </c>
      <c r="D88" s="39" t="inlineStr">
        <is>
          <t>DECOLURE Satin Bed Sheets - 4 Piece Luxury Silky Queen Size Bedding Set - Softer Than Silk, Wrinkle-Free with 15” Deep Pocket Fitted Sheet, Perfect for Hair &amp; Skin, Gifts for Women (Striped Grey)</t>
        </is>
      </c>
      <c r="E88" s="39" t="inlineStr">
        <is>
          <t>Queen</t>
        </is>
      </c>
      <c r="F88" s="39" t="inlineStr">
        <is>
          <t>Stripe Grey-01</t>
        </is>
      </c>
      <c r="G88" s="73" t="n">
        <v>58.96</v>
      </c>
      <c r="H88" s="39" t="inlineStr">
        <is>
          <t>catalog price (CAD), 2026-10-14</t>
        </is>
      </c>
      <c r="I88" s="74" t="n">
        <v>57.01</v>
      </c>
      <c r="J88" s="75" t="inlineStr">
        <is>
          <t>2026-03-04</t>
        </is>
      </c>
      <c r="K88" s="40" t="n"/>
      <c r="L88" s="76" t="n"/>
      <c r="M88" s="77" t="n">
        <v>1</v>
      </c>
      <c r="N88" s="39" t="inlineStr">
        <is>
          <t>Active</t>
        </is>
      </c>
      <c r="O88" s="39" t="n"/>
      <c r="P88" s="78" t="n">
        <v>4.3</v>
      </c>
      <c r="Q88" s="77" t="n">
        <v>20283</v>
      </c>
      <c r="R88" s="77" t="n">
        <v>2554</v>
      </c>
      <c r="S88" s="77" t="n">
        <v>1</v>
      </c>
      <c r="T88" s="39" t="n"/>
    </row>
    <row r="89" ht="62" customHeight="1">
      <c r="A89" s="12">
        <f>_xlfn.IMAGE("https://m.media-amazon.com/images/I/81HKWhCknYL.jpg")</f>
        <v/>
      </c>
      <c r="B89" s="39" t="inlineStr">
        <is>
          <t>B09G6JSW33</t>
        </is>
      </c>
      <c r="C89" s="39" t="inlineStr">
        <is>
          <t>SATIN-STRIPE-QUEEN-PINK</t>
        </is>
      </c>
      <c r="D89" s="39" t="inlineStr">
        <is>
          <t>DECOLURE Satin Bed Sheets - 4 Piece Luxury Silky Queen Size Bedding Set - Softer Than Silk, Wrinkle-Free with 15” Deep Pocket Fitted Sheet, Perfect for Hair &amp; Skin, Gifts for Women (Striped Pink)</t>
        </is>
      </c>
      <c r="E89" s="39" t="inlineStr">
        <is>
          <t>Queen</t>
        </is>
      </c>
      <c r="F89" s="39" t="inlineStr">
        <is>
          <t>Striped Pink</t>
        </is>
      </c>
      <c r="G89" s="73" t="n">
        <v>47.99</v>
      </c>
      <c r="H89" s="39" t="inlineStr">
        <is>
          <t>catalog price (CAD), 2026-10-14</t>
        </is>
      </c>
      <c r="I89" s="74" t="n">
        <v>56.95</v>
      </c>
      <c r="J89" s="75" t="inlineStr">
        <is>
          <t>2026-03-30</t>
        </is>
      </c>
      <c r="K89" s="40" t="n">
        <v>23.26000000000001</v>
      </c>
      <c r="L89" s="76" t="n">
        <v>0.4084284460052678</v>
      </c>
      <c r="M89" s="77" t="n">
        <v>1</v>
      </c>
      <c r="N89" s="39" t="inlineStr">
        <is>
          <t>Active</t>
        </is>
      </c>
      <c r="O89" s="39" t="n"/>
      <c r="P89" s="78" t="n">
        <v>4.3</v>
      </c>
      <c r="Q89" s="77" t="n">
        <v>20283</v>
      </c>
      <c r="R89" s="77" t="n">
        <v>2554</v>
      </c>
      <c r="S89" s="77" t="n">
        <v>6</v>
      </c>
      <c r="T89" s="39" t="n"/>
    </row>
    <row r="90" ht="62" customHeight="1">
      <c r="A90" s="12">
        <f>_xlfn.IMAGE("https://m.media-amazon.com/images/I/811r8QX1AiL.jpg")</f>
        <v/>
      </c>
      <c r="B90" s="39" t="inlineStr">
        <is>
          <t>B0839L7PJL</t>
        </is>
      </c>
      <c r="C90" s="39" t="inlineStr">
        <is>
          <t>SATIN-TWIN-BLACK-NEW</t>
        </is>
      </c>
      <c r="D90" s="39" t="inlineStr">
        <is>
          <t>DECOLURE Satin Bed Sheets - 3 Piece Luxury Silky Twin Size Bedding Set - Softer Than Silk, Wrinkle-Free with 15” Deep Pocket Fitted Sheet, Perfect for Hair &amp; Skin, Gifts for Women (Black)</t>
        </is>
      </c>
      <c r="E90" s="39" t="inlineStr">
        <is>
          <t>Twin</t>
        </is>
      </c>
      <c r="F90" s="39" t="inlineStr">
        <is>
          <t>Black</t>
        </is>
      </c>
      <c r="G90" s="73" t="n">
        <v>39.99</v>
      </c>
      <c r="H90" s="39" t="inlineStr">
        <is>
          <t>catalog price (CAD), 2026-10-14</t>
        </is>
      </c>
      <c r="I90" s="74" t="n">
        <v>48.06</v>
      </c>
      <c r="J90" s="75" t="inlineStr">
        <is>
          <t>2026-03-30</t>
        </is>
      </c>
      <c r="K90" s="40" t="n">
        <v>18.75</v>
      </c>
      <c r="L90" s="76" t="n">
        <v>0.3901373283395755</v>
      </c>
      <c r="M90" s="77" t="n">
        <v>1</v>
      </c>
      <c r="N90" s="39" t="inlineStr">
        <is>
          <t>Active</t>
        </is>
      </c>
      <c r="O90" s="39" t="n"/>
      <c r="P90" s="78" t="n">
        <v>4.3</v>
      </c>
      <c r="Q90" s="77" t="n">
        <v>20283</v>
      </c>
      <c r="R90" s="77" t="n">
        <v>2554</v>
      </c>
      <c r="S90" s="77" t="n">
        <v>5</v>
      </c>
      <c r="T90" s="39" t="n"/>
    </row>
    <row r="91" ht="62" customHeight="1">
      <c r="A91" s="12">
        <f>_xlfn.IMAGE("https://m.media-amazon.com/images/I/81AsBEWJi8L.jpg")</f>
        <v/>
      </c>
      <c r="B91" s="39" t="inlineStr">
        <is>
          <t>B0CQRXC2YT</t>
        </is>
      </c>
      <c r="C91" s="39" t="inlineStr">
        <is>
          <t>SATIN-3PC-TWIN-BURNT ORANGE</t>
        </is>
      </c>
      <c r="D91" s="39" t="inlineStr">
        <is>
          <t>DECOLURE Satin Bed Sheets - 3 Piece Luxury Silky Twin Size Bedding Set - Softer Than Silk, Wrinkle-Free with 15” Deep Pocket Fitted Sheet, Perfect for Hair &amp; Skin, Gifts for Women (Burnt Orange)</t>
        </is>
      </c>
      <c r="E91" s="39" t="inlineStr">
        <is>
          <t>Twin</t>
        </is>
      </c>
      <c r="F91" s="39" t="inlineStr">
        <is>
          <t>Burnt Orange</t>
        </is>
      </c>
      <c r="G91" s="73" t="n">
        <v>39.99</v>
      </c>
      <c r="H91" s="39" t="inlineStr">
        <is>
          <t>catalog price (CAD), 2026-10-14</t>
        </is>
      </c>
      <c r="I91" s="74" t="n">
        <v>49.34</v>
      </c>
      <c r="J91" s="75" t="inlineStr">
        <is>
          <t>2026-03-30</t>
        </is>
      </c>
      <c r="K91" s="40" t="n">
        <v>18.60000000000001</v>
      </c>
      <c r="L91" s="76" t="n">
        <v>0.3769760843129308</v>
      </c>
      <c r="M91" s="77" t="n">
        <v>1</v>
      </c>
      <c r="N91" s="39" t="inlineStr">
        <is>
          <t>Active</t>
        </is>
      </c>
      <c r="O91" s="39" t="n"/>
      <c r="P91" s="78" t="n">
        <v>4.3</v>
      </c>
      <c r="Q91" s="77" t="n">
        <v>20283</v>
      </c>
      <c r="R91" s="77" t="n">
        <v>2554</v>
      </c>
      <c r="S91" s="77" t="n">
        <v>4</v>
      </c>
      <c r="T91" s="39" t="n"/>
    </row>
    <row r="92" ht="62" customHeight="1">
      <c r="A92" s="12">
        <f>_xlfn.IMAGE("https://m.media-amazon.com/images/I/81OrVgMfkxL.jpg")</f>
        <v/>
      </c>
      <c r="B92" s="39" t="inlineStr">
        <is>
          <t>B0BZPVY39R</t>
        </is>
      </c>
      <c r="C92" s="39" t="inlineStr">
        <is>
          <t>SATIN-CHAMPAGNE-TWIN</t>
        </is>
      </c>
      <c r="D92" s="39" t="inlineStr">
        <is>
          <t>DECOLURE Satin Bed Sheets - 3 Piece Luxury Silky Twin Size Bedding Set - Softer Than Silk, Wrinkle-Free with 15” Deep Pocket Fitted Sheet, Perfect for Hair &amp; Skin, Gifts for Women (Champagne)</t>
        </is>
      </c>
      <c r="E92" s="39" t="inlineStr">
        <is>
          <t>Twin</t>
        </is>
      </c>
      <c r="F92" s="39" t="inlineStr">
        <is>
          <t>Champagne</t>
        </is>
      </c>
      <c r="G92" s="73" t="n">
        <v>39.99</v>
      </c>
      <c r="H92" s="39" t="inlineStr">
        <is>
          <t>catalog price (CAD), 2026-10-14</t>
        </is>
      </c>
      <c r="I92" s="74" t="n">
        <v>39.99</v>
      </c>
      <c r="J92" s="75" t="inlineStr">
        <is>
          <t>2026-03-30</t>
        </is>
      </c>
      <c r="K92" s="40" t="n">
        <v>18.28</v>
      </c>
      <c r="L92" s="76" t="n">
        <v>0.4571142785696424</v>
      </c>
      <c r="M92" s="77" t="n">
        <v>1</v>
      </c>
      <c r="N92" s="39" t="inlineStr">
        <is>
          <t>Active</t>
        </is>
      </c>
      <c r="O92" s="39" t="n"/>
      <c r="P92" s="78" t="n">
        <v>4.3</v>
      </c>
      <c r="Q92" s="77" t="n">
        <v>20283</v>
      </c>
      <c r="R92" s="77" t="n">
        <v>2554</v>
      </c>
      <c r="S92" s="77" t="n">
        <v>4</v>
      </c>
      <c r="T92" s="39" t="n"/>
    </row>
    <row r="93" ht="62" customHeight="1">
      <c r="A93" s="12">
        <f>_xlfn.IMAGE("https://m.media-amazon.com/images/I/81eTGAJjLvL.jpg")</f>
        <v/>
      </c>
      <c r="B93" s="39" t="inlineStr">
        <is>
          <t>B0BG25XZHJ</t>
        </is>
      </c>
      <c r="C93" s="39" t="inlineStr">
        <is>
          <t>SATIN-IVORY-TWIN</t>
        </is>
      </c>
      <c r="D93" s="39" t="inlineStr">
        <is>
          <t>DECOLURE Satin Bed Sheets - 3 Piece Luxury Silky Twin Size Bedding Set - Softer Than Silk, Wrinkle-Free with 15” Deep Pocket Fitted Sheet, Perfect for Hair &amp; Skin, Gifts for Women (Ivory)</t>
        </is>
      </c>
      <c r="E93" s="39" t="inlineStr">
        <is>
          <t>Twin</t>
        </is>
      </c>
      <c r="F93" s="39" t="inlineStr">
        <is>
          <t>Ivory</t>
        </is>
      </c>
      <c r="G93" s="73" t="n">
        <v>54.01</v>
      </c>
      <c r="H93" s="39" t="inlineStr">
        <is>
          <t>catalog price (CAD), 2026-10-14</t>
        </is>
      </c>
      <c r="I93" s="74" t="n">
        <v>39.99</v>
      </c>
      <c r="J93" s="75" t="inlineStr">
        <is>
          <t>2026-03-30</t>
        </is>
      </c>
      <c r="K93" s="40" t="n">
        <v>17.46</v>
      </c>
      <c r="L93" s="76" t="n">
        <v>0.4366091522880721</v>
      </c>
      <c r="M93" s="77" t="n">
        <v>1</v>
      </c>
      <c r="N93" s="39" t="inlineStr">
        <is>
          <t>Inactive</t>
        </is>
      </c>
      <c r="O93" s="39" t="n"/>
      <c r="P93" s="78" t="n">
        <v>4.3</v>
      </c>
      <c r="Q93" s="77" t="n">
        <v>20283</v>
      </c>
      <c r="R93" s="77" t="n">
        <v>2554</v>
      </c>
      <c r="S93" s="77" t="n">
        <v>3</v>
      </c>
      <c r="T93" s="39" t="n"/>
    </row>
    <row r="94" ht="62" customHeight="1">
      <c r="A94" s="12">
        <f>_xlfn.IMAGE("https://m.media-amazon.com/images/I/81XZJvH2jAL.jpg")</f>
        <v/>
      </c>
      <c r="B94" s="39" t="inlineStr">
        <is>
          <t>B0CQRX8Q2P</t>
        </is>
      </c>
      <c r="C94" s="39" t="inlineStr">
        <is>
          <t>SATIN-3PC-TWIN-LAVENDER</t>
        </is>
      </c>
      <c r="D94" s="39" t="inlineStr">
        <is>
          <t>DECOLURE Satin Bed Sheets - 3 Piece Luxury Silky Twin Size Bedding Set - Softer Than Silk, Wrinkle-Free with 15” Deep Pocket Fitted Sheet, Perfect for Hair &amp; Skin, Gifts for Women (Lavender)</t>
        </is>
      </c>
      <c r="E94" s="39" t="inlineStr">
        <is>
          <t>Twin</t>
        </is>
      </c>
      <c r="F94" s="39" t="inlineStr">
        <is>
          <t>Lavender</t>
        </is>
      </c>
      <c r="G94" s="73" t="n">
        <v>49.13</v>
      </c>
      <c r="H94" s="39" t="inlineStr">
        <is>
          <t>catalog price (CAD), 2026-10-14</t>
        </is>
      </c>
      <c r="I94" s="74" t="n">
        <v>39.99</v>
      </c>
      <c r="J94" s="75" t="inlineStr">
        <is>
          <t>2026-03-30</t>
        </is>
      </c>
      <c r="K94" s="40" t="n">
        <v>18.59</v>
      </c>
      <c r="L94" s="76" t="n">
        <v>0.4648662165541386</v>
      </c>
      <c r="M94" s="77" t="n">
        <v>1</v>
      </c>
      <c r="N94" s="39" t="inlineStr">
        <is>
          <t>Active</t>
        </is>
      </c>
      <c r="O94" s="39" t="n"/>
      <c r="P94" s="78" t="n">
        <v>4.3</v>
      </c>
      <c r="Q94" s="77" t="n">
        <v>20283</v>
      </c>
      <c r="R94" s="77" t="n">
        <v>2554</v>
      </c>
      <c r="S94" s="77" t="n">
        <v>4</v>
      </c>
      <c r="T94" s="39" t="n"/>
    </row>
    <row r="95" ht="62" customHeight="1">
      <c r="A95" s="12">
        <f>_xlfn.IMAGE("https://m.media-amazon.com/images/I/81rBoUpH30L.jpg")</f>
        <v/>
      </c>
      <c r="B95" s="39" t="inlineStr">
        <is>
          <t>B0839M48YF</t>
        </is>
      </c>
      <c r="C95" s="39" t="inlineStr">
        <is>
          <t>SATIN-TWIN-PURPLE</t>
        </is>
      </c>
      <c r="D95" s="39" t="inlineStr">
        <is>
          <t>DECOLURE Satin Bed Sheets - 3 Piece Luxury Silky Twin Size Bedding Set - Softer Than Silk, Wrinkle-Free with 15” Deep Pocket Fitted Sheet, Perfect for Hair &amp; Skin, Gifts for Women (Purple)</t>
        </is>
      </c>
      <c r="E95" s="39" t="inlineStr">
        <is>
          <t>Twin</t>
        </is>
      </c>
      <c r="F95" s="39" t="inlineStr">
        <is>
          <t>Purple</t>
        </is>
      </c>
      <c r="G95" s="73" t="n">
        <v>49.13</v>
      </c>
      <c r="H95" s="39" t="inlineStr">
        <is>
          <t>catalog price (CAD), 2026-10-14</t>
        </is>
      </c>
      <c r="I95" s="74" t="n">
        <v>28.86</v>
      </c>
      <c r="J95" s="75" t="inlineStr">
        <is>
          <t>2026-03-22</t>
        </is>
      </c>
      <c r="K95" s="40" t="n">
        <v>8.77</v>
      </c>
      <c r="L95" s="76" t="n">
        <v>0.3038808038808039</v>
      </c>
      <c r="M95" s="77" t="n">
        <v>1</v>
      </c>
      <c r="N95" s="39" t="inlineStr">
        <is>
          <t>Active</t>
        </is>
      </c>
      <c r="O95" s="39" t="n"/>
      <c r="P95" s="78" t="n">
        <v>4.3</v>
      </c>
      <c r="Q95" s="77" t="n">
        <v>20283</v>
      </c>
      <c r="R95" s="77" t="n">
        <v>2554</v>
      </c>
      <c r="S95" s="77" t="n">
        <v>4</v>
      </c>
      <c r="T95" s="39" t="n"/>
    </row>
    <row r="96" ht="62" customHeight="1">
      <c r="A96" s="12">
        <f>_xlfn.IMAGE("https://m.media-amazon.com/images/I/81x0CFZ3vUL.jpg")</f>
        <v/>
      </c>
      <c r="B96" s="39" t="inlineStr">
        <is>
          <t>B0BG22FCVJ</t>
        </is>
      </c>
      <c r="C96" s="39" t="inlineStr">
        <is>
          <t>SATIN-ROSEWOOD-TWIN</t>
        </is>
      </c>
      <c r="D96" s="39" t="inlineStr">
        <is>
          <t>DECOLURE Satin Bed Sheets - 3 Piece Luxury Silky Twin Size Bedding Set - Softer Than Silk, Wrinkle-Free with 15” Deep Pocket Fitted Sheet, Perfect for Hair &amp; Skin, Gifts for Women (Rosewood)</t>
        </is>
      </c>
      <c r="E96" s="39" t="inlineStr">
        <is>
          <t>Twin</t>
        </is>
      </c>
      <c r="F96" s="39" t="inlineStr">
        <is>
          <t>Rosewood</t>
        </is>
      </c>
      <c r="G96" s="73" t="n">
        <v>39.99</v>
      </c>
      <c r="H96" s="39" t="inlineStr">
        <is>
          <t>catalog price (CAD), 2026-10-14</t>
        </is>
      </c>
      <c r="I96" s="74" t="n">
        <v>39.99</v>
      </c>
      <c r="J96" s="75" t="inlineStr">
        <is>
          <t>2026-03-30</t>
        </is>
      </c>
      <c r="K96" s="40" t="n">
        <v>17.93</v>
      </c>
      <c r="L96" s="76" t="n">
        <v>0.4483620905226307</v>
      </c>
      <c r="M96" s="77" t="n">
        <v>1</v>
      </c>
      <c r="N96" s="39" t="inlineStr">
        <is>
          <t>Active</t>
        </is>
      </c>
      <c r="O96" s="39" t="n"/>
      <c r="P96" s="78" t="n">
        <v>4.3</v>
      </c>
      <c r="Q96" s="77" t="n">
        <v>20283</v>
      </c>
      <c r="R96" s="77" t="n">
        <v>2554</v>
      </c>
      <c r="S96" s="77" t="n">
        <v>4</v>
      </c>
      <c r="T96" s="39" t="n"/>
    </row>
    <row r="97" ht="62" customHeight="1">
      <c r="A97" s="12">
        <f>_xlfn.IMAGE("https://m.media-amazon.com/images/I/81cpDU4ugeL.jpg")</f>
        <v/>
      </c>
      <c r="B97" s="39" t="inlineStr">
        <is>
          <t>B0BG21NBG9</t>
        </is>
      </c>
      <c r="C97" s="39" t="inlineStr">
        <is>
          <t>SATIN-STONEGREY-TWIN</t>
        </is>
      </c>
      <c r="D97" s="39" t="inlineStr">
        <is>
          <t>DECOLURE Satin Bed Sheets - 3 Piece Luxury Silky Twin Size Bedding Set - Softer Than Silk, Wrinkle-Free with 15” Deep Pocket Fitted Sheet, Perfect for Hair &amp; Skin, Gifts for Women (Stone Grey)</t>
        </is>
      </c>
      <c r="E97" s="39" t="inlineStr">
        <is>
          <t>Twin</t>
        </is>
      </c>
      <c r="F97" s="39" t="inlineStr">
        <is>
          <t>Stone Grey</t>
        </is>
      </c>
      <c r="G97" s="73" t="n">
        <v>39.99</v>
      </c>
      <c r="H97" s="39" t="inlineStr">
        <is>
          <t>catalog price (CAD), 2026-10-14</t>
        </is>
      </c>
      <c r="I97" s="74" t="n">
        <v>39.99</v>
      </c>
      <c r="J97" s="75" t="inlineStr">
        <is>
          <t>2026-03-30</t>
        </is>
      </c>
      <c r="K97" s="40" t="n">
        <v>18.18</v>
      </c>
      <c r="L97" s="76" t="n">
        <v>0.4546136534133535</v>
      </c>
      <c r="M97" s="77" t="n">
        <v>1</v>
      </c>
      <c r="N97" s="39" t="inlineStr">
        <is>
          <t>Active</t>
        </is>
      </c>
      <c r="O97" s="39" t="n"/>
      <c r="P97" s="78" t="n">
        <v>4.3</v>
      </c>
      <c r="Q97" s="77" t="n">
        <v>20283</v>
      </c>
      <c r="R97" s="77" t="n">
        <v>2554</v>
      </c>
      <c r="S97" s="77" t="n">
        <v>4</v>
      </c>
      <c r="T97" s="39" t="n"/>
    </row>
    <row r="98" ht="62" customHeight="1">
      <c r="A98" s="12">
        <f>_xlfn.IMAGE("https://m.media-amazon.com/images/I/81VOdox-tCL.jpg")</f>
        <v/>
      </c>
      <c r="B98" s="39" t="inlineStr">
        <is>
          <t>B09G6JK5ZL</t>
        </is>
      </c>
      <c r="C98" s="39" t="inlineStr">
        <is>
          <t>SATIN-STRIPE-TWIN-WHITE</t>
        </is>
      </c>
      <c r="D98" s="39" t="inlineStr">
        <is>
          <t>DECOLURE Satin Bed Sheets - 3 Piece Luxury Silky Twin Size Bedding Set - Softer Than Silk, Wrinkle-Free with 15” Deep Pocket Fitted Sheet, Perfect for Hair &amp; Skin, Gifts for Women (Striped White)</t>
        </is>
      </c>
      <c r="E98" s="39" t="inlineStr">
        <is>
          <t>Twin</t>
        </is>
      </c>
      <c r="F98" s="39" t="inlineStr">
        <is>
          <t>Striped White</t>
        </is>
      </c>
      <c r="G98" s="73" t="n">
        <v>39.99</v>
      </c>
      <c r="H98" s="39" t="inlineStr">
        <is>
          <t>catalog price (CAD), 2026-10-14</t>
        </is>
      </c>
      <c r="I98" s="74" t="n">
        <v>39.99</v>
      </c>
      <c r="J98" s="75" t="inlineStr">
        <is>
          <t>2026-03-30</t>
        </is>
      </c>
      <c r="K98" s="40" t="n">
        <v>17.57</v>
      </c>
      <c r="L98" s="76" t="n">
        <v>0.4393598399599901</v>
      </c>
      <c r="M98" s="77" t="n">
        <v>1</v>
      </c>
      <c r="N98" s="39" t="inlineStr">
        <is>
          <t>Active</t>
        </is>
      </c>
      <c r="O98" s="39" t="n"/>
      <c r="P98" s="78" t="n">
        <v>4.3</v>
      </c>
      <c r="Q98" s="77" t="n">
        <v>20283</v>
      </c>
      <c r="R98" s="77" t="n">
        <v>2554</v>
      </c>
      <c r="S98" s="77" t="n">
        <v>4</v>
      </c>
      <c r="T98" s="39" t="n"/>
    </row>
    <row r="99" ht="62" customHeight="1">
      <c r="A99" s="12">
        <f>_xlfn.IMAGE("https://m.media-amazon.com/images/I/81VtFuMce8L.jpg")</f>
        <v/>
      </c>
      <c r="B99" s="39" t="inlineStr">
        <is>
          <t>B0839L9RSB</t>
        </is>
      </c>
      <c r="C99" s="39" t="inlineStr">
        <is>
          <t>SATIN-FULL-BLUE</t>
        </is>
      </c>
      <c r="D99" s="39" t="inlineStr">
        <is>
          <t>DECOLURE Satin Bed Sheets - 4 Piece Luxury Silky Full Size Bedding Set - Softer Than Silk, Wrinkle-Free with 15” Deep Pocket Fitted Sheet, Perfect for Hair &amp; Skin, Gifts for Women (Blue)</t>
        </is>
      </c>
      <c r="E99" s="39" t="inlineStr">
        <is>
          <t>Full</t>
        </is>
      </c>
      <c r="F99" s="39" t="inlineStr">
        <is>
          <t>Blue</t>
        </is>
      </c>
      <c r="G99" s="73" t="n">
        <v>59.02</v>
      </c>
      <c r="H99" s="39" t="inlineStr">
        <is>
          <t>catalog price (CAD), 2026-10-14</t>
        </is>
      </c>
      <c r="I99" s="74" t="n">
        <v>44.99</v>
      </c>
      <c r="J99" s="75" t="inlineStr">
        <is>
          <t>2026-03-30</t>
        </is>
      </c>
      <c r="K99" s="40" t="n">
        <v>19.93</v>
      </c>
      <c r="L99" s="76" t="n">
        <v>0.4429873305178929</v>
      </c>
      <c r="M99" s="77" t="n"/>
      <c r="N99" s="39" t="inlineStr">
        <is>
          <t>Inactive</t>
        </is>
      </c>
      <c r="O99" s="39" t="n"/>
      <c r="P99" s="78" t="n">
        <v>4.3</v>
      </c>
      <c r="Q99" s="77" t="n">
        <v>20283</v>
      </c>
      <c r="R99" s="77" t="n">
        <v>2554</v>
      </c>
      <c r="S99" s="77" t="n">
        <v>0.6457000000000001</v>
      </c>
      <c r="T99" s="39" t="n"/>
    </row>
    <row r="100" ht="62" customHeight="1">
      <c r="A100" s="12">
        <f>_xlfn.IMAGE("https://m.media-amazon.com/images/I/81Ktu4N6y2L.jpg")</f>
        <v/>
      </c>
      <c r="B100" s="39" t="inlineStr">
        <is>
          <t>B0BG21B7JS</t>
        </is>
      </c>
      <c r="C100" s="39" t="inlineStr">
        <is>
          <t>SATIN-ROSEWOOD-FULL</t>
        </is>
      </c>
      <c r="D100" s="39" t="inlineStr">
        <is>
          <t>DECOLURE Satin Bed Sheets - 4 Piece Luxury Silky Full Size Bedding Set - Softer Than Silk, Wrinkle-Free with 15” Deep Pocket Fitted Sheet, Perfect for Hair &amp; Skin, Gifts for Women (Rosewood)</t>
        </is>
      </c>
      <c r="E100" s="39" t="inlineStr">
        <is>
          <t>Full</t>
        </is>
      </c>
      <c r="F100" s="39" t="inlineStr">
        <is>
          <t>Rosewoord-01</t>
        </is>
      </c>
      <c r="G100" s="40" t="n"/>
      <c r="H100" s="39" t="n"/>
      <c r="I100" s="74" t="n">
        <v>54.12</v>
      </c>
      <c r="J100" s="75" t="inlineStr">
        <is>
          <t>2026-03-06</t>
        </is>
      </c>
      <c r="K100" s="40" t="n"/>
      <c r="L100" s="76" t="n"/>
      <c r="M100" s="77" t="n"/>
      <c r="N100" s="39" t="inlineStr">
        <is>
          <t>Inactive</t>
        </is>
      </c>
      <c r="O100" s="39" t="n"/>
      <c r="P100" s="78" t="n"/>
      <c r="Q100" s="77" t="n"/>
      <c r="R100" s="77" t="n"/>
      <c r="S100" s="77" t="n"/>
      <c r="T100" s="39" t="n"/>
    </row>
    <row r="101" ht="62" customHeight="1">
      <c r="A101" s="12">
        <f>_xlfn.IMAGE("https://m.media-amazon.com/images/I/81b2FINCUgL.jpg")</f>
        <v/>
      </c>
      <c r="B101" s="39" t="inlineStr">
        <is>
          <t>B0CQRY9WLG</t>
        </is>
      </c>
      <c r="C101" s="39" t="inlineStr">
        <is>
          <t>SATIN-4PC-FULL-SAGE GREEN</t>
        </is>
      </c>
      <c r="D101" s="39" t="inlineStr">
        <is>
          <t>DECOLURE Satin Bed Sheets - 4 Piece Luxury Silky Full Size Bedding Set - Softer Than Silk, Wrinkle-Free with 15” Deep Pocket Fitted Sheet, Perfect for Hair &amp; Skin, Gifts for Women (Sage Green)</t>
        </is>
      </c>
      <c r="E101" s="39" t="inlineStr">
        <is>
          <t>Full</t>
        </is>
      </c>
      <c r="F101" s="39" t="inlineStr">
        <is>
          <t>Sage Green</t>
        </is>
      </c>
      <c r="G101" s="73" t="n">
        <v>55.27</v>
      </c>
      <c r="H101" s="39" t="inlineStr">
        <is>
          <t>catalog price (CAD), 2026-10-14</t>
        </is>
      </c>
      <c r="I101" s="74" t="n">
        <v>44.99</v>
      </c>
      <c r="J101" s="75" t="inlineStr">
        <is>
          <t>2026-03-30</t>
        </is>
      </c>
      <c r="K101" s="40" t="n">
        <v>20.79</v>
      </c>
      <c r="L101" s="76" t="n">
        <v>0.4621026894865525</v>
      </c>
      <c r="M101" s="77" t="n">
        <v>0</v>
      </c>
      <c r="N101" s="39" t="inlineStr">
        <is>
          <t>Active</t>
        </is>
      </c>
      <c r="O101" s="39" t="n"/>
      <c r="P101" s="78" t="n">
        <v>4.3</v>
      </c>
      <c r="Q101" s="77" t="n">
        <v>20283</v>
      </c>
      <c r="R101" s="77" t="n">
        <v>2554</v>
      </c>
      <c r="S101" s="77" t="n">
        <v>2</v>
      </c>
      <c r="T101" s="39" t="n"/>
    </row>
    <row r="102" ht="62" customHeight="1">
      <c r="A102" s="12">
        <f>_xlfn.IMAGE("https://m.media-amazon.com/images/I/81UtPaYWlbL.jpg")</f>
        <v/>
      </c>
      <c r="B102" s="39" t="inlineStr">
        <is>
          <t>B0BG1Z32KQ</t>
        </is>
      </c>
      <c r="C102" s="39" t="inlineStr">
        <is>
          <t>SATIN-SEA-TEAL-FULL</t>
        </is>
      </c>
      <c r="D102" s="39" t="inlineStr">
        <is>
          <t>DECOLURE Satin Bed Sheets - 4 Piece Luxury Silky Full Size Bedding Set - Softer Than Silk, Wrinkle-Free with 15” Deep Pocket Fitted Sheet, Perfect for Hair &amp; Skin, Gifts for Women (Sea Teal)</t>
        </is>
      </c>
      <c r="E102" s="39" t="inlineStr">
        <is>
          <t>Full</t>
        </is>
      </c>
      <c r="F102" s="39" t="inlineStr">
        <is>
          <t>Sea Teal</t>
        </is>
      </c>
      <c r="G102" s="73" t="n">
        <v>44.99</v>
      </c>
      <c r="H102" s="39" t="inlineStr">
        <is>
          <t>catalog price (CAD), 2026-10-14</t>
        </is>
      </c>
      <c r="I102" s="74" t="n">
        <v>44.99</v>
      </c>
      <c r="J102" s="75" t="inlineStr">
        <is>
          <t>2026-03-30</t>
        </is>
      </c>
      <c r="K102" s="40" t="n">
        <v>19.93</v>
      </c>
      <c r="L102" s="76" t="n">
        <v>0.4429873305178929</v>
      </c>
      <c r="M102" s="77" t="n">
        <v>0</v>
      </c>
      <c r="N102" s="39" t="inlineStr">
        <is>
          <t>Active</t>
        </is>
      </c>
      <c r="O102" s="39" t="n"/>
      <c r="P102" s="78" t="n">
        <v>4.3</v>
      </c>
      <c r="Q102" s="77" t="n">
        <v>20283</v>
      </c>
      <c r="R102" s="77" t="n">
        <v>2554</v>
      </c>
      <c r="S102" s="77" t="n">
        <v>3</v>
      </c>
      <c r="T102" s="39" t="n"/>
    </row>
    <row r="103" ht="62" customHeight="1">
      <c r="A103" s="12">
        <f>_xlfn.IMAGE("https://m.media-amazon.com/images/I/812d7h4NK3L.jpg")</f>
        <v/>
      </c>
      <c r="B103" s="39" t="inlineStr">
        <is>
          <t>B0BG23H2QY</t>
        </is>
      </c>
      <c r="C103" s="39" t="inlineStr">
        <is>
          <t>SATIN-STONEGREY-FULL</t>
        </is>
      </c>
      <c r="D103" s="39" t="inlineStr">
        <is>
          <t>DECOLURE Satin Bed Sheets - 4 Piece Luxury Silky Full Size Bedding Set - Softer Than Silk, Wrinkle-Free with 15” Deep Pocket Fitted Sheet, Perfect for Hair &amp; Skin, Gifts for Women (Stone Grey)</t>
        </is>
      </c>
      <c r="E103" s="39" t="inlineStr">
        <is>
          <t>Full</t>
        </is>
      </c>
      <c r="F103" s="39" t="inlineStr">
        <is>
          <t>Stone Grey</t>
        </is>
      </c>
      <c r="G103" s="73" t="n">
        <v>44.99</v>
      </c>
      <c r="H103" s="39" t="inlineStr">
        <is>
          <t>catalog price (CAD), 2026-10-14</t>
        </is>
      </c>
      <c r="I103" s="74" t="n">
        <v>44.99</v>
      </c>
      <c r="J103" s="75" t="inlineStr">
        <is>
          <t>2026-03-30</t>
        </is>
      </c>
      <c r="K103" s="40" t="n">
        <v>20.09</v>
      </c>
      <c r="L103" s="76" t="n">
        <v>0.4465436763725272</v>
      </c>
      <c r="M103" s="77" t="n">
        <v>0</v>
      </c>
      <c r="N103" s="39" t="inlineStr">
        <is>
          <t>Active</t>
        </is>
      </c>
      <c r="O103" s="39" t="n"/>
      <c r="P103" s="78" t="n">
        <v>4.3</v>
      </c>
      <c r="Q103" s="77" t="n">
        <v>20283</v>
      </c>
      <c r="R103" s="77" t="n">
        <v>2554</v>
      </c>
      <c r="S103" s="77" t="n">
        <v>2</v>
      </c>
      <c r="T103" s="39" t="n"/>
    </row>
    <row r="104" ht="62" customHeight="1">
      <c r="A104" s="12">
        <f>_xlfn.IMAGE("https://m.media-amazon.com/images/I/81HKWhCknYL.jpg")</f>
        <v/>
      </c>
      <c r="B104" s="39" t="inlineStr">
        <is>
          <t>B09G6HNZ3C</t>
        </is>
      </c>
      <c r="C104" s="39" t="inlineStr">
        <is>
          <t>SATIN-STRIPE-FULL-PINK</t>
        </is>
      </c>
      <c r="D104" s="39" t="inlineStr">
        <is>
          <t>DECOLURE Satin Bed Sheets - 4 Piece Luxury Silky Full Size Bedding Set - Softer Than Silk, Wrinkle-Free with 15” Deep Pocket Fitted Sheet, Perfect for Hair &amp; Skin, Gifts for Women (Striped Pink)</t>
        </is>
      </c>
      <c r="E104" s="39" t="inlineStr">
        <is>
          <t>Full</t>
        </is>
      </c>
      <c r="F104" s="39" t="inlineStr">
        <is>
          <t>Stripe Pink-01</t>
        </is>
      </c>
      <c r="G104" s="40" t="n"/>
      <c r="H104" s="39" t="n"/>
      <c r="I104" s="40" t="n"/>
      <c r="J104" s="39" t="n"/>
      <c r="K104" s="40" t="n"/>
      <c r="L104" s="76" t="n"/>
      <c r="M104" s="77" t="n"/>
      <c r="N104" s="39" t="inlineStr">
        <is>
          <t>Inactive</t>
        </is>
      </c>
      <c r="O104" s="39" t="n"/>
      <c r="P104" s="78" t="n"/>
      <c r="Q104" s="77" t="n"/>
      <c r="R104" s="77" t="n"/>
      <c r="S104" s="77" t="n"/>
      <c r="T104" s="39" t="n"/>
    </row>
    <row r="105" ht="62" customHeight="1">
      <c r="A105" s="12">
        <f>_xlfn.IMAGE("https://m.media-amazon.com/images/I/81Bv43jZjZL.jpg")</f>
        <v/>
      </c>
      <c r="B105" s="39" t="inlineStr">
        <is>
          <t>B09G6KMXVX</t>
        </is>
      </c>
      <c r="C105" s="39" t="inlineStr">
        <is>
          <t>SATIN-STRIPE-FULL-BLACK</t>
        </is>
      </c>
      <c r="D105" s="39" t="inlineStr">
        <is>
          <t>DECOLURE Satin Bed Sheets - 4 Piece Luxury Silky Full Size Bedding Set - Softer Than Silk, Wrinkle-Free with 15” Deep Pocket Fitted Sheet, Perfect for Hair &amp; Skin, Gifts for Women (Striped Black)</t>
        </is>
      </c>
      <c r="E105" s="39" t="inlineStr">
        <is>
          <t>Full</t>
        </is>
      </c>
      <c r="F105" s="39" t="inlineStr">
        <is>
          <t>Striped Black</t>
        </is>
      </c>
      <c r="G105" s="40" t="n"/>
      <c r="H105" s="39" t="n"/>
      <c r="I105" s="74" t="n">
        <v>44.99</v>
      </c>
      <c r="J105" s="75" t="inlineStr">
        <is>
          <t>2026-03-30</t>
        </is>
      </c>
      <c r="K105" s="40" t="n">
        <v>19.15</v>
      </c>
      <c r="L105" s="76" t="n">
        <v>0.4256501444765504</v>
      </c>
      <c r="M105" s="77" t="n">
        <v>0</v>
      </c>
      <c r="N105" s="39" t="inlineStr">
        <is>
          <t>Inactive</t>
        </is>
      </c>
      <c r="O105" s="39" t="n"/>
      <c r="P105" s="78" t="n"/>
      <c r="Q105" s="77" t="n"/>
      <c r="R105" s="77" t="n"/>
      <c r="S105" s="77" t="n"/>
      <c r="T105" s="39" t="n"/>
    </row>
    <row r="106" ht="62" customHeight="1">
      <c r="A106" s="12">
        <f>_xlfn.IMAGE("https://m.media-amazon.com/images/I/81HcDE0HThL.jpg")</f>
        <v/>
      </c>
      <c r="B106" s="39" t="inlineStr">
        <is>
          <t>B09G6M7WJ2</t>
        </is>
      </c>
      <c r="C106" s="39" t="inlineStr">
        <is>
          <t>SATIN-STRIPE-FULL-BLUE</t>
        </is>
      </c>
      <c r="D106" s="39" t="inlineStr">
        <is>
          <t>DECOLURE Satin Bed Sheets - 4 Piece Luxury Silky Full Size Bedding Set - Softer Than Silk, Wrinkle-Free with 15” Deep Pocket Fitted Sheet, Perfect for Hair &amp; Skin, Gifts for Women (Striped Blue)</t>
        </is>
      </c>
      <c r="E106" s="39" t="inlineStr">
        <is>
          <t>Full</t>
        </is>
      </c>
      <c r="F106" s="39" t="inlineStr">
        <is>
          <t>Striped Blue</t>
        </is>
      </c>
      <c r="G106" s="73" t="n">
        <v>44.99</v>
      </c>
      <c r="H106" s="39" t="inlineStr">
        <is>
          <t>catalog price (CAD), 2026-10-14</t>
        </is>
      </c>
      <c r="I106" s="74" t="n">
        <v>32.39</v>
      </c>
      <c r="J106" s="75" t="inlineStr">
        <is>
          <t>2026-03-30</t>
        </is>
      </c>
      <c r="K106" s="40" t="n">
        <v>9.15</v>
      </c>
      <c r="L106" s="76" t="n">
        <v>0.2824945970978697</v>
      </c>
      <c r="M106" s="77" t="n">
        <v>0</v>
      </c>
      <c r="N106" s="39" t="inlineStr">
        <is>
          <t>Active</t>
        </is>
      </c>
      <c r="O106" s="39" t="n"/>
      <c r="P106" s="78" t="n">
        <v>4.3</v>
      </c>
      <c r="Q106" s="77" t="n">
        <v>20283</v>
      </c>
      <c r="R106" s="77" t="n">
        <v>2554</v>
      </c>
      <c r="S106" s="77" t="n">
        <v>3</v>
      </c>
      <c r="T106" s="39" t="n"/>
    </row>
    <row r="107" ht="62" customHeight="1">
      <c r="A107" s="12">
        <f>_xlfn.IMAGE("https://m.media-amazon.com/images/I/81oeTNry2PL.jpg")</f>
        <v/>
      </c>
      <c r="B107" s="39" t="inlineStr">
        <is>
          <t>B09G6J1HVY</t>
        </is>
      </c>
      <c r="C107" s="39" t="inlineStr">
        <is>
          <t>SATIN-STRIPE-FULL-GRAY</t>
        </is>
      </c>
      <c r="D107" s="39" t="inlineStr">
        <is>
          <t>DECOLURE Satin Bed Sheets - 4 Piece Luxury Silky Full Size Bedding Set - Softer Than Silk, Wrinkle-Free with 15” Deep Pocket Fitted Sheet, Perfect for Hair &amp; Skin, Gifts for Women (Striped Grey)</t>
        </is>
      </c>
      <c r="E107" s="39" t="inlineStr">
        <is>
          <t>Full</t>
        </is>
      </c>
      <c r="F107" s="39" t="inlineStr">
        <is>
          <t>Striped Grey</t>
        </is>
      </c>
      <c r="G107" s="73" t="n">
        <v>44.99</v>
      </c>
      <c r="H107" s="39" t="inlineStr">
        <is>
          <t>catalog price (CAD), 2026-10-14</t>
        </is>
      </c>
      <c r="I107" s="74" t="n">
        <v>44.99</v>
      </c>
      <c r="J107" s="75" t="inlineStr">
        <is>
          <t>2026-03-30</t>
        </is>
      </c>
      <c r="K107" s="40" t="n">
        <v>19.15</v>
      </c>
      <c r="L107" s="76" t="n">
        <v>0.4256501444765504</v>
      </c>
      <c r="M107" s="77" t="n">
        <v>0</v>
      </c>
      <c r="N107" s="39" t="inlineStr">
        <is>
          <t>Active</t>
        </is>
      </c>
      <c r="O107" s="39" t="n"/>
      <c r="P107" s="78" t="n">
        <v>4.3</v>
      </c>
      <c r="Q107" s="77" t="n">
        <v>20283</v>
      </c>
      <c r="R107" s="77" t="n">
        <v>2554</v>
      </c>
      <c r="S107" s="77" t="n">
        <v>7</v>
      </c>
      <c r="T107" s="39" t="n"/>
    </row>
    <row r="108" ht="62" customHeight="1">
      <c r="A108" s="12">
        <f>_xlfn.IMAGE("https://m.media-amazon.com/images/I/81HKWhCknYL.jpg")</f>
        <v/>
      </c>
      <c r="B108" s="39" t="inlineStr">
        <is>
          <t>B0DBQZWWHB</t>
        </is>
      </c>
      <c r="C108" s="39" t="inlineStr">
        <is>
          <t>SATIN-4PCS-FULL-STRIPE-PINK</t>
        </is>
      </c>
      <c r="D108" s="39" t="inlineStr">
        <is>
          <t>DECOLURE Satin Bed Sheets - 4 Piece Luxury Silky Full Size Bedding Set - Softer Than Silk, Wrinkle-Free with 15” Deep Pocket Fitted Sheet, Perfect for Hair &amp; Skin, Gifts for Women (Striped Pink)</t>
        </is>
      </c>
      <c r="E108" s="39" t="inlineStr">
        <is>
          <t>Full</t>
        </is>
      </c>
      <c r="F108" s="39" t="inlineStr">
        <is>
          <t>Striped Pink</t>
        </is>
      </c>
      <c r="G108" s="40" t="n"/>
      <c r="H108" s="39" t="n"/>
      <c r="I108" s="74" t="n">
        <v>44.99</v>
      </c>
      <c r="J108" s="75" t="inlineStr">
        <is>
          <t>2026-03-30</t>
        </is>
      </c>
      <c r="K108" s="40" t="n">
        <v>19.14</v>
      </c>
      <c r="L108" s="76" t="n">
        <v>0.4254278728606358</v>
      </c>
      <c r="M108" s="77" t="n">
        <v>0</v>
      </c>
      <c r="N108" s="39" t="inlineStr">
        <is>
          <t>Active</t>
        </is>
      </c>
      <c r="O108" s="39" t="n"/>
      <c r="P108" s="78" t="n"/>
      <c r="Q108" s="77" t="n"/>
      <c r="R108" s="77" t="n"/>
      <c r="S108" s="77" t="n"/>
      <c r="T108" s="39" t="n"/>
    </row>
    <row r="109" ht="62" customHeight="1">
      <c r="A109" s="12">
        <f>_xlfn.IMAGE("https://m.media-amazon.com/images/I/81pznhbbzLL.jpg")</f>
        <v/>
      </c>
      <c r="B109" s="39" t="inlineStr">
        <is>
          <t>B0BZPV4LYC</t>
        </is>
      </c>
      <c r="C109" s="39" t="inlineStr">
        <is>
          <t>SATIN-TAUPE-FULL</t>
        </is>
      </c>
      <c r="D109" s="39" t="inlineStr">
        <is>
          <t>DECOLURE Satin Bed Sheets - 4 Piece Luxury Silky Full Size Bedding Set - Softer Than Silk, Wrinkle-Free with 15” Deep Pocket Fitted Sheet, Perfect for Hair &amp; Skin, Gifts for Women (Taupe)</t>
        </is>
      </c>
      <c r="E109" s="39" t="inlineStr">
        <is>
          <t>Full</t>
        </is>
      </c>
      <c r="F109" s="39" t="inlineStr">
        <is>
          <t>Taupe</t>
        </is>
      </c>
      <c r="G109" s="73" t="n">
        <v>55.27</v>
      </c>
      <c r="H109" s="39" t="inlineStr">
        <is>
          <t>catalog price (CAD), 2026-10-14</t>
        </is>
      </c>
      <c r="I109" s="74" t="n">
        <v>32.39</v>
      </c>
      <c r="J109" s="75" t="inlineStr">
        <is>
          <t>2026-03-30</t>
        </is>
      </c>
      <c r="K109" s="40" t="n">
        <v>10.09</v>
      </c>
      <c r="L109" s="76" t="n">
        <v>0.3115158999691263</v>
      </c>
      <c r="M109" s="77" t="n">
        <v>0</v>
      </c>
      <c r="N109" s="39" t="inlineStr">
        <is>
          <t>Active</t>
        </is>
      </c>
      <c r="O109" s="39" t="n"/>
      <c r="P109" s="78" t="n">
        <v>4.3</v>
      </c>
      <c r="Q109" s="77" t="n">
        <v>20283</v>
      </c>
      <c r="R109" s="77" t="n">
        <v>2554</v>
      </c>
      <c r="S109" s="77" t="n">
        <v>3</v>
      </c>
      <c r="T109" s="39" t="n"/>
    </row>
    <row r="110" ht="62" customHeight="1">
      <c r="A110" s="12">
        <f>_xlfn.IMAGE("https://m.media-amazon.com/images/I/81lsutcxZ4L.jpg")</f>
        <v/>
      </c>
      <c r="B110" s="39" t="inlineStr">
        <is>
          <t>B0BZPXJH4Q</t>
        </is>
      </c>
      <c r="C110" s="39" t="inlineStr">
        <is>
          <t>SATIN-CHAMPAGNE-KING</t>
        </is>
      </c>
      <c r="D110" s="39" t="inlineStr">
        <is>
          <t>DECOLURE Satin Bed Sheets - 4 Piece Luxury Silky King Size Bedding Set - Softer Than Silk, Wrinkle-Free with 15” Deep Pocket Fitted Sheet, Perfect for Hair &amp; Skin, Gifts for Women (Champagne)</t>
        </is>
      </c>
      <c r="E110" s="39" t="inlineStr">
        <is>
          <t>King</t>
        </is>
      </c>
      <c r="F110" s="39" t="inlineStr">
        <is>
          <t>Champagne-01</t>
        </is>
      </c>
      <c r="G110" s="73" t="n">
        <v>90.59999999999999</v>
      </c>
      <c r="H110" s="39" t="inlineStr">
        <is>
          <t>catalog price (CAD), 2026-10-14</t>
        </is>
      </c>
      <c r="I110" s="74" t="n">
        <v>52.99</v>
      </c>
      <c r="J110" s="75" t="inlineStr">
        <is>
          <t>2026-03-30</t>
        </is>
      </c>
      <c r="K110" s="40" t="n">
        <v>23.3</v>
      </c>
      <c r="L110" s="76" t="n">
        <v>0.4397056048311001</v>
      </c>
      <c r="M110" s="77" t="n"/>
      <c r="N110" s="39" t="inlineStr">
        <is>
          <t>Inactive</t>
        </is>
      </c>
      <c r="O110" s="39" t="n"/>
      <c r="P110" s="78" t="n">
        <v>4.3</v>
      </c>
      <c r="Q110" s="77" t="n">
        <v>20283</v>
      </c>
      <c r="R110" s="77" t="n">
        <v>2554</v>
      </c>
      <c r="S110" s="77" t="n">
        <v>0.5483</v>
      </c>
      <c r="T110" s="39" t="n"/>
    </row>
    <row r="111" ht="62" customHeight="1">
      <c r="A111" s="12">
        <f>_xlfn.IMAGE("https://m.media-amazon.com/images/I/81NOa451cTL.jpg")</f>
        <v/>
      </c>
      <c r="B111" s="39" t="inlineStr">
        <is>
          <t>B08KRYTRHY</t>
        </is>
      </c>
      <c r="C111" s="39" t="inlineStr">
        <is>
          <t>SATIN-GOLD-KING</t>
        </is>
      </c>
      <c r="D111" s="39" t="inlineStr">
        <is>
          <t>DECOLURE Satin Bed Sheets - 4 Piece Luxury Silky King Size Bedding Set - Softer Than Silk, Wrinkle-Free with 15” Deep Pocket Fitted Sheet, Perfect for Hair &amp; Skin, Gifts for Women (Gold)</t>
        </is>
      </c>
      <c r="E111" s="39" t="inlineStr">
        <is>
          <t>King</t>
        </is>
      </c>
      <c r="F111" s="39" t="inlineStr">
        <is>
          <t>Gold</t>
        </is>
      </c>
      <c r="G111" s="40" t="n"/>
      <c r="H111" s="39" t="n"/>
      <c r="I111" s="74" t="n">
        <v>52.99</v>
      </c>
      <c r="J111" s="75" t="inlineStr">
        <is>
          <t>2026-03-30</t>
        </is>
      </c>
      <c r="K111" s="40" t="n">
        <v>23.71</v>
      </c>
      <c r="L111" s="76" t="n">
        <v>0.4474429137573127</v>
      </c>
      <c r="M111" s="77" t="n"/>
      <c r="N111" s="39" t="inlineStr">
        <is>
          <t>Inactive</t>
        </is>
      </c>
      <c r="O111" s="39" t="n"/>
      <c r="P111" s="78" t="n"/>
      <c r="Q111" s="77" t="n"/>
      <c r="R111" s="77" t="n"/>
      <c r="S111" s="77" t="n"/>
      <c r="T111" s="39" t="n"/>
    </row>
    <row r="112" ht="62" customHeight="1">
      <c r="A112" s="12">
        <f>_xlfn.IMAGE("https://m.media-amazon.com/images/I/81RxsA0xn7L.jpg")</f>
        <v/>
      </c>
      <c r="B112" s="39" t="inlineStr">
        <is>
          <t>B0839MBPVF</t>
        </is>
      </c>
      <c r="C112" s="39" t="inlineStr">
        <is>
          <t>SATIN-KING-GREY</t>
        </is>
      </c>
      <c r="D112" s="39" t="inlineStr">
        <is>
          <t>DECOLURE Satin Bed Sheets - 4 Piece Luxury Silky King Size Bedding Set - Softer Than Silk, Wrinkle-Free with 15” Deep Pocket Fitted Sheet, Perfect for Hair &amp; Skin, Gifts for Women (Grey)</t>
        </is>
      </c>
      <c r="E112" s="39" t="inlineStr">
        <is>
          <t>King</t>
        </is>
      </c>
      <c r="F112" s="39" t="inlineStr">
        <is>
          <t>Grey</t>
        </is>
      </c>
      <c r="G112" s="40" t="n"/>
      <c r="H112" s="39" t="n"/>
      <c r="I112" s="40" t="n"/>
      <c r="J112" s="39" t="n"/>
      <c r="K112" s="40" t="n"/>
      <c r="L112" s="76" t="n"/>
      <c r="M112" s="77" t="n"/>
      <c r="N112" s="39" t="inlineStr">
        <is>
          <t>Inactive</t>
        </is>
      </c>
      <c r="O112" s="39" t="n"/>
      <c r="P112" s="78" t="n"/>
      <c r="Q112" s="77" t="n"/>
      <c r="R112" s="77" t="n"/>
      <c r="S112" s="77" t="n"/>
      <c r="T112" s="39" t="n"/>
    </row>
    <row r="113" ht="62" customHeight="1">
      <c r="A113" s="12">
        <f>_xlfn.IMAGE("https://m.media-amazon.com/images/I/81zvGkE8vhL.jpg")</f>
        <v/>
      </c>
      <c r="B113" s="39" t="inlineStr">
        <is>
          <t>B0839LK8DB</t>
        </is>
      </c>
      <c r="C113" s="39" t="inlineStr">
        <is>
          <t>SATIN-KING-PINK</t>
        </is>
      </c>
      <c r="D113" s="39" t="inlineStr">
        <is>
          <t>DECOLURE Satin Bed Sheets - 4 Piece Luxury Silky King Size Bedding Set - Softer Than Silk, Wrinkle-Free with 15” Deep Pocket Fitted Sheet, Perfect for Hair &amp; Skin, Gifts for Women (Pink)</t>
        </is>
      </c>
      <c r="E113" s="39" t="inlineStr">
        <is>
          <t>King</t>
        </is>
      </c>
      <c r="F113" s="39" t="inlineStr">
        <is>
          <t>Pink</t>
        </is>
      </c>
      <c r="G113" s="73" t="n">
        <v>52.99</v>
      </c>
      <c r="H113" s="39" t="inlineStr">
        <is>
          <t>catalog price (CAD), 2026-10-14</t>
        </is>
      </c>
      <c r="I113" s="74" t="n">
        <v>52.99</v>
      </c>
      <c r="J113" s="75" t="inlineStr">
        <is>
          <t>2026-03-30</t>
        </is>
      </c>
      <c r="K113" s="40" t="n">
        <v>23.8</v>
      </c>
      <c r="L113" s="76" t="n">
        <v>0.4491413474240423</v>
      </c>
      <c r="M113" s="77" t="n">
        <v>0</v>
      </c>
      <c r="N113" s="39" t="inlineStr">
        <is>
          <t>Active</t>
        </is>
      </c>
      <c r="O113" s="39" t="n"/>
      <c r="P113" s="78" t="n">
        <v>4.3</v>
      </c>
      <c r="Q113" s="77" t="n">
        <v>20283</v>
      </c>
      <c r="R113" s="77" t="n">
        <v>2536</v>
      </c>
      <c r="S113" s="77" t="n">
        <v>65</v>
      </c>
      <c r="T113" s="39" t="n"/>
    </row>
    <row r="114" ht="62" customHeight="1">
      <c r="A114" s="12">
        <f>_xlfn.IMAGE("https://m.media-amazon.com/images/I/81XsKf7Tk0L.jpg")</f>
        <v/>
      </c>
      <c r="B114" s="39" t="inlineStr">
        <is>
          <t>B0DBQVGKTV</t>
        </is>
      </c>
      <c r="C114" s="39" t="inlineStr">
        <is>
          <t>SATIN-4PCS-KING-RED</t>
        </is>
      </c>
      <c r="D114" s="39" t="inlineStr">
        <is>
          <t>DECOLURE Satin Sheets King Size Set 4 Pcs - Silky &amp; Luxuriously Soft Satin Bed Sheets w/15-inch Deep Pocket - Double Stitching, Wrinkle Free (Red-01)</t>
        </is>
      </c>
      <c r="E114" s="39" t="inlineStr">
        <is>
          <t>King</t>
        </is>
      </c>
      <c r="F114" s="39" t="inlineStr">
        <is>
          <t>Red</t>
        </is>
      </c>
      <c r="G114" s="40" t="n"/>
      <c r="H114" s="39" t="n"/>
      <c r="I114" s="74" t="n">
        <v>52.99</v>
      </c>
      <c r="J114" s="75" t="inlineStr">
        <is>
          <t>2026-03-30</t>
        </is>
      </c>
      <c r="K114" s="40" t="n">
        <v>24.41</v>
      </c>
      <c r="L114" s="76" t="n">
        <v>0.4606529533874315</v>
      </c>
      <c r="M114" s="77" t="n">
        <v>0</v>
      </c>
      <c r="N114" s="39" t="inlineStr">
        <is>
          <t>Active</t>
        </is>
      </c>
      <c r="O114" s="39" t="n"/>
      <c r="P114" s="78" t="n"/>
      <c r="Q114" s="77" t="n"/>
      <c r="R114" s="77" t="n"/>
      <c r="S114" s="77" t="n"/>
      <c r="T114" s="39" t="n"/>
    </row>
    <row r="115" ht="62" customHeight="1">
      <c r="A115" s="12">
        <f>_xlfn.IMAGE("https://m.media-amazon.com/images/I/81XsKf7Tk0L.jpg")</f>
        <v/>
      </c>
      <c r="B115" s="39" t="inlineStr">
        <is>
          <t>B08KRHXH6K</t>
        </is>
      </c>
      <c r="C115" s="39" t="inlineStr">
        <is>
          <t>SATIN-RED-KING</t>
        </is>
      </c>
      <c r="D115" s="39" t="inlineStr">
        <is>
          <t>DECOLURE Satin Bed Sheets - 4 Piece Luxury Silky King Size Bedding Set - Softer Than Silk, Wrinkle-Free with 15” Deep Pocket Fitted Sheet, Perfect for Hair &amp; Skin, Gifts for Women (Red)</t>
        </is>
      </c>
      <c r="E115" s="39" t="inlineStr">
        <is>
          <t>King</t>
        </is>
      </c>
      <c r="F115" s="39" t="inlineStr">
        <is>
          <t>Red-01</t>
        </is>
      </c>
      <c r="G115" s="40" t="n"/>
      <c r="H115" s="39" t="n"/>
      <c r="I115" s="40" t="n"/>
      <c r="J115" s="39" t="n"/>
      <c r="K115" s="40" t="n"/>
      <c r="L115" s="76" t="n"/>
      <c r="M115" s="77" t="n"/>
      <c r="N115" s="39" t="inlineStr">
        <is>
          <t>Inactive</t>
        </is>
      </c>
      <c r="O115" s="39" t="n"/>
      <c r="P115" s="78" t="n"/>
      <c r="Q115" s="77" t="n"/>
      <c r="R115" s="77" t="n"/>
      <c r="S115" s="77" t="n"/>
      <c r="T115" s="39" t="n"/>
    </row>
    <row r="116" ht="62" customHeight="1">
      <c r="A116" s="12">
        <f>_xlfn.IMAGE("https://m.media-amazon.com/images/I/81Ktu4N6y2L.jpg")</f>
        <v/>
      </c>
      <c r="B116" s="39" t="inlineStr">
        <is>
          <t>B0DBR1DWPP</t>
        </is>
      </c>
      <c r="C116" s="39" t="inlineStr">
        <is>
          <t>SATIN-4PCS-KING-ROSEWOOD</t>
        </is>
      </c>
      <c r="D116" s="39" t="inlineStr">
        <is>
          <t>DECOLURE Satin Sheets King Size Set 4 Pcs - Silky &amp; Luxuriously Soft Satin Bed Sheets w/ 15inch Deep Pocket- Double Stitching, Wrinkle Free (Rosewood)</t>
        </is>
      </c>
      <c r="E116" s="39" t="inlineStr">
        <is>
          <t>King</t>
        </is>
      </c>
      <c r="F116" s="39" t="inlineStr">
        <is>
          <t>Rosewood</t>
        </is>
      </c>
      <c r="G116" s="40" t="n"/>
      <c r="H116" s="39" t="n"/>
      <c r="I116" s="74" t="n">
        <v>49.99</v>
      </c>
      <c r="J116" s="75" t="inlineStr">
        <is>
          <t>2026-03-30</t>
        </is>
      </c>
      <c r="K116" s="40" t="n">
        <v>20.41</v>
      </c>
      <c r="L116" s="76" t="n">
        <v>0.4082816563312663</v>
      </c>
      <c r="M116" s="77" t="n">
        <v>0</v>
      </c>
      <c r="N116" s="39" t="inlineStr">
        <is>
          <t>Active</t>
        </is>
      </c>
      <c r="O116" s="39" t="n"/>
      <c r="P116" s="78" t="n"/>
      <c r="Q116" s="77" t="n"/>
      <c r="R116" s="77" t="n"/>
      <c r="S116" s="77" t="n"/>
      <c r="T116" s="39" t="n"/>
    </row>
    <row r="117" ht="62" customHeight="1">
      <c r="A117" s="12">
        <f>_xlfn.IMAGE("https://m.media-amazon.com/images/I/81Ktu4N6y2L.jpg")</f>
        <v/>
      </c>
      <c r="B117" s="39" t="inlineStr">
        <is>
          <t>B0BG21PLYK</t>
        </is>
      </c>
      <c r="C117" s="39" t="inlineStr">
        <is>
          <t>SATIN-ROSEWOOD-KING</t>
        </is>
      </c>
      <c r="D117" s="39" t="inlineStr">
        <is>
          <t>DECOLURE Satin Bed Sheets - 4 Piece Luxury Silky King Size Bedding Set - Softer Than Silk, Wrinkle-Free with 15” Deep Pocket Fitted Sheet, Perfect for Hair &amp; Skin, Gifts for Women (Rosewood)</t>
        </is>
      </c>
      <c r="E117" s="39" t="inlineStr">
        <is>
          <t>King</t>
        </is>
      </c>
      <c r="F117" s="39" t="inlineStr">
        <is>
          <t>Rosewood</t>
        </is>
      </c>
      <c r="G117" s="40" t="n"/>
      <c r="H117" s="39" t="n"/>
      <c r="I117" s="40" t="n"/>
      <c r="J117" s="39" t="n"/>
      <c r="K117" s="40" t="n"/>
      <c r="L117" s="76" t="n"/>
      <c r="M117" s="77" t="n"/>
      <c r="N117" s="39" t="inlineStr">
        <is>
          <t>Inactive</t>
        </is>
      </c>
      <c r="O117" s="39" t="n"/>
      <c r="P117" s="78" t="n"/>
      <c r="Q117" s="77" t="n"/>
      <c r="R117" s="77" t="n"/>
      <c r="S117" s="77" t="n"/>
      <c r="T117" s="39" t="n"/>
    </row>
    <row r="118" ht="62" customHeight="1">
      <c r="A118" s="12">
        <f>_xlfn.IMAGE("https://m.media-amazon.com/images/I/81UtPaYWlbL.jpg")</f>
        <v/>
      </c>
      <c r="B118" s="39" t="inlineStr">
        <is>
          <t>B0DBQZ1MMF</t>
        </is>
      </c>
      <c r="C118" s="39" t="inlineStr">
        <is>
          <t>SATIN-4PCS-KING-SEA-TEAL</t>
        </is>
      </c>
      <c r="D118" s="39" t="inlineStr">
        <is>
          <t>DECOLURE Satin Sheets King Size Set 4 Pcs - Silky &amp; Luxuriously Soft Satin Bed Sheets w/ 15inch Deep Pocket - Double Stitching, Wrinkle Free(Sea Teal-01)</t>
        </is>
      </c>
      <c r="E118" s="39" t="inlineStr">
        <is>
          <t>King</t>
        </is>
      </c>
      <c r="F118" s="39" t="inlineStr">
        <is>
          <t>Sea Teal</t>
        </is>
      </c>
      <c r="G118" s="40" t="n"/>
      <c r="H118" s="39" t="n"/>
      <c r="I118" s="74" t="n">
        <v>52.99</v>
      </c>
      <c r="J118" s="75" t="inlineStr">
        <is>
          <t>2026-03-30</t>
        </is>
      </c>
      <c r="K118" s="40" t="n">
        <v>23.47</v>
      </c>
      <c r="L118" s="76" t="n">
        <v>0.4429137573127005</v>
      </c>
      <c r="M118" s="77" t="n">
        <v>0</v>
      </c>
      <c r="N118" s="39" t="inlineStr">
        <is>
          <t>Active</t>
        </is>
      </c>
      <c r="O118" s="39" t="n"/>
      <c r="P118" s="78" t="n"/>
      <c r="Q118" s="77" t="n"/>
      <c r="R118" s="77" t="n"/>
      <c r="S118" s="77" t="n"/>
      <c r="T118" s="39" t="n"/>
    </row>
    <row r="119" ht="62" customHeight="1">
      <c r="A119" s="12">
        <f>_xlfn.IMAGE("https://m.media-amazon.com/images/I/81UtPaYWlbL.jpg")</f>
        <v/>
      </c>
      <c r="B119" s="39" t="inlineStr">
        <is>
          <t>B0BG22BZJJ</t>
        </is>
      </c>
      <c r="C119" s="39" t="inlineStr">
        <is>
          <t>SATIN-SEA-TEAL-KING</t>
        </is>
      </c>
      <c r="D119" s="39" t="inlineStr">
        <is>
          <t>DECOLURE Satin Bed Sheets - 4 Piece Luxury Silky King Size Bedding Set - Softer Than Silk, Wrinkle-Free with 15” Deep Pocket Fitted Sheet, Perfect for Hair &amp; Skin, Gifts for Women (Sea Teal)</t>
        </is>
      </c>
      <c r="E119" s="39" t="inlineStr">
        <is>
          <t>King</t>
        </is>
      </c>
      <c r="F119" s="39" t="inlineStr">
        <is>
          <t>Sea Teal-01</t>
        </is>
      </c>
      <c r="G119" s="40" t="n"/>
      <c r="H119" s="39" t="n"/>
      <c r="I119" s="74" t="n">
        <v>63.23</v>
      </c>
      <c r="J119" s="75" t="inlineStr">
        <is>
          <t>2026-03-30</t>
        </is>
      </c>
      <c r="K119" s="40" t="n">
        <v>25.1785</v>
      </c>
      <c r="L119" s="76" t="n">
        <v>0.3982049659971533</v>
      </c>
      <c r="M119" s="77" t="n">
        <v>0</v>
      </c>
      <c r="N119" s="39" t="inlineStr">
        <is>
          <t>Inactive</t>
        </is>
      </c>
      <c r="O119" s="39" t="n"/>
      <c r="P119" s="78" t="n"/>
      <c r="Q119" s="77" t="n"/>
      <c r="R119" s="77" t="n"/>
      <c r="S119" s="77" t="n"/>
      <c r="T119" s="39" t="n"/>
    </row>
    <row r="120" ht="62" customHeight="1">
      <c r="A120" s="12">
        <f>_xlfn.IMAGE("https://m.media-amazon.com/images/I/812d7h4NK3L.jpg")</f>
        <v/>
      </c>
      <c r="B120" s="39" t="inlineStr">
        <is>
          <t>B0DBR1X2XQ</t>
        </is>
      </c>
      <c r="C120" s="39" t="inlineStr">
        <is>
          <t>SATIN-4PCS-KING-STONEGREY</t>
        </is>
      </c>
      <c r="D120" s="39" t="inlineStr">
        <is>
          <t>DECOLURE Satin Sheets King Size Set 4 Pcs - Silky &amp; Luxuriously Soft Satin Bed Sheets w/ 15inch Deep Pocket-Double Stitching, Wrinkle Free(Stone Grey-002)</t>
        </is>
      </c>
      <c r="E120" s="39" t="inlineStr">
        <is>
          <t>King</t>
        </is>
      </c>
      <c r="F120" s="39" t="inlineStr">
        <is>
          <t>Stone Grey</t>
        </is>
      </c>
      <c r="G120" s="40" t="n"/>
      <c r="H120" s="39" t="n"/>
      <c r="I120" s="74" t="n">
        <v>52.99</v>
      </c>
      <c r="J120" s="75" t="inlineStr">
        <is>
          <t>2026-03-30</t>
        </is>
      </c>
      <c r="K120" s="40" t="n">
        <v>23.41</v>
      </c>
      <c r="L120" s="76" t="n">
        <v>0.4417814682015475</v>
      </c>
      <c r="M120" s="77" t="n"/>
      <c r="N120" s="39" t="inlineStr">
        <is>
          <t>Active</t>
        </is>
      </c>
      <c r="O120" s="39" t="n"/>
      <c r="P120" s="78" t="n"/>
      <c r="Q120" s="77" t="n"/>
      <c r="R120" s="77" t="n"/>
      <c r="S120" s="77" t="n"/>
      <c r="T120" s="39" t="n"/>
    </row>
    <row r="121" ht="62" customHeight="1">
      <c r="A121" s="12">
        <f>_xlfn.IMAGE("https://m.media-amazon.com/images/I/812d7h4NK3L.jpg")</f>
        <v/>
      </c>
      <c r="B121" s="39" t="inlineStr">
        <is>
          <t>B0BG22BFN6</t>
        </is>
      </c>
      <c r="C121" s="39" t="inlineStr">
        <is>
          <t>SATIN-STONEGREY-KING</t>
        </is>
      </c>
      <c r="D121" s="39" t="inlineStr">
        <is>
          <t>DECOLURE Satin Bed Sheets - 4 Piece Luxury Silky King Size Bedding Set - Softer Than Silk, Wrinkle-Free with 15” Deep Pocket Fitted Sheet, Perfect for Hair &amp; Skin, Gifts for Women (Stone Grey)</t>
        </is>
      </c>
      <c r="E121" s="39" t="inlineStr">
        <is>
          <t>King</t>
        </is>
      </c>
      <c r="F121" s="39" t="inlineStr">
        <is>
          <t>Stone Grey</t>
        </is>
      </c>
      <c r="G121" s="40" t="n"/>
      <c r="H121" s="39" t="n"/>
      <c r="I121" s="74" t="n">
        <v>52.99</v>
      </c>
      <c r="J121" s="75" t="inlineStr">
        <is>
          <t>2026-03-30</t>
        </is>
      </c>
      <c r="K121" s="40" t="n">
        <v>23.63</v>
      </c>
      <c r="L121" s="76" t="n">
        <v>0.4459331949424418</v>
      </c>
      <c r="M121" s="77" t="n"/>
      <c r="N121" s="39" t="inlineStr">
        <is>
          <t>Inactive</t>
        </is>
      </c>
      <c r="O121" s="39" t="n"/>
      <c r="P121" s="78" t="n"/>
      <c r="Q121" s="77" t="n"/>
      <c r="R121" s="77" t="n"/>
      <c r="S121" s="77" t="n"/>
      <c r="T121" s="39" t="n"/>
    </row>
    <row r="122" ht="62" customHeight="1">
      <c r="A122" s="12">
        <f>_xlfn.IMAGE("https://m.media-amazon.com/images/I/81HcDE0HThL.jpg")</f>
        <v/>
      </c>
      <c r="B122" s="39" t="inlineStr">
        <is>
          <t>B09G6JGMY9</t>
        </is>
      </c>
      <c r="C122" s="39" t="inlineStr">
        <is>
          <t>SATIN-STRIPE-KING-BLUE</t>
        </is>
      </c>
      <c r="D122" s="39" t="inlineStr">
        <is>
          <t>DECOLURE Satin Bed Sheets - 4 Piece Luxury Silky King Size Bedding Set - Softer Than Silk, Wrinkle-Free with 15” Deep Pocket Fitted Sheet, Perfect for Hair &amp; Skin, Gifts for Women (Striped Blue)</t>
        </is>
      </c>
      <c r="E122" s="39" t="inlineStr">
        <is>
          <t>King</t>
        </is>
      </c>
      <c r="F122" s="39" t="inlineStr">
        <is>
          <t>Striped Blue</t>
        </is>
      </c>
      <c r="G122" s="40" t="n"/>
      <c r="H122" s="39" t="n"/>
      <c r="I122" s="74" t="n">
        <v>34.49</v>
      </c>
      <c r="J122" s="75" t="inlineStr">
        <is>
          <t>2026-03-22</t>
        </is>
      </c>
      <c r="K122" s="40" t="n">
        <v>7.289999999999999</v>
      </c>
      <c r="L122" s="76" t="n">
        <v>0.2113656132212235</v>
      </c>
      <c r="M122" s="77" t="n">
        <v>0</v>
      </c>
      <c r="N122" s="39" t="inlineStr">
        <is>
          <t>Active</t>
        </is>
      </c>
      <c r="O122" s="39" t="n"/>
      <c r="P122" s="78" t="n"/>
      <c r="Q122" s="77" t="n"/>
      <c r="R122" s="77" t="n"/>
      <c r="S122" s="77" t="n"/>
      <c r="T122" s="39" t="n"/>
    </row>
    <row r="123" ht="62" customHeight="1">
      <c r="A123" s="12">
        <f>_xlfn.IMAGE("https://m.media-amazon.com/images/I/81wiiAf6okL.jpg")</f>
        <v/>
      </c>
      <c r="B123" s="39" t="inlineStr">
        <is>
          <t>B09G6JWZCZ</t>
        </is>
      </c>
      <c r="C123" s="39" t="inlineStr">
        <is>
          <t>SATIN-STRIPE-KING-PURPLE</t>
        </is>
      </c>
      <c r="D123" s="39" t="inlineStr">
        <is>
          <t>DECOLURE Satin Bed Sheets - 4 Piece Luxury Silky King Size Bedding Set - Softer Than Silk, Wrinkle-Free with 15” Deep Pocket Fitted Sheet, Perfect for Hair &amp; Skin, Gifts for Women (Striped Purple)</t>
        </is>
      </c>
      <c r="E123" s="39" t="inlineStr">
        <is>
          <t>King</t>
        </is>
      </c>
      <c r="F123" s="39" t="inlineStr">
        <is>
          <t>Striped Purple</t>
        </is>
      </c>
      <c r="G123" s="40" t="n"/>
      <c r="H123" s="39" t="n"/>
      <c r="I123" s="74" t="n">
        <v>52.99</v>
      </c>
      <c r="J123" s="75" t="inlineStr">
        <is>
          <t>2026-03-30</t>
        </is>
      </c>
      <c r="K123" s="40" t="n">
        <v>23.26</v>
      </c>
      <c r="L123" s="76" t="n">
        <v>0.4389507454236648</v>
      </c>
      <c r="M123" s="77" t="n"/>
      <c r="N123" s="39" t="inlineStr">
        <is>
          <t>Inactive</t>
        </is>
      </c>
      <c r="O123" s="39" t="n"/>
      <c r="P123" s="78" t="n"/>
      <c r="Q123" s="77" t="n"/>
      <c r="R123" s="77" t="n"/>
      <c r="S123" s="77" t="n"/>
      <c r="T123" s="39" t="n"/>
    </row>
    <row r="124" ht="62" customHeight="1">
      <c r="A124" s="12">
        <f>_xlfn.IMAGE("https://m.media-amazon.com/images/I/81-wlwJoLcL.jpg")</f>
        <v/>
      </c>
      <c r="B124" s="39" t="inlineStr">
        <is>
          <t>B09G6JHW3F</t>
        </is>
      </c>
      <c r="C124" s="39" t="inlineStr">
        <is>
          <t>SATIN-STRIPE-KING-RED</t>
        </is>
      </c>
      <c r="D124" s="39" t="inlineStr">
        <is>
          <t>DECOLURE Satin Bed Sheets - 4 Piece Luxury Silky King Size Bedding Set - Softer Than Silk, Wrinkle-Free with 15” Deep Pocket Fitted Sheet, Perfect for Hair &amp; Skin, Gifts for Women (Striped Red)</t>
        </is>
      </c>
      <c r="E124" s="39" t="inlineStr">
        <is>
          <t>King</t>
        </is>
      </c>
      <c r="F124" s="39" t="inlineStr">
        <is>
          <t>Striped Red</t>
        </is>
      </c>
      <c r="G124" s="40" t="n"/>
      <c r="H124" s="39" t="n"/>
      <c r="I124" s="74" t="n">
        <v>52.99</v>
      </c>
      <c r="J124" s="75" t="inlineStr">
        <is>
          <t>2026-03-30</t>
        </is>
      </c>
      <c r="K124" s="40" t="n">
        <v>23.48</v>
      </c>
      <c r="L124" s="76" t="n">
        <v>0.4431024721645593</v>
      </c>
      <c r="M124" s="77" t="n"/>
      <c r="N124" s="39" t="inlineStr">
        <is>
          <t>Inactive</t>
        </is>
      </c>
      <c r="O124" s="39" t="n"/>
      <c r="P124" s="78" t="n"/>
      <c r="Q124" s="77" t="n"/>
      <c r="R124" s="77" t="n"/>
      <c r="S124" s="77" t="n"/>
      <c r="T124" s="39" t="n"/>
    </row>
    <row r="125" ht="62" customHeight="1">
      <c r="A125" s="12">
        <f>_xlfn.IMAGE("https://m.media-amazon.com/images/I/81gmHuZbW4L.jpg")</f>
        <v/>
      </c>
      <c r="B125" s="39" t="inlineStr">
        <is>
          <t>B08KRX82NT</t>
        </is>
      </c>
      <c r="C125" s="39" t="inlineStr">
        <is>
          <t>SATIN-WHITE-KING</t>
        </is>
      </c>
      <c r="D125" s="39" t="inlineStr">
        <is>
          <t>DECOLURE Satin Bed Sheets - 4 Piece Luxury Silky King Size Bedding Set - Softer Than Silk, Wrinkle-Free with 15” Deep Pocket Fitted Sheet, Perfect for Hair &amp; Skin, Gifts for Women (White)</t>
        </is>
      </c>
      <c r="E125" s="39" t="inlineStr">
        <is>
          <t>King</t>
        </is>
      </c>
      <c r="F125" s="39" t="inlineStr">
        <is>
          <t>White</t>
        </is>
      </c>
      <c r="G125" s="40" t="n"/>
      <c r="H125" s="39" t="n"/>
      <c r="I125" s="40" t="n"/>
      <c r="J125" s="39" t="n"/>
      <c r="K125" s="40" t="n"/>
      <c r="L125" s="76" t="n"/>
      <c r="M125" s="77" t="n"/>
      <c r="N125" s="39" t="inlineStr">
        <is>
          <t>Inactive</t>
        </is>
      </c>
      <c r="O125" s="39" t="n"/>
      <c r="P125" s="78" t="n"/>
      <c r="Q125" s="77" t="n"/>
      <c r="R125" s="77" t="n"/>
      <c r="S125" s="77" t="n"/>
      <c r="T125" s="39" t="n"/>
    </row>
    <row r="126" ht="62" customHeight="1">
      <c r="A126" s="12">
        <f>_xlfn.IMAGE("https://m.media-amazon.com/images/I/81gmHuZbW4L.jpg")</f>
        <v/>
      </c>
      <c r="B126" s="39" t="inlineStr">
        <is>
          <t>B0CV4CY67M</t>
        </is>
      </c>
      <c r="C126" s="39" t="inlineStr">
        <is>
          <t>SATIN-4PC-WHITE-KING</t>
        </is>
      </c>
      <c r="D126" s="39" t="inlineStr">
        <is>
          <t>DECOLURE Satin Bed Sheets - 4 Piece Luxury Silky King Size Bedding Set - Softer Than Silk, Wrinkle-Free with 15” Deep Pocket Fitted Sheet, Perfect for Hair &amp; Skin, Gifts for Women (White)</t>
        </is>
      </c>
      <c r="E126" s="39" t="inlineStr">
        <is>
          <t>King</t>
        </is>
      </c>
      <c r="F126" s="39" t="inlineStr">
        <is>
          <t>White</t>
        </is>
      </c>
      <c r="G126" s="40" t="n"/>
      <c r="H126" s="39" t="n"/>
      <c r="I126" s="74" t="n">
        <v>52.99</v>
      </c>
      <c r="J126" s="75" t="inlineStr">
        <is>
          <t>2026-03-30</t>
        </is>
      </c>
      <c r="K126" s="40" t="n">
        <v>24.5</v>
      </c>
      <c r="L126" s="76" t="n">
        <v>0.4623513870541611</v>
      </c>
      <c r="M126" s="77" t="n"/>
      <c r="N126" s="39" t="inlineStr">
        <is>
          <t>Active</t>
        </is>
      </c>
      <c r="O126" s="39" t="n"/>
      <c r="P126" s="78" t="n"/>
      <c r="Q126" s="77" t="n"/>
      <c r="R126" s="77" t="n"/>
      <c r="S126" s="77" t="n"/>
      <c r="T126" s="39" t="n"/>
    </row>
    <row r="127" ht="62" customHeight="1">
      <c r="A127" s="12">
        <f>_xlfn.IMAGE("https://m.media-amazon.com/images/I/81XsKf7Tk0L.jpg")</f>
        <v/>
      </c>
      <c r="B127" s="39" t="inlineStr">
        <is>
          <t>B08KS1BYL1</t>
        </is>
      </c>
      <c r="C127" s="39" t="inlineStr">
        <is>
          <t>SATIN-RED-QUEEN</t>
        </is>
      </c>
      <c r="D127" s="39" t="inlineStr">
        <is>
          <t>DECOLURE Satin Bed Sheets - 4 Piece Luxury Silky Queen Size Bedding Set - Softer Than Silk, Wrinkle-Free with 15” Deep Pocket Fitted Sheet, Perfect for Hair &amp; Skin, Gifts for Women (Red)</t>
        </is>
      </c>
      <c r="E127" s="39" t="inlineStr">
        <is>
          <t>Queen</t>
        </is>
      </c>
      <c r="F127" s="39" t="inlineStr">
        <is>
          <t>Red-01</t>
        </is>
      </c>
      <c r="G127" s="40" t="n"/>
      <c r="H127" s="39" t="n"/>
      <c r="I127" s="40" t="n"/>
      <c r="J127" s="39" t="n"/>
      <c r="K127" s="40" t="n"/>
      <c r="L127" s="76" t="n"/>
      <c r="M127" s="77" t="n"/>
      <c r="N127" s="39" t="inlineStr">
        <is>
          <t>Inactive</t>
        </is>
      </c>
      <c r="O127" s="39" t="n"/>
      <c r="P127" s="78" t="n"/>
      <c r="Q127" s="77" t="n"/>
      <c r="R127" s="77" t="n"/>
      <c r="S127" s="77" t="n"/>
      <c r="T127" s="39" t="n"/>
    </row>
    <row r="128" ht="62" customHeight="1">
      <c r="A128" s="12">
        <f>_xlfn.IMAGE("https://m.media-amazon.com/images/I/81UtPaYWlbL.jpg")</f>
        <v/>
      </c>
      <c r="B128" s="39" t="inlineStr">
        <is>
          <t>B0BG228RDJ</t>
        </is>
      </c>
      <c r="C128" s="39" t="inlineStr">
        <is>
          <t>SATIN-SEA-TEAL-QUEEN</t>
        </is>
      </c>
      <c r="D128" s="39" t="inlineStr">
        <is>
          <t>DECOLURE Satin Bed Sheets - 4 Piece Luxury Silky Queen Size Bedding Set - Softer Than Silk, Wrinkle-Free with 15” Deep Pocket Fitted Sheet, Perfect for Hair &amp; Skin, Gifts for Women (Sea Teal)</t>
        </is>
      </c>
      <c r="E128" s="39" t="inlineStr">
        <is>
          <t>Queen</t>
        </is>
      </c>
      <c r="F128" s="39" t="inlineStr">
        <is>
          <t>Sea Teal</t>
        </is>
      </c>
      <c r="G128" s="73" t="n">
        <v>64.87</v>
      </c>
      <c r="H128" s="39" t="inlineStr">
        <is>
          <t>catalog price (CAD), 2026-10-14</t>
        </is>
      </c>
      <c r="I128" s="74" t="n">
        <v>47.99</v>
      </c>
      <c r="J128" s="75" t="inlineStr">
        <is>
          <t>2026-03-30</t>
        </is>
      </c>
      <c r="K128" s="40" t="n">
        <v>21.97</v>
      </c>
      <c r="L128" s="76" t="n">
        <v>0.4578037091060637</v>
      </c>
      <c r="M128" s="77" t="n"/>
      <c r="N128" s="39" t="inlineStr">
        <is>
          <t>Inactive</t>
        </is>
      </c>
      <c r="O128" s="39" t="n"/>
      <c r="P128" s="78" t="n">
        <v>4.3</v>
      </c>
      <c r="Q128" s="77" t="n">
        <v>20283</v>
      </c>
      <c r="R128" s="77" t="n">
        <v>2554</v>
      </c>
      <c r="S128" s="77" t="n">
        <v>2</v>
      </c>
      <c r="T128" s="39" t="n"/>
    </row>
    <row r="129" ht="62" customHeight="1">
      <c r="A129" s="12">
        <f>_xlfn.IMAGE("https://m.media-amazon.com/images/I/812d7h4NK3L.jpg")</f>
        <v/>
      </c>
      <c r="B129" s="39" t="inlineStr">
        <is>
          <t>B0DD4JMGXN</t>
        </is>
      </c>
      <c r="C129" s="39" t="inlineStr">
        <is>
          <t>SATIN-4PCS-QUEEN-STONE-GREY</t>
        </is>
      </c>
      <c r="D129" s="39" t="inlineStr">
        <is>
          <t>DECOLURE Satin Sheets Queen Size Set 4 Pcs- Silky &amp; Luxuriously Soft Satin Bed Sheets w/ 15inch Deep Pocket-Double Stitching, Wrinkle Free(Stone Grey-002)</t>
        </is>
      </c>
      <c r="E129" s="39" t="inlineStr">
        <is>
          <t>Queen</t>
        </is>
      </c>
      <c r="F129" s="39" t="inlineStr">
        <is>
          <t>Stone Grey</t>
        </is>
      </c>
      <c r="G129" s="40" t="n"/>
      <c r="H129" s="39" t="n"/>
      <c r="I129" s="74" t="n">
        <v>47.99</v>
      </c>
      <c r="J129" s="75" t="inlineStr">
        <is>
          <t>2026-03-30</t>
        </is>
      </c>
      <c r="K129" s="40" t="n">
        <v>20.69</v>
      </c>
      <c r="L129" s="76" t="n">
        <v>0.4311314857261929</v>
      </c>
      <c r="M129" s="77" t="n">
        <v>0</v>
      </c>
      <c r="N129" s="39" t="inlineStr">
        <is>
          <t>Active</t>
        </is>
      </c>
      <c r="O129" s="39" t="n"/>
      <c r="P129" s="78" t="n"/>
      <c r="Q129" s="77" t="n"/>
      <c r="R129" s="77" t="n"/>
      <c r="S129" s="77" t="n"/>
      <c r="T129" s="39" t="n"/>
    </row>
    <row r="130" ht="62" customHeight="1">
      <c r="A130" s="12">
        <f>_xlfn.IMAGE("https://m.media-amazon.com/images/I/812d7h4NK3L.jpg")</f>
        <v/>
      </c>
      <c r="B130" s="39" t="inlineStr">
        <is>
          <t>B0BG1NSZG8</t>
        </is>
      </c>
      <c r="C130" s="39" t="inlineStr">
        <is>
          <t>SATIN-STONEGREY-QUEEN</t>
        </is>
      </c>
      <c r="D130" s="39" t="inlineStr">
        <is>
          <t>DECOLURE Satin Bed Sheets - 4 Piece Luxury Silky Queen Size Bedding Set - Softer Than Silk, Wrinkle-Free with 15” Deep Pocket Fitted Sheet, Perfect for Hair &amp; Skin, Gifts for Women (Stone Grey)</t>
        </is>
      </c>
      <c r="E130" s="39" t="inlineStr">
        <is>
          <t>Queen</t>
        </is>
      </c>
      <c r="F130" s="39" t="inlineStr">
        <is>
          <t>Stone Grey</t>
        </is>
      </c>
      <c r="G130" s="40" t="n"/>
      <c r="H130" s="39" t="n"/>
      <c r="I130" s="40" t="n"/>
      <c r="J130" s="39" t="n"/>
      <c r="K130" s="40" t="n"/>
      <c r="L130" s="76" t="n"/>
      <c r="M130" s="77" t="n"/>
      <c r="N130" s="39" t="inlineStr">
        <is>
          <t>Inactive</t>
        </is>
      </c>
      <c r="O130" s="39" t="n"/>
      <c r="P130" s="78" t="n"/>
      <c r="Q130" s="77" t="n"/>
      <c r="R130" s="77" t="n"/>
      <c r="S130" s="77" t="n"/>
      <c r="T130" s="39" t="n"/>
    </row>
    <row r="131" ht="62" customHeight="1">
      <c r="A131" s="12">
        <f>_xlfn.IMAGE("https://m.media-amazon.com/images/I/81HcDE0HThL.jpg")</f>
        <v/>
      </c>
      <c r="B131" s="39" t="inlineStr">
        <is>
          <t>B09G6K8WYQ</t>
        </is>
      </c>
      <c r="C131" s="39" t="inlineStr">
        <is>
          <t>SATIN-STRIPE-QUEEN-BLUE</t>
        </is>
      </c>
      <c r="D131" s="39" t="inlineStr">
        <is>
          <t>DECOLURE Satin Bed Sheets - 4 Piece Luxury Silky Queen Size Bedding Set - Softer Than Silk, Wrinkle-Free with 15” Deep Pocket Fitted Sheet, Perfect for Hair &amp; Skin, Gifts for Women (Striped Blue)</t>
        </is>
      </c>
      <c r="E131" s="39" t="inlineStr">
        <is>
          <t>Queen</t>
        </is>
      </c>
      <c r="F131" s="39" t="inlineStr">
        <is>
          <t>Striped Blue</t>
        </is>
      </c>
      <c r="G131" s="40" t="n"/>
      <c r="H131" s="39" t="n"/>
      <c r="I131" s="74" t="n">
        <v>47.99</v>
      </c>
      <c r="J131" s="75" t="inlineStr">
        <is>
          <t>2026-03-30</t>
        </is>
      </c>
      <c r="K131" s="40" t="n">
        <v>20.31</v>
      </c>
      <c r="L131" s="76" t="n">
        <v>0.4232131694102936</v>
      </c>
      <c r="M131" s="77" t="n">
        <v>0</v>
      </c>
      <c r="N131" s="39" t="inlineStr">
        <is>
          <t>Inactive</t>
        </is>
      </c>
      <c r="O131" s="39" t="n"/>
      <c r="P131" s="78" t="n"/>
      <c r="Q131" s="77" t="n"/>
      <c r="R131" s="77" t="n"/>
      <c r="S131" s="77" t="n"/>
      <c r="T131" s="39" t="n"/>
    </row>
    <row r="132" ht="62" customHeight="1">
      <c r="A132" s="12">
        <f>_xlfn.IMAGE("https://m.media-amazon.com/images/I/81oeTNry2PL.jpg")</f>
        <v/>
      </c>
      <c r="B132" s="39" t="inlineStr">
        <is>
          <t>B0DBR4XYLB</t>
        </is>
      </c>
      <c r="C132" s="39" t="inlineStr">
        <is>
          <t>SATIN-4PCS-QUEEN-STRIPE-GRAY</t>
        </is>
      </c>
      <c r="D132" s="39" t="inlineStr">
        <is>
          <t>DECOLURE Striped Satin Sheets Set - Luxurious Silky Feel Bed Sheets - All Season Soft Silky Satin Sheets with Deep Pocket Fitted Sheet, Flat Sheet and Pillowcase - 4 Pcs</t>
        </is>
      </c>
      <c r="E132" s="39" t="inlineStr">
        <is>
          <t>Queen</t>
        </is>
      </c>
      <c r="F132" s="39" t="inlineStr">
        <is>
          <t>Striped Grey</t>
        </is>
      </c>
      <c r="G132" s="40" t="n"/>
      <c r="H132" s="39" t="n"/>
      <c r="I132" s="74" t="n">
        <v>34.86</v>
      </c>
      <c r="J132" s="75" t="inlineStr">
        <is>
          <t>2026-03-30</t>
        </is>
      </c>
      <c r="K132" s="40" t="n">
        <v>9.4</v>
      </c>
      <c r="L132" s="76" t="n">
        <v>0.2696500286861733</v>
      </c>
      <c r="M132" s="77" t="n"/>
      <c r="N132" s="39" t="inlineStr">
        <is>
          <t>Active</t>
        </is>
      </c>
      <c r="O132" s="39" t="n"/>
      <c r="P132" s="78" t="n"/>
      <c r="Q132" s="77" t="n"/>
      <c r="R132" s="77" t="n"/>
      <c r="S132" s="77" t="n"/>
      <c r="T132" s="39" t="n"/>
    </row>
    <row r="133" ht="62" customHeight="1">
      <c r="A133" s="12">
        <f>_xlfn.IMAGE("https://m.media-amazon.com/images/I/81k1CBQWqyL.jpg")</f>
        <v/>
      </c>
      <c r="B133" s="39" t="inlineStr">
        <is>
          <t>B0CNS85C1K</t>
        </is>
      </c>
      <c r="C133" s="39" t="inlineStr">
        <is>
          <t>SATIN-TWIN-BLUSH PINK</t>
        </is>
      </c>
      <c r="D133" s="39" t="inlineStr">
        <is>
          <t>DECOLURE Satin Bed Sheets - 3 Piece Luxury Silky Twin Size Bedding Set - Softer Than Silk, Wrinkle-Free with 15” Deep Pocket Fitted Sheet, Perfect for Hair &amp; Skin, Gifts for Women (Blush Pink)</t>
        </is>
      </c>
      <c r="E133" s="39" t="inlineStr">
        <is>
          <t>Twin</t>
        </is>
      </c>
      <c r="F133" s="39" t="inlineStr">
        <is>
          <t>Blush Pink</t>
        </is>
      </c>
      <c r="G133" s="73" t="n">
        <v>39.99</v>
      </c>
      <c r="H133" s="39" t="inlineStr">
        <is>
          <t>catalog price (CAD), 2026-10-14</t>
        </is>
      </c>
      <c r="I133" s="74" t="n">
        <v>39.99</v>
      </c>
      <c r="J133" s="75" t="inlineStr">
        <is>
          <t>2026-03-30</t>
        </is>
      </c>
      <c r="K133" s="40" t="n">
        <v>17.31</v>
      </c>
      <c r="L133" s="76" t="n">
        <v>0.4328582145536384</v>
      </c>
      <c r="M133" s="77" t="n">
        <v>0</v>
      </c>
      <c r="N133" s="39" t="inlineStr">
        <is>
          <t>Active</t>
        </is>
      </c>
      <c r="O133" s="39" t="n"/>
      <c r="P133" s="78" t="n">
        <v>4.3</v>
      </c>
      <c r="Q133" s="77" t="n">
        <v>20283</v>
      </c>
      <c r="R133" s="77" t="n">
        <v>2554</v>
      </c>
      <c r="S133" s="77" t="n">
        <v>5</v>
      </c>
      <c r="T133" s="39" t="n"/>
    </row>
    <row r="134" ht="62" customHeight="1">
      <c r="A134" s="12">
        <f>_xlfn.IMAGE("https://m.media-amazon.com/images/I/81ljfausmpL.jpg")</f>
        <v/>
      </c>
      <c r="B134" s="39" t="inlineStr">
        <is>
          <t>B0839M8LP5</t>
        </is>
      </c>
      <c r="C134" s="39" t="inlineStr">
        <is>
          <t>SATIN-TWIN-GREY</t>
        </is>
      </c>
      <c r="D134" s="39" t="inlineStr">
        <is>
          <t>DECOLURE Satin Bed Sheets - 3 Piece Luxury Silky Twin Size Bedding Set - Softer Than Silk, Wrinkle-Free with 15” Deep Pocket Fitted Sheet, Perfect for Hair &amp; Skin, Gifts for Women (Grey)</t>
        </is>
      </c>
      <c r="E134" s="39" t="inlineStr">
        <is>
          <t>Twin</t>
        </is>
      </c>
      <c r="F134" s="39" t="inlineStr">
        <is>
          <t>Grey</t>
        </is>
      </c>
      <c r="G134" s="73" t="n">
        <v>39.99</v>
      </c>
      <c r="H134" s="39" t="inlineStr">
        <is>
          <t>catalog price (CAD), 2026-10-14</t>
        </is>
      </c>
      <c r="I134" s="74" t="n">
        <v>39.99</v>
      </c>
      <c r="J134" s="75" t="inlineStr">
        <is>
          <t>2026-03-30</t>
        </is>
      </c>
      <c r="K134" s="40" t="n">
        <v>18.48</v>
      </c>
      <c r="L134" s="76" t="n">
        <v>0.4621155288822207</v>
      </c>
      <c r="M134" s="77" t="n">
        <v>0</v>
      </c>
      <c r="N134" s="39" t="inlineStr">
        <is>
          <t>Active</t>
        </is>
      </c>
      <c r="O134" s="39" t="n"/>
      <c r="P134" s="78" t="n">
        <v>4.3</v>
      </c>
      <c r="Q134" s="77" t="n">
        <v>20283</v>
      </c>
      <c r="R134" s="77" t="n">
        <v>2554</v>
      </c>
      <c r="S134" s="77" t="n">
        <v>4</v>
      </c>
      <c r="T134" s="39" t="n"/>
    </row>
    <row r="135" ht="62" customHeight="1">
      <c r="A135" s="12">
        <f>_xlfn.IMAGE("https://m.media-amazon.com/images/I/81yX5wWsraL.jpg")</f>
        <v/>
      </c>
      <c r="B135" s="39" t="inlineStr">
        <is>
          <t>B08KR7V6TL</t>
        </is>
      </c>
      <c r="C135" s="39" t="inlineStr">
        <is>
          <t>SATIN-RED-TWIN</t>
        </is>
      </c>
      <c r="D135" s="39" t="inlineStr">
        <is>
          <t>DECOLURE Satin Bed Sheets - 3 Piece Luxury Silky Twin Size Bedding Set - Softer Than Silk, Wrinkle-Free with 15” Deep Pocket Fitted Sheet, Perfect for Hair &amp; Skin, Gifts for Women (Red)</t>
        </is>
      </c>
      <c r="E135" s="39" t="inlineStr">
        <is>
          <t>Twin</t>
        </is>
      </c>
      <c r="F135" s="39" t="inlineStr">
        <is>
          <t>Red</t>
        </is>
      </c>
      <c r="G135" s="73" t="n">
        <v>52.98</v>
      </c>
      <c r="H135" s="39" t="inlineStr">
        <is>
          <t>catalog price (CAD), 2026-10-14</t>
        </is>
      </c>
      <c r="I135" s="74" t="n">
        <v>22.94</v>
      </c>
      <c r="J135" s="75" t="inlineStr">
        <is>
          <t>2026-03-30</t>
        </is>
      </c>
      <c r="K135" s="40" t="n">
        <v>3.59</v>
      </c>
      <c r="L135" s="76" t="n">
        <v>0.1564952048823016</v>
      </c>
      <c r="M135" s="77" t="n"/>
      <c r="N135" s="39" t="inlineStr">
        <is>
          <t>Inactive</t>
        </is>
      </c>
      <c r="O135" s="39" t="n"/>
      <c r="P135" s="78" t="n">
        <v>4.3</v>
      </c>
      <c r="Q135" s="77" t="n">
        <v>20283</v>
      </c>
      <c r="R135" s="77" t="n">
        <v>2554</v>
      </c>
      <c r="S135" s="77" t="n">
        <v>3</v>
      </c>
      <c r="T135" s="39" t="n"/>
    </row>
    <row r="136" ht="62" customHeight="1">
      <c r="A136" s="12">
        <f>_xlfn.IMAGE("https://m.media-amazon.com/images/I/8111LRuwkSL.jpg")</f>
        <v/>
      </c>
      <c r="B136" s="39" t="inlineStr">
        <is>
          <t>B0CQRYL8Z4</t>
        </is>
      </c>
      <c r="C136" s="39" t="inlineStr">
        <is>
          <t>SATIN-3PC-TWIN-SAGE GREEN</t>
        </is>
      </c>
      <c r="D136" s="39" t="inlineStr">
        <is>
          <t>DECOLURE Satin Bed Sheets - 3 Piece Luxury Silky Twin Size Bedding Set - Softer Than Silk, Wrinkle-Free with 15” Deep Pocket Fitted Sheet, Perfect for Hair &amp; Skin, Gifts for Women (Sage Green)</t>
        </is>
      </c>
      <c r="E136" s="39" t="inlineStr">
        <is>
          <t>Twin</t>
        </is>
      </c>
      <c r="F136" s="39" t="inlineStr">
        <is>
          <t>Sage Green</t>
        </is>
      </c>
      <c r="G136" s="73" t="n">
        <v>49.13</v>
      </c>
      <c r="H136" s="39" t="inlineStr">
        <is>
          <t>catalog price (CAD), 2026-10-14</t>
        </is>
      </c>
      <c r="I136" s="74" t="n">
        <v>39.99</v>
      </c>
      <c r="J136" s="75" t="inlineStr">
        <is>
          <t>2026-03-30</t>
        </is>
      </c>
      <c r="K136" s="40" t="n">
        <v>18.05</v>
      </c>
      <c r="L136" s="76" t="n">
        <v>0.4513628407101776</v>
      </c>
      <c r="M136" s="77" t="n">
        <v>0</v>
      </c>
      <c r="N136" s="39" t="inlineStr">
        <is>
          <t>Active</t>
        </is>
      </c>
      <c r="O136" s="39" t="n"/>
      <c r="P136" s="78" t="n">
        <v>4.3</v>
      </c>
      <c r="Q136" s="77" t="n">
        <v>20283</v>
      </c>
      <c r="R136" s="77" t="n">
        <v>2554</v>
      </c>
      <c r="S136" s="77" t="n">
        <v>4</v>
      </c>
      <c r="T136" s="39" t="n"/>
    </row>
    <row r="137" ht="62" customHeight="1">
      <c r="A137" s="12">
        <f>_xlfn.IMAGE("https://m.media-amazon.com/images/I/819ez7t33gL.jpg")</f>
        <v/>
      </c>
      <c r="B137" s="39" t="inlineStr">
        <is>
          <t>B09G6H23C3</t>
        </is>
      </c>
      <c r="C137" s="39" t="inlineStr">
        <is>
          <t>SATIN-STRIPE-TWIN-BLACK</t>
        </is>
      </c>
      <c r="D137" s="39" t="inlineStr">
        <is>
          <t>DECOLURE Satin Bed Sheets - 3 Piece Luxury Silky Twin Size Bedding Set - Softer Than Silk, Wrinkle-Free with 15” Deep Pocket Fitted Sheet, Perfect for Hair &amp; Skin, Gifts for Women (Striped Black)</t>
        </is>
      </c>
      <c r="E137" s="39" t="inlineStr">
        <is>
          <t>Twin</t>
        </is>
      </c>
      <c r="F137" s="39" t="inlineStr">
        <is>
          <t>Striped Black</t>
        </is>
      </c>
      <c r="G137" s="73" t="n">
        <v>39.99</v>
      </c>
      <c r="H137" s="39" t="inlineStr">
        <is>
          <t>catalog price (CAD), 2026-10-14</t>
        </is>
      </c>
      <c r="I137" s="74" t="n">
        <v>39.99</v>
      </c>
      <c r="J137" s="75" t="inlineStr">
        <is>
          <t>2026-03-30</t>
        </is>
      </c>
      <c r="K137" s="40" t="n">
        <v>16.93</v>
      </c>
      <c r="L137" s="76" t="n">
        <v>0.4233558389597399</v>
      </c>
      <c r="M137" s="77" t="n">
        <v>0</v>
      </c>
      <c r="N137" s="39" t="inlineStr">
        <is>
          <t>Active</t>
        </is>
      </c>
      <c r="O137" s="39" t="n"/>
      <c r="P137" s="78" t="n">
        <v>4.3</v>
      </c>
      <c r="Q137" s="77" t="n">
        <v>20283</v>
      </c>
      <c r="R137" s="77" t="n">
        <v>2554</v>
      </c>
      <c r="S137" s="77" t="n">
        <v>4</v>
      </c>
      <c r="T137" s="39" t="n"/>
    </row>
    <row r="138" ht="62" customHeight="1">
      <c r="A138" s="12">
        <f>_xlfn.IMAGE("https://m.media-amazon.com/images/I/81zKyEoJxzL.jpg")</f>
        <v/>
      </c>
      <c r="B138" s="39" t="inlineStr">
        <is>
          <t>B09G6L5Z5K</t>
        </is>
      </c>
      <c r="C138" s="39" t="inlineStr">
        <is>
          <t>SATIN-STRIPE-TWIN-BLUE</t>
        </is>
      </c>
      <c r="D138" s="39" t="inlineStr">
        <is>
          <t>DECOLURE Satin Bed Sheets - 3 Piece Luxury Silky Twin Size Bedding Set - Softer Than Silk, Wrinkle-Free with 15” Deep Pocket Fitted Sheet, Perfect for Hair &amp; Skin, Gifts for Women (Striped Blue)</t>
        </is>
      </c>
      <c r="E138" s="39" t="inlineStr">
        <is>
          <t>Twin</t>
        </is>
      </c>
      <c r="F138" s="39" t="inlineStr">
        <is>
          <t>Striped Blue</t>
        </is>
      </c>
      <c r="G138" s="73" t="n">
        <v>39.99</v>
      </c>
      <c r="H138" s="39" t="inlineStr">
        <is>
          <t>catalog price (CAD), 2026-10-14</t>
        </is>
      </c>
      <c r="I138" s="74" t="n">
        <v>35.99</v>
      </c>
      <c r="J138" s="75" t="inlineStr">
        <is>
          <t>2026-03-30</t>
        </is>
      </c>
      <c r="K138" s="40" t="n">
        <v>13.72</v>
      </c>
      <c r="L138" s="76" t="n">
        <v>0.3812170047235345</v>
      </c>
      <c r="M138" s="77" t="n">
        <v>0</v>
      </c>
      <c r="N138" s="39" t="inlineStr">
        <is>
          <t>Active</t>
        </is>
      </c>
      <c r="O138" s="39" t="n"/>
      <c r="P138" s="78" t="n">
        <v>4.3</v>
      </c>
      <c r="Q138" s="77" t="n">
        <v>20283</v>
      </c>
      <c r="R138" s="77" t="n">
        <v>2554</v>
      </c>
      <c r="S138" s="77" t="n">
        <v>4</v>
      </c>
      <c r="T138" s="39" t="n"/>
    </row>
    <row r="139" ht="62" customHeight="1">
      <c r="A139" s="12">
        <f>_xlfn.IMAGE("https://m.media-amazon.com/images/I/81IyOpde-BL.jpg")</f>
        <v/>
      </c>
      <c r="B139" s="39" t="inlineStr">
        <is>
          <t>B09G6K2WSF</t>
        </is>
      </c>
      <c r="C139" s="39" t="inlineStr">
        <is>
          <t>SATIN-STRIPE-TWIN-GOLD</t>
        </is>
      </c>
      <c r="D139" s="39" t="inlineStr">
        <is>
          <t>DECOLURE Satin Bed Sheets - 3 Piece Luxury Silky Twin Size Bedding Set - Softer Than Silk, Wrinkle-Free with 15” Deep Pocket Fitted Sheet, Perfect for Hair &amp; Skin, Gifts for Women (Striped Gold)</t>
        </is>
      </c>
      <c r="E139" s="39" t="inlineStr">
        <is>
          <t>Twin</t>
        </is>
      </c>
      <c r="F139" s="39" t="inlineStr">
        <is>
          <t>Striped Gold</t>
        </is>
      </c>
      <c r="G139" s="73" t="n">
        <v>49.13</v>
      </c>
      <c r="H139" s="39" t="inlineStr">
        <is>
          <t>catalog price (CAD), 2026-10-14</t>
        </is>
      </c>
      <c r="I139" s="74" t="n">
        <v>39.99</v>
      </c>
      <c r="J139" s="75" t="inlineStr">
        <is>
          <t>2026-03-30</t>
        </is>
      </c>
      <c r="K139" s="40" t="n">
        <v>15.95</v>
      </c>
      <c r="L139" s="76" t="n">
        <v>0.3988497124281071</v>
      </c>
      <c r="M139" s="77" t="n">
        <v>0</v>
      </c>
      <c r="N139" s="39" t="inlineStr">
        <is>
          <t>Active</t>
        </is>
      </c>
      <c r="O139" s="39" t="n"/>
      <c r="P139" s="78" t="n">
        <v>4.3</v>
      </c>
      <c r="Q139" s="77" t="n">
        <v>20283</v>
      </c>
      <c r="R139" s="77" t="n">
        <v>2554</v>
      </c>
      <c r="S139" s="77" t="n">
        <v>5</v>
      </c>
      <c r="T139" s="39" t="n"/>
    </row>
    <row r="140" ht="62" customHeight="1">
      <c r="A140" s="12">
        <f>_xlfn.IMAGE("https://m.media-amazon.com/images/I/81oeTNry2PL.jpg")</f>
        <v/>
      </c>
      <c r="B140" s="39" t="inlineStr">
        <is>
          <t>B09G6J7WQ8</t>
        </is>
      </c>
      <c r="C140" s="39" t="inlineStr">
        <is>
          <t>SATIN-STRIPE-TWIN-GRAY</t>
        </is>
      </c>
      <c r="D140" s="39" t="inlineStr">
        <is>
          <t>DECOLURE Satin Bed Sheets - 3 Piece Luxury Silky Twin Size Bedding Set - Softer Than Silk, Wrinkle-Free with 15” Deep Pocket Fitted Sheet, Perfect for Hair &amp; Skin, Gifts for Women (Striped Grey)</t>
        </is>
      </c>
      <c r="E140" s="39" t="inlineStr">
        <is>
          <t>Twin</t>
        </is>
      </c>
      <c r="F140" s="39" t="inlineStr">
        <is>
          <t>Striped Grey</t>
        </is>
      </c>
      <c r="G140" s="40" t="n"/>
      <c r="H140" s="39" t="n"/>
      <c r="I140" s="74" t="n">
        <v>28.79</v>
      </c>
      <c r="J140" s="75" t="inlineStr">
        <is>
          <t>2026-03-30</t>
        </is>
      </c>
      <c r="K140" s="40" t="n">
        <v>7.569999999999999</v>
      </c>
      <c r="L140" s="76" t="n">
        <v>0.2629385203195553</v>
      </c>
      <c r="M140" s="77" t="n">
        <v>0</v>
      </c>
      <c r="N140" s="39" t="inlineStr">
        <is>
          <t>Inactive</t>
        </is>
      </c>
      <c r="O140" s="39" t="n"/>
      <c r="P140" s="78" t="n"/>
      <c r="Q140" s="77" t="n"/>
      <c r="R140" s="77" t="n"/>
      <c r="S140" s="77" t="n"/>
      <c r="T140" s="39" t="n"/>
    </row>
    <row r="141" ht="62" customHeight="1">
      <c r="A141" s="12">
        <f>_xlfn.IMAGE("https://m.media-amazon.com/images/I/81LZ8DaZObL.jpg")</f>
        <v/>
      </c>
      <c r="B141" s="39" t="inlineStr">
        <is>
          <t>B09G6KRX7T</t>
        </is>
      </c>
      <c r="C141" s="39" t="inlineStr">
        <is>
          <t>SATIN-STRIPE-TWIN-PINK</t>
        </is>
      </c>
      <c r="D141" s="39" t="inlineStr">
        <is>
          <t>DECOLURE Satin Bed Sheets - 3 Piece Luxury Silky Twin Size Bedding Set - Softer Than Silk, Wrinkle-Free with 15” Deep Pocket Fitted Sheet, Perfect for Hair &amp; Skin, Gifts for Women (Striped Pink)</t>
        </is>
      </c>
      <c r="E141" s="39" t="inlineStr">
        <is>
          <t>Twin</t>
        </is>
      </c>
      <c r="F141" s="39" t="inlineStr">
        <is>
          <t>Striped Pink</t>
        </is>
      </c>
      <c r="G141" s="73" t="n">
        <v>54.54</v>
      </c>
      <c r="H141" s="39" t="inlineStr">
        <is>
          <t>catalog price (CAD), 2026-10-14</t>
        </is>
      </c>
      <c r="I141" s="74" t="n">
        <v>39.99</v>
      </c>
      <c r="J141" s="75" t="inlineStr">
        <is>
          <t>2026-03-30</t>
        </is>
      </c>
      <c r="K141" s="40" t="n">
        <v>17.2</v>
      </c>
      <c r="L141" s="76" t="n">
        <v>0.4301075268817205</v>
      </c>
      <c r="M141" s="77" t="n"/>
      <c r="N141" s="39" t="inlineStr">
        <is>
          <t>Inactive</t>
        </is>
      </c>
      <c r="O141" s="39" t="n"/>
      <c r="P141" s="78" t="n">
        <v>4.3</v>
      </c>
      <c r="Q141" s="77" t="n">
        <v>20283</v>
      </c>
      <c r="R141" s="77" t="n">
        <v>2554</v>
      </c>
      <c r="S141" s="77" t="n">
        <v>0.664</v>
      </c>
      <c r="T141" s="39" t="n"/>
    </row>
    <row r="142" ht="62" customHeight="1">
      <c r="A142" s="12">
        <f>_xlfn.IMAGE("https://m.media-amazon.com/images/I/815cN-9mlkL.jpg")</f>
        <v/>
      </c>
      <c r="B142" s="39" t="inlineStr">
        <is>
          <t>B09G6JWVWD</t>
        </is>
      </c>
      <c r="C142" s="39" t="inlineStr">
        <is>
          <t>SATIN-STRIPE-TWIN-PURPLE</t>
        </is>
      </c>
      <c r="D142" s="39" t="inlineStr">
        <is>
          <t>DECOLURE Satin Bed Sheets - 3 Piece Luxury Silky Twin Size Bedding Set - Softer Than Silk, Wrinkle-Free with 15” Deep Pocket Fitted Sheet, Perfect for Hair &amp; Skin, Gifts for Women (Striped Purple)</t>
        </is>
      </c>
      <c r="E142" s="39" t="inlineStr">
        <is>
          <t>Twin</t>
        </is>
      </c>
      <c r="F142" s="39" t="inlineStr">
        <is>
          <t>Striped Purple</t>
        </is>
      </c>
      <c r="G142" s="73" t="n">
        <v>39.99</v>
      </c>
      <c r="H142" s="39" t="inlineStr">
        <is>
          <t>catalog price (CAD), 2026-10-14</t>
        </is>
      </c>
      <c r="I142" s="74" t="n">
        <v>39.99</v>
      </c>
      <c r="J142" s="75" t="inlineStr">
        <is>
          <t>2026-03-30</t>
        </is>
      </c>
      <c r="K142" s="40" t="n">
        <v>17.4</v>
      </c>
      <c r="L142" s="76" t="n">
        <v>0.4351087771942986</v>
      </c>
      <c r="M142" s="77" t="n">
        <v>0</v>
      </c>
      <c r="N142" s="39" t="inlineStr">
        <is>
          <t>Active</t>
        </is>
      </c>
      <c r="O142" s="39" t="n"/>
      <c r="P142" s="78" t="n">
        <v>4.3</v>
      </c>
      <c r="Q142" s="77" t="n">
        <v>20283</v>
      </c>
      <c r="R142" s="77" t="n">
        <v>2554</v>
      </c>
      <c r="S142" s="77" t="n">
        <v>5</v>
      </c>
      <c r="T142" s="39" t="n"/>
    </row>
    <row r="143" ht="62" customHeight="1">
      <c r="A143" s="12">
        <f>_xlfn.IMAGE("https://m.media-amazon.com/images/I/81DY3DsTJhL.jpg")</f>
        <v/>
      </c>
      <c r="B143" s="39" t="inlineStr">
        <is>
          <t>B09G6M7WJ3</t>
        </is>
      </c>
      <c r="C143" s="39" t="inlineStr">
        <is>
          <t>SATIN-STRIPE-TWIN-RED</t>
        </is>
      </c>
      <c r="D143" s="39" t="inlineStr">
        <is>
          <t>DECOLURE Satin Bed Sheets - 3 Piece Luxury Silky Twin Size Bedding Set - Softer Than Silk, Wrinkle-Free with 15” Deep Pocket Fitted Sheet, Perfect for Hair &amp; Skin, Gifts for Women (Striped Red)</t>
        </is>
      </c>
      <c r="E143" s="39" t="inlineStr">
        <is>
          <t>Twin</t>
        </is>
      </c>
      <c r="F143" s="39" t="inlineStr">
        <is>
          <t>Striped Red</t>
        </is>
      </c>
      <c r="G143" s="73" t="n">
        <v>49.13</v>
      </c>
      <c r="H143" s="39" t="inlineStr">
        <is>
          <t>catalog price (CAD), 2026-10-14</t>
        </is>
      </c>
      <c r="I143" s="74" t="n">
        <v>22.94</v>
      </c>
      <c r="J143" s="75" t="inlineStr">
        <is>
          <t>2026-03-30</t>
        </is>
      </c>
      <c r="K143" s="40" t="n">
        <v>2.48</v>
      </c>
      <c r="L143" s="76" t="n">
        <v>0.1081081081081081</v>
      </c>
      <c r="M143" s="77" t="n">
        <v>0</v>
      </c>
      <c r="N143" s="39" t="inlineStr">
        <is>
          <t>Active</t>
        </is>
      </c>
      <c r="O143" s="39" t="n"/>
      <c r="P143" s="78" t="n">
        <v>4.3</v>
      </c>
      <c r="Q143" s="77" t="n">
        <v>20283</v>
      </c>
      <c r="R143" s="77" t="n">
        <v>2554</v>
      </c>
      <c r="S143" s="77" t="n">
        <v>6</v>
      </c>
      <c r="T143" s="39" t="n"/>
    </row>
    <row r="144" ht="62" customHeight="1">
      <c r="A144" s="12">
        <f>_xlfn.IMAGE("https://m.media-amazon.com/images/I/81bfs+Nmq1L.jpg")</f>
        <v/>
      </c>
      <c r="B144" s="39" t="inlineStr">
        <is>
          <t>B0BZPVYJK4</t>
        </is>
      </c>
      <c r="C144" s="39" t="inlineStr">
        <is>
          <t>SATIN-TAUPE-TWIN</t>
        </is>
      </c>
      <c r="D144" s="39" t="inlineStr">
        <is>
          <t>DECOLURE Satin Bed Sheets - 3 Piece Luxury Silky Twin Size Bedding Set - Softer Than Silk, Wrinkle-Free with 15” Deep Pocket Fitted Sheet, Perfect for Hair &amp; Skin, Gifts for Women (Taupe)</t>
        </is>
      </c>
      <c r="E144" s="39" t="inlineStr">
        <is>
          <t>Twin</t>
        </is>
      </c>
      <c r="F144" s="39" t="inlineStr">
        <is>
          <t>Taupe</t>
        </is>
      </c>
      <c r="G144" s="73" t="n">
        <v>39.99</v>
      </c>
      <c r="H144" s="39" t="inlineStr">
        <is>
          <t>catalog price (CAD), 2026-10-14</t>
        </is>
      </c>
      <c r="I144" s="74" t="n">
        <v>39.99</v>
      </c>
      <c r="J144" s="75" t="inlineStr">
        <is>
          <t>2026-03-30</t>
        </is>
      </c>
      <c r="K144" s="40" t="n">
        <v>17.2</v>
      </c>
      <c r="L144" s="76" t="n">
        <v>0.4301075268817205</v>
      </c>
      <c r="M144" s="77" t="n">
        <v>0</v>
      </c>
      <c r="N144" s="39" t="inlineStr">
        <is>
          <t>Active</t>
        </is>
      </c>
      <c r="O144" s="39" t="n"/>
      <c r="P144" s="78" t="n">
        <v>4.3</v>
      </c>
      <c r="Q144" s="77" t="n">
        <v>20283</v>
      </c>
      <c r="R144" s="77" t="n">
        <v>2536</v>
      </c>
      <c r="S144" s="77" t="n">
        <v>5</v>
      </c>
      <c r="T144" s="39" t="n"/>
    </row>
    <row r="145"/>
    <row r="146" ht="22" customHeight="1">
      <c r="A146" s="65" t="inlineStr">
        <is>
          <t>3 ▼</t>
        </is>
      </c>
      <c r="B146" s="66" t="inlineStr">
        <is>
          <t>OUR BFCM 2025 RESULT &amp; EVENT VISIBILITY</t>
        </is>
      </c>
      <c r="C146" s="67" t="n"/>
      <c r="D146" s="67" t="n"/>
      <c r="E146" s="67" t="n"/>
      <c r="F146" s="67" t="n"/>
      <c r="G146" s="67" t="n"/>
      <c r="H146" s="67" t="n"/>
      <c r="I146" s="67" t="n"/>
      <c r="J146" s="67" t="n"/>
      <c r="K146" s="67" t="n"/>
      <c r="L146" s="67" t="n"/>
      <c r="M146" s="67" t="n"/>
      <c r="N146" s="67" t="n"/>
      <c r="O146" s="67" t="n"/>
      <c r="P146" s="67" t="n"/>
      <c r="Q146" s="67" t="n"/>
      <c r="R146" s="67" t="n"/>
      <c r="S146" s="67" t="n"/>
      <c r="T146" s="67" t="n"/>
      <c r="U146" s="67" t="n"/>
      <c r="V146" s="67" t="n"/>
      <c r="W146" s="67" t="n"/>
      <c r="X146" s="67" t="n"/>
      <c r="Y146" s="67" t="n"/>
      <c r="Z146" s="67" t="n"/>
      <c r="AA146" s="67" t="n"/>
      <c r="AB146" s="67" t="n"/>
      <c r="AC146" s="67" t="n"/>
      <c r="AD146" s="67" t="n"/>
      <c r="AE146" s="67" t="n"/>
      <c r="AF146" s="67" t="n"/>
      <c r="AG146" s="67" t="n"/>
      <c r="AH146" s="67" t="n"/>
      <c r="AI146" s="67" t="n"/>
      <c r="AJ146" s="67" t="n"/>
      <c r="AK146" s="67" t="n"/>
      <c r="AL146" s="67" t="n"/>
      <c r="AM146" s="67" t="n"/>
      <c r="AN146" s="67" t="n"/>
      <c r="AO146" s="67" t="n"/>
      <c r="AP146" s="67" t="n"/>
      <c r="AQ146" s="67" t="n"/>
      <c r="AR146" s="67" t="n"/>
      <c r="AS146" s="67" t="n"/>
      <c r="AT146" s="67" t="n"/>
      <c r="AU146" s="67" t="n"/>
      <c r="AV146" s="67" t="n"/>
      <c r="AW146" s="67" t="n"/>
      <c r="AX146" s="67" t="n"/>
      <c r="AY146" s="67" t="n"/>
      <c r="AZ146" s="67" t="n"/>
      <c r="BA146" s="67" t="n"/>
      <c r="BB146" s="67" t="n"/>
      <c r="BC146" s="67" t="n"/>
      <c r="BD146" s="67" t="n"/>
      <c r="BE146" s="67" t="n"/>
      <c r="BF146" s="67" t="n"/>
      <c r="BG146" s="67" t="n"/>
      <c r="BH146" s="67" t="n"/>
      <c r="BI146" s="67" t="n"/>
      <c r="BJ146" s="67" t="n"/>
      <c r="BK146" s="67" t="n"/>
    </row>
    <row r="147">
      <c r="A147" s="80" t="inlineStr">
        <is>
          <t>Window</t>
        </is>
      </c>
      <c r="B147" s="81" t="n"/>
      <c r="C147" s="82" t="n"/>
      <c r="D147" s="80" t="inlineStr">
        <is>
          <t>Ad spend</t>
        </is>
      </c>
      <c r="E147" s="80" t="inlineStr">
        <is>
          <t>Ad sales</t>
        </is>
      </c>
      <c r="F147" s="80" t="inlineStr">
        <is>
          <t>ACoS</t>
        </is>
      </c>
      <c r="G147" s="80" t="inlineStr">
        <is>
          <t>TACoS</t>
        </is>
      </c>
      <c r="H147" s="80" t="inlineStr">
        <is>
          <t>Total sales (derived)</t>
        </is>
      </c>
      <c r="J147" s="80" t="inlineStr">
        <is>
          <t>Ad orders</t>
        </is>
      </c>
      <c r="K147" s="80" t="inlineStr">
        <is>
          <t>CVR</t>
        </is>
      </c>
    </row>
    <row r="148">
      <c r="A148" s="83" t="inlineStr">
        <is>
          <t>Pre-event Oct 21 - Nov 19, 2025 (30d)</t>
        </is>
      </c>
      <c r="B148" s="81" t="n"/>
      <c r="C148" s="82" t="n"/>
      <c r="D148" s="84" t="n">
        <v>9724.07</v>
      </c>
      <c r="E148" s="84" t="n">
        <v>38134.05</v>
      </c>
      <c r="F148" s="85" t="n">
        <v>25.5</v>
      </c>
      <c r="G148" s="85" t="n">
        <v>14.66445424614631</v>
      </c>
      <c r="H148" s="84" t="n">
        <v>66310.48</v>
      </c>
      <c r="J148" s="86" t="n">
        <v>976</v>
      </c>
      <c r="K148" s="87" t="n">
        <v>14.18</v>
      </c>
    </row>
    <row r="149">
      <c r="A149" s="83" t="inlineStr">
        <is>
          <t>BFCM week Nov 20 - Dec 1, 2025 (12d)</t>
        </is>
      </c>
      <c r="B149" s="81" t="n"/>
      <c r="C149" s="82" t="n"/>
      <c r="D149" s="84" t="n">
        <v>8728.68</v>
      </c>
      <c r="E149" s="84" t="n">
        <v>39244.06</v>
      </c>
      <c r="F149" s="85" t="n">
        <v>22.2</v>
      </c>
      <c r="G149" s="85" t="n">
        <v>10.05642820456278</v>
      </c>
      <c r="H149" s="84" t="n">
        <v>86797.02</v>
      </c>
      <c r="J149" s="86" t="n">
        <v>1163</v>
      </c>
      <c r="K149" s="87" t="n">
        <v>21.72</v>
      </c>
    </row>
    <row r="150">
      <c r="A150" s="83" t="inlineStr">
        <is>
          <t>December 2 - 31, 2025 (30d)</t>
        </is>
      </c>
      <c r="B150" s="81" t="n"/>
      <c r="C150" s="82" t="n"/>
      <c r="D150" s="84" t="n">
        <v>17298.34</v>
      </c>
      <c r="E150" s="84" t="n">
        <v>77372.58</v>
      </c>
      <c r="F150" s="85" t="n">
        <v>22.4</v>
      </c>
      <c r="G150" s="85" t="n">
        <v>13.43959452969996</v>
      </c>
      <c r="H150" s="84" t="n">
        <v>128711.77</v>
      </c>
      <c r="J150" s="86" t="n">
        <v>1996</v>
      </c>
      <c r="K150" s="87" t="n">
        <v>15.97</v>
      </c>
    </row>
    <row r="151"/>
    <row r="152">
      <c r="A152" s="80" t="inlineStr">
        <is>
          <t>Actual sales (account data)</t>
        </is>
      </c>
      <c r="B152" s="81" t="n"/>
      <c r="C152" s="82" t="n"/>
      <c r="D152" s="80" t="inlineStr">
        <is>
          <t>Sales</t>
        </is>
      </c>
      <c r="E152" s="80" t="inlineStr">
        <is>
          <t>Units</t>
        </is>
      </c>
      <c r="F152" s="80" t="inlineStr">
        <is>
          <t>Organic units</t>
        </is>
      </c>
      <c r="G152" s="80" t="inlineStr">
        <is>
          <t>Ad units</t>
        </is>
      </c>
      <c r="H152" s="80" t="inlineStr">
        <is>
          <t>Ad cost</t>
        </is>
      </c>
      <c r="J152" s="80" t="inlineStr">
        <is>
          <t>TACoS (actual)</t>
        </is>
      </c>
      <c r="K152" s="80" t="inlineStr">
        <is>
          <t>Sessions</t>
        </is>
      </c>
      <c r="L152" s="80" t="inlineStr">
        <is>
          <t>Unit session %</t>
        </is>
      </c>
      <c r="M152" s="80" t="inlineStr">
        <is>
          <t>Avg price</t>
        </is>
      </c>
      <c r="N152" s="80" t="inlineStr">
        <is>
          <t>Refunds</t>
        </is>
      </c>
    </row>
    <row r="153">
      <c r="A153" s="83" t="inlineStr">
        <is>
          <t>Pre-event Oct 21 - Nov 19, 2025 (30d)</t>
        </is>
      </c>
      <c r="B153" s="81" t="n"/>
      <c r="C153" s="82" t="n"/>
      <c r="D153" s="84" t="n">
        <v>47285.27</v>
      </c>
      <c r="E153" s="86" t="n">
        <v>1704</v>
      </c>
      <c r="F153" s="86" t="n">
        <v>1467</v>
      </c>
      <c r="G153" s="86" t="n">
        <v>237</v>
      </c>
      <c r="H153" s="84" t="n">
        <v>7149.69</v>
      </c>
      <c r="J153" s="88" t="n">
        <v>0.1512033239949777</v>
      </c>
      <c r="K153" s="86" t="n">
        <v>35756</v>
      </c>
      <c r="L153" s="88" t="n">
        <v>0.04765633739791923</v>
      </c>
      <c r="M153" s="89" t="n">
        <v>27.74957159624413</v>
      </c>
      <c r="N153" s="86" t="n">
        <v>79</v>
      </c>
    </row>
    <row r="154">
      <c r="A154" s="83" t="inlineStr">
        <is>
          <t>BFCM week Nov 20 - Dec 1, 2025 (12d)</t>
        </is>
      </c>
      <c r="B154" s="81" t="n"/>
      <c r="C154" s="82" t="n"/>
      <c r="D154" s="84" t="n">
        <v>61830.52</v>
      </c>
      <c r="E154" s="86" t="n">
        <v>2667</v>
      </c>
      <c r="F154" s="86" t="n">
        <v>2445</v>
      </c>
      <c r="G154" s="86" t="n">
        <v>222</v>
      </c>
      <c r="H154" s="84" t="n">
        <v>6602.74</v>
      </c>
      <c r="J154" s="88" t="n">
        <v>0.1067877158400091</v>
      </c>
      <c r="K154" s="86" t="n">
        <v>38883</v>
      </c>
      <c r="L154" s="88" t="n">
        <v>0.06859038654424814</v>
      </c>
      <c r="M154" s="89" t="n">
        <v>23.18354705661792</v>
      </c>
      <c r="N154" s="86" t="n">
        <v>34</v>
      </c>
    </row>
    <row r="155">
      <c r="A155" s="83" t="inlineStr">
        <is>
          <t>December 2 - 31, 2025 (30d)</t>
        </is>
      </c>
      <c r="B155" s="81" t="n"/>
      <c r="C155" s="82" t="n"/>
      <c r="D155" s="84" t="n">
        <v>97478.5</v>
      </c>
      <c r="E155" s="86" t="n">
        <v>3494</v>
      </c>
      <c r="F155" s="86" t="n">
        <v>3124</v>
      </c>
      <c r="G155" s="86" t="n">
        <v>370</v>
      </c>
      <c r="H155" s="84" t="n">
        <v>12895.29</v>
      </c>
      <c r="J155" s="88" t="n">
        <v>0.1322885559379761</v>
      </c>
      <c r="K155" s="86" t="n">
        <v>59789</v>
      </c>
      <c r="L155" s="88" t="n">
        <v>0.05843884326548362</v>
      </c>
      <c r="M155" s="89" t="n">
        <v>27.89882655981683</v>
      </c>
      <c r="N155" s="86" t="n">
        <v>192</v>
      </c>
    </row>
    <row r="156">
      <c r="A156" s="90" t="inlineStr">
        <is>
          <t>account data, Amazon parent B0CT3HF44M plus any of this product's child ASINs account data lists on their own, UTC days. Lift above uses these actual sales (3.27x; the ad-spend estimate was 3.27x). Amazon.ca sales here are in USD: account data converts to the account currency, while the market data table above is in CAD (ratio ~0.71). Lift is a ratio, so it is unaffected.</t>
        </is>
      </c>
    </row>
    <row r="157" ht="30" customHeight="1">
      <c r="A157" s="91" t="inlineStr">
        <is>
          <t>Deals we ran or scheduled, Nov 1 - Dec 5, 2025 (deal records promotions; scheduled deal price not in the feed. price history price = lowest Buy Box seen during the deal, an observation for the hero child only, not the scheduled deal price): Coupon 10-22 to 11-16 (ran, 2 variations); Lightning Deal 11-03 to 11-04 (ran, 112 variations, 56 units); Lightning Deal 11-11 to 11-12 (ran, 112 variations, 79 units); Best Deal 11-20 to 12-02 (ran, 111 variations, 2,614 units).</t>
        </is>
      </c>
    </row>
    <row r="158" ht="18" customHeight="1">
      <c r="A158" s="92" t="inlineStr">
        <is>
          <t>BFCM 2026 plan: Best Deal 11/19-11/30. Deal price and depth not yet given; not yet visible in Amazon's deal feed.</t>
        </is>
      </c>
    </row>
    <row r="159" ht="30" customHeight="1">
      <c r="A159" s="94" t="inlineStr">
        <is>
          <t>BFCM 2026 stock (account data, Oct 15): 2,705 units at Amazon + 940 already sent (no ETA in account data); selling 25.4 a day; need about 1,862 to Nov 30 with a 3.27x BFCM lift (own BFCM 2025 lift (account data)). Variations: 56 covered, 1 need the inbound in time, 16 short even with inbound (768 units), 26 out of stock now. Detail: BFCM Stock tab.</t>
        </is>
      </c>
    </row>
    <row r="160" ht="18" customHeight="1">
      <c r="A160" s="95" t="inlineStr">
        <is>
          <t>ASSUMED 2026 deal prices, until the team's final: B0839MKJMV today C$47.99; C$40.79 at 15% off (Nov 19-26) and C$38.39 at 20% off (Nov 27-30, Black Friday to Cyber Monday). Rule: team rule agreed Oct 15, 2026. Evidence: our BFCM 2025 deal on B0839MKJMV (US, price history): $29.95 before, $25.46 during, 15% off; US competitors' median price cut in BFCM 2025: 8% (3 rivals). Amazon may use a lower reference price than today's (it sets it the day before the deal), which would lower the deal price.</t>
        </is>
      </c>
    </row>
    <row r="161" ht="40" customHeight="1">
      <c r="A161" s="91" t="inlineStr">
        <is>
          <t>Stock in BFCM week 2025 (FBA inventory snapshots, child-ASIN level, revision 2): 1 of 117 variations hit zero FBA stock on at least one observed day; weighted by today's sales mix that is ~0.4% of variation-days lost. Most important: B0839LQG4C 1/9 days. Days with no snapshot (Nov 24, 29 and 30), inferred from sales that day and the readings either side: 333 of 354 variation-days in stock, 0 out of stock, 21 unknown. Inferred, not a stock reading.</t>
        </is>
      </c>
    </row>
    <row r="162">
      <c r="A162" s="90" t="inlineStr">
        <is>
          <t>Figures above are Amazon.ca in CAD. Visibility history is held for US ASINs only.</t>
        </is>
      </c>
    </row>
    <row r="163"/>
    <row r="164" ht="22" customHeight="1">
      <c r="A164" s="65" t="inlineStr">
        <is>
          <t>4 ▼</t>
        </is>
      </c>
      <c r="B164" s="66" t="inlineStr">
        <is>
          <t>COMPETITOR LANDSCAPE (15 mapped)</t>
        </is>
      </c>
      <c r="C164" s="67" t="n"/>
      <c r="D164" s="67" t="n"/>
      <c r="E164" s="67" t="n"/>
      <c r="F164" s="67" t="n"/>
      <c r="G164" s="67" t="n"/>
      <c r="H164" s="67" t="n"/>
      <c r="I164" s="67" t="n"/>
      <c r="J164" s="67" t="n"/>
      <c r="K164" s="67" t="n"/>
      <c r="L164" s="67" t="n"/>
      <c r="M164" s="67" t="n"/>
      <c r="N164" s="67" t="n"/>
      <c r="O164" s="67" t="n"/>
      <c r="P164" s="67" t="n"/>
      <c r="Q164" s="67" t="n"/>
      <c r="R164" s="67" t="n"/>
      <c r="S164" s="67" t="n"/>
      <c r="T164" s="67" t="n"/>
      <c r="U164" s="67" t="n"/>
      <c r="V164" s="67" t="n"/>
      <c r="W164" s="67" t="n"/>
      <c r="X164" s="67" t="n"/>
      <c r="Y164" s="67" t="n"/>
      <c r="Z164" s="67" t="n"/>
      <c r="AA164" s="67" t="n"/>
      <c r="AB164" s="67" t="n"/>
      <c r="AC164" s="67" t="n"/>
      <c r="AD164" s="67" t="n"/>
      <c r="AE164" s="67" t="n"/>
      <c r="AF164" s="67" t="n"/>
      <c r="AG164" s="67" t="n"/>
      <c r="AH164" s="67" t="n"/>
      <c r="AI164" s="67" t="n"/>
      <c r="AJ164" s="67" t="n"/>
      <c r="AK164" s="67" t="n"/>
      <c r="AL164" s="67" t="n"/>
      <c r="AM164" s="67" t="n"/>
      <c r="AN164" s="67" t="n"/>
      <c r="AO164" s="67" t="n"/>
      <c r="AP164" s="67" t="n"/>
      <c r="AQ164" s="67" t="n"/>
      <c r="AR164" s="67" t="n"/>
      <c r="AS164" s="67" t="n"/>
      <c r="AT164" s="67" t="n"/>
      <c r="AU164" s="67" t="n"/>
      <c r="AV164" s="67" t="n"/>
      <c r="AW164" s="67" t="n"/>
      <c r="AX164" s="67" t="n"/>
      <c r="AY164" s="67" t="n"/>
      <c r="AZ164" s="67" t="n"/>
      <c r="BA164" s="67" t="n"/>
      <c r="BB164" s="67" t="n"/>
      <c r="BC164" s="67" t="n"/>
      <c r="BD164" s="67" t="n"/>
      <c r="BE164" s="67" t="n"/>
      <c r="BF164" s="67" t="n"/>
      <c r="BG164" s="67" t="n"/>
      <c r="BH164" s="67" t="n"/>
      <c r="BI164" s="67" t="n"/>
      <c r="BJ164" s="67" t="n"/>
      <c r="BK164" s="67" t="n"/>
    </row>
    <row r="165" ht="20" customHeight="1">
      <c r="A165" s="96" t="inlineStr">
        <is>
          <t>▼▼▼</t>
        </is>
      </c>
      <c r="B165" s="97" t="inlineStr">
        <is>
          <t>COMPETITOR DATA BELOW: one row per competitor (11 direct first, then alternative material). Scroll right for listing, search, strikethrough now and BFCM 2025 history (deal type, price, discount, rank change).</t>
        </is>
      </c>
      <c r="C165" s="98" t="n"/>
      <c r="D165" s="98" t="n"/>
      <c r="E165" s="98" t="n"/>
      <c r="F165" s="98" t="n"/>
      <c r="G165" s="98" t="n"/>
      <c r="H165" s="98" t="n"/>
      <c r="I165" s="98" t="n"/>
      <c r="J165" s="98" t="n"/>
      <c r="K165" s="98" t="n"/>
      <c r="L165" s="98" t="n"/>
      <c r="M165" s="98" t="n"/>
      <c r="N165" s="98" t="n"/>
      <c r="O165" s="98" t="n"/>
      <c r="P165" s="98" t="n"/>
      <c r="Q165" s="98" t="n"/>
      <c r="R165" s="98" t="n"/>
      <c r="S165" s="98" t="n"/>
      <c r="T165" s="98" t="n"/>
      <c r="U165" s="98" t="n"/>
      <c r="V165" s="98" t="n"/>
      <c r="W165" s="98" t="n"/>
      <c r="X165" s="98" t="n"/>
      <c r="Y165" s="98" t="n"/>
      <c r="Z165" s="98" t="n"/>
      <c r="AA165" s="98" t="n"/>
      <c r="AB165" s="98" t="n"/>
      <c r="AC165" s="98" t="n"/>
      <c r="AD165" s="98" t="n"/>
      <c r="AE165" s="98" t="n"/>
      <c r="AF165" s="98" t="n"/>
      <c r="AG165" s="98" t="n"/>
      <c r="AH165" s="98" t="n"/>
      <c r="AI165" s="98" t="n"/>
      <c r="AJ165" s="98" t="n"/>
      <c r="AK165" s="98" t="n"/>
      <c r="AL165" s="98" t="n"/>
      <c r="AM165" s="98" t="n"/>
      <c r="AN165" s="98" t="n"/>
      <c r="AO165" s="98" t="n"/>
      <c r="AP165" s="98" t="n"/>
      <c r="AQ165" s="98" t="n"/>
      <c r="AR165" s="98" t="n"/>
      <c r="AS165" s="98" t="n"/>
      <c r="AT165" s="98" t="n"/>
      <c r="AU165" s="98" t="n"/>
      <c r="AV165" s="98" t="n"/>
      <c r="AW165" s="98" t="n"/>
      <c r="AX165" s="98" t="n"/>
      <c r="AY165" s="98" t="n"/>
      <c r="AZ165" s="98" t="n"/>
      <c r="BA165" s="98" t="n"/>
      <c r="BB165" s="98" t="n"/>
      <c r="BC165" s="98" t="n"/>
      <c r="BD165" s="98" t="n"/>
      <c r="BE165" s="98" t="n"/>
      <c r="BF165" s="98" t="n"/>
      <c r="BG165" s="98" t="n"/>
      <c r="BH165" s="98" t="n"/>
      <c r="BI165" s="98" t="n"/>
      <c r="BJ165" s="98" t="n"/>
      <c r="BK165" s="98" t="n"/>
    </row>
    <row r="166" ht="30" customHeight="1">
      <c r="A166"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67">
      <c r="A167" s="99" t="inlineStr">
        <is>
          <t>COMPETITOR</t>
        </is>
      </c>
      <c r="L167" s="100" t="inlineStr">
        <is>
          <t>LISTING - catalog data</t>
        </is>
      </c>
      <c r="M167" s="101" t="inlineStr">
        <is>
          <t>SEARCH STRATEGY - market data search data</t>
        </is>
      </c>
      <c r="N167" s="102" t="inlineStr">
        <is>
          <t>PRICE &amp; SALES - market data snapshot (date per row)</t>
        </is>
      </c>
      <c r="AA167" s="100" t="inlineStr">
        <is>
          <t>LISTING - catalog data</t>
        </is>
      </c>
      <c r="AD167" s="101" t="inlineStr">
        <is>
          <t>SEARCH STRATEGY - market data search data</t>
        </is>
      </c>
      <c r="AU167" s="103" t="inlineStr">
        <is>
          <t>STR NOW - Amazon page check (Oct 13, P1 + P2)</t>
        </is>
      </c>
      <c r="BB167" s="104" t="inlineStr">
        <is>
          <t>BFCM 2025 - price history (P1 filled; yellow = not pulled yet)</t>
        </is>
      </c>
    </row>
    <row r="168" ht="48" customHeight="1">
      <c r="A168" s="26" t="inlineStr">
        <is>
          <t>Image</t>
        </is>
      </c>
      <c r="B168" s="26" t="inlineStr">
        <is>
          <t>Brand</t>
        </is>
      </c>
      <c r="C168" s="26" t="inlineStr">
        <is>
          <t>Product title</t>
        </is>
      </c>
      <c r="D168" s="26" t="inlineStr">
        <is>
          <t>Tier</t>
        </is>
      </c>
      <c r="E168" s="26" t="inlineStr">
        <is>
          <t>Competitor type</t>
        </is>
      </c>
      <c r="F168" s="26" t="inlineStr">
        <is>
          <t>Material</t>
        </is>
      </c>
      <c r="G168" s="26" t="inlineStr">
        <is>
          <t>Why this type</t>
        </is>
      </c>
      <c r="H168" s="26" t="inlineStr">
        <is>
          <t>Parent ASIN</t>
        </is>
      </c>
      <c r="I168" s="26" t="inlineStr">
        <is>
          <t>Tracked child ASIN</t>
        </is>
      </c>
      <c r="J168" s="26" t="inlineStr">
        <is>
          <t>Size</t>
        </is>
      </c>
      <c r="K168" s="26" t="inlineStr">
        <is>
          <t>Colour</t>
        </is>
      </c>
      <c r="L168" s="26" t="inlineStr">
        <is>
          <t>Variations</t>
        </is>
      </c>
      <c r="M168" s="26" t="inlineStr">
        <is>
          <t>Hero child ASINs (share of their visibility)</t>
        </is>
      </c>
      <c r="N168" s="26" t="inlineStr">
        <is>
          <t>Price ($)</t>
        </is>
      </c>
      <c r="O168" s="26" t="inlineStr">
        <is>
          <t>List Price ($)</t>
        </is>
      </c>
      <c r="P168" s="26" t="inlineStr">
        <is>
          <t>List Price % over</t>
        </is>
      </c>
      <c r="Q168" s="26" t="inlineStr">
        <is>
          <t>STR band</t>
        </is>
      </c>
      <c r="R168" s="26" t="inlineStr">
        <is>
          <t>Our price, same size ($)</t>
        </is>
      </c>
      <c r="S168" s="26" t="inlineStr">
        <is>
          <t>Their price vs ours</t>
        </is>
      </c>
      <c r="T168" s="26" t="inlineStr">
        <is>
          <t>Comparison basis</t>
        </is>
      </c>
      <c r="U168" s="26" t="inlineStr">
        <is>
          <t>BSR</t>
        </is>
      </c>
      <c r="V168" s="26" t="inlineStr">
        <is>
          <t>Est weekly units</t>
        </is>
      </c>
      <c r="W168" s="26" t="inlineStr">
        <is>
          <t>Est monthly revenue ($)</t>
        </is>
      </c>
      <c r="X168" s="26" t="inlineStr">
        <is>
          <t>Rating</t>
        </is>
      </c>
      <c r="Y168" s="26" t="inlineStr">
        <is>
          <t>Reviews</t>
        </is>
      </c>
      <c r="Z168" s="26" t="inlineStr">
        <is>
          <t>Snapshot date</t>
        </is>
      </c>
      <c r="AA168" s="26" t="inlineStr">
        <is>
          <t>Listed</t>
        </is>
      </c>
      <c r="AB168" s="26" t="inlineStr">
        <is>
          <t>Fulfil.</t>
        </is>
      </c>
      <c r="AC168" s="26" t="inlineStr">
        <is>
          <t>Seller country</t>
        </is>
      </c>
      <c r="AD168" s="26" t="inlineStr">
        <is>
          <t>search data 7d traffic</t>
        </is>
      </c>
      <c r="AE168" s="26" t="inlineStr">
        <is>
          <t>Keywords ranked</t>
        </is>
      </c>
      <c r="AF168" s="26" t="inlineStr">
        <is>
          <t>Organic share of traffic</t>
        </is>
      </c>
      <c r="AG168" s="26" t="inlineStr">
        <is>
          <t>Ad share of traffic</t>
        </is>
      </c>
      <c r="AH168" s="26" t="inlineStr">
        <is>
          <t>Top keyword</t>
        </is>
      </c>
      <c r="AI168" s="26" t="inlineStr">
        <is>
          <t>SP reach</t>
        </is>
      </c>
      <c r="AJ168" s="26" t="inlineStr">
        <is>
          <t>SB reach</t>
        </is>
      </c>
      <c r="AK168" s="26" t="inlineStr">
        <is>
          <t>SB video reach</t>
        </is>
      </c>
      <c r="AL168" s="26" t="inlineStr">
        <is>
          <t>Amazon's Choice reach</t>
        </is>
      </c>
      <c r="AM168" s="26" t="inlineStr">
        <is>
          <t>Shared keywords</t>
        </is>
      </c>
      <c r="AN168" s="26" t="inlineStr">
        <is>
          <t>We win</t>
        </is>
      </c>
      <c r="AO168" s="26" t="inlineStr">
        <is>
          <t>We lose</t>
        </is>
      </c>
      <c r="AP168" s="26" t="inlineStr">
        <is>
          <t>Their keywords we miss</t>
        </is>
      </c>
      <c r="AQ168" s="26" t="inlineStr">
        <is>
          <t>KWs they advertise, we don't</t>
        </is>
      </c>
      <c r="AR168" s="26" t="inlineStr">
        <is>
          <t>KWs they out-advertise us</t>
        </is>
      </c>
      <c r="AS168" s="26" t="inlineStr">
        <is>
          <t>Prime Day 2026 organic vis lift</t>
        </is>
      </c>
      <c r="AT168" s="26" t="inlineStr">
        <is>
          <t>Organic trend (Aug-Sep vs Q2)</t>
        </is>
      </c>
      <c r="AU168" s="26" t="inlineStr">
        <is>
          <t>STR showing now? (Y/N)</t>
        </is>
      </c>
      <c r="AV168" s="26" t="inlineStr">
        <is>
          <t>STR label</t>
        </is>
      </c>
      <c r="AW168" s="26" t="inlineStr">
        <is>
          <t>Strikethrough price ($)</t>
        </is>
      </c>
      <c r="AX168" s="26" t="inlineStr">
        <is>
          <t>Page price at check ($)</t>
        </is>
      </c>
      <c r="AY168" s="26" t="inlineStr">
        <is>
          <t>Deal / coupon now</t>
        </is>
      </c>
      <c r="AZ168" s="26" t="inlineStr">
        <is>
          <t>Orderable now (Y/N)</t>
        </is>
      </c>
      <c r="BA168" s="26" t="inlineStr">
        <is>
          <t>Checked (ET)</t>
        </is>
      </c>
      <c r="BB168" s="26" t="inlineStr">
        <is>
          <t>BFCM 2025 deal type</t>
        </is>
      </c>
      <c r="BC168" s="26" t="inlineStr">
        <is>
          <t>BFCM 2025 deal dates</t>
        </is>
      </c>
      <c r="BD168" s="26" t="inlineStr">
        <is>
          <t>Pre-event price ($)</t>
        </is>
      </c>
      <c r="BE168" s="26" t="inlineStr">
        <is>
          <t>BFCM 2025 low ($)</t>
        </is>
      </c>
      <c r="BF168" s="26" t="inlineStr">
        <is>
          <t>BFCM 2025 discount</t>
        </is>
      </c>
      <c r="BG168" s="26" t="inlineStr">
        <is>
          <t>BSR pre-event</t>
        </is>
      </c>
      <c r="BH168" s="26" t="inlineStr">
        <is>
          <t>BSR BFCM wk</t>
        </is>
      </c>
      <c r="BI168" s="26" t="inlineStr">
        <is>
          <t>BSR lift (x)</t>
        </is>
      </c>
      <c r="BJ168" s="26" t="inlineStr">
        <is>
          <t>OOS in BFCM? (Y/N)</t>
        </is>
      </c>
      <c r="BK168" s="26" t="inlineStr">
        <is>
          <t>Notes</t>
        </is>
      </c>
    </row>
    <row r="169" ht="62" customHeight="1">
      <c r="A169" s="12">
        <f>_xlfn.IMAGE("https://m.media-amazon.com/images/I/71zGuoeuSrL.jpg")</f>
        <v/>
      </c>
      <c r="B169" s="105" t="inlineStr">
        <is>
          <t>MR&amp;HM</t>
        </is>
      </c>
      <c r="C169" s="39" t="inlineStr">
        <is>
          <t>MR&amp;HM Satin Sheets Queen Size with Elastic Corner Straps, Black</t>
        </is>
      </c>
      <c r="D169" s="105" t="inlineStr">
        <is>
          <t>Untiered</t>
        </is>
      </c>
      <c r="E169" s="106" t="inlineStr">
        <is>
          <t>Direct</t>
        </is>
      </c>
      <c r="F169" s="105" t="inlineStr">
        <is>
          <t>Satin (polyester)</t>
        </is>
      </c>
      <c r="G169" s="39" t="inlineStr">
        <is>
          <t>Same product (sheet set) in the same material family: Satin (polyester) (title: MR&amp;HM Satin Sheets Queen Size with Elastic Corner Straps, Bl); ours: our listing: polyester satin.</t>
        </is>
      </c>
      <c r="H169" s="107" t="inlineStr">
        <is>
          <t>B08NPFTQWB</t>
        </is>
      </c>
      <c r="I169" s="107" t="inlineStr">
        <is>
          <t>B08HM6WT6X</t>
        </is>
      </c>
      <c r="J169" s="105" t="inlineStr">
        <is>
          <t>Queen</t>
        </is>
      </c>
      <c r="K169" s="105" t="inlineStr">
        <is>
          <t>01- Black</t>
        </is>
      </c>
      <c r="L169" s="108" t="n">
        <v>182</v>
      </c>
      <c r="M169" s="39" t="n"/>
      <c r="N169" s="109" t="n">
        <v>40.99</v>
      </c>
      <c r="O169" s="109" t="n"/>
      <c r="P169" s="110">
        <f>IF(AND(ISNUMBER(O169),ISNUMBER(N169),N(N169)&gt;0),O169/N169-1,"")</f>
        <v/>
      </c>
      <c r="Q169" s="111">
        <f>IF(P169="","No List Price",IF(P169&lt;=0,"At/below price",IF(P169&lt;=0.12,"&lt;=12% STR zone",IF(P169&lt;=0.25,"12-25%","&gt;25% over"))))</f>
        <v/>
      </c>
      <c r="R169" s="109" t="n">
        <v>47.99</v>
      </c>
      <c r="S169" s="112">
        <f>IF(AND(ISNUMBER(N169),ISNUMBER(R169),N(R169)&gt;0),N169/R169-1,"")</f>
        <v/>
      </c>
      <c r="T169" s="39" t="inlineStr">
        <is>
          <t>Same size (Queen), CAD. Ours live: catalog price (CAD), 2026-10-14; 25 children</t>
        </is>
      </c>
      <c r="U169" s="108" t="n">
        <v>1512</v>
      </c>
      <c r="V169" s="108" t="n"/>
      <c r="W169" s="113">
        <f>IF(AND(ISNUMBER(N169),ISNUMBER(V169)),N169*V169*52/12,"")</f>
        <v/>
      </c>
      <c r="X169" s="114" t="n">
        <v>4.2</v>
      </c>
      <c r="Y169" s="108" t="n">
        <v>17432</v>
      </c>
      <c r="Z169" s="115" t="n">
        <v>46309</v>
      </c>
      <c r="AA169" s="115" t="n"/>
      <c r="AB169" s="105" t="n"/>
      <c r="AC169" s="105" t="n"/>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Y</t>
        </is>
      </c>
      <c r="AV169" s="118" t="inlineStr">
        <is>
          <t>Was price</t>
        </is>
      </c>
      <c r="AW169" s="119" t="n">
        <v>46.99</v>
      </c>
      <c r="AX169" s="119" t="n">
        <v>40.99</v>
      </c>
      <c r="AY169" s="118" t="inlineStr">
        <is>
          <t>none</t>
        </is>
      </c>
      <c r="AZ169" s="118" t="inlineStr">
        <is>
          <t>Y</t>
        </is>
      </c>
      <c r="BA169" s="118" t="inlineStr">
        <is>
          <t>2026-10-14 00:30:54</t>
        </is>
      </c>
      <c r="BB169" s="120" t="inlineStr">
        <is>
          <t>None</t>
        </is>
      </c>
      <c r="BC169" s="125" t="n"/>
      <c r="BD169" s="121" t="n">
        <v>39.99</v>
      </c>
      <c r="BE169" s="121" t="n">
        <v>38.39</v>
      </c>
      <c r="BF169" s="110">
        <f>IF(AND(ISNUMBER(BD169),ISNUMBER(BE169),N(BD169)&gt;0),1-BE169/BD169,"")</f>
        <v/>
      </c>
      <c r="BG169" s="122" t="n">
        <v>1684</v>
      </c>
      <c r="BH169" s="122" t="n">
        <v>985</v>
      </c>
      <c r="BI169" s="123">
        <f>IF(AND(ISNUMBER(BG169),ISNUMBER(BH169),N(BH169)&gt;0),BG169/BH169,"")</f>
        <v/>
      </c>
      <c r="BJ169" s="120" t="inlineStr">
        <is>
          <t>N</t>
        </is>
      </c>
      <c r="BK169" s="120" t="inlineStr">
        <is>
          <t>Amazon.ca organic #2 for 'satin sheets queen'; 100% Polyester Satin; 100+ bought in past month bought past month; variation_count = distinct children exposed in page variation map, not a guaranteed complete catalogue. price history: Prime Exclusive 11-01 to 12-05; Lightning Deal 11-14 to 11-14; Prime Exclusive already running before BFCM week; List Price C$47.99</t>
        </is>
      </c>
    </row>
    <row r="170" ht="62" customHeight="1">
      <c r="A170" s="12">
        <f>_xlfn.IMAGE("https://m.media-amazon.com/images/I/71zxqUjprTL.jpg")</f>
        <v/>
      </c>
      <c r="B170" s="105" t="inlineStr">
        <is>
          <t>BEDELITE</t>
        </is>
      </c>
      <c r="C170" s="39" t="inlineStr">
        <is>
          <t>BEDELITE Satin Sheets Queen Size Bed Set, Black, 4 Pieces</t>
        </is>
      </c>
      <c r="D170" s="105" t="inlineStr">
        <is>
          <t>Untiered</t>
        </is>
      </c>
      <c r="E170" s="106" t="inlineStr">
        <is>
          <t>Direct</t>
        </is>
      </c>
      <c r="F170" s="105" t="inlineStr">
        <is>
          <t>Satin (polyester)</t>
        </is>
      </c>
      <c r="G170" s="39" t="inlineStr">
        <is>
          <t>Same product (sheet set) in the same material family: Satin (polyester) (title: BEDELITE Satin Sheets Queen Size Bed Set, Black, 4 Pieces); ours: our listing: polyester satin.</t>
        </is>
      </c>
      <c r="H170" s="107" t="inlineStr">
        <is>
          <t>B0GJC51929</t>
        </is>
      </c>
      <c r="I170" s="107" t="inlineStr">
        <is>
          <t>B0GJCBX6CJ</t>
        </is>
      </c>
      <c r="J170" s="105" t="inlineStr">
        <is>
          <t>Queen</t>
        </is>
      </c>
      <c r="K170" s="105" t="inlineStr">
        <is>
          <t>Black</t>
        </is>
      </c>
      <c r="L170" s="108" t="n">
        <v>16</v>
      </c>
      <c r="M170" s="39" t="n"/>
      <c r="N170" s="109" t="n">
        <v>31.99</v>
      </c>
      <c r="O170" s="109" t="n"/>
      <c r="P170" s="110">
        <f>IF(AND(ISNUMBER(O170),ISNUMBER(N170),N(N170)&gt;0),O170/N170-1,"")</f>
        <v/>
      </c>
      <c r="Q170" s="111">
        <f>IF(P170="","No List Price",IF(P170&lt;=0,"At/below price",IF(P170&lt;=0.12,"&lt;=12% STR zone",IF(P170&lt;=0.25,"12-25%","&gt;25% over"))))</f>
        <v/>
      </c>
      <c r="R170" s="109" t="n">
        <v>47.99</v>
      </c>
      <c r="S170" s="112">
        <f>IF(AND(ISNUMBER(N170),ISNUMBER(R170),N(R170)&gt;0),N170/R170-1,"")</f>
        <v/>
      </c>
      <c r="T170" s="39" t="inlineStr">
        <is>
          <t>Same size (Queen), CAD. Ours live: catalog price (CAD), 2026-10-14; 25 children</t>
        </is>
      </c>
      <c r="U170" s="108" t="n">
        <v>8328</v>
      </c>
      <c r="V170" s="108" t="n"/>
      <c r="W170" s="113">
        <f>IF(AND(ISNUMBER(N170),ISNUMBER(V170)),N170*V170*52/12,"")</f>
        <v/>
      </c>
      <c r="X170" s="114" t="n">
        <v>4.1</v>
      </c>
      <c r="Y170" s="108" t="n">
        <v>346</v>
      </c>
      <c r="Z170" s="115" t="n">
        <v>46309</v>
      </c>
      <c r="AA170" s="115" t="n"/>
      <c r="AB170" s="105" t="n"/>
      <c r="AC170" s="105" t="n"/>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Y</t>
        </is>
      </c>
      <c r="AV170" s="118" t="inlineStr">
        <is>
          <t>Was price</t>
        </is>
      </c>
      <c r="AW170" s="119" t="n">
        <v>37.99</v>
      </c>
      <c r="AX170" s="119" t="n">
        <v>31.99</v>
      </c>
      <c r="AY170" s="118" t="inlineStr">
        <is>
          <t>none</t>
        </is>
      </c>
      <c r="AZ170" s="118" t="inlineStr">
        <is>
          <t>Y</t>
        </is>
      </c>
      <c r="BA170" s="118" t="inlineStr">
        <is>
          <t>2026-10-14 00:31:18</t>
        </is>
      </c>
      <c r="BB170" s="120" t="inlineStr">
        <is>
          <t>Not live in 2025</t>
        </is>
      </c>
      <c r="BC170" s="125" t="n"/>
      <c r="BD170" s="124" t="n"/>
      <c r="BE170" s="124" t="n"/>
      <c r="BF170" s="110">
        <f>IF(AND(ISNUMBER(BD170),ISNUMBER(BE170),N(BD170)&gt;0),1-BE170/BD170,"")</f>
        <v/>
      </c>
      <c r="BG170" s="126" t="n"/>
      <c r="BH170" s="126" t="n"/>
      <c r="BI170" s="123">
        <f>IF(AND(ISNUMBER(BG170),ISNUMBER(BH170),N(BH170)&gt;0),BG170/BH170,"")</f>
        <v/>
      </c>
      <c r="BJ170" s="125" t="n"/>
      <c r="BK170" s="120" t="inlineStr">
        <is>
          <t>Amazon.ca organic #3 for 'satin sheets queen'; 100% Polyester Satin; 100+ bought in past month bought past month; variation_count = distinct children exposed in page variation map, not a guaranteed complete catalogue.</t>
        </is>
      </c>
    </row>
    <row r="171" ht="62" customHeight="1">
      <c r="A171" s="12">
        <f>_xlfn.IMAGE("https://m.media-amazon.com/images/I/71C0hMb9zSL.jpg")</f>
        <v/>
      </c>
      <c r="B171" s="105" t="inlineStr">
        <is>
          <t>HENGWEITEXT</t>
        </is>
      </c>
      <c r="C171" s="39" t="inlineStr">
        <is>
          <t>HENGWEI Satin Sheet Set Queen Size, 4 Pieces Silky Bed Sheets with Deep Pocket, Luxury Soft Bedding Set Breathable and Cooling for Hair and Skin, 1 Flat Sheet, 1 Fitted Sheet, 2 Pillow Case</t>
        </is>
      </c>
      <c r="D171" s="105" t="inlineStr">
        <is>
          <t>Untiered</t>
        </is>
      </c>
      <c r="E171" s="106" t="inlineStr">
        <is>
          <t>Direct</t>
        </is>
      </c>
      <c r="F171" s="105" t="inlineStr">
        <is>
          <t>Satin (polyester)</t>
        </is>
      </c>
      <c r="G171" s="39" t="inlineStr">
        <is>
          <t>Same product (sheet set) in the same material family: Satin (polyester) (title: HENGWEI Satin Sheet Set Queen Size, 4 Pieces Silky Bed Sheet); ours: our listing: polyester satin.</t>
        </is>
      </c>
      <c r="H171" s="107" t="inlineStr">
        <is>
          <t>B0B1DDMNRF</t>
        </is>
      </c>
      <c r="I171" s="107" t="inlineStr">
        <is>
          <t>B0BYC3HK7X</t>
        </is>
      </c>
      <c r="J171" s="105" t="inlineStr">
        <is>
          <t>Queen</t>
        </is>
      </c>
      <c r="K171" s="105" t="inlineStr">
        <is>
          <t>Sd-brown</t>
        </is>
      </c>
      <c r="L171" s="108" t="n">
        <v>23</v>
      </c>
      <c r="M171" s="39" t="n"/>
      <c r="N171" s="109" t="n">
        <v>31.99</v>
      </c>
      <c r="O171" s="109" t="n"/>
      <c r="P171" s="110">
        <f>IF(AND(ISNUMBER(O171),ISNUMBER(N171),N(N171)&gt;0),O171/N171-1,"")</f>
        <v/>
      </c>
      <c r="Q171" s="111">
        <f>IF(P171="","No List Price",IF(P171&lt;=0,"At/below price",IF(P171&lt;=0.12,"&lt;=12% STR zone",IF(P171&lt;=0.25,"12-25%","&gt;25% over"))))</f>
        <v/>
      </c>
      <c r="R171" s="109" t="n">
        <v>47.99</v>
      </c>
      <c r="S171" s="112">
        <f>IF(AND(ISNUMBER(N171),ISNUMBER(R171),N(R171)&gt;0),N171/R171-1,"")</f>
        <v/>
      </c>
      <c r="T171" s="39" t="inlineStr">
        <is>
          <t>Same size (Queen), CAD. Ours live: catalog price (CAD), 2026-10-14; 25 children</t>
        </is>
      </c>
      <c r="U171" s="108" t="n">
        <v>31358</v>
      </c>
      <c r="V171" s="108" t="n"/>
      <c r="W171" s="113">
        <f>IF(AND(ISNUMBER(N171),ISNUMBER(V171)),N171*V171*52/12,"")</f>
        <v/>
      </c>
      <c r="X171" s="114" t="n">
        <v>4.2</v>
      </c>
      <c r="Y171" s="108" t="n">
        <v>2515</v>
      </c>
      <c r="Z171" s="115" t="n">
        <v>46309</v>
      </c>
      <c r="AA171" s="115" t="n"/>
      <c r="AB171" s="105" t="n"/>
      <c r="AC171" s="105" t="n"/>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N</t>
        </is>
      </c>
      <c r="AV171" s="118" t="inlineStr">
        <is>
          <t>none</t>
        </is>
      </c>
      <c r="AW171" s="124" t="n"/>
      <c r="AX171" s="119" t="n">
        <v>31.99</v>
      </c>
      <c r="AY171" s="118" t="inlineStr">
        <is>
          <t>none</t>
        </is>
      </c>
      <c r="AZ171" s="118" t="inlineStr">
        <is>
          <t>Y</t>
        </is>
      </c>
      <c r="BA171" s="118" t="inlineStr">
        <is>
          <t>2026-10-14 00:33:00</t>
        </is>
      </c>
      <c r="BB171" s="120" t="inlineStr">
        <is>
          <t>Coupon only</t>
        </is>
      </c>
      <c r="BC171" s="120" t="inlineStr">
        <is>
          <t>11-01 to 12-05</t>
        </is>
      </c>
      <c r="BD171" s="124" t="n"/>
      <c r="BE171" s="124" t="n"/>
      <c r="BF171" s="110">
        <f>IF(AND(ISNUMBER(BD171),ISNUMBER(BE171),N(BD171)&gt;0),1-BE171/BD171,"")</f>
        <v/>
      </c>
      <c r="BG171" s="122" t="n">
        <v>14375</v>
      </c>
      <c r="BH171" s="122" t="n">
        <v>14375</v>
      </c>
      <c r="BI171" s="123">
        <f>IF(AND(ISNUMBER(BG171),ISNUMBER(BH171),N(BH171)&gt;0),BG171/BH171,"")</f>
        <v/>
      </c>
      <c r="BJ171" s="120" t="inlineStr">
        <is>
          <t>Y</t>
        </is>
      </c>
      <c r="BK171" s="120" t="inlineStr">
        <is>
          <t>Amazon.ca organic #5 for 'silk satin sheets'; Satin; Search child B0BYCB7QDF; selected Queen child B0BYC3HK7X. variation_count = distinct children exposed in page variation map, not a guaranteed complete catalogue price history: Coupon 20%</t>
        </is>
      </c>
    </row>
    <row r="172" ht="62" customHeight="1">
      <c r="A172" s="12">
        <f>_xlfn.IMAGE("https://m.media-amazon.com/images/I/71r48b+Sh9L.jpg")</f>
        <v/>
      </c>
      <c r="B172" s="105" t="inlineStr">
        <is>
          <t>GOLAL</t>
        </is>
      </c>
      <c r="C172" s="39" t="inlineStr">
        <is>
          <t>Black Satin Sheets Queen Size - 4 Pieces Luxury Silky Soft Bed Sheets</t>
        </is>
      </c>
      <c r="D172" s="105" t="inlineStr">
        <is>
          <t>Untiered</t>
        </is>
      </c>
      <c r="E172" s="106" t="inlineStr">
        <is>
          <t>Direct</t>
        </is>
      </c>
      <c r="F172" s="105" t="inlineStr">
        <is>
          <t>Satin (polyester)</t>
        </is>
      </c>
      <c r="G172" s="39" t="inlineStr">
        <is>
          <t>Same product (sheet set) in the same material family: Satin (polyester) (title: Black Satin Sheets Queen Size - 4 Pieces Luxury Silky Soft B); ours: our listing: polyester satin.</t>
        </is>
      </c>
      <c r="H172" s="107" t="inlineStr">
        <is>
          <t>B09JB7K1PP</t>
        </is>
      </c>
      <c r="I172" s="107" t="inlineStr">
        <is>
          <t>B09G17XZC5</t>
        </is>
      </c>
      <c r="J172" s="105" t="inlineStr">
        <is>
          <t>Queen</t>
        </is>
      </c>
      <c r="K172" s="105" t="inlineStr">
        <is>
          <t>Black</t>
        </is>
      </c>
      <c r="L172" s="108" t="n">
        <v>91</v>
      </c>
      <c r="M172" s="39" t="n"/>
      <c r="N172" s="109" t="n">
        <v>47.99</v>
      </c>
      <c r="O172" s="109" t="n"/>
      <c r="P172" s="110">
        <f>IF(AND(ISNUMBER(O172),ISNUMBER(N172),N(N172)&gt;0),O172/N172-1,"")</f>
        <v/>
      </c>
      <c r="Q172" s="111">
        <f>IF(P172="","No List Price",IF(P172&lt;=0,"At/below price",IF(P172&lt;=0.12,"&lt;=12% STR zone",IF(P172&lt;=0.25,"12-25%","&gt;25% over"))))</f>
        <v/>
      </c>
      <c r="R172" s="109" t="n">
        <v>47.99</v>
      </c>
      <c r="S172" s="112">
        <f>IF(AND(ISNUMBER(N172),ISNUMBER(R172),N(R172)&gt;0),N172/R172-1,"")</f>
        <v/>
      </c>
      <c r="T172" s="39" t="inlineStr">
        <is>
          <t>Same size (Queen), CAD. Ours live: catalog price (CAD), 2026-10-14; 25 children</t>
        </is>
      </c>
      <c r="U172" s="108" t="n">
        <v>18076</v>
      </c>
      <c r="V172" s="108" t="n"/>
      <c r="W172" s="113">
        <f>IF(AND(ISNUMBER(N172),ISNUMBER(V172)),N172*V172*52/12,"")</f>
        <v/>
      </c>
      <c r="X172" s="114" t="n">
        <v>4.2</v>
      </c>
      <c r="Y172" s="108" t="n">
        <v>1280</v>
      </c>
      <c r="Z172" s="115" t="n">
        <v>46309</v>
      </c>
      <c r="AA172" s="115" t="n"/>
      <c r="AB172" s="105" t="n"/>
      <c r="AC172" s="105" t="n"/>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N</t>
        </is>
      </c>
      <c r="AV172" s="118" t="inlineStr">
        <is>
          <t>none</t>
        </is>
      </c>
      <c r="AW172" s="124" t="n"/>
      <c r="AX172" s="119" t="n">
        <v>47.99</v>
      </c>
      <c r="AY172" s="118" t="inlineStr">
        <is>
          <t>none</t>
        </is>
      </c>
      <c r="AZ172" s="118" t="inlineStr">
        <is>
          <t>Y</t>
        </is>
      </c>
      <c r="BA172" s="118" t="inlineStr">
        <is>
          <t>2026-10-14 00:40:07</t>
        </is>
      </c>
      <c r="BB172" s="120" t="inlineStr">
        <is>
          <t>Prime Exclusive Discount</t>
        </is>
      </c>
      <c r="BC172" s="120" t="inlineStr">
        <is>
          <t>11-20 to 11-20</t>
        </is>
      </c>
      <c r="BD172" s="121" t="n">
        <v>47.99</v>
      </c>
      <c r="BE172" s="121" t="n">
        <v>34.55</v>
      </c>
      <c r="BF172" s="110">
        <f>IF(AND(ISNUMBER(BD172),ISNUMBER(BE172),N(BD172)&gt;0),1-BE172/BD172,"")</f>
        <v/>
      </c>
      <c r="BG172" s="122" t="n">
        <v>5247</v>
      </c>
      <c r="BH172" s="122" t="n">
        <v>5996</v>
      </c>
      <c r="BI172" s="123">
        <f>IF(AND(ISNUMBER(BG172),ISNUMBER(BH172),N(BH172)&gt;0),BG172/BH172,"")</f>
        <v/>
      </c>
      <c r="BJ172" s="120" t="inlineStr">
        <is>
          <t>N</t>
        </is>
      </c>
      <c r="BK172" s="120" t="inlineStr">
        <is>
          <t>Amazon.ca organic #7 for 'silk satin sheets'; 100% polyester; Exact standard Queen sheet/set option selected; pillowcase-only, short-Queen, multipack and different-piece-count options not substituted. Search child B09G18GF price history: List Price C$51.99</t>
        </is>
      </c>
    </row>
    <row r="173" ht="62" customHeight="1">
      <c r="A173" s="12">
        <f>_xlfn.IMAGE("https://m.media-amazon.com/images/I/71ujt2CgaQL.jpg")</f>
        <v/>
      </c>
      <c r="B173" s="105" t="inlineStr">
        <is>
          <t>BEDELITE</t>
        </is>
      </c>
      <c r="C173" s="39" t="inlineStr">
        <is>
          <t>BEDELITE Satin Sheets Queen Size Bed Set, Black, 4 Pieces</t>
        </is>
      </c>
      <c r="D173" s="105" t="inlineStr">
        <is>
          <t>Untiered</t>
        </is>
      </c>
      <c r="E173" s="106" t="inlineStr">
        <is>
          <t>Direct</t>
        </is>
      </c>
      <c r="F173" s="105" t="inlineStr">
        <is>
          <t>Satin (polyester)</t>
        </is>
      </c>
      <c r="G173" s="39" t="inlineStr">
        <is>
          <t>Same product (sheet set) in the same material family: Satin (polyester) (title: BEDELITE Satin Sheets Queen Size Bed Set, Black, 4 Pieces); ours: our listing: polyester satin.</t>
        </is>
      </c>
      <c r="H173" s="107" t="inlineStr">
        <is>
          <t>B0HHQTDM9B</t>
        </is>
      </c>
      <c r="I173" s="107" t="inlineStr">
        <is>
          <t>B0CSFTRP2X</t>
        </is>
      </c>
      <c r="J173" s="105" t="inlineStr">
        <is>
          <t>Queen</t>
        </is>
      </c>
      <c r="K173" s="105" t="inlineStr">
        <is>
          <t>Black</t>
        </is>
      </c>
      <c r="L173" s="108" t="n">
        <v>100</v>
      </c>
      <c r="M173" s="39" t="n"/>
      <c r="N173" s="109" t="n">
        <v>44.96</v>
      </c>
      <c r="O173" s="109" t="n"/>
      <c r="P173" s="110">
        <f>IF(AND(ISNUMBER(O173),ISNUMBER(N173),N(N173)&gt;0),O173/N173-1,"")</f>
        <v/>
      </c>
      <c r="Q173" s="111">
        <f>IF(P173="","No List Price",IF(P173&lt;=0,"At/below price",IF(P173&lt;=0.12,"&lt;=12% STR zone",IF(P173&lt;=0.25,"12-25%","&gt;25% over"))))</f>
        <v/>
      </c>
      <c r="R173" s="109" t="n">
        <v>47.99</v>
      </c>
      <c r="S173" s="112">
        <f>IF(AND(ISNUMBER(N173),ISNUMBER(R173),N(R173)&gt;0),N173/R173-1,"")</f>
        <v/>
      </c>
      <c r="T173" s="39" t="inlineStr">
        <is>
          <t>Same size (Queen), CAD. Ours live: catalog price (CAD), 2026-10-14; 25 children</t>
        </is>
      </c>
      <c r="U173" s="108" t="n">
        <v>128960</v>
      </c>
      <c r="V173" s="108" t="n"/>
      <c r="W173" s="113">
        <f>IF(AND(ISNUMBER(N173),ISNUMBER(V173)),N173*V173*52/12,"")</f>
        <v/>
      </c>
      <c r="X173" s="114" t="n">
        <v>4.4</v>
      </c>
      <c r="Y173" s="108" t="n">
        <v>5584</v>
      </c>
      <c r="Z173" s="115" t="n">
        <v>46309</v>
      </c>
      <c r="AA173" s="115" t="n"/>
      <c r="AB173" s="105" t="n"/>
      <c r="AC173" s="105" t="n"/>
      <c r="AD173" s="108" t="n"/>
      <c r="AE173" s="108" t="n"/>
      <c r="AF173" s="116" t="n"/>
      <c r="AG173" s="116" t="n"/>
      <c r="AH173" s="39" t="n"/>
      <c r="AI173" s="116" t="n"/>
      <c r="AJ173" s="116" t="n"/>
      <c r="AK173" s="116" t="n"/>
      <c r="AL173" s="116" t="n"/>
      <c r="AM173" s="108" t="n"/>
      <c r="AN173" s="108" t="n"/>
      <c r="AO173" s="108" t="n"/>
      <c r="AP173" s="108" t="n"/>
      <c r="AQ173" s="108" t="n"/>
      <c r="AR173" s="108" t="n"/>
      <c r="AS173" s="117" t="n"/>
      <c r="AT173" s="112" t="n"/>
      <c r="AU173" s="118" t="inlineStr">
        <is>
          <t>N</t>
        </is>
      </c>
      <c r="AV173" s="118" t="inlineStr">
        <is>
          <t>none</t>
        </is>
      </c>
      <c r="AW173" s="124" t="n"/>
      <c r="AX173" s="119" t="n">
        <v>44.96</v>
      </c>
      <c r="AY173" s="118" t="inlineStr">
        <is>
          <t>none</t>
        </is>
      </c>
      <c r="AZ173" s="118" t="inlineStr">
        <is>
          <t>Y</t>
        </is>
      </c>
      <c r="BA173" s="118" t="inlineStr">
        <is>
          <t>2026-10-14 00:35:12</t>
        </is>
      </c>
      <c r="BB173" s="120" t="inlineStr">
        <is>
          <t>Price cut only</t>
        </is>
      </c>
      <c r="BC173" s="120" t="inlineStr">
        <is>
          <t>12-01 to 12-01</t>
        </is>
      </c>
      <c r="BD173" s="121" t="n">
        <v>73.48</v>
      </c>
      <c r="BE173" s="121" t="n">
        <v>60.16</v>
      </c>
      <c r="BF173" s="110">
        <f>IF(AND(ISNUMBER(BD173),ISNUMBER(BE173),N(BD173)&gt;0),1-BE173/BD173,"")</f>
        <v/>
      </c>
      <c r="BG173" s="122" t="n">
        <v>173105</v>
      </c>
      <c r="BH173" s="122" t="n">
        <v>221814</v>
      </c>
      <c r="BI173" s="123">
        <f>IF(AND(ISNUMBER(BG173),ISNUMBER(BH173),N(BH173)&gt;0),BG173/BH173,"")</f>
        <v/>
      </c>
      <c r="BJ173" s="120" t="inlineStr">
        <is>
          <t>N</t>
        </is>
      </c>
      <c r="BK173" s="120" t="inlineStr">
        <is>
          <t>Amazon.ca organic #13 for 'satin sheets queen'; 100% Polyester Satin; variation_count = distinct children exposed in page variation map, not a guaranteed complete catalogue. Bought-past-month badge not displayed.</t>
        </is>
      </c>
    </row>
    <row r="174" ht="62" customHeight="1">
      <c r="A174" s="12">
        <f>_xlfn.IMAGE("https://m.media-amazon.com/images/I/81zLU1W0e8L.jpg")</f>
        <v/>
      </c>
      <c r="B174" s="105" t="inlineStr">
        <is>
          <t>Pure Bedding</t>
        </is>
      </c>
      <c r="C174" s="39" t="inlineStr">
        <is>
          <t>Pure Bedding Satin Sheets Queen [4-Piece, Black] Hotel Luxury Silky Bed Sheets - Extra Soft 1800 Microfiber Sheet Set, Wrinkle, Fade, Deep Pocket Fitted Sheet, Flat Sheet, Pillow Cases</t>
        </is>
      </c>
      <c r="D174" s="105" t="inlineStr">
        <is>
          <t>Untiered</t>
        </is>
      </c>
      <c r="E174" s="106" t="inlineStr">
        <is>
          <t>Direct</t>
        </is>
      </c>
      <c r="F174" s="105" t="inlineStr">
        <is>
          <t>Satin (polyester)</t>
        </is>
      </c>
      <c r="G174" s="39" t="inlineStr">
        <is>
          <t>Same product (sheet set) in the same material family: Satin (polyester) (title: Pure Bedding Satin Sheets Queen [4-Piece, Black] Hotel Luxur); ours: our listing: polyester satin.</t>
        </is>
      </c>
      <c r="H174" s="107" t="inlineStr">
        <is>
          <t>B07N6326HL</t>
        </is>
      </c>
      <c r="I174" s="107" t="inlineStr">
        <is>
          <t>B083G81VSH</t>
        </is>
      </c>
      <c r="J174" s="105" t="inlineStr">
        <is>
          <t>Queen</t>
        </is>
      </c>
      <c r="K174" s="105" t="inlineStr">
        <is>
          <t>Black</t>
        </is>
      </c>
      <c r="L174" s="108" t="n">
        <v>83</v>
      </c>
      <c r="M174" s="39" t="n"/>
      <c r="N174" s="109" t="n">
        <v>49.91</v>
      </c>
      <c r="O174" s="109" t="n"/>
      <c r="P174" s="110">
        <f>IF(AND(ISNUMBER(O174),ISNUMBER(N174),N(N174)&gt;0),O174/N174-1,"")</f>
        <v/>
      </c>
      <c r="Q174" s="111">
        <f>IF(P174="","No List Price",IF(P174&lt;=0,"At/below price",IF(P174&lt;=0.12,"&lt;=12% STR zone",IF(P174&lt;=0.25,"12-25%","&gt;25% over"))))</f>
        <v/>
      </c>
      <c r="R174" s="109" t="n">
        <v>47.99</v>
      </c>
      <c r="S174" s="112">
        <f>IF(AND(ISNUMBER(N174),ISNUMBER(R174),N(R174)&gt;0),N174/R174-1,"")</f>
        <v/>
      </c>
      <c r="T174" s="39" t="inlineStr">
        <is>
          <t>Same size (Queen), CAD. Ours live: catalog price (CAD), 2026-10-14; 25 children</t>
        </is>
      </c>
      <c r="U174" s="108" t="n">
        <v>188067</v>
      </c>
      <c r="V174" s="108" t="n"/>
      <c r="W174" s="113">
        <f>IF(AND(ISNUMBER(N174),ISNUMBER(V174)),N174*V174*52/12,"")</f>
        <v/>
      </c>
      <c r="X174" s="114" t="n">
        <v>4.2</v>
      </c>
      <c r="Y174" s="108" t="n">
        <v>12410</v>
      </c>
      <c r="Z174" s="115" t="n">
        <v>46309</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N</t>
        </is>
      </c>
      <c r="AV174" s="118" t="inlineStr">
        <is>
          <t>none</t>
        </is>
      </c>
      <c r="AW174" s="124" t="n"/>
      <c r="AX174" s="119" t="n">
        <v>49.91</v>
      </c>
      <c r="AY174" s="118" t="inlineStr">
        <is>
          <t>none</t>
        </is>
      </c>
      <c r="AZ174" s="118" t="inlineStr">
        <is>
          <t>Y</t>
        </is>
      </c>
      <c r="BA174" s="118" t="inlineStr">
        <is>
          <t>2026-10-14 00:35:19</t>
        </is>
      </c>
      <c r="BB174" s="120" t="inlineStr">
        <is>
          <t>Price cut only</t>
        </is>
      </c>
      <c r="BC174" s="120" t="inlineStr">
        <is>
          <t>11-20 to 11-25</t>
        </is>
      </c>
      <c r="BD174" s="121" t="n">
        <v>83.61</v>
      </c>
      <c r="BE174" s="121" t="n">
        <v>45.19</v>
      </c>
      <c r="BF174" s="110">
        <f>IF(AND(ISNUMBER(BD174),ISNUMBER(BE174),N(BD174)&gt;0),1-BE174/BD174,"")</f>
        <v/>
      </c>
      <c r="BG174" s="122" t="n">
        <v>33132</v>
      </c>
      <c r="BH174" s="122" t="n">
        <v>36310</v>
      </c>
      <c r="BI174" s="123">
        <f>IF(AND(ISNUMBER(BG174),ISNUMBER(BH174),N(BH174)&gt;0),BG174/BH174,"")</f>
        <v/>
      </c>
      <c r="BJ174" s="120" t="inlineStr">
        <is>
          <t>N</t>
        </is>
      </c>
      <c r="BK174" s="120" t="inlineStr">
        <is>
          <t>Amazon.ca organic #14 for 'silk satin sheets'; 100% Microfiber; variation_count = distinct children exposed in page variation map, not a guaranteed complete catalogue. Bought-past-month badge not displayed. price history: List Price C$49.99</t>
        </is>
      </c>
    </row>
    <row r="175" ht="62" customHeight="1">
      <c r="A175" s="12">
        <f>_xlfn.IMAGE("https://m.media-amazon.com/images/I/51r1auLPSDL.jpg")</f>
        <v/>
      </c>
      <c r="B175" s="105" t="inlineStr">
        <is>
          <t>Laura Ashley</t>
        </is>
      </c>
      <c r="C175" s="39" t="inlineStr">
        <is>
          <t>Laura Ashley - Queen Sheet Set, 100% Soft &amp; Silky Smooth Satin Bed Sheets, Deep Pockets, Bedding with Matching Fitted Sheet &amp; Pillowcases (Bliss Pink)</t>
        </is>
      </c>
      <c r="D175" s="105" t="inlineStr">
        <is>
          <t>Untiered</t>
        </is>
      </c>
      <c r="E175" s="106" t="inlineStr">
        <is>
          <t>Direct</t>
        </is>
      </c>
      <c r="F175" s="105" t="inlineStr">
        <is>
          <t>Satin (polyester)</t>
        </is>
      </c>
      <c r="G175" s="39" t="inlineStr">
        <is>
          <t>Same product (sheet set) in the same material family: Satin (polyester) (title: Laura Ashley - Queen Sheet Set, 100% Soft &amp; Silky Smooth Sat); ours: our listing: polyester satin.</t>
        </is>
      </c>
      <c r="H175" s="107" t="inlineStr">
        <is>
          <t>B0G3QQZTY9</t>
        </is>
      </c>
      <c r="I175" s="107" t="inlineStr">
        <is>
          <t>B0G3C5G8FR</t>
        </is>
      </c>
      <c r="J175" s="105" t="inlineStr">
        <is>
          <t>Queen</t>
        </is>
      </c>
      <c r="K175" s="105" t="inlineStr">
        <is>
          <t>Bliss Pink</t>
        </is>
      </c>
      <c r="L175" s="108" t="n">
        <v>8</v>
      </c>
      <c r="M175" s="39" t="n"/>
      <c r="N175" s="109" t="n">
        <v>48.67</v>
      </c>
      <c r="O175" s="109" t="n"/>
      <c r="P175" s="110">
        <f>IF(AND(ISNUMBER(O175),ISNUMBER(N175),N(N175)&gt;0),O175/N175-1,"")</f>
        <v/>
      </c>
      <c r="Q175" s="111">
        <f>IF(P175="","No List Price",IF(P175&lt;=0,"At/below price",IF(P175&lt;=0.12,"&lt;=12% STR zone",IF(P175&lt;=0.25,"12-25%","&gt;25% over"))))</f>
        <v/>
      </c>
      <c r="R175" s="109" t="n">
        <v>47.99</v>
      </c>
      <c r="S175" s="112">
        <f>IF(AND(ISNUMBER(N175),ISNUMBER(R175),N(R175)&gt;0),N175/R175-1,"")</f>
        <v/>
      </c>
      <c r="T175" s="39" t="inlineStr">
        <is>
          <t>Same size (Queen), CAD. Ours live: catalog price (CAD), 2026-10-14; 25 children</t>
        </is>
      </c>
      <c r="U175" s="108" t="n">
        <v>329859</v>
      </c>
      <c r="V175" s="108" t="n"/>
      <c r="W175" s="113">
        <f>IF(AND(ISNUMBER(N175),ISNUMBER(V175)),N175*V175*52/12,"")</f>
        <v/>
      </c>
      <c r="X175" s="114" t="n">
        <v>4.3</v>
      </c>
      <c r="Y175" s="108" t="n">
        <v>13</v>
      </c>
      <c r="Z175" s="115" t="n">
        <v>46309</v>
      </c>
      <c r="AA175" s="115" t="n"/>
      <c r="AB175" s="105" t="n"/>
      <c r="AC175" s="105" t="n"/>
      <c r="AD175" s="108" t="n"/>
      <c r="AE175" s="108" t="n"/>
      <c r="AF175" s="116" t="n"/>
      <c r="AG175" s="116" t="n"/>
      <c r="AH175" s="39" t="n"/>
      <c r="AI175" s="116" t="n"/>
      <c r="AJ175" s="116" t="n"/>
      <c r="AK175" s="116" t="n"/>
      <c r="AL175" s="116" t="n"/>
      <c r="AM175" s="108" t="n"/>
      <c r="AN175" s="108" t="n"/>
      <c r="AO175" s="108" t="n"/>
      <c r="AP175" s="108" t="n"/>
      <c r="AQ175" s="108" t="n"/>
      <c r="AR175" s="108" t="n"/>
      <c r="AS175" s="117" t="n"/>
      <c r="AT175" s="112" t="n"/>
      <c r="AU175" s="118" t="inlineStr">
        <is>
          <t>N</t>
        </is>
      </c>
      <c r="AV175" s="118" t="inlineStr">
        <is>
          <t>none</t>
        </is>
      </c>
      <c r="AW175" s="124" t="n"/>
      <c r="AX175" s="119" t="n">
        <v>48.67</v>
      </c>
      <c r="AY175" s="118" t="inlineStr">
        <is>
          <t>none</t>
        </is>
      </c>
      <c r="AZ175" s="118" t="inlineStr">
        <is>
          <t>Y</t>
        </is>
      </c>
      <c r="BA175" s="118" t="inlineStr">
        <is>
          <t>2026-10-14 00:35:30</t>
        </is>
      </c>
      <c r="BB175" s="120" t="inlineStr">
        <is>
          <t>Not live in 2025</t>
        </is>
      </c>
      <c r="BC175" s="125" t="n"/>
      <c r="BD175" s="124" t="n"/>
      <c r="BE175" s="124" t="n"/>
      <c r="BF175" s="110">
        <f>IF(AND(ISNUMBER(BD175),ISNUMBER(BE175),N(BD175)&gt;0),1-BE175/BD175,"")</f>
        <v/>
      </c>
      <c r="BG175" s="126" t="n"/>
      <c r="BH175" s="126" t="n"/>
      <c r="BI175" s="123">
        <f>IF(AND(ISNUMBER(BG175),ISNUMBER(BH175),N(BH175)&gt;0),BG175/BH175,"")</f>
        <v/>
      </c>
      <c r="BJ175" s="125" t="n"/>
      <c r="BK175" s="120" t="inlineStr">
        <is>
          <t>Amazon.ca organic #16 for 'satin sheets queen'; 100% Polyester; variation_count = distinct children exposed in page variation map, not a guaranteed complete catalogue. Bought-past-month badge not displayed.</t>
        </is>
      </c>
    </row>
    <row r="176" ht="62" customHeight="1">
      <c r="A176" s="12">
        <f>_xlfn.IMAGE("https://m.media-amazon.com/images/I/81zLU1W0e8L.jpg")</f>
        <v/>
      </c>
      <c r="B176" s="105" t="inlineStr">
        <is>
          <t>Pure Bedding</t>
        </is>
      </c>
      <c r="C176" s="39" t="inlineStr">
        <is>
          <t>Satin Sheets Queen [4-Piece, Black] Hotel Luxury Silky Bed Sheets - Extra Soft 1800 Microfiber Sheet Set, Wrinkle, Fade, Stain Resistant - Deep Pocket Fitted Sheet, Flat Sheet, Pillow Cases</t>
        </is>
      </c>
      <c r="D176" s="105" t="inlineStr">
        <is>
          <t>Untiered</t>
        </is>
      </c>
      <c r="E176" s="106" t="inlineStr">
        <is>
          <t>Direct</t>
        </is>
      </c>
      <c r="F176" s="105" t="inlineStr">
        <is>
          <t>Satin (polyester)</t>
        </is>
      </c>
      <c r="G176" s="39" t="inlineStr">
        <is>
          <t>Same product (sheet set) in the same material family: Satin (polyester) (title: Satin Sheets Queen [4-Piece, Black] Hotel Luxury Silky Bed S); ours: our listing: polyester satin.</t>
        </is>
      </c>
      <c r="H176" s="107" t="inlineStr">
        <is>
          <t>B0FMPR6QQ3</t>
        </is>
      </c>
      <c r="I176" s="107" t="inlineStr">
        <is>
          <t>B0FVJG1KD3</t>
        </is>
      </c>
      <c r="J176" s="105" t="inlineStr">
        <is>
          <t>Queen</t>
        </is>
      </c>
      <c r="K176" s="105" t="inlineStr">
        <is>
          <t>Black-01</t>
        </is>
      </c>
      <c r="L176" s="108" t="n">
        <v>1</v>
      </c>
      <c r="M176" s="39" t="n"/>
      <c r="N176" s="109" t="n">
        <v>32.4</v>
      </c>
      <c r="O176" s="109" t="n"/>
      <c r="P176" s="110">
        <f>IF(AND(ISNUMBER(O176),ISNUMBER(N176),N(N176)&gt;0),O176/N176-1,"")</f>
        <v/>
      </c>
      <c r="Q176" s="111">
        <f>IF(P176="","No List Price",IF(P176&lt;=0,"At/below price",IF(P176&lt;=0.12,"&lt;=12% STR zone",IF(P176&lt;=0.25,"12-25%","&gt;25% over"))))</f>
        <v/>
      </c>
      <c r="R176" s="109" t="n">
        <v>47.99</v>
      </c>
      <c r="S176" s="112">
        <f>IF(AND(ISNUMBER(N176),ISNUMBER(R176),N(R176)&gt;0),N176/R176-1,"")</f>
        <v/>
      </c>
      <c r="T176" s="39" t="inlineStr">
        <is>
          <t>Same size (Queen), CAD. Ours live: catalog price (CAD), 2026-10-14; 25 children</t>
        </is>
      </c>
      <c r="U176" s="108" t="n">
        <v>887952</v>
      </c>
      <c r="V176" s="108" t="n"/>
      <c r="W176" s="113">
        <f>IF(AND(ISNUMBER(N176),ISNUMBER(V176)),N176*V176*52/12,"")</f>
        <v/>
      </c>
      <c r="X176" s="114" t="n">
        <v>4.2</v>
      </c>
      <c r="Y176" s="108" t="n">
        <v>41</v>
      </c>
      <c r="Z176" s="115" t="n">
        <v>46309</v>
      </c>
      <c r="AA176" s="115" t="n"/>
      <c r="AB176" s="105" t="n"/>
      <c r="AC176" s="105" t="n"/>
      <c r="AD176" s="108" t="n"/>
      <c r="AE176" s="108" t="n"/>
      <c r="AF176" s="116" t="n"/>
      <c r="AG176" s="116" t="n"/>
      <c r="AH176" s="39" t="n"/>
      <c r="AI176" s="116" t="n"/>
      <c r="AJ176" s="116" t="n"/>
      <c r="AK176" s="116" t="n"/>
      <c r="AL176" s="116" t="n"/>
      <c r="AM176" s="108" t="n"/>
      <c r="AN176" s="108" t="n"/>
      <c r="AO176" s="108" t="n"/>
      <c r="AP176" s="108" t="n"/>
      <c r="AQ176" s="108" t="n"/>
      <c r="AR176" s="108" t="n"/>
      <c r="AS176" s="117" t="n"/>
      <c r="AT176" s="112" t="n"/>
      <c r="AU176" s="118" t="inlineStr">
        <is>
          <t>N</t>
        </is>
      </c>
      <c r="AV176" s="118" t="inlineStr">
        <is>
          <t>none</t>
        </is>
      </c>
      <c r="AW176" s="124" t="n"/>
      <c r="AX176" s="119" t="n">
        <v>32.4</v>
      </c>
      <c r="AY176" s="118" t="inlineStr">
        <is>
          <t>none</t>
        </is>
      </c>
      <c r="AZ176" s="118" t="inlineStr">
        <is>
          <t>Y</t>
        </is>
      </c>
      <c r="BA176" s="118" t="inlineStr">
        <is>
          <t>2026-10-14 00:36:14</t>
        </is>
      </c>
      <c r="BB176" s="125" t="n"/>
      <c r="BC176" s="125" t="n"/>
      <c r="BD176" s="124" t="n"/>
      <c r="BE176" s="124" t="n"/>
      <c r="BF176" s="110">
        <f>IF(AND(ISNUMBER(BD176),ISNUMBER(BE176),N(BD176)&gt;0),1-BE176/BD176,"")</f>
        <v/>
      </c>
      <c r="BG176" s="126" t="n"/>
      <c r="BH176" s="126" t="n"/>
      <c r="BI176" s="123">
        <f>IF(AND(ISNUMBER(BG176),ISNUMBER(BH176),N(BH176)&gt;0),BG176/BH176,"")</f>
        <v/>
      </c>
      <c r="BJ176" s="125" t="n"/>
      <c r="BK176" s="120" t="inlineStr">
        <is>
          <t>Amazon.ca organic #22 for 'satin sheets queen'; 100% Microfiber; variation_count = distinct children exposed in page variation map, not a guaranteed complete catalogue. Bought-past-month badge not displayed. price history: No Buy Box history in price history for BFCM 2025</t>
        </is>
      </c>
    </row>
    <row r="177" ht="62" customHeight="1">
      <c r="A177" s="12">
        <f>_xlfn.IMAGE("https://m.media-amazon.com/images/I/81ogMf3izDL.jpg")</f>
        <v/>
      </c>
      <c r="B177" s="105" t="inlineStr">
        <is>
          <t>Lirex</t>
        </is>
      </c>
      <c r="C177" s="39" t="inlineStr">
        <is>
          <t>Lirex Satin Sheets Queen Size Bed Set, 4 Piece Sheet Set with 14" Deep Pocket, Luxury Smooth &amp; Soft Microfiber, Includes 1 Fitted Sheet, 1 Flat Sheet and 2 Pillowcases, Blue Daisy</t>
        </is>
      </c>
      <c r="D177" s="105" t="inlineStr">
        <is>
          <t>Untiered</t>
        </is>
      </c>
      <c r="E177" s="106" t="inlineStr">
        <is>
          <t>Direct</t>
        </is>
      </c>
      <c r="F177" s="105" t="inlineStr">
        <is>
          <t>Satin (polyester)</t>
        </is>
      </c>
      <c r="G177" s="39" t="inlineStr">
        <is>
          <t>Same product (sheet set) in the same material family: Satin (polyester) (title: Lirex Satin Sheets Queen Size Bed Set, 4 Piece Sheet Set wit); ours: our listing: polyester satin.</t>
        </is>
      </c>
      <c r="H177" s="107" t="inlineStr">
        <is>
          <t>B0GWPG1CXG</t>
        </is>
      </c>
      <c r="I177" s="107" t="inlineStr">
        <is>
          <t>B0GWPMHSL9</t>
        </is>
      </c>
      <c r="J177" s="105" t="inlineStr">
        <is>
          <t>Queen</t>
        </is>
      </c>
      <c r="K177" s="105" t="inlineStr">
        <is>
          <t>Blue Daisy</t>
        </is>
      </c>
      <c r="L177" s="108" t="n">
        <v>14</v>
      </c>
      <c r="M177" s="39" t="n"/>
      <c r="N177" s="109" t="n">
        <v>49.99</v>
      </c>
      <c r="O177" s="109" t="n"/>
      <c r="P177" s="110">
        <f>IF(AND(ISNUMBER(O177),ISNUMBER(N177),N(N177)&gt;0),O177/N177-1,"")</f>
        <v/>
      </c>
      <c r="Q177" s="111">
        <f>IF(P177="","No List Price",IF(P177&lt;=0,"At/below price",IF(P177&lt;=0.12,"&lt;=12% STR zone",IF(P177&lt;=0.25,"12-25%","&gt;25% over"))))</f>
        <v/>
      </c>
      <c r="R177" s="109" t="n">
        <v>47.99</v>
      </c>
      <c r="S177" s="112">
        <f>IF(AND(ISNUMBER(N177),ISNUMBER(R177),N(R177)&gt;0),N177/R177-1,"")</f>
        <v/>
      </c>
      <c r="T177" s="39" t="inlineStr">
        <is>
          <t>Same size (Queen), CAD. Ours live: catalog price (CAD), 2026-10-14; 25 children</t>
        </is>
      </c>
      <c r="U177" s="108" t="n">
        <v>96864</v>
      </c>
      <c r="V177" s="108" t="n"/>
      <c r="W177" s="113">
        <f>IF(AND(ISNUMBER(N177),ISNUMBER(V177)),N177*V177*52/12,"")</f>
        <v/>
      </c>
      <c r="X177" s="114" t="n">
        <v>4.6</v>
      </c>
      <c r="Y177" s="108" t="n">
        <v>4</v>
      </c>
      <c r="Z177" s="115" t="n">
        <v>46309</v>
      </c>
      <c r="AA177" s="115" t="n"/>
      <c r="AB177" s="105" t="n"/>
      <c r="AC177" s="105" t="n"/>
      <c r="AD177" s="108" t="n"/>
      <c r="AE177" s="108" t="n"/>
      <c r="AF177" s="116" t="n"/>
      <c r="AG177" s="116" t="n"/>
      <c r="AH177" s="39" t="n"/>
      <c r="AI177" s="116" t="n"/>
      <c r="AJ177" s="116" t="n"/>
      <c r="AK177" s="116" t="n"/>
      <c r="AL177" s="116" t="n"/>
      <c r="AM177" s="108" t="n"/>
      <c r="AN177" s="108" t="n"/>
      <c r="AO177" s="108" t="n"/>
      <c r="AP177" s="108" t="n"/>
      <c r="AQ177" s="108" t="n"/>
      <c r="AR177" s="108" t="n"/>
      <c r="AS177" s="117" t="n"/>
      <c r="AT177" s="112" t="n"/>
      <c r="AU177" s="118" t="inlineStr">
        <is>
          <t>N</t>
        </is>
      </c>
      <c r="AV177" s="118" t="inlineStr">
        <is>
          <t>none</t>
        </is>
      </c>
      <c r="AW177" s="124" t="n"/>
      <c r="AX177" s="119" t="n">
        <v>49.99</v>
      </c>
      <c r="AY177" s="118" t="inlineStr">
        <is>
          <t>none</t>
        </is>
      </c>
      <c r="AZ177" s="118" t="inlineStr">
        <is>
          <t>Y</t>
        </is>
      </c>
      <c r="BA177" s="118" t="inlineStr">
        <is>
          <t>2026-10-14 00:36:17</t>
        </is>
      </c>
      <c r="BB177" s="120" t="inlineStr">
        <is>
          <t>Not live in 2025</t>
        </is>
      </c>
      <c r="BC177" s="125" t="n"/>
      <c r="BD177" s="124" t="n"/>
      <c r="BE177" s="124" t="n"/>
      <c r="BF177" s="110">
        <f>IF(AND(ISNUMBER(BD177),ISNUMBER(BE177),N(BD177)&gt;0),1-BE177/BD177,"")</f>
        <v/>
      </c>
      <c r="BG177" s="126" t="n"/>
      <c r="BH177" s="126" t="n"/>
      <c r="BI177" s="123">
        <f>IF(AND(ISNUMBER(BG177),ISNUMBER(BH177),N(BH177)&gt;0),BG177/BH177,"")</f>
        <v/>
      </c>
      <c r="BJ177" s="125" t="n"/>
      <c r="BK177" s="120" t="inlineStr">
        <is>
          <t>Amazon.ca organic #22 for 'satin sheets king'; Polyester; Search child B0GWPTWBQL; selected Queen child B0GWPMHSL9. variation_count = distinct children exposed in page variation map, not a guaranteed complete catalogue</t>
        </is>
      </c>
    </row>
    <row r="178" ht="62" customHeight="1">
      <c r="A178" s="12">
        <f>_xlfn.IMAGE("https://m.media-amazon.com/images/I/8192od9R6kL.jpg")</f>
        <v/>
      </c>
      <c r="B178" s="105" t="inlineStr">
        <is>
          <t>Martex</t>
        </is>
      </c>
      <c r="C178" s="39" t="inlineStr">
        <is>
          <t>4-Piece Martex Elegance Satin Sheets | Queen Size Bed Sheets | Luxury Hotel Quality Bed Sheets Set | Satin Sheets | Silky Soft &amp; Smooth | Great for Hair &amp; Skin | Leopard Print Sheets | Leopard</t>
        </is>
      </c>
      <c r="D178" s="105" t="inlineStr">
        <is>
          <t>Untiered</t>
        </is>
      </c>
      <c r="E178" s="106" t="inlineStr">
        <is>
          <t>Direct</t>
        </is>
      </c>
      <c r="F178" s="105" t="inlineStr">
        <is>
          <t>Satin (polyester)</t>
        </is>
      </c>
      <c r="G178" s="39" t="inlineStr">
        <is>
          <t>Same product (sheet set) in the same material family: Satin (polyester) (title: 4-Piece Martex Elegance Satin Sheets | Queen Size Bed Sheets); ours: our listing: polyester satin.</t>
        </is>
      </c>
      <c r="H178" s="107" t="inlineStr">
        <is>
          <t>B07XTX3G7J</t>
        </is>
      </c>
      <c r="I178" s="107" t="inlineStr">
        <is>
          <t>B07X5DPMJ9</t>
        </is>
      </c>
      <c r="J178" s="105" t="inlineStr">
        <is>
          <t>Queen</t>
        </is>
      </c>
      <c r="K178" s="105" t="inlineStr">
        <is>
          <t>Brown</t>
        </is>
      </c>
      <c r="L178" s="108" t="n">
        <v>28</v>
      </c>
      <c r="M178" s="39" t="n"/>
      <c r="N178" s="109" t="n">
        <v>46.45</v>
      </c>
      <c r="O178" s="109" t="n"/>
      <c r="P178" s="110">
        <f>IF(AND(ISNUMBER(O178),ISNUMBER(N178),N(N178)&gt;0),O178/N178-1,"")</f>
        <v/>
      </c>
      <c r="Q178" s="111">
        <f>IF(P178="","No List Price",IF(P178&lt;=0,"At/below price",IF(P178&lt;=0.12,"&lt;=12% STR zone",IF(P178&lt;=0.25,"12-25%","&gt;25% over"))))</f>
        <v/>
      </c>
      <c r="R178" s="109" t="n">
        <v>47.99</v>
      </c>
      <c r="S178" s="112">
        <f>IF(AND(ISNUMBER(N178),ISNUMBER(R178),N(R178)&gt;0),N178/R178-1,"")</f>
        <v/>
      </c>
      <c r="T178" s="39" t="inlineStr">
        <is>
          <t>Same size (Queen), CAD. Ours live: catalog price (CAD), 2026-10-14; 25 children</t>
        </is>
      </c>
      <c r="U178" s="108" t="n">
        <v>56349</v>
      </c>
      <c r="V178" s="108" t="n"/>
      <c r="W178" s="113">
        <f>IF(AND(ISNUMBER(N178),ISNUMBER(V178)),N178*V178*52/12,"")</f>
        <v/>
      </c>
      <c r="X178" s="114" t="n">
        <v>4.2</v>
      </c>
      <c r="Y178" s="108" t="n">
        <v>1078</v>
      </c>
      <c r="Z178" s="115" t="n">
        <v>46309</v>
      </c>
      <c r="AA178" s="115" t="n"/>
      <c r="AB178" s="105" t="n"/>
      <c r="AC178" s="105" t="n"/>
      <c r="AD178" s="108" t="n"/>
      <c r="AE178" s="108" t="n"/>
      <c r="AF178" s="116" t="n"/>
      <c r="AG178" s="116" t="n"/>
      <c r="AH178" s="39" t="n"/>
      <c r="AI178" s="116" t="n"/>
      <c r="AJ178" s="116" t="n"/>
      <c r="AK178" s="116" t="n"/>
      <c r="AL178" s="116" t="n"/>
      <c r="AM178" s="108" t="n"/>
      <c r="AN178" s="108" t="n"/>
      <c r="AO178" s="108" t="n"/>
      <c r="AP178" s="108" t="n"/>
      <c r="AQ178" s="108" t="n"/>
      <c r="AR178" s="108" t="n"/>
      <c r="AS178" s="117" t="n"/>
      <c r="AT178" s="112" t="n"/>
      <c r="AU178" s="118" t="inlineStr">
        <is>
          <t>N</t>
        </is>
      </c>
      <c r="AV178" s="118" t="inlineStr">
        <is>
          <t>none</t>
        </is>
      </c>
      <c r="AW178" s="124" t="n"/>
      <c r="AX178" s="119" t="n">
        <v>46.45</v>
      </c>
      <c r="AY178" s="118" t="inlineStr">
        <is>
          <t>none</t>
        </is>
      </c>
      <c r="AZ178" s="118" t="inlineStr">
        <is>
          <t>Y</t>
        </is>
      </c>
      <c r="BA178" s="118" t="inlineStr">
        <is>
          <t>2026-10-14 00:36:33</t>
        </is>
      </c>
      <c r="BB178" s="120" t="inlineStr">
        <is>
          <t>None</t>
        </is>
      </c>
      <c r="BC178" s="125" t="n"/>
      <c r="BD178" s="121" t="n">
        <v>44.76</v>
      </c>
      <c r="BE178" s="121" t="n">
        <v>44.65</v>
      </c>
      <c r="BF178" s="110">
        <f>IF(AND(ISNUMBER(BD178),ISNUMBER(BE178),N(BD178)&gt;0),1-BE178/BD178,"")</f>
        <v/>
      </c>
      <c r="BG178" s="122" t="n">
        <v>75340</v>
      </c>
      <c r="BH178" s="122" t="n">
        <v>59351</v>
      </c>
      <c r="BI178" s="123">
        <f>IF(AND(ISNUMBER(BG178),ISNUMBER(BH178),N(BH178)&gt;0),BG178/BH178,"")</f>
        <v/>
      </c>
      <c r="BJ178" s="120" t="inlineStr">
        <is>
          <t>N</t>
        </is>
      </c>
      <c r="BK178" s="120" t="inlineStr">
        <is>
          <t>Amazon.ca organic #24 for 'satin sheets queen'; 100% Polyester; variation_count = distinct children exposed in page variation map, not a guaranteed complete catalogue. Bought-past-month badge not displayed.</t>
        </is>
      </c>
    </row>
    <row r="179" ht="62" customHeight="1">
      <c r="A179" s="12">
        <f>_xlfn.IMAGE("https://m.media-amazon.com/images/I/71jFV5g+prL.jpg")</f>
        <v/>
      </c>
      <c r="B179" s="105" t="inlineStr">
        <is>
          <t>Beatrice Home Fashions</t>
        </is>
      </c>
      <c r="C179" s="39" t="inlineStr">
        <is>
          <t>Elite Home Products 100% Luxury Satin Polyester Solid Sheet Set, Queen, Leopard</t>
        </is>
      </c>
      <c r="D179" s="105" t="inlineStr">
        <is>
          <t>Untiered</t>
        </is>
      </c>
      <c r="E179" s="106" t="inlineStr">
        <is>
          <t>Direct</t>
        </is>
      </c>
      <c r="F179" s="105" t="inlineStr">
        <is>
          <t>Satin (polyester)</t>
        </is>
      </c>
      <c r="G179" s="39" t="inlineStr">
        <is>
          <t>Same product (sheet set) in the same material family: Satin (polyester) (title: Elite Home Products 100% Luxury Satin Polyester Solid Sheet ); ours: our listing: polyester satin.</t>
        </is>
      </c>
      <c r="H179" s="107" t="inlineStr">
        <is>
          <t>B077NL4NZK</t>
        </is>
      </c>
      <c r="I179" s="107" t="inlineStr">
        <is>
          <t>B0721C4SD3</t>
        </is>
      </c>
      <c r="J179" s="105" t="inlineStr">
        <is>
          <t>Queen</t>
        </is>
      </c>
      <c r="K179" s="105" t="inlineStr">
        <is>
          <t>Leopard</t>
        </is>
      </c>
      <c r="L179" s="108" t="n">
        <v>9</v>
      </c>
      <c r="M179" s="39" t="n"/>
      <c r="N179" s="109" t="n">
        <v>42.49</v>
      </c>
      <c r="O179" s="109" t="n"/>
      <c r="P179" s="110">
        <f>IF(AND(ISNUMBER(O179),ISNUMBER(N179),N(N179)&gt;0),O179/N179-1,"")</f>
        <v/>
      </c>
      <c r="Q179" s="111">
        <f>IF(P179="","No List Price",IF(P179&lt;=0,"At/below price",IF(P179&lt;=0.12,"&lt;=12% STR zone",IF(P179&lt;=0.25,"12-25%","&gt;25% over"))))</f>
        <v/>
      </c>
      <c r="R179" s="109" t="n">
        <v>47.99</v>
      </c>
      <c r="S179" s="112">
        <f>IF(AND(ISNUMBER(N179),ISNUMBER(R179),N(R179)&gt;0),N179/R179-1,"")</f>
        <v/>
      </c>
      <c r="T179" s="39" t="inlineStr">
        <is>
          <t>Same size (Queen), CAD. Ours live: catalog price (CAD), 2026-10-14; 25 children</t>
        </is>
      </c>
      <c r="U179" s="108" t="n">
        <v>387847</v>
      </c>
      <c r="V179" s="108" t="n"/>
      <c r="W179" s="113">
        <f>IF(AND(ISNUMBER(N179),ISNUMBER(V179)),N179*V179*52/12,"")</f>
        <v/>
      </c>
      <c r="X179" s="114" t="n">
        <v>4</v>
      </c>
      <c r="Y179" s="108" t="n">
        <v>996</v>
      </c>
      <c r="Z179" s="115" t="n">
        <v>46309</v>
      </c>
      <c r="AA179" s="115" t="n"/>
      <c r="AB179" s="105" t="n"/>
      <c r="AC179" s="105" t="n"/>
      <c r="AD179" s="108" t="n"/>
      <c r="AE179" s="108" t="n"/>
      <c r="AF179" s="116" t="n"/>
      <c r="AG179" s="116" t="n"/>
      <c r="AH179" s="39" t="n"/>
      <c r="AI179" s="116" t="n"/>
      <c r="AJ179" s="116" t="n"/>
      <c r="AK179" s="116" t="n"/>
      <c r="AL179" s="116" t="n"/>
      <c r="AM179" s="108" t="n"/>
      <c r="AN179" s="108" t="n"/>
      <c r="AO179" s="108" t="n"/>
      <c r="AP179" s="108" t="n"/>
      <c r="AQ179" s="108" t="n"/>
      <c r="AR179" s="108" t="n"/>
      <c r="AS179" s="117" t="n"/>
      <c r="AT179" s="112" t="n"/>
      <c r="AU179" s="118" t="inlineStr">
        <is>
          <t>Y</t>
        </is>
      </c>
      <c r="AV179" s="118" t="inlineStr">
        <is>
          <t>Was price</t>
        </is>
      </c>
      <c r="AW179" s="119" t="n">
        <v>47.95</v>
      </c>
      <c r="AX179" s="119" t="n">
        <v>42.49</v>
      </c>
      <c r="AY179" s="118" t="inlineStr">
        <is>
          <t>none</t>
        </is>
      </c>
      <c r="AZ179" s="118" t="inlineStr">
        <is>
          <t>Y</t>
        </is>
      </c>
      <c r="BA179" s="118" t="inlineStr">
        <is>
          <t>2026-10-14 00:36:30</t>
        </is>
      </c>
      <c r="BB179" s="125" t="n"/>
      <c r="BC179" s="125" t="n"/>
      <c r="BD179" s="124" t="n"/>
      <c r="BE179" s="124" t="n"/>
      <c r="BF179" s="110">
        <f>IF(AND(ISNUMBER(BD179),ISNUMBER(BE179),N(BD179)&gt;0),1-BE179/BD179,"")</f>
        <v/>
      </c>
      <c r="BG179" s="122" t="n">
        <v>304968</v>
      </c>
      <c r="BH179" s="122" t="n">
        <v>304968</v>
      </c>
      <c r="BI179" s="123">
        <f>IF(AND(ISNUMBER(BG179),ISNUMBER(BH179),N(BH179)&gt;0),BG179/BH179,"")</f>
        <v/>
      </c>
      <c r="BJ179" s="120" t="inlineStr">
        <is>
          <t>Y</t>
        </is>
      </c>
      <c r="BK179" s="120" t="inlineStr">
        <is>
          <t>Amazon.ca organic #24 for 'satin sheets king'; 100% Polyester; Search child B072K5TZVP; selected Queen child B0721C4SD3. variation_count = distinct children exposed in page variation map, not a guaranteed complete catalogue price history: No Buy Box history in price history for BFCM 2025</t>
        </is>
      </c>
    </row>
    <row r="180" ht="62" customHeight="1">
      <c r="A180" s="12">
        <f>_xlfn.IMAGE("https://m.media-amazon.com/images/I/71MADUOjsFL.jpg")</f>
        <v/>
      </c>
      <c r="B180" s="105" t="inlineStr">
        <is>
          <t>Sasttie</t>
        </is>
      </c>
      <c r="C180" s="39" t="inlineStr">
        <is>
          <t>Sasttie Satin Sheets Queen - 4 Pieces Luxury Soft Black Silky Bed Sheets Set with Pillowcases - Smooth Silk-Like Drap Satin Fabric, Reinforced 14 Inches Pocket, Oeko-Tex Certified</t>
        </is>
      </c>
      <c r="D180" s="105" t="inlineStr">
        <is>
          <t>Untiered</t>
        </is>
      </c>
      <c r="E180" s="128" t="inlineStr">
        <is>
          <t>Alternative material</t>
        </is>
      </c>
      <c r="F180" s="105" t="inlineStr">
        <is>
          <t>Silk</t>
        </is>
      </c>
      <c r="G180" s="39" t="inlineStr">
        <is>
          <t>Sheet set in Silk (title: Sasttie Satin Sheets Queen - 4 Pieces Luxury Soft Black Silk); ours is Satin (polyester) (our listing: polyester satin). Shopper may cross-shop, but not like-for-like.</t>
        </is>
      </c>
      <c r="H180" s="107" t="inlineStr">
        <is>
          <t>B0F2HNJ52T</t>
        </is>
      </c>
      <c r="I180" s="107" t="inlineStr">
        <is>
          <t>B0F2H8LPB3</t>
        </is>
      </c>
      <c r="J180" s="105" t="inlineStr">
        <is>
          <t>Queen</t>
        </is>
      </c>
      <c r="K180" s="105" t="inlineStr">
        <is>
          <t>Black</t>
        </is>
      </c>
      <c r="L180" s="108" t="n">
        <v>83</v>
      </c>
      <c r="M180" s="39" t="n"/>
      <c r="N180" s="109" t="n">
        <v>31.99</v>
      </c>
      <c r="O180" s="109" t="n"/>
      <c r="P180" s="110">
        <f>IF(AND(ISNUMBER(O180),ISNUMBER(N180),N(N180)&gt;0),O180/N180-1,"")</f>
        <v/>
      </c>
      <c r="Q180" s="111">
        <f>IF(P180="","No List Price",IF(P180&lt;=0,"At/below price",IF(P180&lt;=0.12,"&lt;=12% STR zone",IF(P180&lt;=0.25,"12-25%","&gt;25% over"))))</f>
        <v/>
      </c>
      <c r="R180" s="109" t="n">
        <v>47.99</v>
      </c>
      <c r="S180" s="112">
        <f>IF(AND(ISNUMBER(N180),ISNUMBER(R180),N(R180)&gt;0),N180/R180-1,"")</f>
        <v/>
      </c>
      <c r="T180" s="39" t="inlineStr">
        <is>
          <t>Same size (Queen), CAD. Ours live: catalog price (CAD), 2026-10-14; 25 children</t>
        </is>
      </c>
      <c r="U180" s="108" t="n">
        <v>1428</v>
      </c>
      <c r="V180" s="108" t="n"/>
      <c r="W180" s="113">
        <f>IF(AND(ISNUMBER(N180),ISNUMBER(V180)),N180*V180*52/12,"")</f>
        <v/>
      </c>
      <c r="X180" s="114" t="n">
        <v>4.2</v>
      </c>
      <c r="Y180" s="108" t="n">
        <v>962</v>
      </c>
      <c r="Z180" s="115" t="n">
        <v>46309</v>
      </c>
      <c r="AA180" s="115" t="n"/>
      <c r="AB180" s="105" t="n"/>
      <c r="AC180" s="105" t="n"/>
      <c r="AD180" s="108" t="n"/>
      <c r="AE180" s="108" t="n"/>
      <c r="AF180" s="116" t="n"/>
      <c r="AG180" s="116" t="n"/>
      <c r="AH180" s="39" t="n"/>
      <c r="AI180" s="116" t="n"/>
      <c r="AJ180" s="116" t="n"/>
      <c r="AK180" s="116" t="n"/>
      <c r="AL180" s="116" t="n"/>
      <c r="AM180" s="108" t="n"/>
      <c r="AN180" s="108" t="n"/>
      <c r="AO180" s="108" t="n"/>
      <c r="AP180" s="108" t="n"/>
      <c r="AQ180" s="108" t="n"/>
      <c r="AR180" s="108" t="n"/>
      <c r="AS180" s="117" t="n"/>
      <c r="AT180" s="112" t="n"/>
      <c r="AU180" s="118" t="inlineStr">
        <is>
          <t>N</t>
        </is>
      </c>
      <c r="AV180" s="118" t="inlineStr">
        <is>
          <t>none</t>
        </is>
      </c>
      <c r="AW180" s="124" t="n"/>
      <c r="AX180" s="119" t="n">
        <v>31.99</v>
      </c>
      <c r="AY180" s="118" t="inlineStr">
        <is>
          <t>none</t>
        </is>
      </c>
      <c r="AZ180" s="118" t="inlineStr">
        <is>
          <t>Y</t>
        </is>
      </c>
      <c r="BA180" s="118" t="inlineStr">
        <is>
          <t>2026-10-14 00:30:30</t>
        </is>
      </c>
      <c r="BB180" s="120" t="inlineStr">
        <is>
          <t>None</t>
        </is>
      </c>
      <c r="BC180" s="125" t="n"/>
      <c r="BD180" s="121" t="n">
        <v>24.99</v>
      </c>
      <c r="BE180" s="121" t="n">
        <v>24.99</v>
      </c>
      <c r="BF180" s="110">
        <f>IF(AND(ISNUMBER(BD180),ISNUMBER(BE180),N(BD180)&gt;0),1-BE180/BD180,"")</f>
        <v/>
      </c>
      <c r="BG180" s="122" t="n">
        <v>2844</v>
      </c>
      <c r="BH180" s="122" t="n">
        <v>4410</v>
      </c>
      <c r="BI180" s="123">
        <f>IF(AND(ISNUMBER(BG180),ISNUMBER(BH180),N(BH180)&gt;0),BG180/BH180,"")</f>
        <v/>
      </c>
      <c r="BJ180" s="120" t="inlineStr">
        <is>
          <t>N</t>
        </is>
      </c>
      <c r="BK180" s="120" t="inlineStr">
        <is>
          <t>Amazon.ca organic #1 for 'satin sheets queen'; satin; 300+ bought in past month bought past month; Search child B0F2H9HRJJ; selected Queen child B0F2H8LPB3. variation_count = distinct children exposed in page variation map, not a guaranteed complete catalogue</t>
        </is>
      </c>
    </row>
    <row r="181" ht="62" customHeight="1">
      <c r="A181" s="12">
        <f>_xlfn.IMAGE("https://m.media-amazon.com/images/I/71tkklWokTL.jpg")</f>
        <v/>
      </c>
      <c r="B181" s="105" t="inlineStr">
        <is>
          <t>LIFCOM</t>
        </is>
      </c>
      <c r="C181" s="39" t="inlineStr">
        <is>
          <t>Satin Sheets Queen Size Bed Set,Similar to Silk Sheets,4Pcs Luxury Satin Sheet Set with 15 Inches Deep Pocket (Queen, Dark Grey)</t>
        </is>
      </c>
      <c r="D181" s="105" t="inlineStr">
        <is>
          <t>Untiered</t>
        </is>
      </c>
      <c r="E181" s="128" t="inlineStr">
        <is>
          <t>Alternative material</t>
        </is>
      </c>
      <c r="F181" s="105" t="inlineStr">
        <is>
          <t>Silk</t>
        </is>
      </c>
      <c r="G181" s="39" t="inlineStr">
        <is>
          <t>Sheet set in Silk (title: Satin Sheets Queen Size Bed Set,Similar to Silk Sheets,4Pcs ); ours is Satin (polyester) (our listing: polyester satin). Shopper may cross-shop, but not like-for-like.</t>
        </is>
      </c>
      <c r="H181" s="107" t="inlineStr">
        <is>
          <t>B0DJXBHN44</t>
        </is>
      </c>
      <c r="I181" s="107" t="inlineStr">
        <is>
          <t>B0DCC37WB3</t>
        </is>
      </c>
      <c r="J181" s="105" t="inlineStr">
        <is>
          <t>Queen</t>
        </is>
      </c>
      <c r="K181" s="105" t="inlineStr">
        <is>
          <t>Dark Grey</t>
        </is>
      </c>
      <c r="L181" s="108" t="n">
        <v>70</v>
      </c>
      <c r="M181" s="39" t="n"/>
      <c r="N181" s="109" t="n">
        <v>42.74</v>
      </c>
      <c r="O181" s="109" t="n"/>
      <c r="P181" s="110">
        <f>IF(AND(ISNUMBER(O181),ISNUMBER(N181),N(N181)&gt;0),O181/N181-1,"")</f>
        <v/>
      </c>
      <c r="Q181" s="111">
        <f>IF(P181="","No List Price",IF(P181&lt;=0,"At/below price",IF(P181&lt;=0.12,"&lt;=12% STR zone",IF(P181&lt;=0.25,"12-25%","&gt;25% over"))))</f>
        <v/>
      </c>
      <c r="R181" s="109" t="n">
        <v>47.99</v>
      </c>
      <c r="S181" s="112">
        <f>IF(AND(ISNUMBER(N181),ISNUMBER(R181),N(R181)&gt;0),N181/R181-1,"")</f>
        <v/>
      </c>
      <c r="T181" s="39" t="inlineStr">
        <is>
          <t>Same size (Queen), CAD. Ours live: catalog price (CAD), 2026-10-14; 25 children</t>
        </is>
      </c>
      <c r="U181" s="108" t="n">
        <v>72861</v>
      </c>
      <c r="V181" s="108" t="n"/>
      <c r="W181" s="113">
        <f>IF(AND(ISNUMBER(N181),ISNUMBER(V181)),N181*V181*52/12,"")</f>
        <v/>
      </c>
      <c r="X181" s="114" t="n">
        <v>4.3</v>
      </c>
      <c r="Y181" s="108" t="n">
        <v>351</v>
      </c>
      <c r="Z181" s="115" t="n">
        <v>46309</v>
      </c>
      <c r="AA181" s="115" t="n"/>
      <c r="AB181" s="105" t="n"/>
      <c r="AC181" s="105" t="n"/>
      <c r="AD181" s="108" t="n"/>
      <c r="AE181" s="108" t="n"/>
      <c r="AF181" s="116" t="n"/>
      <c r="AG181" s="116" t="n"/>
      <c r="AH181" s="39" t="n"/>
      <c r="AI181" s="116" t="n"/>
      <c r="AJ181" s="116" t="n"/>
      <c r="AK181" s="116" t="n"/>
      <c r="AL181" s="116" t="n"/>
      <c r="AM181" s="108" t="n"/>
      <c r="AN181" s="108" t="n"/>
      <c r="AO181" s="108" t="n"/>
      <c r="AP181" s="108" t="n"/>
      <c r="AQ181" s="108" t="n"/>
      <c r="AR181" s="108" t="n"/>
      <c r="AS181" s="117" t="n"/>
      <c r="AT181" s="112" t="n"/>
      <c r="AU181" s="118" t="inlineStr">
        <is>
          <t>Y</t>
        </is>
      </c>
      <c r="AV181" s="118" t="inlineStr">
        <is>
          <t>Was price</t>
        </is>
      </c>
      <c r="AW181" s="119" t="n">
        <v>44.99</v>
      </c>
      <c r="AX181" s="119" t="n">
        <v>42.74</v>
      </c>
      <c r="AY181" s="118" t="inlineStr">
        <is>
          <t>none</t>
        </is>
      </c>
      <c r="AZ181" s="118" t="inlineStr">
        <is>
          <t>Y</t>
        </is>
      </c>
      <c r="BA181" s="118" t="inlineStr">
        <is>
          <t>2026-10-14 00:35:27</t>
        </is>
      </c>
      <c r="BB181" s="120" t="inlineStr">
        <is>
          <t>Price cut only</t>
        </is>
      </c>
      <c r="BC181" s="120" t="inlineStr">
        <is>
          <t>11-30 to 12-01</t>
        </is>
      </c>
      <c r="BD181" s="121" t="n">
        <v>39.99</v>
      </c>
      <c r="BE181" s="121" t="n">
        <v>37.99</v>
      </c>
      <c r="BF181" s="110">
        <f>IF(AND(ISNUMBER(BD181),ISNUMBER(BE181),N(BD181)&gt;0),1-BE181/BD181,"")</f>
        <v/>
      </c>
      <c r="BG181" s="122" t="n">
        <v>31470</v>
      </c>
      <c r="BH181" s="122" t="n">
        <v>31390</v>
      </c>
      <c r="BI181" s="123">
        <f>IF(AND(ISNUMBER(BG181),ISNUMBER(BH181),N(BH181)&gt;0),BG181/BH181,"")</f>
        <v/>
      </c>
      <c r="BJ181" s="120" t="inlineStr">
        <is>
          <t>N</t>
        </is>
      </c>
      <c r="BK181" s="120" t="inlineStr">
        <is>
          <t>Amazon.ca organic #15 for 'silk satin sheets'; Satin; Search child B0DCC5T8MG; selected Queen child B0DCC37WB3. variation_count = distinct children exposed in page variation map, not a guaranteed complete catalogue</t>
        </is>
      </c>
    </row>
    <row r="182" ht="62" customHeight="1">
      <c r="A182" s="12">
        <f>_xlfn.IMAGE("https://m.media-amazon.com/images/I/71Ilt8ijNsL.jpg")</f>
        <v/>
      </c>
      <c r="B182" s="105" t="inlineStr">
        <is>
          <t>Lanest Housing</t>
        </is>
      </c>
      <c r="C182" s="39" t="inlineStr">
        <is>
          <t>Lanest Housing Silk Satin Sheets, 4-Piece Queen Size Satin Bed Sheet Set with Deep Pockets, Cooling Soft and Hypoallergenic Satin Sheets Queen - Black</t>
        </is>
      </c>
      <c r="D182" s="105" t="inlineStr">
        <is>
          <t>Untiered</t>
        </is>
      </c>
      <c r="E182" s="128" t="inlineStr">
        <is>
          <t>Alternative material</t>
        </is>
      </c>
      <c r="F182" s="105" t="inlineStr">
        <is>
          <t>Silk</t>
        </is>
      </c>
      <c r="G182" s="39" t="inlineStr">
        <is>
          <t>Sheet set in Silk (title: Lanest Housing Silk Satin Sheets, 4-Piece Queen Size Satin B); ours is Satin (polyester) (our listing: polyester satin). Shopper may cross-shop, but not like-for-like.</t>
        </is>
      </c>
      <c r="H182" s="107" t="inlineStr">
        <is>
          <t>B07WD4MJHW</t>
        </is>
      </c>
      <c r="I182" s="107" t="inlineStr">
        <is>
          <t>B07VWFV7MB</t>
        </is>
      </c>
      <c r="J182" s="105" t="inlineStr">
        <is>
          <t>Queen</t>
        </is>
      </c>
      <c r="K182" s="105" t="inlineStr">
        <is>
          <t>Black</t>
        </is>
      </c>
      <c r="L182" s="108" t="n">
        <v>146</v>
      </c>
      <c r="M182" s="39" t="n"/>
      <c r="N182" s="109" t="n">
        <v>43.77</v>
      </c>
      <c r="O182" s="109" t="n"/>
      <c r="P182" s="110">
        <f>IF(AND(ISNUMBER(O182),ISNUMBER(N182),N(N182)&gt;0),O182/N182-1,"")</f>
        <v/>
      </c>
      <c r="Q182" s="111">
        <f>IF(P182="","No List Price",IF(P182&lt;=0,"At/below price",IF(P182&lt;=0.12,"&lt;=12% STR zone",IF(P182&lt;=0.25,"12-25%","&gt;25% over"))))</f>
        <v/>
      </c>
      <c r="R182" s="109" t="n">
        <v>47.99</v>
      </c>
      <c r="S182" s="112">
        <f>IF(AND(ISNUMBER(N182),ISNUMBER(R182),N(R182)&gt;0),N182/R182-1,"")</f>
        <v/>
      </c>
      <c r="T182" s="39" t="inlineStr">
        <is>
          <t>Same size (Queen), CAD. Ours live: catalog price (CAD), 2026-10-14; 25 children</t>
        </is>
      </c>
      <c r="U182" s="108" t="n">
        <v>153252</v>
      </c>
      <c r="V182" s="108" t="n"/>
      <c r="W182" s="113">
        <f>IF(AND(ISNUMBER(N182),ISNUMBER(V182)),N182*V182*52/12,"")</f>
        <v/>
      </c>
      <c r="X182" s="114" t="n">
        <v>4.2</v>
      </c>
      <c r="Y182" s="108" t="n">
        <v>5574</v>
      </c>
      <c r="Z182" s="115" t="n">
        <v>46309</v>
      </c>
      <c r="AA182" s="115" t="n"/>
      <c r="AB182" s="105" t="n"/>
      <c r="AC182" s="105" t="n"/>
      <c r="AD182" s="108" t="n"/>
      <c r="AE182" s="108" t="n"/>
      <c r="AF182" s="116" t="n"/>
      <c r="AG182" s="116" t="n"/>
      <c r="AH182" s="39" t="n"/>
      <c r="AI182" s="116" t="n"/>
      <c r="AJ182" s="116" t="n"/>
      <c r="AK182" s="116" t="n"/>
      <c r="AL182" s="116" t="n"/>
      <c r="AM182" s="108" t="n"/>
      <c r="AN182" s="108" t="n"/>
      <c r="AO182" s="108" t="n"/>
      <c r="AP182" s="108" t="n"/>
      <c r="AQ182" s="108" t="n"/>
      <c r="AR182" s="108" t="n"/>
      <c r="AS182" s="117" t="n"/>
      <c r="AT182" s="112" t="n"/>
      <c r="AU182" s="118" t="inlineStr">
        <is>
          <t>Y</t>
        </is>
      </c>
      <c r="AV182" s="118" t="inlineStr">
        <is>
          <t>Was price</t>
        </is>
      </c>
      <c r="AW182" s="119" t="n">
        <v>52.02</v>
      </c>
      <c r="AX182" s="119" t="n">
        <v>43.77</v>
      </c>
      <c r="AY182" s="118" t="inlineStr">
        <is>
          <t>none</t>
        </is>
      </c>
      <c r="AZ182" s="118" t="inlineStr">
        <is>
          <t>Y</t>
        </is>
      </c>
      <c r="BA182" s="118" t="inlineStr">
        <is>
          <t>2026-10-14 00:36:02</t>
        </is>
      </c>
      <c r="BB182" s="120" t="inlineStr">
        <is>
          <t>None</t>
        </is>
      </c>
      <c r="BC182" s="125" t="n"/>
      <c r="BD182" s="121" t="n">
        <v>54.66</v>
      </c>
      <c r="BE182" s="121" t="n">
        <v>52.84</v>
      </c>
      <c r="BF182" s="110">
        <f>IF(AND(ISNUMBER(BD182),ISNUMBER(BE182),N(BD182)&gt;0),1-BE182/BD182,"")</f>
        <v/>
      </c>
      <c r="BG182" s="122" t="n">
        <v>175487</v>
      </c>
      <c r="BH182" s="122" t="n">
        <v>236580</v>
      </c>
      <c r="BI182" s="123">
        <f>IF(AND(ISNUMBER(BG182),ISNUMBER(BH182),N(BH182)&gt;0),BG182/BH182,"")</f>
        <v/>
      </c>
      <c r="BJ182" s="120" t="inlineStr">
        <is>
          <t>N</t>
        </is>
      </c>
      <c r="BK182" s="120" t="inlineStr">
        <is>
          <t>Amazon.ca organic #21 for 'silk satin sheets'; 100% Polyester; variation_count = distinct children exposed in page variation map, not a guaranteed complete catalogue. Bought-past-month badge not displayed.</t>
        </is>
      </c>
    </row>
    <row r="183" ht="62" customHeight="1">
      <c r="A183" s="12">
        <f>_xlfn.IMAGE("https://m.media-amazon.com/images/I/61WvjxRfgdL.jpg")</f>
        <v/>
      </c>
      <c r="B183" s="105" t="inlineStr">
        <is>
          <t>Bare Home</t>
        </is>
      </c>
      <c r="C183" s="39" t="inlineStr">
        <is>
          <t>Bare Home Poly Satin Sheet Set Similar to Silk (Queen, Blush)</t>
        </is>
      </c>
      <c r="D183" s="105" t="inlineStr">
        <is>
          <t>Untiered</t>
        </is>
      </c>
      <c r="E183" s="128" t="inlineStr">
        <is>
          <t>Alternative material</t>
        </is>
      </c>
      <c r="F183" s="105" t="inlineStr">
        <is>
          <t>Silk</t>
        </is>
      </c>
      <c r="G183" s="39" t="inlineStr">
        <is>
          <t>Sheet set in Silk (title: Bare Home Poly Satin Sheet Set Similar to Silk (Queen, Blush); ours is Satin (polyester) (our listing: polyester satin). Shopper may cross-shop, but not like-for-like.</t>
        </is>
      </c>
      <c r="H183" s="107" t="inlineStr">
        <is>
          <t>B0DJHFP2WL</t>
        </is>
      </c>
      <c r="I183" s="107" t="inlineStr">
        <is>
          <t>B0DJDXH65M</t>
        </is>
      </c>
      <c r="J183" s="105" t="inlineStr">
        <is>
          <t>Queen</t>
        </is>
      </c>
      <c r="K183" s="105" t="inlineStr">
        <is>
          <t>05 - Blush</t>
        </is>
      </c>
      <c r="L183" s="108" t="n">
        <v>37</v>
      </c>
      <c r="M183" s="39" t="n"/>
      <c r="N183" s="109" t="n">
        <v>63.99</v>
      </c>
      <c r="O183" s="109" t="n"/>
      <c r="P183" s="110">
        <f>IF(AND(ISNUMBER(O183),ISNUMBER(N183),N(N183)&gt;0),O183/N183-1,"")</f>
        <v/>
      </c>
      <c r="Q183" s="111">
        <f>IF(P183="","No List Price",IF(P183&lt;=0,"At/below price",IF(P183&lt;=0.12,"&lt;=12% STR zone",IF(P183&lt;=0.25,"12-25%","&gt;25% over"))))</f>
        <v/>
      </c>
      <c r="R183" s="109" t="n">
        <v>47.99</v>
      </c>
      <c r="S183" s="112">
        <f>IF(AND(ISNUMBER(N183),ISNUMBER(R183),N(R183)&gt;0),N183/R183-1,"")</f>
        <v/>
      </c>
      <c r="T183" s="39" t="inlineStr">
        <is>
          <t>Same size (Queen), CAD. Ours live: catalog price (CAD), 2026-10-14; 25 children</t>
        </is>
      </c>
      <c r="U183" s="108" t="n">
        <v>55879</v>
      </c>
      <c r="V183" s="108" t="n"/>
      <c r="W183" s="113">
        <f>IF(AND(ISNUMBER(N183),ISNUMBER(V183)),N183*V183*52/12,"")</f>
        <v/>
      </c>
      <c r="X183" s="114" t="n">
        <v>3.6</v>
      </c>
      <c r="Y183" s="108" t="n">
        <v>114</v>
      </c>
      <c r="Z183" s="115" t="n">
        <v>46309</v>
      </c>
      <c r="AA183" s="115" t="n"/>
      <c r="AB183" s="105" t="n"/>
      <c r="AC183" s="105" t="n"/>
      <c r="AD183" s="108" t="n"/>
      <c r="AE183" s="108" t="n"/>
      <c r="AF183" s="116" t="n"/>
      <c r="AG183" s="116" t="n"/>
      <c r="AH183" s="39" t="n"/>
      <c r="AI183" s="116" t="n"/>
      <c r="AJ183" s="116" t="n"/>
      <c r="AK183" s="116" t="n"/>
      <c r="AL183" s="116" t="n"/>
      <c r="AM183" s="108" t="n"/>
      <c r="AN183" s="108" t="n"/>
      <c r="AO183" s="108" t="n"/>
      <c r="AP183" s="108" t="n"/>
      <c r="AQ183" s="108" t="n"/>
      <c r="AR183" s="108" t="n"/>
      <c r="AS183" s="117" t="n"/>
      <c r="AT183" s="112" t="n"/>
      <c r="AU183" s="118" t="inlineStr">
        <is>
          <t>Y</t>
        </is>
      </c>
      <c r="AV183" s="118" t="inlineStr">
        <is>
          <t>Was price</t>
        </is>
      </c>
      <c r="AW183" s="119" t="n">
        <v>67.98999999999999</v>
      </c>
      <c r="AX183" s="119" t="n">
        <v>63.99</v>
      </c>
      <c r="AY183" s="118" t="inlineStr">
        <is>
          <t>none</t>
        </is>
      </c>
      <c r="AZ183" s="118" t="inlineStr">
        <is>
          <t>Y</t>
        </is>
      </c>
      <c r="BA183" s="118" t="inlineStr">
        <is>
          <t>2026-10-14 00:35:34</t>
        </is>
      </c>
      <c r="BB183" s="120" t="inlineStr">
        <is>
          <t>Not live in 2025</t>
        </is>
      </c>
      <c r="BC183" s="125" t="n"/>
      <c r="BD183" s="124" t="n"/>
      <c r="BE183" s="124" t="n"/>
      <c r="BF183" s="110">
        <f>IF(AND(ISNUMBER(BD183),ISNUMBER(BE183),N(BD183)&gt;0),1-BE183/BD183,"")</f>
        <v/>
      </c>
      <c r="BG183" s="126" t="n"/>
      <c r="BH183" s="126" t="n"/>
      <c r="BI183" s="123">
        <f>IF(AND(ISNUMBER(BG183),ISNUMBER(BH183),N(BH183)&gt;0),BG183/BH183,"")</f>
        <v/>
      </c>
      <c r="BJ183" s="125" t="n"/>
      <c r="BK183" s="120" t="inlineStr">
        <is>
          <t>Amazon.ca organic #23 for 'satin sheets king'; Poly Satin; variation_count = distinct children exposed in page variation map, not a guaranteed complete catalogue. Bought-past-month badge not displayed.</t>
        </is>
      </c>
    </row>
    <row r="184"/>
    <row r="185" ht="22" customHeight="1">
      <c r="A185" s="65" t="inlineStr">
        <is>
          <t>5 ▼</t>
        </is>
      </c>
      <c r="B185" s="66" t="inlineStr">
        <is>
          <t>WHAT THIS MEANS FOR BFCM</t>
        </is>
      </c>
      <c r="C185" s="67" t="n"/>
      <c r="D185" s="67" t="n"/>
      <c r="E185" s="67" t="n"/>
      <c r="F185" s="67" t="n"/>
      <c r="G185" s="67" t="n"/>
      <c r="H185" s="67" t="n"/>
      <c r="I185" s="67" t="n"/>
      <c r="J185" s="67" t="n"/>
      <c r="K185" s="67" t="n"/>
      <c r="L185" s="67" t="n"/>
      <c r="M185" s="67" t="n"/>
      <c r="N185" s="67" t="n"/>
      <c r="O185" s="67" t="n"/>
      <c r="P185" s="67" t="n"/>
      <c r="Q185" s="67" t="n"/>
      <c r="R185" s="67" t="n"/>
      <c r="S185" s="67" t="n"/>
      <c r="T185" s="67" t="n"/>
      <c r="U185" s="67" t="n"/>
      <c r="V185" s="67" t="n"/>
      <c r="W185" s="67" t="n"/>
      <c r="X185" s="67" t="n"/>
      <c r="Y185" s="67" t="n"/>
      <c r="Z185" s="67" t="n"/>
      <c r="AA185" s="67" t="n"/>
      <c r="AB185" s="67" t="n"/>
      <c r="AC185" s="67" t="n"/>
      <c r="AD185" s="67" t="n"/>
      <c r="AE185" s="67" t="n"/>
      <c r="AF185" s="67" t="n"/>
      <c r="AG185" s="67" t="n"/>
      <c r="AH185" s="67" t="n"/>
      <c r="AI185" s="67" t="n"/>
      <c r="AJ185" s="67" t="n"/>
      <c r="AK185" s="67" t="n"/>
      <c r="AL185" s="67" t="n"/>
      <c r="AM185" s="67" t="n"/>
      <c r="AN185" s="67" t="n"/>
      <c r="AO185" s="67" t="n"/>
      <c r="AP185" s="67" t="n"/>
      <c r="AQ185" s="67" t="n"/>
      <c r="AR185" s="67" t="n"/>
      <c r="AS185" s="67" t="n"/>
      <c r="AT185" s="67" t="n"/>
      <c r="AU185" s="67" t="n"/>
      <c r="AV185" s="67" t="n"/>
      <c r="AW185" s="67" t="n"/>
      <c r="AX185" s="67" t="n"/>
      <c r="AY185" s="67" t="n"/>
      <c r="AZ185" s="67" t="n"/>
      <c r="BA185" s="67" t="n"/>
      <c r="BB185" s="67" t="n"/>
      <c r="BC185" s="67" t="n"/>
      <c r="BD185" s="67" t="n"/>
      <c r="BE185" s="67" t="n"/>
      <c r="BF185" s="67" t="n"/>
      <c r="BG185" s="67" t="n"/>
      <c r="BH185" s="67" t="n"/>
      <c r="BI185" s="67" t="n"/>
      <c r="BJ185" s="67" t="n"/>
      <c r="BK185" s="67" t="n"/>
    </row>
    <row r="186" ht="30" customHeight="1">
      <c r="A186" s="129" t="inlineStr">
        <is>
          <t>• Price: 10 of 15 rivals sit below our price today (same size where the title states one). Cheapest strong rivals: BEDELITE $31.99, HENGWEITEXT $31.99, Sasttie $31.99, Pure Bedding $32.40. CA prices are CAD; ours is the live Amazon.ca price (catalog price) where held.</t>
        </is>
      </c>
    </row>
    <row r="187" ht="30" customHeight="1">
      <c r="A187" s="129" t="inlineStr">
        <is>
          <t>• Top organic on Amazon.ca (Oct 13): #1 Sasttie $31.99 (satin sheets queen); #2 MR&amp;HM $40.99 (satin sheets queen); #3 BEDELITE $31.99 (satin sheets queen); #5 HENGWEITEXT $31.99 (silk satin sheets); #7 GOLAL $47.99 (silk satin sheets).</t>
        </is>
      </c>
    </row>
    <row r="188" ht="30" customHeight="1">
      <c r="A188" s="129" t="inlineStr">
        <is>
          <t>• Strikethrough on the page today (Oct 13 check): 6 of 15 checked rivals show one: MR&amp;HM Was price $46.99 vs $40.99 (+15%), BEDELITE Was price $37.99 vs $31.99 (+19%), Beatrice Home Fashions Was price $47.95 vs $42.49 (+13%), LIFCOM Was price $44.99 vs $42.74 (+5%), Lanest Housing Was price $52.02 vs $43.77 (+19%), Bare Home Was price $67.99 vs $63.99 (+6%).</t>
        </is>
      </c>
    </row>
    <row r="189" ht="18" customHeight="1">
      <c r="A189" s="129" t="inlineStr">
        <is>
          <t>• Our BFCM 2025: 3.27x daily sales in BFCM week vs the 30 days before; TACoS 10.1% vs 14.7% before; December 2.06x.</t>
        </is>
      </c>
    </row>
  </sheetData>
  <autoFilter ref="B168:BK183"/>
  <mergeCells count="62">
    <mergeCell ref="A157:BK157"/>
    <mergeCell ref="A167:K167"/>
    <mergeCell ref="A186:BK186"/>
    <mergeCell ref="A166:BK166"/>
    <mergeCell ref="L5:Q5"/>
    <mergeCell ref="AD167:AT167"/>
    <mergeCell ref="A149:C149"/>
    <mergeCell ref="Q11:T11"/>
    <mergeCell ref="A154:C154"/>
    <mergeCell ref="L8:Q8"/>
    <mergeCell ref="L4:Q4"/>
    <mergeCell ref="D7:I7"/>
    <mergeCell ref="A13:D13"/>
    <mergeCell ref="I13:L13"/>
    <mergeCell ref="A162:BK162"/>
    <mergeCell ref="A187:BK187"/>
    <mergeCell ref="D4:I4"/>
    <mergeCell ref="L10:Q10"/>
    <mergeCell ref="E12:H12"/>
    <mergeCell ref="Q13:T13"/>
    <mergeCell ref="AU167:BA167"/>
    <mergeCell ref="D9:I9"/>
    <mergeCell ref="A150:C150"/>
    <mergeCell ref="U12:X12"/>
    <mergeCell ref="L9:Q9"/>
    <mergeCell ref="Q12:T12"/>
    <mergeCell ref="A11:D11"/>
    <mergeCell ref="A189:BK189"/>
    <mergeCell ref="A158:BK158"/>
    <mergeCell ref="I11:L11"/>
    <mergeCell ref="D8:I8"/>
    <mergeCell ref="L6:Q6"/>
    <mergeCell ref="A4:B9"/>
    <mergeCell ref="A147:C147"/>
    <mergeCell ref="T6:Y6"/>
    <mergeCell ref="A152:C152"/>
    <mergeCell ref="A155:C155"/>
    <mergeCell ref="D5:I5"/>
    <mergeCell ref="A160:BK160"/>
    <mergeCell ref="BB167:BK167"/>
    <mergeCell ref="M11:P11"/>
    <mergeCell ref="AA167:AC167"/>
    <mergeCell ref="U11:X11"/>
    <mergeCell ref="A188:BK188"/>
    <mergeCell ref="A148:C148"/>
    <mergeCell ref="A159:BK159"/>
    <mergeCell ref="E13:H13"/>
    <mergeCell ref="D10:I10"/>
    <mergeCell ref="L7:Q7"/>
    <mergeCell ref="T5:Y5"/>
    <mergeCell ref="A156:BK156"/>
    <mergeCell ref="A12:D12"/>
    <mergeCell ref="M13:P13"/>
    <mergeCell ref="N167:Z167"/>
    <mergeCell ref="I12:L12"/>
    <mergeCell ref="U13:X13"/>
    <mergeCell ref="A161:BK161"/>
    <mergeCell ref="M12:P12"/>
    <mergeCell ref="A153:C153"/>
    <mergeCell ref="T4:Y4"/>
    <mergeCell ref="D6:I6"/>
    <mergeCell ref="E11:H11"/>
  </mergeCells>
  <conditionalFormatting sqref="Q169:Q183">
    <cfRule type="expression" priority="1" dxfId="1">
      <formula>Q169="&lt;=12% STR zone"</formula>
    </cfRule>
  </conditionalFormatting>
  <conditionalFormatting sqref="Z169:Z183">
    <cfRule type="expression" priority="2" dxfId="0">
      <formula>AND(ISNUMBER(Z169),Z169&lt;DATE(2026,10,6))</formula>
    </cfRule>
  </conditionalFormatting>
  <conditionalFormatting sqref="T169:T183">
    <cfRule type="expression" priority="3" dxfId="0">
      <formula>ISNUMBER(SEARCH("STALE",T169))</formula>
    </cfRule>
  </conditionalFormatting>
  <conditionalFormatting sqref="S169:S183">
    <cfRule type="expression" priority="4" dxfId="0">
      <formula>AND(ISNUMBER(S169),S169&lt;0)</formula>
    </cfRule>
  </conditionalFormatting>
  <dataValidations count="3">
    <dataValidation sqref="AU169:AU183 BJ169:BJ183" showDropDown="0" showInputMessage="0" showErrorMessage="0" allowBlank="1" type="list">
      <formula1>"Y,N"</formula1>
    </dataValidation>
    <dataValidation sqref="AV169:AV183" showDropDown="0" showInputMessage="0" showErrorMessage="0" allowBlank="1" type="list">
      <formula1>"List Price,Typical price,Was price,None"</formula1>
    </dataValidation>
    <dataValidation sqref="BB169:BB183"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DC S4'!A3" display="1 Our product ↓"/>
    <hyperlink ref="D2" location="'CA DC S4'!A15" display="2 Our variations ↓"/>
    <hyperlink ref="E2" location="'CA DC S4'!A146" display="3 Our BFCM 2025 ↓"/>
    <hyperlink ref="F2" location="'CA DC S4'!A164" display="4 COMPETITORS (15 mapped) ↓"/>
    <hyperlink ref="G2" location="'CA DC S4'!A185" display="5 What it means ↓"/>
    <hyperlink xmlns:r="http://schemas.openxmlformats.org/officeDocument/2006/relationships" ref="H169" r:id="rId1"/>
    <hyperlink xmlns:r="http://schemas.openxmlformats.org/officeDocument/2006/relationships" ref="I169" r:id="rId2"/>
    <hyperlink xmlns:r="http://schemas.openxmlformats.org/officeDocument/2006/relationships" ref="H170" r:id="rId3"/>
    <hyperlink xmlns:r="http://schemas.openxmlformats.org/officeDocument/2006/relationships" ref="I170" r:id="rId4"/>
    <hyperlink xmlns:r="http://schemas.openxmlformats.org/officeDocument/2006/relationships" ref="H171" r:id="rId5"/>
    <hyperlink xmlns:r="http://schemas.openxmlformats.org/officeDocument/2006/relationships" ref="I171" r:id="rId6"/>
    <hyperlink xmlns:r="http://schemas.openxmlformats.org/officeDocument/2006/relationships" ref="H172" r:id="rId7"/>
    <hyperlink xmlns:r="http://schemas.openxmlformats.org/officeDocument/2006/relationships" ref="I172" r:id="rId8"/>
    <hyperlink xmlns:r="http://schemas.openxmlformats.org/officeDocument/2006/relationships" ref="H173" r:id="rId9"/>
    <hyperlink xmlns:r="http://schemas.openxmlformats.org/officeDocument/2006/relationships" ref="I173" r:id="rId10"/>
    <hyperlink xmlns:r="http://schemas.openxmlformats.org/officeDocument/2006/relationships" ref="H174" r:id="rId11"/>
    <hyperlink xmlns:r="http://schemas.openxmlformats.org/officeDocument/2006/relationships" ref="I174" r:id="rId12"/>
    <hyperlink xmlns:r="http://schemas.openxmlformats.org/officeDocument/2006/relationships" ref="H175" r:id="rId13"/>
    <hyperlink xmlns:r="http://schemas.openxmlformats.org/officeDocument/2006/relationships" ref="I175" r:id="rId14"/>
    <hyperlink xmlns:r="http://schemas.openxmlformats.org/officeDocument/2006/relationships" ref="H176" r:id="rId15"/>
    <hyperlink xmlns:r="http://schemas.openxmlformats.org/officeDocument/2006/relationships" ref="I176" r:id="rId16"/>
    <hyperlink xmlns:r="http://schemas.openxmlformats.org/officeDocument/2006/relationships" ref="H177" r:id="rId17"/>
    <hyperlink xmlns:r="http://schemas.openxmlformats.org/officeDocument/2006/relationships" ref="I177" r:id="rId18"/>
    <hyperlink xmlns:r="http://schemas.openxmlformats.org/officeDocument/2006/relationships" ref="H178" r:id="rId19"/>
    <hyperlink xmlns:r="http://schemas.openxmlformats.org/officeDocument/2006/relationships" ref="I178" r:id="rId20"/>
    <hyperlink xmlns:r="http://schemas.openxmlformats.org/officeDocument/2006/relationships" ref="H179" r:id="rId21"/>
    <hyperlink xmlns:r="http://schemas.openxmlformats.org/officeDocument/2006/relationships" ref="I179" r:id="rId22"/>
    <hyperlink xmlns:r="http://schemas.openxmlformats.org/officeDocument/2006/relationships" ref="H180" r:id="rId23"/>
    <hyperlink xmlns:r="http://schemas.openxmlformats.org/officeDocument/2006/relationships" ref="I180" r:id="rId24"/>
    <hyperlink xmlns:r="http://schemas.openxmlformats.org/officeDocument/2006/relationships" ref="H181" r:id="rId25"/>
    <hyperlink xmlns:r="http://schemas.openxmlformats.org/officeDocument/2006/relationships" ref="I181" r:id="rId26"/>
    <hyperlink xmlns:r="http://schemas.openxmlformats.org/officeDocument/2006/relationships" ref="H182" r:id="rId27"/>
    <hyperlink xmlns:r="http://schemas.openxmlformats.org/officeDocument/2006/relationships" ref="I182" r:id="rId28"/>
    <hyperlink xmlns:r="http://schemas.openxmlformats.org/officeDocument/2006/relationships" ref="H183" r:id="rId29"/>
    <hyperlink xmlns:r="http://schemas.openxmlformats.org/officeDocument/2006/relationships" ref="I183" r:id="rId30"/>
  </hyperlink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F4B183"/>
    <outlinePr summaryBelow="1" summaryRight="1"/>
    <pageSetUpPr/>
  </sheetPr>
  <dimension ref="A1:BK180"/>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Decolure Satin Sheets 6 Piece · Amazon.ca (CA)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_xlfn.IMAGE("https://m.media-amazon.com/images/I/81C4Dr0ylML._AC_SL1500_.jpg")</f>
        <v/>
      </c>
      <c r="C4" s="13" t="inlineStr">
        <is>
          <t>Title</t>
        </is>
      </c>
      <c r="D4" s="14" t="inlineStr">
        <is>
          <t>DECOLURE Satin Bed Sheets - 6 Piece Luxury Silky Queen Size Bedding Set - Softer Than Silk, Wrinkle-Free with 15” Deep Pocket Fitted Sheet, Perfect for Hair &amp; Skin, Gifts for Women (Black)</t>
        </is>
      </c>
      <c r="K4" s="13" t="inlineStr">
        <is>
          <t>Sizes</t>
        </is>
      </c>
      <c r="L4" s="68" t="inlineStr">
        <is>
          <t>Full, King, Queen, Twin</t>
        </is>
      </c>
      <c r="S4" s="13" t="inlineStr">
        <is>
          <t>Break-even ACoS</t>
        </is>
      </c>
      <c r="T4" s="68" t="inlineStr">
        <is>
          <t>39%</t>
        </is>
      </c>
    </row>
    <row r="5" ht="22" customHeight="1">
      <c r="C5" s="13" t="inlineStr">
        <is>
          <t>Brand</t>
        </is>
      </c>
      <c r="D5" s="68" t="inlineStr">
        <is>
          <t>Decolure</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 White-01, Black Satin Sheets, Satin Bed Sheets Twin, Satin Bedding Set</t>
        </is>
      </c>
      <c r="S5" s="13" t="inlineStr">
        <is>
          <t>Units last 28 days</t>
        </is>
      </c>
      <c r="T5" s="68" t="inlineStr">
        <is>
          <t>326</t>
        </is>
      </c>
    </row>
    <row r="6" ht="22" customHeight="1">
      <c r="C6" s="13" t="inlineStr">
        <is>
          <t>Marketplace</t>
        </is>
      </c>
      <c r="D6" s="68" t="inlineStr">
        <is>
          <t>Amazon.ca (CA)</t>
        </is>
      </c>
      <c r="K6" s="13" t="inlineStr">
        <is>
          <t>Price now, best child</t>
        </is>
      </c>
      <c r="L6" s="68" t="inlineStr">
        <is>
          <t>$47.99 (catalog price (CAD), 2026-10-14)</t>
        </is>
      </c>
      <c r="S6" s="13" t="inlineStr">
        <is>
          <t>market data product ASIN</t>
        </is>
      </c>
      <c r="T6" s="68" t="inlineStr">
        <is>
          <t>B0D9QQWYP4 (one of our child ASINs, not the Amazon parent)</t>
        </is>
      </c>
    </row>
    <row r="7" ht="22" customHeight="1">
      <c r="C7" s="13" t="inlineStr">
        <is>
          <t>Parent ASIN (Amazon)</t>
        </is>
      </c>
      <c r="D7" s="68" t="inlineStr">
        <is>
          <t>B0CJSDXDJW</t>
        </is>
      </c>
      <c r="K7" s="13" t="inlineStr">
        <is>
          <t>Rating / reviews now</t>
        </is>
      </c>
      <c r="L7" s="68" t="inlineStr">
        <is>
          <t>4.3 / 1,723 (catalog price (CAD), 2026-10-14)</t>
        </is>
      </c>
    </row>
    <row r="8" ht="22" customHeight="1">
      <c r="C8" s="13" t="inlineStr">
        <is>
          <t>Best-selling child ASIN</t>
        </is>
      </c>
      <c r="D8" s="68" t="inlineStr">
        <is>
          <t>B0C7FX1GFS</t>
        </is>
      </c>
      <c r="K8" s="13" t="inlineStr">
        <is>
          <t>Live prices held</t>
        </is>
      </c>
      <c r="L8" s="68" t="inlineStr">
        <is>
          <t>105 of 118 variations</t>
        </is>
      </c>
    </row>
    <row r="9" ht="22" customHeight="1">
      <c r="C9" s="13" t="inlineStr">
        <is>
          <t>Stage</t>
        </is>
      </c>
      <c r="D9" s="68" t="inlineStr">
        <is>
          <t>Maintenance</t>
        </is>
      </c>
      <c r="K9" s="13" t="inlineStr">
        <is>
          <t>Blended price (market data)</t>
        </is>
      </c>
      <c r="L9" s="68" t="inlineStr">
        <is>
          <t>$49.17 - fee feed as of 2026-03-30, STALE</t>
        </is>
      </c>
    </row>
    <row r="10">
      <c r="C10" s="13" t="inlineStr">
        <is>
          <t>Total variations (SKUs)</t>
        </is>
      </c>
      <c r="D10" s="68" t="n">
        <v>111</v>
      </c>
      <c r="K10" s="13" t="inlineStr">
        <is>
          <t>Contribution / unit</t>
        </is>
      </c>
      <c r="L10" s="68" t="inlineStr">
        <is>
          <t>$19.06</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2.98x</t>
        </is>
      </c>
      <c r="E12" s="70" t="inlineStr">
        <is>
          <t>13.5%</t>
        </is>
      </c>
      <c r="I12" s="70" t="inlineStr">
        <is>
          <t>2.01x</t>
        </is>
      </c>
      <c r="M12" s="70" t="inlineStr">
        <is>
          <t>15</t>
        </is>
      </c>
      <c r="Q12" s="70" t="inlineStr">
        <is>
          <t>2</t>
        </is>
      </c>
      <c r="U12" s="70" t="inlineStr">
        <is>
          <t>3 of 15</t>
        </is>
      </c>
    </row>
    <row r="13">
      <c r="A13" s="71" t="inlineStr">
        <is>
          <t>daily sales, BFCM wk vs 30 days before (account data actual)</t>
        </is>
      </c>
      <c r="E13" s="71" t="inlineStr">
        <is>
          <t>vs 16.8%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(118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_xlfn.IMAGE("https://m.media-amazon.com/images/I/81C4Dr0ylML.jpg")</f>
        <v/>
      </c>
      <c r="B18" s="39" t="inlineStr">
        <is>
          <t>B0C7FX1GFS</t>
        </is>
      </c>
      <c r="C18" s="39" t="inlineStr">
        <is>
          <t>SATIN-QUEEN-BLACK-6-PCS</t>
        </is>
      </c>
      <c r="D18" s="39" t="inlineStr">
        <is>
          <t>DECOLURE Satin Bed Sheets - 6 Piece Luxury Silky Queen Size Bedding Set - Softer Than Silk, Wrinkle-Free with 15” Deep Pocket Fitted Sheet, Perfect for Hair &amp; Skin, Gifts for Women (Black)</t>
        </is>
      </c>
      <c r="E18" s="39" t="inlineStr">
        <is>
          <t>Queen</t>
        </is>
      </c>
      <c r="F18" s="39" t="inlineStr">
        <is>
          <t>Black</t>
        </is>
      </c>
      <c r="G18" s="73" t="n">
        <v>47.99</v>
      </c>
      <c r="H18" s="39" t="inlineStr">
        <is>
          <t>catalog price (CAD), 2026-10-14</t>
        </is>
      </c>
      <c r="I18" s="74" t="n">
        <v>58.37</v>
      </c>
      <c r="J18" s="75" t="inlineStr">
        <is>
          <t>2026-03-30</t>
        </is>
      </c>
      <c r="K18" s="40" t="n">
        <v>22.49</v>
      </c>
      <c r="L18" s="76" t="n">
        <v>0.3853006681514477</v>
      </c>
      <c r="M18" s="77" t="n">
        <v>27</v>
      </c>
      <c r="N18" s="39" t="inlineStr">
        <is>
          <t>Active</t>
        </is>
      </c>
      <c r="O18" s="39" t="n"/>
      <c r="P18" s="78" t="n">
        <v>4.3</v>
      </c>
      <c r="Q18" s="77" t="n">
        <v>1723</v>
      </c>
      <c r="R18" s="77" t="n">
        <v>4400</v>
      </c>
      <c r="S18" s="77" t="n">
        <v>356</v>
      </c>
      <c r="T18" s="39" t="n"/>
    </row>
    <row r="19" ht="62" customHeight="1">
      <c r="A19" s="12">
        <f>_xlfn.IMAGE("https://m.media-amazon.com/images/I/81PBLKf1SBL.jpg")</f>
        <v/>
      </c>
      <c r="B19" s="39" t="inlineStr">
        <is>
          <t>B0C7K74SLC</t>
        </is>
      </c>
      <c r="C19" s="39" t="inlineStr">
        <is>
          <t>SATIN-STRIPE-KING-GRAY--6-PCS</t>
        </is>
      </c>
      <c r="D19" s="39" t="inlineStr">
        <is>
          <t>DECOLURE Satin Bed Sheets - 6 Piece Luxury Silky King Size Bedding Set - Softer Than Silk, Wrinkle-Free with 15” Deep Pocket Fitted Sheet, Perfect for Hair &amp; Skin, Gifts for Women (Striped Grey)</t>
        </is>
      </c>
      <c r="E19" s="39" t="inlineStr">
        <is>
          <t>King</t>
        </is>
      </c>
      <c r="F19" s="39" t="inlineStr">
        <is>
          <t>Striped Grey</t>
        </is>
      </c>
      <c r="G19" s="73" t="n">
        <v>49.99</v>
      </c>
      <c r="H19" s="39" t="inlineStr">
        <is>
          <t>catalog price (CAD), 2026-10-14</t>
        </is>
      </c>
      <c r="I19" s="74" t="n">
        <v>49.99</v>
      </c>
      <c r="J19" s="75" t="inlineStr">
        <is>
          <t>2026-03-30</t>
        </is>
      </c>
      <c r="K19" s="40" t="n">
        <v>18.72000000000001</v>
      </c>
      <c r="L19" s="76" t="n">
        <v>0.3744748949789959</v>
      </c>
      <c r="M19" s="77" t="n">
        <v>17</v>
      </c>
      <c r="N19" s="39" t="inlineStr">
        <is>
          <t>Active</t>
        </is>
      </c>
      <c r="O19" s="39" t="n"/>
      <c r="P19" s="78" t="n">
        <v>4.3</v>
      </c>
      <c r="Q19" s="77" t="n">
        <v>1723</v>
      </c>
      <c r="R19" s="77" t="n">
        <v>4406</v>
      </c>
      <c r="S19" s="77" t="n">
        <v>1</v>
      </c>
      <c r="T19" s="39" t="n"/>
    </row>
    <row r="20" ht="62" customHeight="1">
      <c r="A20" s="12">
        <f>_xlfn.IMAGE("https://m.media-amazon.com/images/I/81C4Dr0ylML.jpg")</f>
        <v/>
      </c>
      <c r="B20" s="39" t="inlineStr">
        <is>
          <t>B0C7FXXS6R</t>
        </is>
      </c>
      <c r="C20" s="39" t="inlineStr">
        <is>
          <t>SATIN-KING-BLACK-6-PCS</t>
        </is>
      </c>
      <c r="D20" s="39" t="inlineStr">
        <is>
          <t>DECOLURE Satin Bed Sheets - 6 Piece Luxury Silky King Size Bedding Set - Softer Than Silk, Wrinkle-Free with 15” Deep Pocket Fitted Sheet, Perfect for Hair &amp; Skin, Gifts for Women (Black)</t>
        </is>
      </c>
      <c r="E20" s="39" t="inlineStr">
        <is>
          <t>King</t>
        </is>
      </c>
      <c r="F20" s="39" t="inlineStr">
        <is>
          <t>Black</t>
        </is>
      </c>
      <c r="G20" s="73" t="n">
        <v>49.99</v>
      </c>
      <c r="H20" s="39" t="inlineStr">
        <is>
          <t>catalog price (CAD), 2026-10-14</t>
        </is>
      </c>
      <c r="I20" s="74" t="n">
        <v>49.99</v>
      </c>
      <c r="J20" s="75" t="inlineStr">
        <is>
          <t>2026-03-30</t>
        </is>
      </c>
      <c r="K20" s="40" t="n">
        <v>19.32</v>
      </c>
      <c r="L20" s="76" t="n">
        <v>0.3864772954590918</v>
      </c>
      <c r="M20" s="77" t="n">
        <v>13</v>
      </c>
      <c r="N20" s="39" t="inlineStr">
        <is>
          <t>Active</t>
        </is>
      </c>
      <c r="O20" s="39" t="n"/>
      <c r="P20" s="78" t="n">
        <v>4.3</v>
      </c>
      <c r="Q20" s="77" t="n">
        <v>1723</v>
      </c>
      <c r="R20" s="77" t="n">
        <v>4406</v>
      </c>
      <c r="S20" s="77" t="n">
        <v>2</v>
      </c>
      <c r="T20" s="39" t="n"/>
    </row>
    <row r="21" ht="62" customHeight="1">
      <c r="A21" s="12">
        <f>_xlfn.IMAGE("https://m.media-amazon.com/images/I/81osNI447+L.jpg")</f>
        <v/>
      </c>
      <c r="B21" s="39" t="inlineStr">
        <is>
          <t>B0C7FMCXBV</t>
        </is>
      </c>
      <c r="C21" s="39" t="inlineStr">
        <is>
          <t>SATIN-ROSEWOOD-QUEEN-6PCS</t>
        </is>
      </c>
      <c r="D21" s="39" t="inlineStr">
        <is>
          <t>DECOLURE Satin Bed Sheets - 6 Piece Luxury Silky Queen Size Bedding Set - Softer Than Silk, Wrinkle-Free with 15” Deep Pocket Fitted Sheet, Perfect for Hair &amp; Skin, Gifts for Women (Rosewood)</t>
        </is>
      </c>
      <c r="E21" s="39" t="inlineStr">
        <is>
          <t>Queen</t>
        </is>
      </c>
      <c r="F21" s="39" t="inlineStr">
        <is>
          <t>Rosewood</t>
        </is>
      </c>
      <c r="G21" s="73" t="n">
        <v>47.99</v>
      </c>
      <c r="H21" s="39" t="inlineStr">
        <is>
          <t>catalog price (CAD), 2026-10-14</t>
        </is>
      </c>
      <c r="I21" s="74" t="n">
        <v>47.99</v>
      </c>
      <c r="J21" s="75" t="inlineStr">
        <is>
          <t>2026-03-30</t>
        </is>
      </c>
      <c r="K21" s="40" t="n">
        <v>19.36</v>
      </c>
      <c r="L21" s="76" t="n">
        <v>0.4034173786205459</v>
      </c>
      <c r="M21" s="77" t="n">
        <v>13</v>
      </c>
      <c r="N21" s="39" t="inlineStr">
        <is>
          <t>Active</t>
        </is>
      </c>
      <c r="O21" s="39" t="n"/>
      <c r="P21" s="78" t="n">
        <v>4.3</v>
      </c>
      <c r="Q21" s="77" t="n">
        <v>1723</v>
      </c>
      <c r="R21" s="77" t="n">
        <v>4406</v>
      </c>
      <c r="S21" s="77" t="n">
        <v>2</v>
      </c>
      <c r="T21" s="39" t="n"/>
    </row>
    <row r="22" ht="62" customHeight="1">
      <c r="A22" s="12">
        <f>_xlfn.IMAGE("https://m.media-amazon.com/images/I/81UqLjdUA4L.jpg")</f>
        <v/>
      </c>
      <c r="B22" s="39" t="inlineStr">
        <is>
          <t>B0C7F622QD</t>
        </is>
      </c>
      <c r="C22" s="39" t="inlineStr">
        <is>
          <t>SATIN-TWIN-BLACK-6PCS</t>
        </is>
      </c>
      <c r="D22" s="39" t="inlineStr">
        <is>
          <t>DECOLURE Satin Bed Sheets - 4 Piece Luxury Silky Twin Size Bedding Set - Softer Than Silk, Wrinkle-Free with 15” Deep Pocket Fitted Sheet, Perfect for Hair &amp; Skin, Gifts for Women (Black)</t>
        </is>
      </c>
      <c r="E22" s="39" t="inlineStr">
        <is>
          <t>Twin</t>
        </is>
      </c>
      <c r="F22" s="39" t="inlineStr">
        <is>
          <t>Black</t>
        </is>
      </c>
      <c r="G22" s="73" t="n">
        <v>39.99</v>
      </c>
      <c r="H22" s="39" t="inlineStr">
        <is>
          <t>catalog price (CAD), 2026-10-14</t>
        </is>
      </c>
      <c r="I22" s="74" t="n">
        <v>39.99</v>
      </c>
      <c r="J22" s="75" t="inlineStr">
        <is>
          <t>2026-03-30</t>
        </is>
      </c>
      <c r="K22" s="40" t="n">
        <v>15.93</v>
      </c>
      <c r="L22" s="76" t="n">
        <v>0.3983495873968493</v>
      </c>
      <c r="M22" s="77" t="n">
        <v>13</v>
      </c>
      <c r="N22" s="39" t="inlineStr">
        <is>
          <t>Active</t>
        </is>
      </c>
      <c r="O22" s="39" t="n"/>
      <c r="P22" s="78" t="n">
        <v>4.3</v>
      </c>
      <c r="Q22" s="77" t="n">
        <v>1723</v>
      </c>
      <c r="R22" s="77" t="n">
        <v>4406</v>
      </c>
      <c r="S22" s="77" t="n">
        <v>7</v>
      </c>
      <c r="T22" s="39" t="n"/>
    </row>
    <row r="23" ht="62" customHeight="1">
      <c r="A23" s="12">
        <f>_xlfn.IMAGE("https://m.media-amazon.com/images/I/81C4Dr0ylML.jpg")</f>
        <v/>
      </c>
      <c r="B23" s="39" t="inlineStr">
        <is>
          <t>B0C7FMM2QN</t>
        </is>
      </c>
      <c r="C23" s="39" t="inlineStr">
        <is>
          <t>SATIN-FULL-BLACK-6PCS</t>
        </is>
      </c>
      <c r="D23" s="39" t="inlineStr">
        <is>
          <t>DECOLURE Satin Bed Sheets - 6 Piece Luxury Silky Full Size Bedding Set - Softer Than Silk, Wrinkle-Free with 15” Deep Pocket Fitted Sheet, Perfect for Hair &amp; Skin, Gifts for Women (Black)</t>
        </is>
      </c>
      <c r="E23" s="39" t="inlineStr">
        <is>
          <t>Full</t>
        </is>
      </c>
      <c r="F23" s="39" t="inlineStr">
        <is>
          <t>Black</t>
        </is>
      </c>
      <c r="G23" s="73" t="n">
        <v>44.99</v>
      </c>
      <c r="H23" s="39" t="inlineStr">
        <is>
          <t>catalog price (CAD), 2026-10-14</t>
        </is>
      </c>
      <c r="I23" s="74" t="n">
        <v>56.02</v>
      </c>
      <c r="J23" s="75" t="inlineStr">
        <is>
          <t>2026-03-30</t>
        </is>
      </c>
      <c r="K23" s="40" t="n">
        <v>20.65000000000001</v>
      </c>
      <c r="L23" s="76" t="n">
        <v>0.3686183505890754</v>
      </c>
      <c r="M23" s="77" t="n">
        <v>12</v>
      </c>
      <c r="N23" s="39" t="inlineStr">
        <is>
          <t>Active</t>
        </is>
      </c>
      <c r="O23" s="39" t="n"/>
      <c r="P23" s="78" t="n">
        <v>4.3</v>
      </c>
      <c r="Q23" s="77" t="n">
        <v>1723</v>
      </c>
      <c r="R23" s="77" t="n">
        <v>4406</v>
      </c>
      <c r="S23" s="77" t="n">
        <v>5</v>
      </c>
      <c r="T23" s="39" t="n"/>
    </row>
    <row r="24" ht="62" customHeight="1">
      <c r="A24" s="12">
        <f>_xlfn.IMAGE("https://m.media-amazon.com/images/I/815cp0gvpML.jpg")</f>
        <v/>
      </c>
      <c r="B24" s="39" t="inlineStr">
        <is>
          <t>B0C7FTB8MQ</t>
        </is>
      </c>
      <c r="C24" s="39" t="inlineStr">
        <is>
          <t>SATIN-STONEGREY-QUEEN-6PCS</t>
        </is>
      </c>
      <c r="D24" s="39" t="inlineStr">
        <is>
          <t>DECOLURE Satin Bed Sheets - 6 Piece Luxury Silky Queen Size Bedding Set - Softer Than Silk, Wrinkle-Free with 15” Deep Pocket Fitted Sheet, Perfect for Hair &amp; Skin, Gifts for Women (Stone Grey)</t>
        </is>
      </c>
      <c r="E24" s="39" t="inlineStr">
        <is>
          <t>Queen</t>
        </is>
      </c>
      <c r="F24" s="39" t="inlineStr">
        <is>
          <t>Stone Grey</t>
        </is>
      </c>
      <c r="G24" s="73" t="n">
        <v>47.99</v>
      </c>
      <c r="H24" s="39" t="inlineStr">
        <is>
          <t>catalog price (CAD), 2026-10-14</t>
        </is>
      </c>
      <c r="I24" s="74" t="n">
        <v>47.99</v>
      </c>
      <c r="J24" s="75" t="inlineStr">
        <is>
          <t>2026-03-30</t>
        </is>
      </c>
      <c r="K24" s="40" t="n">
        <v>18.15</v>
      </c>
      <c r="L24" s="76" t="n">
        <v>0.3782037924567618</v>
      </c>
      <c r="M24" s="77" t="n">
        <v>11</v>
      </c>
      <c r="N24" s="39" t="inlineStr">
        <is>
          <t>Active</t>
        </is>
      </c>
      <c r="O24" s="39" t="n"/>
      <c r="P24" s="78" t="n">
        <v>4.3</v>
      </c>
      <c r="Q24" s="77" t="n">
        <v>1723</v>
      </c>
      <c r="R24" s="77" t="n">
        <v>4406</v>
      </c>
      <c r="S24" s="77" t="n">
        <v>3</v>
      </c>
      <c r="T24" s="39" t="n"/>
    </row>
    <row r="25" ht="62" customHeight="1">
      <c r="A25" s="12">
        <f>_xlfn.IMAGE("https://m.media-amazon.com/images/I/81cInbBJAML.jpg")</f>
        <v/>
      </c>
      <c r="B25" s="39" t="inlineStr">
        <is>
          <t>B0C7FQQH6V</t>
        </is>
      </c>
      <c r="C25" s="39" t="inlineStr">
        <is>
          <t>SATIN-KING-PURPLE-6PCS</t>
        </is>
      </c>
      <c r="D25" s="39" t="inlineStr">
        <is>
          <t>DECOLURE Satin Bed Sheets - 6 Piece Luxury Silky King Size Bedding Set - Softer Than Silk, Wrinkle-Free with 15” Deep Pocket Fitted Sheet, Perfect for Hair &amp; Skin, Gifts for Women (Purple)</t>
        </is>
      </c>
      <c r="E25" s="39" t="inlineStr">
        <is>
          <t>King</t>
        </is>
      </c>
      <c r="F25" s="39" t="inlineStr">
        <is>
          <t>Purple</t>
        </is>
      </c>
      <c r="G25" s="73" t="n">
        <v>49.99</v>
      </c>
      <c r="H25" s="39" t="inlineStr">
        <is>
          <t>catalog price (CAD), 2026-10-14</t>
        </is>
      </c>
      <c r="I25" s="74" t="n">
        <v>49.99</v>
      </c>
      <c r="J25" s="75" t="inlineStr">
        <is>
          <t>2026-03-30</t>
        </is>
      </c>
      <c r="K25" s="40" t="n">
        <v>18.05</v>
      </c>
      <c r="L25" s="76" t="n">
        <v>0.3610722144428887</v>
      </c>
      <c r="M25" s="77" t="n">
        <v>9</v>
      </c>
      <c r="N25" s="39" t="inlineStr">
        <is>
          <t>Active</t>
        </is>
      </c>
      <c r="O25" s="39" t="n"/>
      <c r="P25" s="78" t="n">
        <v>4.3</v>
      </c>
      <c r="Q25" s="77" t="n">
        <v>1723</v>
      </c>
      <c r="R25" s="77" t="n">
        <v>4406</v>
      </c>
      <c r="S25" s="77" t="n">
        <v>0.9072</v>
      </c>
      <c r="T25" s="39" t="n"/>
    </row>
    <row r="26" ht="62" customHeight="1">
      <c r="A26" s="12">
        <f>_xlfn.IMAGE("https://m.media-amazon.com/images/I/81JDVBgWOSL.jpg")</f>
        <v/>
      </c>
      <c r="B26" s="39" t="inlineStr">
        <is>
          <t>B0C7F5VMC8</t>
        </is>
      </c>
      <c r="C26" s="39" t="inlineStr">
        <is>
          <t>SATIN-WHITE-KING-6PCS</t>
        </is>
      </c>
      <c r="D26" s="39" t="inlineStr">
        <is>
          <t>DECOLURE Satin Bed Sheets - 6 Piece Luxury Silky King Size Bedding Set - Softer Than Silk, Wrinkle-Free with 15” Deep Pocket Fitted Sheet, Perfect for Hair &amp; Skin, Gifts for Women (White)</t>
        </is>
      </c>
      <c r="E26" s="39" t="inlineStr">
        <is>
          <t>King</t>
        </is>
      </c>
      <c r="F26" s="39" t="inlineStr">
        <is>
          <t>White</t>
        </is>
      </c>
      <c r="G26" s="73" t="n">
        <v>49.99</v>
      </c>
      <c r="H26" s="39" t="inlineStr">
        <is>
          <t>catalog price (CAD), 2026-10-14</t>
        </is>
      </c>
      <c r="I26" s="74" t="n">
        <v>49.99</v>
      </c>
      <c r="J26" s="75" t="inlineStr">
        <is>
          <t>2026-03-30</t>
        </is>
      </c>
      <c r="K26" s="40" t="n">
        <v>19.16</v>
      </c>
      <c r="L26" s="76" t="n">
        <v>0.3832766553310663</v>
      </c>
      <c r="M26" s="77" t="n">
        <v>9</v>
      </c>
      <c r="N26" s="39" t="inlineStr">
        <is>
          <t>Active</t>
        </is>
      </c>
      <c r="O26" s="39" t="n"/>
      <c r="P26" s="78" t="n">
        <v>4.3</v>
      </c>
      <c r="Q26" s="77" t="n">
        <v>1723</v>
      </c>
      <c r="R26" s="77" t="n">
        <v>4406</v>
      </c>
      <c r="S26" s="77" t="n">
        <v>0.9370000000000001</v>
      </c>
      <c r="T26" s="39" t="n"/>
    </row>
    <row r="27" ht="62" customHeight="1">
      <c r="A27" s="12">
        <f>_xlfn.IMAGE("https://m.media-amazon.com/images/I/81cInbBJAML.jpg")</f>
        <v/>
      </c>
      <c r="B27" s="39" t="inlineStr">
        <is>
          <t>B0C9LSVFPR</t>
        </is>
      </c>
      <c r="C27" s="39" t="inlineStr">
        <is>
          <t>PURPLE-SATIN-SET-6PCS</t>
        </is>
      </c>
      <c r="D27" s="39" t="inlineStr">
        <is>
          <t>DECOLURE Satin Bed Sheets - 6 Piece Luxury Silky Queen Size Bedding Set - Softer Than Silk, Wrinkle-Free with 15” Deep Pocket Fitted Sheet, Perfect for Hair &amp; Skin, Gifts for Women (Purple)</t>
        </is>
      </c>
      <c r="E27" s="39" t="inlineStr">
        <is>
          <t>Queen</t>
        </is>
      </c>
      <c r="F27" s="39" t="inlineStr">
        <is>
          <t>Purple</t>
        </is>
      </c>
      <c r="G27" s="73" t="n">
        <v>47.99</v>
      </c>
      <c r="H27" s="39" t="inlineStr">
        <is>
          <t>catalog price (CAD), 2026-10-14</t>
        </is>
      </c>
      <c r="I27" s="74" t="n">
        <v>47.99</v>
      </c>
      <c r="J27" s="75" t="inlineStr">
        <is>
          <t>2026-03-30</t>
        </is>
      </c>
      <c r="K27" s="40" t="n">
        <v>19.45</v>
      </c>
      <c r="L27" s="76" t="n">
        <v>0.4052927693269431</v>
      </c>
      <c r="M27" s="77" t="n">
        <v>8</v>
      </c>
      <c r="N27" s="39" t="inlineStr">
        <is>
          <t>Active</t>
        </is>
      </c>
      <c r="O27" s="39" t="n"/>
      <c r="P27" s="78" t="n">
        <v>4.3</v>
      </c>
      <c r="Q27" s="77" t="n">
        <v>1723</v>
      </c>
      <c r="R27" s="77" t="n">
        <v>4406</v>
      </c>
      <c r="S27" s="77" t="n">
        <v>2</v>
      </c>
      <c r="T27" s="39" t="n"/>
    </row>
    <row r="28" ht="62" customHeight="1">
      <c r="A28" s="12">
        <f>_xlfn.IMAGE("https://m.media-amazon.com/images/I/81gUBcWN2iL.jpg")</f>
        <v/>
      </c>
      <c r="B28" s="39" t="inlineStr">
        <is>
          <t>B0D9QQWYP4</t>
        </is>
      </c>
      <c r="C28" s="39" t="inlineStr">
        <is>
          <t>SATIN-6PC-FULL-BABY BLUE</t>
        </is>
      </c>
      <c r="D28" s="39" t="inlineStr">
        <is>
          <t>DECOLURE Satin Bed Sheets - 6 Piece Luxury Silky Full Size Bedding Set - Softer Than Silk, Wrinkle-Free with 15” Deep Pocket Fitted Sheet, Perfect for Hair &amp; Skin, Gifts for Women (Baby Blue)</t>
        </is>
      </c>
      <c r="E28" s="39" t="inlineStr">
        <is>
          <t>Full</t>
        </is>
      </c>
      <c r="F28" s="39" t="inlineStr">
        <is>
          <t>Baby Blue</t>
        </is>
      </c>
      <c r="G28" s="73" t="n">
        <v>44.99</v>
      </c>
      <c r="H28" s="39" t="inlineStr">
        <is>
          <t>catalog price (CAD), 2026-10-14</t>
        </is>
      </c>
      <c r="I28" s="74" t="n">
        <v>44.99</v>
      </c>
      <c r="J28" s="75" t="inlineStr">
        <is>
          <t>2026-03-30</t>
        </is>
      </c>
      <c r="K28" s="40" t="n">
        <v>16.88</v>
      </c>
      <c r="L28" s="76" t="n">
        <v>0.3751944876639254</v>
      </c>
      <c r="M28" s="77" t="n">
        <v>7</v>
      </c>
      <c r="N28" s="39" t="inlineStr">
        <is>
          <t>Active</t>
        </is>
      </c>
      <c r="O28" s="39" t="n"/>
      <c r="P28" s="78" t="n">
        <v>4.3</v>
      </c>
      <c r="Q28" s="77" t="n">
        <v>1723</v>
      </c>
      <c r="R28" s="77" t="n">
        <v>4406</v>
      </c>
      <c r="S28" s="77" t="n">
        <v>3</v>
      </c>
      <c r="T28" s="39" t="n"/>
    </row>
    <row r="29" ht="62" customHeight="1">
      <c r="A29" s="12">
        <f>_xlfn.IMAGE("https://m.media-amazon.com/images/I/81PU9JNVXwL.jpg")</f>
        <v/>
      </c>
      <c r="B29" s="39" t="inlineStr">
        <is>
          <t>B0D9QQHLK8</t>
        </is>
      </c>
      <c r="C29" s="39" t="inlineStr">
        <is>
          <t>SATIN-6PC-QUEEN-NAVY BLUE</t>
        </is>
      </c>
      <c r="D29" s="39" t="inlineStr">
        <is>
          <t>DECOLURE Satin Bed Sheets - 6 Piece Luxury Silky Queen Size Bedding Set - Softer Than Silk, Wrinkle-Free with 15” Deep Pocket Fitted Sheet, Perfect for Hair &amp; Skin, Gifts for Women (Navy Blue)</t>
        </is>
      </c>
      <c r="E29" s="39" t="inlineStr">
        <is>
          <t>Queen</t>
        </is>
      </c>
      <c r="F29" s="39" t="inlineStr">
        <is>
          <t>Navy Blue</t>
        </is>
      </c>
      <c r="G29" s="73" t="n">
        <v>47.99</v>
      </c>
      <c r="H29" s="39" t="inlineStr">
        <is>
          <t>catalog price (CAD), 2026-10-14</t>
        </is>
      </c>
      <c r="I29" s="74" t="n">
        <v>47.99</v>
      </c>
      <c r="J29" s="75" t="inlineStr">
        <is>
          <t>2026-03-30</t>
        </is>
      </c>
      <c r="K29" s="40" t="n">
        <v>19.12</v>
      </c>
      <c r="L29" s="76" t="n">
        <v>0.3984163367368202</v>
      </c>
      <c r="M29" s="77" t="n">
        <v>7</v>
      </c>
      <c r="N29" s="39" t="inlineStr">
        <is>
          <t>Active</t>
        </is>
      </c>
      <c r="O29" s="39" t="n"/>
      <c r="P29" s="78" t="n">
        <v>4.3</v>
      </c>
      <c r="Q29" s="77" t="n">
        <v>1723</v>
      </c>
      <c r="R29" s="77" t="n">
        <v>4406</v>
      </c>
      <c r="S29" s="77" t="n">
        <v>5</v>
      </c>
      <c r="T29" s="39" t="n"/>
    </row>
    <row r="30" ht="62" customHeight="1">
      <c r="A30" s="12">
        <f>_xlfn.IMAGE("https://m.media-amazon.com/images/I/81uzoBSAZyL.jpg")</f>
        <v/>
      </c>
      <c r="B30" s="39" t="inlineStr">
        <is>
          <t>B0C7FJLP2F</t>
        </is>
      </c>
      <c r="C30" s="39" t="inlineStr">
        <is>
          <t>SATIN-RED-QUEEN-6PCS</t>
        </is>
      </c>
      <c r="D30" s="39" t="inlineStr">
        <is>
          <t>DECOLURE Satin Bed Sheets - 6 Piece Luxury Silky Queen Size Bedding Set - Softer Than Silk, Wrinkle-Free with 15” Deep Pocket Fitted Sheet, Perfect for Hair &amp; Skin, Gifts for Women (Red)</t>
        </is>
      </c>
      <c r="E30" s="39" t="inlineStr">
        <is>
          <t>Queen</t>
        </is>
      </c>
      <c r="F30" s="39" t="inlineStr">
        <is>
          <t>Red</t>
        </is>
      </c>
      <c r="G30" s="73" t="n">
        <v>47.99</v>
      </c>
      <c r="H30" s="39" t="inlineStr">
        <is>
          <t>catalog price (CAD), 2026-10-14</t>
        </is>
      </c>
      <c r="I30" s="74" t="n">
        <v>47.99</v>
      </c>
      <c r="J30" s="75" t="inlineStr">
        <is>
          <t>2026-03-30</t>
        </is>
      </c>
      <c r="K30" s="40" t="n">
        <v>19.29</v>
      </c>
      <c r="L30" s="76" t="n">
        <v>0.4019587414044593</v>
      </c>
      <c r="M30" s="77" t="n">
        <v>7</v>
      </c>
      <c r="N30" s="39" t="inlineStr">
        <is>
          <t>Active</t>
        </is>
      </c>
      <c r="O30" s="39" t="n"/>
      <c r="P30" s="78" t="n">
        <v>4.3</v>
      </c>
      <c r="Q30" s="77" t="n">
        <v>1723</v>
      </c>
      <c r="R30" s="77" t="n">
        <v>4406</v>
      </c>
      <c r="S30" s="77" t="n">
        <v>2</v>
      </c>
      <c r="T30" s="39" t="n"/>
    </row>
    <row r="31" ht="62" customHeight="1">
      <c r="A31" s="12">
        <f>_xlfn.IMAGE("https://m.media-amazon.com/images/I/818xrpI8WdL.jpg")</f>
        <v/>
      </c>
      <c r="B31" s="39" t="inlineStr">
        <is>
          <t>B0C7FW4Q1C</t>
        </is>
      </c>
      <c r="C31" s="39" t="inlineStr">
        <is>
          <t>SATIN-SEA-TEAL-FULL-6PCS</t>
        </is>
      </c>
      <c r="D31" s="39" t="inlineStr">
        <is>
          <t>DECOLURE Satin Bed Sheets - 6 Piece Luxury Silky Full Size Bedding Set - Softer Than Silk, Wrinkle-Free with 15” Deep Pocket Fitted Sheet, Perfect for Hair &amp; Skin, Gifts for Women (Sea Teal)</t>
        </is>
      </c>
      <c r="E31" s="39" t="inlineStr">
        <is>
          <t>Full</t>
        </is>
      </c>
      <c r="F31" s="39" t="inlineStr">
        <is>
          <t>Sea Teal</t>
        </is>
      </c>
      <c r="G31" s="73" t="n">
        <v>44.99</v>
      </c>
      <c r="H31" s="39" t="inlineStr">
        <is>
          <t>catalog price (CAD), 2026-10-14</t>
        </is>
      </c>
      <c r="I31" s="74" t="n">
        <v>44.99</v>
      </c>
      <c r="J31" s="75" t="inlineStr">
        <is>
          <t>2026-03-30</t>
        </is>
      </c>
      <c r="K31" s="40" t="n">
        <v>17.9</v>
      </c>
      <c r="L31" s="76" t="n">
        <v>0.3978661924872194</v>
      </c>
      <c r="M31" s="77" t="n">
        <v>6</v>
      </c>
      <c r="N31" s="39" t="inlineStr">
        <is>
          <t>Active</t>
        </is>
      </c>
      <c r="O31" s="39" t="n"/>
      <c r="P31" s="78" t="n">
        <v>4.3</v>
      </c>
      <c r="Q31" s="77" t="n">
        <v>1723</v>
      </c>
      <c r="R31" s="77" t="n">
        <v>4406</v>
      </c>
      <c r="S31" s="77" t="n">
        <v>4</v>
      </c>
      <c r="T31" s="39" t="n"/>
    </row>
    <row r="32" ht="62" customHeight="1">
      <c r="A32" s="12">
        <f>_xlfn.IMAGE("https://m.media-amazon.com/images/I/81TFWOCMZHL.jpg")</f>
        <v/>
      </c>
      <c r="B32" s="39" t="inlineStr">
        <is>
          <t>B0C7FMQP5L</t>
        </is>
      </c>
      <c r="C32" s="39" t="inlineStr">
        <is>
          <t>SATIN-IVORY-QUEEN-6PCS</t>
        </is>
      </c>
      <c r="D32" s="39" t="inlineStr">
        <is>
          <t>DECOLURE Satin Bed Sheets - 6 Piece Luxury Silky Queen Size Bedding Set - Softer Than Silk, Wrinkle-Free with 15” Deep Pocket Fitted Sheet, Perfect for Hair &amp; Skin, Gifts for Women (Ivory)</t>
        </is>
      </c>
      <c r="E32" s="39" t="inlineStr">
        <is>
          <t>Queen</t>
        </is>
      </c>
      <c r="F32" s="39" t="inlineStr">
        <is>
          <t>Ivory</t>
        </is>
      </c>
      <c r="G32" s="73" t="n">
        <v>47.99</v>
      </c>
      <c r="H32" s="39" t="inlineStr">
        <is>
          <t>catalog price (CAD), 2026-10-14</t>
        </is>
      </c>
      <c r="I32" s="74" t="n">
        <v>47.99</v>
      </c>
      <c r="J32" s="75" t="inlineStr">
        <is>
          <t>2026-03-30</t>
        </is>
      </c>
      <c r="K32" s="40" t="n">
        <v>18.8</v>
      </c>
      <c r="L32" s="76" t="n">
        <v>0.3917482808918525</v>
      </c>
      <c r="M32" s="77" t="n">
        <v>6</v>
      </c>
      <c r="N32" s="39" t="inlineStr">
        <is>
          <t>Active</t>
        </is>
      </c>
      <c r="O32" s="39" t="n"/>
      <c r="P32" s="78" t="n">
        <v>4.3</v>
      </c>
      <c r="Q32" s="77" t="n">
        <v>1723</v>
      </c>
      <c r="R32" s="77" t="n">
        <v>4406</v>
      </c>
      <c r="S32" s="77" t="n">
        <v>2</v>
      </c>
      <c r="T32" s="39" t="n"/>
    </row>
    <row r="33" ht="62" customHeight="1">
      <c r="A33" s="12">
        <f>_xlfn.IMAGE("https://m.media-amazon.com/images/I/81-NapzaU0L.jpg")</f>
        <v/>
      </c>
      <c r="B33" s="39" t="inlineStr">
        <is>
          <t>B0C7KD9LMR</t>
        </is>
      </c>
      <c r="C33" s="39" t="inlineStr">
        <is>
          <t>SATIN-STRIPE-QUEEN-PINK--6-PCS</t>
        </is>
      </c>
      <c r="D33" s="39" t="inlineStr">
        <is>
          <t>DECOLURE Satin Bed Sheets - 6 Piece Luxury Silky Queen Size Bedding Set - Softer Than Silk, Wrinkle-Free with 15” Deep Pocket Fitted Sheet, Perfect for Hair &amp; Skin, Gifts for Women (Striped Pink)</t>
        </is>
      </c>
      <c r="E33" s="39" t="inlineStr">
        <is>
          <t>Queen</t>
        </is>
      </c>
      <c r="F33" s="39" t="inlineStr">
        <is>
          <t>Striped Pink</t>
        </is>
      </c>
      <c r="G33" s="73" t="n">
        <v>47.99</v>
      </c>
      <c r="H33" s="39" t="inlineStr">
        <is>
          <t>catalog price (CAD), 2026-10-14</t>
        </is>
      </c>
      <c r="I33" s="74" t="n">
        <v>47.99</v>
      </c>
      <c r="J33" s="75" t="inlineStr">
        <is>
          <t>2026-03-30</t>
        </is>
      </c>
      <c r="K33" s="40" t="n">
        <v>18.09</v>
      </c>
      <c r="L33" s="76" t="n">
        <v>0.3769535319858303</v>
      </c>
      <c r="M33" s="77" t="n">
        <v>6</v>
      </c>
      <c r="N33" s="39" t="inlineStr">
        <is>
          <t>Active</t>
        </is>
      </c>
      <c r="O33" s="39" t="n"/>
      <c r="P33" s="78" t="n">
        <v>4.3</v>
      </c>
      <c r="Q33" s="77" t="n">
        <v>1723</v>
      </c>
      <c r="R33" s="77" t="n">
        <v>4406</v>
      </c>
      <c r="S33" s="77" t="n">
        <v>2</v>
      </c>
      <c r="T33" s="39" t="n"/>
    </row>
    <row r="34" ht="62" customHeight="1">
      <c r="A34" s="12">
        <f>_xlfn.IMAGE("https://m.media-amazon.com/images/I/81JDVBgWOSL.jpg")</f>
        <v/>
      </c>
      <c r="B34" s="39" t="inlineStr">
        <is>
          <t>B0C7FR94LJ</t>
        </is>
      </c>
      <c r="C34" s="39" t="inlineStr">
        <is>
          <t>SATIN-WHITE-QUEEN-6PCS</t>
        </is>
      </c>
      <c r="D34" s="39" t="inlineStr">
        <is>
          <t>DECOLURE Satin Bed Sheets - 6 Piece Luxury Silky Queen Size Bedding Set - Softer Than Silk, Wrinkle-Free with 15” Deep Pocket Fitted Sheet, Perfect for Hair &amp; Skin, Gifts for Women (White)</t>
        </is>
      </c>
      <c r="E34" s="39" t="inlineStr">
        <is>
          <t>Queen</t>
        </is>
      </c>
      <c r="F34" s="39" t="inlineStr">
        <is>
          <t>White</t>
        </is>
      </c>
      <c r="G34" s="73" t="n">
        <v>47.99</v>
      </c>
      <c r="H34" s="39" t="inlineStr">
        <is>
          <t>catalog price (CAD), 2026-10-14</t>
        </is>
      </c>
      <c r="I34" s="74" t="n">
        <v>47.99</v>
      </c>
      <c r="J34" s="75" t="inlineStr">
        <is>
          <t>2026-03-30</t>
        </is>
      </c>
      <c r="K34" s="40" t="n">
        <v>18.47</v>
      </c>
      <c r="L34" s="76" t="n">
        <v>0.3848718483017295</v>
      </c>
      <c r="M34" s="77" t="n">
        <v>6</v>
      </c>
      <c r="N34" s="39" t="inlineStr">
        <is>
          <t>Active</t>
        </is>
      </c>
      <c r="O34" s="39" t="n"/>
      <c r="P34" s="78" t="n">
        <v>4.3</v>
      </c>
      <c r="Q34" s="77" t="n">
        <v>1723</v>
      </c>
      <c r="R34" s="77" t="n">
        <v>4406</v>
      </c>
      <c r="S34" s="77" t="n">
        <v>2</v>
      </c>
      <c r="T34" s="39" t="n"/>
    </row>
    <row r="35" ht="62" customHeight="1">
      <c r="A35" s="12">
        <f>_xlfn.IMAGE("https://m.media-amazon.com/images/I/81VLLob-TFL.jpg")</f>
        <v/>
      </c>
      <c r="B35" s="39" t="inlineStr">
        <is>
          <t>B0D9QR6YSH</t>
        </is>
      </c>
      <c r="C35" s="39" t="inlineStr">
        <is>
          <t>SATIN-6PC-FULL-LAVENDER</t>
        </is>
      </c>
      <c r="D35" s="39" t="inlineStr">
        <is>
          <t>DECOLURE Satin Bed Sheets - 6 Piece Luxury Silky Full Size Bedding Set - Softer Than Silk, Wrinkle-Free with 15” Deep Pocket Fitted Sheet, Perfect for Hair &amp; Skin, Gifts for Women (Lavender)</t>
        </is>
      </c>
      <c r="E35" s="39" t="inlineStr">
        <is>
          <t>Full</t>
        </is>
      </c>
      <c r="F35" s="39" t="inlineStr">
        <is>
          <t>Lavender</t>
        </is>
      </c>
      <c r="G35" s="73" t="n">
        <v>44.99</v>
      </c>
      <c r="H35" s="39" t="inlineStr">
        <is>
          <t>catalog price (CAD), 2026-10-14</t>
        </is>
      </c>
      <c r="I35" s="74" t="n">
        <v>44.99</v>
      </c>
      <c r="J35" s="75" t="inlineStr">
        <is>
          <t>2026-03-30</t>
        </is>
      </c>
      <c r="K35" s="40" t="n">
        <v>17.24</v>
      </c>
      <c r="L35" s="76" t="n">
        <v>0.3831962658368527</v>
      </c>
      <c r="M35" s="77" t="n">
        <v>5</v>
      </c>
      <c r="N35" s="39" t="inlineStr">
        <is>
          <t>Active</t>
        </is>
      </c>
      <c r="O35" s="39" t="n"/>
      <c r="P35" s="78" t="n">
        <v>4.3</v>
      </c>
      <c r="Q35" s="77" t="n">
        <v>1723</v>
      </c>
      <c r="R35" s="77" t="n">
        <v>4406</v>
      </c>
      <c r="S35" s="77" t="n">
        <v>3</v>
      </c>
      <c r="T35" s="39" t="n"/>
    </row>
    <row r="36" ht="62" customHeight="1">
      <c r="A36" s="12">
        <f>_xlfn.IMAGE("https://m.media-amazon.com/images/I/81PU9JNVXwL.jpg")</f>
        <v/>
      </c>
      <c r="B36" s="39" t="inlineStr">
        <is>
          <t>B0D9QRCV3S</t>
        </is>
      </c>
      <c r="C36" s="39" t="inlineStr">
        <is>
          <t>SATIN-6PC-FULL-NAVY BLUE</t>
        </is>
      </c>
      <c r="D36" s="39" t="inlineStr">
        <is>
          <t>DECOLURE Satin Bed Sheets - 6 Piece Luxury Silky Full Size Bedding Set - Softer Than Silk, Wrinkle-Free with 15” Deep Pocket Fitted Sheet, Perfect for Hair &amp; Skin, Gifts for Women (Navy Blue)</t>
        </is>
      </c>
      <c r="E36" s="39" t="inlineStr">
        <is>
          <t>Full</t>
        </is>
      </c>
      <c r="F36" s="39" t="inlineStr">
        <is>
          <t>Navy Blue</t>
        </is>
      </c>
      <c r="G36" s="73" t="n">
        <v>44.99</v>
      </c>
      <c r="H36" s="39" t="inlineStr">
        <is>
          <t>catalog price (CAD), 2026-10-14</t>
        </is>
      </c>
      <c r="I36" s="74" t="n">
        <v>44.99</v>
      </c>
      <c r="J36" s="75" t="inlineStr">
        <is>
          <t>2026-03-30</t>
        </is>
      </c>
      <c r="K36" s="40" t="n">
        <v>17.37</v>
      </c>
      <c r="L36" s="76" t="n">
        <v>0.3860857968437431</v>
      </c>
      <c r="M36" s="77" t="n">
        <v>5</v>
      </c>
      <c r="N36" s="39" t="inlineStr">
        <is>
          <t>Active</t>
        </is>
      </c>
      <c r="O36" s="39" t="n"/>
      <c r="P36" s="78" t="n">
        <v>4.3</v>
      </c>
      <c r="Q36" s="77" t="n">
        <v>1723</v>
      </c>
      <c r="R36" s="77" t="n">
        <v>4406</v>
      </c>
      <c r="S36" s="77" t="n">
        <v>3</v>
      </c>
      <c r="T36" s="39" t="n"/>
    </row>
    <row r="37" ht="62" customHeight="1">
      <c r="A37" s="12">
        <f>_xlfn.IMAGE("https://m.media-amazon.com/images/I/81u38yfz4ML.jpg")</f>
        <v/>
      </c>
      <c r="B37" s="39" t="inlineStr">
        <is>
          <t>B0C7FMYDFC</t>
        </is>
      </c>
      <c r="C37" s="39" t="inlineStr">
        <is>
          <t>SATIN-GOLD-KING-6PCS</t>
        </is>
      </c>
      <c r="D37" s="39" t="inlineStr">
        <is>
          <t>DECOLURE Satin Bed Sheets - 6 Piece Luxury Silky King Size Bedding Set - Softer Than Silk, Wrinkle-Free with 15” Deep Pocket Fitted Sheet, Perfect for Hair &amp; Skin, Gifts for Women (Gold)</t>
        </is>
      </c>
      <c r="E37" s="39" t="inlineStr">
        <is>
          <t>King</t>
        </is>
      </c>
      <c r="F37" s="39" t="inlineStr">
        <is>
          <t>Gold</t>
        </is>
      </c>
      <c r="G37" s="73" t="n">
        <v>49.99</v>
      </c>
      <c r="H37" s="39" t="inlineStr">
        <is>
          <t>catalog price (CAD), 2026-10-14</t>
        </is>
      </c>
      <c r="I37" s="74" t="n">
        <v>49.99</v>
      </c>
      <c r="J37" s="75" t="inlineStr">
        <is>
          <t>2026-03-30</t>
        </is>
      </c>
      <c r="K37" s="40" t="n">
        <v>19.64</v>
      </c>
      <c r="L37" s="76" t="n">
        <v>0.392878575715143</v>
      </c>
      <c r="M37" s="77" t="n">
        <v>5</v>
      </c>
      <c r="N37" s="39" t="inlineStr">
        <is>
          <t>Active</t>
        </is>
      </c>
      <c r="O37" s="39" t="n"/>
      <c r="P37" s="78" t="n">
        <v>4.3</v>
      </c>
      <c r="Q37" s="77" t="n">
        <v>1723</v>
      </c>
      <c r="R37" s="77" t="n">
        <v>4406</v>
      </c>
      <c r="S37" s="77" t="n">
        <v>3</v>
      </c>
      <c r="T37" s="39" t="n"/>
    </row>
    <row r="38" ht="62" customHeight="1">
      <c r="A38" s="12">
        <f>_xlfn.IMAGE("https://m.media-amazon.com/images/I/81uzoBSAZyL.jpg")</f>
        <v/>
      </c>
      <c r="B38" s="39" t="inlineStr">
        <is>
          <t>B0C7FKF7J1</t>
        </is>
      </c>
      <c r="C38" s="39" t="inlineStr">
        <is>
          <t>SATIN-RED-KING-6PCS</t>
        </is>
      </c>
      <c r="D38" s="39" t="inlineStr">
        <is>
          <t>DECOLURE Satin Bed Sheets - 6 Piece Luxury Silky King Size Bedding Set - Softer Than Silk, Wrinkle-Free with 15” Deep Pocket Fitted Sheet, Perfect for Hair &amp; Skin, Gifts for Women (Red)</t>
        </is>
      </c>
      <c r="E38" s="39" t="inlineStr">
        <is>
          <t>King</t>
        </is>
      </c>
      <c r="F38" s="39" t="inlineStr">
        <is>
          <t>Red</t>
        </is>
      </c>
      <c r="G38" s="73" t="n">
        <v>49.99</v>
      </c>
      <c r="H38" s="39" t="inlineStr">
        <is>
          <t>catalog price (CAD), 2026-10-14</t>
        </is>
      </c>
      <c r="I38" s="74" t="n">
        <v>61.11</v>
      </c>
      <c r="J38" s="75" t="inlineStr">
        <is>
          <t>2026-03-10</t>
        </is>
      </c>
      <c r="K38" s="40" t="n">
        <v>28.25</v>
      </c>
      <c r="L38" s="76" t="n">
        <v>0.4622811323842251</v>
      </c>
      <c r="M38" s="77" t="n">
        <v>5</v>
      </c>
      <c r="N38" s="39" t="inlineStr">
        <is>
          <t>Active</t>
        </is>
      </c>
      <c r="O38" s="39" t="n"/>
      <c r="P38" s="78" t="n">
        <v>4.3</v>
      </c>
      <c r="Q38" s="77" t="n">
        <v>1723</v>
      </c>
      <c r="R38" s="77" t="n">
        <v>4406</v>
      </c>
      <c r="S38" s="77" t="n">
        <v>0.9854000000000001</v>
      </c>
      <c r="T38" s="39" t="n"/>
    </row>
    <row r="39" ht="62" customHeight="1">
      <c r="A39" s="12">
        <f>_xlfn.IMAGE("https://m.media-amazon.com/images/I/91LEDRktAdL.jpg")</f>
        <v/>
      </c>
      <c r="B39" s="39" t="inlineStr">
        <is>
          <t>B0C7JYWFP8</t>
        </is>
      </c>
      <c r="C39" s="39" t="inlineStr">
        <is>
          <t>SATIN-STRIPE-KING-RED--6-PCS</t>
        </is>
      </c>
      <c r="D39" s="39" t="inlineStr">
        <is>
          <t>DECOLURE Satin Bed Sheets - 6 Piece Luxury Silky King Size Bedding Set - Softer Than Silk, Wrinkle-Free with 15” Deep Pocket Fitted Sheet, Perfect for Hair &amp; Skin, Gifts for Women (Striped Red)</t>
        </is>
      </c>
      <c r="E39" s="39" t="inlineStr">
        <is>
          <t>King</t>
        </is>
      </c>
      <c r="F39" s="39" t="inlineStr">
        <is>
          <t>Striped Red</t>
        </is>
      </c>
      <c r="G39" s="73" t="n">
        <v>49.99</v>
      </c>
      <c r="H39" s="39" t="inlineStr">
        <is>
          <t>catalog price (CAD), 2026-10-14</t>
        </is>
      </c>
      <c r="I39" s="74" t="n">
        <v>49.99</v>
      </c>
      <c r="J39" s="75" t="inlineStr">
        <is>
          <t>2026-03-30</t>
        </is>
      </c>
      <c r="K39" s="40" t="n">
        <v>18.71</v>
      </c>
      <c r="L39" s="76" t="n">
        <v>0.3742748549709943</v>
      </c>
      <c r="M39" s="77" t="n">
        <v>5</v>
      </c>
      <c r="N39" s="39" t="inlineStr">
        <is>
          <t>Active</t>
        </is>
      </c>
      <c r="O39" s="39" t="n"/>
      <c r="P39" s="78" t="n">
        <v>4.3</v>
      </c>
      <c r="Q39" s="77" t="n">
        <v>1723</v>
      </c>
      <c r="R39" s="77" t="n">
        <v>4406</v>
      </c>
      <c r="S39" s="77" t="n">
        <v>1</v>
      </c>
      <c r="T39" s="39" t="n"/>
    </row>
    <row r="40" ht="62" customHeight="1">
      <c r="A40" s="12">
        <f>_xlfn.IMAGE("https://m.media-amazon.com/images/I/81VLLob-TFL.jpg")</f>
        <v/>
      </c>
      <c r="B40" s="39" t="inlineStr">
        <is>
          <t>B0D9QSYPF2</t>
        </is>
      </c>
      <c r="C40" s="39" t="inlineStr">
        <is>
          <t>SATIN-6PC-QUEEN-LAVENDER</t>
        </is>
      </c>
      <c r="D40" s="39" t="inlineStr">
        <is>
          <t>DECOLURE Satin Bed Sheets - 6 Piece Luxury Silky Queen Size Bedding Set - Softer Than Silk, Wrinkle-Free with 15” Deep Pocket Fitted Sheet, Perfect for Hair &amp; Skin, Gifts for Women (Lavender)</t>
        </is>
      </c>
      <c r="E40" s="39" t="inlineStr">
        <is>
          <t>Queen</t>
        </is>
      </c>
      <c r="F40" s="39" t="inlineStr">
        <is>
          <t>Lavender</t>
        </is>
      </c>
      <c r="G40" s="73" t="n">
        <v>47.99</v>
      </c>
      <c r="H40" s="39" t="inlineStr">
        <is>
          <t>catalog price (CAD), 2026-10-14</t>
        </is>
      </c>
      <c r="I40" s="74" t="n">
        <v>47.99</v>
      </c>
      <c r="J40" s="75" t="inlineStr">
        <is>
          <t>2026-03-30</t>
        </is>
      </c>
      <c r="K40" s="40" t="n">
        <v>18.33</v>
      </c>
      <c r="L40" s="76" t="n">
        <v>0.3819545738695561</v>
      </c>
      <c r="M40" s="77" t="n">
        <v>5</v>
      </c>
      <c r="N40" s="39" t="inlineStr">
        <is>
          <t>Active</t>
        </is>
      </c>
      <c r="O40" s="39" t="n"/>
      <c r="P40" s="78" t="n">
        <v>4.3</v>
      </c>
      <c r="Q40" s="77" t="n">
        <v>1723</v>
      </c>
      <c r="R40" s="77" t="n">
        <v>4406</v>
      </c>
      <c r="S40" s="77" t="n">
        <v>2</v>
      </c>
      <c r="T40" s="39" t="n"/>
    </row>
    <row r="41" ht="62" customHeight="1">
      <c r="A41" s="12">
        <f>_xlfn.IMAGE("https://m.media-amazon.com/images/I/81EP82PeCzL.jpg")</f>
        <v/>
      </c>
      <c r="B41" s="39" t="inlineStr">
        <is>
          <t>B0C7FDN7ZM</t>
        </is>
      </c>
      <c r="C41" s="39" t="inlineStr">
        <is>
          <t>SATIN-ROSEWOOD-TWIN-6PCS</t>
        </is>
      </c>
      <c r="D41" s="39" t="inlineStr">
        <is>
          <t>DECOLURE Satin Bed Sheets - 4 Piece Luxury Silky Twin Size Bedding Set - Softer Than Silk, Wrinkle-Free with 15” Deep Pocket Fitted Sheet, Perfect for Hair &amp; Skin, Gifts for Women (Rosewood)</t>
        </is>
      </c>
      <c r="E41" s="39" t="inlineStr">
        <is>
          <t>Twin</t>
        </is>
      </c>
      <c r="F41" s="39" t="inlineStr">
        <is>
          <t>Rosewood</t>
        </is>
      </c>
      <c r="G41" s="73" t="n">
        <v>39.99</v>
      </c>
      <c r="H41" s="39" t="inlineStr">
        <is>
          <t>catalog price (CAD), 2026-10-14</t>
        </is>
      </c>
      <c r="I41" s="74" t="n">
        <v>39.99</v>
      </c>
      <c r="J41" s="75" t="inlineStr">
        <is>
          <t>2026-03-30</t>
        </is>
      </c>
      <c r="K41" s="40" t="n">
        <v>16.71</v>
      </c>
      <c r="L41" s="76" t="n">
        <v>0.417854463615904</v>
      </c>
      <c r="M41" s="77" t="n">
        <v>5</v>
      </c>
      <c r="N41" s="39" t="inlineStr">
        <is>
          <t>Active</t>
        </is>
      </c>
      <c r="O41" s="39" t="n"/>
      <c r="P41" s="78" t="n">
        <v>4.3</v>
      </c>
      <c r="Q41" s="77" t="n">
        <v>1723</v>
      </c>
      <c r="R41" s="77" t="n">
        <v>4406</v>
      </c>
      <c r="S41" s="77" t="n">
        <v>9</v>
      </c>
      <c r="T41" s="39" t="n"/>
    </row>
    <row r="42" ht="62" customHeight="1">
      <c r="A42" s="12">
        <f>_xlfn.IMAGE("https://m.media-amazon.com/images/I/81JDVBgWOSL.jpg")</f>
        <v/>
      </c>
      <c r="B42" s="39" t="inlineStr">
        <is>
          <t>B0D9R9B1VT</t>
        </is>
      </c>
      <c r="C42" s="39" t="inlineStr">
        <is>
          <t>SATIN-6PC-FULL-WHITE</t>
        </is>
      </c>
      <c r="D42" s="39" t="inlineStr">
        <is>
          <t>DECOLURE Satin Bed Sheets - 6 Piece Luxury Silky Full Size Bedding Set - Softer Than Silk, Wrinkle-Free with 15” Deep Pocket Fitted Sheet, Perfect for Hair &amp; Skin, Gifts for Women (White)</t>
        </is>
      </c>
      <c r="E42" s="39" t="inlineStr">
        <is>
          <t>Full</t>
        </is>
      </c>
      <c r="F42" s="39" t="inlineStr">
        <is>
          <t>White</t>
        </is>
      </c>
      <c r="G42" s="73" t="n">
        <v>44.99</v>
      </c>
      <c r="H42" s="39" t="inlineStr">
        <is>
          <t>catalog price (CAD), 2026-10-14</t>
        </is>
      </c>
      <c r="I42" s="74" t="n">
        <v>55.92</v>
      </c>
      <c r="J42" s="75" t="inlineStr">
        <is>
          <t>2026-03-30</t>
        </is>
      </c>
      <c r="K42" s="40" t="n">
        <v>20.84</v>
      </c>
      <c r="L42" s="76" t="n">
        <v>0.3726752503576538</v>
      </c>
      <c r="M42" s="77" t="n">
        <v>4</v>
      </c>
      <c r="N42" s="39" t="inlineStr">
        <is>
          <t>Active</t>
        </is>
      </c>
      <c r="O42" s="39" t="n"/>
      <c r="P42" s="78" t="n">
        <v>4.3</v>
      </c>
      <c r="Q42" s="77" t="n">
        <v>1723</v>
      </c>
      <c r="R42" s="77" t="n">
        <v>4406</v>
      </c>
      <c r="S42" s="77" t="n">
        <v>4</v>
      </c>
      <c r="T42" s="39" t="n"/>
    </row>
    <row r="43" ht="62" customHeight="1">
      <c r="A43" s="12">
        <f>_xlfn.IMAGE("https://m.media-amazon.com/images/I/818xrpI8WdL.jpg")</f>
        <v/>
      </c>
      <c r="B43" s="39" t="inlineStr">
        <is>
          <t>B0C7FSZHXL</t>
        </is>
      </c>
      <c r="C43" s="39" t="inlineStr">
        <is>
          <t>SATIN-SEA-TEAL-KING-6PCS</t>
        </is>
      </c>
      <c r="D43" s="39" t="inlineStr">
        <is>
          <t>DECOLURE Satin Bed Sheets - 6 Piece Luxury Silky King Size Bedding Set - Softer Than Silk, Wrinkle-Free with 15” Deep Pocket Fitted Sheet, Perfect for Hair &amp; Skin, Gifts for Women (Sea Teal)</t>
        </is>
      </c>
      <c r="E43" s="39" t="inlineStr">
        <is>
          <t>King</t>
        </is>
      </c>
      <c r="F43" s="39" t="inlineStr">
        <is>
          <t>Sea Teal</t>
        </is>
      </c>
      <c r="G43" s="73" t="n">
        <v>49.99</v>
      </c>
      <c r="H43" s="39" t="inlineStr">
        <is>
          <t>catalog price (CAD), 2026-10-14</t>
        </is>
      </c>
      <c r="I43" s="74" t="n">
        <v>49.99</v>
      </c>
      <c r="J43" s="75" t="inlineStr">
        <is>
          <t>2026-03-30</t>
        </is>
      </c>
      <c r="K43" s="40" t="n">
        <v>19.37</v>
      </c>
      <c r="L43" s="76" t="n">
        <v>0.3874774954990999</v>
      </c>
      <c r="M43" s="77" t="n">
        <v>4</v>
      </c>
      <c r="N43" s="39" t="inlineStr">
        <is>
          <t>Active</t>
        </is>
      </c>
      <c r="O43" s="39" t="n"/>
      <c r="P43" s="78" t="n">
        <v>4.3</v>
      </c>
      <c r="Q43" s="77" t="n">
        <v>1723</v>
      </c>
      <c r="R43" s="77" t="n">
        <v>4406</v>
      </c>
      <c r="S43" s="77" t="n">
        <v>2</v>
      </c>
      <c r="T43" s="39" t="n"/>
    </row>
    <row r="44" ht="62" customHeight="1">
      <c r="A44" s="12">
        <f>_xlfn.IMAGE("https://m.media-amazon.com/images/I/81k4pZo8ZKL.jpg")</f>
        <v/>
      </c>
      <c r="B44" s="39" t="inlineStr">
        <is>
          <t>B0C7KB5TWS</t>
        </is>
      </c>
      <c r="C44" s="39" t="inlineStr">
        <is>
          <t>SATIN-STRIPE-KING-BLACK--6-PCS</t>
        </is>
      </c>
      <c r="D44" s="39" t="inlineStr">
        <is>
          <t>DECOLURE Satin Bed Sheets - 6 Piece Luxury Silky King Size Bedding Set - Softer Than Silk, Wrinkle-Free with 15” Deep Pocket Fitted Sheet, Perfect for Hair &amp; Skin, Gifts for Women (Striped Black)</t>
        </is>
      </c>
      <c r="E44" s="39" t="inlineStr">
        <is>
          <t>King</t>
        </is>
      </c>
      <c r="F44" s="39" t="inlineStr">
        <is>
          <t>Striped Black</t>
        </is>
      </c>
      <c r="G44" s="73" t="n">
        <v>61.41</v>
      </c>
      <c r="H44" s="39" t="inlineStr">
        <is>
          <t>catalog price (CAD), 2026-10-14</t>
        </is>
      </c>
      <c r="I44" s="74" t="n">
        <v>49.99</v>
      </c>
      <c r="J44" s="75" t="inlineStr">
        <is>
          <t>2026-03-30</t>
        </is>
      </c>
      <c r="K44" s="40" t="n">
        <v>18.68</v>
      </c>
      <c r="L44" s="76" t="n">
        <v>0.3736747349469894</v>
      </c>
      <c r="M44" s="77" t="n">
        <v>4</v>
      </c>
      <c r="N44" s="39" t="inlineStr">
        <is>
          <t>Active</t>
        </is>
      </c>
      <c r="O44" s="39" t="n"/>
      <c r="P44" s="78" t="n">
        <v>4.3</v>
      </c>
      <c r="Q44" s="77" t="n">
        <v>1723</v>
      </c>
      <c r="R44" s="77" t="n">
        <v>4406</v>
      </c>
      <c r="S44" s="77" t="n">
        <v>4</v>
      </c>
      <c r="T44" s="39" t="n"/>
    </row>
    <row r="45" ht="62" customHeight="1">
      <c r="A45" s="12">
        <f>_xlfn.IMAGE("https://m.media-amazon.com/images/I/81gUBcWN2iL.jpg")</f>
        <v/>
      </c>
      <c r="B45" s="39" t="inlineStr">
        <is>
          <t>B0D9QSZH1N</t>
        </is>
      </c>
      <c r="C45" s="39" t="inlineStr">
        <is>
          <t>SATIN-6PC-QUEEN-BABY BLUE</t>
        </is>
      </c>
      <c r="D45" s="39" t="inlineStr">
        <is>
          <t>DECOLURE Satin Bed Sheets - 6 Piece Luxury Silky Queen Size Bedding Set - Softer Than Silk, Wrinkle-Free with 15” Deep Pocket Fitted Sheet, Perfect for Hair &amp; Skin, Gifts for Women (Baby Blue)</t>
        </is>
      </c>
      <c r="E45" s="39" t="inlineStr">
        <is>
          <t>Queen</t>
        </is>
      </c>
      <c r="F45" s="39" t="inlineStr">
        <is>
          <t>Baby Blue</t>
        </is>
      </c>
      <c r="G45" s="73" t="n">
        <v>47.99</v>
      </c>
      <c r="H45" s="39" t="inlineStr">
        <is>
          <t>catalog price (CAD), 2026-10-14</t>
        </is>
      </c>
      <c r="I45" s="74" t="n">
        <v>47.99</v>
      </c>
      <c r="J45" s="75" t="inlineStr">
        <is>
          <t>2026-03-30</t>
        </is>
      </c>
      <c r="K45" s="40" t="n">
        <v>19.12</v>
      </c>
      <c r="L45" s="76" t="n">
        <v>0.3984163367368202</v>
      </c>
      <c r="M45" s="77" t="n">
        <v>4</v>
      </c>
      <c r="N45" s="39" t="inlineStr">
        <is>
          <t>Active</t>
        </is>
      </c>
      <c r="O45" s="39" t="n"/>
      <c r="P45" s="78" t="n">
        <v>4.3</v>
      </c>
      <c r="Q45" s="77" t="n">
        <v>1723</v>
      </c>
      <c r="R45" s="77" t="n">
        <v>4406</v>
      </c>
      <c r="S45" s="77" t="n">
        <v>2</v>
      </c>
      <c r="T45" s="39" t="n"/>
    </row>
    <row r="46" ht="62" customHeight="1">
      <c r="A46" s="12">
        <f>_xlfn.IMAGE("https://m.media-amazon.com/images/I/81QbKTHtUqL.jpg")</f>
        <v/>
      </c>
      <c r="B46" s="39" t="inlineStr">
        <is>
          <t>B0C7FJ461D</t>
        </is>
      </c>
      <c r="C46" s="39" t="inlineStr">
        <is>
          <t>SATIN-QUEEN-BLUE-6PCS</t>
        </is>
      </c>
      <c r="D46" s="39" t="inlineStr">
        <is>
          <t>DECOLURE Satin Bed Sheets - 6 Piece Luxury Silky Queen Size Bedding Set - Softer Than Silk, Wrinkle-Free with 15” Deep Pocket Fitted Sheet, Perfect for Hair &amp; Skin, Gifts for Women (Blue)</t>
        </is>
      </c>
      <c r="E46" s="39" t="inlineStr">
        <is>
          <t>Queen</t>
        </is>
      </c>
      <c r="F46" s="39" t="inlineStr">
        <is>
          <t>Blue</t>
        </is>
      </c>
      <c r="G46" s="73" t="n">
        <v>47.99</v>
      </c>
      <c r="H46" s="39" t="inlineStr">
        <is>
          <t>catalog price (CAD), 2026-10-14</t>
        </is>
      </c>
      <c r="I46" s="74" t="n">
        <v>47.99</v>
      </c>
      <c r="J46" s="75" t="inlineStr">
        <is>
          <t>2026-03-30</t>
        </is>
      </c>
      <c r="K46" s="40" t="n">
        <v>19.12</v>
      </c>
      <c r="L46" s="76" t="n">
        <v>0.3984163367368202</v>
      </c>
      <c r="M46" s="77" t="n">
        <v>4</v>
      </c>
      <c r="N46" s="39" t="inlineStr">
        <is>
          <t>Active</t>
        </is>
      </c>
      <c r="O46" s="39" t="n"/>
      <c r="P46" s="78" t="n">
        <v>4.3</v>
      </c>
      <c r="Q46" s="77" t="n">
        <v>1723</v>
      </c>
      <c r="R46" s="77" t="n">
        <v>4400</v>
      </c>
      <c r="S46" s="77" t="n">
        <v>2</v>
      </c>
      <c r="T46" s="39" t="n"/>
    </row>
    <row r="47" ht="62" customHeight="1">
      <c r="A47" s="12">
        <f>_xlfn.IMAGE("https://m.media-amazon.com/images/I/81C9qE083yL.jpg")</f>
        <v/>
      </c>
      <c r="B47" s="39" t="inlineStr">
        <is>
          <t>B0C7F5ZR17</t>
        </is>
      </c>
      <c r="C47" s="39" t="inlineStr">
        <is>
          <t>SATIN-QUEEN-GREY-6PCS</t>
        </is>
      </c>
      <c r="D47" s="39" t="inlineStr">
        <is>
          <t>DECOLURE Satin Bed Sheets - 6 Piece Luxury Silky Queen Size Bedding Set - Softer Than Silk, Wrinkle-Free with 15” Deep Pocket Fitted Sheet, Perfect for Hair &amp; Skin, Gifts for Women (Grey)</t>
        </is>
      </c>
      <c r="E47" s="39" t="inlineStr">
        <is>
          <t>Queen</t>
        </is>
      </c>
      <c r="F47" s="39" t="inlineStr">
        <is>
          <t>Grey</t>
        </is>
      </c>
      <c r="G47" s="73" t="n">
        <v>47.99</v>
      </c>
      <c r="H47" s="39" t="inlineStr">
        <is>
          <t>catalog price (CAD), 2026-10-14</t>
        </is>
      </c>
      <c r="I47" s="74" t="n">
        <v>47.99</v>
      </c>
      <c r="J47" s="75" t="inlineStr">
        <is>
          <t>2026-03-30</t>
        </is>
      </c>
      <c r="K47" s="40" t="n">
        <v>19.2</v>
      </c>
      <c r="L47" s="76" t="n">
        <v>0.4000833506980621</v>
      </c>
      <c r="M47" s="77" t="n">
        <v>4</v>
      </c>
      <c r="N47" s="39" t="inlineStr">
        <is>
          <t>Active</t>
        </is>
      </c>
      <c r="O47" s="39" t="n"/>
      <c r="P47" s="78" t="n">
        <v>4.3</v>
      </c>
      <c r="Q47" s="77" t="n">
        <v>1723</v>
      </c>
      <c r="R47" s="77" t="n">
        <v>4406</v>
      </c>
      <c r="S47" s="77" t="n">
        <v>2</v>
      </c>
      <c r="T47" s="39" t="n"/>
    </row>
    <row r="48" ht="62" customHeight="1">
      <c r="A48" s="12">
        <f>_xlfn.IMAGE("https://m.media-amazon.com/images/I/91LEDRktAdL.jpg")</f>
        <v/>
      </c>
      <c r="B48" s="39" t="inlineStr">
        <is>
          <t>B0C7KBHV72</t>
        </is>
      </c>
      <c r="C48" s="39" t="inlineStr">
        <is>
          <t>SATIN-STRIPE-QUEEN-RED--6-PCS</t>
        </is>
      </c>
      <c r="D48" s="39" t="inlineStr">
        <is>
          <t>DECOLURE Satin Bed Sheets - 6 Piece Luxury Silky Queen Size Bedding Set - Softer Than Silk, Wrinkle-Free with 15” Deep Pocket Fitted Sheet, Perfect for Hair &amp; Skin, Gifts for Women (Striped Red)</t>
        </is>
      </c>
      <c r="E48" s="39" t="inlineStr">
        <is>
          <t>Queen</t>
        </is>
      </c>
      <c r="F48" s="39" t="inlineStr">
        <is>
          <t>Red</t>
        </is>
      </c>
      <c r="G48" s="73" t="n">
        <v>47.99</v>
      </c>
      <c r="H48" s="39" t="inlineStr">
        <is>
          <t>catalog price (CAD), 2026-10-14</t>
        </is>
      </c>
      <c r="I48" s="74" t="n">
        <v>47.99</v>
      </c>
      <c r="J48" s="75" t="inlineStr">
        <is>
          <t>2026-03-30</t>
        </is>
      </c>
      <c r="K48" s="40" t="n">
        <v>18.55</v>
      </c>
      <c r="L48" s="76" t="n">
        <v>0.3865388622629715</v>
      </c>
      <c r="M48" s="77" t="n">
        <v>4</v>
      </c>
      <c r="N48" s="39" t="inlineStr">
        <is>
          <t>Active</t>
        </is>
      </c>
      <c r="O48" s="39" t="n"/>
      <c r="P48" s="78" t="n">
        <v>4.3</v>
      </c>
      <c r="Q48" s="77" t="n">
        <v>1723</v>
      </c>
      <c r="R48" s="77" t="n">
        <v>4406</v>
      </c>
      <c r="S48" s="77" t="n">
        <v>2</v>
      </c>
      <c r="T48" s="39" t="n"/>
    </row>
    <row r="49" ht="62" customHeight="1">
      <c r="A49" s="12">
        <f>_xlfn.IMAGE("https://m.media-amazon.com/images/I/81uzoBSAZyL.jpg")</f>
        <v/>
      </c>
      <c r="B49" s="39" t="inlineStr">
        <is>
          <t>B0C7FWSYPL</t>
        </is>
      </c>
      <c r="C49" s="39" t="inlineStr">
        <is>
          <t>SATIN-RED-FULL-6-PCS</t>
        </is>
      </c>
      <c r="D49" s="39" t="inlineStr">
        <is>
          <t>DECOLURE Satin Bed Sheets - 6 Piece Luxury Silky Full Size Bedding Set - Softer Than Silk, Wrinkle-Free with 15” Deep Pocket Fitted Sheet, Perfect for Hair &amp; Skin, Gifts for Women (Red)</t>
        </is>
      </c>
      <c r="E49" s="39" t="inlineStr">
        <is>
          <t>Full</t>
        </is>
      </c>
      <c r="F49" s="39" t="inlineStr">
        <is>
          <t>Red</t>
        </is>
      </c>
      <c r="G49" s="73" t="n">
        <v>44.99</v>
      </c>
      <c r="H49" s="39" t="inlineStr">
        <is>
          <t>catalog price (CAD), 2026-10-14</t>
        </is>
      </c>
      <c r="I49" s="74" t="n">
        <v>44.99</v>
      </c>
      <c r="J49" s="75" t="inlineStr">
        <is>
          <t>2026-03-30</t>
        </is>
      </c>
      <c r="K49" s="40" t="n">
        <v>17.24</v>
      </c>
      <c r="L49" s="76" t="n">
        <v>0.3831962658368527</v>
      </c>
      <c r="M49" s="77" t="n">
        <v>3</v>
      </c>
      <c r="N49" s="39" t="inlineStr">
        <is>
          <t>Active</t>
        </is>
      </c>
      <c r="O49" s="39" t="n"/>
      <c r="P49" s="78" t="n">
        <v>4.3</v>
      </c>
      <c r="Q49" s="77" t="n">
        <v>1723</v>
      </c>
      <c r="R49" s="77" t="n">
        <v>4406</v>
      </c>
      <c r="S49" s="77" t="n">
        <v>3</v>
      </c>
      <c r="T49" s="39" t="n"/>
    </row>
    <row r="50" ht="62" customHeight="1">
      <c r="A50" s="12">
        <f>_xlfn.IMAGE("https://m.media-amazon.com/images/I/81QbKTHtUqL.jpg")</f>
        <v/>
      </c>
      <c r="B50" s="39" t="inlineStr">
        <is>
          <t>B0C7FBBPL1</t>
        </is>
      </c>
      <c r="C50" s="39" t="inlineStr">
        <is>
          <t>SATIN-KING-BLUE-6PCS</t>
        </is>
      </c>
      <c r="D50" s="39" t="inlineStr">
        <is>
          <t>DECOLURE Satin Bed Sheets - 6 Piece Luxury Silky King Size Bedding Set - Softer Than Silk, Wrinkle-Free with 15” Deep Pocket Fitted Sheet, Perfect for Hair &amp; Skin, Gifts for Women (Blue)</t>
        </is>
      </c>
      <c r="E50" s="39" t="inlineStr">
        <is>
          <t>King</t>
        </is>
      </c>
      <c r="F50" s="39" t="inlineStr">
        <is>
          <t>Blue</t>
        </is>
      </c>
      <c r="G50" s="73" t="n">
        <v>49.99</v>
      </c>
      <c r="H50" s="39" t="inlineStr">
        <is>
          <t>catalog price (CAD), 2026-10-14</t>
        </is>
      </c>
      <c r="I50" s="74" t="n">
        <v>49.99</v>
      </c>
      <c r="J50" s="75" t="inlineStr">
        <is>
          <t>2026-03-30</t>
        </is>
      </c>
      <c r="K50" s="40" t="n">
        <v>19.16</v>
      </c>
      <c r="L50" s="76" t="n">
        <v>0.3832766553310663</v>
      </c>
      <c r="M50" s="77" t="n">
        <v>3</v>
      </c>
      <c r="N50" s="39" t="inlineStr">
        <is>
          <t>Active</t>
        </is>
      </c>
      <c r="O50" s="39" t="n"/>
      <c r="P50" s="78" t="n">
        <v>4.3</v>
      </c>
      <c r="Q50" s="77" t="n">
        <v>1723</v>
      </c>
      <c r="R50" s="77" t="n">
        <v>4406</v>
      </c>
      <c r="S50" s="77" t="n">
        <v>2</v>
      </c>
      <c r="T50" s="39" t="n"/>
    </row>
    <row r="51" ht="62" customHeight="1">
      <c r="A51" s="12">
        <f>_xlfn.IMAGE("https://m.media-amazon.com/images/I/81kHTwIB46L.jpg")</f>
        <v/>
      </c>
      <c r="B51" s="39" t="inlineStr">
        <is>
          <t>B0D9QSG9LD</t>
        </is>
      </c>
      <c r="C51" s="39" t="inlineStr">
        <is>
          <t>SATIN-6PC-KING-BLUSH PINK</t>
        </is>
      </c>
      <c r="D51" s="39" t="inlineStr">
        <is>
          <t>DECOLURE Satin Bed Sheets - 6 Piece Luxury Silky King Size Bedding Set - Softer Than Silk, Wrinkle-Free with 15” Deep Pocket Fitted Sheet, Perfect for Hair &amp; Skin, Gifts for Women (Blush Pink)</t>
        </is>
      </c>
      <c r="E51" s="39" t="inlineStr">
        <is>
          <t>King</t>
        </is>
      </c>
      <c r="F51" s="39" t="inlineStr">
        <is>
          <t>Blush Pink</t>
        </is>
      </c>
      <c r="G51" s="73" t="n">
        <v>49.99</v>
      </c>
      <c r="H51" s="39" t="inlineStr">
        <is>
          <t>catalog price (CAD), 2026-10-14</t>
        </is>
      </c>
      <c r="I51" s="74" t="n">
        <v>49.99</v>
      </c>
      <c r="J51" s="75" t="inlineStr">
        <is>
          <t>2026-03-30</t>
        </is>
      </c>
      <c r="K51" s="40" t="n">
        <v>18.6</v>
      </c>
      <c r="L51" s="76" t="n">
        <v>0.3720744148829766</v>
      </c>
      <c r="M51" s="77" t="n">
        <v>3</v>
      </c>
      <c r="N51" s="39" t="inlineStr">
        <is>
          <t>Active</t>
        </is>
      </c>
      <c r="O51" s="39" t="n"/>
      <c r="P51" s="78" t="n">
        <v>4.3</v>
      </c>
      <c r="Q51" s="77" t="n">
        <v>1723</v>
      </c>
      <c r="R51" s="77" t="n">
        <v>4406</v>
      </c>
      <c r="S51" s="77" t="n">
        <v>0.8601</v>
      </c>
      <c r="T51" s="39" t="n"/>
    </row>
    <row r="52" ht="62" customHeight="1">
      <c r="A52" s="12">
        <f>_xlfn.IMAGE("https://m.media-amazon.com/images/I/81C9qE083yL.jpg")</f>
        <v/>
      </c>
      <c r="B52" s="39" t="inlineStr">
        <is>
          <t>B0C7FNQH3B</t>
        </is>
      </c>
      <c r="C52" s="39" t="inlineStr">
        <is>
          <t>SATIN-KING-GREY-6PCS</t>
        </is>
      </c>
      <c r="D52" s="39" t="inlineStr">
        <is>
          <t>DECOLURE Satin Bed Sheets - 6 Piece Luxury Silky King Size Bedding Set - Softer Than Silk, Wrinkle-Free with 15” Deep Pocket Fitted Sheet, Perfect for Hair &amp; Skin, Gifts for Women (Grey)</t>
        </is>
      </c>
      <c r="E52" s="39" t="inlineStr">
        <is>
          <t>King</t>
        </is>
      </c>
      <c r="F52" s="39" t="inlineStr">
        <is>
          <t>Grey</t>
        </is>
      </c>
      <c r="G52" s="73" t="n">
        <v>49.99</v>
      </c>
      <c r="H52" s="39" t="inlineStr">
        <is>
          <t>catalog price (CAD), 2026-10-14</t>
        </is>
      </c>
      <c r="I52" s="74" t="n">
        <v>49.99</v>
      </c>
      <c r="J52" s="75" t="inlineStr">
        <is>
          <t>2026-03-30</t>
        </is>
      </c>
      <c r="K52" s="40" t="n">
        <v>19.56</v>
      </c>
      <c r="L52" s="76" t="n">
        <v>0.3912782556511303</v>
      </c>
      <c r="M52" s="77" t="n">
        <v>3</v>
      </c>
      <c r="N52" s="39" t="inlineStr">
        <is>
          <t>Active</t>
        </is>
      </c>
      <c r="O52" s="39" t="n"/>
      <c r="P52" s="78" t="n">
        <v>4.3</v>
      </c>
      <c r="Q52" s="77" t="n">
        <v>1723</v>
      </c>
      <c r="R52" s="77" t="n">
        <v>4406</v>
      </c>
      <c r="S52" s="77" t="n">
        <v>0.9232</v>
      </c>
      <c r="T52" s="39" t="n"/>
    </row>
    <row r="53" ht="62" customHeight="1">
      <c r="A53" s="12">
        <f>_xlfn.IMAGE("https://m.media-amazon.com/images/I/81lpi8F4ATL.jpg")</f>
        <v/>
      </c>
      <c r="B53" s="39" t="inlineStr">
        <is>
          <t>B0D9QTCGWW</t>
        </is>
      </c>
      <c r="C53" s="39" t="inlineStr">
        <is>
          <t>SATIN-6PC-KING-SAGE GREEN</t>
        </is>
      </c>
      <c r="D53" s="39" t="inlineStr">
        <is>
          <t>DECOLURE Satin Bed Sheets - 6 Piece Luxury Silky King Size Bedding Set - Softer Than Silk, Wrinkle-Free with 15” Deep Pocket Fitted Sheet, Perfect for Hair &amp; Skin, Gifts for Women (Sage Green)</t>
        </is>
      </c>
      <c r="E53" s="39" t="inlineStr">
        <is>
          <t>King</t>
        </is>
      </c>
      <c r="F53" s="39" t="inlineStr">
        <is>
          <t>Sage Green</t>
        </is>
      </c>
      <c r="G53" s="73" t="n">
        <v>49.99</v>
      </c>
      <c r="H53" s="39" t="inlineStr">
        <is>
          <t>catalog price (CAD), 2026-10-14</t>
        </is>
      </c>
      <c r="I53" s="74" t="n">
        <v>49.99</v>
      </c>
      <c r="J53" s="75" t="inlineStr">
        <is>
          <t>2026-03-30</t>
        </is>
      </c>
      <c r="K53" s="40" t="n">
        <v>19.34</v>
      </c>
      <c r="L53" s="76" t="n">
        <v>0.386877375475095</v>
      </c>
      <c r="M53" s="77" t="n">
        <v>3</v>
      </c>
      <c r="N53" s="39" t="inlineStr">
        <is>
          <t>Active</t>
        </is>
      </c>
      <c r="O53" s="39" t="n"/>
      <c r="P53" s="78" t="n">
        <v>4.3</v>
      </c>
      <c r="Q53" s="77" t="n">
        <v>1723</v>
      </c>
      <c r="R53" s="77" t="n">
        <v>4406</v>
      </c>
      <c r="S53" s="77" t="n">
        <v>0.9454</v>
      </c>
      <c r="T53" s="39" t="n"/>
    </row>
    <row r="54" ht="62" customHeight="1">
      <c r="A54" s="12">
        <f>_xlfn.IMAGE("https://m.media-amazon.com/images/I/815cp0gvpML.jpg")</f>
        <v/>
      </c>
      <c r="B54" s="39" t="inlineStr">
        <is>
          <t>B0C7FLGJS8</t>
        </is>
      </c>
      <c r="C54" s="39" t="inlineStr">
        <is>
          <t>SATIN-STONEGREY-KING-6PCS</t>
        </is>
      </c>
      <c r="D54" s="39" t="inlineStr">
        <is>
          <t>DECOLURE Satin Bed Sheets - 6 Piece Luxury Silky King Size Bedding Set - Softer Than Silk, Wrinkle-Free with 15” Deep Pocket Fitted Sheet, Perfect for Hair &amp; Skin, Gifts for Women (Stone Grey)</t>
        </is>
      </c>
      <c r="E54" s="39" t="inlineStr">
        <is>
          <t>King</t>
        </is>
      </c>
      <c r="F54" s="39" t="inlineStr">
        <is>
          <t>Stone Grey</t>
        </is>
      </c>
      <c r="G54" s="73" t="n">
        <v>49.99</v>
      </c>
      <c r="H54" s="39" t="inlineStr">
        <is>
          <t>catalog price (CAD), 2026-10-14</t>
        </is>
      </c>
      <c r="I54" s="74" t="n">
        <v>49.99</v>
      </c>
      <c r="J54" s="75" t="inlineStr">
        <is>
          <t>2026-03-30</t>
        </is>
      </c>
      <c r="K54" s="40" t="n">
        <v>19.5</v>
      </c>
      <c r="L54" s="76" t="n">
        <v>0.3900780156031207</v>
      </c>
      <c r="M54" s="77" t="n">
        <v>3</v>
      </c>
      <c r="N54" s="39" t="inlineStr">
        <is>
          <t>Active</t>
        </is>
      </c>
      <c r="O54" s="39" t="n"/>
      <c r="P54" s="78" t="n">
        <v>4.3</v>
      </c>
      <c r="Q54" s="77" t="n">
        <v>1723</v>
      </c>
      <c r="R54" s="77" t="n">
        <v>4406</v>
      </c>
      <c r="S54" s="77" t="n">
        <v>2</v>
      </c>
      <c r="T54" s="39" t="n"/>
    </row>
    <row r="55" ht="62" customHeight="1">
      <c r="A55" s="12">
        <f>_xlfn.IMAGE("https://m.media-amazon.com/images/I/81kHTwIB46L.jpg")</f>
        <v/>
      </c>
      <c r="B55" s="39" t="inlineStr">
        <is>
          <t>B0D9QR66X1</t>
        </is>
      </c>
      <c r="C55" s="39" t="inlineStr">
        <is>
          <t>SATIN-6PC-QUEEN-BLUSH PINK</t>
        </is>
      </c>
      <c r="D55" s="39" t="inlineStr">
        <is>
          <t>DECOLURE Satin Bed Sheets - 6 Piece Luxury Silky Queen Size Bedding Set - Softer Than Silk, Wrinkle-Free with 15” Deep Pocket Fitted Sheet, Perfect for Hair &amp; Skin, Gifts for Women (Blush Pink)</t>
        </is>
      </c>
      <c r="E55" s="39" t="inlineStr">
        <is>
          <t>Queen</t>
        </is>
      </c>
      <c r="F55" s="39" t="inlineStr">
        <is>
          <t>Blush Pink</t>
        </is>
      </c>
      <c r="G55" s="73" t="n">
        <v>47.99</v>
      </c>
      <c r="H55" s="39" t="inlineStr">
        <is>
          <t>catalog price (CAD), 2026-10-14</t>
        </is>
      </c>
      <c r="I55" s="74" t="n">
        <v>47.99</v>
      </c>
      <c r="J55" s="75" t="inlineStr">
        <is>
          <t>2026-03-30</t>
        </is>
      </c>
      <c r="K55" s="40" t="n">
        <v>18.93</v>
      </c>
      <c r="L55" s="76" t="n">
        <v>0.3944571785788706</v>
      </c>
      <c r="M55" s="77" t="n">
        <v>3</v>
      </c>
      <c r="N55" s="39" t="inlineStr">
        <is>
          <t>Active</t>
        </is>
      </c>
      <c r="O55" s="39" t="n"/>
      <c r="P55" s="78" t="n">
        <v>4.3</v>
      </c>
      <c r="Q55" s="77" t="n">
        <v>1723</v>
      </c>
      <c r="R55" s="77" t="n">
        <v>4406</v>
      </c>
      <c r="S55" s="77" t="n">
        <v>2</v>
      </c>
      <c r="T55" s="39" t="n"/>
    </row>
    <row r="56" ht="62" customHeight="1">
      <c r="A56" s="12">
        <f>_xlfn.IMAGE("https://m.media-amazon.com/images/I/81lpi8F4ATL.jpg")</f>
        <v/>
      </c>
      <c r="B56" s="39" t="inlineStr">
        <is>
          <t>B0D9QWZJ4P</t>
        </is>
      </c>
      <c r="C56" s="39" t="inlineStr">
        <is>
          <t>SATIN-6PC-QUEEN-SAGE GREEN</t>
        </is>
      </c>
      <c r="D56" s="39" t="inlineStr">
        <is>
          <t>DECOLURE Satin Bed Sheets - 6 Piece Luxury Silky Queen Size Bedding Set - Softer Than Silk, Wrinkle-Free with 15” Deep Pocket Fitted Sheet, Perfect for Hair &amp; Skin, Gifts for Women (Sage Green)</t>
        </is>
      </c>
      <c r="E56" s="39" t="inlineStr">
        <is>
          <t>Queen</t>
        </is>
      </c>
      <c r="F56" s="39" t="inlineStr">
        <is>
          <t>Sage Green</t>
        </is>
      </c>
      <c r="G56" s="73" t="n">
        <v>47.99</v>
      </c>
      <c r="H56" s="39" t="inlineStr">
        <is>
          <t>catalog price (CAD), 2026-10-14</t>
        </is>
      </c>
      <c r="I56" s="74" t="n">
        <v>47.99</v>
      </c>
      <c r="J56" s="75" t="inlineStr">
        <is>
          <t>2026-03-30</t>
        </is>
      </c>
      <c r="K56" s="40" t="n">
        <v>18.24</v>
      </c>
      <c r="L56" s="76" t="n">
        <v>0.380079183163159</v>
      </c>
      <c r="M56" s="77" t="n">
        <v>3</v>
      </c>
      <c r="N56" s="39" t="inlineStr">
        <is>
          <t>Active</t>
        </is>
      </c>
      <c r="O56" s="39" t="n"/>
      <c r="P56" s="78" t="n">
        <v>4.3</v>
      </c>
      <c r="Q56" s="77" t="n">
        <v>1723</v>
      </c>
      <c r="R56" s="77" t="n">
        <v>4406</v>
      </c>
      <c r="S56" s="77" t="n">
        <v>2</v>
      </c>
      <c r="T56" s="39" t="n"/>
    </row>
    <row r="57" ht="62" customHeight="1">
      <c r="A57" s="12">
        <f>_xlfn.IMAGE("https://m.media-amazon.com/images/I/81PBLKf1SBL.jpg")</f>
        <v/>
      </c>
      <c r="B57" s="39" t="inlineStr">
        <is>
          <t>B0C7K438ML</t>
        </is>
      </c>
      <c r="C57" s="39" t="inlineStr">
        <is>
          <t>SATIN-STRIPE-QUEEN-GRAY--6-PCS</t>
        </is>
      </c>
      <c r="D57" s="39" t="inlineStr">
        <is>
          <t>DECOLURE Satin Bed Sheets - 6 Piece Luxury Silky Queen Size Bedding Set - Softer Than Silk, Wrinkle-Free with 15” Deep Pocket Fitted Sheet, Perfect for Hair &amp; Skin, Gifts for Women (Striped Grey)</t>
        </is>
      </c>
      <c r="E57" s="39" t="inlineStr">
        <is>
          <t>Queen</t>
        </is>
      </c>
      <c r="F57" s="39" t="inlineStr">
        <is>
          <t>Striped Grey</t>
        </is>
      </c>
      <c r="G57" s="73" t="n">
        <v>47.99</v>
      </c>
      <c r="H57" s="39" t="inlineStr">
        <is>
          <t>catalog price (CAD), 2026-10-14</t>
        </is>
      </c>
      <c r="I57" s="74" t="n">
        <v>47.99</v>
      </c>
      <c r="J57" s="75" t="inlineStr">
        <is>
          <t>2026-03-30</t>
        </is>
      </c>
      <c r="K57" s="40" t="n">
        <v>19.26</v>
      </c>
      <c r="L57" s="76" t="n">
        <v>0.4013336111689935</v>
      </c>
      <c r="M57" s="77" t="n">
        <v>3</v>
      </c>
      <c r="N57" s="39" t="inlineStr">
        <is>
          <t>Active</t>
        </is>
      </c>
      <c r="O57" s="39" t="n"/>
      <c r="P57" s="78" t="n">
        <v>4.3</v>
      </c>
      <c r="Q57" s="77" t="n">
        <v>1723</v>
      </c>
      <c r="R57" s="77" t="n">
        <v>4406</v>
      </c>
      <c r="S57" s="77" t="n">
        <v>2</v>
      </c>
      <c r="T57" s="39" t="n"/>
    </row>
    <row r="58" ht="62" customHeight="1">
      <c r="A58" s="12">
        <f>_xlfn.IMAGE("https://m.media-amazon.com/images/I/81fsuYvK0nL.jpg")</f>
        <v/>
      </c>
      <c r="B58" s="39" t="inlineStr">
        <is>
          <t>B0C7FXRDSZ</t>
        </is>
      </c>
      <c r="C58" s="39" t="inlineStr">
        <is>
          <t>SATIN-TWIN-PURPLE-6PCS</t>
        </is>
      </c>
      <c r="D58" s="39" t="inlineStr">
        <is>
          <t>DECOLURE Satin Bed Sheets - 4 Piece Luxury Silky Twin Size Bedding Set - Softer Than Silk, Wrinkle-Free with 15” Deep Pocket Fitted Sheet, Perfect for Hair &amp; Skin, Gifts for Women (Purple)</t>
        </is>
      </c>
      <c r="E58" s="39" t="inlineStr">
        <is>
          <t>Twin</t>
        </is>
      </c>
      <c r="F58" s="39" t="inlineStr">
        <is>
          <t>Purple</t>
        </is>
      </c>
      <c r="G58" s="73" t="n">
        <v>39.99</v>
      </c>
      <c r="H58" s="39" t="inlineStr">
        <is>
          <t>catalog price (CAD), 2026-10-14</t>
        </is>
      </c>
      <c r="I58" s="74" t="n">
        <v>48.42</v>
      </c>
      <c r="J58" s="75" t="inlineStr">
        <is>
          <t>2026-03-30</t>
        </is>
      </c>
      <c r="K58" s="40" t="n">
        <v>17.39</v>
      </c>
      <c r="L58" s="76" t="n">
        <v>0.3591491119372161</v>
      </c>
      <c r="M58" s="77" t="n">
        <v>3</v>
      </c>
      <c r="N58" s="39" t="inlineStr">
        <is>
          <t>Active</t>
        </is>
      </c>
      <c r="O58" s="39" t="n"/>
      <c r="P58" s="78" t="n">
        <v>4.3</v>
      </c>
      <c r="Q58" s="77" t="n">
        <v>1723</v>
      </c>
      <c r="R58" s="77" t="n">
        <v>4406</v>
      </c>
      <c r="S58" s="77" t="n">
        <v>5</v>
      </c>
      <c r="T58" s="39" t="n"/>
    </row>
    <row r="59" ht="62" customHeight="1">
      <c r="A59" s="12">
        <f>_xlfn.IMAGE("https://m.media-amazon.com/images/I/81hLIvldLEL.jpg")</f>
        <v/>
      </c>
      <c r="B59" s="39" t="inlineStr">
        <is>
          <t>B0C7FK2H2W</t>
        </is>
      </c>
      <c r="C59" s="39" t="inlineStr">
        <is>
          <t>SATIN-RED-TWIN-6PCS</t>
        </is>
      </c>
      <c r="D59" s="39" t="inlineStr">
        <is>
          <t>DECOLURE Satin Bed Sheets - 4 Piece Luxury Silky Twin Size Bedding Set - Softer Than Silk, Wrinkle-Free with 15” Deep Pocket Fitted Sheet, Perfect for Hair &amp; Skin, Gifts for Women (Red)</t>
        </is>
      </c>
      <c r="E59" s="39" t="inlineStr">
        <is>
          <t>Twin</t>
        </is>
      </c>
      <c r="F59" s="39" t="inlineStr">
        <is>
          <t>Red</t>
        </is>
      </c>
      <c r="G59" s="73" t="n">
        <v>39.99</v>
      </c>
      <c r="H59" s="39" t="inlineStr">
        <is>
          <t>catalog price (CAD), 2026-10-14</t>
        </is>
      </c>
      <c r="I59" s="74" t="n">
        <v>39.99</v>
      </c>
      <c r="J59" s="75" t="inlineStr">
        <is>
          <t>2026-03-30</t>
        </is>
      </c>
      <c r="K59" s="40" t="n">
        <v>15.93</v>
      </c>
      <c r="L59" s="76" t="n">
        <v>0.3983495873968493</v>
      </c>
      <c r="M59" s="77" t="n">
        <v>3</v>
      </c>
      <c r="N59" s="39" t="inlineStr">
        <is>
          <t>Active</t>
        </is>
      </c>
      <c r="O59" s="39" t="n"/>
      <c r="P59" s="78" t="n">
        <v>4.3</v>
      </c>
      <c r="Q59" s="77" t="n">
        <v>1723</v>
      </c>
      <c r="R59" s="77" t="n">
        <v>4406</v>
      </c>
      <c r="S59" s="77" t="n">
        <v>4</v>
      </c>
      <c r="T59" s="39" t="n"/>
    </row>
    <row r="60" ht="62" customHeight="1">
      <c r="A60" s="12">
        <f>_xlfn.IMAGE("https://m.media-amazon.com/images/I/81FdNp1E3ZL.jpg")</f>
        <v/>
      </c>
      <c r="B60" s="39" t="inlineStr">
        <is>
          <t>B0C7K6WTJ1</t>
        </is>
      </c>
      <c r="C60" s="39" t="inlineStr">
        <is>
          <t>SATIN-STRIPE-TWIN-BLACK--6-PCS</t>
        </is>
      </c>
      <c r="D60" s="39" t="inlineStr">
        <is>
          <t>DECOLURE Satin Bed Sheets - 4 Piece Luxury Silky Twin Size Bedding Set - Softer Than Silk, Wrinkle-Free with 15” Deep Pocket Fitted Sheet, Perfect for Hair &amp; Skin, Gifts for Women (Striped Black)</t>
        </is>
      </c>
      <c r="E60" s="39" t="inlineStr">
        <is>
          <t>Twin</t>
        </is>
      </c>
      <c r="F60" s="39" t="inlineStr">
        <is>
          <t>Striped Black</t>
        </is>
      </c>
      <c r="G60" s="73" t="n">
        <v>39.99</v>
      </c>
      <c r="H60" s="39" t="inlineStr">
        <is>
          <t>catalog price (CAD), 2026-10-14</t>
        </is>
      </c>
      <c r="I60" s="74" t="n">
        <v>39.99</v>
      </c>
      <c r="J60" s="75" t="inlineStr">
        <is>
          <t>2026-03-30</t>
        </is>
      </c>
      <c r="K60" s="40" t="n">
        <v>15.61</v>
      </c>
      <c r="L60" s="76" t="n">
        <v>0.3903475868967242</v>
      </c>
      <c r="M60" s="77" t="n">
        <v>3</v>
      </c>
      <c r="N60" s="39" t="inlineStr">
        <is>
          <t>Active</t>
        </is>
      </c>
      <c r="O60" s="39" t="n"/>
      <c r="P60" s="78" t="n">
        <v>4.3</v>
      </c>
      <c r="Q60" s="77" t="n">
        <v>1723</v>
      </c>
      <c r="R60" s="77" t="n">
        <v>4406</v>
      </c>
      <c r="S60" s="77" t="n">
        <v>4</v>
      </c>
      <c r="T60" s="39" t="n"/>
    </row>
    <row r="61" ht="62" customHeight="1">
      <c r="A61" s="12">
        <f>_xlfn.IMAGE("https://m.media-amazon.com/images/I/81kHTwIB46L.jpg")</f>
        <v/>
      </c>
      <c r="B61" s="39" t="inlineStr">
        <is>
          <t>B0D9QT3LWG</t>
        </is>
      </c>
      <c r="C61" s="39" t="inlineStr">
        <is>
          <t>SATIN-6PC-FULL-BLUSH PINK</t>
        </is>
      </c>
      <c r="D61" s="39" t="inlineStr">
        <is>
          <t>DECOLURE Satin Bed Sheets - 6 Piece Luxury Silky Full Size Bedding Set - Softer Than Silk, Wrinkle-Free with 15” Deep Pocket Fitted Sheet, Perfect for Hair &amp; Skin, Gifts for Women (Blush Pink)</t>
        </is>
      </c>
      <c r="E61" s="39" t="inlineStr">
        <is>
          <t>Full</t>
        </is>
      </c>
      <c r="F61" s="39" t="inlineStr">
        <is>
          <t>Blush Pink</t>
        </is>
      </c>
      <c r="G61" s="73" t="n">
        <v>44.99</v>
      </c>
      <c r="H61" s="39" t="inlineStr">
        <is>
          <t>catalog price (CAD), 2026-10-14</t>
        </is>
      </c>
      <c r="I61" s="74" t="n">
        <v>44.99</v>
      </c>
      <c r="J61" s="75" t="inlineStr">
        <is>
          <t>2026-03-30</t>
        </is>
      </c>
      <c r="K61" s="40" t="n">
        <v>17.38</v>
      </c>
      <c r="L61" s="76" t="n">
        <v>0.3863080684596578</v>
      </c>
      <c r="M61" s="77" t="n">
        <v>2</v>
      </c>
      <c r="N61" s="39" t="inlineStr">
        <is>
          <t>Active</t>
        </is>
      </c>
      <c r="O61" s="39" t="n"/>
      <c r="P61" s="78" t="n">
        <v>4.3</v>
      </c>
      <c r="Q61" s="77" t="n">
        <v>1723</v>
      </c>
      <c r="R61" s="77" t="n">
        <v>4406</v>
      </c>
      <c r="S61" s="77" t="n">
        <v>3</v>
      </c>
      <c r="T61" s="39" t="n"/>
    </row>
    <row r="62" ht="62" customHeight="1">
      <c r="A62" s="12">
        <f>_xlfn.IMAGE("https://m.media-amazon.com/images/I/81NXdWsawHL.jpg")</f>
        <v/>
      </c>
      <c r="B62" s="39" t="inlineStr">
        <is>
          <t>B0C7FSXPC5</t>
        </is>
      </c>
      <c r="C62" s="39" t="inlineStr">
        <is>
          <t>SATIN-CHAMPAGNE-FULL-6PCS</t>
        </is>
      </c>
      <c r="D62" s="39" t="inlineStr">
        <is>
          <t>DECOLURE Satin Bed Sheets - 6 Piece Luxury Silky Full Size Bedding Set - Softer Than Silk, Wrinkle-Free with 15” Deep Pocket Fitted Sheet, Perfect for Hair &amp; Skin, Gifts for Women (Champagne)</t>
        </is>
      </c>
      <c r="E62" s="39" t="inlineStr">
        <is>
          <t>Full</t>
        </is>
      </c>
      <c r="F62" s="39" t="inlineStr">
        <is>
          <t>Champagne</t>
        </is>
      </c>
      <c r="G62" s="73" t="n">
        <v>44.99</v>
      </c>
      <c r="H62" s="39" t="inlineStr">
        <is>
          <t>catalog price (CAD), 2026-10-14</t>
        </is>
      </c>
      <c r="I62" s="74" t="n">
        <v>44.99</v>
      </c>
      <c r="J62" s="75" t="inlineStr">
        <is>
          <t>2026-03-30</t>
        </is>
      </c>
      <c r="K62" s="40" t="n">
        <v>18.03</v>
      </c>
      <c r="L62" s="76" t="n">
        <v>0.4007557234941098</v>
      </c>
      <c r="M62" s="77" t="n">
        <v>2</v>
      </c>
      <c r="N62" s="39" t="inlineStr">
        <is>
          <t>Active</t>
        </is>
      </c>
      <c r="O62" s="39" t="n"/>
      <c r="P62" s="78" t="n">
        <v>4.3</v>
      </c>
      <c r="Q62" s="77" t="n">
        <v>1723</v>
      </c>
      <c r="R62" s="77" t="n">
        <v>4406</v>
      </c>
      <c r="S62" s="77" t="n">
        <v>3</v>
      </c>
      <c r="T62" s="39" t="n"/>
    </row>
    <row r="63" ht="62" customHeight="1">
      <c r="A63" s="12">
        <f>_xlfn.IMAGE("https://m.media-amazon.com/images/I/81C9qE083yL.jpg")</f>
        <v/>
      </c>
      <c r="B63" s="39" t="inlineStr">
        <is>
          <t>B0C7FJFVZY</t>
        </is>
      </c>
      <c r="C63" s="39" t="inlineStr">
        <is>
          <t>SATIN-FULL-GREY-6PCS</t>
        </is>
      </c>
      <c r="D63" s="39" t="inlineStr">
        <is>
          <t>DECOLURE Satin Bed Sheets - 6 Piece Luxury Silky Full Size Bedding Set - Softer Than Silk, Wrinkle-Free with 15” Deep Pocket Fitted Sheet, Perfect for Hair &amp; Skin, Gifts for Women (Grey)</t>
        </is>
      </c>
      <c r="E63" s="39" t="inlineStr">
        <is>
          <t>Full</t>
        </is>
      </c>
      <c r="F63" s="39" t="inlineStr">
        <is>
          <t>Grey</t>
        </is>
      </c>
      <c r="G63" s="73" t="n">
        <v>44.99</v>
      </c>
      <c r="H63" s="39" t="inlineStr">
        <is>
          <t>catalog price (CAD), 2026-10-14</t>
        </is>
      </c>
      <c r="I63" s="74" t="n">
        <v>54.77</v>
      </c>
      <c r="J63" s="75" t="inlineStr">
        <is>
          <t>2026-03-30</t>
        </is>
      </c>
      <c r="K63" s="40" t="n">
        <v>19.58000000000001</v>
      </c>
      <c r="L63" s="76" t="n">
        <v>0.357494979003104</v>
      </c>
      <c r="M63" s="77" t="n">
        <v>2</v>
      </c>
      <c r="N63" s="39" t="inlineStr">
        <is>
          <t>Active</t>
        </is>
      </c>
      <c r="O63" s="39" t="n"/>
      <c r="P63" s="78" t="n">
        <v>4.3</v>
      </c>
      <c r="Q63" s="77" t="n">
        <v>1723</v>
      </c>
      <c r="R63" s="77" t="n">
        <v>4406</v>
      </c>
      <c r="S63" s="77" t="n">
        <v>3</v>
      </c>
      <c r="T63" s="39" t="n"/>
    </row>
    <row r="64" ht="62" customHeight="1">
      <c r="A64" s="12">
        <f>_xlfn.IMAGE("https://m.media-amazon.com/images/I/81osNI447+L.jpg")</f>
        <v/>
      </c>
      <c r="B64" s="39" t="inlineStr">
        <is>
          <t>B0C7FM7GXS</t>
        </is>
      </c>
      <c r="C64" s="39" t="inlineStr">
        <is>
          <t>SATIN-ROSEWOOD-FULL-6PCS</t>
        </is>
      </c>
      <c r="D64" s="39" t="inlineStr">
        <is>
          <t>DECOLURE Satin Bed Sheets - 6 Piece Luxury Silky Full Size Bedding Set - Softer Than Silk, Wrinkle-Free with 15” Deep Pocket Fitted Sheet, Perfect for Hair &amp; Skin, Gifts for Women (Rosewood)</t>
        </is>
      </c>
      <c r="E64" s="39" t="inlineStr">
        <is>
          <t>Full</t>
        </is>
      </c>
      <c r="F64" s="39" t="inlineStr">
        <is>
          <t>Rosewood</t>
        </is>
      </c>
      <c r="G64" s="73" t="n">
        <v>44.99</v>
      </c>
      <c r="H64" s="39" t="inlineStr">
        <is>
          <t>catalog price (CAD), 2026-10-14</t>
        </is>
      </c>
      <c r="I64" s="74" t="n">
        <v>54.61</v>
      </c>
      <c r="J64" s="75" t="inlineStr">
        <is>
          <t>2026-03-30</t>
        </is>
      </c>
      <c r="K64" s="40" t="n">
        <v>20.18</v>
      </c>
      <c r="L64" s="76" t="n">
        <v>0.3695293902215713</v>
      </c>
      <c r="M64" s="77" t="n">
        <v>2</v>
      </c>
      <c r="N64" s="39" t="inlineStr">
        <is>
          <t>Active</t>
        </is>
      </c>
      <c r="O64" s="39" t="n"/>
      <c r="P64" s="78" t="n">
        <v>4.3</v>
      </c>
      <c r="Q64" s="77" t="n">
        <v>1723</v>
      </c>
      <c r="R64" s="77" t="n">
        <v>4406</v>
      </c>
      <c r="S64" s="77" t="n">
        <v>4</v>
      </c>
      <c r="T64" s="39" t="n"/>
    </row>
    <row r="65" ht="62" customHeight="1">
      <c r="A65" s="12">
        <f>_xlfn.IMAGE("https://m.media-amazon.com/images/I/81lpi8F4ATL.jpg")</f>
        <v/>
      </c>
      <c r="B65" s="39" t="inlineStr">
        <is>
          <t>B0D9QVPJ4C</t>
        </is>
      </c>
      <c r="C65" s="39" t="inlineStr">
        <is>
          <t>SATIN-6PC-FULL-SAGE GREEN</t>
        </is>
      </c>
      <c r="D65" s="39" t="inlineStr">
        <is>
          <t>DECOLURE Satin Bed Sheets - 6 Piece Luxury Silky Full Size Bedding Set - Softer Than Silk, Wrinkle-Free with 15” Deep Pocket Fitted Sheet, Perfect for Hair &amp; Skin, Gifts for Women (Sage Green)</t>
        </is>
      </c>
      <c r="E65" s="39" t="inlineStr">
        <is>
          <t>Full</t>
        </is>
      </c>
      <c r="F65" s="39" t="inlineStr">
        <is>
          <t>Sage Green</t>
        </is>
      </c>
      <c r="G65" s="73" t="n">
        <v>55.27</v>
      </c>
      <c r="H65" s="39" t="inlineStr">
        <is>
          <t>catalog price (CAD), 2026-10-14</t>
        </is>
      </c>
      <c r="I65" s="74" t="n">
        <v>44.99</v>
      </c>
      <c r="J65" s="75" t="inlineStr">
        <is>
          <t>2026-03-30</t>
        </is>
      </c>
      <c r="K65" s="40" t="n">
        <v>17.18</v>
      </c>
      <c r="L65" s="76" t="n">
        <v>0.3818626361413647</v>
      </c>
      <c r="M65" s="77" t="n">
        <v>2</v>
      </c>
      <c r="N65" s="39" t="inlineStr">
        <is>
          <t>Active</t>
        </is>
      </c>
      <c r="O65" s="39" t="n"/>
      <c r="P65" s="78" t="n">
        <v>4.3</v>
      </c>
      <c r="Q65" s="77" t="n">
        <v>1723</v>
      </c>
      <c r="R65" s="77" t="n">
        <v>4406</v>
      </c>
      <c r="S65" s="77" t="n">
        <v>0</v>
      </c>
      <c r="T65" s="39" t="n"/>
    </row>
    <row r="66" ht="62" customHeight="1">
      <c r="A66" s="12">
        <f>_xlfn.IMAGE("https://m.media-amazon.com/images/I/815cp0gvpML.jpg")</f>
        <v/>
      </c>
      <c r="B66" s="39" t="inlineStr">
        <is>
          <t>B0C7G4HJL5</t>
        </is>
      </c>
      <c r="C66" s="39" t="inlineStr">
        <is>
          <t>SATIN-STONEGREY-FULL-6PCS</t>
        </is>
      </c>
      <c r="D66" s="39" t="inlineStr">
        <is>
          <t>DECOLURE Satin Bed Sheets - 6 Piece Luxury Silky Full Size Bedding Set - Softer Than Silk, Wrinkle-Free with 15” Deep Pocket Fitted Sheet, Perfect for Hair &amp; Skin, Gifts for Women (Stone Grey)</t>
        </is>
      </c>
      <c r="E66" s="39" t="inlineStr">
        <is>
          <t>Full</t>
        </is>
      </c>
      <c r="F66" s="39" t="inlineStr">
        <is>
          <t>Stone Grey</t>
        </is>
      </c>
      <c r="G66" s="73" t="n">
        <v>44.99</v>
      </c>
      <c r="H66" s="39" t="inlineStr">
        <is>
          <t>catalog price (CAD), 2026-10-14</t>
        </is>
      </c>
      <c r="I66" s="74" t="n">
        <v>44.99</v>
      </c>
      <c r="J66" s="75" t="inlineStr">
        <is>
          <t>2026-03-30</t>
        </is>
      </c>
      <c r="K66" s="40" t="n">
        <v>17.39</v>
      </c>
      <c r="L66" s="76" t="n">
        <v>0.3865303400755724</v>
      </c>
      <c r="M66" s="77" t="n">
        <v>2</v>
      </c>
      <c r="N66" s="39" t="inlineStr">
        <is>
          <t>Active</t>
        </is>
      </c>
      <c r="O66" s="39" t="n"/>
      <c r="P66" s="78" t="n">
        <v>4.3</v>
      </c>
      <c r="Q66" s="77" t="n">
        <v>1723</v>
      </c>
      <c r="R66" s="77" t="n">
        <v>4406</v>
      </c>
      <c r="S66" s="77" t="n">
        <v>3</v>
      </c>
      <c r="T66" s="39" t="n"/>
    </row>
    <row r="67" ht="62" customHeight="1">
      <c r="A67" s="12">
        <f>_xlfn.IMAGE("https://m.media-amazon.com/images/I/81gUBcWN2iL.jpg")</f>
        <v/>
      </c>
      <c r="B67" s="39" t="inlineStr">
        <is>
          <t>B0D9QSZR2C</t>
        </is>
      </c>
      <c r="C67" s="39" t="inlineStr">
        <is>
          <t>SATIN-6PC-KING-BABY BLUE</t>
        </is>
      </c>
      <c r="D67" s="39" t="inlineStr">
        <is>
          <t>DECOLURE Satin Bed Sheets - 6 Piece Luxury Silky King Size Bedding Set - Softer Than Silk, Wrinkle-Free with 15” Deep Pocket Fitted Sheet, Perfect for Hair &amp; Skin, Gifts for Women (Baby Blue)</t>
        </is>
      </c>
      <c r="E67" s="39" t="inlineStr">
        <is>
          <t>King</t>
        </is>
      </c>
      <c r="F67" s="39" t="inlineStr">
        <is>
          <t>Baby Blue</t>
        </is>
      </c>
      <c r="G67" s="73" t="n">
        <v>49.99</v>
      </c>
      <c r="H67" s="39" t="inlineStr">
        <is>
          <t>catalog price (CAD), 2026-10-14</t>
        </is>
      </c>
      <c r="I67" s="74" t="n">
        <v>61.05</v>
      </c>
      <c r="J67" s="75" t="inlineStr">
        <is>
          <t>2026-03-04</t>
        </is>
      </c>
      <c r="K67" s="40" t="n">
        <v>28.54</v>
      </c>
      <c r="L67" s="76" t="n">
        <v>0.4674856674856675</v>
      </c>
      <c r="M67" s="77" t="n">
        <v>2</v>
      </c>
      <c r="N67" s="39" t="inlineStr">
        <is>
          <t>Active</t>
        </is>
      </c>
      <c r="O67" s="39" t="n"/>
      <c r="P67" s="78" t="n">
        <v>4.3</v>
      </c>
      <c r="Q67" s="77" t="n">
        <v>1723</v>
      </c>
      <c r="R67" s="77" t="n">
        <v>4406</v>
      </c>
      <c r="S67" s="77" t="n">
        <v>0.9593</v>
      </c>
      <c r="T67" s="39" t="n"/>
    </row>
    <row r="68" ht="62" customHeight="1">
      <c r="A68" s="12">
        <f>_xlfn.IMAGE("https://m.media-amazon.com/images/I/81Lq8U6Oz8L.jpg")</f>
        <v/>
      </c>
      <c r="B68" s="39" t="inlineStr">
        <is>
          <t>B0D9QTXKQD</t>
        </is>
      </c>
      <c r="C68" s="39" t="inlineStr">
        <is>
          <t>SATIN-6PC-KING-BURNT ORANGE</t>
        </is>
      </c>
      <c r="D68" s="39" t="inlineStr">
        <is>
          <t>DECOLURE Satin Bed Sheets - 6 Piece Luxury Silky King Size Bedding Set - Softer Than Silk, Wrinkle-Free with 15” Deep Pocket Fitted Sheet, Perfect for Hair &amp; Skin, Gifts for Women (Burnt Orange)</t>
        </is>
      </c>
      <c r="E68" s="39" t="inlineStr">
        <is>
          <t>King</t>
        </is>
      </c>
      <c r="F68" s="39" t="inlineStr">
        <is>
          <t>Burnt Orange</t>
        </is>
      </c>
      <c r="G68" s="73" t="n">
        <v>49.99</v>
      </c>
      <c r="H68" s="39" t="inlineStr">
        <is>
          <t>catalog price (CAD), 2026-10-14</t>
        </is>
      </c>
      <c r="I68" s="74" t="n">
        <v>49.99</v>
      </c>
      <c r="J68" s="75" t="inlineStr">
        <is>
          <t>2026-03-30</t>
        </is>
      </c>
      <c r="K68" s="40" t="n">
        <v>19.06</v>
      </c>
      <c r="L68" s="76" t="n">
        <v>0.3812762552510502</v>
      </c>
      <c r="M68" s="77" t="n">
        <v>2</v>
      </c>
      <c r="N68" s="39" t="inlineStr">
        <is>
          <t>Active</t>
        </is>
      </c>
      <c r="O68" s="39" t="n"/>
      <c r="P68" s="78" t="n">
        <v>4.3</v>
      </c>
      <c r="Q68" s="77" t="n">
        <v>1723</v>
      </c>
      <c r="R68" s="77" t="n">
        <v>4406</v>
      </c>
      <c r="S68" s="77" t="n">
        <v>0.8588</v>
      </c>
      <c r="T68" s="39" t="n"/>
    </row>
    <row r="69" ht="62" customHeight="1">
      <c r="A69" s="12">
        <f>_xlfn.IMAGE("https://m.media-amazon.com/images/I/81h83JgkpAL.jpg")</f>
        <v/>
      </c>
      <c r="B69" s="39" t="inlineStr">
        <is>
          <t>B0D9QSG8V3</t>
        </is>
      </c>
      <c r="C69" s="39" t="inlineStr">
        <is>
          <t>SATIN-6PC-KING-DARK GREEN</t>
        </is>
      </c>
      <c r="D69" s="39" t="inlineStr">
        <is>
          <t>DECOLURE Satin Bed Sheets - 6 Piece Luxury Silky King Size Bedding Set - Softer Than Silk, Wrinkle-Free with 15” Deep Pocket Fitted Sheet, Perfect for Hair &amp; Skin, Gifts for Women (Dark Green)</t>
        </is>
      </c>
      <c r="E69" s="39" t="inlineStr">
        <is>
          <t>King</t>
        </is>
      </c>
      <c r="F69" s="39" t="inlineStr">
        <is>
          <t>Dark Green</t>
        </is>
      </c>
      <c r="G69" s="40" t="n"/>
      <c r="H69" s="39" t="n"/>
      <c r="I69" s="74" t="n">
        <v>49.99</v>
      </c>
      <c r="J69" s="75" t="inlineStr">
        <is>
          <t>2026-03-30</t>
        </is>
      </c>
      <c r="K69" s="40" t="n">
        <v>18.81</v>
      </c>
      <c r="L69" s="76" t="n">
        <v>0.3762752550510102</v>
      </c>
      <c r="M69" s="77" t="n">
        <v>2</v>
      </c>
      <c r="N69" s="79" t="inlineStr">
        <is>
          <t>No Buy Box on Amazon 2026-10-14 (page says 'No featured offers available') - FBA stock 0 since 2026-10-12, nothing inbound (deal records 2026-10-14)</t>
        </is>
      </c>
      <c r="O69" s="39" t="n"/>
      <c r="P69" s="78" t="n">
        <v>4.3</v>
      </c>
      <c r="Q69" s="77" t="n">
        <v>1723</v>
      </c>
      <c r="R69" s="77" t="n">
        <v>4406</v>
      </c>
      <c r="S69" s="77" t="n">
        <v>0.9581</v>
      </c>
      <c r="T69" s="39" t="n"/>
    </row>
    <row r="70" ht="62" customHeight="1">
      <c r="A70" s="12">
        <f>_xlfn.IMAGE("https://m.media-amazon.com/images/I/81VLLob-TFL.jpg")</f>
        <v/>
      </c>
      <c r="B70" s="39" t="inlineStr">
        <is>
          <t>B0D9QRRTN7</t>
        </is>
      </c>
      <c r="C70" s="39" t="inlineStr">
        <is>
          <t>SATIN-6PC-KING-LAVENDER</t>
        </is>
      </c>
      <c r="D70" s="39" t="inlineStr">
        <is>
          <t>DECOLURE Satin Bed Sheets - 6 Piece Luxury Silky King Size Bedding Set - Softer Than Silk, Wrinkle-Free with 15” Deep Pocket Fitted Sheet, Perfect for Hair &amp; Skin, Gifts for Women (Lavender)</t>
        </is>
      </c>
      <c r="E70" s="39" t="inlineStr">
        <is>
          <t>King</t>
        </is>
      </c>
      <c r="F70" s="39" t="inlineStr">
        <is>
          <t>Lavender</t>
        </is>
      </c>
      <c r="G70" s="73" t="n">
        <v>49.99</v>
      </c>
      <c r="H70" s="39" t="inlineStr">
        <is>
          <t>catalog price (CAD), 2026-10-14</t>
        </is>
      </c>
      <c r="I70" s="74" t="n">
        <v>55.08</v>
      </c>
      <c r="J70" s="75" t="inlineStr">
        <is>
          <t>2026-03-30</t>
        </is>
      </c>
      <c r="K70" s="40" t="n">
        <v>17.22</v>
      </c>
      <c r="L70" s="76" t="n">
        <v>0.312636165577342</v>
      </c>
      <c r="M70" s="77" t="n">
        <v>2</v>
      </c>
      <c r="N70" s="39" t="inlineStr">
        <is>
          <t>Active</t>
        </is>
      </c>
      <c r="O70" s="39" t="n"/>
      <c r="P70" s="78" t="n">
        <v>4.3</v>
      </c>
      <c r="Q70" s="77" t="n">
        <v>1723</v>
      </c>
      <c r="R70" s="77" t="n">
        <v>4406</v>
      </c>
      <c r="S70" s="77" t="n">
        <v>0.2806</v>
      </c>
      <c r="T70" s="39" t="n"/>
    </row>
    <row r="71" ht="62" customHeight="1">
      <c r="A71" s="12">
        <f>_xlfn.IMAGE("https://m.media-amazon.com/images/I/81OBu-lV5UL.jpg")</f>
        <v/>
      </c>
      <c r="B71" s="39" t="inlineStr">
        <is>
          <t>B0C7FMDPBF</t>
        </is>
      </c>
      <c r="C71" s="39" t="inlineStr">
        <is>
          <t>SATIN-KING-PINK-6PCS</t>
        </is>
      </c>
      <c r="D71" s="39" t="inlineStr">
        <is>
          <t>DECOLURE Satin Bed Sheets - 6 Piece Luxury Silky King Size Bedding Set - Softer Than Silk, Wrinkle-Free with 15” Deep Pocket Fitted Sheet, Perfect for Hair &amp; Skin, Gifts for Women (Pink)</t>
        </is>
      </c>
      <c r="E71" s="39" t="inlineStr">
        <is>
          <t>King</t>
        </is>
      </c>
      <c r="F71" s="39" t="inlineStr">
        <is>
          <t>Pink</t>
        </is>
      </c>
      <c r="G71" s="73" t="n">
        <v>49.99</v>
      </c>
      <c r="H71" s="39" t="inlineStr">
        <is>
          <t>catalog price (CAD), 2026-10-14</t>
        </is>
      </c>
      <c r="I71" s="74" t="n">
        <v>49.99</v>
      </c>
      <c r="J71" s="75" t="inlineStr">
        <is>
          <t>2026-03-30</t>
        </is>
      </c>
      <c r="K71" s="40" t="n">
        <v>19.67</v>
      </c>
      <c r="L71" s="76" t="n">
        <v>0.3934786957391478</v>
      </c>
      <c r="M71" s="77" t="n">
        <v>2</v>
      </c>
      <c r="N71" s="39" t="inlineStr">
        <is>
          <t>Active</t>
        </is>
      </c>
      <c r="O71" s="39" t="n"/>
      <c r="P71" s="78" t="n">
        <v>4.3</v>
      </c>
      <c r="Q71" s="77" t="n">
        <v>1723</v>
      </c>
      <c r="R71" s="77" t="n">
        <v>4406</v>
      </c>
      <c r="S71" s="77" t="n">
        <v>0.9147999999999999</v>
      </c>
      <c r="T71" s="39" t="n"/>
    </row>
    <row r="72" ht="62" customHeight="1">
      <c r="A72" s="12">
        <f>_xlfn.IMAGE("https://m.media-amazon.com/images/I/81osNI447+L.jpg")</f>
        <v/>
      </c>
      <c r="B72" s="39" t="inlineStr">
        <is>
          <t>B0C7FP1L1V</t>
        </is>
      </c>
      <c r="C72" s="39" t="inlineStr">
        <is>
          <t>SATIN-ROSEWOOD-KING-6PCS</t>
        </is>
      </c>
      <c r="D72" s="39" t="inlineStr">
        <is>
          <t>DECOLURE Satin Bed Sheets - 6 Piece Luxury Silky King Size Bedding Set - Softer Than Silk, Wrinkle-Free with 15” Deep Pocket Fitted Sheet, Perfect for Hair &amp; Skin, Gifts for Women (Rosewood)</t>
        </is>
      </c>
      <c r="E72" s="39" t="inlineStr">
        <is>
          <t>King</t>
        </is>
      </c>
      <c r="F72" s="39" t="inlineStr">
        <is>
          <t>Rosewood</t>
        </is>
      </c>
      <c r="G72" s="73" t="n">
        <v>49.99</v>
      </c>
      <c r="H72" s="39" t="inlineStr">
        <is>
          <t>catalog price (CAD), 2026-10-14</t>
        </is>
      </c>
      <c r="I72" s="74" t="n">
        <v>49.99</v>
      </c>
      <c r="J72" s="75" t="inlineStr">
        <is>
          <t>2026-03-30</t>
        </is>
      </c>
      <c r="K72" s="40" t="n">
        <v>19.13</v>
      </c>
      <c r="L72" s="76" t="n">
        <v>0.3826765353070615</v>
      </c>
      <c r="M72" s="77" t="n">
        <v>2</v>
      </c>
      <c r="N72" s="39" t="inlineStr">
        <is>
          <t>Active</t>
        </is>
      </c>
      <c r="O72" s="39" t="n"/>
      <c r="P72" s="78" t="n">
        <v>4.3</v>
      </c>
      <c r="Q72" s="77" t="n">
        <v>1723</v>
      </c>
      <c r="R72" s="77" t="n">
        <v>4406</v>
      </c>
      <c r="S72" s="77" t="n">
        <v>0.7314000000000001</v>
      </c>
      <c r="T72" s="39" t="n"/>
    </row>
    <row r="73" ht="62" customHeight="1">
      <c r="A73" s="12">
        <f>_xlfn.IMAGE("https://m.media-amazon.com/images/I/81Z3bEG6bxL.jpg")</f>
        <v/>
      </c>
      <c r="B73" s="39" t="inlineStr">
        <is>
          <t>B0C7FNXRJF</t>
        </is>
      </c>
      <c r="C73" s="39" t="inlineStr">
        <is>
          <t>SATIN-TAUPE-KING-6PCS</t>
        </is>
      </c>
      <c r="D73" s="39" t="inlineStr">
        <is>
          <t>DECOLURE Satin Bed Sheets - 6 Piece Luxury Silky King Size Bedding Set - Softer Than Silk, Wrinkle-Free with 15” Deep Pocket Fitted Sheet, Perfect for Hair &amp; Skin, Gifts for Women (Taupe)</t>
        </is>
      </c>
      <c r="E73" s="39" t="inlineStr">
        <is>
          <t>King</t>
        </is>
      </c>
      <c r="F73" s="39" t="inlineStr">
        <is>
          <t>Taupe</t>
        </is>
      </c>
      <c r="G73" s="40" t="n"/>
      <c r="H73" s="39" t="n"/>
      <c r="I73" s="74" t="n">
        <v>49.99</v>
      </c>
      <c r="J73" s="75" t="inlineStr">
        <is>
          <t>2026-03-30</t>
        </is>
      </c>
      <c r="K73" s="40" t="n">
        <v>18.77</v>
      </c>
      <c r="L73" s="76" t="n">
        <v>0.3754750950190038</v>
      </c>
      <c r="M73" s="77" t="n">
        <v>2</v>
      </c>
      <c r="N73" s="79" t="inlineStr">
        <is>
          <t>Not buyable on Amazon 2026-10-14: page redirects to B0C7FHXP11 (Full Taupe) - FBA stock 0 since 2026-10-07, nothing inbound (deal records 2026-10-14)</t>
        </is>
      </c>
      <c r="O73" s="39" t="n"/>
      <c r="P73" s="78" t="n"/>
      <c r="Q73" s="77" t="n"/>
      <c r="R73" s="77" t="n"/>
      <c r="S73" s="77" t="n"/>
      <c r="T73" s="39" t="n"/>
    </row>
    <row r="74" ht="62" customHeight="1">
      <c r="A74" s="12">
        <f>_xlfn.IMAGE("https://m.media-amazon.com/images/I/81OBu-lV5UL.jpg")</f>
        <v/>
      </c>
      <c r="B74" s="39" t="inlineStr">
        <is>
          <t>B0C7FSZ6RY</t>
        </is>
      </c>
      <c r="C74" s="39" t="inlineStr">
        <is>
          <t>SATIN-QUEEN-PINK-6PCS</t>
        </is>
      </c>
      <c r="D74" s="39" t="inlineStr">
        <is>
          <t>DECOLURE Satin Bed Sheets - 6 Piece Luxury Silky Queen Size Bedding Set - Softer Than Silk, Wrinkle-Free with 15” Deep Pocket Fitted Sheet, Perfect for Hair &amp; Skin, Gifts for Women (Pink)</t>
        </is>
      </c>
      <c r="E74" s="39" t="inlineStr">
        <is>
          <t>Queen</t>
        </is>
      </c>
      <c r="F74" s="39" t="inlineStr">
        <is>
          <t>Pink</t>
        </is>
      </c>
      <c r="G74" s="73" t="n">
        <v>58.96</v>
      </c>
      <c r="H74" s="39" t="inlineStr">
        <is>
          <t>catalog price (CAD), 2026-10-14</t>
        </is>
      </c>
      <c r="I74" s="74" t="n">
        <v>47.99</v>
      </c>
      <c r="J74" s="75" t="inlineStr">
        <is>
          <t>2026-03-30</t>
        </is>
      </c>
      <c r="K74" s="40" t="n">
        <v>18.79</v>
      </c>
      <c r="L74" s="76" t="n">
        <v>0.3915399041466972</v>
      </c>
      <c r="M74" s="77" t="n">
        <v>2</v>
      </c>
      <c r="N74" s="39" t="inlineStr">
        <is>
          <t>Active</t>
        </is>
      </c>
      <c r="O74" s="39" t="n"/>
      <c r="P74" s="78" t="n">
        <v>4.3</v>
      </c>
      <c r="Q74" s="77" t="n">
        <v>1723</v>
      </c>
      <c r="R74" s="77" t="n">
        <v>4406</v>
      </c>
      <c r="S74" s="77" t="n">
        <v>2</v>
      </c>
      <c r="T74" s="39" t="n"/>
    </row>
    <row r="75" ht="62" customHeight="1">
      <c r="A75" s="12">
        <f>_xlfn.IMAGE("https://m.media-amazon.com/images/I/81kFS+X+OiL.jpg")</f>
        <v/>
      </c>
      <c r="B75" s="39" t="inlineStr">
        <is>
          <t>B0C7KFWRM8</t>
        </is>
      </c>
      <c r="C75" s="39" t="inlineStr">
        <is>
          <t>SATIN-STRIPE-QUEEN-PURPLE--6-PCS</t>
        </is>
      </c>
      <c r="D75" s="39" t="inlineStr">
        <is>
          <t>DECOLURE Satin Bed Sheets - 6 Piece Luxury Silky Queen Size Bedding Set - Softer Than Silk, Wrinkle-Free with 15” Deep Pocket Fitted Sheet, Perfect for Hair &amp; Skin, Gifts for Women (Striped Purple)</t>
        </is>
      </c>
      <c r="E75" s="39" t="inlineStr">
        <is>
          <t>Queen</t>
        </is>
      </c>
      <c r="F75" s="39" t="inlineStr">
        <is>
          <t>Striped Purple</t>
        </is>
      </c>
      <c r="G75" s="40" t="n"/>
      <c r="H75" s="39" t="n"/>
      <c r="I75" s="74" t="n">
        <v>47.99</v>
      </c>
      <c r="J75" s="75" t="inlineStr">
        <is>
          <t>2026-03-30</t>
        </is>
      </c>
      <c r="K75" s="40" t="n">
        <v>18.6</v>
      </c>
      <c r="L75" s="76" t="n">
        <v>0.3875807459887476</v>
      </c>
      <c r="M75" s="77" t="n">
        <v>2</v>
      </c>
      <c r="N75" s="79" t="inlineStr">
        <is>
          <t>Not buyable on Amazon 2026-10-14: page redirects to B0C7K3WWDT (Full Striped Purple) - FBA stock 0 since 2026-09-21, nothing inbound (deal records 2026-10-14)</t>
        </is>
      </c>
      <c r="O75" s="39" t="n"/>
      <c r="P75" s="78" t="n"/>
      <c r="Q75" s="77" t="n"/>
      <c r="R75" s="77" t="n"/>
      <c r="S75" s="77" t="n"/>
      <c r="T75" s="39" t="n"/>
    </row>
    <row r="76" ht="62" customHeight="1">
      <c r="A76" s="12">
        <f>_xlfn.IMAGE("https://m.media-amazon.com/images/I/81eI9Bizi9L.jpg")</f>
        <v/>
      </c>
      <c r="B76" s="39" t="inlineStr">
        <is>
          <t>B0C7FNVCWM</t>
        </is>
      </c>
      <c r="C76" s="39" t="inlineStr">
        <is>
          <t>SATIN-TWIN-GREY-6PCS</t>
        </is>
      </c>
      <c r="D76" s="39" t="inlineStr">
        <is>
          <t>DECOLURE Satin Bed Sheets - 4 Piece Luxury Silky Twin Size Bedding Set - Softer Than Silk, Wrinkle-Free with 15” Deep Pocket Fitted Sheet, Perfect for Hair &amp; Skin, Gifts for Women (Grey)</t>
        </is>
      </c>
      <c r="E76" s="39" t="inlineStr">
        <is>
          <t>Twin</t>
        </is>
      </c>
      <c r="F76" s="39" t="inlineStr">
        <is>
          <t>Grey</t>
        </is>
      </c>
      <c r="G76" s="73" t="n">
        <v>39.99</v>
      </c>
      <c r="H76" s="39" t="inlineStr">
        <is>
          <t>catalog price (CAD), 2026-10-14</t>
        </is>
      </c>
      <c r="I76" s="74" t="n">
        <v>39.99</v>
      </c>
      <c r="J76" s="75" t="inlineStr">
        <is>
          <t>2026-03-30</t>
        </is>
      </c>
      <c r="K76" s="40" t="n">
        <v>16.99</v>
      </c>
      <c r="L76" s="76" t="n">
        <v>0.4248562140535135</v>
      </c>
      <c r="M76" s="77" t="n">
        <v>2</v>
      </c>
      <c r="N76" s="39" t="inlineStr">
        <is>
          <t>Active</t>
        </is>
      </c>
      <c r="O76" s="39" t="n"/>
      <c r="P76" s="78" t="n">
        <v>4.3</v>
      </c>
      <c r="Q76" s="77" t="n">
        <v>1723</v>
      </c>
      <c r="R76" s="77" t="n">
        <v>4406</v>
      </c>
      <c r="S76" s="77" t="n">
        <v>4</v>
      </c>
      <c r="T76" s="39" t="n"/>
    </row>
    <row r="77" ht="62" customHeight="1">
      <c r="A77" s="12">
        <f>_xlfn.IMAGE("https://m.media-amazon.com/images/I/81h83JgkpAL.jpg")</f>
        <v/>
      </c>
      <c r="B77" s="39" t="inlineStr">
        <is>
          <t>B0D9QR4PS8</t>
        </is>
      </c>
      <c r="C77" s="39" t="inlineStr">
        <is>
          <t>SATIN-6PC-FULL-DARK GREEN</t>
        </is>
      </c>
      <c r="D77" s="39" t="inlineStr">
        <is>
          <t>DECOLURE Satin Bed Sheets - 6 Piece Luxury Silky Full Size Bedding Set - Softer Than Silk, Wrinkle-Free with 15” Deep Pocket Fitted Sheet, Perfect for Hair &amp; Skin, Gifts for Women (Dark Green)</t>
        </is>
      </c>
      <c r="E77" s="39" t="inlineStr">
        <is>
          <t>Full</t>
        </is>
      </c>
      <c r="F77" s="39" t="inlineStr">
        <is>
          <t>Dark Green</t>
        </is>
      </c>
      <c r="G77" s="73" t="n">
        <v>44.99</v>
      </c>
      <c r="H77" s="39" t="inlineStr">
        <is>
          <t>catalog price (CAD), 2026-10-14</t>
        </is>
      </c>
      <c r="I77" s="74" t="n">
        <v>44.99</v>
      </c>
      <c r="J77" s="75" t="inlineStr">
        <is>
          <t>2026-03-30</t>
        </is>
      </c>
      <c r="K77" s="40" t="n">
        <v>17.05</v>
      </c>
      <c r="L77" s="76" t="n">
        <v>0.3789731051344745</v>
      </c>
      <c r="M77" s="77" t="n">
        <v>1</v>
      </c>
      <c r="N77" s="39" t="inlineStr">
        <is>
          <t>Active</t>
        </is>
      </c>
      <c r="O77" s="39" t="n"/>
      <c r="P77" s="78" t="n">
        <v>4.3</v>
      </c>
      <c r="Q77" s="77" t="n">
        <v>1723</v>
      </c>
      <c r="R77" s="77" t="n">
        <v>4406</v>
      </c>
      <c r="S77" s="77" t="n">
        <v>0</v>
      </c>
      <c r="T77" s="39" t="n"/>
    </row>
    <row r="78" ht="62" customHeight="1">
      <c r="A78" s="12">
        <f>_xlfn.IMAGE("https://m.media-amazon.com/images/I/81TFWOCMZHL.jpg")</f>
        <v/>
      </c>
      <c r="B78" s="39" t="inlineStr">
        <is>
          <t>B0C7FKJWJV</t>
        </is>
      </c>
      <c r="C78" s="39" t="inlineStr">
        <is>
          <t>SATIN-IVORY-FULL-6PCS</t>
        </is>
      </c>
      <c r="D78" s="39" t="inlineStr">
        <is>
          <t>DECOLURE Satin Bed Sheets - 6 Piece Luxury Silky Full Size Bedding Set - Softer Than Silk, Wrinkle-Free with 15” Deep Pocket Fitted Sheet, Perfect for Hair &amp; Skin, Gifts for Women (Ivory)</t>
        </is>
      </c>
      <c r="E78" s="39" t="inlineStr">
        <is>
          <t>Full</t>
        </is>
      </c>
      <c r="F78" s="39" t="inlineStr">
        <is>
          <t>Ivory</t>
        </is>
      </c>
      <c r="G78" s="73" t="n">
        <v>55.27</v>
      </c>
      <c r="H78" s="39" t="inlineStr">
        <is>
          <t>catalog price (CAD), 2026-10-14</t>
        </is>
      </c>
      <c r="I78" s="74" t="n">
        <v>44.99</v>
      </c>
      <c r="J78" s="75" t="inlineStr">
        <is>
          <t>2026-03-30</t>
        </is>
      </c>
      <c r="K78" s="40" t="n">
        <v>18.21</v>
      </c>
      <c r="L78" s="76" t="n">
        <v>0.4047566125805734</v>
      </c>
      <c r="M78" s="77" t="n">
        <v>1</v>
      </c>
      <c r="N78" s="39" t="inlineStr">
        <is>
          <t>Active</t>
        </is>
      </c>
      <c r="O78" s="39" t="n"/>
      <c r="P78" s="78" t="n">
        <v>4.3</v>
      </c>
      <c r="Q78" s="77" t="n">
        <v>1723</v>
      </c>
      <c r="R78" s="77" t="n">
        <v>4406</v>
      </c>
      <c r="S78" s="77" t="n">
        <v>3</v>
      </c>
      <c r="T78" s="39" t="n"/>
    </row>
    <row r="79" ht="62" customHeight="1">
      <c r="A79" s="12">
        <f>_xlfn.IMAGE("https://m.media-amazon.com/images/I/81cInbBJAML.jpg")</f>
        <v/>
      </c>
      <c r="B79" s="39" t="inlineStr">
        <is>
          <t>B0C7F65432</t>
        </is>
      </c>
      <c r="C79" s="39" t="inlineStr">
        <is>
          <t>SATIN-FULL-PURPLE-6PCS</t>
        </is>
      </c>
      <c r="D79" s="39" t="inlineStr">
        <is>
          <t>DECOLURE Satin Bed Sheets - 6 Piece Luxury Silky Full Size Bedding Set - Softer Than Silk, Wrinkle-Free with 15” Deep Pocket Fitted Sheet, Perfect for Hair &amp; Skin, Gifts for Women (Purple)</t>
        </is>
      </c>
      <c r="E79" s="39" t="inlineStr">
        <is>
          <t>Full</t>
        </is>
      </c>
      <c r="F79" s="39" t="inlineStr">
        <is>
          <t>Purple</t>
        </is>
      </c>
      <c r="G79" s="73" t="n">
        <v>55.27</v>
      </c>
      <c r="H79" s="39" t="inlineStr">
        <is>
          <t>catalog price (CAD), 2026-10-14</t>
        </is>
      </c>
      <c r="I79" s="74" t="n">
        <v>44.99</v>
      </c>
      <c r="J79" s="75" t="inlineStr">
        <is>
          <t>2026-03-30</t>
        </is>
      </c>
      <c r="K79" s="40" t="n">
        <v>17.59</v>
      </c>
      <c r="L79" s="76" t="n">
        <v>0.3909757723938654</v>
      </c>
      <c r="M79" s="77" t="n">
        <v>1</v>
      </c>
      <c r="N79" s="39" t="inlineStr">
        <is>
          <t>Active</t>
        </is>
      </c>
      <c r="O79" s="39" t="n"/>
      <c r="P79" s="78" t="n">
        <v>4.3</v>
      </c>
      <c r="Q79" s="77" t="n">
        <v>1723</v>
      </c>
      <c r="R79" s="77" t="n">
        <v>4406</v>
      </c>
      <c r="S79" s="77" t="n">
        <v>3</v>
      </c>
      <c r="T79" s="39" t="n"/>
    </row>
    <row r="80" ht="62" customHeight="1">
      <c r="A80" s="12">
        <f>_xlfn.IMAGE("https://m.media-amazon.com/images/I/81k4pZo8ZKL.jpg")</f>
        <v/>
      </c>
      <c r="B80" s="39" t="inlineStr">
        <is>
          <t>B0C7KB53RJ</t>
        </is>
      </c>
      <c r="C80" s="39" t="inlineStr">
        <is>
          <t>SATIN-STRIPE-FULL-BLACK--6-PCS</t>
        </is>
      </c>
      <c r="D80" s="39" t="inlineStr">
        <is>
          <t>DECOLURE Satin Bed Sheets - 6 Piece Luxury Silky Full Size Bedding Set - Softer Than Silk, Wrinkle-Free with 15” Deep Pocket Fitted Sheet, Perfect for Hair &amp; Skin, Gifts for Women (Striped Black)</t>
        </is>
      </c>
      <c r="E80" s="39" t="inlineStr">
        <is>
          <t>Full</t>
        </is>
      </c>
      <c r="F80" s="39" t="inlineStr">
        <is>
          <t>Striped Black</t>
        </is>
      </c>
      <c r="G80" s="73" t="n">
        <v>44.99</v>
      </c>
      <c r="H80" s="39" t="inlineStr">
        <is>
          <t>catalog price (CAD), 2026-10-14</t>
        </is>
      </c>
      <c r="I80" s="74" t="n">
        <v>44.99</v>
      </c>
      <c r="J80" s="75" t="inlineStr">
        <is>
          <t>2026-03-30</t>
        </is>
      </c>
      <c r="K80" s="40" t="n">
        <v>16.44</v>
      </c>
      <c r="L80" s="76" t="n">
        <v>0.3654145365636808</v>
      </c>
      <c r="M80" s="77" t="n">
        <v>1</v>
      </c>
      <c r="N80" s="39" t="inlineStr">
        <is>
          <t>Active</t>
        </is>
      </c>
      <c r="O80" s="39" t="n"/>
      <c r="P80" s="78" t="n">
        <v>4.3</v>
      </c>
      <c r="Q80" s="77" t="n">
        <v>1723</v>
      </c>
      <c r="R80" s="77" t="n">
        <v>4406</v>
      </c>
      <c r="S80" s="77" t="n">
        <v>3</v>
      </c>
      <c r="T80" s="39" t="n"/>
    </row>
    <row r="81" ht="62" customHeight="1">
      <c r="A81" s="12">
        <f>_xlfn.IMAGE("https://m.media-amazon.com/images/I/81kFS+X+OiL.jpg")</f>
        <v/>
      </c>
      <c r="B81" s="39" t="inlineStr">
        <is>
          <t>B0C7K3WWDT</t>
        </is>
      </c>
      <c r="C81" s="39" t="inlineStr">
        <is>
          <t>SATIN-STRIPE-FULL-PURPLE--6-PCS</t>
        </is>
      </c>
      <c r="D81" s="39" t="inlineStr">
        <is>
          <t>DECOLURE Satin Bed Sheets - 6 Piece Luxury Silky Full Size Bedding Set - Softer Than Silk, Wrinkle-Free with 15” Deep Pocket Fitted Sheet, Perfect for Hair &amp; Skin, Gifts for Women (Striped Purple)</t>
        </is>
      </c>
      <c r="E81" s="39" t="inlineStr">
        <is>
          <t>Full</t>
        </is>
      </c>
      <c r="F81" s="39" t="inlineStr">
        <is>
          <t>Striped Purple</t>
        </is>
      </c>
      <c r="G81" s="40" t="n"/>
      <c r="H81" s="39" t="n"/>
      <c r="I81" s="74" t="n">
        <v>44.99</v>
      </c>
      <c r="J81" s="75" t="inlineStr">
        <is>
          <t>2026-03-30</t>
        </is>
      </c>
      <c r="K81" s="40" t="n">
        <v>17.59</v>
      </c>
      <c r="L81" s="76" t="n">
        <v>0.3909757723938654</v>
      </c>
      <c r="M81" s="77" t="n">
        <v>1</v>
      </c>
      <c r="N81" s="79" t="inlineStr">
        <is>
          <t>No Buy Box on Amazon 2026-10-14 (page says 'No featured offers available') - 23 units in FBA stock, so not a stock-out: offer / listing issue (deal records 2026-10-14)</t>
        </is>
      </c>
      <c r="O81" s="39" t="n"/>
      <c r="P81" s="78" t="n">
        <v>4.3</v>
      </c>
      <c r="Q81" s="77" t="n">
        <v>1723</v>
      </c>
      <c r="R81" s="77" t="n">
        <v>4406</v>
      </c>
      <c r="S81" s="77" t="n">
        <v>0</v>
      </c>
      <c r="T81" s="39" t="n"/>
    </row>
    <row r="82" ht="62" customHeight="1">
      <c r="A82" s="12">
        <f>_xlfn.IMAGE("https://m.media-amazon.com/images/I/81TFWOCMZHL.jpg")</f>
        <v/>
      </c>
      <c r="B82" s="39" t="inlineStr">
        <is>
          <t>B0C7FFMKP8</t>
        </is>
      </c>
      <c r="C82" s="39" t="inlineStr">
        <is>
          <t>SATIN-IVORY-KING-6PCS</t>
        </is>
      </c>
      <c r="D82" s="39" t="inlineStr">
        <is>
          <t>DECOLURE Satin Bed Sheets - 6 Piece Luxury Silky King Size Bedding Set - Softer Than Silk, Wrinkle-Free with 15” Deep Pocket Fitted Sheet, Perfect for Hair &amp; Skin, Gifts for Women (Ivory)</t>
        </is>
      </c>
      <c r="E82" s="39" t="inlineStr">
        <is>
          <t>King</t>
        </is>
      </c>
      <c r="F82" s="39" t="inlineStr">
        <is>
          <t>Ivory</t>
        </is>
      </c>
      <c r="G82" s="73" t="n">
        <v>49.99</v>
      </c>
      <c r="H82" s="39" t="inlineStr">
        <is>
          <t>catalog price (CAD), 2026-10-14</t>
        </is>
      </c>
      <c r="I82" s="74" t="n">
        <v>49.99</v>
      </c>
      <c r="J82" s="75" t="inlineStr">
        <is>
          <t>2026-03-30</t>
        </is>
      </c>
      <c r="K82" s="40" t="n">
        <v>18.89</v>
      </c>
      <c r="L82" s="76" t="n">
        <v>0.377875575115023</v>
      </c>
      <c r="M82" s="77" t="n">
        <v>1</v>
      </c>
      <c r="N82" s="39" t="inlineStr">
        <is>
          <t>Active</t>
        </is>
      </c>
      <c r="O82" s="39" t="n"/>
      <c r="P82" s="78" t="n">
        <v>4.3</v>
      </c>
      <c r="Q82" s="77" t="n">
        <v>1723</v>
      </c>
      <c r="R82" s="77" t="n">
        <v>4406</v>
      </c>
      <c r="S82" s="77" t="n">
        <v>0.91</v>
      </c>
      <c r="T82" s="39" t="n"/>
    </row>
    <row r="83" ht="62" customHeight="1">
      <c r="A83" s="12">
        <f>_xlfn.IMAGE("https://m.media-amazon.com/images/I/81kFS+X+OiL.jpg")</f>
        <v/>
      </c>
      <c r="B83" s="39" t="inlineStr">
        <is>
          <t>B0C7KGGWS8</t>
        </is>
      </c>
      <c r="C83" s="39" t="inlineStr">
        <is>
          <t>SATIN-STRIPE-KING-PURPLE--6-PCS</t>
        </is>
      </c>
      <c r="D83" s="39" t="inlineStr">
        <is>
          <t>DECOLURE Satin Bed Sheets - 6 Piece Luxury Silky King Size Bedding Set - Softer Than Silk, Wrinkle-Free with 15” Deep Pocket Fitted Sheet, Perfect for Hair &amp; Skin, Gifts for Women (Striped Purple)</t>
        </is>
      </c>
      <c r="E83" s="39" t="inlineStr">
        <is>
          <t>King</t>
        </is>
      </c>
      <c r="F83" s="39" t="inlineStr">
        <is>
          <t>Striped Purple</t>
        </is>
      </c>
      <c r="G83" s="40" t="n"/>
      <c r="H83" s="39" t="n"/>
      <c r="I83" s="74" t="n">
        <v>49.99</v>
      </c>
      <c r="J83" s="75" t="inlineStr">
        <is>
          <t>2026-03-30</t>
        </is>
      </c>
      <c r="K83" s="40" t="n">
        <v>17.96</v>
      </c>
      <c r="L83" s="76" t="n">
        <v>0.3592718543708742</v>
      </c>
      <c r="M83" s="77" t="n">
        <v>1</v>
      </c>
      <c r="N83" s="79" t="inlineStr">
        <is>
          <t>Not buyable on Amazon 2026-10-14: page redirects to B0C7K3WWDT (Full Striped Purple) - FBA stock 0 since 2026-09-25, nothing inbound (deal records 2026-10-14)</t>
        </is>
      </c>
      <c r="O83" s="39" t="n"/>
      <c r="P83" s="78" t="n"/>
      <c r="Q83" s="77" t="n"/>
      <c r="R83" s="77" t="n"/>
      <c r="S83" s="77" t="n"/>
      <c r="T83" s="39" t="n"/>
    </row>
    <row r="84" ht="62" customHeight="1">
      <c r="A84" s="12">
        <f>_xlfn.IMAGE("https://m.media-amazon.com/images/I/81v12xURZRL.jpg")</f>
        <v/>
      </c>
      <c r="B84" s="39" t="inlineStr">
        <is>
          <t>B0C7KD5MPK</t>
        </is>
      </c>
      <c r="C84" s="39" t="inlineStr">
        <is>
          <t>SATIN-STRIPE-KING-WHITE--6-PCS</t>
        </is>
      </c>
      <c r="D84" s="39" t="inlineStr">
        <is>
          <t>DECOLURE Satin Bed Sheets - 6 Piece Luxury Silky King Size Bedding Set - Softer Than Silk, Wrinkle-Free with 15” Deep Pocket Fitted Sheet, Perfect for Hair &amp; Skin, Gifts for Women (Striped White)</t>
        </is>
      </c>
      <c r="E84" s="39" t="inlineStr">
        <is>
          <t>King</t>
        </is>
      </c>
      <c r="F84" s="39" t="inlineStr">
        <is>
          <t>Striped White</t>
        </is>
      </c>
      <c r="G84" s="73" t="n">
        <v>49.99</v>
      </c>
      <c r="H84" s="39" t="inlineStr">
        <is>
          <t>catalog price (CAD), 2026-10-14</t>
        </is>
      </c>
      <c r="I84" s="74" t="n">
        <v>60.59</v>
      </c>
      <c r="J84" s="75" t="inlineStr">
        <is>
          <t>2026-03-30</t>
        </is>
      </c>
      <c r="K84" s="40" t="n">
        <v>21.9</v>
      </c>
      <c r="L84" s="76" t="n">
        <v>0.3614457831325301</v>
      </c>
      <c r="M84" s="77" t="n">
        <v>1</v>
      </c>
      <c r="N84" s="39" t="inlineStr">
        <is>
          <t>Active</t>
        </is>
      </c>
      <c r="O84" s="39" t="n"/>
      <c r="P84" s="78" t="n">
        <v>4.3</v>
      </c>
      <c r="Q84" s="77" t="n">
        <v>1723</v>
      </c>
      <c r="R84" s="77" t="n">
        <v>4406</v>
      </c>
      <c r="S84" s="77" t="n">
        <v>1</v>
      </c>
      <c r="T84" s="39" t="n"/>
    </row>
    <row r="85" ht="62" customHeight="1">
      <c r="A85" s="12">
        <f>_xlfn.IMAGE("https://m.media-amazon.com/images/I/81NXdWsawHL.jpg")</f>
        <v/>
      </c>
      <c r="B85" s="39" t="inlineStr">
        <is>
          <t>B0C7FFRNMH</t>
        </is>
      </c>
      <c r="C85" s="39" t="inlineStr">
        <is>
          <t>SATIN-CHAMPAGNE-QUEEN-6PCS</t>
        </is>
      </c>
      <c r="D85" s="39" t="inlineStr">
        <is>
          <t>DECOLURE Satin Bed Sheets - 6 Piece Luxury Silky Queen Size Bedding Set - Softer Than Silk, Wrinkle-Free with 15” Deep Pocket Fitted Sheet, Perfect for Hair &amp; Skin, Gifts for Women (Champagne)</t>
        </is>
      </c>
      <c r="E85" s="39" t="inlineStr">
        <is>
          <t>Queen</t>
        </is>
      </c>
      <c r="F85" s="39" t="inlineStr">
        <is>
          <t>Champagne</t>
        </is>
      </c>
      <c r="G85" s="40" t="n"/>
      <c r="H85" s="39" t="n"/>
      <c r="I85" s="74" t="n">
        <v>47.99</v>
      </c>
      <c r="J85" s="75" t="inlineStr">
        <is>
          <t>2026-03-30</t>
        </is>
      </c>
      <c r="K85" s="40" t="n">
        <v>18.79</v>
      </c>
      <c r="L85" s="76" t="n">
        <v>0.3915399041466972</v>
      </c>
      <c r="M85" s="77" t="n">
        <v>1</v>
      </c>
      <c r="N85" s="79" t="inlineStr">
        <is>
          <t>Not buyable on Amazon 2026-10-14: page redirects to B0C7FSXPC5 (Full Champagne) - FBA stock 0 since 2026-10-05, nothing inbound (deal records 2026-10-14)</t>
        </is>
      </c>
      <c r="O85" s="39" t="n"/>
      <c r="P85" s="78" t="n"/>
      <c r="Q85" s="77" t="n"/>
      <c r="R85" s="77" t="n"/>
      <c r="S85" s="77" t="n"/>
      <c r="T85" s="39" t="n"/>
    </row>
    <row r="86" ht="62" customHeight="1">
      <c r="A86" s="12">
        <f>_xlfn.IMAGE("https://m.media-amazon.com/images/I/81h83JgkpAL.jpg")</f>
        <v/>
      </c>
      <c r="B86" s="39" t="inlineStr">
        <is>
          <t>B0D9QSYR9G</t>
        </is>
      </c>
      <c r="C86" s="39" t="inlineStr">
        <is>
          <t>SATIN-6PC-QUEEN-DARK GREEN</t>
        </is>
      </c>
      <c r="D86" s="39" t="inlineStr">
        <is>
          <t>DECOLURE Satin Bed Sheets - 6 Piece Luxury Silky Queen Size Bedding Set - Softer Than Silk, Wrinkle-Free with 15” Deep Pocket Fitted Sheet, Perfect for Hair &amp; Skin, Gifts for Women (Dark Green)</t>
        </is>
      </c>
      <c r="E86" s="39" t="inlineStr">
        <is>
          <t>Queen</t>
        </is>
      </c>
      <c r="F86" s="39" t="inlineStr">
        <is>
          <t>Dark Green</t>
        </is>
      </c>
      <c r="G86" s="73" t="n">
        <v>47.99</v>
      </c>
      <c r="H86" s="39" t="inlineStr">
        <is>
          <t>catalog price (CAD), 2026-10-14</t>
        </is>
      </c>
      <c r="I86" s="74" t="n">
        <v>56.98</v>
      </c>
      <c r="J86" s="75" t="inlineStr">
        <is>
          <t>2026-03-30</t>
        </is>
      </c>
      <c r="K86" s="40" t="n">
        <v>22.91</v>
      </c>
      <c r="L86" s="76" t="n">
        <v>0.402070902070902</v>
      </c>
      <c r="M86" s="77" t="n">
        <v>1</v>
      </c>
      <c r="N86" s="39" t="inlineStr">
        <is>
          <t>Active</t>
        </is>
      </c>
      <c r="O86" s="39" t="n"/>
      <c r="P86" s="78" t="n">
        <v>4.3</v>
      </c>
      <c r="Q86" s="77" t="n">
        <v>1723</v>
      </c>
      <c r="R86" s="77" t="n">
        <v>4406</v>
      </c>
      <c r="S86" s="77" t="n">
        <v>2</v>
      </c>
      <c r="T86" s="39" t="n"/>
    </row>
    <row r="87" ht="62" customHeight="1">
      <c r="A87" s="12">
        <f>_xlfn.IMAGE("https://m.media-amazon.com/images/I/818xrpI8WdL.jpg")</f>
        <v/>
      </c>
      <c r="B87" s="39" t="inlineStr">
        <is>
          <t>B0C7FD1CLN</t>
        </is>
      </c>
      <c r="C87" s="39" t="inlineStr">
        <is>
          <t>SATIN-SEA-TEAL-QUEEN-6PCS</t>
        </is>
      </c>
      <c r="D87" s="39" t="inlineStr">
        <is>
          <t>DECOLURE Satin Bed Sheets - 6 Piece Luxury Silky Queen Size Bedding Set - Softer Than Silk, Wrinkle-Free with 15” Deep Pocket Fitted Sheet, Perfect for Hair &amp; Skin, Gifts for Women (Sea Teal)</t>
        </is>
      </c>
      <c r="E87" s="39" t="inlineStr">
        <is>
          <t>Queen</t>
        </is>
      </c>
      <c r="F87" s="39" t="inlineStr">
        <is>
          <t>Sea Teal</t>
        </is>
      </c>
      <c r="G87" s="73" t="n">
        <v>47.99</v>
      </c>
      <c r="H87" s="39" t="inlineStr">
        <is>
          <t>catalog price (CAD), 2026-10-14</t>
        </is>
      </c>
      <c r="I87" s="74" t="n">
        <v>47.99</v>
      </c>
      <c r="J87" s="75" t="inlineStr">
        <is>
          <t>2026-03-30</t>
        </is>
      </c>
      <c r="K87" s="40" t="n">
        <v>18.79</v>
      </c>
      <c r="L87" s="76" t="n">
        <v>0.3915399041466972</v>
      </c>
      <c r="M87" s="77" t="n">
        <v>1</v>
      </c>
      <c r="N87" s="39" t="inlineStr">
        <is>
          <t>Active</t>
        </is>
      </c>
      <c r="O87" s="39" t="n"/>
      <c r="P87" s="78" t="n">
        <v>4.3</v>
      </c>
      <c r="Q87" s="77" t="n">
        <v>1723</v>
      </c>
      <c r="R87" s="77" t="n">
        <v>4406</v>
      </c>
      <c r="S87" s="77" t="n">
        <v>2</v>
      </c>
      <c r="T87" s="39" t="n"/>
    </row>
    <row r="88" ht="62" customHeight="1">
      <c r="A88" s="12">
        <f>_xlfn.IMAGE("https://m.media-amazon.com/images/I/81k4pZo8ZKL.jpg")</f>
        <v/>
      </c>
      <c r="B88" s="39" t="inlineStr">
        <is>
          <t>B0C7K5GC4L</t>
        </is>
      </c>
      <c r="C88" s="39" t="inlineStr">
        <is>
          <t>SATIN-STRIPE-QUEEN-BLACK--6-PCS</t>
        </is>
      </c>
      <c r="D88" s="39" t="inlineStr">
        <is>
          <t>DECOLURE Satin Bed Sheets - 6 Piece Luxury Silky Queen Size Bedding Set - Softer Than Silk, Wrinkle-Free with 15” Deep Pocket Fitted Sheet, Perfect for Hair &amp; Skin, Gifts for Women (Striped Black)</t>
        </is>
      </c>
      <c r="E88" s="39" t="inlineStr">
        <is>
          <t>Queen</t>
        </is>
      </c>
      <c r="F88" s="39" t="inlineStr">
        <is>
          <t>Striped Black</t>
        </is>
      </c>
      <c r="G88" s="73" t="n">
        <v>58.96</v>
      </c>
      <c r="H88" s="39" t="inlineStr">
        <is>
          <t>catalog price (CAD), 2026-10-14</t>
        </is>
      </c>
      <c r="I88" s="74" t="n">
        <v>47.99</v>
      </c>
      <c r="J88" s="75" t="inlineStr">
        <is>
          <t>2026-03-30</t>
        </is>
      </c>
      <c r="K88" s="40" t="n">
        <v>18.6</v>
      </c>
      <c r="L88" s="76" t="n">
        <v>0.3875807459887476</v>
      </c>
      <c r="M88" s="77" t="n">
        <v>1</v>
      </c>
      <c r="N88" s="39" t="inlineStr">
        <is>
          <t>Active</t>
        </is>
      </c>
      <c r="O88" s="39" t="n"/>
      <c r="P88" s="78" t="n">
        <v>4.3</v>
      </c>
      <c r="Q88" s="77" t="n">
        <v>1723</v>
      </c>
      <c r="R88" s="77" t="n">
        <v>4406</v>
      </c>
      <c r="S88" s="77" t="n">
        <v>2</v>
      </c>
      <c r="T88" s="39" t="n"/>
    </row>
    <row r="89" ht="62" customHeight="1">
      <c r="A89" s="12">
        <f>_xlfn.IMAGE("https://m.media-amazon.com/images/I/81xV5hDfr6L.jpg")</f>
        <v/>
      </c>
      <c r="B89" s="39" t="inlineStr">
        <is>
          <t>B0C7KJMDNG</t>
        </is>
      </c>
      <c r="C89" s="39" t="inlineStr">
        <is>
          <t>SATIN-STRIPE-QUEEN-BLUE--6-PCS</t>
        </is>
      </c>
      <c r="D89" s="39" t="inlineStr">
        <is>
          <t>DECOLURE Satin Bed Sheets - 6 Piece Luxury Silky Queen Size Bedding Set - Softer Than Silk, Wrinkle-Free with 15” Deep Pocket Fitted Sheet, Perfect for Hair &amp; Skin, Gifts for Women (Striped Blue)</t>
        </is>
      </c>
      <c r="E89" s="39" t="inlineStr">
        <is>
          <t>Queen</t>
        </is>
      </c>
      <c r="F89" s="39" t="inlineStr">
        <is>
          <t>Striped Blue</t>
        </is>
      </c>
      <c r="G89" s="73" t="n">
        <v>47.99</v>
      </c>
      <c r="H89" s="39" t="inlineStr">
        <is>
          <t>catalog price (CAD), 2026-10-14</t>
        </is>
      </c>
      <c r="I89" s="74" t="n">
        <v>47.99</v>
      </c>
      <c r="J89" s="75" t="inlineStr">
        <is>
          <t>2026-03-30</t>
        </is>
      </c>
      <c r="K89" s="40" t="n">
        <v>18.24</v>
      </c>
      <c r="L89" s="76" t="n">
        <v>0.3800791831631589</v>
      </c>
      <c r="M89" s="77" t="n">
        <v>1</v>
      </c>
      <c r="N89" s="39" t="inlineStr">
        <is>
          <t>Active</t>
        </is>
      </c>
      <c r="O89" s="39" t="n"/>
      <c r="P89" s="78" t="n">
        <v>4.3</v>
      </c>
      <c r="Q89" s="77" t="n">
        <v>1723</v>
      </c>
      <c r="R89" s="77" t="n">
        <v>4406</v>
      </c>
      <c r="S89" s="77" t="n">
        <v>2</v>
      </c>
      <c r="T89" s="39" t="n"/>
    </row>
    <row r="90" ht="62" customHeight="1">
      <c r="A90" s="12">
        <f>_xlfn.IMAGE("https://m.media-amazon.com/images/I/81DhwdBOQ+L.jpg")</f>
        <v/>
      </c>
      <c r="B90" s="39" t="inlineStr">
        <is>
          <t>B0C7FXTXLD</t>
        </is>
      </c>
      <c r="C90" s="39" t="inlineStr">
        <is>
          <t>SATIN-GOLD-TWIN-6PCS</t>
        </is>
      </c>
      <c r="D90" s="39" t="inlineStr">
        <is>
          <t>DECOLURE Satin Bed Sheets - 4 Piece Luxury Silky Twin Size Bedding Set - Softer Than Silk, Wrinkle-Free with 15” Deep Pocket Fitted Sheet, Perfect for Hair &amp; Skin, Gifts for Women (Gold)</t>
        </is>
      </c>
      <c r="E90" s="39" t="inlineStr">
        <is>
          <t>Twin</t>
        </is>
      </c>
      <c r="F90" s="39" t="inlineStr">
        <is>
          <t>Gold</t>
        </is>
      </c>
      <c r="G90" s="73" t="n">
        <v>39.99</v>
      </c>
      <c r="H90" s="39" t="inlineStr">
        <is>
          <t>catalog price (CAD), 2026-10-14</t>
        </is>
      </c>
      <c r="I90" s="74" t="n">
        <v>39.99</v>
      </c>
      <c r="J90" s="75" t="inlineStr">
        <is>
          <t>2026-03-30</t>
        </is>
      </c>
      <c r="K90" s="40" t="n">
        <v>17.56</v>
      </c>
      <c r="L90" s="76" t="n">
        <v>0.4391097774443612</v>
      </c>
      <c r="M90" s="77" t="n">
        <v>1</v>
      </c>
      <c r="N90" s="39" t="inlineStr">
        <is>
          <t>Active</t>
        </is>
      </c>
      <c r="O90" s="39" t="n"/>
      <c r="P90" s="78" t="n">
        <v>4.3</v>
      </c>
      <c r="Q90" s="77" t="n">
        <v>1723</v>
      </c>
      <c r="R90" s="77" t="n">
        <v>4406</v>
      </c>
      <c r="S90" s="77" t="n">
        <v>4</v>
      </c>
      <c r="T90" s="39" t="n"/>
    </row>
    <row r="91" ht="62" customHeight="1">
      <c r="A91" s="12">
        <f>_xlfn.IMAGE("https://m.media-amazon.com/images/I/81N5DWhx8TL.jpg")</f>
        <v/>
      </c>
      <c r="B91" s="39" t="inlineStr">
        <is>
          <t>B0C7JVQWDH</t>
        </is>
      </c>
      <c r="C91" s="39" t="inlineStr">
        <is>
          <t>SATIN-STRIPE-TWIN-BLUE--6-PCS</t>
        </is>
      </c>
      <c r="D91" s="39" t="inlineStr">
        <is>
          <t>DECOLURE Satin Bed Sheets - 4 Piece Luxury Silky Twin Size Bedding Set - Softer Than Silk, Wrinkle-Free with 15” Deep Pocket Fitted Sheet, Perfect for Hair &amp; Skin, Gifts for Women (Striped Blue)</t>
        </is>
      </c>
      <c r="E91" s="39" t="inlineStr">
        <is>
          <t>Twin</t>
        </is>
      </c>
      <c r="F91" s="39" t="inlineStr">
        <is>
          <t>Striped Blue</t>
        </is>
      </c>
      <c r="G91" s="73" t="n">
        <v>39.99</v>
      </c>
      <c r="H91" s="39" t="inlineStr">
        <is>
          <t>catalog price (CAD), 2026-10-14</t>
        </is>
      </c>
      <c r="I91" s="74" t="n">
        <v>39.99</v>
      </c>
      <c r="J91" s="75" t="inlineStr">
        <is>
          <t>2026-03-30</t>
        </is>
      </c>
      <c r="K91" s="40" t="n">
        <v>16.16</v>
      </c>
      <c r="L91" s="76" t="n">
        <v>0.4041010252563141</v>
      </c>
      <c r="M91" s="77" t="n">
        <v>1</v>
      </c>
      <c r="N91" s="39" t="inlineStr">
        <is>
          <t>Active</t>
        </is>
      </c>
      <c r="O91" s="39" t="n"/>
      <c r="P91" s="78" t="n">
        <v>4.3</v>
      </c>
      <c r="Q91" s="77" t="n">
        <v>1723</v>
      </c>
      <c r="R91" s="77" t="n">
        <v>4406</v>
      </c>
      <c r="S91" s="77" t="n">
        <v>0</v>
      </c>
      <c r="T91" s="39" t="n"/>
    </row>
    <row r="92" ht="62" customHeight="1">
      <c r="A92" s="12">
        <f>_xlfn.IMAGE("https://m.media-amazon.com/images/I/81G94nrfhtL.jpg")</f>
        <v/>
      </c>
      <c r="B92" s="39" t="inlineStr">
        <is>
          <t>B0C7K6YWWL</t>
        </is>
      </c>
      <c r="C92" s="39" t="inlineStr">
        <is>
          <t>SATIN-STRIPE-TWIN-PURPLE--6-PCS</t>
        </is>
      </c>
      <c r="D92" s="39" t="inlineStr">
        <is>
          <t>DECOLURE Satin Bed Sheets - 4 Piece Luxury Silky Twin Size Bedding Set - Softer Than Silk, Wrinkle-Free with 15” Deep Pocket Fitted Sheet, Perfect for Hair &amp; Skin, Gifts for Women (Striped Purple)</t>
        </is>
      </c>
      <c r="E92" s="39" t="inlineStr">
        <is>
          <t>Twin</t>
        </is>
      </c>
      <c r="F92" s="39" t="inlineStr">
        <is>
          <t>Striped Purple</t>
        </is>
      </c>
      <c r="G92" s="73" t="n">
        <v>39.99</v>
      </c>
      <c r="H92" s="39" t="inlineStr">
        <is>
          <t>catalog price (CAD), 2026-10-14</t>
        </is>
      </c>
      <c r="I92" s="74" t="n">
        <v>39.99</v>
      </c>
      <c r="J92" s="75" t="inlineStr">
        <is>
          <t>2026-03-30</t>
        </is>
      </c>
      <c r="K92" s="40" t="n">
        <v>16.41</v>
      </c>
      <c r="L92" s="76" t="n">
        <v>0.4103525881470367</v>
      </c>
      <c r="M92" s="77" t="n">
        <v>1</v>
      </c>
      <c r="N92" s="39" t="inlineStr">
        <is>
          <t>Active</t>
        </is>
      </c>
      <c r="O92" s="39" t="n"/>
      <c r="P92" s="78" t="n">
        <v>4.3</v>
      </c>
      <c r="Q92" s="77" t="n">
        <v>1723</v>
      </c>
      <c r="R92" s="77" t="n">
        <v>4406</v>
      </c>
      <c r="S92" s="77" t="n">
        <v>0</v>
      </c>
      <c r="T92" s="39" t="n"/>
    </row>
    <row r="93" ht="62" customHeight="1">
      <c r="A93" s="12">
        <f>_xlfn.IMAGE("https://m.media-amazon.com/images/I/81RVAQq5A8L.jpg")</f>
        <v/>
      </c>
      <c r="B93" s="39" t="inlineStr">
        <is>
          <t>B0C7KGK2WK</t>
        </is>
      </c>
      <c r="C93" s="39" t="inlineStr">
        <is>
          <t>SATIN-STRIPE-TWIN-WHITE--6-PCS</t>
        </is>
      </c>
      <c r="D93" s="39" t="inlineStr">
        <is>
          <t>DECOLURE Satin Bed Sheets - 4 Piece Luxury Silky Twin Size Bedding Set - Softer Than Silk, Wrinkle-Free with 15” Deep Pocket Fitted Sheet, Perfect for Hair &amp; Skin, Gifts for Women (Striped White)</t>
        </is>
      </c>
      <c r="E93" s="39" t="inlineStr">
        <is>
          <t>Twin</t>
        </is>
      </c>
      <c r="F93" s="39" t="inlineStr">
        <is>
          <t>Striped White</t>
        </is>
      </c>
      <c r="G93" s="73" t="n">
        <v>39.99</v>
      </c>
      <c r="H93" s="39" t="inlineStr">
        <is>
          <t>catalog price (CAD), 2026-10-14</t>
        </is>
      </c>
      <c r="I93" s="74" t="n">
        <v>39.99</v>
      </c>
      <c r="J93" s="75" t="inlineStr">
        <is>
          <t>2026-03-30</t>
        </is>
      </c>
      <c r="K93" s="40" t="n">
        <v>15.73</v>
      </c>
      <c r="L93" s="76" t="n">
        <v>0.393348337084271</v>
      </c>
      <c r="M93" s="77" t="n">
        <v>1</v>
      </c>
      <c r="N93" s="39" t="inlineStr">
        <is>
          <t>Active</t>
        </is>
      </c>
      <c r="O93" s="39" t="n"/>
      <c r="P93" s="78" t="n">
        <v>4.3</v>
      </c>
      <c r="Q93" s="77" t="n">
        <v>1723</v>
      </c>
      <c r="R93" s="77" t="n">
        <v>4406</v>
      </c>
      <c r="S93" s="77" t="n">
        <v>4</v>
      </c>
      <c r="T93" s="39" t="n"/>
    </row>
    <row r="94" ht="62" customHeight="1">
      <c r="A94" s="12">
        <f>_xlfn.IMAGE("https://m.media-amazon.com/images/I/81r29XS-EcL.jpg")</f>
        <v/>
      </c>
      <c r="B94" s="39" t="inlineStr">
        <is>
          <t>B0C7FBCF2X</t>
        </is>
      </c>
      <c r="C94" s="39" t="inlineStr">
        <is>
          <t>SATIN-WHITE-TWIN-6PCS</t>
        </is>
      </c>
      <c r="D94" s="39" t="inlineStr">
        <is>
          <t>DECOLURE Satin Bed Sheets - 4 Piece Luxury Silky Twin Size Bedding Set - Softer Than Silk, Wrinkle-Free with 15” Deep Pocket Fitted Sheet, Perfect for Hair &amp; Skin, Gifts for Women (White)</t>
        </is>
      </c>
      <c r="E94" s="39" t="inlineStr">
        <is>
          <t>Twin</t>
        </is>
      </c>
      <c r="F94" s="39" t="inlineStr">
        <is>
          <t>White</t>
        </is>
      </c>
      <c r="G94" s="73" t="n">
        <v>39.99</v>
      </c>
      <c r="H94" s="39" t="inlineStr">
        <is>
          <t>catalog price (CAD), 2026-10-14</t>
        </is>
      </c>
      <c r="I94" s="74" t="n">
        <v>39.99</v>
      </c>
      <c r="J94" s="75" t="inlineStr">
        <is>
          <t>2026-03-30</t>
        </is>
      </c>
      <c r="K94" s="40" t="n">
        <v>16.77</v>
      </c>
      <c r="L94" s="76" t="n">
        <v>0.4193548387096775</v>
      </c>
      <c r="M94" s="77" t="n">
        <v>1</v>
      </c>
      <c r="N94" s="39" t="inlineStr">
        <is>
          <t>Active</t>
        </is>
      </c>
      <c r="O94" s="39" t="n"/>
      <c r="P94" s="78" t="n">
        <v>4.3</v>
      </c>
      <c r="Q94" s="77" t="n">
        <v>1723</v>
      </c>
      <c r="R94" s="77" t="n">
        <v>4406</v>
      </c>
      <c r="S94" s="77" t="n">
        <v>4</v>
      </c>
      <c r="T94" s="39" t="n"/>
    </row>
    <row r="95" ht="62" customHeight="1">
      <c r="A95" s="12">
        <f>_xlfn.IMAGE("https://m.media-amazon.com/images/I/81QbKTHtUqL.jpg")</f>
        <v/>
      </c>
      <c r="B95" s="39" t="inlineStr">
        <is>
          <t>B0C7FXQZVG</t>
        </is>
      </c>
      <c r="C95" s="39" t="inlineStr">
        <is>
          <t>SATIN-FULL-BLUE-6PCS</t>
        </is>
      </c>
      <c r="D95" s="39" t="inlineStr">
        <is>
          <t>DECOLURE Satin Bed Sheets - 6 Piece Luxury Silky Full Size Bedding Set - Softer Than Silk, Wrinkle-Free with 15” Deep Pocket Fitted Sheet, Perfect for Hair &amp; Skin, Gifts for Women (Blue)</t>
        </is>
      </c>
      <c r="E95" s="39" t="inlineStr">
        <is>
          <t>Full</t>
        </is>
      </c>
      <c r="F95" s="39" t="inlineStr">
        <is>
          <t>Blue</t>
        </is>
      </c>
      <c r="G95" s="73" t="n">
        <v>44.99</v>
      </c>
      <c r="H95" s="39" t="inlineStr">
        <is>
          <t>catalog price (CAD), 2026-10-14</t>
        </is>
      </c>
      <c r="I95" s="74" t="n">
        <v>44.99</v>
      </c>
      <c r="J95" s="75" t="inlineStr">
        <is>
          <t>2026-03-30</t>
        </is>
      </c>
      <c r="K95" s="40" t="n">
        <v>18.03</v>
      </c>
      <c r="L95" s="76" t="n">
        <v>0.4007557234941098</v>
      </c>
      <c r="M95" s="77" t="n">
        <v>0</v>
      </c>
      <c r="N95" s="39" t="inlineStr">
        <is>
          <t>Active</t>
        </is>
      </c>
      <c r="O95" s="39" t="n"/>
      <c r="P95" s="78" t="n">
        <v>4.3</v>
      </c>
      <c r="Q95" s="77" t="n">
        <v>1723</v>
      </c>
      <c r="R95" s="77" t="n">
        <v>4406</v>
      </c>
      <c r="S95" s="77" t="n">
        <v>3</v>
      </c>
      <c r="T95" s="39" t="n"/>
    </row>
    <row r="96" ht="62" customHeight="1">
      <c r="A96" s="12">
        <f>_xlfn.IMAGE("https://m.media-amazon.com/images/I/81Lq8U6Oz8L.jpg")</f>
        <v/>
      </c>
      <c r="B96" s="39" t="inlineStr">
        <is>
          <t>B0D9QRNBSH</t>
        </is>
      </c>
      <c r="C96" s="39" t="inlineStr">
        <is>
          <t>SATIN-6PC-FULL-BURNT ORANGE</t>
        </is>
      </c>
      <c r="D96" s="39" t="inlineStr">
        <is>
          <t>DECOLURE Satin Bed Sheets - 6 Piece Luxury Silky Full Size Bedding Set - Softer Than Silk, Wrinkle-Free with 15” Deep Pocket Fitted Sheet, Perfect for Hair &amp; Skin, Gifts for Women (Burnt Orange)</t>
        </is>
      </c>
      <c r="E96" s="39" t="inlineStr">
        <is>
          <t>Full</t>
        </is>
      </c>
      <c r="F96" s="39" t="inlineStr">
        <is>
          <t>Burnt Orange</t>
        </is>
      </c>
      <c r="G96" s="73" t="n">
        <v>44.99</v>
      </c>
      <c r="H96" s="39" t="inlineStr">
        <is>
          <t>catalog price (CAD), 2026-10-14</t>
        </is>
      </c>
      <c r="I96" s="74" t="n">
        <v>44.99</v>
      </c>
      <c r="J96" s="75" t="inlineStr">
        <is>
          <t>2026-03-30</t>
        </is>
      </c>
      <c r="K96" s="40" t="n">
        <v>18.92</v>
      </c>
      <c r="L96" s="76" t="n">
        <v>0.4205378973105134</v>
      </c>
      <c r="M96" s="77" t="n">
        <v>0</v>
      </c>
      <c r="N96" s="39" t="inlineStr">
        <is>
          <t>Active</t>
        </is>
      </c>
      <c r="O96" s="39" t="n"/>
      <c r="P96" s="78" t="n">
        <v>4.3</v>
      </c>
      <c r="Q96" s="77" t="n">
        <v>1723</v>
      </c>
      <c r="R96" s="77" t="n">
        <v>4406</v>
      </c>
      <c r="S96" s="77" t="n">
        <v>0</v>
      </c>
      <c r="T96" s="39" t="n"/>
    </row>
    <row r="97" ht="62" customHeight="1">
      <c r="A97" s="12">
        <f>_xlfn.IMAGE("https://m.media-amazon.com/images/I/81u38yfz4ML.jpg")</f>
        <v/>
      </c>
      <c r="B97" s="39" t="inlineStr">
        <is>
          <t>B0C7FTBBQB</t>
        </is>
      </c>
      <c r="C97" s="39" t="inlineStr">
        <is>
          <t>SATIN-GOLD-FULL-6PCS</t>
        </is>
      </c>
      <c r="D97" s="39" t="inlineStr">
        <is>
          <t>DECOLURE Satin Bed Sheets - 6 Piece Luxury Silky Full Size Bedding Set - Softer Than Silk, Wrinkle-Free with 15” Deep Pocket Fitted Sheet, Perfect for Hair &amp; Skin, Gifts for Women (Gold)</t>
        </is>
      </c>
      <c r="E97" s="39" t="inlineStr">
        <is>
          <t>Full</t>
        </is>
      </c>
      <c r="F97" s="39" t="inlineStr">
        <is>
          <t>Gold</t>
        </is>
      </c>
      <c r="G97" s="73" t="n">
        <v>44.99</v>
      </c>
      <c r="H97" s="39" t="inlineStr">
        <is>
          <t>catalog price (CAD), 2026-10-14</t>
        </is>
      </c>
      <c r="I97" s="74" t="n">
        <v>44.99</v>
      </c>
      <c r="J97" s="75" t="inlineStr">
        <is>
          <t>2026-03-30</t>
        </is>
      </c>
      <c r="K97" s="40" t="n">
        <v>17.39</v>
      </c>
      <c r="L97" s="76" t="n">
        <v>0.3865303400755724</v>
      </c>
      <c r="M97" s="77" t="n">
        <v>0</v>
      </c>
      <c r="N97" s="39" t="inlineStr">
        <is>
          <t>Active</t>
        </is>
      </c>
      <c r="O97" s="39" t="n"/>
      <c r="P97" s="78" t="n">
        <v>4.3</v>
      </c>
      <c r="Q97" s="77" t="n">
        <v>1723</v>
      </c>
      <c r="R97" s="77" t="n">
        <v>4406</v>
      </c>
      <c r="S97" s="77" t="n">
        <v>2</v>
      </c>
      <c r="T97" s="39" t="n"/>
    </row>
    <row r="98" ht="62" customHeight="1">
      <c r="A98" s="12">
        <f>_xlfn.IMAGE("https://m.media-amazon.com/images/I/81OBu-lV5UL.jpg")</f>
        <v/>
      </c>
      <c r="B98" s="39" t="inlineStr">
        <is>
          <t>B0C7FQTJYM</t>
        </is>
      </c>
      <c r="C98" s="39" t="inlineStr">
        <is>
          <t>SATIN-FULL-PINK-6PCS</t>
        </is>
      </c>
      <c r="D98" s="39" t="inlineStr">
        <is>
          <t>DECOLURE Satin Bed Sheets - 6 Piece Luxury Silky Full Size Bedding Set - Softer Than Silk, Wrinkle-Free with 15” Deep Pocket Fitted Sheet, Perfect for Hair &amp; Skin, Gifts for Women (Pink)</t>
        </is>
      </c>
      <c r="E98" s="39" t="inlineStr">
        <is>
          <t>Full</t>
        </is>
      </c>
      <c r="F98" s="39" t="inlineStr">
        <is>
          <t>Pink</t>
        </is>
      </c>
      <c r="G98" s="73" t="n">
        <v>44.99</v>
      </c>
      <c r="H98" s="39" t="inlineStr">
        <is>
          <t>catalog price (CAD), 2026-10-14</t>
        </is>
      </c>
      <c r="I98" s="74" t="n">
        <v>54.44</v>
      </c>
      <c r="J98" s="75" t="inlineStr">
        <is>
          <t>2026-03-30</t>
        </is>
      </c>
      <c r="K98" s="40" t="n">
        <v>19.94</v>
      </c>
      <c r="L98" s="76" t="n">
        <v>0.3662747979426892</v>
      </c>
      <c r="M98" s="77" t="n">
        <v>0</v>
      </c>
      <c r="N98" s="39" t="inlineStr">
        <is>
          <t>Active</t>
        </is>
      </c>
      <c r="O98" s="39" t="n"/>
      <c r="P98" s="78" t="n">
        <v>4.3</v>
      </c>
      <c r="Q98" s="77" t="n">
        <v>1723</v>
      </c>
      <c r="R98" s="77" t="n">
        <v>4406</v>
      </c>
      <c r="S98" s="77" t="n">
        <v>3</v>
      </c>
      <c r="T98" s="39" t="n"/>
    </row>
    <row r="99" ht="62" customHeight="1">
      <c r="A99" s="12">
        <f>_xlfn.IMAGE("https://m.media-amazon.com/images/I/81xV5hDfr6L.jpg")</f>
        <v/>
      </c>
      <c r="B99" s="39" t="inlineStr">
        <is>
          <t>B0C7K6CKLC</t>
        </is>
      </c>
      <c r="C99" s="39" t="inlineStr">
        <is>
          <t>SATIN-STRIPE-FULL-BLUE--6-PCS</t>
        </is>
      </c>
      <c r="D99" s="39" t="inlineStr">
        <is>
          <t>DECOLURE Satin Bed Sheets - 6 Piece Luxury Silky Full Size Bedding Set - Softer Than Silk, Wrinkle-Free with 15” Deep Pocket Fitted Sheet, Perfect for Hair &amp; Skin, Gifts for Women (Striped Blue)</t>
        </is>
      </c>
      <c r="E99" s="39" t="inlineStr">
        <is>
          <t>Full</t>
        </is>
      </c>
      <c r="F99" s="39" t="inlineStr">
        <is>
          <t>Striped Blue</t>
        </is>
      </c>
      <c r="G99" s="73" t="n">
        <v>55.27</v>
      </c>
      <c r="H99" s="39" t="inlineStr">
        <is>
          <t>catalog price (CAD), 2026-10-14</t>
        </is>
      </c>
      <c r="I99" s="74" t="n">
        <v>55.33</v>
      </c>
      <c r="J99" s="75" t="inlineStr">
        <is>
          <t>2026-03-30</t>
        </is>
      </c>
      <c r="K99" s="40" t="n">
        <v>18.83000000000001</v>
      </c>
      <c r="L99" s="76" t="n">
        <v>0.3403217061268752</v>
      </c>
      <c r="M99" s="77" t="n">
        <v>0</v>
      </c>
      <c r="N99" s="39" t="inlineStr">
        <is>
          <t>Active</t>
        </is>
      </c>
      <c r="O99" s="39" t="n"/>
      <c r="P99" s="78" t="n">
        <v>4.3</v>
      </c>
      <c r="Q99" s="77" t="n">
        <v>1723</v>
      </c>
      <c r="R99" s="77" t="n">
        <v>4406</v>
      </c>
      <c r="S99" s="77" t="n">
        <v>0</v>
      </c>
      <c r="T99" s="39" t="n"/>
    </row>
    <row r="100" ht="62" customHeight="1">
      <c r="A100" s="12">
        <f>_xlfn.IMAGE("https://m.media-amazon.com/images/I/91wFGUsQtVL.jpg")</f>
        <v/>
      </c>
      <c r="B100" s="39" t="inlineStr">
        <is>
          <t>B0C7KGFHT7</t>
        </is>
      </c>
      <c r="C100" s="39" t="inlineStr">
        <is>
          <t>SATIN-STRIPE-FULL-GOLD--6-PCS</t>
        </is>
      </c>
      <c r="D100" s="39" t="inlineStr">
        <is>
          <t>DECOLURE Satin Bed Sheets - 6 Piece Luxury Silky Full Size Bedding Set - Softer Than Silk, Wrinkle-Free with 15” Deep Pocket Fitted Sheet, Perfect for Hair &amp; Skin, Gifts for Women (Striped Gold)</t>
        </is>
      </c>
      <c r="E100" s="39" t="inlineStr">
        <is>
          <t>Full</t>
        </is>
      </c>
      <c r="F100" s="39" t="inlineStr">
        <is>
          <t>Striped Gold</t>
        </is>
      </c>
      <c r="G100" s="73" t="n">
        <v>55.27</v>
      </c>
      <c r="H100" s="39" t="inlineStr">
        <is>
          <t>catalog price (CAD), 2026-10-14</t>
        </is>
      </c>
      <c r="I100" s="74" t="n">
        <v>55.55</v>
      </c>
      <c r="J100" s="75" t="inlineStr">
        <is>
          <t>2026-03-30</t>
        </is>
      </c>
      <c r="K100" s="40" t="n">
        <v>19.02</v>
      </c>
      <c r="L100" s="76" t="n">
        <v>0.3423942394239425</v>
      </c>
      <c r="M100" s="77" t="n">
        <v>0</v>
      </c>
      <c r="N100" s="39" t="inlineStr">
        <is>
          <t>Active</t>
        </is>
      </c>
      <c r="O100" s="39" t="n"/>
      <c r="P100" s="78" t="n">
        <v>4.3</v>
      </c>
      <c r="Q100" s="77" t="n">
        <v>1723</v>
      </c>
      <c r="R100" s="77" t="n">
        <v>4406</v>
      </c>
      <c r="S100" s="77" t="n">
        <v>0</v>
      </c>
      <c r="T100" s="39" t="n"/>
    </row>
    <row r="101" ht="62" customHeight="1">
      <c r="A101" s="12">
        <f>_xlfn.IMAGE("https://m.media-amazon.com/images/I/81PBLKf1SBL.jpg")</f>
        <v/>
      </c>
      <c r="B101" s="39" t="inlineStr">
        <is>
          <t>B0C7K7NCKW</t>
        </is>
      </c>
      <c r="C101" s="39" t="inlineStr">
        <is>
          <t>SATIN-STRIPE-FULL-GRAY--6-PCS</t>
        </is>
      </c>
      <c r="D101" s="39" t="inlineStr">
        <is>
          <t>DECOLURE Satin Bed Sheets - 6 Piece Luxury Silky Full Size Bedding Set - Softer Than Silk, Wrinkle-Free with 15” Deep Pocket Fitted Sheet, Perfect for Hair &amp; Skin, Gifts for Women (Striped Grey)</t>
        </is>
      </c>
      <c r="E101" s="39" t="inlineStr">
        <is>
          <t>Full</t>
        </is>
      </c>
      <c r="F101" s="39" t="inlineStr">
        <is>
          <t>Striped Grey</t>
        </is>
      </c>
      <c r="G101" s="73" t="n">
        <v>44.99</v>
      </c>
      <c r="H101" s="39" t="inlineStr">
        <is>
          <t>catalog price (CAD), 2026-10-14</t>
        </is>
      </c>
      <c r="I101" s="74" t="n">
        <v>44.99</v>
      </c>
      <c r="J101" s="75" t="inlineStr">
        <is>
          <t>2026-03-30</t>
        </is>
      </c>
      <c r="K101" s="40" t="n">
        <v>16.43</v>
      </c>
      <c r="L101" s="76" t="n">
        <v>0.3651922649477661</v>
      </c>
      <c r="M101" s="77" t="n">
        <v>0</v>
      </c>
      <c r="N101" s="39" t="inlineStr">
        <is>
          <t>Active</t>
        </is>
      </c>
      <c r="O101" s="39" t="n"/>
      <c r="P101" s="78" t="n">
        <v>4.3</v>
      </c>
      <c r="Q101" s="77" t="n">
        <v>1723</v>
      </c>
      <c r="R101" s="77" t="n">
        <v>4406</v>
      </c>
      <c r="S101" s="77" t="n">
        <v>0</v>
      </c>
      <c r="T101" s="39" t="n"/>
    </row>
    <row r="102" ht="62" customHeight="1">
      <c r="A102" s="12">
        <f>_xlfn.IMAGE("https://m.media-amazon.com/images/I/81-NapzaU0L.jpg")</f>
        <v/>
      </c>
      <c r="B102" s="39" t="inlineStr">
        <is>
          <t>B0C7K7YWH2</t>
        </is>
      </c>
      <c r="C102" s="39" t="inlineStr">
        <is>
          <t>SATIN-STRIPE-FULL-PINK--6--PCS</t>
        </is>
      </c>
      <c r="D102" s="39" t="inlineStr">
        <is>
          <t>DECOLURE Satin Bed Sheets - 6 Piece Luxury Silky Full Size Bedding Set - Softer Than Silk, Wrinkle-Free with 15” Deep Pocket Fitted Sheet, Perfect for Hair &amp; Skin, Gifts for Women (Striped Pink)</t>
        </is>
      </c>
      <c r="E102" s="39" t="inlineStr">
        <is>
          <t>Full</t>
        </is>
      </c>
      <c r="F102" s="39" t="inlineStr">
        <is>
          <t>Striped Pink</t>
        </is>
      </c>
      <c r="G102" s="40" t="n"/>
      <c r="H102" s="39" t="n"/>
      <c r="I102" s="74" t="n">
        <v>55.33</v>
      </c>
      <c r="J102" s="75" t="inlineStr">
        <is>
          <t>2026-03-30</t>
        </is>
      </c>
      <c r="K102" s="40" t="n">
        <v>18.5</v>
      </c>
      <c r="L102" s="76" t="n">
        <v>0.3343574914151455</v>
      </c>
      <c r="M102" s="77" t="n"/>
      <c r="N102" s="39" t="inlineStr">
        <is>
          <t>Inactive</t>
        </is>
      </c>
      <c r="O102" s="39" t="n"/>
      <c r="P102" s="78" t="n"/>
      <c r="Q102" s="77" t="n"/>
      <c r="R102" s="77" t="n"/>
      <c r="S102" s="77" t="n"/>
      <c r="T102" s="39" t="n"/>
    </row>
    <row r="103" ht="62" customHeight="1">
      <c r="A103" s="12">
        <f>_xlfn.IMAGE("https://m.media-amazon.com/images/I/91LEDRktAdL.jpg")</f>
        <v/>
      </c>
      <c r="B103" s="39" t="inlineStr">
        <is>
          <t>B0C7JYS2K4</t>
        </is>
      </c>
      <c r="C103" s="39" t="inlineStr">
        <is>
          <t>SATIN-STRIPE-FULL-RED--6-PCS</t>
        </is>
      </c>
      <c r="D103" s="39" t="inlineStr">
        <is>
          <t>DECOLURE Satin Bed Sheets - 6 Piece Luxury Silky Full Size Bedding Set - Softer Than Silk, Wrinkle-Free with 15” Deep Pocket Fitted Sheet, Perfect for Hair &amp; Skin, Gifts for Women (Striped Red)</t>
        </is>
      </c>
      <c r="E103" s="39" t="inlineStr">
        <is>
          <t>Full</t>
        </is>
      </c>
      <c r="F103" s="39" t="inlineStr">
        <is>
          <t>Striped Red</t>
        </is>
      </c>
      <c r="G103" s="73" t="n">
        <v>44.99</v>
      </c>
      <c r="H103" s="39" t="inlineStr">
        <is>
          <t>catalog price (CAD), 2026-10-14</t>
        </is>
      </c>
      <c r="I103" s="74" t="n">
        <v>44.99</v>
      </c>
      <c r="J103" s="75" t="inlineStr">
        <is>
          <t>2026-03-30</t>
        </is>
      </c>
      <c r="K103" s="40" t="n">
        <v>16.07</v>
      </c>
      <c r="L103" s="76" t="n">
        <v>0.357190486774839</v>
      </c>
      <c r="M103" s="77" t="n">
        <v>0</v>
      </c>
      <c r="N103" s="39" t="inlineStr">
        <is>
          <t>Active</t>
        </is>
      </c>
      <c r="O103" s="39" t="n"/>
      <c r="P103" s="78" t="n">
        <v>4.3</v>
      </c>
      <c r="Q103" s="77" t="n">
        <v>1723</v>
      </c>
      <c r="R103" s="77" t="n">
        <v>4406</v>
      </c>
      <c r="S103" s="77" t="n">
        <v>0</v>
      </c>
      <c r="T103" s="39" t="n"/>
    </row>
    <row r="104" ht="62" customHeight="1">
      <c r="A104" s="12">
        <f>_xlfn.IMAGE("https://m.media-amazon.com/images/I/81v12xURZRL.jpg")</f>
        <v/>
      </c>
      <c r="B104" s="39" t="inlineStr">
        <is>
          <t>B0C7K2B1Y3</t>
        </is>
      </c>
      <c r="C104" s="39" t="inlineStr">
        <is>
          <t>SATIN-STRIPE-FULL-WHITE--6-PCS</t>
        </is>
      </c>
      <c r="D104" s="39" t="inlineStr">
        <is>
          <t>DECOLURE Satin Bed Sheets - 6 Piece Luxury Silky Full Size Bedding Set - Softer Than Silk, Wrinkle-Free with 15” Deep Pocket Fitted Sheet, Perfect for Hair &amp; Skin, Gifts for Women (Striped White)</t>
        </is>
      </c>
      <c r="E104" s="39" t="inlineStr">
        <is>
          <t>Full</t>
        </is>
      </c>
      <c r="F104" s="39" t="inlineStr">
        <is>
          <t>Striped White</t>
        </is>
      </c>
      <c r="G104" s="73" t="n">
        <v>44.99</v>
      </c>
      <c r="H104" s="39" t="inlineStr">
        <is>
          <t>catalog price (CAD), 2026-10-14</t>
        </is>
      </c>
      <c r="I104" s="74" t="n">
        <v>44.99</v>
      </c>
      <c r="J104" s="75" t="inlineStr">
        <is>
          <t>2026-03-30</t>
        </is>
      </c>
      <c r="K104" s="40" t="n">
        <v>17.32</v>
      </c>
      <c r="L104" s="76" t="n">
        <v>0.3849744387641698</v>
      </c>
      <c r="M104" s="77" t="n">
        <v>0</v>
      </c>
      <c r="N104" s="39" t="inlineStr">
        <is>
          <t>Active</t>
        </is>
      </c>
      <c r="O104" s="39" t="n"/>
      <c r="P104" s="78" t="n">
        <v>4.3</v>
      </c>
      <c r="Q104" s="77" t="n">
        <v>1723</v>
      </c>
      <c r="R104" s="77" t="n">
        <v>4406</v>
      </c>
      <c r="S104" s="77" t="n">
        <v>0</v>
      </c>
      <c r="T104" s="39" t="n"/>
    </row>
    <row r="105" ht="62" customHeight="1">
      <c r="A105" s="12">
        <f>_xlfn.IMAGE("https://m.media-amazon.com/images/I/81Z3bEG6bxL.jpg")</f>
        <v/>
      </c>
      <c r="B105" s="39" t="inlineStr">
        <is>
          <t>B0C7FHXP11</t>
        </is>
      </c>
      <c r="C105" s="39" t="inlineStr">
        <is>
          <t>SATIN-TAUPE-FULL-6PCS</t>
        </is>
      </c>
      <c r="D105" s="39" t="inlineStr">
        <is>
          <t>DECOLURE Satin Bed Sheets - 6 Piece Luxury Silky Full Size Bedding Set - Softer Than Silk, Wrinkle-Free with 15” Deep Pocket Fitted Sheet, Perfect for Hair &amp; Skin, Gifts for Women (Taupe)</t>
        </is>
      </c>
      <c r="E105" s="39" t="inlineStr">
        <is>
          <t>Full</t>
        </is>
      </c>
      <c r="F105" s="39" t="inlineStr">
        <is>
          <t>Taupe</t>
        </is>
      </c>
      <c r="G105" s="73" t="n">
        <v>55.27</v>
      </c>
      <c r="H105" s="39" t="inlineStr">
        <is>
          <t>catalog price (CAD), 2026-10-14</t>
        </is>
      </c>
      <c r="I105" s="74" t="n">
        <v>44.99</v>
      </c>
      <c r="J105" s="75" t="inlineStr">
        <is>
          <t>2026-03-30</t>
        </is>
      </c>
      <c r="K105" s="40" t="n">
        <v>17.83</v>
      </c>
      <c r="L105" s="76" t="n">
        <v>0.3963102911758169</v>
      </c>
      <c r="M105" s="77" t="n">
        <v>0</v>
      </c>
      <c r="N105" s="39" t="inlineStr">
        <is>
          <t>Active</t>
        </is>
      </c>
      <c r="O105" s="39" t="n"/>
      <c r="P105" s="78" t="n">
        <v>4.3</v>
      </c>
      <c r="Q105" s="77" t="n">
        <v>1723</v>
      </c>
      <c r="R105" s="77" t="n">
        <v>4406</v>
      </c>
      <c r="S105" s="77" t="n">
        <v>3</v>
      </c>
      <c r="T105" s="39" t="n"/>
    </row>
    <row r="106" ht="62" customHeight="1">
      <c r="A106" s="12">
        <f>_xlfn.IMAGE("https://m.media-amazon.com/images/I/81gUBcWN2iL.jpg")</f>
        <v/>
      </c>
      <c r="B106" s="39" t="inlineStr">
        <is>
          <t>B0C7FGGPJT</t>
        </is>
      </c>
      <c r="C106" s="39" t="inlineStr">
        <is>
          <t>SATIN-WHITE-FULL-6PCS</t>
        </is>
      </c>
      <c r="D106" s="39" t="inlineStr">
        <is>
          <t>DECOLURE Satin Sheets Full Size (6 Pieces, 8 Colors) - Silky Sheet Set With 2 Pillowcases, Fitted Sheet - White, Full Size Bed Set</t>
        </is>
      </c>
      <c r="E106" s="39" t="inlineStr">
        <is>
          <t>Full</t>
        </is>
      </c>
      <c r="F106" s="39" t="inlineStr">
        <is>
          <t>White-01</t>
        </is>
      </c>
      <c r="G106" s="40" t="n"/>
      <c r="H106" s="39" t="n"/>
      <c r="I106" s="74" t="n">
        <v>44.99</v>
      </c>
      <c r="J106" s="75" t="inlineStr">
        <is>
          <t>2026-03-12</t>
        </is>
      </c>
      <c r="K106" s="40" t="n">
        <v>17.5649</v>
      </c>
      <c r="L106" s="76" t="n">
        <v>0.3904178706379196</v>
      </c>
      <c r="M106" s="77" t="n"/>
      <c r="N106" s="39" t="inlineStr">
        <is>
          <t>Inactive</t>
        </is>
      </c>
      <c r="O106" s="39" t="n"/>
      <c r="P106" s="78" t="n"/>
      <c r="Q106" s="77" t="n"/>
      <c r="R106" s="77" t="n"/>
      <c r="S106" s="77" t="n"/>
      <c r="T106" s="39" t="n"/>
    </row>
    <row r="107" ht="62" customHeight="1">
      <c r="A107" s="12">
        <f>_xlfn.IMAGE("https://m.media-amazon.com/images/I/81NXdWsawHL.jpg")</f>
        <v/>
      </c>
      <c r="B107" s="39" t="inlineStr">
        <is>
          <t>B0C7FKZ4VG</t>
        </is>
      </c>
      <c r="C107" s="39" t="inlineStr">
        <is>
          <t>SATIN-CHAMPAGNE-KING-6PCS</t>
        </is>
      </c>
      <c r="D107" s="39" t="inlineStr">
        <is>
          <t>DECOLURE Satin Bed Sheets - 6 Piece Luxury Silky King Size Bedding Set - Softer Than Silk, Wrinkle-Free with 15” Deep Pocket Fitted Sheet, Perfect for Hair &amp; Skin, Gifts for Women (Champagne)</t>
        </is>
      </c>
      <c r="E107" s="39" t="inlineStr">
        <is>
          <t>King</t>
        </is>
      </c>
      <c r="F107" s="39" t="inlineStr">
        <is>
          <t>Champagne</t>
        </is>
      </c>
      <c r="G107" s="73" t="n">
        <v>49.99</v>
      </c>
      <c r="H107" s="39" t="inlineStr">
        <is>
          <t>catalog price (CAD), 2026-10-14</t>
        </is>
      </c>
      <c r="I107" s="74" t="n">
        <v>49.99</v>
      </c>
      <c r="J107" s="75" t="inlineStr">
        <is>
          <t>2026-03-30</t>
        </is>
      </c>
      <c r="K107" s="40" t="n">
        <v>19.49</v>
      </c>
      <c r="L107" s="76" t="n">
        <v>0.3898779755951191</v>
      </c>
      <c r="M107" s="77" t="n">
        <v>0</v>
      </c>
      <c r="N107" s="39" t="inlineStr">
        <is>
          <t>Active</t>
        </is>
      </c>
      <c r="O107" s="39" t="n"/>
      <c r="P107" s="78" t="n">
        <v>4.3</v>
      </c>
      <c r="Q107" s="77" t="n">
        <v>1723</v>
      </c>
      <c r="R107" s="77" t="n">
        <v>4406</v>
      </c>
      <c r="S107" s="77" t="n">
        <v>0.9093</v>
      </c>
      <c r="T107" s="39" t="n"/>
    </row>
    <row r="108" ht="62" customHeight="1">
      <c r="A108" s="12">
        <f>_xlfn.IMAGE("https://m.media-amazon.com/images/I/81PU9JNVXwL.jpg")</f>
        <v/>
      </c>
      <c r="B108" s="39" t="inlineStr">
        <is>
          <t>B0D9QSHBSX</t>
        </is>
      </c>
      <c r="C108" s="39" t="inlineStr">
        <is>
          <t>SATIN-6PC-KING-NAVY BLUE</t>
        </is>
      </c>
      <c r="D108" s="39" t="inlineStr">
        <is>
          <t>DECOLURE Satin Bed Sheets - 6 Piece Luxury Silky King Size Bedding Set - Softer Than Silk, Wrinkle-Free with 15” Deep Pocket Fitted Sheet, Perfect for Hair &amp; Skin, Gifts for Women (Navy Blue)</t>
        </is>
      </c>
      <c r="E108" s="39" t="inlineStr">
        <is>
          <t>King</t>
        </is>
      </c>
      <c r="F108" s="39" t="inlineStr">
        <is>
          <t>Navy Blue</t>
        </is>
      </c>
      <c r="G108" s="40" t="n"/>
      <c r="H108" s="39" t="n"/>
      <c r="I108" s="74" t="n">
        <v>62.82</v>
      </c>
      <c r="J108" s="75" t="inlineStr">
        <is>
          <t>2026-03-26</t>
        </is>
      </c>
      <c r="K108" s="40" t="n">
        <v>30.50999999999999</v>
      </c>
      <c r="L108" s="76" t="n">
        <v>0.4856733524355301</v>
      </c>
      <c r="M108" s="77" t="n"/>
      <c r="N108" s="39" t="inlineStr">
        <is>
          <t>Inactive</t>
        </is>
      </c>
      <c r="O108" s="39" t="n"/>
      <c r="P108" s="78" t="n"/>
      <c r="Q108" s="77" t="n"/>
      <c r="R108" s="77" t="n"/>
      <c r="S108" s="77" t="n"/>
      <c r="T108" s="39" t="n"/>
    </row>
    <row r="109" ht="62" customHeight="1">
      <c r="A109" s="12">
        <f>_xlfn.IMAGE("https://m.media-amazon.com/images/I/81xV5hDfr6L.jpg")</f>
        <v/>
      </c>
      <c r="B109" s="39" t="inlineStr">
        <is>
          <t>B0C7KBKH28</t>
        </is>
      </c>
      <c r="C109" s="39" t="inlineStr">
        <is>
          <t>SATIN-STRIPE-KING-BLUE--6-PCS</t>
        </is>
      </c>
      <c r="D109" s="39" t="inlineStr">
        <is>
          <t>DECOLURE Satin Bed Sheets - 6 Piece Luxury Silky King Size Bedding Set - Softer Than Silk, Wrinkle-Free with 15” Deep Pocket Fitted Sheet, Perfect for Hair &amp; Skin, Gifts for Women (Striped Blue)</t>
        </is>
      </c>
      <c r="E109" s="39" t="inlineStr">
        <is>
          <t>King</t>
        </is>
      </c>
      <c r="F109" s="39" t="inlineStr">
        <is>
          <t>Striped Blue</t>
        </is>
      </c>
      <c r="G109" s="40" t="n"/>
      <c r="H109" s="39" t="n"/>
      <c r="I109" s="74" t="n">
        <v>49.99</v>
      </c>
      <c r="J109" s="75" t="inlineStr">
        <is>
          <t>2026-03-30</t>
        </is>
      </c>
      <c r="K109" s="40" t="n">
        <v>17.47</v>
      </c>
      <c r="L109" s="76" t="n">
        <v>0.3494698939787957</v>
      </c>
      <c r="M109" s="77" t="n"/>
      <c r="N109" s="39" t="inlineStr">
        <is>
          <t>Inactive</t>
        </is>
      </c>
      <c r="O109" s="39" t="n"/>
      <c r="P109" s="78" t="n"/>
      <c r="Q109" s="77" t="n"/>
      <c r="R109" s="77" t="n"/>
      <c r="S109" s="77" t="n"/>
      <c r="T109" s="39" t="n"/>
    </row>
    <row r="110" ht="62" customHeight="1">
      <c r="A110" s="12">
        <f>_xlfn.IMAGE("https://m.media-amazon.com/images/I/91wFGUsQtVL.jpg")</f>
        <v/>
      </c>
      <c r="B110" s="39" t="inlineStr">
        <is>
          <t>B0C7KBFK2P</t>
        </is>
      </c>
      <c r="C110" s="39" t="inlineStr">
        <is>
          <t>SATIN-STRIPE-KING-GOLD--6-PCS</t>
        </is>
      </c>
      <c r="D110" s="39" t="inlineStr">
        <is>
          <t>DECOLURE Satin Bed Sheets - 6 Piece Luxury Silky King Size Bedding Set - Softer Than Silk, Wrinkle-Free with 15” Deep Pocket Fitted Sheet, Perfect for Hair &amp; Skin, Gifts for Women (Striped Gold)</t>
        </is>
      </c>
      <c r="E110" s="39" t="inlineStr">
        <is>
          <t>King</t>
        </is>
      </c>
      <c r="F110" s="39" t="inlineStr">
        <is>
          <t>Striped Gold</t>
        </is>
      </c>
      <c r="G110" s="40" t="n"/>
      <c r="H110" s="39" t="n"/>
      <c r="I110" s="74" t="n">
        <v>49.99</v>
      </c>
      <c r="J110" s="75" t="inlineStr">
        <is>
          <t>2026-03-30</t>
        </is>
      </c>
      <c r="K110" s="40" t="n">
        <v>17.47</v>
      </c>
      <c r="L110" s="76" t="n">
        <v>0.3494698939787957</v>
      </c>
      <c r="M110" s="77" t="n"/>
      <c r="N110" s="39" t="inlineStr">
        <is>
          <t>Inactive</t>
        </is>
      </c>
      <c r="O110" s="39" t="n"/>
      <c r="P110" s="78" t="n"/>
      <c r="Q110" s="77" t="n"/>
      <c r="R110" s="77" t="n"/>
      <c r="S110" s="77" t="n"/>
      <c r="T110" s="39" t="n"/>
    </row>
    <row r="111" ht="62" customHeight="1">
      <c r="A111" s="12">
        <f>_xlfn.IMAGE("https://m.media-amazon.com/images/I/81-NapzaU0L.jpg")</f>
        <v/>
      </c>
      <c r="B111" s="39" t="inlineStr">
        <is>
          <t>B0C7K2LV1N</t>
        </is>
      </c>
      <c r="C111" s="39" t="inlineStr">
        <is>
          <t>SATIN-STRIPE-KING-PINK--6-PCS</t>
        </is>
      </c>
      <c r="D111" s="39" t="inlineStr">
        <is>
          <t>DECOLURE Satin Bed Sheets - 6 Piece Luxury Silky King Size Bedding Set - Softer Than Silk, Wrinkle-Free with 15” Deep Pocket Fitted Sheet, Perfect for Hair &amp; Skin, Gifts for Women (Striped Pink)</t>
        </is>
      </c>
      <c r="E111" s="39" t="inlineStr">
        <is>
          <t>King</t>
        </is>
      </c>
      <c r="F111" s="39" t="inlineStr">
        <is>
          <t>Striped Pink</t>
        </is>
      </c>
      <c r="G111" s="73" t="n">
        <v>61.41</v>
      </c>
      <c r="H111" s="39" t="inlineStr">
        <is>
          <t>catalog price (CAD), 2026-10-14</t>
        </is>
      </c>
      <c r="I111" s="74" t="n">
        <v>49.99</v>
      </c>
      <c r="J111" s="75" t="inlineStr">
        <is>
          <t>2026-03-30</t>
        </is>
      </c>
      <c r="K111" s="40" t="n">
        <v>17.96</v>
      </c>
      <c r="L111" s="76" t="n">
        <v>0.3592718543708742</v>
      </c>
      <c r="M111" s="77" t="n"/>
      <c r="N111" s="39" t="inlineStr">
        <is>
          <t>Inactive</t>
        </is>
      </c>
      <c r="O111" s="39" t="n"/>
      <c r="P111" s="78" t="n">
        <v>4.3</v>
      </c>
      <c r="Q111" s="77" t="n">
        <v>1723</v>
      </c>
      <c r="R111" s="77" t="n">
        <v>4406</v>
      </c>
      <c r="S111" s="77" t="n">
        <v>0</v>
      </c>
      <c r="T111" s="39" t="n"/>
    </row>
    <row r="112" ht="62" customHeight="1">
      <c r="A112" s="12">
        <f>_xlfn.IMAGE("https://m.media-amazon.com/images/I/81Lq8U6Oz8L.jpg")</f>
        <v/>
      </c>
      <c r="B112" s="39" t="inlineStr">
        <is>
          <t>B0D9QTV7S6</t>
        </is>
      </c>
      <c r="C112" s="39" t="inlineStr">
        <is>
          <t>SATIN-6PC-QUEEN-BURNT ORANGE</t>
        </is>
      </c>
      <c r="D112" s="39" t="inlineStr">
        <is>
          <t>DECOLURE Satin Bed Sheets - 6 Piece Luxury Silky Queen Size Bedding Set - Softer Than Silk, Wrinkle-Free with 15” Deep Pocket Fitted Sheet, Perfect for Hair &amp; Skin, Gifts for Women (Burnt Orange)</t>
        </is>
      </c>
      <c r="E112" s="39" t="inlineStr">
        <is>
          <t>Queen</t>
        </is>
      </c>
      <c r="F112" s="39" t="inlineStr">
        <is>
          <t>Burnt Orange</t>
        </is>
      </c>
      <c r="G112" s="73" t="n">
        <v>47.99</v>
      </c>
      <c r="H112" s="39" t="inlineStr">
        <is>
          <t>catalog price (CAD), 2026-10-14</t>
        </is>
      </c>
      <c r="I112" s="74" t="n">
        <v>59.54</v>
      </c>
      <c r="J112" s="75" t="inlineStr">
        <is>
          <t>2026-03-30</t>
        </is>
      </c>
      <c r="K112" s="40" t="n">
        <v>22.54000000000001</v>
      </c>
      <c r="L112" s="76" t="n">
        <v>0.3785690292240512</v>
      </c>
      <c r="M112" s="77" t="n">
        <v>0</v>
      </c>
      <c r="N112" s="39" t="inlineStr">
        <is>
          <t>Active</t>
        </is>
      </c>
      <c r="O112" s="39" t="n"/>
      <c r="P112" s="78" t="n">
        <v>4.3</v>
      </c>
      <c r="Q112" s="77" t="n">
        <v>1723</v>
      </c>
      <c r="R112" s="77" t="n">
        <v>4406</v>
      </c>
      <c r="S112" s="77" t="n">
        <v>2</v>
      </c>
      <c r="T112" s="39" t="n"/>
    </row>
    <row r="113" ht="62" customHeight="1">
      <c r="A113" s="12">
        <f>_xlfn.IMAGE("https://m.media-amazon.com/images/I/81u38yfz4ML.jpg")</f>
        <v/>
      </c>
      <c r="B113" s="39" t="inlineStr">
        <is>
          <t>B0C7FPM5CR</t>
        </is>
      </c>
      <c r="C113" s="39" t="inlineStr">
        <is>
          <t>SATIN-GOLD-QUEEN-6PCS</t>
        </is>
      </c>
      <c r="D113" s="39" t="inlineStr">
        <is>
          <t>DECOLURE Satin Bed Sheets - 6 Piece Luxury Silky Queen Size Bedding Set - Softer Than Silk, Wrinkle-Free with 15” Deep Pocket Fitted Sheet, Perfect for Hair &amp; Skin, Gifts for Women (Gold)</t>
        </is>
      </c>
      <c r="E113" s="39" t="inlineStr">
        <is>
          <t>Queen</t>
        </is>
      </c>
      <c r="F113" s="39" t="inlineStr">
        <is>
          <t>Gold</t>
        </is>
      </c>
      <c r="G113" s="73" t="n">
        <v>47.99</v>
      </c>
      <c r="H113" s="39" t="inlineStr">
        <is>
          <t>catalog price (CAD), 2026-10-14</t>
        </is>
      </c>
      <c r="I113" s="74" t="n">
        <v>47.99</v>
      </c>
      <c r="J113" s="75" t="inlineStr">
        <is>
          <t>2026-03-30</t>
        </is>
      </c>
      <c r="K113" s="40" t="n">
        <v>19.88</v>
      </c>
      <c r="L113" s="76" t="n">
        <v>0.4142529693686183</v>
      </c>
      <c r="M113" s="77" t="n">
        <v>0</v>
      </c>
      <c r="N113" s="39" t="inlineStr">
        <is>
          <t>Active</t>
        </is>
      </c>
      <c r="O113" s="39" t="n"/>
      <c r="P113" s="78" t="n">
        <v>4.3</v>
      </c>
      <c r="Q113" s="77" t="n">
        <v>1723</v>
      </c>
      <c r="R113" s="77" t="n">
        <v>4406</v>
      </c>
      <c r="S113" s="77" t="n">
        <v>2</v>
      </c>
      <c r="T113" s="39" t="n"/>
    </row>
    <row r="114" ht="62" customHeight="1">
      <c r="A114" s="12">
        <f>_xlfn.IMAGE("https://m.media-amazon.com/images/I/91wFGUsQtVL.jpg")</f>
        <v/>
      </c>
      <c r="B114" s="39" t="inlineStr">
        <is>
          <t>B0C7K92CTB</t>
        </is>
      </c>
      <c r="C114" s="39" t="inlineStr">
        <is>
          <t>SATIN-STRIPE-QUEEN-GOLD--6-PCS</t>
        </is>
      </c>
      <c r="D114" s="39" t="inlineStr">
        <is>
          <t>DECOLURE Satin Bed Sheets - 6 Piece Luxury Silky Queen Size Bedding Set - Softer Than Silk, Wrinkle-Free with 15” Deep Pocket Fitted Sheet, Perfect for Hair &amp; Skin, Gifts for Women (Striped Gold)</t>
        </is>
      </c>
      <c r="E114" s="39" t="inlineStr">
        <is>
          <t>Queen</t>
        </is>
      </c>
      <c r="F114" s="39" t="inlineStr">
        <is>
          <t>Striped Gold</t>
        </is>
      </c>
      <c r="G114" s="73" t="n">
        <v>58.96</v>
      </c>
      <c r="H114" s="39" t="inlineStr">
        <is>
          <t>catalog price (CAD), 2026-10-14</t>
        </is>
      </c>
      <c r="I114" s="74" t="n">
        <v>47.99</v>
      </c>
      <c r="J114" s="75" t="inlineStr">
        <is>
          <t>2026-03-30</t>
        </is>
      </c>
      <c r="K114" s="40" t="n">
        <v>17.43</v>
      </c>
      <c r="L114" s="76" t="n">
        <v>0.3632006668055845</v>
      </c>
      <c r="M114" s="77" t="n">
        <v>0</v>
      </c>
      <c r="N114" s="39" t="inlineStr">
        <is>
          <t>Active</t>
        </is>
      </c>
      <c r="O114" s="39" t="n"/>
      <c r="P114" s="78" t="n">
        <v>4.3</v>
      </c>
      <c r="Q114" s="77" t="n">
        <v>1723</v>
      </c>
      <c r="R114" s="77" t="n">
        <v>4406</v>
      </c>
      <c r="S114" s="77" t="n">
        <v>2</v>
      </c>
      <c r="T114" s="39" t="n"/>
    </row>
    <row r="115" ht="62" customHeight="1">
      <c r="A115" s="12">
        <f>_xlfn.IMAGE("https://m.media-amazon.com/images/I/81v12xURZRL.jpg")</f>
        <v/>
      </c>
      <c r="B115" s="39" t="inlineStr">
        <is>
          <t>B0C7JQ8266</t>
        </is>
      </c>
      <c r="C115" s="39" t="inlineStr">
        <is>
          <t>SATIN-STRIPE-QUEEN-WHITE--6-PCS</t>
        </is>
      </c>
      <c r="D115" s="39" t="inlineStr">
        <is>
          <t>DECOLURE Satin Bed Sheets - 6 Piece Luxury Silky Queen Size Bedding Set - Softer Than Silk, Wrinkle-Free with 15” Deep Pocket Fitted Sheet, Perfect for Hair &amp; Skin, Gifts for Women (Striped White)</t>
        </is>
      </c>
      <c r="E115" s="39" t="inlineStr">
        <is>
          <t>Queen</t>
        </is>
      </c>
      <c r="F115" s="39" t="inlineStr">
        <is>
          <t>Striped White</t>
        </is>
      </c>
      <c r="G115" s="73" t="n">
        <v>58.96</v>
      </c>
      <c r="H115" s="39" t="inlineStr">
        <is>
          <t>catalog price (CAD), 2026-10-14</t>
        </is>
      </c>
      <c r="I115" s="74" t="n">
        <v>47.99</v>
      </c>
      <c r="J115" s="75" t="inlineStr">
        <is>
          <t>2026-03-30</t>
        </is>
      </c>
      <c r="K115" s="40" t="n">
        <v>18.19</v>
      </c>
      <c r="L115" s="76" t="n">
        <v>0.3790372994373827</v>
      </c>
      <c r="M115" s="77" t="n">
        <v>0</v>
      </c>
      <c r="N115" s="39" t="inlineStr">
        <is>
          <t>Active</t>
        </is>
      </c>
      <c r="O115" s="39" t="n"/>
      <c r="P115" s="78" t="n">
        <v>4.3</v>
      </c>
      <c r="Q115" s="77" t="n">
        <v>1723</v>
      </c>
      <c r="R115" s="77" t="n">
        <v>4406</v>
      </c>
      <c r="S115" s="77" t="n">
        <v>2</v>
      </c>
      <c r="T115" s="39" t="n"/>
    </row>
    <row r="116" ht="62" customHeight="1">
      <c r="A116" s="12">
        <f>_xlfn.IMAGE("https://m.media-amazon.com/images/I/81Z3bEG6bxL.jpg")</f>
        <v/>
      </c>
      <c r="B116" s="39" t="inlineStr">
        <is>
          <t>B0C7FK58RV</t>
        </is>
      </c>
      <c r="C116" s="39" t="inlineStr">
        <is>
          <t>SATIN-TAUPE-QUEEN-6PCS</t>
        </is>
      </c>
      <c r="D116" s="39" t="inlineStr">
        <is>
          <t>DECOLURE Satin Bed Sheets - 6 Piece Luxury Silky Queen Size Bedding Set - Softer Than Silk, Wrinkle-Free with 15” Deep Pocket Fitted Sheet, Perfect for Hair &amp; Skin, Gifts for Women (Taupe)</t>
        </is>
      </c>
      <c r="E116" s="39" t="inlineStr">
        <is>
          <t>Queen</t>
        </is>
      </c>
      <c r="F116" s="39" t="inlineStr">
        <is>
          <t>Taupe</t>
        </is>
      </c>
      <c r="G116" s="73" t="n">
        <v>47.99</v>
      </c>
      <c r="H116" s="39" t="inlineStr">
        <is>
          <t>catalog price (CAD), 2026-10-14</t>
        </is>
      </c>
      <c r="I116" s="74" t="n">
        <v>47.99</v>
      </c>
      <c r="J116" s="75" t="inlineStr">
        <is>
          <t>2026-03-30</t>
        </is>
      </c>
      <c r="K116" s="40" t="n">
        <v>18.79</v>
      </c>
      <c r="L116" s="76" t="n">
        <v>0.3915399041466972</v>
      </c>
      <c r="M116" s="77" t="n">
        <v>0</v>
      </c>
      <c r="N116" s="39" t="inlineStr">
        <is>
          <t>Active</t>
        </is>
      </c>
      <c r="O116" s="39" t="n"/>
      <c r="P116" s="78" t="n">
        <v>4.3</v>
      </c>
      <c r="Q116" s="77" t="n">
        <v>1723</v>
      </c>
      <c r="R116" s="77" t="n">
        <v>4406</v>
      </c>
      <c r="S116" s="77" t="n">
        <v>3</v>
      </c>
      <c r="T116" s="39" t="n"/>
    </row>
    <row r="117" ht="62" customHeight="1">
      <c r="A117" s="12">
        <f>_xlfn.IMAGE("https://m.media-amazon.com/images/I/81OT2-k0G5L.jpg")</f>
        <v/>
      </c>
      <c r="B117" s="39" t="inlineStr">
        <is>
          <t>B0D9QTQGSJ</t>
        </is>
      </c>
      <c r="C117" s="39" t="n"/>
      <c r="D117" s="39" t="inlineStr">
        <is>
          <t>DECOLURE Satin Bed Sheets - 4 Piece Luxury Silky Twin Size Bedding Set - Softer Than Silk, Wrinkle-Free with 15” Deep Pocket Fitted Sheet, Perfect for Hair &amp; Skin, Gifts for Women (Baby Blue)</t>
        </is>
      </c>
      <c r="E117" s="39" t="inlineStr">
        <is>
          <t>Twin</t>
        </is>
      </c>
      <c r="F117" s="39" t="inlineStr">
        <is>
          <t>Baby Blue</t>
        </is>
      </c>
      <c r="G117" s="40" t="n"/>
      <c r="H117" s="39" t="n"/>
      <c r="I117" s="40" t="n"/>
      <c r="J117" s="39" t="n"/>
      <c r="K117" s="40" t="n"/>
      <c r="L117" s="76" t="n"/>
      <c r="M117" s="77" t="n"/>
      <c r="N117" s="39" t="inlineStr">
        <is>
          <t>Active</t>
        </is>
      </c>
      <c r="O117" s="39" t="n"/>
      <c r="P117" s="78" t="n">
        <v>4.3</v>
      </c>
      <c r="Q117" s="77" t="n">
        <v>1723</v>
      </c>
      <c r="R117" s="77" t="n">
        <v>4406</v>
      </c>
      <c r="S117" s="77" t="n">
        <v>0</v>
      </c>
      <c r="T117" s="39" t="n"/>
    </row>
    <row r="118" ht="62" customHeight="1">
      <c r="A118" s="12">
        <f>_xlfn.IMAGE("https://m.media-amazon.com/images/I/51lncsgLtjL.jpg")</f>
        <v/>
      </c>
      <c r="B118" s="39" t="inlineStr">
        <is>
          <t>B0918MD781</t>
        </is>
      </c>
      <c r="C118" s="39" t="inlineStr">
        <is>
          <t>SATIN-TWIN-BLACK-6PC</t>
        </is>
      </c>
      <c r="D118" s="39" t="inlineStr">
        <is>
          <t>DECOLURE Satin Sheets Twin (4 Pieces, 8 Colors), Silky Satin Sheet Set -Satin Bed Set with Pillowcase, Satin Fitted Sheet - Black Satin Sheets, Satin Bed Sheets Twin, Satin Bedding Set</t>
        </is>
      </c>
      <c r="E118" s="39" t="inlineStr">
        <is>
          <t>Twin</t>
        </is>
      </c>
      <c r="F118" s="39" t="inlineStr">
        <is>
          <t>Black Satin Sheets, Satin Bed Sheets Twin, Satin Bedding Set</t>
        </is>
      </c>
      <c r="G118" s="40" t="n"/>
      <c r="H118" s="39" t="n"/>
      <c r="I118" s="40" t="n"/>
      <c r="J118" s="39" t="n"/>
      <c r="K118" s="40" t="n"/>
      <c r="L118" s="76" t="n"/>
      <c r="M118" s="77" t="n"/>
      <c r="N118" s="39" t="inlineStr">
        <is>
          <t>Inactive</t>
        </is>
      </c>
      <c r="O118" s="39" t="n"/>
      <c r="P118" s="78" t="n"/>
      <c r="Q118" s="77" t="n"/>
      <c r="R118" s="77" t="n"/>
      <c r="S118" s="77" t="n"/>
      <c r="T118" s="39" t="n"/>
    </row>
    <row r="119" ht="62" customHeight="1">
      <c r="A119" s="12">
        <f>_xlfn.IMAGE("https://m.media-amazon.com/images/I/81pfKYhsMoL.jpg")</f>
        <v/>
      </c>
      <c r="B119" s="39" t="inlineStr">
        <is>
          <t>B0C7FFM7L9</t>
        </is>
      </c>
      <c r="C119" s="39" t="inlineStr">
        <is>
          <t>SATIN-TWIN-BLUE-6PCS</t>
        </is>
      </c>
      <c r="D119" s="39" t="inlineStr">
        <is>
          <t>DECOLURE Satin Bed Sheets - 4 Piece Luxury Silky Twin Size Bedding Set - Softer Than Silk, Wrinkle-Free with 15” Deep Pocket Fitted Sheet, Perfect for Hair &amp; Skin, Gifts for Women (Blue)</t>
        </is>
      </c>
      <c r="E119" s="39" t="inlineStr">
        <is>
          <t>Twin</t>
        </is>
      </c>
      <c r="F119" s="39" t="inlineStr">
        <is>
          <t>Blue</t>
        </is>
      </c>
      <c r="G119" s="73" t="n">
        <v>39.99</v>
      </c>
      <c r="H119" s="39" t="inlineStr">
        <is>
          <t>catalog price (CAD), 2026-10-14</t>
        </is>
      </c>
      <c r="I119" s="74" t="n">
        <v>39.99</v>
      </c>
      <c r="J119" s="75" t="inlineStr">
        <is>
          <t>2026-03-30</t>
        </is>
      </c>
      <c r="K119" s="40" t="n">
        <v>15.85</v>
      </c>
      <c r="L119" s="76" t="n">
        <v>0.3963490872718179</v>
      </c>
      <c r="M119" s="77" t="n">
        <v>0</v>
      </c>
      <c r="N119" s="39" t="inlineStr">
        <is>
          <t>Active</t>
        </is>
      </c>
      <c r="O119" s="39" t="n"/>
      <c r="P119" s="78" t="n">
        <v>4.3</v>
      </c>
      <c r="Q119" s="77" t="n">
        <v>1723</v>
      </c>
      <c r="R119" s="77" t="n">
        <v>4406</v>
      </c>
      <c r="S119" s="77" t="n">
        <v>4</v>
      </c>
      <c r="T119" s="39" t="n"/>
    </row>
    <row r="120" ht="62" customHeight="1">
      <c r="A120" s="12">
        <f>_xlfn.IMAGE("https://m.media-amazon.com/images/I/81z6+tLQ6rL.jpg")</f>
        <v/>
      </c>
      <c r="B120" s="39" t="inlineStr">
        <is>
          <t>B0D9QQ99HB</t>
        </is>
      </c>
      <c r="C120" s="39" t="n"/>
      <c r="D120" s="39" t="inlineStr">
        <is>
          <t>DECOLURE Satin Bed Sheets - 4 Piece Luxury Silky Twin Size Bedding Set - Softer Than Silk, Wrinkle-Free with 15” Deep Pocket Fitted Sheet, Perfect for Hair &amp; Skin, Gifts for Women (Blush Pink)</t>
        </is>
      </c>
      <c r="E120" s="39" t="inlineStr">
        <is>
          <t>Twin</t>
        </is>
      </c>
      <c r="F120" s="39" t="inlineStr">
        <is>
          <t>Blush Pink</t>
        </is>
      </c>
      <c r="G120" s="73" t="n">
        <v>39.99</v>
      </c>
      <c r="H120" s="39" t="inlineStr">
        <is>
          <t>catalog price (CAD), 2026-10-14</t>
        </is>
      </c>
      <c r="I120" s="40" t="n"/>
      <c r="J120" s="39" t="n"/>
      <c r="K120" s="40" t="n"/>
      <c r="L120" s="76" t="n"/>
      <c r="M120" s="77" t="n"/>
      <c r="N120" s="39" t="inlineStr">
        <is>
          <t>Active</t>
        </is>
      </c>
      <c r="O120" s="39" t="n"/>
      <c r="P120" s="78" t="n">
        <v>4.3</v>
      </c>
      <c r="Q120" s="77" t="n">
        <v>1723</v>
      </c>
      <c r="R120" s="77" t="n">
        <v>4406</v>
      </c>
      <c r="S120" s="77" t="n">
        <v>4</v>
      </c>
      <c r="T120" s="39" t="n"/>
    </row>
    <row r="121" ht="62" customHeight="1">
      <c r="A121" s="12">
        <f>_xlfn.IMAGE("https://m.media-amazon.com/images/I/81xslWeND-L.jpg")</f>
        <v/>
      </c>
      <c r="B121" s="39" t="inlineStr">
        <is>
          <t>B0D9QSQ8W7</t>
        </is>
      </c>
      <c r="C121" s="39" t="n"/>
      <c r="D121" s="39" t="inlineStr">
        <is>
          <t>DECOLURE Satin Bed Sheets - 4 Piece Luxury Silky Twin Size Bedding Set - Softer Than Silk, Wrinkle-Free with 15” Deep Pocket Fitted Sheet, Perfect for Hair &amp; Skin, Gifts for Women (Burnt Orange)</t>
        </is>
      </c>
      <c r="E121" s="39" t="inlineStr">
        <is>
          <t>Twin</t>
        </is>
      </c>
      <c r="F121" s="39" t="inlineStr">
        <is>
          <t>Burnt Orange</t>
        </is>
      </c>
      <c r="G121" s="73" t="n">
        <v>39.99</v>
      </c>
      <c r="H121" s="39" t="inlineStr">
        <is>
          <t>catalog price (CAD), 2026-10-14</t>
        </is>
      </c>
      <c r="I121" s="40" t="n"/>
      <c r="J121" s="39" t="n"/>
      <c r="K121" s="40" t="n"/>
      <c r="L121" s="76" t="n"/>
      <c r="M121" s="77" t="n"/>
      <c r="N121" s="39" t="inlineStr">
        <is>
          <t>Active</t>
        </is>
      </c>
      <c r="O121" s="39" t="n"/>
      <c r="P121" s="78" t="n">
        <v>4.3</v>
      </c>
      <c r="Q121" s="77" t="n">
        <v>1723</v>
      </c>
      <c r="R121" s="77" t="n">
        <v>4406</v>
      </c>
      <c r="S121" s="77" t="n">
        <v>0</v>
      </c>
      <c r="T121" s="39" t="n"/>
    </row>
    <row r="122" ht="62" customHeight="1">
      <c r="A122" s="12">
        <f>_xlfn.IMAGE("https://m.media-amazon.com/images/I/81WPJBv71TL.jpg")</f>
        <v/>
      </c>
      <c r="B122" s="39" t="inlineStr">
        <is>
          <t>B0C7FLZ6S8</t>
        </is>
      </c>
      <c r="C122" s="39" t="inlineStr">
        <is>
          <t>SATIN-CHAMPAGNE-TWIN-6PCS</t>
        </is>
      </c>
      <c r="D122" s="39" t="inlineStr">
        <is>
          <t>DECOLURE Satin Bed Sheets - 4 Piece Luxury Silky Twin Size Bedding Set - Softer Than Silk, Wrinkle-Free with 15” Deep Pocket Fitted Sheet, Perfect for Hair &amp; Skin, Gifts for Women (Champagne)</t>
        </is>
      </c>
      <c r="E122" s="39" t="inlineStr">
        <is>
          <t>Twin</t>
        </is>
      </c>
      <c r="F122" s="39" t="inlineStr">
        <is>
          <t>Champagne</t>
        </is>
      </c>
      <c r="G122" s="73" t="n">
        <v>39.99</v>
      </c>
      <c r="H122" s="39" t="inlineStr">
        <is>
          <t>catalog price (CAD), 2026-10-14</t>
        </is>
      </c>
      <c r="I122" s="74" t="n">
        <v>39.99</v>
      </c>
      <c r="J122" s="75" t="inlineStr">
        <is>
          <t>2026-03-30</t>
        </is>
      </c>
      <c r="K122" s="40" t="n">
        <v>15.45</v>
      </c>
      <c r="L122" s="76" t="n">
        <v>0.3863465866466617</v>
      </c>
      <c r="M122" s="77" t="n">
        <v>0</v>
      </c>
      <c r="N122" s="39" t="inlineStr">
        <is>
          <t>Active</t>
        </is>
      </c>
      <c r="O122" s="39" t="n"/>
      <c r="P122" s="78" t="n">
        <v>4.3</v>
      </c>
      <c r="Q122" s="77" t="n">
        <v>1723</v>
      </c>
      <c r="R122" s="77" t="n">
        <v>4406</v>
      </c>
      <c r="S122" s="77" t="n">
        <v>4</v>
      </c>
      <c r="T122" s="39" t="n"/>
    </row>
    <row r="123" ht="62" customHeight="1">
      <c r="A123" s="12">
        <f>_xlfn.IMAGE("https://m.media-amazon.com/images/I/81Gw0km1nlL.jpg")</f>
        <v/>
      </c>
      <c r="B123" s="39" t="inlineStr">
        <is>
          <t>B0D9QRPTXQ</t>
        </is>
      </c>
      <c r="C123" s="39" t="n"/>
      <c r="D123" s="39" t="inlineStr">
        <is>
          <t>DECOLURE Satin Bed Sheets - 4 Piece Luxury Silky Twin Size Bedding Set - Softer Than Silk, Wrinkle-Free with 15” Deep Pocket Fitted Sheet, Perfect for Hair &amp; Skin, Gifts for Women (Dark Green)</t>
        </is>
      </c>
      <c r="E123" s="39" t="inlineStr">
        <is>
          <t>Twin</t>
        </is>
      </c>
      <c r="F123" s="39" t="inlineStr">
        <is>
          <t>Dark Green</t>
        </is>
      </c>
      <c r="G123" s="73" t="n">
        <v>39.99</v>
      </c>
      <c r="H123" s="39" t="inlineStr">
        <is>
          <t>catalog price (CAD), 2026-10-14</t>
        </is>
      </c>
      <c r="I123" s="40" t="n"/>
      <c r="J123" s="39" t="n"/>
      <c r="K123" s="40" t="n"/>
      <c r="L123" s="76" t="n"/>
      <c r="M123" s="77" t="n"/>
      <c r="N123" s="39" t="inlineStr">
        <is>
          <t>Active</t>
        </is>
      </c>
      <c r="O123" s="39" t="n"/>
      <c r="P123" s="78" t="n">
        <v>4.3</v>
      </c>
      <c r="Q123" s="77" t="n">
        <v>1723</v>
      </c>
      <c r="R123" s="77" t="n">
        <v>4406</v>
      </c>
      <c r="S123" s="77" t="n">
        <v>0</v>
      </c>
      <c r="T123" s="39" t="n"/>
    </row>
    <row r="124" ht="62" customHeight="1">
      <c r="A124" s="12">
        <f>_xlfn.IMAGE("https://m.media-amazon.com/images/I/81GTdnhbh2L.jpg")</f>
        <v/>
      </c>
      <c r="B124" s="39" t="inlineStr">
        <is>
          <t>B0C7FM1K6P</t>
        </is>
      </c>
      <c r="C124" s="39" t="inlineStr">
        <is>
          <t>SATIN-IVORY-TWIN-6PCS</t>
        </is>
      </c>
      <c r="D124" s="39" t="inlineStr">
        <is>
          <t>DECOLURE Satin Bed Sheets - 4 Piece Luxury Silky Twin Size Bedding Set - Softer Than Silk, Wrinkle-Free with 15” Deep Pocket Fitted Sheet, Perfect for Hair &amp; Skin, Gifts for Women (Ivory)</t>
        </is>
      </c>
      <c r="E124" s="39" t="inlineStr">
        <is>
          <t>Twin</t>
        </is>
      </c>
      <c r="F124" s="39" t="inlineStr">
        <is>
          <t>Ivory</t>
        </is>
      </c>
      <c r="G124" s="73" t="n">
        <v>39.99</v>
      </c>
      <c r="H124" s="39" t="inlineStr">
        <is>
          <t>catalog price (CAD), 2026-10-14</t>
        </is>
      </c>
      <c r="I124" s="74" t="n">
        <v>39.99</v>
      </c>
      <c r="J124" s="75" t="inlineStr">
        <is>
          <t>2026-03-30</t>
        </is>
      </c>
      <c r="K124" s="40" t="n">
        <v>16.27</v>
      </c>
      <c r="L124" s="76" t="n">
        <v>0.4068517129282321</v>
      </c>
      <c r="M124" s="77" t="n">
        <v>0</v>
      </c>
      <c r="N124" s="39" t="inlineStr">
        <is>
          <t>Active</t>
        </is>
      </c>
      <c r="O124" s="39" t="n"/>
      <c r="P124" s="78" t="n">
        <v>4.3</v>
      </c>
      <c r="Q124" s="77" t="n">
        <v>1723</v>
      </c>
      <c r="R124" s="77" t="n">
        <v>4406</v>
      </c>
      <c r="S124" s="77" t="n">
        <v>4</v>
      </c>
      <c r="T124" s="39" t="n"/>
    </row>
    <row r="125" ht="62" customHeight="1">
      <c r="A125" s="12">
        <f>_xlfn.IMAGE("https://m.media-amazon.com/images/I/814pweSkMgL.jpg")</f>
        <v/>
      </c>
      <c r="B125" s="39" t="inlineStr">
        <is>
          <t>B0D9QTXKQ8</t>
        </is>
      </c>
      <c r="C125" s="39" t="n"/>
      <c r="D125" s="39" t="inlineStr">
        <is>
          <t>DECOLURE Satin Bed Sheets - 4 Piece Luxury Silky Twin Size Bedding Set - Softer Than Silk, Wrinkle-Free with 15” Deep Pocket Fitted Sheet, Perfect for Hair &amp; Skin, Gifts for Women (Lavender)</t>
        </is>
      </c>
      <c r="E125" s="39" t="inlineStr">
        <is>
          <t>Twin</t>
        </is>
      </c>
      <c r="F125" s="39" t="inlineStr">
        <is>
          <t>Lavender</t>
        </is>
      </c>
      <c r="G125" s="73" t="n">
        <v>39.99</v>
      </c>
      <c r="H125" s="39" t="inlineStr">
        <is>
          <t>catalog price (CAD), 2026-10-14</t>
        </is>
      </c>
      <c r="I125" s="40" t="n"/>
      <c r="J125" s="39" t="n"/>
      <c r="K125" s="40" t="n"/>
      <c r="L125" s="76" t="n"/>
      <c r="M125" s="77" t="n"/>
      <c r="N125" s="39" t="inlineStr">
        <is>
          <t>Active</t>
        </is>
      </c>
      <c r="O125" s="39" t="n"/>
      <c r="P125" s="78" t="n">
        <v>4.3</v>
      </c>
      <c r="Q125" s="77" t="n">
        <v>1723</v>
      </c>
      <c r="R125" s="77" t="n">
        <v>4406</v>
      </c>
      <c r="S125" s="77" t="n">
        <v>4</v>
      </c>
      <c r="T125" s="39" t="n"/>
    </row>
    <row r="126" ht="62" customHeight="1">
      <c r="A126" s="12">
        <f>_xlfn.IMAGE("https://m.media-amazon.com/images/I/81Y-A5xTlcL.jpg")</f>
        <v/>
      </c>
      <c r="B126" s="39" t="inlineStr">
        <is>
          <t>B0D9QSYXL8</t>
        </is>
      </c>
      <c r="C126" s="39" t="n"/>
      <c r="D126" s="39" t="inlineStr">
        <is>
          <t>DECOLURE Satin Bed Sheets - 4 Piece Luxury Silky Twin Size Bedding Set - Softer Than Silk, Wrinkle-Free with 15” Deep Pocket Fitted Sheet, Perfect for Hair &amp; Skin, Gifts for Women (Navy Blue)</t>
        </is>
      </c>
      <c r="E126" s="39" t="inlineStr">
        <is>
          <t>Twin</t>
        </is>
      </c>
      <c r="F126" s="39" t="inlineStr">
        <is>
          <t>Navy Blue</t>
        </is>
      </c>
      <c r="G126" s="73" t="n">
        <v>39.99</v>
      </c>
      <c r="H126" s="39" t="inlineStr">
        <is>
          <t>catalog price (CAD), 2026-10-14</t>
        </is>
      </c>
      <c r="I126" s="40" t="n"/>
      <c r="J126" s="39" t="n"/>
      <c r="K126" s="40" t="n"/>
      <c r="L126" s="76" t="n"/>
      <c r="M126" s="77" t="n"/>
      <c r="N126" s="39" t="inlineStr">
        <is>
          <t>Active</t>
        </is>
      </c>
      <c r="O126" s="39" t="n"/>
      <c r="P126" s="78" t="n">
        <v>4.3</v>
      </c>
      <c r="Q126" s="77" t="n">
        <v>1723</v>
      </c>
      <c r="R126" s="77" t="n">
        <v>4406</v>
      </c>
      <c r="S126" s="77" t="n">
        <v>4</v>
      </c>
      <c r="T126" s="39" t="n"/>
    </row>
    <row r="127" ht="62" customHeight="1">
      <c r="A127" s="12">
        <f>_xlfn.IMAGE("https://m.media-amazon.com/images/I/81DvfRbabuL.jpg")</f>
        <v/>
      </c>
      <c r="B127" s="39" t="inlineStr">
        <is>
          <t>B0C7FKPZNT</t>
        </is>
      </c>
      <c r="C127" s="39" t="inlineStr">
        <is>
          <t>SATIN-TWIN-PINK-6PCS</t>
        </is>
      </c>
      <c r="D127" s="39" t="inlineStr">
        <is>
          <t>DECOLURE Satin Bed Sheets - 4 Piece Luxury Silky Twin Size Bedding Set - Softer Than Silk, Wrinkle-Free with 15” Deep Pocket Fitted Sheet, Perfect for Hair &amp; Skin, Gifts for Women (Pink)</t>
        </is>
      </c>
      <c r="E127" s="39" t="inlineStr">
        <is>
          <t>Twin</t>
        </is>
      </c>
      <c r="F127" s="39" t="inlineStr">
        <is>
          <t>Pink</t>
        </is>
      </c>
      <c r="G127" s="73" t="n">
        <v>49.13</v>
      </c>
      <c r="H127" s="39" t="inlineStr">
        <is>
          <t>catalog price (CAD), 2026-10-14</t>
        </is>
      </c>
      <c r="I127" s="74" t="n">
        <v>39.99</v>
      </c>
      <c r="J127" s="75" t="inlineStr">
        <is>
          <t>2026-03-30</t>
        </is>
      </c>
      <c r="K127" s="40" t="n">
        <v>16.09</v>
      </c>
      <c r="L127" s="76" t="n">
        <v>0.4023505876469117</v>
      </c>
      <c r="M127" s="77" t="n">
        <v>0</v>
      </c>
      <c r="N127" s="39" t="inlineStr">
        <is>
          <t>Active</t>
        </is>
      </c>
      <c r="O127" s="39" t="n"/>
      <c r="P127" s="78" t="n">
        <v>4.3</v>
      </c>
      <c r="Q127" s="77" t="n">
        <v>1723</v>
      </c>
      <c r="R127" s="77" t="n">
        <v>4406</v>
      </c>
      <c r="S127" s="77" t="n">
        <v>4</v>
      </c>
      <c r="T127" s="39" t="n"/>
    </row>
    <row r="128" ht="62" customHeight="1">
      <c r="A128" s="12">
        <f>_xlfn.IMAGE("https://m.media-amazon.com/images/I/81Brwb+ofkL.jpg")</f>
        <v/>
      </c>
      <c r="B128" s="39" t="inlineStr">
        <is>
          <t>B0D9QRVYMT</t>
        </is>
      </c>
      <c r="C128" s="39" t="n"/>
      <c r="D128" s="39" t="inlineStr">
        <is>
          <t>DECOLURE Satin Bed Sheets - 4 Piece Luxury Silky Twin Size Bedding Set - Softer Than Silk, Wrinkle-Free with 15” Deep Pocket Fitted Sheet, Perfect for Hair &amp; Skin, Gifts for Women (Sage Green)</t>
        </is>
      </c>
      <c r="E128" s="39" t="inlineStr">
        <is>
          <t>Twin</t>
        </is>
      </c>
      <c r="F128" s="39" t="inlineStr">
        <is>
          <t>Sage Green</t>
        </is>
      </c>
      <c r="G128" s="73" t="n">
        <v>49.13</v>
      </c>
      <c r="H128" s="39" t="inlineStr">
        <is>
          <t>catalog price (CAD), 2026-10-14</t>
        </is>
      </c>
      <c r="I128" s="40" t="n"/>
      <c r="J128" s="39" t="n"/>
      <c r="K128" s="40" t="n"/>
      <c r="L128" s="76" t="n"/>
      <c r="M128" s="77" t="n"/>
      <c r="N128" s="39" t="inlineStr">
        <is>
          <t>Active</t>
        </is>
      </c>
      <c r="O128" s="39" t="n"/>
      <c r="P128" s="78" t="n">
        <v>4.3</v>
      </c>
      <c r="Q128" s="77" t="n">
        <v>1723</v>
      </c>
      <c r="R128" s="77" t="n">
        <v>4406</v>
      </c>
      <c r="S128" s="77" t="n">
        <v>0</v>
      </c>
      <c r="T128" s="39" t="n"/>
    </row>
    <row r="129" ht="62" customHeight="1">
      <c r="A129" s="12">
        <f>_xlfn.IMAGE("https://m.media-amazon.com/images/I/81iitr63ZVL.jpg")</f>
        <v/>
      </c>
      <c r="B129" s="39" t="inlineStr">
        <is>
          <t>B0C7FF3CWB</t>
        </is>
      </c>
      <c r="C129" s="39" t="inlineStr">
        <is>
          <t>SATIN-SEA-TEAL-TWIN-6PCS</t>
        </is>
      </c>
      <c r="D129" s="39" t="inlineStr">
        <is>
          <t>DECOLURE Satin Bed Sheets - 4 Piece Luxury Silky Twin Size Bedding Set - Softer Than Silk, Wrinkle-Free with 15” Deep Pocket Fitted Sheet, Perfect for Hair &amp; Skin, Gifts for Women (Sea Teal)</t>
        </is>
      </c>
      <c r="E129" s="39" t="inlineStr">
        <is>
          <t>Twin</t>
        </is>
      </c>
      <c r="F129" s="39" t="inlineStr">
        <is>
          <t>Sea Teal</t>
        </is>
      </c>
      <c r="G129" s="73" t="n">
        <v>49.13</v>
      </c>
      <c r="H129" s="39" t="inlineStr">
        <is>
          <t>catalog price (CAD), 2026-10-14</t>
        </is>
      </c>
      <c r="I129" s="74" t="n">
        <v>39.99</v>
      </c>
      <c r="J129" s="75" t="inlineStr">
        <is>
          <t>2026-03-30</t>
        </is>
      </c>
      <c r="K129" s="40" t="n">
        <v>16.97</v>
      </c>
      <c r="L129" s="76" t="n">
        <v>0.4243560890222555</v>
      </c>
      <c r="M129" s="77" t="n">
        <v>0</v>
      </c>
      <c r="N129" s="39" t="inlineStr">
        <is>
          <t>Active</t>
        </is>
      </c>
      <c r="O129" s="39" t="n"/>
      <c r="P129" s="78" t="n">
        <v>4.3</v>
      </c>
      <c r="Q129" s="77" t="n">
        <v>1723</v>
      </c>
      <c r="R129" s="77" t="n">
        <v>4406</v>
      </c>
      <c r="S129" s="77" t="n">
        <v>4</v>
      </c>
      <c r="T129" s="39" t="n"/>
    </row>
    <row r="130" ht="62" customHeight="1">
      <c r="A130" s="12">
        <f>_xlfn.IMAGE("https://m.media-amazon.com/images/I/81tof11clrL.jpg")</f>
        <v/>
      </c>
      <c r="B130" s="39" t="inlineStr">
        <is>
          <t>B0C7F9HG21</t>
        </is>
      </c>
      <c r="C130" s="39" t="inlineStr">
        <is>
          <t>SATIN-STONEGREY-TWIN-6PCS</t>
        </is>
      </c>
      <c r="D130" s="39" t="inlineStr">
        <is>
          <t>DECOLURE Satin Bed Sheets - 4 Piece Luxury Silky Twin Size Bedding Set - Softer Than Silk, Wrinkle-Free with 15” Deep Pocket Fitted Sheet, Perfect for Hair &amp; Skin, Gifts for Women (Stone Grey)</t>
        </is>
      </c>
      <c r="E130" s="39" t="inlineStr">
        <is>
          <t>Twin</t>
        </is>
      </c>
      <c r="F130" s="39" t="inlineStr">
        <is>
          <t>Stone Grey</t>
        </is>
      </c>
      <c r="G130" s="73" t="n">
        <v>39.99</v>
      </c>
      <c r="H130" s="39" t="inlineStr">
        <is>
          <t>catalog price (CAD), 2026-10-14</t>
        </is>
      </c>
      <c r="I130" s="74" t="n">
        <v>39.99</v>
      </c>
      <c r="J130" s="75" t="inlineStr">
        <is>
          <t>2026-03-30</t>
        </is>
      </c>
      <c r="K130" s="40" t="n">
        <v>16.97</v>
      </c>
      <c r="L130" s="76" t="n">
        <v>0.4243560890222555</v>
      </c>
      <c r="M130" s="77" t="n">
        <v>0</v>
      </c>
      <c r="N130" s="39" t="inlineStr">
        <is>
          <t>Active</t>
        </is>
      </c>
      <c r="O130" s="39" t="n"/>
      <c r="P130" s="78" t="n">
        <v>4.3</v>
      </c>
      <c r="Q130" s="77" t="n">
        <v>1723</v>
      </c>
      <c r="R130" s="77" t="n">
        <v>4406</v>
      </c>
      <c r="S130" s="77" t="n">
        <v>4</v>
      </c>
      <c r="T130" s="39" t="n"/>
    </row>
    <row r="131" ht="62" customHeight="1">
      <c r="A131" s="12">
        <f>_xlfn.IMAGE("https://m.media-amazon.com/images/I/81NTDmYCSHL.jpg")</f>
        <v/>
      </c>
      <c r="B131" s="39" t="inlineStr">
        <is>
          <t>B0C7K5TSRR</t>
        </is>
      </c>
      <c r="C131" s="39" t="inlineStr">
        <is>
          <t>SATIN-STRIPE-TWIN-GOLD--6-PCS</t>
        </is>
      </c>
      <c r="D131" s="39" t="inlineStr">
        <is>
          <t>DECOLURE Satin Bed Sheets - 4 Piece Luxury Silky Twin Size Bedding Set - Softer Than Silk, Wrinkle-Free with 15” Deep Pocket Fitted Sheet, Perfect for Hair &amp; Skin, Gifts for Women (Striped Gold)</t>
        </is>
      </c>
      <c r="E131" s="39" t="inlineStr">
        <is>
          <t>Twin</t>
        </is>
      </c>
      <c r="F131" s="39" t="inlineStr">
        <is>
          <t>Striped Gold</t>
        </is>
      </c>
      <c r="G131" s="73" t="n">
        <v>49.13</v>
      </c>
      <c r="H131" s="39" t="inlineStr">
        <is>
          <t>catalog price (CAD), 2026-10-14</t>
        </is>
      </c>
      <c r="I131" s="74" t="n">
        <v>48.39</v>
      </c>
      <c r="J131" s="75" t="inlineStr">
        <is>
          <t>2026-03-30</t>
        </is>
      </c>
      <c r="K131" s="40" t="n">
        <v>16.25</v>
      </c>
      <c r="L131" s="76" t="n">
        <v>0.3358131845422608</v>
      </c>
      <c r="M131" s="77" t="n">
        <v>0</v>
      </c>
      <c r="N131" s="39" t="inlineStr">
        <is>
          <t>Active</t>
        </is>
      </c>
      <c r="O131" s="39" t="n"/>
      <c r="P131" s="78" t="n">
        <v>4.3</v>
      </c>
      <c r="Q131" s="77" t="n">
        <v>1723</v>
      </c>
      <c r="R131" s="77" t="n">
        <v>4406</v>
      </c>
      <c r="S131" s="77" t="n">
        <v>0</v>
      </c>
      <c r="T131" s="39" t="n"/>
    </row>
    <row r="132" ht="62" customHeight="1">
      <c r="A132" s="12">
        <f>_xlfn.IMAGE("https://m.media-amazon.com/images/I/81D2zpVVytL.jpg")</f>
        <v/>
      </c>
      <c r="B132" s="39" t="inlineStr">
        <is>
          <t>B0C7K62XCT</t>
        </is>
      </c>
      <c r="C132" s="39" t="inlineStr">
        <is>
          <t>SATIN-STRIPE-TWIN-GRAY--6-PCS</t>
        </is>
      </c>
      <c r="D132" s="39" t="inlineStr">
        <is>
          <t>DECOLURE Satin Bed Sheets - 4 Piece Luxury Silky Twin Size Bedding Set - Softer Than Silk, Wrinkle-Free with 15” Deep Pocket Fitted Sheet, Perfect for Hair &amp; Skin, Gifts for Women (Striped Grey)</t>
        </is>
      </c>
      <c r="E132" s="39" t="inlineStr">
        <is>
          <t>Twin</t>
        </is>
      </c>
      <c r="F132" s="39" t="inlineStr">
        <is>
          <t>Striped Grey</t>
        </is>
      </c>
      <c r="G132" s="73" t="n">
        <v>39.99</v>
      </c>
      <c r="H132" s="39" t="inlineStr">
        <is>
          <t>catalog price (CAD), 2026-10-14</t>
        </is>
      </c>
      <c r="I132" s="74" t="n">
        <v>39.99</v>
      </c>
      <c r="J132" s="75" t="inlineStr">
        <is>
          <t>2026-03-30</t>
        </is>
      </c>
      <c r="K132" s="40" t="n">
        <v>16.16</v>
      </c>
      <c r="L132" s="76" t="n">
        <v>0.4041010252563141</v>
      </c>
      <c r="M132" s="77" t="n">
        <v>0</v>
      </c>
      <c r="N132" s="39" t="inlineStr">
        <is>
          <t>Active</t>
        </is>
      </c>
      <c r="O132" s="39" t="n"/>
      <c r="P132" s="78" t="n">
        <v>4.3</v>
      </c>
      <c r="Q132" s="77" t="n">
        <v>1723</v>
      </c>
      <c r="R132" s="77" t="n">
        <v>4406</v>
      </c>
      <c r="S132" s="77" t="n">
        <v>0</v>
      </c>
      <c r="T132" s="39" t="n"/>
    </row>
    <row r="133" ht="62" customHeight="1">
      <c r="A133" s="12">
        <f>_xlfn.IMAGE("https://m.media-amazon.com/images/I/81jr5OVoTrL.jpg")</f>
        <v/>
      </c>
      <c r="B133" s="39" t="inlineStr">
        <is>
          <t>B0C7KB2CR6</t>
        </is>
      </c>
      <c r="C133" s="39" t="inlineStr">
        <is>
          <t>SATIN-STRIPE-TWIN-PINK--6-PCS</t>
        </is>
      </c>
      <c r="D133" s="39" t="inlineStr">
        <is>
          <t>DECOLURE Satin Bed Sheets - 4 Piece Luxury Silky Twin Size Bedding Set - Softer Than Silk, Wrinkle-Free with 15” Deep Pocket Fitted Sheet, Perfect for Hair &amp; Skin, Gifts for Women (Striped Pink)</t>
        </is>
      </c>
      <c r="E133" s="39" t="inlineStr">
        <is>
          <t>Twin</t>
        </is>
      </c>
      <c r="F133" s="39" t="inlineStr">
        <is>
          <t>Striped Pink</t>
        </is>
      </c>
      <c r="G133" s="73" t="n">
        <v>39.99</v>
      </c>
      <c r="H133" s="39" t="inlineStr">
        <is>
          <t>catalog price (CAD), 2026-10-14</t>
        </is>
      </c>
      <c r="I133" s="74" t="n">
        <v>39.99</v>
      </c>
      <c r="J133" s="75" t="inlineStr">
        <is>
          <t>2026-03-30</t>
        </is>
      </c>
      <c r="K133" s="40" t="n">
        <v>15.25</v>
      </c>
      <c r="L133" s="76" t="n">
        <v>0.3813453363340835</v>
      </c>
      <c r="M133" s="77" t="n">
        <v>0</v>
      </c>
      <c r="N133" s="39" t="inlineStr">
        <is>
          <t>Active</t>
        </is>
      </c>
      <c r="O133" s="39" t="n"/>
      <c r="P133" s="78" t="n">
        <v>4.3</v>
      </c>
      <c r="Q133" s="77" t="n">
        <v>1723</v>
      </c>
      <c r="R133" s="77" t="n">
        <v>4406</v>
      </c>
      <c r="S133" s="77" t="n">
        <v>4</v>
      </c>
      <c r="T133" s="39" t="n"/>
    </row>
    <row r="134" ht="62" customHeight="1">
      <c r="A134" s="12">
        <f>_xlfn.IMAGE("https://m.media-amazon.com/images/I/8121oIZnHFL.jpg")</f>
        <v/>
      </c>
      <c r="B134" s="39" t="inlineStr">
        <is>
          <t>B0C7JQ5MZY</t>
        </is>
      </c>
      <c r="C134" s="39" t="inlineStr">
        <is>
          <t>SATIN-STRIPE-TWIN-RED--6-PCS</t>
        </is>
      </c>
      <c r="D134" s="39" t="inlineStr">
        <is>
          <t>DECOLURE Satin Bed Sheets - 4 Piece Luxury Silky Twin Size Bedding Set - Softer Than Silk, Wrinkle-Free with 15” Deep Pocket Fitted Sheet, Perfect for Hair &amp; Skin, Gifts for Women (Striped Red)</t>
        </is>
      </c>
      <c r="E134" s="39" t="inlineStr">
        <is>
          <t>Twin</t>
        </is>
      </c>
      <c r="F134" s="39" t="inlineStr">
        <is>
          <t>Striped Red</t>
        </is>
      </c>
      <c r="G134" s="73" t="n">
        <v>39.99</v>
      </c>
      <c r="H134" s="39" t="inlineStr">
        <is>
          <t>catalog price (CAD), 2026-10-14</t>
        </is>
      </c>
      <c r="I134" s="74" t="n">
        <v>39.99</v>
      </c>
      <c r="J134" s="75" t="inlineStr">
        <is>
          <t>2026-03-30</t>
        </is>
      </c>
      <c r="K134" s="40" t="n">
        <v>15.89</v>
      </c>
      <c r="L134" s="76" t="n">
        <v>0.3973493373343336</v>
      </c>
      <c r="M134" s="77" t="n">
        <v>0</v>
      </c>
      <c r="N134" s="39" t="inlineStr">
        <is>
          <t>Active</t>
        </is>
      </c>
      <c r="O134" s="39" t="n"/>
      <c r="P134" s="78" t="n">
        <v>4.3</v>
      </c>
      <c r="Q134" s="77" t="n">
        <v>1723</v>
      </c>
      <c r="R134" s="77" t="n">
        <v>4406</v>
      </c>
      <c r="S134" s="77" t="n">
        <v>0</v>
      </c>
      <c r="T134" s="39" t="n"/>
    </row>
    <row r="135" ht="62" customHeight="1">
      <c r="A135" s="12">
        <f>_xlfn.IMAGE("https://m.media-amazon.com/images/I/81MYfM3XgsL.jpg")</f>
        <v/>
      </c>
      <c r="B135" s="39" t="inlineStr">
        <is>
          <t>B0C7FD12CQ</t>
        </is>
      </c>
      <c r="C135" s="39" t="inlineStr">
        <is>
          <t>SATIN-TAUPE-TWIN-6PCS</t>
        </is>
      </c>
      <c r="D135" s="39" t="inlineStr">
        <is>
          <t>DECOLURE Satin Bed Sheets - 4 Piece Luxury Silky Twin Size Bedding Set - Softer Than Silk, Wrinkle-Free with 15” Deep Pocket Fitted Sheet, Perfect for Hair &amp; Skin, Gifts for Women (Taupe)</t>
        </is>
      </c>
      <c r="E135" s="39" t="inlineStr">
        <is>
          <t>Twin</t>
        </is>
      </c>
      <c r="F135" s="39" t="inlineStr">
        <is>
          <t>Taupe</t>
        </is>
      </c>
      <c r="G135" s="73" t="n">
        <v>49.13</v>
      </c>
      <c r="H135" s="39" t="inlineStr">
        <is>
          <t>catalog price (CAD), 2026-10-14</t>
        </is>
      </c>
      <c r="I135" s="74" t="n">
        <v>39.99</v>
      </c>
      <c r="J135" s="75" t="inlineStr">
        <is>
          <t>2026-03-30</t>
        </is>
      </c>
      <c r="K135" s="40" t="n">
        <v>15.19</v>
      </c>
      <c r="L135" s="76" t="n">
        <v>0.3798449612403101</v>
      </c>
      <c r="M135" s="77" t="n">
        <v>0</v>
      </c>
      <c r="N135" s="39" t="inlineStr">
        <is>
          <t>Active</t>
        </is>
      </c>
      <c r="O135" s="39" t="n"/>
      <c r="P135" s="78" t="n">
        <v>4.3</v>
      </c>
      <c r="Q135" s="77" t="n">
        <v>1723</v>
      </c>
      <c r="R135" s="77" t="n">
        <v>4406</v>
      </c>
      <c r="S135" s="77" t="n">
        <v>8</v>
      </c>
      <c r="T135" s="39" t="n"/>
    </row>
    <row r="136"/>
    <row r="137" ht="22" customHeight="1">
      <c r="A137" s="65" t="inlineStr">
        <is>
          <t>3 ▼</t>
        </is>
      </c>
      <c r="B137" s="66" t="inlineStr">
        <is>
          <t>OUR BFCM 2025 RESULT &amp; EVENT VISIBILITY</t>
        </is>
      </c>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c r="AC137" s="67" t="n"/>
      <c r="AD137" s="67" t="n"/>
      <c r="AE137" s="67" t="n"/>
      <c r="AF137" s="67" t="n"/>
      <c r="AG137" s="67" t="n"/>
      <c r="AH137" s="67" t="n"/>
      <c r="AI137" s="67" t="n"/>
      <c r="AJ137" s="67" t="n"/>
      <c r="AK137" s="67" t="n"/>
      <c r="AL137" s="67" t="n"/>
      <c r="AM137" s="67" t="n"/>
      <c r="AN137" s="67" t="n"/>
      <c r="AO137" s="67" t="n"/>
      <c r="AP137" s="67" t="n"/>
      <c r="AQ137" s="67" t="n"/>
      <c r="AR137" s="67" t="n"/>
      <c r="AS137" s="67" t="n"/>
      <c r="AT137" s="67" t="n"/>
      <c r="AU137" s="67" t="n"/>
      <c r="AV137" s="67" t="n"/>
      <c r="AW137" s="67" t="n"/>
      <c r="AX137" s="67" t="n"/>
      <c r="AY137" s="67" t="n"/>
      <c r="AZ137" s="67" t="n"/>
      <c r="BA137" s="67" t="n"/>
      <c r="BB137" s="67" t="n"/>
      <c r="BC137" s="67" t="n"/>
      <c r="BD137" s="67" t="n"/>
      <c r="BE137" s="67" t="n"/>
      <c r="BF137" s="67" t="n"/>
      <c r="BG137" s="67" t="n"/>
      <c r="BH137" s="67" t="n"/>
      <c r="BI137" s="67" t="n"/>
      <c r="BJ137" s="67" t="n"/>
      <c r="BK137" s="67" t="n"/>
    </row>
    <row r="138">
      <c r="A138" s="80" t="inlineStr">
        <is>
          <t>Window</t>
        </is>
      </c>
      <c r="B138" s="81" t="n"/>
      <c r="C138" s="82" t="n"/>
      <c r="D138" s="80" t="inlineStr">
        <is>
          <t>Ad spend</t>
        </is>
      </c>
      <c r="E138" s="80" t="inlineStr">
        <is>
          <t>Ad sales</t>
        </is>
      </c>
      <c r="F138" s="80" t="inlineStr">
        <is>
          <t>ACoS</t>
        </is>
      </c>
      <c r="G138" s="80" t="inlineStr">
        <is>
          <t>TACoS</t>
        </is>
      </c>
      <c r="H138" s="80" t="inlineStr">
        <is>
          <t>Total sales (derived)</t>
        </is>
      </c>
      <c r="J138" s="80" t="inlineStr">
        <is>
          <t>Ad orders</t>
        </is>
      </c>
      <c r="K138" s="80" t="inlineStr">
        <is>
          <t>CVR</t>
        </is>
      </c>
    </row>
    <row r="139">
      <c r="A139" s="83" t="inlineStr">
        <is>
          <t>Pre-event Oct 21 - Nov 19, 2025 (30d)</t>
        </is>
      </c>
      <c r="B139" s="81" t="n"/>
      <c r="C139" s="82" t="n"/>
      <c r="D139" s="84" t="n">
        <v>5846.89</v>
      </c>
      <c r="E139" s="84" t="n">
        <v>24013.96</v>
      </c>
      <c r="F139" s="85" t="n">
        <v>24.3</v>
      </c>
      <c r="G139" s="85" t="n">
        <v>16.80445989041688</v>
      </c>
      <c r="H139" s="84" t="n">
        <v>34793.68</v>
      </c>
      <c r="J139" s="86" t="n">
        <v>634</v>
      </c>
      <c r="K139" s="87" t="n">
        <v>12.29</v>
      </c>
    </row>
    <row r="140">
      <c r="A140" s="83" t="inlineStr">
        <is>
          <t>BFCM week Nov 20 - Dec 1, 2025 (12d)</t>
        </is>
      </c>
      <c r="B140" s="81" t="n"/>
      <c r="C140" s="82" t="n"/>
      <c r="D140" s="84" t="n">
        <v>5517.679999999999</v>
      </c>
      <c r="E140" s="84" t="n">
        <v>28935.21</v>
      </c>
      <c r="F140" s="85" t="n">
        <v>19.1</v>
      </c>
      <c r="G140" s="85" t="n">
        <v>13.50115077192009</v>
      </c>
      <c r="H140" s="84" t="n">
        <v>40868.22</v>
      </c>
      <c r="J140" s="86" t="n">
        <v>817</v>
      </c>
      <c r="K140" s="87" t="n">
        <v>16.75</v>
      </c>
    </row>
    <row r="141">
      <c r="A141" s="83" t="inlineStr">
        <is>
          <t>December 2 - 31, 2025 (30d)</t>
        </is>
      </c>
      <c r="B141" s="81" t="n"/>
      <c r="C141" s="82" t="n"/>
      <c r="D141" s="84" t="n">
        <v>10557.18</v>
      </c>
      <c r="E141" s="84" t="n">
        <v>48107.69999999999</v>
      </c>
      <c r="F141" s="85" t="n">
        <v>21.9</v>
      </c>
      <c r="G141" s="85" t="n">
        <v>16.17601880596754</v>
      </c>
      <c r="H141" s="84" t="n">
        <v>65264.39</v>
      </c>
      <c r="J141" s="86" t="n">
        <v>1240</v>
      </c>
      <c r="K141" s="87" t="n">
        <v>13.92</v>
      </c>
    </row>
    <row r="142"/>
    <row r="143">
      <c r="A143" s="80" t="inlineStr">
        <is>
          <t>Actual sales (account data)</t>
        </is>
      </c>
      <c r="B143" s="81" t="n"/>
      <c r="C143" s="82" t="n"/>
      <c r="D143" s="80" t="inlineStr">
        <is>
          <t>Sales</t>
        </is>
      </c>
      <c r="E143" s="80" t="inlineStr">
        <is>
          <t>Units</t>
        </is>
      </c>
      <c r="F143" s="80" t="inlineStr">
        <is>
          <t>Organic units</t>
        </is>
      </c>
      <c r="G143" s="80" t="inlineStr">
        <is>
          <t>Ad units</t>
        </is>
      </c>
      <c r="H143" s="80" t="inlineStr">
        <is>
          <t>Ad cost</t>
        </is>
      </c>
      <c r="J143" s="80" t="inlineStr">
        <is>
          <t>TACoS (actual)</t>
        </is>
      </c>
      <c r="K143" s="80" t="inlineStr">
        <is>
          <t>Sessions</t>
        </is>
      </c>
      <c r="L143" s="80" t="inlineStr">
        <is>
          <t>Unit session %</t>
        </is>
      </c>
      <c r="M143" s="80" t="inlineStr">
        <is>
          <t>Avg price</t>
        </is>
      </c>
      <c r="N143" s="80" t="inlineStr">
        <is>
          <t>Refunds</t>
        </is>
      </c>
    </row>
    <row r="144">
      <c r="A144" s="83" t="inlineStr">
        <is>
          <t>Pre-event Oct 21 - Nov 19, 2025 (30d)</t>
        </is>
      </c>
      <c r="B144" s="81" t="n"/>
      <c r="C144" s="82" t="n"/>
      <c r="D144" s="84" t="n">
        <v>25132.39</v>
      </c>
      <c r="E144" s="86" t="n">
        <v>918</v>
      </c>
      <c r="F144" s="86" t="n">
        <v>823</v>
      </c>
      <c r="G144" s="86" t="n">
        <v>95</v>
      </c>
      <c r="H144" s="84" t="n">
        <v>4168.04</v>
      </c>
      <c r="J144" s="88" t="n">
        <v>0.1658433599032961</v>
      </c>
      <c r="K144" s="86" t="n">
        <v>19229</v>
      </c>
      <c r="L144" s="88" t="n">
        <v>0.04774039211607468</v>
      </c>
      <c r="M144" s="89" t="n">
        <v>27.3773311546841</v>
      </c>
      <c r="N144" s="86" t="n">
        <v>50</v>
      </c>
    </row>
    <row r="145">
      <c r="A145" s="83" t="inlineStr">
        <is>
          <t>BFCM week Nov 20 - Dec 1, 2025 (12d)</t>
        </is>
      </c>
      <c r="B145" s="81" t="n"/>
      <c r="C145" s="82" t="n"/>
      <c r="D145" s="84" t="n">
        <v>29918.62</v>
      </c>
      <c r="E145" s="86" t="n">
        <v>1201</v>
      </c>
      <c r="F145" s="86" t="n">
        <v>1081</v>
      </c>
      <c r="G145" s="86" t="n">
        <v>120</v>
      </c>
      <c r="H145" s="84" t="n">
        <v>3932.84</v>
      </c>
      <c r="J145" s="88" t="n">
        <v>0.1314512500910804</v>
      </c>
      <c r="K145" s="86" t="n">
        <v>16679</v>
      </c>
      <c r="L145" s="88" t="n">
        <v>0.07200671503087715</v>
      </c>
      <c r="M145" s="89" t="n">
        <v>24.91142381348876</v>
      </c>
      <c r="N145" s="86" t="n">
        <v>28</v>
      </c>
    </row>
    <row r="146">
      <c r="A146" s="83" t="inlineStr">
        <is>
          <t>December 2 - 31, 2025 (30d)</t>
        </is>
      </c>
      <c r="B146" s="81" t="n"/>
      <c r="C146" s="82" t="n"/>
      <c r="D146" s="84" t="n">
        <v>50576.78</v>
      </c>
      <c r="E146" s="86" t="n">
        <v>1800</v>
      </c>
      <c r="F146" s="86" t="n">
        <v>1627</v>
      </c>
      <c r="G146" s="86" t="n">
        <v>173</v>
      </c>
      <c r="H146" s="84" t="n">
        <v>7673.17</v>
      </c>
      <c r="J146" s="88" t="n">
        <v>0.1517132961014916</v>
      </c>
      <c r="K146" s="86" t="n">
        <v>29238</v>
      </c>
      <c r="L146" s="88" t="n">
        <v>0.0615637184485943</v>
      </c>
      <c r="M146" s="89" t="n">
        <v>28.09821111111111</v>
      </c>
      <c r="N146" s="86" t="n">
        <v>100</v>
      </c>
    </row>
    <row r="147">
      <c r="A147" s="90" t="inlineStr">
        <is>
          <t>account data, Amazon parent B0CJSDXDJW plus any of this product's child ASINs account data lists on their own, UTC days. Lift above uses these actual sales (2.98x; the ad-spend estimate was 2.94x). Amazon.ca sales here are in USD: account data converts to the account currency, while the market data table above is in CAD (ratio ~0.71). Lift is a ratio, so it is unaffected.</t>
        </is>
      </c>
    </row>
    <row r="148" ht="30" customHeight="1">
      <c r="A148" s="91" t="inlineStr">
        <is>
          <t>Deals we ran or scheduled, Nov 1 - Dec 5, 2025 (deal records promotions; scheduled deal price not in the feed. price history price = lowest Buy Box seen during the deal, an observation for the hero child only, not the scheduled deal price): Lightning Deal 11-04 to 11-05 (ran, 99 variations, 18 units); Lightning Deal 11-14 to 11-15 (ran, 99 variations, 1 units); Best Deal 11-20 to 12-02 (ran, 83 variations, 1,081 units).</t>
        </is>
      </c>
    </row>
    <row r="149" ht="18" customHeight="1">
      <c r="A149" s="92" t="inlineStr">
        <is>
          <t>BFCM 2026 plan: Best Deal 11/19-11/30. Deal price and depth not yet given; not yet visible in Amazon's deal feed.</t>
        </is>
      </c>
    </row>
    <row r="150" ht="30" customHeight="1">
      <c r="A150" s="94" t="inlineStr">
        <is>
          <t>BFCM 2026 stock (account data, Oct 15): 1,094 units at Amazon + 1,348 already sent (no ETA in account data); selling 21.3 a day; need about 1,485 to Nov 30 with a 2.98x BFCM lift (own BFCM 2025 lift (account data)). Variations: 43 covered, 6 need the inbound in time, 21 short even with inbound (772 units), 27 out of stock now. Detail: BFCM Stock tab.</t>
        </is>
      </c>
    </row>
    <row r="151" ht="18" customHeight="1">
      <c r="A151" s="95" t="inlineStr">
        <is>
          <t>ASSUMED 2026 deal prices, until the team's final: B0C7FX1GFS today C$47.99; C$40.79 at 15% off (Nov 19-26) and C$38.39 at 20% off (Nov 27-30, Black Friday to Cyber Monday). Rule: team rule agreed Oct 15, 2026. Evidence: our BFCM 2025 deal on B0C7FXXS6R (US, price history): $33.95 before, $32.25 during, 5% off; US competitors' median price cut in BFCM 2025: 8% (3 rivals). Amazon may use a lower reference price than today's (it sets it the day before the deal), which would lower the deal price.</t>
        </is>
      </c>
    </row>
    <row r="152" ht="40" customHeight="1">
      <c r="A152" s="91" t="inlineStr">
        <is>
          <t>Stock in BFCM week 2025 (FBA inventory snapshots, child-ASIN level, revision 2): 0 of 110 variations hit zero FBA stock on at least one observed day; weighted by today's sales mix that is ~0.0% of variation-days lost. Days with no snapshot (Nov 24, 29 and 30), inferred from sales that day and the readings either side: 311 of 330 variation-days in stock, 0 out of stock, 19 unknown. Inferred, not a stock reading.</t>
        </is>
      </c>
    </row>
    <row r="153">
      <c r="A153" s="90" t="inlineStr">
        <is>
          <t>Figures above are Amazon.ca in CAD. Visibility history is held for US ASINs only.</t>
        </is>
      </c>
    </row>
    <row r="154"/>
    <row r="155" ht="22" customHeight="1">
      <c r="A155" s="65" t="inlineStr">
        <is>
          <t>4 ▼</t>
        </is>
      </c>
      <c r="B155" s="66" t="inlineStr">
        <is>
          <t>COMPETITOR LANDSCAPE (15 mapped)</t>
        </is>
      </c>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c r="AC155" s="67" t="n"/>
      <c r="AD155" s="67" t="n"/>
      <c r="AE155" s="67" t="n"/>
      <c r="AF155" s="67" t="n"/>
      <c r="AG155" s="67" t="n"/>
      <c r="AH155" s="67" t="n"/>
      <c r="AI155" s="67" t="n"/>
      <c r="AJ155" s="67" t="n"/>
      <c r="AK155" s="67" t="n"/>
      <c r="AL155" s="67" t="n"/>
      <c r="AM155" s="67" t="n"/>
      <c r="AN155" s="67" t="n"/>
      <c r="AO155" s="67" t="n"/>
      <c r="AP155" s="67" t="n"/>
      <c r="AQ155" s="67" t="n"/>
      <c r="AR155" s="67" t="n"/>
      <c r="AS155" s="67" t="n"/>
      <c r="AT155" s="67" t="n"/>
      <c r="AU155" s="67" t="n"/>
      <c r="AV155" s="67" t="n"/>
      <c r="AW155" s="67" t="n"/>
      <c r="AX155" s="67" t="n"/>
      <c r="AY155" s="67" t="n"/>
      <c r="AZ155" s="67" t="n"/>
      <c r="BA155" s="67" t="n"/>
      <c r="BB155" s="67" t="n"/>
      <c r="BC155" s="67" t="n"/>
      <c r="BD155" s="67" t="n"/>
      <c r="BE155" s="67" t="n"/>
      <c r="BF155" s="67" t="n"/>
      <c r="BG155" s="67" t="n"/>
      <c r="BH155" s="67" t="n"/>
      <c r="BI155" s="67" t="n"/>
      <c r="BJ155" s="67" t="n"/>
      <c r="BK155" s="67" t="n"/>
    </row>
    <row r="156" ht="20" customHeight="1">
      <c r="A156" s="96" t="inlineStr">
        <is>
          <t>▼▼▼</t>
        </is>
      </c>
      <c r="B156" s="97" t="inlineStr">
        <is>
          <t>COMPETITOR DATA BELOW: one row per competitor (14 direct first, then alternative material). Scroll right for listing, search, strikethrough now and BFCM 2025 history (deal type, price, discount, rank change).</t>
        </is>
      </c>
      <c r="C156" s="98" t="n"/>
      <c r="D156" s="98" t="n"/>
      <c r="E156" s="98" t="n"/>
      <c r="F156" s="98" t="n"/>
      <c r="G156" s="98" t="n"/>
      <c r="H156" s="98" t="n"/>
      <c r="I156" s="98" t="n"/>
      <c r="J156" s="98" t="n"/>
      <c r="K156" s="98" t="n"/>
      <c r="L156" s="98" t="n"/>
      <c r="M156" s="98" t="n"/>
      <c r="N156" s="98" t="n"/>
      <c r="O156" s="98" t="n"/>
      <c r="P156" s="98" t="n"/>
      <c r="Q156" s="98" t="n"/>
      <c r="R156" s="98" t="n"/>
      <c r="S156" s="98" t="n"/>
      <c r="T156" s="98" t="n"/>
      <c r="U156" s="98" t="n"/>
      <c r="V156" s="98" t="n"/>
      <c r="W156" s="98" t="n"/>
      <c r="X156" s="98" t="n"/>
      <c r="Y156" s="98" t="n"/>
      <c r="Z156" s="98" t="n"/>
      <c r="AA156" s="98" t="n"/>
      <c r="AB156" s="98" t="n"/>
      <c r="AC156" s="98" t="n"/>
      <c r="AD156" s="98" t="n"/>
      <c r="AE156" s="98" t="n"/>
      <c r="AF156" s="98" t="n"/>
      <c r="AG156" s="98" t="n"/>
      <c r="AH156" s="98" t="n"/>
      <c r="AI156" s="98" t="n"/>
      <c r="AJ156" s="98" t="n"/>
      <c r="AK156" s="98" t="n"/>
      <c r="AL156" s="98" t="n"/>
      <c r="AM156" s="98" t="n"/>
      <c r="AN156" s="98" t="n"/>
      <c r="AO156" s="98" t="n"/>
      <c r="AP156" s="98" t="n"/>
      <c r="AQ156" s="98" t="n"/>
      <c r="AR156" s="98" t="n"/>
      <c r="AS156" s="98" t="n"/>
      <c r="AT156" s="98" t="n"/>
      <c r="AU156" s="98" t="n"/>
      <c r="AV156" s="98" t="n"/>
      <c r="AW156" s="98" t="n"/>
      <c r="AX156" s="98" t="n"/>
      <c r="AY156" s="98" t="n"/>
      <c r="AZ156" s="98" t="n"/>
      <c r="BA156" s="98" t="n"/>
      <c r="BB156" s="98" t="n"/>
      <c r="BC156" s="98" t="n"/>
      <c r="BD156" s="98" t="n"/>
      <c r="BE156" s="98" t="n"/>
      <c r="BF156" s="98" t="n"/>
      <c r="BG156" s="98" t="n"/>
      <c r="BH156" s="98" t="n"/>
      <c r="BI156" s="98" t="n"/>
      <c r="BJ156" s="98" t="n"/>
      <c r="BK156" s="98" t="n"/>
    </row>
    <row r="157" ht="30" customHeight="1">
      <c r="A157"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58">
      <c r="A158" s="99" t="inlineStr">
        <is>
          <t>COMPETITOR</t>
        </is>
      </c>
      <c r="L158" s="100" t="inlineStr">
        <is>
          <t>LISTING - catalog data</t>
        </is>
      </c>
      <c r="M158" s="101" t="inlineStr">
        <is>
          <t>SEARCH STRATEGY - market data search data</t>
        </is>
      </c>
      <c r="N158" s="102" t="inlineStr">
        <is>
          <t>PRICE &amp; SALES - market data snapshot (date per row)</t>
        </is>
      </c>
      <c r="AA158" s="100" t="inlineStr">
        <is>
          <t>LISTING - catalog data</t>
        </is>
      </c>
      <c r="AD158" s="101" t="inlineStr">
        <is>
          <t>SEARCH STRATEGY - market data search data</t>
        </is>
      </c>
      <c r="AU158" s="103" t="inlineStr">
        <is>
          <t>STR NOW - Amazon page check (Oct 13, P1 + P2)</t>
        </is>
      </c>
      <c r="BB158" s="104" t="inlineStr">
        <is>
          <t>BFCM 2025 - price history (P1 filled; yellow = not pulled yet)</t>
        </is>
      </c>
    </row>
    <row r="159" ht="48" customHeight="1">
      <c r="A159" s="26" t="inlineStr">
        <is>
          <t>Image</t>
        </is>
      </c>
      <c r="B159" s="26" t="inlineStr">
        <is>
          <t>Brand</t>
        </is>
      </c>
      <c r="C159" s="26" t="inlineStr">
        <is>
          <t>Product title</t>
        </is>
      </c>
      <c r="D159" s="26" t="inlineStr">
        <is>
          <t>Tier</t>
        </is>
      </c>
      <c r="E159" s="26" t="inlineStr">
        <is>
          <t>Competitor type</t>
        </is>
      </c>
      <c r="F159" s="26" t="inlineStr">
        <is>
          <t>Material</t>
        </is>
      </c>
      <c r="G159" s="26" t="inlineStr">
        <is>
          <t>Why this type</t>
        </is>
      </c>
      <c r="H159" s="26" t="inlineStr">
        <is>
          <t>Parent ASIN</t>
        </is>
      </c>
      <c r="I159" s="26" t="inlineStr">
        <is>
          <t>Tracked child ASIN</t>
        </is>
      </c>
      <c r="J159" s="26" t="inlineStr">
        <is>
          <t>Size</t>
        </is>
      </c>
      <c r="K159" s="26" t="inlineStr">
        <is>
          <t>Colour</t>
        </is>
      </c>
      <c r="L159" s="26" t="inlineStr">
        <is>
          <t>Variations</t>
        </is>
      </c>
      <c r="M159" s="26" t="inlineStr">
        <is>
          <t>Hero child ASINs (share of their visibility)</t>
        </is>
      </c>
      <c r="N159" s="26" t="inlineStr">
        <is>
          <t>Price ($)</t>
        </is>
      </c>
      <c r="O159" s="26" t="inlineStr">
        <is>
          <t>List Price ($)</t>
        </is>
      </c>
      <c r="P159" s="26" t="inlineStr">
        <is>
          <t>List Price % over</t>
        </is>
      </c>
      <c r="Q159" s="26" t="inlineStr">
        <is>
          <t>STR band</t>
        </is>
      </c>
      <c r="R159" s="26" t="inlineStr">
        <is>
          <t>Our price, same size ($)</t>
        </is>
      </c>
      <c r="S159" s="26" t="inlineStr">
        <is>
          <t>Their price vs ours</t>
        </is>
      </c>
      <c r="T159" s="26" t="inlineStr">
        <is>
          <t>Comparison basis</t>
        </is>
      </c>
      <c r="U159" s="26" t="inlineStr">
        <is>
          <t>BSR</t>
        </is>
      </c>
      <c r="V159" s="26" t="inlineStr">
        <is>
          <t>Est weekly units</t>
        </is>
      </c>
      <c r="W159" s="26" t="inlineStr">
        <is>
          <t>Est monthly revenue ($)</t>
        </is>
      </c>
      <c r="X159" s="26" t="inlineStr">
        <is>
          <t>Rating</t>
        </is>
      </c>
      <c r="Y159" s="26" t="inlineStr">
        <is>
          <t>Reviews</t>
        </is>
      </c>
      <c r="Z159" s="26" t="inlineStr">
        <is>
          <t>Snapshot date</t>
        </is>
      </c>
      <c r="AA159" s="26" t="inlineStr">
        <is>
          <t>Listed</t>
        </is>
      </c>
      <c r="AB159" s="26" t="inlineStr">
        <is>
          <t>Fulfil.</t>
        </is>
      </c>
      <c r="AC159" s="26" t="inlineStr">
        <is>
          <t>Seller country</t>
        </is>
      </c>
      <c r="AD159" s="26" t="inlineStr">
        <is>
          <t>search data 7d traffic</t>
        </is>
      </c>
      <c r="AE159" s="26" t="inlineStr">
        <is>
          <t>Keywords ranked</t>
        </is>
      </c>
      <c r="AF159" s="26" t="inlineStr">
        <is>
          <t>Organic share of traffic</t>
        </is>
      </c>
      <c r="AG159" s="26" t="inlineStr">
        <is>
          <t>Ad share of traffic</t>
        </is>
      </c>
      <c r="AH159" s="26" t="inlineStr">
        <is>
          <t>Top keyword</t>
        </is>
      </c>
      <c r="AI159" s="26" t="inlineStr">
        <is>
          <t>SP reach</t>
        </is>
      </c>
      <c r="AJ159" s="26" t="inlineStr">
        <is>
          <t>SB reach</t>
        </is>
      </c>
      <c r="AK159" s="26" t="inlineStr">
        <is>
          <t>SB video reach</t>
        </is>
      </c>
      <c r="AL159" s="26" t="inlineStr">
        <is>
          <t>Amazon's Choice reach</t>
        </is>
      </c>
      <c r="AM159" s="26" t="inlineStr">
        <is>
          <t>Shared keywords</t>
        </is>
      </c>
      <c r="AN159" s="26" t="inlineStr">
        <is>
          <t>We win</t>
        </is>
      </c>
      <c r="AO159" s="26" t="inlineStr">
        <is>
          <t>We lose</t>
        </is>
      </c>
      <c r="AP159" s="26" t="inlineStr">
        <is>
          <t>Their keywords we miss</t>
        </is>
      </c>
      <c r="AQ159" s="26" t="inlineStr">
        <is>
          <t>KWs they advertise, we don't</t>
        </is>
      </c>
      <c r="AR159" s="26" t="inlineStr">
        <is>
          <t>KWs they out-advertise us</t>
        </is>
      </c>
      <c r="AS159" s="26" t="inlineStr">
        <is>
          <t>Prime Day 2026 organic vis lift</t>
        </is>
      </c>
      <c r="AT159" s="26" t="inlineStr">
        <is>
          <t>Organic trend (Aug-Sep vs Q2)</t>
        </is>
      </c>
      <c r="AU159" s="26" t="inlineStr">
        <is>
          <t>STR showing now? (Y/N)</t>
        </is>
      </c>
      <c r="AV159" s="26" t="inlineStr">
        <is>
          <t>STR label</t>
        </is>
      </c>
      <c r="AW159" s="26" t="inlineStr">
        <is>
          <t>Strikethrough price ($)</t>
        </is>
      </c>
      <c r="AX159" s="26" t="inlineStr">
        <is>
          <t>Page price at check ($)</t>
        </is>
      </c>
      <c r="AY159" s="26" t="inlineStr">
        <is>
          <t>Deal / coupon now</t>
        </is>
      </c>
      <c r="AZ159" s="26" t="inlineStr">
        <is>
          <t>Orderable now (Y/N)</t>
        </is>
      </c>
      <c r="BA159" s="26" t="inlineStr">
        <is>
          <t>Checked (ET)</t>
        </is>
      </c>
      <c r="BB159" s="26" t="inlineStr">
        <is>
          <t>BFCM 2025 deal type</t>
        </is>
      </c>
      <c r="BC159" s="26" t="inlineStr">
        <is>
          <t>BFCM 2025 deal dates</t>
        </is>
      </c>
      <c r="BD159" s="26" t="inlineStr">
        <is>
          <t>Pre-event price ($)</t>
        </is>
      </c>
      <c r="BE159" s="26" t="inlineStr">
        <is>
          <t>BFCM 2025 low ($)</t>
        </is>
      </c>
      <c r="BF159" s="26" t="inlineStr">
        <is>
          <t>BFCM 2025 discount</t>
        </is>
      </c>
      <c r="BG159" s="26" t="inlineStr">
        <is>
          <t>BSR pre-event</t>
        </is>
      </c>
      <c r="BH159" s="26" t="inlineStr">
        <is>
          <t>BSR BFCM wk</t>
        </is>
      </c>
      <c r="BI159" s="26" t="inlineStr">
        <is>
          <t>BSR lift (x)</t>
        </is>
      </c>
      <c r="BJ159" s="26" t="inlineStr">
        <is>
          <t>OOS in BFCM? (Y/N)</t>
        </is>
      </c>
      <c r="BK159" s="26" t="inlineStr">
        <is>
          <t>Notes</t>
        </is>
      </c>
    </row>
    <row r="160" ht="62" customHeight="1">
      <c r="A160" s="12">
        <f>_xlfn.IMAGE("https://m.media-amazon.com/images/I/61-Kk3biG1L.jpg")</f>
        <v/>
      </c>
      <c r="B160" s="105" t="inlineStr">
        <is>
          <t>JUWENIN</t>
        </is>
      </c>
      <c r="C160" s="39" t="inlineStr">
        <is>
          <t>Satin Sheet Set, 6 Piece Soft Silky Bed Sheets Deep Pocket, Good for Skin and Hair 1 Satin Fitted Sheet + 1 Flat Sheet + 4 Pillow Cases (Gray, Queen-6PCS)</t>
        </is>
      </c>
      <c r="D160" s="105" t="inlineStr">
        <is>
          <t>Untiered</t>
        </is>
      </c>
      <c r="E160" s="106" t="inlineStr">
        <is>
          <t>Direct</t>
        </is>
      </c>
      <c r="F160" s="105" t="inlineStr">
        <is>
          <t>Satin (polyester)</t>
        </is>
      </c>
      <c r="G160" s="39" t="inlineStr">
        <is>
          <t>Same product (sheet set) in the same material family: Satin (polyester) (title: Satin Sheet Set, 6 Piece Soft Silky Bed Sheets Deep Pocket); ours: our listing: polyester satin.</t>
        </is>
      </c>
      <c r="H160" s="107" t="inlineStr">
        <is>
          <t>B0FNQY65MC</t>
        </is>
      </c>
      <c r="I160" s="107" t="inlineStr">
        <is>
          <t>B0FNR1QR4J</t>
        </is>
      </c>
      <c r="J160" s="105" t="inlineStr">
        <is>
          <t>Queen</t>
        </is>
      </c>
      <c r="K160" s="105" t="inlineStr">
        <is>
          <t>Gray</t>
        </is>
      </c>
      <c r="L160" s="108" t="n">
        <v>11</v>
      </c>
      <c r="M160" s="39" t="n"/>
      <c r="N160" s="109" t="n">
        <v>27.99</v>
      </c>
      <c r="O160" s="109" t="n"/>
      <c r="P160" s="110">
        <f>IF(AND(ISNUMBER(O160),ISNUMBER(N160),N(N160)&gt;0),O160/N160-1,"")</f>
        <v/>
      </c>
      <c r="Q160" s="111">
        <f>IF(P160="","No List Price",IF(P160&lt;=0,"At/below price",IF(P160&lt;=0.12,"&lt;=12% STR zone",IF(P160&lt;=0.25,"12-25%","&gt;25% over"))))</f>
        <v/>
      </c>
      <c r="R160" s="109" t="n">
        <v>47.99</v>
      </c>
      <c r="S160" s="112">
        <f>IF(AND(ISNUMBER(N160),ISNUMBER(R160),N(R160)&gt;0),N160/R160-1,"")</f>
        <v/>
      </c>
      <c r="T160" s="39" t="inlineStr">
        <is>
          <t>Same size (Queen), CAD. Ours live: catalog price (CAD), 2026-10-14; 27 children</t>
        </is>
      </c>
      <c r="U160" s="108" t="n">
        <v>224911</v>
      </c>
      <c r="V160" s="108" t="n"/>
      <c r="W160" s="113">
        <f>IF(AND(ISNUMBER(N160),ISNUMBER(V160)),N160*V160*52/12,"")</f>
        <v/>
      </c>
      <c r="X160" s="114" t="n">
        <v>4.1</v>
      </c>
      <c r="Y160" s="108" t="n">
        <v>29</v>
      </c>
      <c r="Z160" s="115" t="n">
        <v>46309</v>
      </c>
      <c r="AA160" s="115" t="n"/>
      <c r="AB160" s="105" t="n"/>
      <c r="AC160" s="105" t="n"/>
      <c r="AD160" s="108" t="n"/>
      <c r="AE160" s="108" t="n"/>
      <c r="AF160" s="116" t="n"/>
      <c r="AG160" s="116" t="n"/>
      <c r="AH160" s="39" t="n"/>
      <c r="AI160" s="116" t="n"/>
      <c r="AJ160" s="116" t="n"/>
      <c r="AK160" s="116" t="n"/>
      <c r="AL160" s="116" t="n"/>
      <c r="AM160" s="108" t="n"/>
      <c r="AN160" s="108" t="n"/>
      <c r="AO160" s="108" t="n"/>
      <c r="AP160" s="108" t="n"/>
      <c r="AQ160" s="108" t="n"/>
      <c r="AR160" s="108" t="n"/>
      <c r="AS160" s="117" t="n"/>
      <c r="AT160" s="112" t="n"/>
      <c r="AU160" s="118" t="inlineStr">
        <is>
          <t>N</t>
        </is>
      </c>
      <c r="AV160" s="118" t="inlineStr">
        <is>
          <t>none</t>
        </is>
      </c>
      <c r="AW160" s="124" t="n"/>
      <c r="AX160" s="119" t="n">
        <v>27.99</v>
      </c>
      <c r="AY160" s="118" t="inlineStr">
        <is>
          <t>none</t>
        </is>
      </c>
      <c r="AZ160" s="118" t="inlineStr">
        <is>
          <t>Y</t>
        </is>
      </c>
      <c r="BA160" s="118" t="inlineStr">
        <is>
          <t>2026-10-14 00:30:14</t>
        </is>
      </c>
      <c r="BB160" s="125" t="n"/>
      <c r="BC160" s="125" t="n"/>
      <c r="BD160" s="121" t="n">
        <v>25.99</v>
      </c>
      <c r="BE160" s="124" t="n"/>
      <c r="BF160" s="110">
        <f>IF(AND(ISNUMBER(BD160),ISNUMBER(BE160),N(BD160)&gt;0),1-BE160/BD160,"")</f>
        <v/>
      </c>
      <c r="BG160" s="122" t="n">
        <v>98716</v>
      </c>
      <c r="BH160" s="122" t="n">
        <v>57589</v>
      </c>
      <c r="BI160" s="123">
        <f>IF(AND(ISNUMBER(BG160),ISNUMBER(BH160),N(BH160)&gt;0),BG160/BH160,"")</f>
        <v/>
      </c>
      <c r="BJ160" s="120" t="inlineStr">
        <is>
          <t>Y</t>
        </is>
      </c>
      <c r="BK160" s="120" t="inlineStr">
        <is>
          <t>Amazon.ca organic #1 for 'satin sheets 6 piece'; 100%POLYESTER; Search child B0FNR1PKQB; selected Queen-6PCS child B0FNR1QR4J. Orderable; availability wording: variation_count = distinct children exposed in page variation m price history: No Buy Box history in price history for BFCM 2025</t>
        </is>
      </c>
    </row>
    <row r="161" ht="62" customHeight="1">
      <c r="A161" s="12">
        <f>_xlfn.IMAGE("https://m.media-amazon.com/images/I/81uzfBY3YQL.jpg")</f>
        <v/>
      </c>
      <c r="B161" s="105" t="inlineStr">
        <is>
          <t>Love's cabin</t>
        </is>
      </c>
      <c r="C161" s="39" t="inlineStr">
        <is>
          <t>Love's cabin Satin Queen Sheets Set, 6 Pieces, Brown, 15" Deep Pocket</t>
        </is>
      </c>
      <c r="D161" s="105" t="inlineStr">
        <is>
          <t>Untiered</t>
        </is>
      </c>
      <c r="E161" s="106" t="inlineStr">
        <is>
          <t>Direct</t>
        </is>
      </c>
      <c r="F161" s="105" t="inlineStr">
        <is>
          <t>Satin (polyester)</t>
        </is>
      </c>
      <c r="G161" s="39" t="inlineStr">
        <is>
          <t>Same product (sheet set) in the same material family: Satin (polyester) (title: Love's cabin Satin Queen Sheets Set, 6 Pieces, Brown, 15" De); ours: our listing: polyester satin.</t>
        </is>
      </c>
      <c r="H161" s="107" t="inlineStr">
        <is>
          <t>B08PZKGSSN</t>
        </is>
      </c>
      <c r="I161" s="107" t="inlineStr">
        <is>
          <t>B0H756Q1V9</t>
        </is>
      </c>
      <c r="J161" s="105" t="inlineStr">
        <is>
          <t>Queen</t>
        </is>
      </c>
      <c r="K161" s="105" t="inlineStr">
        <is>
          <t>Brown.</t>
        </is>
      </c>
      <c r="L161" s="108" t="n">
        <v>200</v>
      </c>
      <c r="M161" s="39" t="n"/>
      <c r="N161" s="109" t="n">
        <v>51.29</v>
      </c>
      <c r="O161" s="109" t="n"/>
      <c r="P161" s="110">
        <f>IF(AND(ISNUMBER(O161),ISNUMBER(N161),N(N161)&gt;0),O161/N161-1,"")</f>
        <v/>
      </c>
      <c r="Q161" s="111">
        <f>IF(P161="","No List Price",IF(P161&lt;=0,"At/below price",IF(P161&lt;=0.12,"&lt;=12% STR zone",IF(P161&lt;=0.25,"12-25%","&gt;25% over"))))</f>
        <v/>
      </c>
      <c r="R161" s="109" t="n">
        <v>47.99</v>
      </c>
      <c r="S161" s="112">
        <f>IF(AND(ISNUMBER(N161),ISNUMBER(R161),N(R161)&gt;0),N161/R161-1,"")</f>
        <v/>
      </c>
      <c r="T161" s="39" t="inlineStr">
        <is>
          <t>Same size (Queen), CAD. Ours live: catalog price (CAD), 2026-10-14; 27 children</t>
        </is>
      </c>
      <c r="U161" s="108" t="n">
        <v>303174</v>
      </c>
      <c r="V161" s="108" t="n"/>
      <c r="W161" s="113">
        <f>IF(AND(ISNUMBER(N161),ISNUMBER(V161)),N161*V161*52/12,"")</f>
        <v/>
      </c>
      <c r="X161" s="114" t="n">
        <v>4.4</v>
      </c>
      <c r="Y161" s="108" t="n">
        <v>5953</v>
      </c>
      <c r="Z161" s="115" t="n">
        <v>46309</v>
      </c>
      <c r="AA161" s="115" t="n"/>
      <c r="AB161" s="105" t="n"/>
      <c r="AC161" s="105" t="n"/>
      <c r="AD161" s="108" t="n"/>
      <c r="AE161" s="108" t="n"/>
      <c r="AF161" s="116" t="n"/>
      <c r="AG161" s="116" t="n"/>
      <c r="AH161" s="39" t="n"/>
      <c r="AI161" s="116" t="n"/>
      <c r="AJ161" s="116" t="n"/>
      <c r="AK161" s="116" t="n"/>
      <c r="AL161" s="116" t="n"/>
      <c r="AM161" s="108" t="n"/>
      <c r="AN161" s="108" t="n"/>
      <c r="AO161" s="108" t="n"/>
      <c r="AP161" s="108" t="n"/>
      <c r="AQ161" s="108" t="n"/>
      <c r="AR161" s="108" t="n"/>
      <c r="AS161" s="117" t="n"/>
      <c r="AT161" s="112" t="n"/>
      <c r="AU161" s="118" t="inlineStr">
        <is>
          <t>N</t>
        </is>
      </c>
      <c r="AV161" s="118" t="inlineStr">
        <is>
          <t>none</t>
        </is>
      </c>
      <c r="AW161" s="124" t="n"/>
      <c r="AX161" s="119" t="n">
        <v>51.29</v>
      </c>
      <c r="AY161" s="118" t="inlineStr">
        <is>
          <t>none</t>
        </is>
      </c>
      <c r="AZ161" s="118" t="inlineStr">
        <is>
          <t>Y</t>
        </is>
      </c>
      <c r="BA161" s="118" t="inlineStr">
        <is>
          <t>2026-10-14 00:32:45</t>
        </is>
      </c>
      <c r="BB161" s="120" t="inlineStr">
        <is>
          <t>Not live in 2025</t>
        </is>
      </c>
      <c r="BC161" s="125" t="n"/>
      <c r="BD161" s="124" t="n"/>
      <c r="BE161" s="124" t="n"/>
      <c r="BF161" s="110">
        <f>IF(AND(ISNUMBER(BD161),ISNUMBER(BE161),N(BD161)&gt;0),1-BE161/BD161,"")</f>
        <v/>
      </c>
      <c r="BG161" s="126" t="n"/>
      <c r="BH161" s="126" t="n"/>
      <c r="BI161" s="123">
        <f>IF(AND(ISNUMBER(BG161),ISNUMBER(BH161),N(BH161)&gt;0),BG161/BH161,"")</f>
        <v/>
      </c>
      <c r="BJ161" s="125" t="n"/>
      <c r="BK161" s="120" t="inlineStr">
        <is>
          <t>Amazon.ca organic #5 for 'satin sheets queen 6 piece'; 100% Polyester; variation_count = distinct children exposed in page variation map, not a guaranteed complete catalogue. Bought-past-month badge not displayed.</t>
        </is>
      </c>
    </row>
    <row r="162" ht="62" customHeight="1">
      <c r="A162" s="12">
        <f>_xlfn.IMAGE("https://m.media-amazon.com/images/I/71TbH0l5XfL.jpg")</f>
        <v/>
      </c>
      <c r="B162" s="105" t="inlineStr">
        <is>
          <t>P Pothuiny</t>
        </is>
      </c>
      <c r="C162" s="39" t="inlineStr">
        <is>
          <t>P Pothuiny 6-Piece Queen Satin Sheet Set Burgundy Silky Sheets</t>
        </is>
      </c>
      <c r="D162" s="105" t="inlineStr">
        <is>
          <t>Untiered</t>
        </is>
      </c>
      <c r="E162" s="106" t="inlineStr">
        <is>
          <t>Direct</t>
        </is>
      </c>
      <c r="F162" s="105" t="inlineStr">
        <is>
          <t>Satin (polyester)</t>
        </is>
      </c>
      <c r="G162" s="39" t="inlineStr">
        <is>
          <t>Same product (sheet set) in the same material family: Satin (polyester) (title: P Pothuiny 6-Piece Queen Satin Sheet Set Burgundy Silky Shee); ours: our listing: polyester satin.</t>
        </is>
      </c>
      <c r="H162" s="107" t="inlineStr">
        <is>
          <t>B08T9NBQ1J</t>
        </is>
      </c>
      <c r="I162" s="107" t="inlineStr">
        <is>
          <t>B08QMF6D5W</t>
        </is>
      </c>
      <c r="J162" s="105" t="inlineStr">
        <is>
          <t>Queen</t>
        </is>
      </c>
      <c r="K162" s="105" t="inlineStr">
        <is>
          <t>Burgundy</t>
        </is>
      </c>
      <c r="L162" s="108" t="n">
        <v>37</v>
      </c>
      <c r="M162" s="39" t="n"/>
      <c r="N162" s="109" t="n">
        <v>55.67</v>
      </c>
      <c r="O162" s="109" t="n"/>
      <c r="P162" s="110">
        <f>IF(AND(ISNUMBER(O162),ISNUMBER(N162),N(N162)&gt;0),O162/N162-1,"")</f>
        <v/>
      </c>
      <c r="Q162" s="111">
        <f>IF(P162="","No List Price",IF(P162&lt;=0,"At/below price",IF(P162&lt;=0.12,"&lt;=12% STR zone",IF(P162&lt;=0.25,"12-25%","&gt;25% over"))))</f>
        <v/>
      </c>
      <c r="R162" s="109" t="n">
        <v>47.99</v>
      </c>
      <c r="S162" s="112">
        <f>IF(AND(ISNUMBER(N162),ISNUMBER(R162),N(R162)&gt;0),N162/R162-1,"")</f>
        <v/>
      </c>
      <c r="T162" s="39" t="inlineStr">
        <is>
          <t>Same size (Queen), CAD. Ours live: catalog price (CAD), 2026-10-14; 27 children</t>
        </is>
      </c>
      <c r="U162" s="108" t="n">
        <v>365995</v>
      </c>
      <c r="V162" s="108" t="n"/>
      <c r="W162" s="113">
        <f>IF(AND(ISNUMBER(N162),ISNUMBER(V162)),N162*V162*52/12,"")</f>
        <v/>
      </c>
      <c r="X162" s="114" t="n">
        <v>4.4</v>
      </c>
      <c r="Y162" s="108" t="n">
        <v>3487</v>
      </c>
      <c r="Z162" s="115" t="n">
        <v>46309</v>
      </c>
      <c r="AA162" s="115" t="n"/>
      <c r="AB162" s="105" t="n"/>
      <c r="AC162" s="105" t="n"/>
      <c r="AD162" s="108" t="n"/>
      <c r="AE162" s="108" t="n"/>
      <c r="AF162" s="116" t="n"/>
      <c r="AG162" s="116" t="n"/>
      <c r="AH162" s="39" t="n"/>
      <c r="AI162" s="116" t="n"/>
      <c r="AJ162" s="116" t="n"/>
      <c r="AK162" s="116" t="n"/>
      <c r="AL162" s="116" t="n"/>
      <c r="AM162" s="108" t="n"/>
      <c r="AN162" s="108" t="n"/>
      <c r="AO162" s="108" t="n"/>
      <c r="AP162" s="108" t="n"/>
      <c r="AQ162" s="108" t="n"/>
      <c r="AR162" s="108" t="n"/>
      <c r="AS162" s="117" t="n"/>
      <c r="AT162" s="112" t="n"/>
      <c r="AU162" s="118" t="inlineStr">
        <is>
          <t>N</t>
        </is>
      </c>
      <c r="AV162" s="118" t="inlineStr">
        <is>
          <t>none</t>
        </is>
      </c>
      <c r="AW162" s="124" t="n"/>
      <c r="AX162" s="119" t="n">
        <v>55.67</v>
      </c>
      <c r="AY162" s="118" t="inlineStr">
        <is>
          <t>none</t>
        </is>
      </c>
      <c r="AZ162" s="118" t="inlineStr">
        <is>
          <t>Y</t>
        </is>
      </c>
      <c r="BA162" s="118" t="inlineStr">
        <is>
          <t>2026-10-14 00:33:17</t>
        </is>
      </c>
      <c r="BB162" s="120" t="inlineStr">
        <is>
          <t>None</t>
        </is>
      </c>
      <c r="BC162" s="125" t="n"/>
      <c r="BD162" s="121" t="n">
        <v>50.65</v>
      </c>
      <c r="BE162" s="121" t="n">
        <v>53.14</v>
      </c>
      <c r="BF162" s="110">
        <f>IF(AND(ISNUMBER(BD162),ISNUMBER(BE162),N(BD162)&gt;0),1-BE162/BD162,"")</f>
        <v/>
      </c>
      <c r="BG162" s="122" t="n">
        <v>319532</v>
      </c>
      <c r="BH162" s="122" t="n">
        <v>419524</v>
      </c>
      <c r="BI162" s="123">
        <f>IF(AND(ISNUMBER(BG162),ISNUMBER(BH162),N(BH162)&gt;0),BG162/BH162,"")</f>
        <v/>
      </c>
      <c r="BJ162" s="120" t="inlineStr">
        <is>
          <t>N</t>
        </is>
      </c>
      <c r="BK162" s="120" t="inlineStr">
        <is>
          <t>Amazon.ca organic #6 for 'satin sheets queen 6 piece'; 100% Polyester Satin; variation_count = distinct children exposed in page variation map, not a guaranteed complete catalogue. Bought-past-month badge not displayed. price history: Buy Box RAISED in BFCM week (median C$53.41 vs C$50.65 before)</t>
        </is>
      </c>
    </row>
    <row r="163" ht="62" customHeight="1">
      <c r="A163" s="12">
        <f>_xlfn.IMAGE("https://m.media-amazon.com/images/I/718KDeMA1pL.jpg")</f>
        <v/>
      </c>
      <c r="B163" s="105" t="inlineStr">
        <is>
          <t>GOLAL</t>
        </is>
      </c>
      <c r="C163" s="39" t="inlineStr">
        <is>
          <t>Sage Green Satin Sheets Queen Size - 6 Pieces Silky Soft Bed Sheets</t>
        </is>
      </c>
      <c r="D163" s="105" t="inlineStr">
        <is>
          <t>Untiered</t>
        </is>
      </c>
      <c r="E163" s="106" t="inlineStr">
        <is>
          <t>Direct</t>
        </is>
      </c>
      <c r="F163" s="105" t="inlineStr">
        <is>
          <t>Satin (polyester)</t>
        </is>
      </c>
      <c r="G163" s="39" t="inlineStr">
        <is>
          <t>Same product (sheet set) in the same material family: Satin (polyester) (title: Sage Green Satin Sheets Queen Size - 6 Pieces Silky Soft Bed); ours: our listing: polyester satin.</t>
        </is>
      </c>
      <c r="H163" s="107" t="inlineStr">
        <is>
          <t>B09JB7K1PP</t>
        </is>
      </c>
      <c r="I163" s="107" t="inlineStr">
        <is>
          <t>B0DB5QPHB8</t>
        </is>
      </c>
      <c r="J163" s="105" t="inlineStr">
        <is>
          <t>Queen</t>
        </is>
      </c>
      <c r="K163" s="105" t="inlineStr">
        <is>
          <t>Sage Green</t>
        </is>
      </c>
      <c r="L163" s="108" t="n">
        <v>91</v>
      </c>
      <c r="M163" s="39" t="n"/>
      <c r="N163" s="109" t="n">
        <v>66.66</v>
      </c>
      <c r="O163" s="109" t="n"/>
      <c r="P163" s="110">
        <f>IF(AND(ISNUMBER(O163),ISNUMBER(N163),N(N163)&gt;0),O163/N163-1,"")</f>
        <v/>
      </c>
      <c r="Q163" s="111">
        <f>IF(P163="","No List Price",IF(P163&lt;=0,"At/below price",IF(P163&lt;=0.12,"&lt;=12% STR zone",IF(P163&lt;=0.25,"12-25%","&gt;25% over"))))</f>
        <v/>
      </c>
      <c r="R163" s="109" t="n">
        <v>47.99</v>
      </c>
      <c r="S163" s="112">
        <f>IF(AND(ISNUMBER(N163),ISNUMBER(R163),N(R163)&gt;0),N163/R163-1,"")</f>
        <v/>
      </c>
      <c r="T163" s="39" t="inlineStr">
        <is>
          <t>Same size (Queen), CAD. Ours live: catalog price (CAD), 2026-10-14; 27 children</t>
        </is>
      </c>
      <c r="U163" s="108" t="n">
        <v>18076</v>
      </c>
      <c r="V163" s="108" t="n"/>
      <c r="W163" s="113">
        <f>IF(AND(ISNUMBER(N163),ISNUMBER(V163)),N163*V163*52/12,"")</f>
        <v/>
      </c>
      <c r="X163" s="114" t="n">
        <v>4</v>
      </c>
      <c r="Y163" s="108" t="n">
        <v>31</v>
      </c>
      <c r="Z163" s="115" t="n">
        <v>46309</v>
      </c>
      <c r="AA163" s="115" t="n"/>
      <c r="AB163" s="105" t="n"/>
      <c r="AC163" s="105" t="n"/>
      <c r="AD163" s="108" t="n"/>
      <c r="AE163" s="108" t="n"/>
      <c r="AF163" s="116" t="n"/>
      <c r="AG163" s="116" t="n"/>
      <c r="AH163" s="39" t="n"/>
      <c r="AI163" s="116" t="n"/>
      <c r="AJ163" s="116" t="n"/>
      <c r="AK163" s="116" t="n"/>
      <c r="AL163" s="116" t="n"/>
      <c r="AM163" s="108" t="n"/>
      <c r="AN163" s="108" t="n"/>
      <c r="AO163" s="108" t="n"/>
      <c r="AP163" s="108" t="n"/>
      <c r="AQ163" s="108" t="n"/>
      <c r="AR163" s="108" t="n"/>
      <c r="AS163" s="117" t="n"/>
      <c r="AT163" s="112" t="n"/>
      <c r="AU163" s="118" t="inlineStr">
        <is>
          <t>Y</t>
        </is>
      </c>
      <c r="AV163" s="118" t="inlineStr">
        <is>
          <t>Was price</t>
        </is>
      </c>
      <c r="AW163" s="119" t="n">
        <v>88.09999999999999</v>
      </c>
      <c r="AX163" s="119" t="n">
        <v>66.66</v>
      </c>
      <c r="AY163" s="118" t="inlineStr">
        <is>
          <t>none</t>
        </is>
      </c>
      <c r="AZ163" s="118" t="inlineStr">
        <is>
          <t>Y</t>
        </is>
      </c>
      <c r="BA163" s="118" t="inlineStr">
        <is>
          <t>2026-10-14 00:34:41</t>
        </is>
      </c>
      <c r="BB163" s="120" t="inlineStr">
        <is>
          <t>Prime Exclusive Discount</t>
        </is>
      </c>
      <c r="BC163" s="120" t="inlineStr">
        <is>
          <t>11-20 to 12-01</t>
        </is>
      </c>
      <c r="BD163" s="121" t="n">
        <v>49.99</v>
      </c>
      <c r="BE163" s="121" t="n">
        <v>39.99</v>
      </c>
      <c r="BF163" s="110">
        <f>IF(AND(ISNUMBER(BD163),ISNUMBER(BE163),N(BD163)&gt;0),1-BE163/BD163,"")</f>
        <v/>
      </c>
      <c r="BG163" s="122" t="n">
        <v>5246</v>
      </c>
      <c r="BH163" s="122" t="n">
        <v>5997</v>
      </c>
      <c r="BI163" s="123">
        <f>IF(AND(ISNUMBER(BG163),ISNUMBER(BH163),N(BH163)&gt;0),BG163/BH163,"")</f>
        <v/>
      </c>
      <c r="BJ163" s="120" t="inlineStr">
        <is>
          <t>N</t>
        </is>
      </c>
      <c r="BK163" s="120" t="inlineStr">
        <is>
          <t>Amazon.ca organic #10 for 'satin sheets queen 6 piece'; 100% Polyester; variation_count = distinct children exposed in page variation map, not a guaranteed complete catalogue. Bought-past-month badge not displayed.</t>
        </is>
      </c>
    </row>
    <row r="164" ht="62" customHeight="1">
      <c r="A164" s="12">
        <f>_xlfn.IMAGE("https://m.media-amazon.com/images/I/71NqLu99bjL.jpg")</f>
        <v/>
      </c>
      <c r="B164" s="105" t="inlineStr">
        <is>
          <t>Horbaunal</t>
        </is>
      </c>
      <c r="C164" s="39" t="inlineStr">
        <is>
          <t>Horbaunal 6 Piece Satin Sheet Set Queen Size Luxury Silky &amp; Soft Burgundy Satin Queen Bed Sheet Set with 16" Deep Pocket, 1 Fitted Sheet, 1 Flat Sheet, 4 Pillowcases</t>
        </is>
      </c>
      <c r="D164" s="105" t="inlineStr">
        <is>
          <t>Untiered</t>
        </is>
      </c>
      <c r="E164" s="106" t="inlineStr">
        <is>
          <t>Direct</t>
        </is>
      </c>
      <c r="F164" s="105" t="inlineStr">
        <is>
          <t>Satin (polyester)</t>
        </is>
      </c>
      <c r="G164" s="39" t="inlineStr">
        <is>
          <t>Same product (sheet set) in the same material family: Satin (polyester) (title: Horbaunal 6 Piece Satin Sheet Set Queen Size Luxury Silky &amp; ); ours: our listing: polyester satin.</t>
        </is>
      </c>
      <c r="H164" s="107" t="inlineStr">
        <is>
          <t>B0B853RZWS</t>
        </is>
      </c>
      <c r="I164" s="107" t="inlineStr">
        <is>
          <t>B0B4MWGBCL</t>
        </is>
      </c>
      <c r="J164" s="105" t="inlineStr">
        <is>
          <t>Queen</t>
        </is>
      </c>
      <c r="K164" s="105" t="inlineStr">
        <is>
          <t>Burgundy</t>
        </is>
      </c>
      <c r="L164" s="108" t="n">
        <v>25</v>
      </c>
      <c r="M164" s="39" t="n"/>
      <c r="N164" s="109" t="n">
        <v>54.37</v>
      </c>
      <c r="O164" s="109" t="n"/>
      <c r="P164" s="110">
        <f>IF(AND(ISNUMBER(O164),ISNUMBER(N164),N(N164)&gt;0),O164/N164-1,"")</f>
        <v/>
      </c>
      <c r="Q164" s="111">
        <f>IF(P164="","No List Price",IF(P164&lt;=0,"At/below price",IF(P164&lt;=0.12,"&lt;=12% STR zone",IF(P164&lt;=0.25,"12-25%","&gt;25% over"))))</f>
        <v/>
      </c>
      <c r="R164" s="109" t="n">
        <v>47.99</v>
      </c>
      <c r="S164" s="112">
        <f>IF(AND(ISNUMBER(N164),ISNUMBER(R164),N(R164)&gt;0),N164/R164-1,"")</f>
        <v/>
      </c>
      <c r="T164" s="39" t="inlineStr">
        <is>
          <t>Same size (Queen), CAD. Ours live: catalog price (CAD), 2026-10-14; 27 children</t>
        </is>
      </c>
      <c r="U164" s="108" t="n">
        <v>515168</v>
      </c>
      <c r="V164" s="108" t="n"/>
      <c r="W164" s="113">
        <f>IF(AND(ISNUMBER(N164),ISNUMBER(V164)),N164*V164*52/12,"")</f>
        <v/>
      </c>
      <c r="X164" s="114" t="n">
        <v>4.4</v>
      </c>
      <c r="Y164" s="108" t="n">
        <v>842</v>
      </c>
      <c r="Z164" s="115" t="n">
        <v>46309</v>
      </c>
      <c r="AA164" s="115" t="n"/>
      <c r="AB164" s="105" t="n"/>
      <c r="AC164" s="105" t="n"/>
      <c r="AD164" s="108" t="n"/>
      <c r="AE164" s="108" t="n"/>
      <c r="AF164" s="116" t="n"/>
      <c r="AG164" s="116" t="n"/>
      <c r="AH164" s="39" t="n"/>
      <c r="AI164" s="116" t="n"/>
      <c r="AJ164" s="116" t="n"/>
      <c r="AK164" s="116" t="n"/>
      <c r="AL164" s="116" t="n"/>
      <c r="AM164" s="108" t="n"/>
      <c r="AN164" s="108" t="n"/>
      <c r="AO164" s="108" t="n"/>
      <c r="AP164" s="108" t="n"/>
      <c r="AQ164" s="108" t="n"/>
      <c r="AR164" s="108" t="n"/>
      <c r="AS164" s="117" t="n"/>
      <c r="AT164" s="112" t="n"/>
      <c r="AU164" s="118" t="inlineStr">
        <is>
          <t>Y</t>
        </is>
      </c>
      <c r="AV164" s="118" t="inlineStr">
        <is>
          <t>Was price</t>
        </is>
      </c>
      <c r="AW164" s="119" t="n">
        <v>62.09</v>
      </c>
      <c r="AX164" s="119" t="n">
        <v>54.37</v>
      </c>
      <c r="AY164" s="118" t="inlineStr">
        <is>
          <t>none</t>
        </is>
      </c>
      <c r="AZ164" s="118" t="inlineStr">
        <is>
          <t>Y</t>
        </is>
      </c>
      <c r="BA164" s="118" t="inlineStr">
        <is>
          <t>2026-10-14 00:35:06</t>
        </is>
      </c>
      <c r="BB164" s="120" t="inlineStr">
        <is>
          <t>None</t>
        </is>
      </c>
      <c r="BC164" s="125" t="n"/>
      <c r="BD164" s="121" t="n">
        <v>50.06</v>
      </c>
      <c r="BE164" s="121" t="n">
        <v>58.33</v>
      </c>
      <c r="BF164" s="110">
        <f>IF(AND(ISNUMBER(BD164),ISNUMBER(BE164),N(BD164)&gt;0),1-BE164/BD164,"")</f>
        <v/>
      </c>
      <c r="BG164" s="122" t="n">
        <v>302576</v>
      </c>
      <c r="BH164" s="122" t="n">
        <v>341550</v>
      </c>
      <c r="BI164" s="123">
        <f>IF(AND(ISNUMBER(BG164),ISNUMBER(BH164),N(BH164)&gt;0),BG164/BH164,"")</f>
        <v/>
      </c>
      <c r="BJ164" s="120" t="inlineStr">
        <is>
          <t>N</t>
        </is>
      </c>
      <c r="BK164" s="120" t="inlineStr">
        <is>
          <t>Amazon.ca organic #12 for 'satin sheets queen 6 piece'; 100% Polyester; variation_count = distinct children exposed in page variation map, not a guaranteed complete catalogue. Bought-past-month badge not displayed. price history: Buy Box RAISED in BFCM week (median C$58.62 vs C$50.06 before)</t>
        </is>
      </c>
    </row>
    <row r="165" ht="62" customHeight="1">
      <c r="A165" s="12">
        <f>_xlfn.IMAGE("https://m.media-amazon.com/images/I/51VwRlflBFL.jpg")</f>
        <v/>
      </c>
      <c r="B165" s="105" t="inlineStr">
        <is>
          <t>JUWENIN</t>
        </is>
      </c>
      <c r="C165" s="39" t="inlineStr">
        <is>
          <t>JUWENIN Satin Sheet Set, 6 Piece Soft Silky Bed Sheets Deep Pocket, Good for Skin and Hair 1 Satin Fitted Sheet + 1 Flat Sheet + 4 Pillow Cases(Gray, Queen)</t>
        </is>
      </c>
      <c r="D165" s="105" t="inlineStr">
        <is>
          <t>Untiered</t>
        </is>
      </c>
      <c r="E165" s="106" t="inlineStr">
        <is>
          <t>Direct</t>
        </is>
      </c>
      <c r="F165" s="105" t="inlineStr">
        <is>
          <t>Satin (polyester)</t>
        </is>
      </c>
      <c r="G165" s="39" t="inlineStr">
        <is>
          <t>Same product (sheet set) in the same material family: Satin (polyester) (title: JUWENIN Satin Sheet Set, 6 Piece Soft Silky Bed Sheets Deep ); ours: our listing: polyester satin.</t>
        </is>
      </c>
      <c r="H165" s="107" t="inlineStr">
        <is>
          <t>B0FBL9474N</t>
        </is>
      </c>
      <c r="I165" s="107" t="inlineStr">
        <is>
          <t>B0CN5LRC1T</t>
        </is>
      </c>
      <c r="J165" s="105" t="inlineStr">
        <is>
          <t>Queen</t>
        </is>
      </c>
      <c r="K165" s="105" t="inlineStr">
        <is>
          <t>Gray</t>
        </is>
      </c>
      <c r="L165" s="108" t="n">
        <v>3</v>
      </c>
      <c r="M165" s="39" t="n"/>
      <c r="N165" s="109" t="n">
        <v>49.7</v>
      </c>
      <c r="O165" s="109" t="n"/>
      <c r="P165" s="110">
        <f>IF(AND(ISNUMBER(O165),ISNUMBER(N165),N(N165)&gt;0),O165/N165-1,"")</f>
        <v/>
      </c>
      <c r="Q165" s="111">
        <f>IF(P165="","No List Price",IF(P165&lt;=0,"At/below price",IF(P165&lt;=0.12,"&lt;=12% STR zone",IF(P165&lt;=0.25,"12-25%","&gt;25% over"))))</f>
        <v/>
      </c>
      <c r="R165" s="109" t="n">
        <v>47.99</v>
      </c>
      <c r="S165" s="112">
        <f>IF(AND(ISNUMBER(N165),ISNUMBER(R165),N(R165)&gt;0),N165/R165-1,"")</f>
        <v/>
      </c>
      <c r="T165" s="39" t="inlineStr">
        <is>
          <t>Same size (Queen), CAD. Ours live: catalog price (CAD), 2026-10-14; 27 children</t>
        </is>
      </c>
      <c r="U165" s="108" t="n">
        <v>418002</v>
      </c>
      <c r="V165" s="108" t="n"/>
      <c r="W165" s="113">
        <f>IF(AND(ISNUMBER(N165),ISNUMBER(V165)),N165*V165*52/12,"")</f>
        <v/>
      </c>
      <c r="X165" s="114" t="n"/>
      <c r="Y165" s="108" t="n"/>
      <c r="Z165" s="115" t="n">
        <v>46309</v>
      </c>
      <c r="AA165" s="115" t="n"/>
      <c r="AB165" s="105" t="n"/>
      <c r="AC165" s="105" t="n"/>
      <c r="AD165" s="108" t="n"/>
      <c r="AE165" s="108" t="n"/>
      <c r="AF165" s="116" t="n"/>
      <c r="AG165" s="116" t="n"/>
      <c r="AH165" s="39" t="n"/>
      <c r="AI165" s="116" t="n"/>
      <c r="AJ165" s="116" t="n"/>
      <c r="AK165" s="116" t="n"/>
      <c r="AL165" s="116" t="n"/>
      <c r="AM165" s="108" t="n"/>
      <c r="AN165" s="108" t="n"/>
      <c r="AO165" s="108" t="n"/>
      <c r="AP165" s="108" t="n"/>
      <c r="AQ165" s="108" t="n"/>
      <c r="AR165" s="108" t="n"/>
      <c r="AS165" s="117" t="n"/>
      <c r="AT165" s="112" t="n"/>
      <c r="AU165" s="118" t="inlineStr">
        <is>
          <t>N</t>
        </is>
      </c>
      <c r="AV165" s="118" t="inlineStr">
        <is>
          <t>none</t>
        </is>
      </c>
      <c r="AW165" s="124" t="n"/>
      <c r="AX165" s="119" t="n">
        <v>49.7</v>
      </c>
      <c r="AY165" s="118" t="inlineStr">
        <is>
          <t>none</t>
        </is>
      </c>
      <c r="AZ165" s="118" t="inlineStr">
        <is>
          <t>Y</t>
        </is>
      </c>
      <c r="BA165" s="118" t="inlineStr">
        <is>
          <t>2026-10-14 00:35:22</t>
        </is>
      </c>
      <c r="BB165" s="120" t="inlineStr">
        <is>
          <t>None</t>
        </is>
      </c>
      <c r="BC165" s="125" t="n"/>
      <c r="BD165" s="121" t="n">
        <v>35.93</v>
      </c>
      <c r="BE165" s="121" t="n">
        <v>35.81</v>
      </c>
      <c r="BF165" s="110">
        <f>IF(AND(ISNUMBER(BD165),ISNUMBER(BE165),N(BD165)&gt;0),1-BE165/BD165,"")</f>
        <v/>
      </c>
      <c r="BG165" s="126" t="n"/>
      <c r="BH165" s="126" t="n"/>
      <c r="BI165" s="123">
        <f>IF(AND(ISNUMBER(BG165),ISNUMBER(BH165),N(BH165)&gt;0),BG165/BH165,"")</f>
        <v/>
      </c>
      <c r="BJ165" s="120" t="inlineStr">
        <is>
          <t>N</t>
        </is>
      </c>
      <c r="BK165" s="120" t="inlineStr">
        <is>
          <t>Amazon.ca organic #15 for 'satin sheets queen 6 piece'; 100%polyester Satin; variation_count = distinct children exposed in page variation map, not a guaranteed complete catalogue. Rating not displayed. Bought-past-month badge not displa</t>
        </is>
      </c>
    </row>
    <row r="166" ht="62" customHeight="1">
      <c r="A166" s="12">
        <f>_xlfn.IMAGE("https://m.media-amazon.com/images/I/71r+gBRw83L.jpg")</f>
        <v/>
      </c>
      <c r="B166" s="105" t="inlineStr">
        <is>
          <t>MR&amp;HM</t>
        </is>
      </c>
      <c r="C166" s="39" t="inlineStr">
        <is>
          <t>MR&amp;HM Satin Sheets Queen Size with Elastic Corner Straps, Black</t>
        </is>
      </c>
      <c r="D166" s="105" t="inlineStr">
        <is>
          <t>Untiered</t>
        </is>
      </c>
      <c r="E166" s="106" t="inlineStr">
        <is>
          <t>Direct</t>
        </is>
      </c>
      <c r="F166" s="105" t="inlineStr">
        <is>
          <t>Satin (polyester)</t>
        </is>
      </c>
      <c r="G166" s="39" t="inlineStr">
        <is>
          <t>Same product (sheet set) in the same material family: Satin (polyester) (title: MR&amp;HM Satin Sheets Queen Size with Elastic Corner Straps, Bl); ours: our listing: polyester satin.</t>
        </is>
      </c>
      <c r="H166" s="107" t="inlineStr">
        <is>
          <t>B08NPFTQWB</t>
        </is>
      </c>
      <c r="I166" s="107" t="inlineStr">
        <is>
          <t>B08R64X5P9</t>
        </is>
      </c>
      <c r="J166" s="105" t="inlineStr">
        <is>
          <t>Queen</t>
        </is>
      </c>
      <c r="K166" s="105" t="inlineStr">
        <is>
          <t>01- Black</t>
        </is>
      </c>
      <c r="L166" s="108" t="n">
        <v>182</v>
      </c>
      <c r="M166" s="39" t="n"/>
      <c r="N166" s="109" t="n">
        <v>64.89</v>
      </c>
      <c r="O166" s="109" t="n"/>
      <c r="P166" s="110">
        <f>IF(AND(ISNUMBER(O166),ISNUMBER(N166),N(N166)&gt;0),O166/N166-1,"")</f>
        <v/>
      </c>
      <c r="Q166" s="111">
        <f>IF(P166="","No List Price",IF(P166&lt;=0,"At/below price",IF(P166&lt;=0.12,"&lt;=12% STR zone",IF(P166&lt;=0.25,"12-25%","&gt;25% over"))))</f>
        <v/>
      </c>
      <c r="R166" s="109" t="n">
        <v>47.99</v>
      </c>
      <c r="S166" s="112">
        <f>IF(AND(ISNUMBER(N166),ISNUMBER(R166),N(R166)&gt;0),N166/R166-1,"")</f>
        <v/>
      </c>
      <c r="T166" s="39" t="inlineStr">
        <is>
          <t>Same size (Queen), CAD. Ours live: catalog price (CAD), 2026-10-14; 27 children</t>
        </is>
      </c>
      <c r="U166" s="108" t="n">
        <v>1512</v>
      </c>
      <c r="V166" s="108" t="n"/>
      <c r="W166" s="113">
        <f>IF(AND(ISNUMBER(N166),ISNUMBER(V166)),N166*V166*52/12,"")</f>
        <v/>
      </c>
      <c r="X166" s="114" t="n">
        <v>4.2</v>
      </c>
      <c r="Y166" s="108" t="n">
        <v>17432</v>
      </c>
      <c r="Z166" s="115" t="n">
        <v>46309</v>
      </c>
      <c r="AA166" s="115" t="n"/>
      <c r="AB166" s="105" t="n"/>
      <c r="AC166" s="105" t="n"/>
      <c r="AD166" s="108" t="n"/>
      <c r="AE166" s="108" t="n"/>
      <c r="AF166" s="116" t="n"/>
      <c r="AG166" s="116" t="n"/>
      <c r="AH166" s="39" t="n"/>
      <c r="AI166" s="116" t="n"/>
      <c r="AJ166" s="116" t="n"/>
      <c r="AK166" s="116" t="n"/>
      <c r="AL166" s="116" t="n"/>
      <c r="AM166" s="108" t="n"/>
      <c r="AN166" s="108" t="n"/>
      <c r="AO166" s="108" t="n"/>
      <c r="AP166" s="108" t="n"/>
      <c r="AQ166" s="108" t="n"/>
      <c r="AR166" s="108" t="n"/>
      <c r="AS166" s="117" t="n"/>
      <c r="AT166" s="112" t="n"/>
      <c r="AU166" s="118" t="inlineStr">
        <is>
          <t>Y</t>
        </is>
      </c>
      <c r="AV166" s="118" t="inlineStr">
        <is>
          <t>Was price</t>
        </is>
      </c>
      <c r="AW166" s="119" t="n">
        <v>74.34999999999999</v>
      </c>
      <c r="AX166" s="119" t="n">
        <v>64.89</v>
      </c>
      <c r="AY166" s="118" t="inlineStr">
        <is>
          <t>none</t>
        </is>
      </c>
      <c r="AZ166" s="118" t="inlineStr">
        <is>
          <t>Y</t>
        </is>
      </c>
      <c r="BA166" s="118" t="inlineStr">
        <is>
          <t>2026-10-14 00:35:31</t>
        </is>
      </c>
      <c r="BB166" s="120" t="inlineStr">
        <is>
          <t>None</t>
        </is>
      </c>
      <c r="BC166" s="125" t="n"/>
      <c r="BD166" s="121" t="n">
        <v>90.26000000000001</v>
      </c>
      <c r="BE166" s="121" t="n">
        <v>90.26000000000001</v>
      </c>
      <c r="BF166" s="110">
        <f>IF(AND(ISNUMBER(BD166),ISNUMBER(BE166),N(BD166)&gt;0),1-BE166/BD166,"")</f>
        <v/>
      </c>
      <c r="BG166" s="122" t="n">
        <v>1684</v>
      </c>
      <c r="BH166" s="122" t="n">
        <v>986</v>
      </c>
      <c r="BI166" s="123">
        <f>IF(AND(ISNUMBER(BG166),ISNUMBER(BH166),N(BH166)&gt;0),BG166/BH166,"")</f>
        <v/>
      </c>
      <c r="BJ166" s="120" t="inlineStr">
        <is>
          <t>N</t>
        </is>
      </c>
      <c r="BK166" s="120" t="inlineStr">
        <is>
          <t>Amazon.ca organic #16 for 'satin sheets 6 piece'; 100% Polyester Satin; variation_count = distinct children exposed in page variation map, not a guaranteed complete catalogue. Bought-past-month badge not displayed.</t>
        </is>
      </c>
    </row>
    <row r="167" ht="62" customHeight="1">
      <c r="A167" s="12">
        <f>_xlfn.IMAGE("https://m.media-amazon.com/images/I/81iqkRjtATL.jpg")</f>
        <v/>
      </c>
      <c r="B167" s="105" t="inlineStr">
        <is>
          <t>Madison Park</t>
        </is>
      </c>
      <c r="C167" s="39" t="inlineStr">
        <is>
          <t>Madison Park Essentials Satin Sheet Set Luxury and Silky with Natural Sheen, Elastic 14" Pocket fits up to 16" Mattress, All Around Elastic - Year-Round Bedding, Queen, White, 6 Piece</t>
        </is>
      </c>
      <c r="D167" s="105" t="inlineStr">
        <is>
          <t>Untiered</t>
        </is>
      </c>
      <c r="E167" s="106" t="inlineStr">
        <is>
          <t>Direct</t>
        </is>
      </c>
      <c r="F167" s="105" t="inlineStr">
        <is>
          <t>Satin (polyester)</t>
        </is>
      </c>
      <c r="G167" s="39" t="inlineStr">
        <is>
          <t>Same product (sheet set) in the same material family: Satin (polyester) (title: Madison Park Essentials Satin Sheet Set Luxury and Silky wit); ours: our listing: polyester satin.</t>
        </is>
      </c>
      <c r="H167" s="105" t="n"/>
      <c r="I167" s="107" t="inlineStr">
        <is>
          <t>B09HVFNH3Z</t>
        </is>
      </c>
      <c r="J167" s="105" t="inlineStr">
        <is>
          <t>Queen</t>
        </is>
      </c>
      <c r="K167" s="105" t="inlineStr">
        <is>
          <t>White</t>
        </is>
      </c>
      <c r="L167" s="108" t="n"/>
      <c r="M167" s="39" t="n"/>
      <c r="N167" s="109" t="n">
        <v>59.75</v>
      </c>
      <c r="O167" s="109" t="n"/>
      <c r="P167" s="110">
        <f>IF(AND(ISNUMBER(O167),ISNUMBER(N167),N(N167)&gt;0),O167/N167-1,"")</f>
        <v/>
      </c>
      <c r="Q167" s="111">
        <f>IF(P167="","No List Price",IF(P167&lt;=0,"At/below price",IF(P167&lt;=0.12,"&lt;=12% STR zone",IF(P167&lt;=0.25,"12-25%","&gt;25% over"))))</f>
        <v/>
      </c>
      <c r="R167" s="109" t="n">
        <v>47.99</v>
      </c>
      <c r="S167" s="112">
        <f>IF(AND(ISNUMBER(N167),ISNUMBER(R167),N(R167)&gt;0),N167/R167-1,"")</f>
        <v/>
      </c>
      <c r="T167" s="39" t="inlineStr">
        <is>
          <t>Same size (Queen), CAD. Ours live: catalog price (CAD), 2026-10-14; 27 children</t>
        </is>
      </c>
      <c r="U167" s="108" t="n">
        <v>724759</v>
      </c>
      <c r="V167" s="108" t="n"/>
      <c r="W167" s="113">
        <f>IF(AND(ISNUMBER(N167),ISNUMBER(V167)),N167*V167*52/12,"")</f>
        <v/>
      </c>
      <c r="X167" s="114" t="n">
        <v>4.3</v>
      </c>
      <c r="Y167" s="108" t="n">
        <v>40</v>
      </c>
      <c r="Z167" s="115" t="n">
        <v>46309</v>
      </c>
      <c r="AA167" s="115" t="n"/>
      <c r="AB167" s="105" t="n"/>
      <c r="AC167" s="105" t="n"/>
      <c r="AD167" s="108" t="n"/>
      <c r="AE167" s="108" t="n"/>
      <c r="AF167" s="116" t="n"/>
      <c r="AG167" s="116" t="n"/>
      <c r="AH167" s="39" t="n"/>
      <c r="AI167" s="116" t="n"/>
      <c r="AJ167" s="116" t="n"/>
      <c r="AK167" s="116" t="n"/>
      <c r="AL167" s="116" t="n"/>
      <c r="AM167" s="108" t="n"/>
      <c r="AN167" s="108" t="n"/>
      <c r="AO167" s="108" t="n"/>
      <c r="AP167" s="108" t="n"/>
      <c r="AQ167" s="108" t="n"/>
      <c r="AR167" s="108" t="n"/>
      <c r="AS167" s="117" t="n"/>
      <c r="AT167" s="112" t="n"/>
      <c r="AU167" s="118" t="inlineStr">
        <is>
          <t>N</t>
        </is>
      </c>
      <c r="AV167" s="118" t="inlineStr">
        <is>
          <t>none</t>
        </is>
      </c>
      <c r="AW167" s="124" t="n"/>
      <c r="AX167" s="119" t="n">
        <v>59.75</v>
      </c>
      <c r="AY167" s="118" t="inlineStr">
        <is>
          <t>none</t>
        </is>
      </c>
      <c r="AZ167" s="118" t="inlineStr">
        <is>
          <t>Y</t>
        </is>
      </c>
      <c r="BA167" s="118" t="inlineStr">
        <is>
          <t>2026-10-14 00:35:57</t>
        </is>
      </c>
      <c r="BB167" s="120" t="inlineStr">
        <is>
          <t>None</t>
        </is>
      </c>
      <c r="BC167" s="125" t="n"/>
      <c r="BD167" s="121" t="n">
        <v>48.84</v>
      </c>
      <c r="BE167" s="121" t="n">
        <v>49.08</v>
      </c>
      <c r="BF167" s="110">
        <f>IF(AND(ISNUMBER(BD167),ISNUMBER(BE167),N(BD167)&gt;0),1-BE167/BD167,"")</f>
        <v/>
      </c>
      <c r="BG167" s="122" t="n">
        <v>2466551</v>
      </c>
      <c r="BH167" s="122" t="n">
        <v>1736755</v>
      </c>
      <c r="BI167" s="123">
        <f>IF(AND(ISNUMBER(BG167),ISNUMBER(BH167),N(BH167)&gt;0),BG167/BH167,"")</f>
        <v/>
      </c>
      <c r="BJ167" s="120" t="inlineStr">
        <is>
          <t>N</t>
        </is>
      </c>
      <c r="BK167" s="120" t="inlineStr">
        <is>
          <t>Amazon.ca organic #19 for 'satin sheets queen 6 piece'; 100% Polyester Solid Satin; Page parent field repeats the selected child; no distinct parent ASIN exposed. Treated as standalone observed listing. Parent ASIN not exposed. No child variati</t>
        </is>
      </c>
    </row>
    <row r="168" ht="62" customHeight="1">
      <c r="A168" s="12">
        <f>_xlfn.IMAGE("https://m.media-amazon.com/images/I/71+1229cTuL.jpg")</f>
        <v/>
      </c>
      <c r="B168" s="105" t="inlineStr">
        <is>
          <t>Candoury</t>
        </is>
      </c>
      <c r="C168" s="39" t="inlineStr">
        <is>
          <t>Candoury - Satin Sheet Set 6 Piece Luxury Queen Bed Sheets Set - Soft Durable Flat Sheet Set - Top Sheet, Fitted Sheet &amp; Pillowcases - Hotel Quality (Queen, Burgundy)</t>
        </is>
      </c>
      <c r="D168" s="105" t="inlineStr">
        <is>
          <t>Untiered</t>
        </is>
      </c>
      <c r="E168" s="106" t="inlineStr">
        <is>
          <t>Direct</t>
        </is>
      </c>
      <c r="F168" s="105" t="inlineStr">
        <is>
          <t>Satin (polyester)</t>
        </is>
      </c>
      <c r="G168" s="39" t="inlineStr">
        <is>
          <t>Same product (sheet set) in the same material family: Satin (polyester) (title: Candoury - Satin Sheet Set 6 Piece Luxury Queen Bed Sheets S); ours: our listing: polyester satin.</t>
        </is>
      </c>
      <c r="H168" s="107" t="inlineStr">
        <is>
          <t>B08KHR1MCV</t>
        </is>
      </c>
      <c r="I168" s="107" t="inlineStr">
        <is>
          <t>B08R5WM69J</t>
        </is>
      </c>
      <c r="J168" s="105" t="inlineStr">
        <is>
          <t>Queen</t>
        </is>
      </c>
      <c r="K168" s="105" t="inlineStr">
        <is>
          <t>Burgundy</t>
        </is>
      </c>
      <c r="L168" s="108" t="n">
        <v>58</v>
      </c>
      <c r="M168" s="39" t="n"/>
      <c r="N168" s="109" t="n">
        <v>78.98999999999999</v>
      </c>
      <c r="O168" s="109" t="n"/>
      <c r="P168" s="110">
        <f>IF(AND(ISNUMBER(O168),ISNUMBER(N168),N(N168)&gt;0),O168/N168-1,"")</f>
        <v/>
      </c>
      <c r="Q168" s="111">
        <f>IF(P168="","No List Price",IF(P168&lt;=0,"At/below price",IF(P168&lt;=0.12,"&lt;=12% STR zone",IF(P168&lt;=0.25,"12-25%","&gt;25% over"))))</f>
        <v/>
      </c>
      <c r="R168" s="109" t="n">
        <v>47.99</v>
      </c>
      <c r="S168" s="112">
        <f>IF(AND(ISNUMBER(N168),ISNUMBER(R168),N(R168)&gt;0),N168/R168-1,"")</f>
        <v/>
      </c>
      <c r="T168" s="39" t="inlineStr">
        <is>
          <t>Same size (Queen), CAD. Ours live: catalog price (CAD), 2026-10-14; 27 children</t>
        </is>
      </c>
      <c r="U168" s="108" t="n">
        <v>137725</v>
      </c>
      <c r="V168" s="108" t="n"/>
      <c r="W168" s="113">
        <f>IF(AND(ISNUMBER(N168),ISNUMBER(V168)),N168*V168*52/12,"")</f>
        <v/>
      </c>
      <c r="X168" s="114" t="n">
        <v>4.2</v>
      </c>
      <c r="Y168" s="108" t="n">
        <v>5080</v>
      </c>
      <c r="Z168" s="115" t="n">
        <v>46309</v>
      </c>
      <c r="AA168" s="115" t="n"/>
      <c r="AB168" s="105" t="n"/>
      <c r="AC168" s="105" t="n"/>
      <c r="AD168" s="108" t="n"/>
      <c r="AE168" s="108" t="n"/>
      <c r="AF168" s="116" t="n"/>
      <c r="AG168" s="116" t="n"/>
      <c r="AH168" s="39" t="n"/>
      <c r="AI168" s="116" t="n"/>
      <c r="AJ168" s="116" t="n"/>
      <c r="AK168" s="116" t="n"/>
      <c r="AL168" s="116" t="n"/>
      <c r="AM168" s="108" t="n"/>
      <c r="AN168" s="108" t="n"/>
      <c r="AO168" s="108" t="n"/>
      <c r="AP168" s="108" t="n"/>
      <c r="AQ168" s="108" t="n"/>
      <c r="AR168" s="108" t="n"/>
      <c r="AS168" s="117" t="n"/>
      <c r="AT168" s="112" t="n"/>
      <c r="AU168" s="118" t="inlineStr">
        <is>
          <t>N</t>
        </is>
      </c>
      <c r="AV168" s="118" t="inlineStr">
        <is>
          <t>none</t>
        </is>
      </c>
      <c r="AW168" s="124" t="n"/>
      <c r="AX168" s="119" t="n">
        <v>78.98999999999999</v>
      </c>
      <c r="AY168" s="118" t="inlineStr">
        <is>
          <t>none</t>
        </is>
      </c>
      <c r="AZ168" s="118" t="inlineStr">
        <is>
          <t>Y</t>
        </is>
      </c>
      <c r="BA168" s="118" t="inlineStr">
        <is>
          <t>2026-10-14 00:36:27</t>
        </is>
      </c>
      <c r="BB168" s="120" t="inlineStr">
        <is>
          <t>None</t>
        </is>
      </c>
      <c r="BC168" s="125" t="n"/>
      <c r="BD168" s="121" t="n">
        <v>78.34</v>
      </c>
      <c r="BE168" s="121" t="n">
        <v>78.34</v>
      </c>
      <c r="BF168" s="110">
        <f>IF(AND(ISNUMBER(BD168),ISNUMBER(BE168),N(BD168)&gt;0),1-BE168/BD168,"")</f>
        <v/>
      </c>
      <c r="BG168" s="122" t="n">
        <v>7224</v>
      </c>
      <c r="BH168" s="122" t="n">
        <v>14624</v>
      </c>
      <c r="BI168" s="123">
        <f>IF(AND(ISNUMBER(BG168),ISNUMBER(BH168),N(BH168)&gt;0),BG168/BH168,"")</f>
        <v/>
      </c>
      <c r="BJ168" s="120" t="inlineStr">
        <is>
          <t>N</t>
        </is>
      </c>
      <c r="BK168" s="120" t="inlineStr">
        <is>
          <t>Amazon.ca organic #24 for 'satin sheets queen 6 piece'; 100% Satin Polyester; Orderable; availability wording: Usually ships within 3 to 4 days variation_count = distinct children exposed in page variation map, not a guaranteed complete c</t>
        </is>
      </c>
    </row>
    <row r="169" ht="62" customHeight="1">
      <c r="A169" s="12">
        <f>_xlfn.IMAGE("https://m.media-amazon.com/images/I/71DuFRcKCPL.jpg")</f>
        <v/>
      </c>
      <c r="B169" s="105" t="inlineStr">
        <is>
          <t>P Pothuiny</t>
        </is>
      </c>
      <c r="C169" s="39" t="inlineStr">
        <is>
          <t>P Pothuiny 6-Piece Queen Satin Sheet Set Flint Blue Striped Printed</t>
        </is>
      </c>
      <c r="D169" s="105" t="inlineStr">
        <is>
          <t>Untiered</t>
        </is>
      </c>
      <c r="E169" s="106" t="inlineStr">
        <is>
          <t>Direct</t>
        </is>
      </c>
      <c r="F169" s="105" t="inlineStr">
        <is>
          <t>Satin (polyester)</t>
        </is>
      </c>
      <c r="G169" s="39" t="inlineStr">
        <is>
          <t>Same product (sheet set) in the same material family: Satin (polyester) (title: P Pothuiny 6-Piece Queen Satin Sheet Set Flint Blue Striped ); ours: our listing: polyester satin.</t>
        </is>
      </c>
      <c r="H169" s="105" t="n"/>
      <c r="I169" s="107" t="inlineStr">
        <is>
          <t>B0B3D4SBB1</t>
        </is>
      </c>
      <c r="J169" s="105" t="inlineStr">
        <is>
          <t>Queen</t>
        </is>
      </c>
      <c r="K169" s="105" t="inlineStr">
        <is>
          <t>Flint Blue</t>
        </is>
      </c>
      <c r="L169" s="108" t="n"/>
      <c r="M169" s="39" t="n"/>
      <c r="N169" s="109" t="n">
        <v>59.4</v>
      </c>
      <c r="O169" s="109" t="n"/>
      <c r="P169" s="110">
        <f>IF(AND(ISNUMBER(O169),ISNUMBER(N169),N(N169)&gt;0),O169/N169-1,"")</f>
        <v/>
      </c>
      <c r="Q169" s="111">
        <f>IF(P169="","No List Price",IF(P169&lt;=0,"At/below price",IF(P169&lt;=0.12,"&lt;=12% STR zone",IF(P169&lt;=0.25,"12-25%","&gt;25% over"))))</f>
        <v/>
      </c>
      <c r="R169" s="109" t="n">
        <v>47.99</v>
      </c>
      <c r="S169" s="112">
        <f>IF(AND(ISNUMBER(N169),ISNUMBER(R169),N(R169)&gt;0),N169/R169-1,"")</f>
        <v/>
      </c>
      <c r="T169" s="39" t="inlineStr">
        <is>
          <t>Same size (Queen), CAD. Ours live: catalog price (CAD), 2026-10-14; 27 children</t>
        </is>
      </c>
      <c r="U169" s="108" t="n">
        <v>1923711</v>
      </c>
      <c r="V169" s="108" t="n"/>
      <c r="W169" s="113">
        <f>IF(AND(ISNUMBER(N169),ISNUMBER(V169)),N169*V169*52/12,"")</f>
        <v/>
      </c>
      <c r="X169" s="114" t="n">
        <v>4.4</v>
      </c>
      <c r="Y169" s="108" t="n">
        <v>23</v>
      </c>
      <c r="Z169" s="115" t="n">
        <v>46309</v>
      </c>
      <c r="AA169" s="115" t="n"/>
      <c r="AB169" s="105" t="n"/>
      <c r="AC169" s="105" t="n"/>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N</t>
        </is>
      </c>
      <c r="AV169" s="118" t="inlineStr">
        <is>
          <t>none</t>
        </is>
      </c>
      <c r="AW169" s="124" t="n"/>
      <c r="AX169" s="119" t="n">
        <v>59.4</v>
      </c>
      <c r="AY169" s="118" t="inlineStr">
        <is>
          <t>none</t>
        </is>
      </c>
      <c r="AZ169" s="118" t="inlineStr">
        <is>
          <t>Y</t>
        </is>
      </c>
      <c r="BA169" s="118" t="inlineStr">
        <is>
          <t>2026-10-14 00:37:14</t>
        </is>
      </c>
      <c r="BB169" s="125" t="n"/>
      <c r="BC169" s="125" t="n"/>
      <c r="BD169" s="121" t="n">
        <v>69.28</v>
      </c>
      <c r="BE169" s="124" t="n"/>
      <c r="BF169" s="110">
        <f>IF(AND(ISNUMBER(BD169),ISNUMBER(BE169),N(BD169)&gt;0),1-BE169/BD169,"")</f>
        <v/>
      </c>
      <c r="BG169" s="126" t="n"/>
      <c r="BH169" s="126" t="n"/>
      <c r="BI169" s="123">
        <f>IF(AND(ISNUMBER(BG169),ISNUMBER(BH169),N(BH169)&gt;0),BG169/BH169,"")</f>
        <v/>
      </c>
      <c r="BJ169" s="120" t="inlineStr">
        <is>
          <t>Y</t>
        </is>
      </c>
      <c r="BK169" s="120" t="inlineStr">
        <is>
          <t>Amazon.ca organic #31 for 'satin sheets queen 6 piece'; Satin; Page parent field repeats the selected child; no distinct parent ASIN exposed. Treated as standalone observed listing. Parent ASIN not exposed. No child variati price history: No Buy Box history in price history for BFCM 2025</t>
        </is>
      </c>
    </row>
    <row r="170" ht="62" customHeight="1">
      <c r="A170" s="12">
        <f>_xlfn.IMAGE("https://m.media-amazon.com/images/I/7137mOom6hL.jpg")</f>
        <v/>
      </c>
      <c r="B170" s="105" t="inlineStr">
        <is>
          <t>TREELY</t>
        </is>
      </c>
      <c r="C170" s="39" t="inlineStr">
        <is>
          <t>TREELY 6 Piece Satin Sheets King Size Silky Smooth Beige Satin Sheet Set with Deep Pocket, Satin Fitted Sheet, Flat Sheet, 4 Satin Pillowcase</t>
        </is>
      </c>
      <c r="D170" s="105" t="inlineStr">
        <is>
          <t>Untiered</t>
        </is>
      </c>
      <c r="E170" s="106" t="inlineStr">
        <is>
          <t>Direct</t>
        </is>
      </c>
      <c r="F170" s="105" t="inlineStr">
        <is>
          <t>Satin (polyester)</t>
        </is>
      </c>
      <c r="G170" s="39" t="inlineStr">
        <is>
          <t>Same product (sheet set) in the same material family: Satin (polyester) (title: TREELY 6 Piece Satin Sheets King Size Silky Smooth Beige Sat); ours: our listing: polyester satin.</t>
        </is>
      </c>
      <c r="H170" s="105" t="n"/>
      <c r="I170" s="107" t="inlineStr">
        <is>
          <t>B0CG8XWGLK</t>
        </is>
      </c>
      <c r="J170" s="105" t="inlineStr">
        <is>
          <t>King</t>
        </is>
      </c>
      <c r="K170" s="105" t="inlineStr">
        <is>
          <t>Beige</t>
        </is>
      </c>
      <c r="L170" s="108" t="n"/>
      <c r="M170" s="39" t="n"/>
      <c r="N170" s="109" t="n">
        <v>47.57</v>
      </c>
      <c r="O170" s="109" t="n"/>
      <c r="P170" s="110">
        <f>IF(AND(ISNUMBER(O170),ISNUMBER(N170),N(N170)&gt;0),O170/N170-1,"")</f>
        <v/>
      </c>
      <c r="Q170" s="111">
        <f>IF(P170="","No List Price",IF(P170&lt;=0,"At/below price",IF(P170&lt;=0.12,"&lt;=12% STR zone",IF(P170&lt;=0.25,"12-25%","&gt;25% over"))))</f>
        <v/>
      </c>
      <c r="R170" s="109" t="n">
        <v>49.99</v>
      </c>
      <c r="S170" s="112">
        <f>IF(AND(ISNUMBER(N170),ISNUMBER(R170),N(R170)&gt;0),N170/R170-1,"")</f>
        <v/>
      </c>
      <c r="T170" s="39" t="inlineStr">
        <is>
          <t>Same size (King), CAD. Ours live: catalog price (CAD), 2026-10-14; 23 children</t>
        </is>
      </c>
      <c r="U170" s="108" t="n"/>
      <c r="V170" s="108" t="n"/>
      <c r="W170" s="113">
        <f>IF(AND(ISNUMBER(N170),ISNUMBER(V170)),N170*V170*52/12,"")</f>
        <v/>
      </c>
      <c r="X170" s="114" t="n">
        <v>5</v>
      </c>
      <c r="Y170" s="108" t="n">
        <v>3</v>
      </c>
      <c r="Z170" s="115" t="n">
        <v>46309</v>
      </c>
      <c r="AA170" s="115" t="n"/>
      <c r="AB170" s="105" t="n"/>
      <c r="AC170" s="105" t="n"/>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N</t>
        </is>
      </c>
      <c r="AV170" s="118" t="inlineStr">
        <is>
          <t>none</t>
        </is>
      </c>
      <c r="AW170" s="124" t="n"/>
      <c r="AX170" s="119" t="n">
        <v>47.57</v>
      </c>
      <c r="AY170" s="118" t="inlineStr">
        <is>
          <t>none</t>
        </is>
      </c>
      <c r="AZ170" s="118" t="inlineStr">
        <is>
          <t>Y</t>
        </is>
      </c>
      <c r="BA170" s="118" t="inlineStr">
        <is>
          <t>2026-10-14 00:38:13</t>
        </is>
      </c>
      <c r="BB170" s="120" t="inlineStr">
        <is>
          <t>None</t>
        </is>
      </c>
      <c r="BC170" s="125" t="n"/>
      <c r="BD170" s="121" t="n">
        <v>47.61</v>
      </c>
      <c r="BE170" s="121" t="n">
        <v>80.37</v>
      </c>
      <c r="BF170" s="110">
        <f>IF(AND(ISNUMBER(BD170),ISNUMBER(BE170),N(BD170)&gt;0),1-BE170/BD170,"")</f>
        <v/>
      </c>
      <c r="BG170" s="122" t="n">
        <v>2525706</v>
      </c>
      <c r="BH170" s="122" t="n">
        <v>2571578</v>
      </c>
      <c r="BI170" s="123">
        <f>IF(AND(ISNUMBER(BG170),ISNUMBER(BH170),N(BH170)&gt;0),BG170/BH170,"")</f>
        <v/>
      </c>
      <c r="BJ170" s="120" t="inlineStr">
        <is>
          <t>N</t>
        </is>
      </c>
      <c r="BK170" s="120" t="inlineStr">
        <is>
          <t>Amazon.ca organic #37 for 'satin sheets 6 piece'; Satin; No Queen option exposed; King used. Page parent field repeats the selected child; no distinct parent ASIN exposed. Treated as standalone observed listing. Paren price history: Buy Box RAISED in BFCM week (median C$80.37 vs C$47.61 before)</t>
        </is>
      </c>
    </row>
    <row r="171" ht="62" customHeight="1">
      <c r="A171" s="12">
        <f>_xlfn.IMAGE("https://m.media-amazon.com/images/I/81WDDYbsuoL.jpg")</f>
        <v/>
      </c>
      <c r="B171" s="105" t="inlineStr">
        <is>
          <t>Madison Park</t>
        </is>
      </c>
      <c r="C171" s="39" t="inlineStr">
        <is>
          <t>Madison Park Satin Sheets Queen Size, Luxurious Silky Bed Sheets, Elastic 14" Pocket fits up to 16" Mattress, Wrinkle-Free, Soft Satin Bed Sheet Set, Emerald 6 Piece</t>
        </is>
      </c>
      <c r="D171" s="105" t="inlineStr">
        <is>
          <t>Untiered</t>
        </is>
      </c>
      <c r="E171" s="106" t="inlineStr">
        <is>
          <t>Direct</t>
        </is>
      </c>
      <c r="F171" s="105" t="inlineStr">
        <is>
          <t>Satin (polyester)</t>
        </is>
      </c>
      <c r="G171" s="39" t="inlineStr">
        <is>
          <t>Same product (sheet set) in the same material family: Satin (polyester) (title: Madison Park Satin Sheets Queen Size, Luxurious Silky Bed Sh); ours: our listing: polyester satin.</t>
        </is>
      </c>
      <c r="H171" s="107" t="inlineStr">
        <is>
          <t>B0DDQD35D4</t>
        </is>
      </c>
      <c r="I171" s="107" t="inlineStr">
        <is>
          <t>B0DDQ6H23P</t>
        </is>
      </c>
      <c r="J171" s="105" t="inlineStr">
        <is>
          <t>Queen</t>
        </is>
      </c>
      <c r="K171" s="105" t="inlineStr">
        <is>
          <t>Emerald Green</t>
        </is>
      </c>
      <c r="L171" s="108" t="n">
        <v>39</v>
      </c>
      <c r="M171" s="39" t="n"/>
      <c r="N171" s="109" t="n">
        <v>96.7</v>
      </c>
      <c r="O171" s="109" t="n"/>
      <c r="P171" s="110">
        <f>IF(AND(ISNUMBER(O171),ISNUMBER(N171),N(N171)&gt;0),O171/N171-1,"")</f>
        <v/>
      </c>
      <c r="Q171" s="111">
        <f>IF(P171="","No List Price",IF(P171&lt;=0,"At/below price",IF(P171&lt;=0.12,"&lt;=12% STR zone",IF(P171&lt;=0.25,"12-25%","&gt;25% over"))))</f>
        <v/>
      </c>
      <c r="R171" s="109" t="n">
        <v>47.99</v>
      </c>
      <c r="S171" s="112">
        <f>IF(AND(ISNUMBER(N171),ISNUMBER(R171),N(R171)&gt;0),N171/R171-1,"")</f>
        <v/>
      </c>
      <c r="T171" s="39" t="inlineStr">
        <is>
          <t>Same size (Queen), CAD. Ours live: catalog price (CAD), 2026-10-14; 27 children</t>
        </is>
      </c>
      <c r="U171" s="108" t="n">
        <v>724244</v>
      </c>
      <c r="V171" s="108" t="n"/>
      <c r="W171" s="113">
        <f>IF(AND(ISNUMBER(N171),ISNUMBER(V171)),N171*V171*52/12,"")</f>
        <v/>
      </c>
      <c r="X171" s="114" t="n">
        <v>4.2</v>
      </c>
      <c r="Y171" s="108" t="n">
        <v>110</v>
      </c>
      <c r="Z171" s="115" t="n">
        <v>46309</v>
      </c>
      <c r="AA171" s="115" t="n"/>
      <c r="AB171" s="105" t="n"/>
      <c r="AC171" s="105" t="n"/>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N</t>
        </is>
      </c>
      <c r="AV171" s="118" t="inlineStr">
        <is>
          <t>none</t>
        </is>
      </c>
      <c r="AW171" s="124" t="n"/>
      <c r="AX171" s="119" t="n">
        <v>96.7</v>
      </c>
      <c r="AY171" s="118" t="inlineStr">
        <is>
          <t>none</t>
        </is>
      </c>
      <c r="AZ171" s="118" t="inlineStr">
        <is>
          <t>Y</t>
        </is>
      </c>
      <c r="BA171" s="118" t="inlineStr">
        <is>
          <t>2026-10-14 00:38:18</t>
        </is>
      </c>
      <c r="BB171" s="125" t="n"/>
      <c r="BC171" s="125" t="n"/>
      <c r="BD171" s="124" t="n"/>
      <c r="BE171" s="124" t="n"/>
      <c r="BF171" s="110">
        <f>IF(AND(ISNUMBER(BD171),ISNUMBER(BE171),N(BD171)&gt;0),1-BE171/BD171,"")</f>
        <v/>
      </c>
      <c r="BG171" s="122" t="n">
        <v>1822924</v>
      </c>
      <c r="BH171" s="122" t="n">
        <v>1822924</v>
      </c>
      <c r="BI171" s="123">
        <f>IF(AND(ISNUMBER(BG171),ISNUMBER(BH171),N(BH171)&gt;0),BG171/BH171,"")</f>
        <v/>
      </c>
      <c r="BJ171" s="125" t="n"/>
      <c r="BK171" s="120" t="inlineStr">
        <is>
          <t>Amazon.ca organic #37 for 'satin sheets queen 6 piece'; Satin; variation_count = distinct children exposed in page variation map, not a guaranteed complete catalogue. Bought-past-month badge not displayed. price history: No Buy Box history in price history for BFCM 2025</t>
        </is>
      </c>
    </row>
    <row r="172" ht="62" customHeight="1">
      <c r="A172" s="12">
        <f>_xlfn.IMAGE("https://m.media-amazon.com/images/I/81gVMcbJ+9L.jpg")</f>
        <v/>
      </c>
      <c r="B172" s="105" t="inlineStr">
        <is>
          <t>Madison Park</t>
        </is>
      </c>
      <c r="C172" s="39" t="inlineStr">
        <is>
          <t>Madison Park Essentials Premier Comfort SHET20-173 Satin 6 Piece Sheet Set, Queen, Black</t>
        </is>
      </c>
      <c r="D172" s="105" t="inlineStr">
        <is>
          <t>Untiered</t>
        </is>
      </c>
      <c r="E172" s="106" t="inlineStr">
        <is>
          <t>Direct</t>
        </is>
      </c>
      <c r="F172" s="105" t="inlineStr">
        <is>
          <t>Satin (polyester)</t>
        </is>
      </c>
      <c r="G172" s="39" t="inlineStr">
        <is>
          <t>Same product (sheet set) in the same material family: Satin (polyester) (title: Madison Park Essentials Premier Comfort SHET20-173 Satin 6 P); ours: our listing: polyester satin.</t>
        </is>
      </c>
      <c r="H172" s="107" t="inlineStr">
        <is>
          <t>B07N97B765</t>
        </is>
      </c>
      <c r="I172" s="107" t="inlineStr">
        <is>
          <t>B0053WL9UA</t>
        </is>
      </c>
      <c r="J172" s="105" t="inlineStr">
        <is>
          <t>Queen</t>
        </is>
      </c>
      <c r="K172" s="105" t="inlineStr">
        <is>
          <t>Black</t>
        </is>
      </c>
      <c r="L172" s="108" t="n">
        <v>15</v>
      </c>
      <c r="M172" s="39" t="n"/>
      <c r="N172" s="109" t="n">
        <v>61.99</v>
      </c>
      <c r="O172" s="109" t="n"/>
      <c r="P172" s="110">
        <f>IF(AND(ISNUMBER(O172),ISNUMBER(N172),N(N172)&gt;0),O172/N172-1,"")</f>
        <v/>
      </c>
      <c r="Q172" s="111">
        <f>IF(P172="","No List Price",IF(P172&lt;=0,"At/below price",IF(P172&lt;=0.12,"&lt;=12% STR zone",IF(P172&lt;=0.25,"12-25%","&gt;25% over"))))</f>
        <v/>
      </c>
      <c r="R172" s="109" t="n">
        <v>47.99</v>
      </c>
      <c r="S172" s="112">
        <f>IF(AND(ISNUMBER(N172),ISNUMBER(R172),N(R172)&gt;0),N172/R172-1,"")</f>
        <v/>
      </c>
      <c r="T172" s="39" t="inlineStr">
        <is>
          <t>Same size (Queen), CAD. Ours live: catalog price (CAD), 2026-10-14; 27 children</t>
        </is>
      </c>
      <c r="U172" s="108" t="n">
        <v>823880</v>
      </c>
      <c r="V172" s="108" t="n"/>
      <c r="W172" s="113">
        <f>IF(AND(ISNUMBER(N172),ISNUMBER(V172)),N172*V172*52/12,"")</f>
        <v/>
      </c>
      <c r="X172" s="114" t="n">
        <v>4</v>
      </c>
      <c r="Y172" s="108" t="n">
        <v>2955</v>
      </c>
      <c r="Z172" s="115" t="n">
        <v>46309</v>
      </c>
      <c r="AA172" s="115" t="n"/>
      <c r="AB172" s="105" t="n"/>
      <c r="AC172" s="105" t="n"/>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N</t>
        </is>
      </c>
      <c r="AV172" s="118" t="inlineStr">
        <is>
          <t>none</t>
        </is>
      </c>
      <c r="AW172" s="124" t="n"/>
      <c r="AX172" s="119" t="n">
        <v>61.99</v>
      </c>
      <c r="AY172" s="118" t="inlineStr">
        <is>
          <t>none</t>
        </is>
      </c>
      <c r="AZ172" s="118" t="inlineStr">
        <is>
          <t>Y</t>
        </is>
      </c>
      <c r="BA172" s="118" t="inlineStr">
        <is>
          <t>2026-10-14 00:38:33</t>
        </is>
      </c>
      <c r="BB172" s="120" t="inlineStr">
        <is>
          <t>None</t>
        </is>
      </c>
      <c r="BC172" s="125" t="n"/>
      <c r="BD172" s="121" t="n">
        <v>50.69</v>
      </c>
      <c r="BE172" s="121" t="n">
        <v>48.16</v>
      </c>
      <c r="BF172" s="110">
        <f>IF(AND(ISNUMBER(BD172),ISNUMBER(BE172),N(BD172)&gt;0),1-BE172/BD172,"")</f>
        <v/>
      </c>
      <c r="BG172" s="122" t="n">
        <v>468544</v>
      </c>
      <c r="BH172" s="122" t="n">
        <v>388988</v>
      </c>
      <c r="BI172" s="123">
        <f>IF(AND(ISNUMBER(BG172),ISNUMBER(BH172),N(BH172)&gt;0),BG172/BH172,"")</f>
        <v/>
      </c>
      <c r="BJ172" s="120" t="inlineStr">
        <is>
          <t>N</t>
        </is>
      </c>
      <c r="BK172" s="120" t="inlineStr">
        <is>
          <t>Amazon.ca organic #39 for 'satin sheets queen 6 piece'; Polyester; Page Fabric Type field is non-material text (3.27); Material field used instead. variation_count = distinct children exposed in page variation map, not a guaran</t>
        </is>
      </c>
    </row>
    <row r="173" ht="62" customHeight="1">
      <c r="A173" s="12">
        <f>_xlfn.IMAGE("https://m.media-amazon.com/images/I/71VWxLeKClL.jpg")</f>
        <v/>
      </c>
      <c r="B173" s="105" t="inlineStr">
        <is>
          <t>P Pothuiny</t>
        </is>
      </c>
      <c r="C173" s="39" t="inlineStr">
        <is>
          <t>P Pothuiny 6-Piece Queen Satin Sheet Set Burnt Orange Silky Sheets</t>
        </is>
      </c>
      <c r="D173" s="105" t="inlineStr">
        <is>
          <t>Untiered</t>
        </is>
      </c>
      <c r="E173" s="106" t="inlineStr">
        <is>
          <t>Direct</t>
        </is>
      </c>
      <c r="F173" s="105" t="inlineStr">
        <is>
          <t>Satin (polyester)</t>
        </is>
      </c>
      <c r="G173" s="39" t="inlineStr">
        <is>
          <t>Same product (sheet set) in the same material family: Satin (polyester) (title: P Pothuiny 6-Piece Queen Satin Sheet Set Burnt Orange Silky ); ours: our listing: polyester satin.</t>
        </is>
      </c>
      <c r="H173" s="105" t="n"/>
      <c r="I173" s="107" t="inlineStr">
        <is>
          <t>B09W2QF9B8</t>
        </is>
      </c>
      <c r="J173" s="105" t="inlineStr">
        <is>
          <t>Queen</t>
        </is>
      </c>
      <c r="K173" s="105" t="inlineStr">
        <is>
          <t>Burnt Orange</t>
        </is>
      </c>
      <c r="L173" s="108" t="n"/>
      <c r="M173" s="39" t="n"/>
      <c r="N173" s="109" t="n">
        <v>59.5</v>
      </c>
      <c r="O173" s="109" t="n"/>
      <c r="P173" s="110">
        <f>IF(AND(ISNUMBER(O173),ISNUMBER(N173),N(N173)&gt;0),O173/N173-1,"")</f>
        <v/>
      </c>
      <c r="Q173" s="111">
        <f>IF(P173="","No List Price",IF(P173&lt;=0,"At/below price",IF(P173&lt;=0.12,"&lt;=12% STR zone",IF(P173&lt;=0.25,"12-25%","&gt;25% over"))))</f>
        <v/>
      </c>
      <c r="R173" s="109" t="n">
        <v>47.99</v>
      </c>
      <c r="S173" s="112">
        <f>IF(AND(ISNUMBER(N173),ISNUMBER(R173),N(R173)&gt;0),N173/R173-1,"")</f>
        <v/>
      </c>
      <c r="T173" s="39" t="inlineStr">
        <is>
          <t>Same size (Queen), CAD. Ours live: catalog price (CAD), 2026-10-14; 27 children</t>
        </is>
      </c>
      <c r="U173" s="108" t="n"/>
      <c r="V173" s="108" t="n"/>
      <c r="W173" s="113">
        <f>IF(AND(ISNUMBER(N173),ISNUMBER(V173)),N173*V173*52/12,"")</f>
        <v/>
      </c>
      <c r="X173" s="114" t="n">
        <v>4</v>
      </c>
      <c r="Y173" s="108" t="n">
        <v>64</v>
      </c>
      <c r="Z173" s="115" t="n">
        <v>46309</v>
      </c>
      <c r="AA173" s="115" t="n"/>
      <c r="AB173" s="105" t="n"/>
      <c r="AC173" s="105" t="n"/>
      <c r="AD173" s="108" t="n"/>
      <c r="AE173" s="108" t="n"/>
      <c r="AF173" s="116" t="n"/>
      <c r="AG173" s="116" t="n"/>
      <c r="AH173" s="39" t="n"/>
      <c r="AI173" s="116" t="n"/>
      <c r="AJ173" s="116" t="n"/>
      <c r="AK173" s="116" t="n"/>
      <c r="AL173" s="116" t="n"/>
      <c r="AM173" s="108" t="n"/>
      <c r="AN173" s="108" t="n"/>
      <c r="AO173" s="108" t="n"/>
      <c r="AP173" s="108" t="n"/>
      <c r="AQ173" s="108" t="n"/>
      <c r="AR173" s="108" t="n"/>
      <c r="AS173" s="117" t="n"/>
      <c r="AT173" s="112" t="n"/>
      <c r="AU173" s="118" t="inlineStr">
        <is>
          <t>N</t>
        </is>
      </c>
      <c r="AV173" s="118" t="inlineStr">
        <is>
          <t>none</t>
        </is>
      </c>
      <c r="AW173" s="124" t="n"/>
      <c r="AX173" s="119" t="n">
        <v>59.5</v>
      </c>
      <c r="AY173" s="118" t="inlineStr">
        <is>
          <t>none</t>
        </is>
      </c>
      <c r="AZ173" s="118" t="inlineStr">
        <is>
          <t>Y</t>
        </is>
      </c>
      <c r="BA173" s="118" t="inlineStr">
        <is>
          <t>2026-10-14 00:38:36</t>
        </is>
      </c>
      <c r="BB173" s="120" t="inlineStr">
        <is>
          <t>None</t>
        </is>
      </c>
      <c r="BC173" s="125" t="n"/>
      <c r="BD173" s="121" t="n">
        <v>74.34</v>
      </c>
      <c r="BE173" s="121" t="n">
        <v>74.34</v>
      </c>
      <c r="BF173" s="110">
        <f>IF(AND(ISNUMBER(BD173),ISNUMBER(BE173),N(BD173)&gt;0),1-BE173/BD173,"")</f>
        <v/>
      </c>
      <c r="BG173" s="126" t="n"/>
      <c r="BH173" s="126" t="n"/>
      <c r="BI173" s="123">
        <f>IF(AND(ISNUMBER(BG173),ISNUMBER(BH173),N(BH173)&gt;0),BG173/BH173,"")</f>
        <v/>
      </c>
      <c r="BJ173" s="120" t="inlineStr">
        <is>
          <t>N</t>
        </is>
      </c>
      <c r="BK173" s="120" t="inlineStr">
        <is>
          <t>Amazon.ca organic #40 for 'satin sheets queen 6 piece'; 100% Polyester Satin; Page parent field repeats the selected child; no distinct parent ASIN exposed. Treated as standalone observed listing. Parent ASIN not exposed. No child variati</t>
        </is>
      </c>
    </row>
    <row r="174" ht="62" customHeight="1">
      <c r="A174" s="12">
        <f>_xlfn.IMAGE("https://m.media-amazon.com/images/I/81ZfhNYfpcL.jpg")</f>
        <v/>
      </c>
      <c r="B174" s="105" t="inlineStr">
        <is>
          <t>Madison Park</t>
        </is>
      </c>
      <c r="C174" s="39" t="inlineStr">
        <is>
          <t>Madison Park Essentials Polyester Satin 6 Piece Sheet Set with Ivory MPE20-904, Queen</t>
        </is>
      </c>
      <c r="D174" s="105" t="inlineStr">
        <is>
          <t>Untiered</t>
        </is>
      </c>
      <c r="E174" s="128" t="inlineStr">
        <is>
          <t>Alternative material</t>
        </is>
      </c>
      <c r="F174" s="105" t="inlineStr">
        <is>
          <t>Microfiber / polyester</t>
        </is>
      </c>
      <c r="G174" s="39" t="inlineStr">
        <is>
          <t>Sheet set in Microfiber / polyester (product page material: Polyester); ours is Satin (polyester) (our listing: polyester satin). Shopper may cross-shop, but not like-for-like.</t>
        </is>
      </c>
      <c r="H174" s="107" t="inlineStr">
        <is>
          <t>B0H7TMMW5T</t>
        </is>
      </c>
      <c r="I174" s="107" t="inlineStr">
        <is>
          <t>B09HVCPNLX</t>
        </is>
      </c>
      <c r="J174" s="105" t="inlineStr">
        <is>
          <t>Queen</t>
        </is>
      </c>
      <c r="K174" s="105" t="inlineStr">
        <is>
          <t>Ivory</t>
        </is>
      </c>
      <c r="L174" s="108" t="n">
        <v>1</v>
      </c>
      <c r="M174" s="39" t="n"/>
      <c r="N174" s="109" t="n">
        <v>52.62</v>
      </c>
      <c r="O174" s="109" t="n"/>
      <c r="P174" s="110">
        <f>IF(AND(ISNUMBER(O174),ISNUMBER(N174),N(N174)&gt;0),O174/N174-1,"")</f>
        <v/>
      </c>
      <c r="Q174" s="111">
        <f>IF(P174="","No List Price",IF(P174&lt;=0,"At/below price",IF(P174&lt;=0.12,"&lt;=12% STR zone",IF(P174&lt;=0.25,"12-25%","&gt;25% over"))))</f>
        <v/>
      </c>
      <c r="R174" s="109" t="n">
        <v>47.99</v>
      </c>
      <c r="S174" s="112">
        <f>IF(AND(ISNUMBER(N174),ISNUMBER(R174),N(R174)&gt;0),N174/R174-1,"")</f>
        <v/>
      </c>
      <c r="T174" s="39" t="inlineStr">
        <is>
          <t>Same size (Queen), CAD. Ours live: catalog price (CAD), 2026-10-14; 27 children</t>
        </is>
      </c>
      <c r="U174" s="108" t="n">
        <v>678123</v>
      </c>
      <c r="V174" s="108" t="n"/>
      <c r="W174" s="113">
        <f>IF(AND(ISNUMBER(N174),ISNUMBER(V174)),N174*V174*52/12,"")</f>
        <v/>
      </c>
      <c r="X174" s="114" t="n">
        <v>4.4</v>
      </c>
      <c r="Y174" s="108" t="n">
        <v>123</v>
      </c>
      <c r="Z174" s="115" t="n">
        <v>46309</v>
      </c>
      <c r="AA174" s="115" t="n"/>
      <c r="AB174" s="105" t="n"/>
      <c r="AC174" s="105" t="n"/>
      <c r="AD174" s="108" t="n"/>
      <c r="AE174" s="108" t="n"/>
      <c r="AF174" s="116" t="n"/>
      <c r="AG174" s="116" t="n"/>
      <c r="AH174" s="39" t="n"/>
      <c r="AI174" s="116" t="n"/>
      <c r="AJ174" s="116" t="n"/>
      <c r="AK174" s="116" t="n"/>
      <c r="AL174" s="116" t="n"/>
      <c r="AM174" s="108" t="n"/>
      <c r="AN174" s="108" t="n"/>
      <c r="AO174" s="108" t="n"/>
      <c r="AP174" s="108" t="n"/>
      <c r="AQ174" s="108" t="n"/>
      <c r="AR174" s="108" t="n"/>
      <c r="AS174" s="117" t="n"/>
      <c r="AT174" s="112" t="n"/>
      <c r="AU174" s="118" t="inlineStr">
        <is>
          <t>N</t>
        </is>
      </c>
      <c r="AV174" s="118" t="inlineStr">
        <is>
          <t>none</t>
        </is>
      </c>
      <c r="AW174" s="124" t="n"/>
      <c r="AX174" s="119" t="n">
        <v>52.62</v>
      </c>
      <c r="AY174" s="118" t="inlineStr">
        <is>
          <t>none</t>
        </is>
      </c>
      <c r="AZ174" s="118" t="inlineStr">
        <is>
          <t>Y</t>
        </is>
      </c>
      <c r="BA174" s="118" t="inlineStr">
        <is>
          <t>2026-10-14 00:34:31</t>
        </is>
      </c>
      <c r="BB174" s="120" t="inlineStr">
        <is>
          <t>None</t>
        </is>
      </c>
      <c r="BC174" s="125" t="n"/>
      <c r="BD174" s="121" t="n">
        <v>55.24</v>
      </c>
      <c r="BE174" s="121" t="n">
        <v>57.27</v>
      </c>
      <c r="BF174" s="110">
        <f>IF(AND(ISNUMBER(BD174),ISNUMBER(BE174),N(BD174)&gt;0),1-BE174/BD174,"")</f>
        <v/>
      </c>
      <c r="BG174" s="122" t="n">
        <v>647758</v>
      </c>
      <c r="BH174" s="122" t="n">
        <v>582566</v>
      </c>
      <c r="BI174" s="123">
        <f>IF(AND(ISNUMBER(BG174),ISNUMBER(BH174),N(BH174)&gt;0),BG174/BH174,"")</f>
        <v/>
      </c>
      <c r="BJ174" s="120" t="inlineStr">
        <is>
          <t>N</t>
        </is>
      </c>
      <c r="BK174" s="120" t="inlineStr">
        <is>
          <t>Amazon.ca organic #9 for 'satin sheets queen 6 piece'; 100% Polyester Solid Satin; variation_count = distinct children exposed in page variation map, not a guaranteed complete catalogue. Bought-past-month badge not displayed. Material attribut</t>
        </is>
      </c>
    </row>
    <row r="175"/>
    <row r="176" ht="22" customHeight="1">
      <c r="A176" s="65" t="inlineStr">
        <is>
          <t>5 ▼</t>
        </is>
      </c>
      <c r="B176" s="66" t="inlineStr">
        <is>
          <t>WHAT THIS MEANS FOR BFCM</t>
        </is>
      </c>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c r="AC176" s="67" t="n"/>
      <c r="AD176" s="67" t="n"/>
      <c r="AE176" s="67" t="n"/>
      <c r="AF176" s="67" t="n"/>
      <c r="AG176" s="67" t="n"/>
      <c r="AH176" s="67" t="n"/>
      <c r="AI176" s="67" t="n"/>
      <c r="AJ176" s="67" t="n"/>
      <c r="AK176" s="67" t="n"/>
      <c r="AL176" s="67" t="n"/>
      <c r="AM176" s="67"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row>
    <row r="177" ht="30" customHeight="1">
      <c r="A177" s="129" t="inlineStr">
        <is>
          <t>• Price: 2 of 15 rivals sit below our price today (same size where the title states one). Cheapest strong rivals: JUWENIN $27.99, TREELY $47.57. CA prices are CAD; ours is the live Amazon.ca price (catalog price) where held.</t>
        </is>
      </c>
    </row>
    <row r="178" ht="30" customHeight="1">
      <c r="A178" s="129" t="inlineStr">
        <is>
          <t>• Top organic on Amazon.ca (Oct 13): #1 JUWENIN $27.99 (satin sheets 6 piece); #5 Love's cabin $51.29 (satin sheets queen 6 piece); #6 P Pothuiny $55.67 (satin sheets queen 6 piece); #9 Madison Park $52.62 (satin sheets queen 6 piece); #10 GOLAL $66.66 (satin sheets queen 6 piece).</t>
        </is>
      </c>
    </row>
    <row r="179" ht="30" customHeight="1">
      <c r="A179" s="129" t="inlineStr">
        <is>
          <t>• Strikethrough on the page today (Oct 13 check): 3 of 15 checked rivals show one: GOLAL Was price $88.10 vs $66.66 (+32%), Horbaunal Was price $62.09 vs $54.37 (+14%), MR&amp;HM Was price $74.35 vs $64.89 (+15%).</t>
        </is>
      </c>
    </row>
    <row r="180" ht="18" customHeight="1">
      <c r="A180" s="129" t="inlineStr">
        <is>
          <t>• Our BFCM 2025: 2.98x daily sales in BFCM week vs the 30 days before; TACoS 13.5% vs 16.8% before; December 2.01x.</t>
        </is>
      </c>
    </row>
  </sheetData>
  <autoFilter ref="B159:BK174"/>
  <mergeCells count="62">
    <mergeCell ref="A157:BK157"/>
    <mergeCell ref="A148:BK148"/>
    <mergeCell ref="L5:Q5"/>
    <mergeCell ref="A178:BK178"/>
    <mergeCell ref="A145:C145"/>
    <mergeCell ref="Q11:T11"/>
    <mergeCell ref="A139:C139"/>
    <mergeCell ref="L8:Q8"/>
    <mergeCell ref="N158:Z158"/>
    <mergeCell ref="L4:Q4"/>
    <mergeCell ref="D7:I7"/>
    <mergeCell ref="A13:D13"/>
    <mergeCell ref="I13:L13"/>
    <mergeCell ref="A153:BK153"/>
    <mergeCell ref="AA158:AC158"/>
    <mergeCell ref="BB158:BK158"/>
    <mergeCell ref="D4:I4"/>
    <mergeCell ref="L10:Q10"/>
    <mergeCell ref="E12:H12"/>
    <mergeCell ref="Q13:T13"/>
    <mergeCell ref="A141:C141"/>
    <mergeCell ref="A177:BK177"/>
    <mergeCell ref="D9:I9"/>
    <mergeCell ref="U12:X12"/>
    <mergeCell ref="L9:Q9"/>
    <mergeCell ref="Q12:T12"/>
    <mergeCell ref="A140:C140"/>
    <mergeCell ref="A11:D11"/>
    <mergeCell ref="A144:C144"/>
    <mergeCell ref="I11:L11"/>
    <mergeCell ref="A149:BK149"/>
    <mergeCell ref="D8:I8"/>
    <mergeCell ref="L6:Q6"/>
    <mergeCell ref="A4:B9"/>
    <mergeCell ref="A158:K158"/>
    <mergeCell ref="T6:Y6"/>
    <mergeCell ref="A179:BK179"/>
    <mergeCell ref="AD158:AT158"/>
    <mergeCell ref="D5:I5"/>
    <mergeCell ref="A151:BK151"/>
    <mergeCell ref="M11:P11"/>
    <mergeCell ref="A143:C143"/>
    <mergeCell ref="U11:X11"/>
    <mergeCell ref="A150:BK150"/>
    <mergeCell ref="AU158:BA158"/>
    <mergeCell ref="E13:H13"/>
    <mergeCell ref="D10:I10"/>
    <mergeCell ref="L7:Q7"/>
    <mergeCell ref="T5:Y5"/>
    <mergeCell ref="A138:C138"/>
    <mergeCell ref="A147:BK147"/>
    <mergeCell ref="A180:BK180"/>
    <mergeCell ref="A12:D12"/>
    <mergeCell ref="M13:P13"/>
    <mergeCell ref="A152:BK152"/>
    <mergeCell ref="I12:L12"/>
    <mergeCell ref="U13:X13"/>
    <mergeCell ref="A146:C146"/>
    <mergeCell ref="M12:P12"/>
    <mergeCell ref="T4:Y4"/>
    <mergeCell ref="D6:I6"/>
    <mergeCell ref="E11:H11"/>
  </mergeCells>
  <conditionalFormatting sqref="Q160:Q174">
    <cfRule type="expression" priority="1" dxfId="1">
      <formula>Q160="&lt;=12% STR zone"</formula>
    </cfRule>
  </conditionalFormatting>
  <conditionalFormatting sqref="Z160:Z174">
    <cfRule type="expression" priority="2" dxfId="0">
      <formula>AND(ISNUMBER(Z160),Z160&lt;DATE(2026,10,6))</formula>
    </cfRule>
  </conditionalFormatting>
  <conditionalFormatting sqref="T160:T174">
    <cfRule type="expression" priority="3" dxfId="0">
      <formula>ISNUMBER(SEARCH("STALE",T160))</formula>
    </cfRule>
  </conditionalFormatting>
  <conditionalFormatting sqref="S160:S174">
    <cfRule type="expression" priority="4" dxfId="0">
      <formula>AND(ISNUMBER(S160),S160&lt;0)</formula>
    </cfRule>
  </conditionalFormatting>
  <dataValidations count="3">
    <dataValidation sqref="AU160:AU174 BJ160:BJ174" showDropDown="0" showInputMessage="0" showErrorMessage="0" allowBlank="1" type="list">
      <formula1>"Y,N"</formula1>
    </dataValidation>
    <dataValidation sqref="AV160:AV174" showDropDown="0" showInputMessage="0" showErrorMessage="0" allowBlank="1" type="list">
      <formula1>"List Price,Typical price,Was price,None"</formula1>
    </dataValidation>
    <dataValidation sqref="BB160:BB174"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DC S6'!A3" display="1 Our product ↓"/>
    <hyperlink ref="D2" location="'CA DC S6'!A15" display="2 Our variations ↓"/>
    <hyperlink ref="E2" location="'CA DC S6'!A137" display="3 Our BFCM 2025 ↓"/>
    <hyperlink ref="F2" location="'CA DC S6'!A155" display="4 COMPETITORS (15 mapped) ↓"/>
    <hyperlink ref="G2" location="'CA DC S6'!A176" display="5 What it means ↓"/>
    <hyperlink xmlns:r="http://schemas.openxmlformats.org/officeDocument/2006/relationships" ref="H160" r:id="rId1"/>
    <hyperlink xmlns:r="http://schemas.openxmlformats.org/officeDocument/2006/relationships" ref="I160" r:id="rId2"/>
    <hyperlink xmlns:r="http://schemas.openxmlformats.org/officeDocument/2006/relationships" ref="H161" r:id="rId3"/>
    <hyperlink xmlns:r="http://schemas.openxmlformats.org/officeDocument/2006/relationships" ref="I161" r:id="rId4"/>
    <hyperlink xmlns:r="http://schemas.openxmlformats.org/officeDocument/2006/relationships" ref="H162" r:id="rId5"/>
    <hyperlink xmlns:r="http://schemas.openxmlformats.org/officeDocument/2006/relationships" ref="I162" r:id="rId6"/>
    <hyperlink xmlns:r="http://schemas.openxmlformats.org/officeDocument/2006/relationships" ref="H163" r:id="rId7"/>
    <hyperlink xmlns:r="http://schemas.openxmlformats.org/officeDocument/2006/relationships" ref="I163" r:id="rId8"/>
    <hyperlink xmlns:r="http://schemas.openxmlformats.org/officeDocument/2006/relationships" ref="H164" r:id="rId9"/>
    <hyperlink xmlns:r="http://schemas.openxmlformats.org/officeDocument/2006/relationships" ref="I164" r:id="rId10"/>
    <hyperlink xmlns:r="http://schemas.openxmlformats.org/officeDocument/2006/relationships" ref="H165" r:id="rId11"/>
    <hyperlink xmlns:r="http://schemas.openxmlformats.org/officeDocument/2006/relationships" ref="I165" r:id="rId12"/>
    <hyperlink xmlns:r="http://schemas.openxmlformats.org/officeDocument/2006/relationships" ref="H166" r:id="rId13"/>
    <hyperlink xmlns:r="http://schemas.openxmlformats.org/officeDocument/2006/relationships" ref="I166" r:id="rId14"/>
    <hyperlink xmlns:r="http://schemas.openxmlformats.org/officeDocument/2006/relationships" ref="I167" r:id="rId15"/>
    <hyperlink xmlns:r="http://schemas.openxmlformats.org/officeDocument/2006/relationships" ref="H168" r:id="rId16"/>
    <hyperlink xmlns:r="http://schemas.openxmlformats.org/officeDocument/2006/relationships" ref="I168" r:id="rId17"/>
    <hyperlink xmlns:r="http://schemas.openxmlformats.org/officeDocument/2006/relationships" ref="I169" r:id="rId18"/>
    <hyperlink xmlns:r="http://schemas.openxmlformats.org/officeDocument/2006/relationships" ref="I170" r:id="rId19"/>
    <hyperlink xmlns:r="http://schemas.openxmlformats.org/officeDocument/2006/relationships" ref="H171" r:id="rId20"/>
    <hyperlink xmlns:r="http://schemas.openxmlformats.org/officeDocument/2006/relationships" ref="I171" r:id="rId21"/>
    <hyperlink xmlns:r="http://schemas.openxmlformats.org/officeDocument/2006/relationships" ref="H172" r:id="rId22"/>
    <hyperlink xmlns:r="http://schemas.openxmlformats.org/officeDocument/2006/relationships" ref="I172" r:id="rId23"/>
    <hyperlink xmlns:r="http://schemas.openxmlformats.org/officeDocument/2006/relationships" ref="I173" r:id="rId24"/>
    <hyperlink xmlns:r="http://schemas.openxmlformats.org/officeDocument/2006/relationships" ref="H174" r:id="rId25"/>
    <hyperlink xmlns:r="http://schemas.openxmlformats.org/officeDocument/2006/relationships" ref="I174" r:id="rId26"/>
  </hyperlink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F4B183"/>
    <outlinePr summaryBelow="1" summaryRight="1"/>
    <pageSetUpPr/>
  </sheetPr>
  <dimension ref="A1:BK178"/>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Sleephoria Satin Sheets 4 Piece · Amazon.ca (CA) · Satin · BFCM role: Clearance with margin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_xlfn.IMAGE("https://m.media-amazon.com/images/I/816QTAjFcGL._AC_SL1500_.jpg")</f>
        <v/>
      </c>
      <c r="C4" s="13" t="inlineStr">
        <is>
          <t>Title</t>
        </is>
      </c>
      <c r="D4" s="14" t="inlineStr">
        <is>
          <t>Sleep Sanctuary Satin Sheets King Size – 4 Piece Luxury Silky Bed Set, Softer Than Silk, 15" Deep Pocket, Cooling &amp; Wrinkle-Free, Moisture-Wicking &amp; Breathable for Hair &amp; Skin (Stone Grey)</t>
        </is>
      </c>
      <c r="K4" s="13" t="inlineStr">
        <is>
          <t>Sizes</t>
        </is>
      </c>
      <c r="L4" s="68" t="inlineStr">
        <is>
          <t>Full, King, Queen, Twin</t>
        </is>
      </c>
      <c r="S4" s="13" t="inlineStr">
        <is>
          <t>Break-even ACoS</t>
        </is>
      </c>
      <c r="T4" s="68" t="inlineStr">
        <is>
          <t>42%</t>
        </is>
      </c>
    </row>
    <row r="5" ht="22" customHeight="1">
      <c r="C5" s="13" t="inlineStr">
        <is>
          <t>Brand</t>
        </is>
      </c>
      <c r="D5" s="68" t="inlineStr">
        <is>
          <t>Sleephoria</t>
        </is>
      </c>
      <c r="K5" s="13" t="inlineStr">
        <is>
          <t>Colours</t>
        </is>
      </c>
      <c r="L5" s="68" t="inlineStr">
        <is>
          <t>Baby Blue, Black, Blue, Blush Pink, Burnt Orange, Champagne, Dark Green, Gold, Grey, Ivory, Lavender, Navy Blue, Pink, Purple, Red, Rosewood, Sage Green, Sea Teal, Stone Grey, Striped Black, Striped Blue, Striped Gold, Striped Grey, Striped Pink, Striped Purple, Striped Red, Striped White, Taupe, White</t>
        </is>
      </c>
      <c r="S5" s="13" t="inlineStr">
        <is>
          <t>Units last 28 days</t>
        </is>
      </c>
      <c r="T5" s="68" t="inlineStr">
        <is>
          <t>31</t>
        </is>
      </c>
    </row>
    <row r="6" ht="22" customHeight="1">
      <c r="C6" s="13" t="inlineStr">
        <is>
          <t>Marketplace</t>
        </is>
      </c>
      <c r="D6" s="68" t="inlineStr">
        <is>
          <t>Amazon.ca (CA)</t>
        </is>
      </c>
      <c r="K6" s="13" t="inlineStr">
        <is>
          <t>Price now, best child</t>
        </is>
      </c>
      <c r="L6" s="68" t="inlineStr">
        <is>
          <t>$49.95 (catalog price (CAD), 2026-10-14)</t>
        </is>
      </c>
      <c r="S6" s="13" t="inlineStr">
        <is>
          <t>market data product ASIN</t>
        </is>
      </c>
      <c r="T6" s="68" t="inlineStr">
        <is>
          <t>B0DDR4HJCS (one of our child ASINs, not the Amazon parent)</t>
        </is>
      </c>
    </row>
    <row r="7" ht="22" customHeight="1">
      <c r="C7" s="13" t="inlineStr">
        <is>
          <t>Parent ASIN (Amazon)</t>
        </is>
      </c>
      <c r="D7" s="68" t="inlineStr">
        <is>
          <t>B0F2Z7C4ST</t>
        </is>
      </c>
      <c r="K7" s="13" t="inlineStr">
        <is>
          <t>Rating / reviews now</t>
        </is>
      </c>
      <c r="L7" s="68" t="inlineStr">
        <is>
          <t>4.4 / 1,090 (catalog price (CAD), 2026-10-14)</t>
        </is>
      </c>
    </row>
    <row r="8" ht="22" customHeight="1">
      <c r="C8" s="13" t="inlineStr">
        <is>
          <t>Best-selling child ASIN</t>
        </is>
      </c>
      <c r="D8" s="68" t="inlineStr">
        <is>
          <t>B0DDR1ZPRZ</t>
        </is>
      </c>
      <c r="K8" s="13" t="inlineStr">
        <is>
          <t>Live prices held</t>
        </is>
      </c>
      <c r="L8" s="68" t="inlineStr">
        <is>
          <t>86 of 116 variations</t>
        </is>
      </c>
    </row>
    <row r="9" ht="22" customHeight="1">
      <c r="C9" s="13" t="inlineStr">
        <is>
          <t>Stage</t>
        </is>
      </c>
      <c r="D9" s="68" t="inlineStr">
        <is>
          <t>Maintenance</t>
        </is>
      </c>
      <c r="K9" s="13" t="inlineStr">
        <is>
          <t>Blended price (market data)</t>
        </is>
      </c>
      <c r="L9" s="68" t="inlineStr">
        <is>
          <t>$49.47 - fee feed as of 2026-03-30, STALE</t>
        </is>
      </c>
    </row>
    <row r="10">
      <c r="C10" s="13" t="inlineStr">
        <is>
          <t>Total variations (SKUs)</t>
        </is>
      </c>
      <c r="D10" s="68" t="n">
        <v>116</v>
      </c>
      <c r="K10" s="13" t="inlineStr">
        <is>
          <t>Contribution / unit</t>
        </is>
      </c>
      <c r="L10" s="68" t="inlineStr">
        <is>
          <t>$20.75</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1.52x</t>
        </is>
      </c>
      <c r="E12" s="70" t="inlineStr">
        <is>
          <t>0.0%</t>
        </is>
      </c>
      <c r="I12" s="70" t="inlineStr">
        <is>
          <t>3.72x</t>
        </is>
      </c>
      <c r="M12" s="70" t="inlineStr">
        <is>
          <t>15</t>
        </is>
      </c>
      <c r="Q12" s="70" t="inlineStr">
        <is>
          <t>10</t>
        </is>
      </c>
      <c r="U12" s="70" t="inlineStr">
        <is>
          <t>6 of 15</t>
        </is>
      </c>
    </row>
    <row r="13">
      <c r="A13" s="71" t="inlineStr">
        <is>
          <t>daily sales, BFCM wk vs 30 days before (account data actual)</t>
        </is>
      </c>
      <c r="E13" s="71" t="inlineStr">
        <is>
          <t>vs 0.0%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(116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_xlfn.IMAGE("https://m.media-amazon.com/images/I/81+cpLtli8L.jpg")</f>
        <v/>
      </c>
      <c r="B18" s="39" t="inlineStr">
        <is>
          <t>B0DDRKVH9Q</t>
        </is>
      </c>
      <c r="C18" s="39" t="inlineStr">
        <is>
          <t>SS-SATIN-BLACK-KING-4PCS</t>
        </is>
      </c>
      <c r="D18" s="39" t="inlineStr">
        <is>
          <t>Sleep Sanctuary Satin Sheets King Size – 4 Piece Luxury Silky Bed Set, Softer Than Silk, 15" Deep Pocket, Cooling &amp; Wrinkle-Free, Moisture-Wicking &amp; Breathable for Hair &amp; Skin (Black)</t>
        </is>
      </c>
      <c r="E18" s="39" t="inlineStr">
        <is>
          <t>King</t>
        </is>
      </c>
      <c r="F18" s="39" t="inlineStr">
        <is>
          <t>Black</t>
        </is>
      </c>
      <c r="G18" s="73" t="n">
        <v>49.95</v>
      </c>
      <c r="H18" s="39" t="inlineStr">
        <is>
          <t>catalog price (CAD), 2026-10-14</t>
        </is>
      </c>
      <c r="I18" s="74" t="n">
        <v>49.95</v>
      </c>
      <c r="J18" s="75" t="inlineStr">
        <is>
          <t>2026-03-30</t>
        </is>
      </c>
      <c r="K18" s="40" t="n">
        <v>21.37</v>
      </c>
      <c r="L18" s="76" t="n">
        <v>0.4278278278278277</v>
      </c>
      <c r="M18" s="77" t="n">
        <v>3</v>
      </c>
      <c r="N18" s="39" t="inlineStr">
        <is>
          <t>Active</t>
        </is>
      </c>
      <c r="O18" s="39" t="n"/>
      <c r="P18" s="78" t="n">
        <v>4.4</v>
      </c>
      <c r="Q18" s="77" t="n">
        <v>1090</v>
      </c>
      <c r="R18" s="77" t="n">
        <v>64523</v>
      </c>
      <c r="S18" s="77" t="n">
        <v>0.4656</v>
      </c>
      <c r="T18" s="39" t="n"/>
    </row>
    <row r="19" ht="62" customHeight="1">
      <c r="A19" s="12">
        <f>_xlfn.IMAGE("https://m.media-amazon.com/images/I/81BW8ryqp0L.jpg")</f>
        <v/>
      </c>
      <c r="B19" s="39" t="inlineStr">
        <is>
          <t>B0DDQZ6VT4</t>
        </is>
      </c>
      <c r="C19" s="39" t="inlineStr">
        <is>
          <t>SS-SATIN-WHITE-KING-4PCS</t>
        </is>
      </c>
      <c r="D19" s="39" t="inlineStr">
        <is>
          <t>Sleep Sanctuary Satin Sheets King Size – 4 Piece Luxury Silky Bed Set, Softer Than Silk, 15" Deep Pocket, Cooling &amp; Wrinkle-Free, Moisture-Wicking &amp; Breathable for Hair &amp; Skin (White)</t>
        </is>
      </c>
      <c r="E19" s="39" t="inlineStr">
        <is>
          <t>King</t>
        </is>
      </c>
      <c r="F19" s="39" t="inlineStr">
        <is>
          <t>White</t>
        </is>
      </c>
      <c r="G19" s="73" t="n">
        <v>49.95</v>
      </c>
      <c r="H19" s="39" t="inlineStr">
        <is>
          <t>catalog price (CAD), 2026-10-14</t>
        </is>
      </c>
      <c r="I19" s="74" t="n">
        <v>49.95</v>
      </c>
      <c r="J19" s="75" t="inlineStr">
        <is>
          <t>2026-03-30</t>
        </is>
      </c>
      <c r="K19" s="40" t="n">
        <v>21.21</v>
      </c>
      <c r="L19" s="76" t="n">
        <v>0.4246246246246246</v>
      </c>
      <c r="M19" s="77" t="n">
        <v>3</v>
      </c>
      <c r="N19" s="39" t="inlineStr">
        <is>
          <t>Active</t>
        </is>
      </c>
      <c r="O19" s="39" t="n"/>
      <c r="P19" s="78" t="n">
        <v>4.4</v>
      </c>
      <c r="Q19" s="77" t="n">
        <v>1090</v>
      </c>
      <c r="R19" s="77" t="n">
        <v>64523</v>
      </c>
      <c r="S19" s="77" t="n">
        <v>2</v>
      </c>
      <c r="T19" s="39" t="n"/>
    </row>
    <row r="20" ht="62" customHeight="1">
      <c r="A20" s="12">
        <f>_xlfn.IMAGE("https://m.media-amazon.com/images/I/81qEq06R1GL.jpg")</f>
        <v/>
      </c>
      <c r="B20" s="39" t="inlineStr">
        <is>
          <t>B0DDR6MK7V</t>
        </is>
      </c>
      <c r="C20" s="39" t="inlineStr">
        <is>
          <t>SS-SATIN-BABY-BLUE-KING-4PCS</t>
        </is>
      </c>
      <c r="D20" s="39" t="inlineStr">
        <is>
          <t>Sleep Sanctuary Satin Sheets King Size – 4 Piece Luxury Silky Bed Set, Softer Than Silk, 15" Deep Pocket, Cooling &amp; Wrinkle-Free, Moisture-Wicking &amp; Breathable for Hair &amp; Skin (Baby Blue)</t>
        </is>
      </c>
      <c r="E20" s="39" t="inlineStr">
        <is>
          <t>King</t>
        </is>
      </c>
      <c r="F20" s="39" t="inlineStr">
        <is>
          <t>Baby Blue</t>
        </is>
      </c>
      <c r="G20" s="73" t="n">
        <v>49.95</v>
      </c>
      <c r="H20" s="39" t="inlineStr">
        <is>
          <t>catalog price (CAD), 2026-10-14</t>
        </is>
      </c>
      <c r="I20" s="74" t="n">
        <v>49.95</v>
      </c>
      <c r="J20" s="75" t="inlineStr">
        <is>
          <t>2026-03-30</t>
        </is>
      </c>
      <c r="K20" s="40" t="n">
        <v>21.12</v>
      </c>
      <c r="L20" s="76" t="n">
        <v>0.4228228228228227</v>
      </c>
      <c r="M20" s="77" t="n">
        <v>2</v>
      </c>
      <c r="N20" s="39" t="inlineStr">
        <is>
          <t>Active</t>
        </is>
      </c>
      <c r="O20" s="39" t="n"/>
      <c r="P20" s="78" t="n">
        <v>4.4</v>
      </c>
      <c r="Q20" s="77" t="n">
        <v>1090</v>
      </c>
      <c r="R20" s="77" t="n">
        <v>64523</v>
      </c>
      <c r="S20" s="77" t="n">
        <v>0.4785</v>
      </c>
      <c r="T20" s="39" t="n"/>
    </row>
    <row r="21" ht="62" customHeight="1">
      <c r="A21" s="12">
        <f>_xlfn.IMAGE("https://m.media-amazon.com/images/I/817pb6oL4YL.jpg")</f>
        <v/>
      </c>
      <c r="B21" s="39" t="inlineStr">
        <is>
          <t>B0DDRB7NTZ</t>
        </is>
      </c>
      <c r="C21" s="39" t="inlineStr">
        <is>
          <t>SS-SATIN-CHAMPAGNE-KING-4PCS</t>
        </is>
      </c>
      <c r="D21" s="39" t="inlineStr">
        <is>
          <t>Sleep Sanctuary Satin Sheets King Size – 4 Piece Luxury Silky Bed Set, Softer Than Silk, 15" Deep Pocket, Cooling &amp; Wrinkle-Free, Moisture-Wicking &amp; Breathable for Hair &amp; Skin (Champagne)</t>
        </is>
      </c>
      <c r="E21" s="39" t="inlineStr">
        <is>
          <t>King</t>
        </is>
      </c>
      <c r="F21" s="39" t="inlineStr">
        <is>
          <t>Champagne</t>
        </is>
      </c>
      <c r="G21" s="73" t="n">
        <v>49.95</v>
      </c>
      <c r="H21" s="39" t="inlineStr">
        <is>
          <t>catalog price (CAD), 2026-10-14</t>
        </is>
      </c>
      <c r="I21" s="74" t="n">
        <v>49.95</v>
      </c>
      <c r="J21" s="75" t="inlineStr">
        <is>
          <t>2026-03-30</t>
        </is>
      </c>
      <c r="K21" s="40" t="n">
        <v>20.79</v>
      </c>
      <c r="L21" s="76" t="n">
        <v>0.4162162162162162</v>
      </c>
      <c r="M21" s="77" t="n">
        <v>2</v>
      </c>
      <c r="N21" s="39" t="inlineStr">
        <is>
          <t>Active</t>
        </is>
      </c>
      <c r="O21" s="39" t="n"/>
      <c r="P21" s="78" t="n">
        <v>4.4</v>
      </c>
      <c r="Q21" s="77" t="n">
        <v>1090</v>
      </c>
      <c r="R21" s="77" t="n">
        <v>64523</v>
      </c>
      <c r="S21" s="77" t="n">
        <v>0</v>
      </c>
      <c r="T21" s="39" t="n"/>
    </row>
    <row r="22" ht="62" customHeight="1">
      <c r="A22" s="12">
        <f>_xlfn.IMAGE("https://m.media-amazon.com/images/I/81UEky8B2XL.jpg")</f>
        <v/>
      </c>
      <c r="B22" s="39" t="inlineStr">
        <is>
          <t>B0DDQXM4RF</t>
        </is>
      </c>
      <c r="C22" s="39" t="inlineStr">
        <is>
          <t>SS-SATIN-GREY-KING-4PCS</t>
        </is>
      </c>
      <c r="D22" s="39" t="inlineStr">
        <is>
          <t>Sleep Sanctuary Satin Sheets King Size – 4 Piece Luxury Silky Bed Set, Softer Than Silk, 15" Deep Pocket, Cooling &amp; Wrinkle-Free, Moisture-Wicking &amp; Breathable for Hair &amp; Skin (Grey)</t>
        </is>
      </c>
      <c r="E22" s="39" t="inlineStr">
        <is>
          <t>King</t>
        </is>
      </c>
      <c r="F22" s="39" t="inlineStr">
        <is>
          <t>Grey</t>
        </is>
      </c>
      <c r="G22" s="73" t="n">
        <v>49.95</v>
      </c>
      <c r="H22" s="39" t="inlineStr">
        <is>
          <t>catalog price (CAD), 2026-10-14</t>
        </is>
      </c>
      <c r="I22" s="74" t="n">
        <v>49.95</v>
      </c>
      <c r="J22" s="75" t="inlineStr">
        <is>
          <t>2026-03-30</t>
        </is>
      </c>
      <c r="K22" s="40" t="n">
        <v>21.21</v>
      </c>
      <c r="L22" s="76" t="n">
        <v>0.4246246246246246</v>
      </c>
      <c r="M22" s="77" t="n">
        <v>2</v>
      </c>
      <c r="N22" s="39" t="inlineStr">
        <is>
          <t>Active</t>
        </is>
      </c>
      <c r="O22" s="39" t="n"/>
      <c r="P22" s="78" t="n">
        <v>4.4</v>
      </c>
      <c r="Q22" s="77" t="n">
        <v>1090</v>
      </c>
      <c r="R22" s="77" t="n">
        <v>64523</v>
      </c>
      <c r="S22" s="77" t="n">
        <v>0.1117</v>
      </c>
      <c r="T22" s="39" t="n"/>
    </row>
    <row r="23" ht="62" customHeight="1">
      <c r="A23" s="12">
        <f>_xlfn.IMAGE("https://m.media-amazon.com/images/I/81GoZ+gTjbL.jpg")</f>
        <v/>
      </c>
      <c r="B23" s="39" t="inlineStr">
        <is>
          <t>B0DDR5K4JT</t>
        </is>
      </c>
      <c r="C23" s="39" t="inlineStr">
        <is>
          <t>SS-SATIN-NAVY-BLUE-KING-4PCS</t>
        </is>
      </c>
      <c r="D23" s="39" t="inlineStr">
        <is>
          <t>Sleep Sanctuary Satin Sheets King Size – 4 Piece Luxury Silky Bed Set, Softer Than Silk, 15" Deep Pocket, Cooling &amp; Wrinkle-Free, Moisture-Wicking &amp; Breathable for Hair &amp; Skin (Navy Blue)</t>
        </is>
      </c>
      <c r="E23" s="39" t="inlineStr">
        <is>
          <t>King</t>
        </is>
      </c>
      <c r="F23" s="39" t="inlineStr">
        <is>
          <t>Navy Blue</t>
        </is>
      </c>
      <c r="G23" s="73" t="n">
        <v>49.95</v>
      </c>
      <c r="H23" s="39" t="inlineStr">
        <is>
          <t>catalog price (CAD), 2026-10-14</t>
        </is>
      </c>
      <c r="I23" s="74" t="n">
        <v>49.95</v>
      </c>
      <c r="J23" s="75" t="inlineStr">
        <is>
          <t>2026-03-30</t>
        </is>
      </c>
      <c r="K23" s="40" t="n">
        <v>20.89</v>
      </c>
      <c r="L23" s="76" t="n">
        <v>0.4182182182182182</v>
      </c>
      <c r="M23" s="77" t="n">
        <v>2</v>
      </c>
      <c r="N23" s="39" t="inlineStr">
        <is>
          <t>Active</t>
        </is>
      </c>
      <c r="O23" s="39" t="n"/>
      <c r="P23" s="78" t="n">
        <v>4.4</v>
      </c>
      <c r="Q23" s="77" t="n">
        <v>1090</v>
      </c>
      <c r="R23" s="77" t="n">
        <v>64523</v>
      </c>
      <c r="S23" s="77" t="n">
        <v>0.6065</v>
      </c>
      <c r="T23" s="39" t="n"/>
    </row>
    <row r="24" ht="62" customHeight="1">
      <c r="A24" s="12">
        <f>_xlfn.IMAGE("https://m.media-amazon.com/images/I/81nw4rg0gcL.jpg")</f>
        <v/>
      </c>
      <c r="B24" s="39" t="inlineStr">
        <is>
          <t>B0DDRCQZ7G</t>
        </is>
      </c>
      <c r="C24" s="39" t="inlineStr">
        <is>
          <t>SS-SATIN-PURPLE-KING-4PCS</t>
        </is>
      </c>
      <c r="D24" s="39" t="inlineStr">
        <is>
          <t>Sleep Sanctuary Satin Sheets King Size – 4 Piece Luxury Silky Bed Set, Softer Than Silk, 15" Deep Pocket, Cooling &amp; Wrinkle-Free, Moisture-Wicking &amp; Breathable for Hair &amp; Skin (Purple)</t>
        </is>
      </c>
      <c r="E24" s="39" t="inlineStr">
        <is>
          <t>King</t>
        </is>
      </c>
      <c r="F24" s="39" t="inlineStr">
        <is>
          <t>Purple</t>
        </is>
      </c>
      <c r="G24" s="73" t="n">
        <v>49.95</v>
      </c>
      <c r="H24" s="39" t="inlineStr">
        <is>
          <t>catalog price (CAD), 2026-10-14</t>
        </is>
      </c>
      <c r="I24" s="74" t="n">
        <v>49.95</v>
      </c>
      <c r="J24" s="75" t="inlineStr">
        <is>
          <t>2026-03-30</t>
        </is>
      </c>
      <c r="K24" s="40" t="n">
        <v>20.98</v>
      </c>
      <c r="L24" s="76" t="n">
        <v>0.42002002002002</v>
      </c>
      <c r="M24" s="77" t="n">
        <v>2</v>
      </c>
      <c r="N24" s="39" t="inlineStr">
        <is>
          <t>Active</t>
        </is>
      </c>
      <c r="O24" s="39" t="n"/>
      <c r="P24" s="78" t="n">
        <v>4.4</v>
      </c>
      <c r="Q24" s="77" t="n">
        <v>1090</v>
      </c>
      <c r="R24" s="77" t="n">
        <v>64523</v>
      </c>
      <c r="S24" s="77" t="n">
        <v>0.5925</v>
      </c>
      <c r="T24" s="39" t="n"/>
    </row>
    <row r="25" ht="62" customHeight="1">
      <c r="A25" s="12">
        <f>_xlfn.IMAGE("https://m.media-amazon.com/images/I/81T7uFbjFiL.jpg")</f>
        <v/>
      </c>
      <c r="B25" s="39" t="inlineStr">
        <is>
          <t>B0DDRL7H2W</t>
        </is>
      </c>
      <c r="C25" s="39" t="inlineStr">
        <is>
          <t>SS-SATIN-SEA-TEAL-KING-4PCS</t>
        </is>
      </c>
      <c r="D25" s="39" t="inlineStr">
        <is>
          <t>Sleep Sanctuary Satin Sheets King Size – 4 Piece Luxury Silky Bed Set, Softer Than Silk, 15" Deep Pocket, Cooling &amp; Wrinkle-Free, Moisture-Wicking &amp; Breathable for Hair &amp; Skin (Sea Teal)</t>
        </is>
      </c>
      <c r="E25" s="39" t="inlineStr">
        <is>
          <t>King</t>
        </is>
      </c>
      <c r="F25" s="39" t="inlineStr">
        <is>
          <t>Sea Teal</t>
        </is>
      </c>
      <c r="G25" s="73" t="n">
        <v>49.95</v>
      </c>
      <c r="H25" s="39" t="inlineStr">
        <is>
          <t>catalog price (CAD), 2026-10-14</t>
        </is>
      </c>
      <c r="I25" s="74" t="n">
        <v>49.95</v>
      </c>
      <c r="J25" s="75" t="inlineStr">
        <is>
          <t>2026-03-30</t>
        </is>
      </c>
      <c r="K25" s="40" t="n">
        <v>20.79</v>
      </c>
      <c r="L25" s="76" t="n">
        <v>0.4162162162162162</v>
      </c>
      <c r="M25" s="77" t="n">
        <v>2</v>
      </c>
      <c r="N25" s="39" t="inlineStr">
        <is>
          <t>Active</t>
        </is>
      </c>
      <c r="O25" s="39" t="n"/>
      <c r="P25" s="78" t="n">
        <v>4.4</v>
      </c>
      <c r="Q25" s="77" t="n">
        <v>1090</v>
      </c>
      <c r="R25" s="77" t="n">
        <v>64523</v>
      </c>
      <c r="S25" s="77" t="n">
        <v>0</v>
      </c>
      <c r="T25" s="39" t="n"/>
    </row>
    <row r="26" ht="62" customHeight="1">
      <c r="A26" s="12">
        <f>_xlfn.IMAGE("https://m.media-amazon.com/images/I/816QTAjFcGL.jpg")</f>
        <v/>
      </c>
      <c r="B26" s="39" t="inlineStr">
        <is>
          <t>B0DDR1ZPRZ</t>
        </is>
      </c>
      <c r="C26" s="39" t="inlineStr">
        <is>
          <t>SS-SATIN-STONE-GREY-KING-4PCS</t>
        </is>
      </c>
      <c r="D26" s="39" t="inlineStr">
        <is>
          <t>Sleep Sanctuary Satin Sheets King Size – 4 Piece Luxury Silky Bed Set, Softer Than Silk, 15" Deep Pocket, Cooling &amp; Wrinkle-Free, Moisture-Wicking &amp; Breathable for Hair &amp; Skin (Stone Grey)</t>
        </is>
      </c>
      <c r="E26" s="39" t="inlineStr">
        <is>
          <t>King</t>
        </is>
      </c>
      <c r="F26" s="39" t="inlineStr">
        <is>
          <t>Stone Grey</t>
        </is>
      </c>
      <c r="G26" s="73" t="n">
        <v>49.95</v>
      </c>
      <c r="H26" s="39" t="inlineStr">
        <is>
          <t>catalog price (CAD), 2026-10-14</t>
        </is>
      </c>
      <c r="I26" s="74" t="n">
        <v>49.95</v>
      </c>
      <c r="J26" s="75" t="inlineStr">
        <is>
          <t>2026-03-30</t>
        </is>
      </c>
      <c r="K26" s="40" t="n">
        <v>20.79</v>
      </c>
      <c r="L26" s="76" t="n">
        <v>0.4162162162162162</v>
      </c>
      <c r="M26" s="77" t="n">
        <v>2</v>
      </c>
      <c r="N26" s="39" t="inlineStr">
        <is>
          <t>Active</t>
        </is>
      </c>
      <c r="O26" s="39" t="n"/>
      <c r="P26" s="78" t="n">
        <v>4.4</v>
      </c>
      <c r="Q26" s="77" t="n">
        <v>1090</v>
      </c>
      <c r="R26" s="77" t="n">
        <v>64523</v>
      </c>
      <c r="S26" s="77" t="n">
        <v>0.5648</v>
      </c>
      <c r="T26" s="39" t="n"/>
    </row>
    <row r="27" ht="62" customHeight="1">
      <c r="A27" s="12">
        <f>_xlfn.IMAGE("https://m.media-amazon.com/images/I/816QTAjFcGL.jpg")</f>
        <v/>
      </c>
      <c r="B27" s="39" t="inlineStr">
        <is>
          <t>B0DDQX4176</t>
        </is>
      </c>
      <c r="C27" s="39" t="inlineStr">
        <is>
          <t>SS-SATIN-STONE-GREY-QUEEN-4PCS</t>
        </is>
      </c>
      <c r="D27" s="39" t="inlineStr">
        <is>
          <t>Sleep Sanctuary Satin Sheets Queen Size – 4 Piece Luxury Silky Bed Set, Softer Than Silk, 15" Deep Pocket, Cooling &amp; Wrinkle-Free, Moisture-Wicking &amp; Breathable for Hair &amp; Skin (Stone Grey)</t>
        </is>
      </c>
      <c r="E27" s="39" t="inlineStr">
        <is>
          <t>Queen</t>
        </is>
      </c>
      <c r="F27" s="39" t="inlineStr">
        <is>
          <t>Stone Grey</t>
        </is>
      </c>
      <c r="G27" s="73" t="n">
        <v>46.95</v>
      </c>
      <c r="H27" s="39" t="inlineStr">
        <is>
          <t>catalog price (CAD), 2026-10-14</t>
        </is>
      </c>
      <c r="I27" s="74" t="n">
        <v>46.95</v>
      </c>
      <c r="J27" s="75" t="inlineStr">
        <is>
          <t>2026-03-30</t>
        </is>
      </c>
      <c r="K27" s="40" t="n">
        <v>19.49</v>
      </c>
      <c r="L27" s="76" t="n">
        <v>0.415122470713525</v>
      </c>
      <c r="M27" s="77" t="n">
        <v>2</v>
      </c>
      <c r="N27" s="39" t="inlineStr">
        <is>
          <t>Active</t>
        </is>
      </c>
      <c r="O27" s="39" t="n"/>
      <c r="P27" s="78" t="n">
        <v>4.4</v>
      </c>
      <c r="Q27" s="77" t="n">
        <v>1090</v>
      </c>
      <c r="R27" s="77" t="n">
        <v>64523</v>
      </c>
      <c r="S27" s="77" t="n">
        <v>1</v>
      </c>
      <c r="T27" s="39" t="n"/>
    </row>
    <row r="28" ht="62" customHeight="1">
      <c r="A28" s="12">
        <f>_xlfn.IMAGE("https://m.media-amazon.com/images/I/81UIBGaUe6L.jpg")</f>
        <v/>
      </c>
      <c r="B28" s="39" t="inlineStr">
        <is>
          <t>B0DDR28N8X</t>
        </is>
      </c>
      <c r="C28" s="39" t="inlineStr">
        <is>
          <t>SS-SATIN-BLUE-FULL-4PCS</t>
        </is>
      </c>
      <c r="D28" s="39" t="inlineStr">
        <is>
          <t>Sleep Sanctuary Satin Sheets Full Size – 4 Piece Luxury Silky Bed Set, Softer Than Silk, 15" Deep Pocket, Cooling &amp; Wrinkle-Free, Moisture-Wicking &amp; Breathable for Hair &amp; Skin (Blue)</t>
        </is>
      </c>
      <c r="E28" s="39" t="inlineStr">
        <is>
          <t>Full</t>
        </is>
      </c>
      <c r="F28" s="39" t="inlineStr">
        <is>
          <t>Blue</t>
        </is>
      </c>
      <c r="G28" s="73" t="n">
        <v>55.22</v>
      </c>
      <c r="H28" s="39" t="inlineStr">
        <is>
          <t>catalog price (CAD), 2026-10-14</t>
        </is>
      </c>
      <c r="I28" s="74" t="n">
        <v>54.82</v>
      </c>
      <c r="J28" s="75" t="inlineStr">
        <is>
          <t>2026-03-30</t>
        </is>
      </c>
      <c r="K28" s="40" t="n">
        <v>21.33000000000001</v>
      </c>
      <c r="L28" s="76" t="n">
        <v>0.3890915724188254</v>
      </c>
      <c r="M28" s="77" t="n">
        <v>1</v>
      </c>
      <c r="N28" s="39" t="inlineStr">
        <is>
          <t>Active</t>
        </is>
      </c>
      <c r="O28" s="39" t="n"/>
      <c r="P28" s="78" t="n">
        <v>4.4</v>
      </c>
      <c r="Q28" s="77" t="n">
        <v>1090</v>
      </c>
      <c r="R28" s="77" t="n">
        <v>64523</v>
      </c>
      <c r="S28" s="77" t="n">
        <v>0</v>
      </c>
      <c r="T28" s="39" t="n"/>
    </row>
    <row r="29" ht="62" customHeight="1">
      <c r="A29" s="12">
        <f>_xlfn.IMAGE("https://m.media-amazon.com/images/I/81UIBGaUe6L.jpg")</f>
        <v/>
      </c>
      <c r="B29" s="39" t="inlineStr">
        <is>
          <t>B0DDRBX7CN</t>
        </is>
      </c>
      <c r="C29" s="39" t="inlineStr">
        <is>
          <t>SS-SATIN-BLUE-KING-4PCS</t>
        </is>
      </c>
      <c r="D29" s="39" t="inlineStr">
        <is>
          <t>Sleep Sanctuary Satin Sheets King Size – 4 Piece Luxury Silky Bed Set, Softer Than Silk, 15" Deep Pocket, Cooling &amp; Wrinkle-Free, Moisture-Wicking &amp; Breathable for Hair &amp; Skin (Blue)</t>
        </is>
      </c>
      <c r="E29" s="39" t="inlineStr">
        <is>
          <t>King</t>
        </is>
      </c>
      <c r="F29" s="39" t="inlineStr">
        <is>
          <t>Blue</t>
        </is>
      </c>
      <c r="G29" s="73" t="n">
        <v>49.95</v>
      </c>
      <c r="H29" s="39" t="inlineStr">
        <is>
          <t>catalog price (CAD), 2026-10-14</t>
        </is>
      </c>
      <c r="I29" s="74" t="n">
        <v>49.95</v>
      </c>
      <c r="J29" s="75" t="inlineStr">
        <is>
          <t>2026-03-30</t>
        </is>
      </c>
      <c r="K29" s="40" t="n">
        <v>20.88</v>
      </c>
      <c r="L29" s="76" t="n">
        <v>0.418018018018018</v>
      </c>
      <c r="M29" s="77" t="n">
        <v>1</v>
      </c>
      <c r="N29" s="39" t="inlineStr">
        <is>
          <t>Active</t>
        </is>
      </c>
      <c r="O29" s="39" t="n"/>
      <c r="P29" s="78" t="n">
        <v>4.4</v>
      </c>
      <c r="Q29" s="77" t="n">
        <v>1090</v>
      </c>
      <c r="R29" s="77" t="n">
        <v>64523</v>
      </c>
      <c r="S29" s="77" t="n">
        <v>0.4883</v>
      </c>
      <c r="T29" s="39" t="n"/>
    </row>
    <row r="30" ht="62" customHeight="1">
      <c r="A30" s="12">
        <f>_xlfn.IMAGE("https://m.media-amazon.com/images/I/81aclCTpoYL.jpg")</f>
        <v/>
      </c>
      <c r="B30" s="39" t="inlineStr">
        <is>
          <t>B0DDR6921L</t>
        </is>
      </c>
      <c r="C30" s="39" t="inlineStr">
        <is>
          <t>SS-SATIN-DARK-GREEN-KING-4PCS</t>
        </is>
      </c>
      <c r="D30" s="39" t="inlineStr">
        <is>
          <t>Sleep Sanctuary Satin Sheets King Size – 4 Piece Luxury Silky Bed Set, Softer Than Silk, 15" Deep Pocket, Cooling &amp; Wrinkle-Free, Moisture-Wicking &amp; Breathable for Hair &amp; Skin (Dark Green)</t>
        </is>
      </c>
      <c r="E30" s="39" t="inlineStr">
        <is>
          <t>King</t>
        </is>
      </c>
      <c r="F30" s="39" t="inlineStr">
        <is>
          <t>Dark Green</t>
        </is>
      </c>
      <c r="G30" s="73" t="n">
        <v>49.95</v>
      </c>
      <c r="H30" s="39" t="inlineStr">
        <is>
          <t>catalog price (CAD), 2026-10-14</t>
        </is>
      </c>
      <c r="I30" s="74" t="n">
        <v>49.95</v>
      </c>
      <c r="J30" s="75" t="inlineStr">
        <is>
          <t>2026-03-30</t>
        </is>
      </c>
      <c r="K30" s="40" t="n">
        <v>20.79</v>
      </c>
      <c r="L30" s="76" t="n">
        <v>0.4162162162162162</v>
      </c>
      <c r="M30" s="77" t="n">
        <v>1</v>
      </c>
      <c r="N30" s="39" t="inlineStr">
        <is>
          <t>Active</t>
        </is>
      </c>
      <c r="O30" s="39" t="n"/>
      <c r="P30" s="78" t="n">
        <v>4.4</v>
      </c>
      <c r="Q30" s="77" t="n">
        <v>1090</v>
      </c>
      <c r="R30" s="77" t="n">
        <v>64523</v>
      </c>
      <c r="S30" s="77" t="n">
        <v>0.5843</v>
      </c>
      <c r="T30" s="39" t="n"/>
    </row>
    <row r="31" ht="62" customHeight="1">
      <c r="A31" s="12">
        <f>_xlfn.IMAGE("https://m.media-amazon.com/images/I/81umFKx0vnL.jpg")</f>
        <v/>
      </c>
      <c r="B31" s="39" t="inlineStr">
        <is>
          <t>B0DDR4D9HP</t>
        </is>
      </c>
      <c r="C31" s="39" t="inlineStr">
        <is>
          <t>SS-SATIN-STRIPED-WHITE-KING-4PCS</t>
        </is>
      </c>
      <c r="D31" s="39" t="inlineStr">
        <is>
          <t>SLEEP SANCTUARY Satin Sheets King Size – 4 Piece Luxury Silky Bed Set, Softer Than Silk, 15" Deep Pocket, Cooling &amp; Wrinkle-Free, Moisture-Wicking &amp; Breathable for Hair &amp; Skin (Striped White)</t>
        </is>
      </c>
      <c r="E31" s="39" t="inlineStr">
        <is>
          <t>King</t>
        </is>
      </c>
      <c r="F31" s="39" t="inlineStr">
        <is>
          <t>Striped White</t>
        </is>
      </c>
      <c r="G31" s="40" t="n"/>
      <c r="H31" s="39" t="n"/>
      <c r="I31" s="74" t="n">
        <v>61.07</v>
      </c>
      <c r="J31" s="75" t="inlineStr">
        <is>
          <t>2026-03-30</t>
        </is>
      </c>
      <c r="K31" s="40" t="n">
        <v>22.68</v>
      </c>
      <c r="L31" s="76" t="n">
        <v>0.37137710823645</v>
      </c>
      <c r="M31" s="77" t="n">
        <v>1</v>
      </c>
      <c r="N31" s="79" t="inlineStr">
        <is>
          <t>Not buyable on Amazon 2026-10-14: page redirects to B0DDR95PQM (Twin Striped White) - FBA stock 0 since 2026-09-16, nothing inbound (deal records 2026-10-14)</t>
        </is>
      </c>
      <c r="O31" s="39" t="n"/>
      <c r="P31" s="78" t="n"/>
      <c r="Q31" s="77" t="n"/>
      <c r="R31" s="77" t="n"/>
      <c r="S31" s="77" t="n"/>
      <c r="T31" s="39" t="n"/>
    </row>
    <row r="32" ht="62" customHeight="1">
      <c r="A32" s="12">
        <f>_xlfn.IMAGE("https://m.media-amazon.com/images/I/81GoZ+gTjbL.jpg")</f>
        <v/>
      </c>
      <c r="B32" s="39" t="inlineStr">
        <is>
          <t>B0DDRH9RD7</t>
        </is>
      </c>
      <c r="C32" s="39" t="inlineStr">
        <is>
          <t>SS-SATIN-NAVY-BLUE-QUEEN-4PCS</t>
        </is>
      </c>
      <c r="D32" s="39" t="inlineStr">
        <is>
          <t>Sleep Sanctuary Satin Sheets Queen Size – 4 Piece Luxury Silky Bed Set, Softer Than Silk, 15" Deep Pocket, Cooling &amp; Wrinkle-Free, Moisture-Wicking &amp; Breathable for Hair &amp; Skin (Navy Blue)</t>
        </is>
      </c>
      <c r="E32" s="39" t="inlineStr">
        <is>
          <t>Queen</t>
        </is>
      </c>
      <c r="F32" s="39" t="inlineStr">
        <is>
          <t>Navy Blue</t>
        </is>
      </c>
      <c r="G32" s="73" t="n">
        <v>46.95</v>
      </c>
      <c r="H32" s="39" t="inlineStr">
        <is>
          <t>catalog price (CAD), 2026-10-14</t>
        </is>
      </c>
      <c r="I32" s="74" t="n">
        <v>46.95</v>
      </c>
      <c r="J32" s="75" t="inlineStr">
        <is>
          <t>2026-03-30</t>
        </is>
      </c>
      <c r="K32" s="40" t="n">
        <v>20.31000000000001</v>
      </c>
      <c r="L32" s="76" t="n">
        <v>0.4325878594249202</v>
      </c>
      <c r="M32" s="77" t="n">
        <v>1</v>
      </c>
      <c r="N32" s="39" t="inlineStr">
        <is>
          <t>Active</t>
        </is>
      </c>
      <c r="O32" s="39" t="n"/>
      <c r="P32" s="78" t="n">
        <v>4.4</v>
      </c>
      <c r="Q32" s="77" t="n">
        <v>1090</v>
      </c>
      <c r="R32" s="77" t="n">
        <v>64523</v>
      </c>
      <c r="S32" s="77" t="n">
        <v>0.8495</v>
      </c>
      <c r="T32" s="39" t="n"/>
    </row>
    <row r="33" ht="62" customHeight="1">
      <c r="A33" s="12">
        <f>_xlfn.IMAGE("https://m.media-amazon.com/images/I/811f9U2X++L.jpg")</f>
        <v/>
      </c>
      <c r="B33" s="39" t="inlineStr">
        <is>
          <t>B0DDRBTG9J</t>
        </is>
      </c>
      <c r="C33" s="39" t="inlineStr">
        <is>
          <t>SS-SATIN-PINK-QUEEN-4PCS</t>
        </is>
      </c>
      <c r="D33" s="39" t="inlineStr">
        <is>
          <t>Sleep Sanctuary Satin Sheets Queen Size – 4 Piece Luxury Silky Bed Set, Softer Than Silk, 15" Deep Pocket, Cooling &amp; Wrinkle-Free, Moisture-Wicking &amp; Breathable for Hair &amp; Skin (Pink)</t>
        </is>
      </c>
      <c r="E33" s="39" t="inlineStr">
        <is>
          <t>Queen</t>
        </is>
      </c>
      <c r="F33" s="39" t="inlineStr">
        <is>
          <t>Pink</t>
        </is>
      </c>
      <c r="G33" s="73" t="n">
        <v>46.95</v>
      </c>
      <c r="H33" s="39" t="inlineStr">
        <is>
          <t>catalog price (CAD), 2026-10-14</t>
        </is>
      </c>
      <c r="I33" s="74" t="n">
        <v>46.95</v>
      </c>
      <c r="J33" s="75" t="inlineStr">
        <is>
          <t>2026-03-30</t>
        </is>
      </c>
      <c r="K33" s="40" t="n">
        <v>20.21000000000001</v>
      </c>
      <c r="L33" s="76" t="n">
        <v>0.4304579339723111</v>
      </c>
      <c r="M33" s="77" t="n">
        <v>1</v>
      </c>
      <c r="N33" s="39" t="inlineStr">
        <is>
          <t>Active</t>
        </is>
      </c>
      <c r="O33" s="39" t="n"/>
      <c r="P33" s="78" t="n">
        <v>4.4</v>
      </c>
      <c r="Q33" s="77" t="n">
        <v>1090</v>
      </c>
      <c r="R33" s="77" t="n">
        <v>64523</v>
      </c>
      <c r="S33" s="77" t="n">
        <v>1</v>
      </c>
      <c r="T33" s="39" t="n"/>
    </row>
    <row r="34" ht="62" customHeight="1">
      <c r="A34" s="12">
        <f>_xlfn.IMAGE("https://m.media-amazon.com/images/I/81nw4rg0gcL.jpg")</f>
        <v/>
      </c>
      <c r="B34" s="39" t="inlineStr">
        <is>
          <t>B0DDR4FVH1</t>
        </is>
      </c>
      <c r="C34" s="39" t="inlineStr">
        <is>
          <t>SS-SATIN-PURPLE-QUEEN-4PCS</t>
        </is>
      </c>
      <c r="D34" s="39" t="inlineStr">
        <is>
          <t>Sleep Sanctuary Satin Sheets Queen Size – 4 Piece Luxury Silky Bed Set, Softer Than Silk, 15" Deep Pocket, Cooling &amp; Wrinkle-Free, Moisture-Wicking &amp; Breathable for Hair &amp; Skin (Purple)</t>
        </is>
      </c>
      <c r="E34" s="39" t="inlineStr">
        <is>
          <t>Queen</t>
        </is>
      </c>
      <c r="F34" s="39" t="inlineStr">
        <is>
          <t>Purple</t>
        </is>
      </c>
      <c r="G34" s="73" t="n">
        <v>57.68</v>
      </c>
      <c r="H34" s="39" t="inlineStr">
        <is>
          <t>catalog price (CAD), 2026-10-14</t>
        </is>
      </c>
      <c r="I34" s="74" t="n">
        <v>46.95</v>
      </c>
      <c r="J34" s="75" t="inlineStr">
        <is>
          <t>2026-03-30</t>
        </is>
      </c>
      <c r="K34" s="40" t="n">
        <v>20.31000000000001</v>
      </c>
      <c r="L34" s="76" t="n">
        <v>0.4325878594249202</v>
      </c>
      <c r="M34" s="77" t="n">
        <v>1</v>
      </c>
      <c r="N34" s="39" t="inlineStr">
        <is>
          <t>Active</t>
        </is>
      </c>
      <c r="O34" s="39" t="n"/>
      <c r="P34" s="78" t="n">
        <v>4.4</v>
      </c>
      <c r="Q34" s="77" t="n">
        <v>1090</v>
      </c>
      <c r="R34" s="77" t="n">
        <v>64523</v>
      </c>
      <c r="S34" s="77" t="n">
        <v>0.988</v>
      </c>
      <c r="T34" s="39" t="n"/>
    </row>
    <row r="35" ht="62" customHeight="1">
      <c r="A35" s="12">
        <f>_xlfn.IMAGE("https://m.media-amazon.com/images/I/81kpdyyPYWL.jpg")</f>
        <v/>
      </c>
      <c r="B35" s="39" t="inlineStr">
        <is>
          <t>B0DDR3SX2D</t>
        </is>
      </c>
      <c r="C35" s="39" t="inlineStr">
        <is>
          <t>SS-SATIN-LAVENDER-TWIN-3PCS</t>
        </is>
      </c>
      <c r="D35" s="39" t="inlineStr">
        <is>
          <t>Sleep Sanctuary Satin Sheets Twin Size – 3 Piece Luxury Silky Bed Set, Softer Than Silk, 15" Deep Pocket, Cooling &amp; Wrinkle-Free, Moisture-Wicking &amp; Breathable for Hair &amp; Skin (Lavender)</t>
        </is>
      </c>
      <c r="E35" s="39" t="inlineStr">
        <is>
          <t>Twin</t>
        </is>
      </c>
      <c r="F35" s="39" t="inlineStr">
        <is>
          <t>Lavender</t>
        </is>
      </c>
      <c r="G35" s="73" t="n">
        <v>41.95</v>
      </c>
      <c r="H35" s="39" t="inlineStr">
        <is>
          <t>catalog price (CAD), 2026-10-14</t>
        </is>
      </c>
      <c r="I35" s="74" t="n">
        <v>41.95</v>
      </c>
      <c r="J35" s="75" t="inlineStr">
        <is>
          <t>2026-03-30</t>
        </is>
      </c>
      <c r="K35" s="40" t="n">
        <v>18.84</v>
      </c>
      <c r="L35" s="76" t="n">
        <v>0.4491060786650775</v>
      </c>
      <c r="M35" s="77" t="n">
        <v>1</v>
      </c>
      <c r="N35" s="39" t="inlineStr">
        <is>
          <t>Active</t>
        </is>
      </c>
      <c r="O35" s="39" t="n"/>
      <c r="P35" s="78" t="n">
        <v>4.4</v>
      </c>
      <c r="Q35" s="77" t="n">
        <v>1090</v>
      </c>
      <c r="R35" s="77" t="n">
        <v>64523</v>
      </c>
      <c r="S35" s="77" t="n">
        <v>0</v>
      </c>
      <c r="T35" s="39" t="n"/>
    </row>
    <row r="36" ht="62" customHeight="1">
      <c r="A36" s="12">
        <f>_xlfn.IMAGE("https://m.media-amazon.com/images/I/81f-0l1G1jL.jpg")</f>
        <v/>
      </c>
      <c r="B36" s="39" t="inlineStr">
        <is>
          <t>B0DDR95C35</t>
        </is>
      </c>
      <c r="C36" s="39" t="inlineStr">
        <is>
          <t>SS-SATIN-NAVY-BLUE-TWIN-3PCS</t>
        </is>
      </c>
      <c r="D36" s="39" t="inlineStr">
        <is>
          <t>Sleep Sanctuary Satin Sheets Twin Size – 3 Piece Luxury Silky Bed Set, Softer Than Silk, 15" Deep Pocket, Cooling &amp; Wrinkle-Free, Moisture-Wicking &amp; Breathable for Hair &amp; Skin (Navy Blue)</t>
        </is>
      </c>
      <c r="E36" s="39" t="inlineStr">
        <is>
          <t>Twin</t>
        </is>
      </c>
      <c r="F36" s="39" t="inlineStr">
        <is>
          <t>Navy Blue</t>
        </is>
      </c>
      <c r="G36" s="73" t="n">
        <v>41.95</v>
      </c>
      <c r="H36" s="39" t="inlineStr">
        <is>
          <t>catalog price (CAD), 2026-10-14</t>
        </is>
      </c>
      <c r="I36" s="74" t="n">
        <v>41.95</v>
      </c>
      <c r="J36" s="75" t="inlineStr">
        <is>
          <t>2026-03-30</t>
        </is>
      </c>
      <c r="K36" s="40" t="n">
        <v>18.13</v>
      </c>
      <c r="L36" s="76" t="n">
        <v>0.432181168057211</v>
      </c>
      <c r="M36" s="77" t="n">
        <v>1</v>
      </c>
      <c r="N36" s="39" t="inlineStr">
        <is>
          <t>Active</t>
        </is>
      </c>
      <c r="O36" s="39" t="n"/>
      <c r="P36" s="78" t="n">
        <v>4.4</v>
      </c>
      <c r="Q36" s="77" t="n">
        <v>1090</v>
      </c>
      <c r="R36" s="77" t="n">
        <v>64523</v>
      </c>
      <c r="S36" s="77" t="n">
        <v>0</v>
      </c>
      <c r="T36" s="39" t="n"/>
    </row>
    <row r="37" ht="62" customHeight="1">
      <c r="A37" s="12">
        <f>_xlfn.IMAGE("https://m.media-amazon.com/images/I/81qEq06R1GL.jpg")</f>
        <v/>
      </c>
      <c r="B37" s="39" t="inlineStr">
        <is>
          <t>B0DDR4HJCS</t>
        </is>
      </c>
      <c r="C37" s="39" t="inlineStr">
        <is>
          <t>SS-SATIN-BABY-BLUE-FULL-4PCS</t>
        </is>
      </c>
      <c r="D37" s="39" t="inlineStr">
        <is>
          <t>Sleep Sanctuary Satin Sheets Full Size – 4 Piece Luxury Silky Bed Set, Softer Than Silk, 15" Deep Pocket, Cooling &amp; Wrinkle-Free, Moisture-Wicking &amp; Breathable for Hair &amp; Skin (Baby Blue)</t>
        </is>
      </c>
      <c r="E37" s="39" t="inlineStr">
        <is>
          <t>Full</t>
        </is>
      </c>
      <c r="F37" s="39" t="inlineStr">
        <is>
          <t>Baby Blue</t>
        </is>
      </c>
      <c r="G37" s="73" t="n">
        <v>55.22</v>
      </c>
      <c r="H37" s="39" t="inlineStr">
        <is>
          <t>catalog price (CAD), 2026-10-14</t>
        </is>
      </c>
      <c r="I37" s="74" t="n">
        <v>44.95</v>
      </c>
      <c r="J37" s="75" t="inlineStr">
        <is>
          <t>2026-03-30</t>
        </is>
      </c>
      <c r="K37" s="40" t="n">
        <v>19.42</v>
      </c>
      <c r="L37" s="76" t="n">
        <v>0.432035595105673</v>
      </c>
      <c r="M37" s="77" t="n"/>
      <c r="N37" s="39" t="inlineStr">
        <is>
          <t>Active</t>
        </is>
      </c>
      <c r="O37" s="39" t="n"/>
      <c r="P37" s="78" t="n">
        <v>4.4</v>
      </c>
      <c r="Q37" s="77" t="n">
        <v>1090</v>
      </c>
      <c r="R37" s="77" t="n">
        <v>64523</v>
      </c>
      <c r="S37" s="77" t="n">
        <v>1</v>
      </c>
      <c r="T37" s="39" t="n"/>
    </row>
    <row r="38" ht="62" customHeight="1">
      <c r="A38" s="12">
        <f>_xlfn.IMAGE("https://m.media-amazon.com/images/I/81qEq06R1GL.jpg")</f>
        <v/>
      </c>
      <c r="B38" s="39" t="inlineStr">
        <is>
          <t>B0DDQX824T</t>
        </is>
      </c>
      <c r="C38" s="39" t="inlineStr">
        <is>
          <t>SS-SATIN-BLACK-FULL-4PCS</t>
        </is>
      </c>
      <c r="D38" s="39" t="inlineStr">
        <is>
          <t>SLEEP SANCTUARY Satin Sheets Full Size – 4 Piece Luxury Silky Bed Set, Softer Than Silk, 15" Deep Pocket, Cooling &amp; Wrinkle-Free, Moisture-Wicking &amp; Breathable for Hair &amp; Skin (Black)</t>
        </is>
      </c>
      <c r="E38" s="39" t="inlineStr">
        <is>
          <t>Full</t>
        </is>
      </c>
      <c r="F38" s="39" t="inlineStr">
        <is>
          <t>Black</t>
        </is>
      </c>
      <c r="G38" s="40" t="n"/>
      <c r="H38" s="39" t="n"/>
      <c r="I38" s="74" t="n">
        <v>44.95</v>
      </c>
      <c r="J38" s="75" t="inlineStr">
        <is>
          <t>2026-03-30</t>
        </is>
      </c>
      <c r="K38" s="40" t="n">
        <v>19.42</v>
      </c>
      <c r="L38" s="76" t="n">
        <v>0.432035595105673</v>
      </c>
      <c r="M38" s="77" t="n"/>
      <c r="N38" s="39" t="inlineStr">
        <is>
          <t>Inactive</t>
        </is>
      </c>
      <c r="O38" s="39" t="n"/>
      <c r="P38" s="78" t="n"/>
      <c r="Q38" s="77" t="n"/>
      <c r="R38" s="77" t="n"/>
      <c r="S38" s="77" t="n"/>
      <c r="T38" s="39" t="n"/>
    </row>
    <row r="39" ht="62" customHeight="1">
      <c r="A39" s="12">
        <f>_xlfn.IMAGE("https://m.media-amazon.com/images/I/81-8fCPCUcL.jpg")</f>
        <v/>
      </c>
      <c r="B39" s="39" t="inlineStr">
        <is>
          <t>B0DDR6TLF6</t>
        </is>
      </c>
      <c r="C39" s="39" t="inlineStr">
        <is>
          <t>SS-SATIN-BLUSH-PINK-FULL-4PCS</t>
        </is>
      </c>
      <c r="D39" s="39" t="inlineStr">
        <is>
          <t>Sleep Sanctuary Satin Sheets Full Size – 4 Piece Luxury Silky Bed Set, Softer Than Silk, 15" Deep Pocket, Cooling &amp; Wrinkle-Free, Moisture-Wicking &amp; Breathable for Hair &amp; Skin (Blush Pink)</t>
        </is>
      </c>
      <c r="E39" s="39" t="inlineStr">
        <is>
          <t>Full</t>
        </is>
      </c>
      <c r="F39" s="39" t="inlineStr">
        <is>
          <t>Blush Pink</t>
        </is>
      </c>
      <c r="G39" s="73" t="n">
        <v>55.22</v>
      </c>
      <c r="H39" s="39" t="inlineStr">
        <is>
          <t>catalog price (CAD), 2026-10-14</t>
        </is>
      </c>
      <c r="I39" s="74" t="n">
        <v>55</v>
      </c>
      <c r="J39" s="75" t="inlineStr">
        <is>
          <t>2026-03-30</t>
        </is>
      </c>
      <c r="K39" s="40" t="n">
        <v>21.01</v>
      </c>
      <c r="L39" s="76" t="n">
        <v>0.382</v>
      </c>
      <c r="M39" s="77" t="n">
        <v>0</v>
      </c>
      <c r="N39" s="39" t="inlineStr">
        <is>
          <t>Active</t>
        </is>
      </c>
      <c r="O39" s="39" t="n"/>
      <c r="P39" s="78" t="n">
        <v>4.4</v>
      </c>
      <c r="Q39" s="77" t="n">
        <v>1090</v>
      </c>
      <c r="R39" s="77" t="n">
        <v>64523</v>
      </c>
      <c r="S39" s="77" t="n">
        <v>0</v>
      </c>
      <c r="T39" s="39" t="n"/>
    </row>
    <row r="40" ht="62" customHeight="1">
      <c r="A40" s="12">
        <f>_xlfn.IMAGE("https://m.media-amazon.com/images/I/81cPOSHJh1L.jpg")</f>
        <v/>
      </c>
      <c r="B40" s="39" t="inlineStr">
        <is>
          <t>B0DDQQ83Y4</t>
        </is>
      </c>
      <c r="C40" s="39" t="inlineStr">
        <is>
          <t>SS-SATIN-BURNT-ORANGE-FULL-4PCS</t>
        </is>
      </c>
      <c r="D40" s="39" t="inlineStr">
        <is>
          <t>Sleep Sanctuary Satin Sheets Full Size – 4 Piece Luxury Silky Bed Set, Softer Than Silk, 15" Deep Pocket, Cooling &amp; Wrinkle-Free, Moisture-Wicking &amp; Breathable for Hair &amp; Skin (Burnt Orange)</t>
        </is>
      </c>
      <c r="E40" s="39" t="inlineStr">
        <is>
          <t>Full</t>
        </is>
      </c>
      <c r="F40" s="39" t="inlineStr">
        <is>
          <t>Burnt Orange</t>
        </is>
      </c>
      <c r="G40" s="73" t="n">
        <v>44.95</v>
      </c>
      <c r="H40" s="39" t="inlineStr">
        <is>
          <t>catalog price (CAD), 2026-10-14</t>
        </is>
      </c>
      <c r="I40" s="74" t="n">
        <v>44.95</v>
      </c>
      <c r="J40" s="75" t="inlineStr">
        <is>
          <t>2026-03-30</t>
        </is>
      </c>
      <c r="K40" s="40" t="n">
        <v>18.59</v>
      </c>
      <c r="L40" s="76" t="n">
        <v>0.4135706340378199</v>
      </c>
      <c r="M40" s="77" t="n"/>
      <c r="N40" s="39" t="inlineStr">
        <is>
          <t>Active</t>
        </is>
      </c>
      <c r="O40" s="39" t="n"/>
      <c r="P40" s="78" t="n">
        <v>4.4</v>
      </c>
      <c r="Q40" s="77" t="n">
        <v>1090</v>
      </c>
      <c r="R40" s="77" t="n">
        <v>64523</v>
      </c>
      <c r="S40" s="77" t="n">
        <v>2</v>
      </c>
      <c r="T40" s="39" t="n"/>
    </row>
    <row r="41" ht="62" customHeight="1">
      <c r="A41" s="12">
        <f>_xlfn.IMAGE("https://m.media-amazon.com/images/I/817pb6oL4YL.jpg")</f>
        <v/>
      </c>
      <c r="B41" s="39" t="inlineStr">
        <is>
          <t>B0DDR5CHW7</t>
        </is>
      </c>
      <c r="C41" s="39" t="inlineStr">
        <is>
          <t>SS-SATIN-CHAMPAGNE-FULL-4PCS</t>
        </is>
      </c>
      <c r="D41" s="39" t="inlineStr">
        <is>
          <t>Sleep Sanctuary Satin Sheets Full Size – 4 Piece Luxury Silky Bed Set, Softer Than Silk, 15" Deep Pocket, Cooling &amp; Wrinkle-Free, Moisture-Wicking &amp; Breathable for Hair &amp; Skin (Champagne)</t>
        </is>
      </c>
      <c r="E41" s="39" t="inlineStr">
        <is>
          <t>Full</t>
        </is>
      </c>
      <c r="F41" s="39" t="inlineStr">
        <is>
          <t>Champagne</t>
        </is>
      </c>
      <c r="G41" s="73" t="n">
        <v>55.22</v>
      </c>
      <c r="H41" s="39" t="inlineStr">
        <is>
          <t>catalog price (CAD), 2026-10-14</t>
        </is>
      </c>
      <c r="I41" s="74" t="n">
        <v>54.99</v>
      </c>
      <c r="J41" s="75" t="inlineStr">
        <is>
          <t>2026-03-30</t>
        </is>
      </c>
      <c r="K41" s="40" t="n">
        <v>20.89</v>
      </c>
      <c r="L41" s="76" t="n">
        <v>0.3798872522276778</v>
      </c>
      <c r="M41" s="77" t="n">
        <v>0</v>
      </c>
      <c r="N41" s="39" t="inlineStr">
        <is>
          <t>Active</t>
        </is>
      </c>
      <c r="O41" s="39" t="n"/>
      <c r="P41" s="78" t="n">
        <v>4.4</v>
      </c>
      <c r="Q41" s="77" t="n">
        <v>1090</v>
      </c>
      <c r="R41" s="77" t="n">
        <v>64523</v>
      </c>
      <c r="S41" s="77" t="n">
        <v>0</v>
      </c>
      <c r="T41" s="39" t="n"/>
    </row>
    <row r="42" ht="62" customHeight="1">
      <c r="A42" s="12">
        <f>_xlfn.IMAGE("https://m.media-amazon.com/images/I/81aclCTpoYL.jpg")</f>
        <v/>
      </c>
      <c r="B42" s="39" t="inlineStr">
        <is>
          <t>B0DDRD3S48</t>
        </is>
      </c>
      <c r="C42" s="39" t="inlineStr">
        <is>
          <t>SS-SATIN-DARK-GREEN-FULL-4PCS</t>
        </is>
      </c>
      <c r="D42" s="39" t="inlineStr">
        <is>
          <t>Sleep Sanctuary Satin Sheets Full Size – 4 Piece Luxury Silky Bed Set, Softer Than Silk, 15" Deep Pocket, Cooling &amp; Wrinkle-Free, Moisture-Wicking &amp; Breathable for Hair &amp; Skin (Dark Green)</t>
        </is>
      </c>
      <c r="E42" s="39" t="inlineStr">
        <is>
          <t>Full</t>
        </is>
      </c>
      <c r="F42" s="39" t="inlineStr">
        <is>
          <t>Dark Green</t>
        </is>
      </c>
      <c r="G42" s="73" t="n">
        <v>55.22</v>
      </c>
      <c r="H42" s="39" t="inlineStr">
        <is>
          <t>catalog price (CAD), 2026-10-14</t>
        </is>
      </c>
      <c r="I42" s="74" t="n">
        <v>55</v>
      </c>
      <c r="J42" s="75" t="inlineStr">
        <is>
          <t>2026-03-30</t>
        </is>
      </c>
      <c r="K42" s="40" t="n">
        <v>21.38</v>
      </c>
      <c r="L42" s="76" t="n">
        <v>0.3887272727272728</v>
      </c>
      <c r="M42" s="77" t="n">
        <v>0</v>
      </c>
      <c r="N42" s="39" t="inlineStr">
        <is>
          <t>Active</t>
        </is>
      </c>
      <c r="O42" s="39" t="n"/>
      <c r="P42" s="78" t="n">
        <v>4.4</v>
      </c>
      <c r="Q42" s="77" t="n">
        <v>1090</v>
      </c>
      <c r="R42" s="77" t="n">
        <v>64523</v>
      </c>
      <c r="S42" s="77" t="n">
        <v>0</v>
      </c>
      <c r="T42" s="39" t="n"/>
    </row>
    <row r="43" ht="62" customHeight="1">
      <c r="A43" s="12">
        <f>_xlfn.IMAGE("https://m.media-amazon.com/images/I/81AE8h7l4-L.jpg")</f>
        <v/>
      </c>
      <c r="B43" s="39" t="inlineStr">
        <is>
          <t>B0DDR6LYLX</t>
        </is>
      </c>
      <c r="C43" s="39" t="inlineStr">
        <is>
          <t>SS-SATIN-GOLD-FULL-4PCS</t>
        </is>
      </c>
      <c r="D43" s="39" t="inlineStr">
        <is>
          <t>Sleep Sanctuary Satin Sheets Full Size – 4 Piece Luxury Silky Bed Set, Softer Than Silk, 15" Deep Pocket, Cooling &amp; Wrinkle-Free, Moisture-Wicking &amp; Breathable for Hair &amp; Skin (Gold)</t>
        </is>
      </c>
      <c r="E43" s="39" t="inlineStr">
        <is>
          <t>Full</t>
        </is>
      </c>
      <c r="F43" s="39" t="inlineStr">
        <is>
          <t>Gold</t>
        </is>
      </c>
      <c r="G43" s="73" t="n">
        <v>55.22</v>
      </c>
      <c r="H43" s="39" t="inlineStr">
        <is>
          <t>catalog price (CAD), 2026-10-14</t>
        </is>
      </c>
      <c r="I43" s="74" t="n">
        <v>55.12</v>
      </c>
      <c r="J43" s="75" t="inlineStr">
        <is>
          <t>2026-03-30</t>
        </is>
      </c>
      <c r="K43" s="40" t="n">
        <v>21.48</v>
      </c>
      <c r="L43" s="76" t="n">
        <v>0.3896952104499274</v>
      </c>
      <c r="M43" s="77" t="n"/>
      <c r="N43" s="39" t="inlineStr">
        <is>
          <t>Active</t>
        </is>
      </c>
      <c r="O43" s="39" t="n"/>
      <c r="P43" s="78" t="n">
        <v>4.4</v>
      </c>
      <c r="Q43" s="77" t="n">
        <v>1090</v>
      </c>
      <c r="R43" s="77" t="n">
        <v>64523</v>
      </c>
      <c r="S43" s="77" t="n">
        <v>0</v>
      </c>
      <c r="T43" s="39" t="n"/>
    </row>
    <row r="44" ht="62" customHeight="1">
      <c r="A44" s="12">
        <f>_xlfn.IMAGE("https://m.media-amazon.com/images/I/81UEky8B2XL.jpg")</f>
        <v/>
      </c>
      <c r="B44" s="39" t="inlineStr">
        <is>
          <t>B0DDQX793B</t>
        </is>
      </c>
      <c r="C44" s="39" t="inlineStr">
        <is>
          <t>SS-SATIN-GREY-FULL-4PCS</t>
        </is>
      </c>
      <c r="D44" s="39" t="inlineStr">
        <is>
          <t>Sleep Sanctuary Satin Sheets Full Size – 4 Piece Luxury Silky Bed Set, Softer Than Silk, 15" Deep Pocket, Cooling &amp; Wrinkle-Free, Moisture-Wicking &amp; Breathable for Hair &amp; Skin (Grey)</t>
        </is>
      </c>
      <c r="E44" s="39" t="inlineStr">
        <is>
          <t>Full</t>
        </is>
      </c>
      <c r="F44" s="39" t="inlineStr">
        <is>
          <t>Grey</t>
        </is>
      </c>
      <c r="G44" s="73" t="n">
        <v>44.95</v>
      </c>
      <c r="H44" s="39" t="inlineStr">
        <is>
          <t>catalog price (CAD), 2026-10-14</t>
        </is>
      </c>
      <c r="I44" s="74" t="n">
        <v>44.95</v>
      </c>
      <c r="J44" s="75" t="inlineStr">
        <is>
          <t>2026-03-30</t>
        </is>
      </c>
      <c r="K44" s="40" t="n">
        <v>19.42</v>
      </c>
      <c r="L44" s="76" t="n">
        <v>0.432035595105673</v>
      </c>
      <c r="M44" s="77" t="n">
        <v>0</v>
      </c>
      <c r="N44" s="39" t="inlineStr">
        <is>
          <t>Active</t>
        </is>
      </c>
      <c r="O44" s="39" t="n"/>
      <c r="P44" s="78" t="n">
        <v>4.4</v>
      </c>
      <c r="Q44" s="77" t="n">
        <v>1090</v>
      </c>
      <c r="R44" s="77" t="n">
        <v>64523</v>
      </c>
      <c r="S44" s="77" t="n">
        <v>1</v>
      </c>
      <c r="T44" s="39" t="n"/>
    </row>
    <row r="45" ht="62" customHeight="1">
      <c r="A45" s="12">
        <f>_xlfn.IMAGE("https://m.media-amazon.com/images/I/81eHsiCwxyL.jpg")</f>
        <v/>
      </c>
      <c r="B45" s="39" t="inlineStr">
        <is>
          <t>B0DDRNZ8YM</t>
        </is>
      </c>
      <c r="C45" s="39" t="inlineStr">
        <is>
          <t>SS-SATIN-IVORY-FULL-4PCS</t>
        </is>
      </c>
      <c r="D45" s="39" t="inlineStr">
        <is>
          <t>Sleep Sanctuary Satin Sheets Full Size – 4 Piece Luxury Silky Bed Set, Softer Than Silk, 15" Deep Pocket, Cooling &amp; Wrinkle-Free, Moisture-Wicking &amp; Breathable for Hair &amp; Skin (Ivory)</t>
        </is>
      </c>
      <c r="E45" s="39" t="inlineStr">
        <is>
          <t>Full</t>
        </is>
      </c>
      <c r="F45" s="39" t="inlineStr">
        <is>
          <t>Ivory</t>
        </is>
      </c>
      <c r="G45" s="73" t="n">
        <v>55.22</v>
      </c>
      <c r="H45" s="39" t="inlineStr">
        <is>
          <t>catalog price (CAD), 2026-10-14</t>
        </is>
      </c>
      <c r="I45" s="74" t="n">
        <v>55</v>
      </c>
      <c r="J45" s="75" t="inlineStr">
        <is>
          <t>2026-03-30</t>
        </is>
      </c>
      <c r="K45" s="40" t="n">
        <v>21.27</v>
      </c>
      <c r="L45" s="76" t="n">
        <v>0.3867272727272728</v>
      </c>
      <c r="M45" s="77" t="n"/>
      <c r="N45" s="39" t="inlineStr">
        <is>
          <t>Active</t>
        </is>
      </c>
      <c r="O45" s="39" t="n"/>
      <c r="P45" s="78" t="n">
        <v>4.4</v>
      </c>
      <c r="Q45" s="77" t="n">
        <v>1090</v>
      </c>
      <c r="R45" s="77" t="n">
        <v>64523</v>
      </c>
      <c r="S45" s="77" t="n">
        <v>0</v>
      </c>
      <c r="T45" s="39" t="n"/>
    </row>
    <row r="46" ht="62" customHeight="1">
      <c r="A46" s="12">
        <f>_xlfn.IMAGE("https://m.media-amazon.com/images/I/81ttAeO-RjL.jpg")</f>
        <v/>
      </c>
      <c r="B46" s="39" t="inlineStr">
        <is>
          <t>B0DDRFR2FS</t>
        </is>
      </c>
      <c r="C46" s="39" t="inlineStr">
        <is>
          <t>SS-SATIN-LAVENDER-FULL-4PCS</t>
        </is>
      </c>
      <c r="D46" s="39" t="inlineStr">
        <is>
          <t>Sleep Sanctuary Satin Sheets Full Size – 4 Piece Luxury Silky Bed Set, Softer Than Silk, 15" Deep Pocket, Cooling &amp; Wrinkle-Free, Moisture-Wicking &amp; Breathable for Hair &amp; Skin (Lavender)</t>
        </is>
      </c>
      <c r="E46" s="39" t="inlineStr">
        <is>
          <t>Full</t>
        </is>
      </c>
      <c r="F46" s="39" t="inlineStr">
        <is>
          <t>Lavender</t>
        </is>
      </c>
      <c r="G46" s="73" t="n">
        <v>55.22</v>
      </c>
      <c r="H46" s="39" t="inlineStr">
        <is>
          <t>catalog price (CAD), 2026-10-14</t>
        </is>
      </c>
      <c r="I46" s="74" t="n">
        <v>44.95</v>
      </c>
      <c r="J46" s="75" t="inlineStr">
        <is>
          <t>2026-03-30</t>
        </is>
      </c>
      <c r="K46" s="40" t="n">
        <v>19.09</v>
      </c>
      <c r="L46" s="76" t="n">
        <v>0.4246941045606229</v>
      </c>
      <c r="M46" s="77" t="n">
        <v>0</v>
      </c>
      <c r="N46" s="39" t="inlineStr">
        <is>
          <t>Active</t>
        </is>
      </c>
      <c r="O46" s="39" t="n"/>
      <c r="P46" s="78" t="n">
        <v>4.4</v>
      </c>
      <c r="Q46" s="77" t="n">
        <v>1090</v>
      </c>
      <c r="R46" s="77" t="n">
        <v>64523</v>
      </c>
      <c r="S46" s="77" t="n">
        <v>2</v>
      </c>
      <c r="T46" s="39" t="n"/>
    </row>
    <row r="47" ht="62" customHeight="1">
      <c r="A47" s="12">
        <f>_xlfn.IMAGE("https://m.media-amazon.com/images/I/81GoZ+gTjbL.jpg")</f>
        <v/>
      </c>
      <c r="B47" s="39" t="inlineStr">
        <is>
          <t>B0DDRF88H4</t>
        </is>
      </c>
      <c r="C47" s="39" t="inlineStr">
        <is>
          <t>SS-SATIN-NAVY-BLUE-FULL-4PCS</t>
        </is>
      </c>
      <c r="D47" s="39" t="inlineStr">
        <is>
          <t>Sleep Sanctuary Satin Sheets Full Size – 4 Piece Luxury Silky Bed Set, Softer Than Silk, 15" Deep Pocket, Cooling &amp; Wrinkle-Free, Moisture-Wicking &amp; Breathable for Hair &amp; Skin (Navy Blue)</t>
        </is>
      </c>
      <c r="E47" s="39" t="inlineStr">
        <is>
          <t>Full</t>
        </is>
      </c>
      <c r="F47" s="39" t="inlineStr">
        <is>
          <t>Navy Blue</t>
        </is>
      </c>
      <c r="G47" s="73" t="n">
        <v>44.95</v>
      </c>
      <c r="H47" s="39" t="inlineStr">
        <is>
          <t>catalog price (CAD), 2026-10-14</t>
        </is>
      </c>
      <c r="I47" s="74" t="n">
        <v>55.11</v>
      </c>
      <c r="J47" s="75" t="inlineStr">
        <is>
          <t>2026-03-30</t>
        </is>
      </c>
      <c r="K47" s="40" t="n">
        <v>21.57000000000001</v>
      </c>
      <c r="L47" s="76" t="n">
        <v>0.3913990201415353</v>
      </c>
      <c r="M47" s="77" t="n">
        <v>0</v>
      </c>
      <c r="N47" s="39" t="inlineStr">
        <is>
          <t>Active</t>
        </is>
      </c>
      <c r="O47" s="39" t="n"/>
      <c r="P47" s="78" t="n">
        <v>4.4</v>
      </c>
      <c r="Q47" s="77" t="n">
        <v>1090</v>
      </c>
      <c r="R47" s="77" t="n">
        <v>64523</v>
      </c>
      <c r="S47" s="77" t="n">
        <v>0</v>
      </c>
      <c r="T47" s="39" t="n"/>
    </row>
    <row r="48" ht="62" customHeight="1">
      <c r="A48" s="12">
        <f>_xlfn.IMAGE("https://m.media-amazon.com/images/I/811f9U2X++L.jpg")</f>
        <v/>
      </c>
      <c r="B48" s="39" t="inlineStr">
        <is>
          <t>B0DDQZG4MQ</t>
        </is>
      </c>
      <c r="C48" s="39" t="inlineStr">
        <is>
          <t>SS-SATIN-PINK-FULL-4PCS</t>
        </is>
      </c>
      <c r="D48" s="39" t="inlineStr">
        <is>
          <t>Sleep Sanctuary Satin Sheets Full Size – 4 Piece Luxury Silky Bed Set, Softer Than Silk, 15" Deep Pocket, Cooling &amp; Wrinkle-Free, Moisture-Wicking &amp; Breathable for Hair &amp; Skin (Pink)</t>
        </is>
      </c>
      <c r="E48" s="39" t="inlineStr">
        <is>
          <t>Full</t>
        </is>
      </c>
      <c r="F48" s="39" t="inlineStr">
        <is>
          <t>Pink</t>
        </is>
      </c>
      <c r="G48" s="73" t="n">
        <v>44.95</v>
      </c>
      <c r="H48" s="39" t="inlineStr">
        <is>
          <t>catalog price (CAD), 2026-10-14</t>
        </is>
      </c>
      <c r="I48" s="74" t="n">
        <v>44.95</v>
      </c>
      <c r="J48" s="75" t="inlineStr">
        <is>
          <t>2026-03-30</t>
        </is>
      </c>
      <c r="K48" s="40" t="n">
        <v>19.19</v>
      </c>
      <c r="L48" s="76" t="n">
        <v>0.4269187986651836</v>
      </c>
      <c r="M48" s="77" t="n">
        <v>0</v>
      </c>
      <c r="N48" s="39" t="inlineStr">
        <is>
          <t>Active</t>
        </is>
      </c>
      <c r="O48" s="39" t="n"/>
      <c r="P48" s="78" t="n">
        <v>4.4</v>
      </c>
      <c r="Q48" s="77" t="n">
        <v>1090</v>
      </c>
      <c r="R48" s="77" t="n">
        <v>64523</v>
      </c>
      <c r="S48" s="77" t="n">
        <v>0</v>
      </c>
      <c r="T48" s="39" t="n"/>
    </row>
    <row r="49" ht="62" customHeight="1">
      <c r="A49" s="12">
        <f>_xlfn.IMAGE("https://m.media-amazon.com/images/I/81nw4rg0gcL.jpg")</f>
        <v/>
      </c>
      <c r="B49" s="39" t="inlineStr">
        <is>
          <t>B0DDRB21Z6</t>
        </is>
      </c>
      <c r="C49" s="39" t="inlineStr">
        <is>
          <t>SS-SATIN-PURPLE-FULL-4PCS</t>
        </is>
      </c>
      <c r="D49" s="39" t="inlineStr">
        <is>
          <t>Sleep Sanctuary Satin Sheets Full Size – 4 Piece Luxury Silky Bed Set, Softer Than Silk, 15" Deep Pocket, Cooling &amp; Wrinkle-Free, Moisture-Wicking &amp; Breathable for Hair &amp; Skin (Purple)</t>
        </is>
      </c>
      <c r="E49" s="39" t="inlineStr">
        <is>
          <t>Full</t>
        </is>
      </c>
      <c r="F49" s="39" t="inlineStr">
        <is>
          <t>Purple</t>
        </is>
      </c>
      <c r="G49" s="73" t="n">
        <v>55.22</v>
      </c>
      <c r="H49" s="39" t="inlineStr">
        <is>
          <t>catalog price (CAD), 2026-10-14</t>
        </is>
      </c>
      <c r="I49" s="74" t="n">
        <v>55.09</v>
      </c>
      <c r="J49" s="75" t="inlineStr">
        <is>
          <t>2026-03-30</t>
        </is>
      </c>
      <c r="K49" s="40" t="n">
        <v>21.56000000000001</v>
      </c>
      <c r="L49" s="76" t="n">
        <v>0.3913595933926304</v>
      </c>
      <c r="M49" s="77" t="n">
        <v>0</v>
      </c>
      <c r="N49" s="39" t="inlineStr">
        <is>
          <t>Active</t>
        </is>
      </c>
      <c r="O49" s="39" t="n"/>
      <c r="P49" s="78" t="n">
        <v>4.4</v>
      </c>
      <c r="Q49" s="77" t="n">
        <v>1090</v>
      </c>
      <c r="R49" s="77" t="n">
        <v>64523</v>
      </c>
      <c r="S49" s="77" t="n">
        <v>0</v>
      </c>
      <c r="T49" s="39" t="n"/>
    </row>
    <row r="50" ht="62" customHeight="1">
      <c r="A50" s="12">
        <f>_xlfn.IMAGE("https://m.media-amazon.com/images/I/81n6eJJsrGL.jpg")</f>
        <v/>
      </c>
      <c r="B50" s="39" t="inlineStr">
        <is>
          <t>B0DDRCZN9J</t>
        </is>
      </c>
      <c r="C50" s="39" t="inlineStr">
        <is>
          <t>SS-SATIN-RED-FULL-4PCS</t>
        </is>
      </c>
      <c r="D50" s="39" t="inlineStr">
        <is>
          <t>Sleep Sanctuary Satin Sheets Full Size – 4 Piece Luxury Silky Bed Set, Softer Than Silk, 15" Deep Pocket, Cooling &amp; Wrinkle-Free, Moisture-Wicking &amp; Breathable for Hair &amp; Skin (Red)</t>
        </is>
      </c>
      <c r="E50" s="39" t="inlineStr">
        <is>
          <t>Full</t>
        </is>
      </c>
      <c r="F50" s="39" t="inlineStr">
        <is>
          <t>Red</t>
        </is>
      </c>
      <c r="G50" s="73" t="n">
        <v>44.95</v>
      </c>
      <c r="H50" s="39" t="inlineStr">
        <is>
          <t>catalog price (CAD), 2026-10-14</t>
        </is>
      </c>
      <c r="I50" s="74" t="n">
        <v>44.95</v>
      </c>
      <c r="J50" s="75" t="inlineStr">
        <is>
          <t>2026-03-30</t>
        </is>
      </c>
      <c r="K50" s="40" t="n">
        <v>19.34</v>
      </c>
      <c r="L50" s="76" t="n">
        <v>0.4302558398220244</v>
      </c>
      <c r="M50" s="77" t="n">
        <v>0</v>
      </c>
      <c r="N50" s="39" t="inlineStr">
        <is>
          <t>Active</t>
        </is>
      </c>
      <c r="O50" s="39" t="n"/>
      <c r="P50" s="78" t="n">
        <v>4.4</v>
      </c>
      <c r="Q50" s="77" t="n">
        <v>1090</v>
      </c>
      <c r="R50" s="77" t="n">
        <v>64523</v>
      </c>
      <c r="S50" s="77" t="n">
        <v>0</v>
      </c>
      <c r="T50" s="39" t="n"/>
    </row>
    <row r="51" ht="62" customHeight="1">
      <c r="A51" s="12">
        <f>_xlfn.IMAGE("https://m.media-amazon.com/images/I/81vHqIiWdYL.jpg")</f>
        <v/>
      </c>
      <c r="B51" s="39" t="inlineStr">
        <is>
          <t>B0DDRNYF9Q</t>
        </is>
      </c>
      <c r="C51" s="39" t="inlineStr">
        <is>
          <t>SS-SATIN-ROSEWOOD-FULL-4PCS</t>
        </is>
      </c>
      <c r="D51" s="39" t="inlineStr">
        <is>
          <t>SLEEP SANCTUARY Satin Sheets Full Size – 4 Piece Luxury Silky Bed Set, Softer Than Silk, 15" Deep Pocket, Cooling &amp; Wrinkle-Free, Moisture-Wicking &amp; Breathable for Hair &amp; Skin (Rosewood)</t>
        </is>
      </c>
      <c r="E51" s="39" t="inlineStr">
        <is>
          <t>Full</t>
        </is>
      </c>
      <c r="F51" s="39" t="inlineStr">
        <is>
          <t>Rosewood</t>
        </is>
      </c>
      <c r="G51" s="40" t="n"/>
      <c r="H51" s="39" t="n"/>
      <c r="I51" s="40" t="n"/>
      <c r="J51" s="39" t="n"/>
      <c r="K51" s="40" t="n"/>
      <c r="L51" s="76" t="n"/>
      <c r="M51" s="77" t="n"/>
      <c r="N51" s="39" t="inlineStr">
        <is>
          <t>Inactive</t>
        </is>
      </c>
      <c r="O51" s="39" t="n"/>
      <c r="P51" s="78" t="n"/>
      <c r="Q51" s="77" t="n"/>
      <c r="R51" s="77" t="n"/>
      <c r="S51" s="77" t="n"/>
      <c r="T51" s="39" t="n"/>
    </row>
    <row r="52" ht="62" customHeight="1">
      <c r="A52" s="12">
        <f>_xlfn.IMAGE("https://m.media-amazon.com/images/I/81iohyoFldL.jpg")</f>
        <v/>
      </c>
      <c r="B52" s="39" t="inlineStr">
        <is>
          <t>B0DDRF2M6S</t>
        </is>
      </c>
      <c r="C52" s="39" t="inlineStr">
        <is>
          <t>SS-SATIN-SAGE-GREEN-FULL-4PCS</t>
        </is>
      </c>
      <c r="D52" s="39" t="inlineStr">
        <is>
          <t>Sleep Sanctuary Satin Sheets Full Size – 4 Piece Luxury Silky Bed Set, Softer Than Silk, 15" Deep Pocket, Cooling &amp; Wrinkle-Free, Moisture-Wicking &amp; Breathable for Hair &amp; Skin (Sage Green)</t>
        </is>
      </c>
      <c r="E52" s="39" t="inlineStr">
        <is>
          <t>Full</t>
        </is>
      </c>
      <c r="F52" s="39" t="inlineStr">
        <is>
          <t>Sage Green</t>
        </is>
      </c>
      <c r="G52" s="73" t="n">
        <v>55.22</v>
      </c>
      <c r="H52" s="39" t="inlineStr">
        <is>
          <t>catalog price (CAD), 2026-10-14</t>
        </is>
      </c>
      <c r="I52" s="74" t="n">
        <v>44.95</v>
      </c>
      <c r="J52" s="75" t="inlineStr">
        <is>
          <t>2026-03-30</t>
        </is>
      </c>
      <c r="K52" s="40" t="n">
        <v>19.42</v>
      </c>
      <c r="L52" s="76" t="n">
        <v>0.432035595105673</v>
      </c>
      <c r="M52" s="77" t="n">
        <v>0</v>
      </c>
      <c r="N52" s="39" t="inlineStr">
        <is>
          <t>Active</t>
        </is>
      </c>
      <c r="O52" s="39" t="n"/>
      <c r="P52" s="78" t="n">
        <v>4.4</v>
      </c>
      <c r="Q52" s="77" t="n">
        <v>1090</v>
      </c>
      <c r="R52" s="77" t="n">
        <v>64523</v>
      </c>
      <c r="S52" s="77" t="n">
        <v>1</v>
      </c>
      <c r="T52" s="39" t="n"/>
    </row>
    <row r="53" ht="62" customHeight="1">
      <c r="A53" s="12">
        <f>_xlfn.IMAGE("https://m.media-amazon.com/images/I/81T7uFbjFiL.jpg")</f>
        <v/>
      </c>
      <c r="B53" s="39" t="inlineStr">
        <is>
          <t>B0DDRDR4F8</t>
        </is>
      </c>
      <c r="C53" s="39" t="inlineStr">
        <is>
          <t>SS-SATIN-SEA-TEAL-FULL-4PCS</t>
        </is>
      </c>
      <c r="D53" s="39" t="inlineStr">
        <is>
          <t>Sleep Sanctuary Satin Sheets Full Size – 4 Piece Luxury Silky Bed Set, Softer Than Silk, 15" Deep Pocket, Cooling &amp; Wrinkle-Free, Moisture-Wicking &amp; Breathable for Hair &amp; Skin (Sea Teal)</t>
        </is>
      </c>
      <c r="E53" s="39" t="inlineStr">
        <is>
          <t>Full</t>
        </is>
      </c>
      <c r="F53" s="39" t="inlineStr">
        <is>
          <t>Sea Teal</t>
        </is>
      </c>
      <c r="G53" s="73" t="n">
        <v>55.22</v>
      </c>
      <c r="H53" s="39" t="inlineStr">
        <is>
          <t>catalog price (CAD), 2026-10-14</t>
        </is>
      </c>
      <c r="I53" s="74" t="n">
        <v>55</v>
      </c>
      <c r="J53" s="75" t="inlineStr">
        <is>
          <t>2026-03-30</t>
        </is>
      </c>
      <c r="K53" s="40" t="n">
        <v>21.38</v>
      </c>
      <c r="L53" s="76" t="n">
        <v>0.3887272727272728</v>
      </c>
      <c r="M53" s="77" t="n">
        <v>0</v>
      </c>
      <c r="N53" s="39" t="inlineStr">
        <is>
          <t>Active</t>
        </is>
      </c>
      <c r="O53" s="39" t="n"/>
      <c r="P53" s="78" t="n">
        <v>4.4</v>
      </c>
      <c r="Q53" s="77" t="n">
        <v>1090</v>
      </c>
      <c r="R53" s="77" t="n">
        <v>64523</v>
      </c>
      <c r="S53" s="77" t="n">
        <v>2</v>
      </c>
      <c r="T53" s="39" t="n"/>
    </row>
    <row r="54" ht="62" customHeight="1">
      <c r="A54" s="12">
        <f>_xlfn.IMAGE("https://m.media-amazon.com/images/I/816QTAjFcGL.jpg")</f>
        <v/>
      </c>
      <c r="B54" s="39" t="inlineStr">
        <is>
          <t>B0DDR97FTJ</t>
        </is>
      </c>
      <c r="C54" s="39" t="inlineStr">
        <is>
          <t>SS-SATIN-STONE-GREY-FULL-4PCS</t>
        </is>
      </c>
      <c r="D54" s="39" t="inlineStr">
        <is>
          <t>Sleep Sanctuary Satin Sheets Full Size – 4 Piece Luxury Silky Bed Set, Softer Than Silk, 15" Deep Pocket, Cooling &amp; Wrinkle-Free, Moisture-Wicking &amp; Breathable for Hair &amp; Skin (Stone Grey)</t>
        </is>
      </c>
      <c r="E54" s="39" t="inlineStr">
        <is>
          <t>Full</t>
        </is>
      </c>
      <c r="F54" s="39" t="inlineStr">
        <is>
          <t>Stone Grey</t>
        </is>
      </c>
      <c r="G54" s="40" t="n"/>
      <c r="H54" s="39" t="n"/>
      <c r="I54" s="74" t="n">
        <v>44.95</v>
      </c>
      <c r="J54" s="75" t="inlineStr">
        <is>
          <t>2026-03-30</t>
        </is>
      </c>
      <c r="K54" s="40" t="n">
        <v>19.09</v>
      </c>
      <c r="L54" s="76" t="n">
        <v>0.4246941045606229</v>
      </c>
      <c r="M54" s="77" t="n">
        <v>0</v>
      </c>
      <c r="N54" s="39" t="inlineStr">
        <is>
          <t>Active</t>
        </is>
      </c>
      <c r="O54" s="39" t="n"/>
      <c r="P54" s="78" t="n"/>
      <c r="Q54" s="77" t="n"/>
      <c r="R54" s="77" t="n"/>
      <c r="S54" s="77" t="n"/>
      <c r="T54" s="39" t="n"/>
    </row>
    <row r="55" ht="62" customHeight="1">
      <c r="A55" s="12">
        <f>_xlfn.IMAGE("https://m.media-amazon.com/images/I/81qEq06R1GL.jpg")</f>
        <v/>
      </c>
      <c r="B55" s="39" t="inlineStr">
        <is>
          <t>B0DDQQ9LRP</t>
        </is>
      </c>
      <c r="C55" s="39" t="inlineStr">
        <is>
          <t>SS-SATIN-STRIPED-BLACK-FULL-4PCS</t>
        </is>
      </c>
      <c r="D55" s="39" t="inlineStr">
        <is>
          <t>SLEEP SANCTUARY Satin Sheets Full Size – 4 Piece Luxury Silky Bed Set, Softer Than Silk, 15" Deep Pocket, Cooling &amp; Wrinkle-Free, Moisture-Wicking &amp; Breathable for Hair &amp; Skin (Striped Black)</t>
        </is>
      </c>
      <c r="E55" s="39" t="inlineStr">
        <is>
          <t>Full</t>
        </is>
      </c>
      <c r="F55" s="39" t="inlineStr">
        <is>
          <t>Striped Black</t>
        </is>
      </c>
      <c r="G55" s="40" t="n"/>
      <c r="H55" s="39" t="n"/>
      <c r="I55" s="74" t="n">
        <v>53.81</v>
      </c>
      <c r="J55" s="75" t="inlineStr">
        <is>
          <t>2026-03-14</t>
        </is>
      </c>
      <c r="K55" s="40" t="n">
        <v>25.94</v>
      </c>
      <c r="L55" s="76" t="n">
        <v>0.4820665303846869</v>
      </c>
      <c r="M55" s="77" t="n"/>
      <c r="N55" s="39" t="inlineStr">
        <is>
          <t>Inactive</t>
        </is>
      </c>
      <c r="O55" s="39" t="n"/>
      <c r="P55" s="78" t="n"/>
      <c r="Q55" s="77" t="n"/>
      <c r="R55" s="77" t="n"/>
      <c r="S55" s="77" t="n"/>
      <c r="T55" s="39" t="n"/>
    </row>
    <row r="56" ht="62" customHeight="1">
      <c r="A56" s="12">
        <f>_xlfn.IMAGE("https://m.media-amazon.com/images/I/81IuYnZdF7L.jpg")</f>
        <v/>
      </c>
      <c r="B56" s="39" t="inlineStr">
        <is>
          <t>B0DDQX8257</t>
        </is>
      </c>
      <c r="C56" s="39" t="inlineStr">
        <is>
          <t>SS-SATIN-STRIPED-BLUE-FULL-4PCS</t>
        </is>
      </c>
      <c r="D56" s="39" t="inlineStr">
        <is>
          <t>SLEEP SANCTUARY Satin Sheets Full Size – 4 Piece Luxury Silky Bed Set, Softer Than Silk, 15" Deep Pocket, Cooling &amp; Wrinkle-Free, Moisture-Wicking &amp; Breathable for Hair &amp; Skin (Striped Blue)</t>
        </is>
      </c>
      <c r="E56" s="39" t="inlineStr">
        <is>
          <t>Full</t>
        </is>
      </c>
      <c r="F56" s="39" t="inlineStr">
        <is>
          <t>Striped Blue</t>
        </is>
      </c>
      <c r="G56" s="40" t="n"/>
      <c r="H56" s="39" t="n"/>
      <c r="I56" s="74" t="n">
        <v>54.63</v>
      </c>
      <c r="J56" s="75" t="inlineStr">
        <is>
          <t>2026-03-30</t>
        </is>
      </c>
      <c r="K56" s="40" t="n">
        <v>19.65000000000001</v>
      </c>
      <c r="L56" s="76" t="n">
        <v>0.3596924766611753</v>
      </c>
      <c r="M56" s="77" t="n"/>
      <c r="N56" s="39" t="inlineStr">
        <is>
          <t>Inactive</t>
        </is>
      </c>
      <c r="O56" s="39" t="n"/>
      <c r="P56" s="78" t="n"/>
      <c r="Q56" s="77" t="n"/>
      <c r="R56" s="77" t="n"/>
      <c r="S56" s="77" t="n"/>
      <c r="T56" s="39" t="n"/>
    </row>
    <row r="57" ht="62" customHeight="1">
      <c r="A57" s="12">
        <f>_xlfn.IMAGE("https://m.media-amazon.com/images/I/81c0TeFW0bL.jpg")</f>
        <v/>
      </c>
      <c r="B57" s="39" t="inlineStr">
        <is>
          <t>B0DDR7G7Z8</t>
        </is>
      </c>
      <c r="C57" s="39" t="inlineStr">
        <is>
          <t>SS-SATIN-STRIPED-GOLD-FULL-4PCS</t>
        </is>
      </c>
      <c r="D57" s="39" t="inlineStr">
        <is>
          <t>Sleep Sanctuary Satin Sheets Full Size – 4 Piece Luxury Silky Bed Set, Softer Than Silk, 15" Deep Pocket, Cooling &amp; Wrinkle-Free, Moisture-Wicking &amp; Breathable for Hair &amp; Skin (Striped Gold)</t>
        </is>
      </c>
      <c r="E57" s="39" t="inlineStr">
        <is>
          <t>Full</t>
        </is>
      </c>
      <c r="F57" s="39" t="inlineStr">
        <is>
          <t>Striped Gold</t>
        </is>
      </c>
      <c r="G57" s="73" t="n">
        <v>55.22</v>
      </c>
      <c r="H57" s="39" t="inlineStr">
        <is>
          <t>catalog price (CAD), 2026-10-14</t>
        </is>
      </c>
      <c r="I57" s="74" t="n">
        <v>53.81</v>
      </c>
      <c r="J57" s="75" t="inlineStr">
        <is>
          <t>2026-03-30</t>
        </is>
      </c>
      <c r="K57" s="40" t="n">
        <v>20.34</v>
      </c>
      <c r="L57" s="76" t="n">
        <v>0.3779966548968594</v>
      </c>
      <c r="M57" s="77" t="n"/>
      <c r="N57" s="39" t="inlineStr">
        <is>
          <t>Active</t>
        </is>
      </c>
      <c r="O57" s="39" t="n"/>
      <c r="P57" s="78" t="n">
        <v>4.4</v>
      </c>
      <c r="Q57" s="77" t="n">
        <v>1090</v>
      </c>
      <c r="R57" s="77" t="n">
        <v>64523</v>
      </c>
      <c r="S57" s="77" t="n">
        <v>1</v>
      </c>
      <c r="T57" s="39" t="n"/>
    </row>
    <row r="58" ht="62" customHeight="1">
      <c r="A58" s="12">
        <f>_xlfn.IMAGE("https://m.media-amazon.com/images/I/81EuG0SlLvL.jpg")</f>
        <v/>
      </c>
      <c r="B58" s="39" t="inlineStr">
        <is>
          <t>B0DDRKF8FG</t>
        </is>
      </c>
      <c r="C58" s="39" t="inlineStr">
        <is>
          <t>SS-SATIN-STRIPED-GREY-FULL-4PCS</t>
        </is>
      </c>
      <c r="D58" s="39" t="inlineStr">
        <is>
          <t>SLEEP SANCTUARY Satin Sheets Full Size – 4 Piece Luxury Silky Bed Set, Softer Than Silk, 15" Deep Pocket, Cooling &amp; Wrinkle-Free, Moisture-Wicking &amp; Breathable for Hair &amp; Skin (Striped Grey)</t>
        </is>
      </c>
      <c r="E58" s="39" t="inlineStr">
        <is>
          <t>Full</t>
        </is>
      </c>
      <c r="F58" s="39" t="inlineStr">
        <is>
          <t>Striped Grey</t>
        </is>
      </c>
      <c r="G58" s="40" t="n"/>
      <c r="H58" s="39" t="n"/>
      <c r="I58" s="74" t="n">
        <v>54.6</v>
      </c>
      <c r="J58" s="75" t="inlineStr">
        <is>
          <t>2026-03-30</t>
        </is>
      </c>
      <c r="K58" s="40" t="n">
        <v>19.73</v>
      </c>
      <c r="L58" s="76" t="n">
        <v>0.3613553113553114</v>
      </c>
      <c r="M58" s="77" t="n"/>
      <c r="N58" s="39" t="inlineStr">
        <is>
          <t>Active</t>
        </is>
      </c>
      <c r="O58" s="39" t="n"/>
      <c r="P58" s="78" t="n"/>
      <c r="Q58" s="77" t="n"/>
      <c r="R58" s="77" t="n"/>
      <c r="S58" s="77" t="n"/>
      <c r="T58" s="39" t="n"/>
    </row>
    <row r="59" ht="62" customHeight="1">
      <c r="A59" s="12">
        <f>_xlfn.IMAGE("https://m.media-amazon.com/images/I/81oQ5+OPoZL.jpg")</f>
        <v/>
      </c>
      <c r="B59" s="39" t="inlineStr">
        <is>
          <t>B0DDRKMZ6G</t>
        </is>
      </c>
      <c r="C59" s="39" t="inlineStr">
        <is>
          <t>SS-SATIN-STRIPED-PINK-FULL-4PCS</t>
        </is>
      </c>
      <c r="D59" s="39" t="inlineStr">
        <is>
          <t>Sleep Sanctuary Satin Sheets Full Size – 4 Piece Luxury Silky Bed Set, Softer Than Silk, 15" Deep Pocket, Cooling &amp; Wrinkle-Free, Moisture-Wicking &amp; Breathable for Hair &amp; Skin (Striped Pink)</t>
        </is>
      </c>
      <c r="E59" s="39" t="inlineStr">
        <is>
          <t>Full</t>
        </is>
      </c>
      <c r="F59" s="39" t="inlineStr">
        <is>
          <t>Striped Pink</t>
        </is>
      </c>
      <c r="G59" s="73" t="n">
        <v>55.22</v>
      </c>
      <c r="H59" s="39" t="inlineStr">
        <is>
          <t>catalog price (CAD), 2026-10-14</t>
        </is>
      </c>
      <c r="I59" s="74" t="n">
        <v>53.81</v>
      </c>
      <c r="J59" s="75" t="inlineStr">
        <is>
          <t>2026-03-30</t>
        </is>
      </c>
      <c r="K59" s="40" t="n">
        <v>20.34</v>
      </c>
      <c r="L59" s="76" t="n">
        <v>0.3779966548968594</v>
      </c>
      <c r="M59" s="77" t="n"/>
      <c r="N59" s="39" t="inlineStr">
        <is>
          <t>Active</t>
        </is>
      </c>
      <c r="O59" s="39" t="n"/>
      <c r="P59" s="78" t="n">
        <v>4.4</v>
      </c>
      <c r="Q59" s="77" t="n">
        <v>1090</v>
      </c>
      <c r="R59" s="77" t="n">
        <v>64523</v>
      </c>
      <c r="S59" s="77" t="n">
        <v>2</v>
      </c>
      <c r="T59" s="39" t="n"/>
    </row>
    <row r="60" ht="62" customHeight="1">
      <c r="A60" s="12">
        <f>_xlfn.IMAGE("https://m.media-amazon.com/images/I/815aPoY4IYL.jpg")</f>
        <v/>
      </c>
      <c r="B60" s="39" t="inlineStr">
        <is>
          <t>B0DDQXMHHQ</t>
        </is>
      </c>
      <c r="C60" s="39" t="inlineStr">
        <is>
          <t>SS-SATIN-STRIPED-PURPLE-FULL-4PCS</t>
        </is>
      </c>
      <c r="D60" s="39" t="inlineStr">
        <is>
          <t>Sleep Sanctuary Satin Sheets Full Size – 4 Piece Luxury Silky Bed Set, Softer Than Silk, 15" Deep Pocket, Cooling &amp; Wrinkle-Free, Moisture-Wicking &amp; Breathable for Hair &amp; Skin (Striped Purple)</t>
        </is>
      </c>
      <c r="E60" s="39" t="inlineStr">
        <is>
          <t>Full</t>
        </is>
      </c>
      <c r="F60" s="39" t="inlineStr">
        <is>
          <t>Striped Purple</t>
        </is>
      </c>
      <c r="G60" s="73" t="n">
        <v>65.95999999999999</v>
      </c>
      <c r="H60" s="39" t="inlineStr">
        <is>
          <t>catalog price (CAD), 2026-10-14</t>
        </is>
      </c>
      <c r="I60" s="74" t="n">
        <v>62.42</v>
      </c>
      <c r="J60" s="75" t="inlineStr">
        <is>
          <t>2026-03-30</t>
        </is>
      </c>
      <c r="K60" s="40" t="n">
        <v>28.21</v>
      </c>
      <c r="L60" s="76" t="n">
        <v>0.4519384812560078</v>
      </c>
      <c r="M60" s="77" t="n">
        <v>0</v>
      </c>
      <c r="N60" s="39" t="inlineStr">
        <is>
          <t>Active</t>
        </is>
      </c>
      <c r="O60" s="39" t="n"/>
      <c r="P60" s="78" t="n">
        <v>4.4</v>
      </c>
      <c r="Q60" s="77" t="n">
        <v>1090</v>
      </c>
      <c r="R60" s="77" t="n">
        <v>64523</v>
      </c>
      <c r="S60" s="77" t="n">
        <v>0.4087</v>
      </c>
      <c r="T60" s="39" t="n"/>
    </row>
    <row r="61" ht="62" customHeight="1">
      <c r="A61" s="12">
        <f>_xlfn.IMAGE("https://m.media-amazon.com/images/I/81P2Ae6R78L.jpg")</f>
        <v/>
      </c>
      <c r="B61" s="39" t="inlineStr">
        <is>
          <t>B0DDR9TM21</t>
        </is>
      </c>
      <c r="C61" s="39" t="inlineStr">
        <is>
          <t>SS-SATIN-STRIPED-RED-FULL-4PCS</t>
        </is>
      </c>
      <c r="D61" s="39" t="inlineStr">
        <is>
          <t>Sleep Sanctuary Satin Sheets Full Size – 4 Piece Luxury Silky Bed Set, Softer Than Silk, 15" Deep Pocket, Cooling &amp; Wrinkle-Free, Moisture-Wicking &amp; Breathable for Hair &amp; Skin (Striped Red)</t>
        </is>
      </c>
      <c r="E61" s="39" t="inlineStr">
        <is>
          <t>Full</t>
        </is>
      </c>
      <c r="F61" s="39" t="inlineStr">
        <is>
          <t>Striped Red</t>
        </is>
      </c>
      <c r="G61" s="73" t="n">
        <v>55.22</v>
      </c>
      <c r="H61" s="39" t="inlineStr">
        <is>
          <t>catalog price (CAD), 2026-10-14</t>
        </is>
      </c>
      <c r="I61" s="74" t="n">
        <v>54.67</v>
      </c>
      <c r="J61" s="75" t="inlineStr">
        <is>
          <t>2026-03-30</t>
        </is>
      </c>
      <c r="K61" s="40" t="n">
        <v>19.79</v>
      </c>
      <c r="L61" s="76" t="n">
        <v>0.3619901225535028</v>
      </c>
      <c r="M61" s="77" t="n"/>
      <c r="N61" s="39" t="inlineStr">
        <is>
          <t>Active</t>
        </is>
      </c>
      <c r="O61" s="39" t="n"/>
      <c r="P61" s="78" t="n">
        <v>4.4</v>
      </c>
      <c r="Q61" s="77" t="n">
        <v>1090</v>
      </c>
      <c r="R61" s="77" t="n">
        <v>64523</v>
      </c>
      <c r="S61" s="77" t="n">
        <v>0</v>
      </c>
      <c r="T61" s="39" t="n"/>
    </row>
    <row r="62" ht="62" customHeight="1">
      <c r="A62" s="12">
        <f>_xlfn.IMAGE("https://m.media-amazon.com/images/I/81umFKx0vnL.jpg")</f>
        <v/>
      </c>
      <c r="B62" s="39" t="inlineStr">
        <is>
          <t>B0DDR72BDZ</t>
        </is>
      </c>
      <c r="C62" s="39" t="inlineStr">
        <is>
          <t>SS-SATIN-STRIPED-WHITE-FULL-4PCS</t>
        </is>
      </c>
      <c r="D62" s="39" t="inlineStr">
        <is>
          <t>SLEEP SANCTUARY Satin Sheets Full Size – 4 Piece Luxury Silky Bed Set, Softer Than Silk, 15" Deep Pocket, Cooling &amp; Wrinkle-Free, Moisture-Wicking &amp; Breathable for Hair &amp; Skin (Striped White)</t>
        </is>
      </c>
      <c r="E62" s="39" t="inlineStr">
        <is>
          <t>Full</t>
        </is>
      </c>
      <c r="F62" s="39" t="inlineStr">
        <is>
          <t>Striped White</t>
        </is>
      </c>
      <c r="G62" s="40" t="n"/>
      <c r="H62" s="39" t="n"/>
      <c r="I62" s="40" t="n"/>
      <c r="J62" s="39" t="n"/>
      <c r="K62" s="40" t="n"/>
      <c r="L62" s="76" t="n"/>
      <c r="M62" s="77" t="n"/>
      <c r="N62" s="39" t="inlineStr">
        <is>
          <t>Inactive</t>
        </is>
      </c>
      <c r="O62" s="39" t="n"/>
      <c r="P62" s="78" t="n"/>
      <c r="Q62" s="77" t="n"/>
      <c r="R62" s="77" t="n"/>
      <c r="S62" s="77" t="n"/>
      <c r="T62" s="39" t="n"/>
    </row>
    <row r="63" ht="62" customHeight="1">
      <c r="A63" s="12">
        <f>_xlfn.IMAGE("https://m.media-amazon.com/images/I/81bZ3S4CehL.jpg")</f>
        <v/>
      </c>
      <c r="B63" s="39" t="inlineStr">
        <is>
          <t>B0DDR6G4WJ</t>
        </is>
      </c>
      <c r="C63" s="39" t="inlineStr">
        <is>
          <t>SS-SATIN-TAUPE-FULL-4PCS</t>
        </is>
      </c>
      <c r="D63" s="39" t="inlineStr">
        <is>
          <t>Sleep Sanctuary Satin Sheets Full Size – 4 Piece Luxury Silky Bed Set, Softer Than Silk, 15" Deep Pocket, Cooling &amp; Wrinkle-Free, Moisture-Wicking &amp; Breathable for Hair &amp; Skin (Taupe)</t>
        </is>
      </c>
      <c r="E63" s="39" t="inlineStr">
        <is>
          <t>Full</t>
        </is>
      </c>
      <c r="F63" s="39" t="inlineStr">
        <is>
          <t>Taupe</t>
        </is>
      </c>
      <c r="G63" s="73" t="n">
        <v>55.22</v>
      </c>
      <c r="H63" s="39" t="inlineStr">
        <is>
          <t>catalog price (CAD), 2026-10-14</t>
        </is>
      </c>
      <c r="I63" s="74" t="n">
        <v>55.03</v>
      </c>
      <c r="J63" s="75" t="inlineStr">
        <is>
          <t>2026-03-30</t>
        </is>
      </c>
      <c r="K63" s="40" t="n">
        <v>21.04</v>
      </c>
      <c r="L63" s="76" t="n">
        <v>0.3823369071415592</v>
      </c>
      <c r="M63" s="77" t="n"/>
      <c r="N63" s="39" t="inlineStr">
        <is>
          <t>Active</t>
        </is>
      </c>
      <c r="O63" s="39" t="n"/>
      <c r="P63" s="78" t="n">
        <v>4.4</v>
      </c>
      <c r="Q63" s="77" t="n">
        <v>1090</v>
      </c>
      <c r="R63" s="77" t="n">
        <v>64523</v>
      </c>
      <c r="S63" s="77" t="n">
        <v>0</v>
      </c>
      <c r="T63" s="39" t="n"/>
    </row>
    <row r="64" ht="62" customHeight="1">
      <c r="A64" s="12">
        <f>_xlfn.IMAGE("https://m.media-amazon.com/images/I/818RX-kt6VL.jpg")</f>
        <v/>
      </c>
      <c r="B64" s="39" t="inlineStr">
        <is>
          <t>B0DDRH7S7L</t>
        </is>
      </c>
      <c r="C64" s="39" t="inlineStr">
        <is>
          <t>SS-SATIN-WHITE-FULL-4PCS</t>
        </is>
      </c>
      <c r="D64" s="39" t="inlineStr">
        <is>
          <t>SLEEP SANCTUARY Satin Sheets Full Size – 4 Piece Luxury Silky Bed Set, Softer Than Silk, 15" Deep Pocket, Cooling &amp; Wrinkle-Free, Moisture-Wicking &amp; Breathable for Hair &amp; Skin (White)</t>
        </is>
      </c>
      <c r="E64" s="39" t="inlineStr">
        <is>
          <t>Full</t>
        </is>
      </c>
      <c r="F64" s="39" t="inlineStr">
        <is>
          <t>White</t>
        </is>
      </c>
      <c r="G64" s="40" t="n"/>
      <c r="H64" s="39" t="n"/>
      <c r="I64" s="74" t="n">
        <v>55.19</v>
      </c>
      <c r="J64" s="75" t="inlineStr">
        <is>
          <t>2026-03-30</t>
        </is>
      </c>
      <c r="K64" s="40" t="n">
        <v>21.43</v>
      </c>
      <c r="L64" s="76" t="n">
        <v>0.3882949809748142</v>
      </c>
      <c r="M64" s="77" t="n"/>
      <c r="N64" s="39" t="inlineStr">
        <is>
          <t>Inactive</t>
        </is>
      </c>
      <c r="O64" s="39" t="n"/>
      <c r="P64" s="78" t="n"/>
      <c r="Q64" s="77" t="n"/>
      <c r="R64" s="77" t="n"/>
      <c r="S64" s="77" t="n"/>
      <c r="T64" s="39" t="n"/>
    </row>
    <row r="65" ht="62" customHeight="1">
      <c r="A65" s="12">
        <f>_xlfn.IMAGE("https://m.media-amazon.com/images/I/81-8fCPCUcL.jpg")</f>
        <v/>
      </c>
      <c r="B65" s="39" t="inlineStr">
        <is>
          <t>B0DDR4T2Y6</t>
        </is>
      </c>
      <c r="C65" s="39" t="inlineStr">
        <is>
          <t>SS-SATIN-BLUSH-PINK-KING-4PCS</t>
        </is>
      </c>
      <c r="D65" s="39" t="inlineStr">
        <is>
          <t>Sleep Sanctuary Satin Sheets King Size – 4 Piece Luxury Silky Bed Set, Softer Than Silk, 15" Deep Pocket, Cooling &amp; Wrinkle-Free, Moisture-Wicking &amp; Breathable for Hair &amp; Skin (Blush Pink)</t>
        </is>
      </c>
      <c r="E65" s="39" t="inlineStr">
        <is>
          <t>King</t>
        </is>
      </c>
      <c r="F65" s="39" t="inlineStr">
        <is>
          <t>Blush Pink</t>
        </is>
      </c>
      <c r="G65" s="40" t="n"/>
      <c r="H65" s="39" t="n"/>
      <c r="I65" s="74" t="n">
        <v>49.95</v>
      </c>
      <c r="J65" s="75" t="inlineStr">
        <is>
          <t>2026-03-30</t>
        </is>
      </c>
      <c r="K65" s="40" t="n">
        <v>20.79</v>
      </c>
      <c r="L65" s="76" t="n">
        <v>0.4162162162162162</v>
      </c>
      <c r="M65" s="77" t="n">
        <v>0</v>
      </c>
      <c r="N65" s="39" t="inlineStr">
        <is>
          <t>Active</t>
        </is>
      </c>
      <c r="O65" s="39" t="n"/>
      <c r="P65" s="78" t="n">
        <v>4.4</v>
      </c>
      <c r="Q65" s="77" t="n">
        <v>1090</v>
      </c>
      <c r="R65" s="77" t="n">
        <v>64523</v>
      </c>
      <c r="S65" s="77" t="n">
        <v>0</v>
      </c>
      <c r="T65" s="39" t="n"/>
    </row>
    <row r="66" ht="62" customHeight="1">
      <c r="A66" s="12">
        <f>_xlfn.IMAGE("https://m.media-amazon.com/images/I/81cPOSHJh1L.jpg")</f>
        <v/>
      </c>
      <c r="B66" s="39" t="inlineStr">
        <is>
          <t>B0DDRL4WTJ</t>
        </is>
      </c>
      <c r="C66" s="39" t="inlineStr">
        <is>
          <t>SS-SATIN-BURNT-ORANGE-KING-4PCS</t>
        </is>
      </c>
      <c r="D66" s="39" t="inlineStr">
        <is>
          <t>Sleep Sanctuary Satin Sheets King Size – 4 Piece Luxury Silky Bed Set, Softer Than Silk, 15" Deep Pocket, Cooling &amp; Wrinkle-Free, Moisture-Wicking &amp; Breathable for Hair &amp; Skin (Burnt Orange)</t>
        </is>
      </c>
      <c r="E66" s="39" t="inlineStr">
        <is>
          <t>King</t>
        </is>
      </c>
      <c r="F66" s="39" t="inlineStr">
        <is>
          <t>Burnt Orange</t>
        </is>
      </c>
      <c r="G66" s="73" t="n">
        <v>49.95</v>
      </c>
      <c r="H66" s="39" t="inlineStr">
        <is>
          <t>catalog price (CAD), 2026-10-14</t>
        </is>
      </c>
      <c r="I66" s="74" t="n">
        <v>49.95</v>
      </c>
      <c r="J66" s="75" t="inlineStr">
        <is>
          <t>2026-03-30</t>
        </is>
      </c>
      <c r="K66" s="40" t="n">
        <v>21.12</v>
      </c>
      <c r="L66" s="76" t="n">
        <v>0.4228228228228227</v>
      </c>
      <c r="M66" s="77" t="n">
        <v>0</v>
      </c>
      <c r="N66" s="39" t="inlineStr">
        <is>
          <t>Active</t>
        </is>
      </c>
      <c r="O66" s="39" t="n"/>
      <c r="P66" s="78" t="n">
        <v>4.4</v>
      </c>
      <c r="Q66" s="77" t="n">
        <v>1090</v>
      </c>
      <c r="R66" s="77" t="n">
        <v>64523</v>
      </c>
      <c r="S66" s="77" t="n">
        <v>0.4865</v>
      </c>
      <c r="T66" s="39" t="n"/>
    </row>
    <row r="67" ht="62" customHeight="1">
      <c r="A67" s="12">
        <f>_xlfn.IMAGE("https://m.media-amazon.com/images/I/81AE8h7l4-L.jpg")</f>
        <v/>
      </c>
      <c r="B67" s="39" t="inlineStr">
        <is>
          <t>B0DDR5JMCH</t>
        </is>
      </c>
      <c r="C67" s="39" t="inlineStr">
        <is>
          <t>SS-SATIN-GOLD-KING-4PCS</t>
        </is>
      </c>
      <c r="D67" s="39" t="inlineStr">
        <is>
          <t>Sleep Sanctuary Satin Sheets King Size – 4 Piece Luxury Silky Bed Set, Softer Than Silk, 15" Deep Pocket, Cooling &amp; Wrinkle-Free, Moisture-Wicking &amp; Breathable for Hair &amp; Skin (Gold)</t>
        </is>
      </c>
      <c r="E67" s="39" t="inlineStr">
        <is>
          <t>King</t>
        </is>
      </c>
      <c r="F67" s="39" t="inlineStr">
        <is>
          <t>Gold</t>
        </is>
      </c>
      <c r="G67" s="73" t="n">
        <v>49.95</v>
      </c>
      <c r="H67" s="39" t="inlineStr">
        <is>
          <t>catalog price (CAD), 2026-10-14</t>
        </is>
      </c>
      <c r="I67" s="74" t="n">
        <v>49.95</v>
      </c>
      <c r="J67" s="75" t="inlineStr">
        <is>
          <t>2026-03-30</t>
        </is>
      </c>
      <c r="K67" s="40" t="n">
        <v>21.03</v>
      </c>
      <c r="L67" s="76" t="n">
        <v>0.421021021021021</v>
      </c>
      <c r="M67" s="77" t="n">
        <v>0</v>
      </c>
      <c r="N67" s="39" t="inlineStr">
        <is>
          <t>Active</t>
        </is>
      </c>
      <c r="O67" s="39" t="n"/>
      <c r="P67" s="78" t="n">
        <v>4.4</v>
      </c>
      <c r="Q67" s="77" t="n">
        <v>1090</v>
      </c>
      <c r="R67" s="77" t="n">
        <v>64523</v>
      </c>
      <c r="S67" s="77" t="n">
        <v>0</v>
      </c>
      <c r="T67" s="39" t="n"/>
    </row>
    <row r="68" ht="62" customHeight="1">
      <c r="A68" s="12">
        <f>_xlfn.IMAGE("https://m.media-amazon.com/images/I/81eHsiCwxyL.jpg")</f>
        <v/>
      </c>
      <c r="B68" s="39" t="inlineStr">
        <is>
          <t>B0DDR5QBGQ</t>
        </is>
      </c>
      <c r="C68" s="39" t="inlineStr">
        <is>
          <t>SS-SATIN-IVORY-KING-4PCS</t>
        </is>
      </c>
      <c r="D68" s="39" t="inlineStr">
        <is>
          <t>Sleep Sanctuary Satin Sheets King Size – 4 Piece Luxury Silky Bed Set, Softer Than Silk, 15" Deep Pocket, Cooling &amp; Wrinkle-Free, Moisture-Wicking &amp; Breathable for Hair &amp; Skin (Ivory)</t>
        </is>
      </c>
      <c r="E68" s="39" t="inlineStr">
        <is>
          <t>King</t>
        </is>
      </c>
      <c r="F68" s="39" t="inlineStr">
        <is>
          <t>Ivory</t>
        </is>
      </c>
      <c r="G68" s="73" t="n">
        <v>49.95</v>
      </c>
      <c r="H68" s="39" t="inlineStr">
        <is>
          <t>catalog price (CAD), 2026-10-14</t>
        </is>
      </c>
      <c r="I68" s="74" t="n">
        <v>49.95</v>
      </c>
      <c r="J68" s="75" t="inlineStr">
        <is>
          <t>2026-03-30</t>
        </is>
      </c>
      <c r="K68" s="40" t="n">
        <v>20.79</v>
      </c>
      <c r="L68" s="76" t="n">
        <v>0.4162162162162162</v>
      </c>
      <c r="M68" s="77" t="n">
        <v>0</v>
      </c>
      <c r="N68" s="39" t="inlineStr">
        <is>
          <t>Active</t>
        </is>
      </c>
      <c r="O68" s="39" t="n"/>
      <c r="P68" s="78" t="n">
        <v>4.4</v>
      </c>
      <c r="Q68" s="77" t="n">
        <v>1090</v>
      </c>
      <c r="R68" s="77" t="n">
        <v>64523</v>
      </c>
      <c r="S68" s="77" t="n">
        <v>0.5905</v>
      </c>
      <c r="T68" s="39" t="n"/>
    </row>
    <row r="69" ht="62" customHeight="1">
      <c r="A69" s="12">
        <f>_xlfn.IMAGE("https://m.media-amazon.com/images/I/81ttAeO-RjL.jpg")</f>
        <v/>
      </c>
      <c r="B69" s="39" t="inlineStr">
        <is>
          <t>B0DDRFLD2F</t>
        </is>
      </c>
      <c r="C69" s="39" t="inlineStr">
        <is>
          <t>SS-SATIN-LAVENDER-KING-4PCS</t>
        </is>
      </c>
      <c r="D69" s="39" t="inlineStr">
        <is>
          <t>Sleep Sanctuary Satin Sheets King Size – 4 Piece Luxury Silky Bed Set, Softer Than Silk, 15" Deep Pocket, Cooling &amp; Wrinkle-Free, Moisture-Wicking &amp; Breathable for Hair &amp; Skin (Lavender)</t>
        </is>
      </c>
      <c r="E69" s="39" t="inlineStr">
        <is>
          <t>King</t>
        </is>
      </c>
      <c r="F69" s="39" t="inlineStr">
        <is>
          <t>Lavender</t>
        </is>
      </c>
      <c r="G69" s="73" t="n">
        <v>49.95</v>
      </c>
      <c r="H69" s="39" t="inlineStr">
        <is>
          <t>catalog price (CAD), 2026-10-14</t>
        </is>
      </c>
      <c r="I69" s="74" t="n">
        <v>49.95</v>
      </c>
      <c r="J69" s="75" t="inlineStr">
        <is>
          <t>2026-03-30</t>
        </is>
      </c>
      <c r="K69" s="40" t="n">
        <v>21.12</v>
      </c>
      <c r="L69" s="76" t="n">
        <v>0.4228228228228227</v>
      </c>
      <c r="M69" s="77" t="n">
        <v>0</v>
      </c>
      <c r="N69" s="39" t="inlineStr">
        <is>
          <t>Active</t>
        </is>
      </c>
      <c r="O69" s="39" t="n"/>
      <c r="P69" s="78" t="n">
        <v>4.4</v>
      </c>
      <c r="Q69" s="77" t="n">
        <v>1090</v>
      </c>
      <c r="R69" s="77" t="n">
        <v>64523</v>
      </c>
      <c r="S69" s="77" t="n">
        <v>0.5438</v>
      </c>
      <c r="T69" s="39" t="n"/>
    </row>
    <row r="70" ht="62" customHeight="1">
      <c r="A70" s="12">
        <f>_xlfn.IMAGE("https://m.media-amazon.com/images/I/811f9U2X++L.jpg")</f>
        <v/>
      </c>
      <c r="B70" s="39" t="inlineStr">
        <is>
          <t>B0DDQQB8VY</t>
        </is>
      </c>
      <c r="C70" s="39" t="inlineStr">
        <is>
          <t>SS-SATIN-PINK-KING-4PCS</t>
        </is>
      </c>
      <c r="D70" s="39" t="inlineStr">
        <is>
          <t>Sleep Sanctuary Satin Sheets King Size – 4 Piece Luxury Silky Bed Set, Softer Than Silk, 15" Deep Pocket, Cooling &amp; Wrinkle-Free, Moisture-Wicking &amp; Breathable for Hair &amp; Skin (Pink)</t>
        </is>
      </c>
      <c r="E70" s="39" t="inlineStr">
        <is>
          <t>King</t>
        </is>
      </c>
      <c r="F70" s="39" t="inlineStr">
        <is>
          <t>Pink</t>
        </is>
      </c>
      <c r="G70" s="73" t="n">
        <v>61.36</v>
      </c>
      <c r="H70" s="39" t="inlineStr">
        <is>
          <t>catalog price (CAD), 2026-10-14</t>
        </is>
      </c>
      <c r="I70" s="74" t="n">
        <v>61.43</v>
      </c>
      <c r="J70" s="75" t="inlineStr">
        <is>
          <t>2026-03-30</t>
        </is>
      </c>
      <c r="K70" s="40" t="n">
        <v>24.81</v>
      </c>
      <c r="L70" s="76" t="n">
        <v>0.4038743285039883</v>
      </c>
      <c r="M70" s="77" t="n">
        <v>0</v>
      </c>
      <c r="N70" s="39" t="inlineStr">
        <is>
          <t>Active</t>
        </is>
      </c>
      <c r="O70" s="39" t="n"/>
      <c r="P70" s="78" t="n">
        <v>4.4</v>
      </c>
      <c r="Q70" s="77" t="n">
        <v>1090</v>
      </c>
      <c r="R70" s="77" t="n">
        <v>64523</v>
      </c>
      <c r="S70" s="77" t="n">
        <v>0</v>
      </c>
      <c r="T70" s="39" t="n"/>
    </row>
    <row r="71" ht="62" customHeight="1">
      <c r="A71" s="12">
        <f>_xlfn.IMAGE("https://m.media-amazon.com/images/I/81n6eJJsrGL.jpg")</f>
        <v/>
      </c>
      <c r="B71" s="39" t="inlineStr">
        <is>
          <t>B0DDRP3R3F</t>
        </is>
      </c>
      <c r="C71" s="39" t="inlineStr">
        <is>
          <t>SS-SATIN-RED-KING-4PCS</t>
        </is>
      </c>
      <c r="D71" s="39" t="inlineStr">
        <is>
          <t>Sleep Sanctuary Satin Sheets King Size – 4 Piece Luxury Silky Bed Set, Softer Than Silk, 15" Deep Pocket, Cooling &amp; Wrinkle-Free, Moisture-Wicking &amp; Breathable for Hair &amp; Skin (Red)</t>
        </is>
      </c>
      <c r="E71" s="39" t="inlineStr">
        <is>
          <t>King</t>
        </is>
      </c>
      <c r="F71" s="39" t="inlineStr">
        <is>
          <t>Red</t>
        </is>
      </c>
      <c r="G71" s="73" t="n">
        <v>49.95</v>
      </c>
      <c r="H71" s="39" t="inlineStr">
        <is>
          <t>catalog price (CAD), 2026-10-14</t>
        </is>
      </c>
      <c r="I71" s="74" t="n">
        <v>49.95</v>
      </c>
      <c r="J71" s="75" t="inlineStr">
        <is>
          <t>2026-03-30</t>
        </is>
      </c>
      <c r="K71" s="40" t="n">
        <v>21.46</v>
      </c>
      <c r="L71" s="76" t="n">
        <v>0.4296296296296296</v>
      </c>
      <c r="M71" s="77" t="n">
        <v>0</v>
      </c>
      <c r="N71" s="39" t="inlineStr">
        <is>
          <t>Active</t>
        </is>
      </c>
      <c r="O71" s="39" t="n"/>
      <c r="P71" s="78" t="n">
        <v>4.4</v>
      </c>
      <c r="Q71" s="77" t="n">
        <v>1090</v>
      </c>
      <c r="R71" s="77" t="n">
        <v>64523</v>
      </c>
      <c r="S71" s="77" t="n">
        <v>0.5797</v>
      </c>
      <c r="T71" s="39" t="n"/>
    </row>
    <row r="72" ht="62" customHeight="1">
      <c r="A72" s="12">
        <f>_xlfn.IMAGE("https://m.media-amazon.com/images/I/81x+7oMcdCL.jpg")</f>
        <v/>
      </c>
      <c r="B72" s="39" t="inlineStr">
        <is>
          <t>B0DDRM5YW5</t>
        </is>
      </c>
      <c r="C72" s="39" t="inlineStr">
        <is>
          <t>SS-SATIN-ROSEWOOD-KING-4PCS</t>
        </is>
      </c>
      <c r="D72" s="39" t="inlineStr">
        <is>
          <t>Sleep Sanctuary Satin Sheets King Size – 4 Piece Luxury Silky Bed Set, Softer Than Silk, 15" Deep Pocket, Cooling &amp; Wrinkle-Free, Moisture-Wicking &amp; Breathable for Hair &amp; Skin (Rosewood)</t>
        </is>
      </c>
      <c r="E72" s="39" t="inlineStr">
        <is>
          <t>King</t>
        </is>
      </c>
      <c r="F72" s="39" t="inlineStr">
        <is>
          <t>Rosewood</t>
        </is>
      </c>
      <c r="G72" s="73" t="n">
        <v>49.95</v>
      </c>
      <c r="H72" s="39" t="inlineStr">
        <is>
          <t>catalog price (CAD), 2026-10-14</t>
        </is>
      </c>
      <c r="I72" s="74" t="n">
        <v>49.95</v>
      </c>
      <c r="J72" s="75" t="inlineStr">
        <is>
          <t>2026-03-30</t>
        </is>
      </c>
      <c r="K72" s="40" t="n">
        <v>21.03</v>
      </c>
      <c r="L72" s="76" t="n">
        <v>0.421021021021021</v>
      </c>
      <c r="M72" s="77" t="n">
        <v>0</v>
      </c>
      <c r="N72" s="39" t="inlineStr">
        <is>
          <t>Active</t>
        </is>
      </c>
      <c r="O72" s="39" t="n"/>
      <c r="P72" s="78" t="n">
        <v>4.4</v>
      </c>
      <c r="Q72" s="77" t="n">
        <v>1090</v>
      </c>
      <c r="R72" s="77" t="n">
        <v>64523</v>
      </c>
      <c r="S72" s="77" t="n">
        <v>0.4353</v>
      </c>
      <c r="T72" s="39" t="n"/>
    </row>
    <row r="73" ht="62" customHeight="1">
      <c r="A73" s="12">
        <f>_xlfn.IMAGE("https://m.media-amazon.com/images/I/81i0u4Y+8uL.jpg")</f>
        <v/>
      </c>
      <c r="B73" s="39" t="inlineStr">
        <is>
          <t>B0DDRFDBSP</t>
        </is>
      </c>
      <c r="C73" s="39" t="inlineStr">
        <is>
          <t>SS-SATIN-SAGE-GREEN-KING-4PCS</t>
        </is>
      </c>
      <c r="D73" s="39" t="inlineStr">
        <is>
          <t>SLEEP SANCTUARY Satin Sheets King Size – 4 Piece Luxury Silky Bed Set, Softer Than Silk, 15" Deep Pocket, Cooling &amp; Wrinkle-Free, Moisture-Wicking &amp; Breathable for Hair &amp; Skin (Sage Green)</t>
        </is>
      </c>
      <c r="E73" s="39" t="inlineStr">
        <is>
          <t>King</t>
        </is>
      </c>
      <c r="F73" s="39" t="inlineStr">
        <is>
          <t>Sage Green</t>
        </is>
      </c>
      <c r="G73" s="40" t="n"/>
      <c r="H73" s="39" t="n"/>
      <c r="I73" s="74" t="n">
        <v>61.6</v>
      </c>
      <c r="J73" s="75" t="inlineStr">
        <is>
          <t>2026-03-30</t>
        </is>
      </c>
      <c r="K73" s="40" t="n">
        <v>24.74</v>
      </c>
      <c r="L73" s="76" t="n">
        <v>0.4016233766233766</v>
      </c>
      <c r="M73" s="77" t="n"/>
      <c r="N73" s="39" t="inlineStr">
        <is>
          <t>Inactive</t>
        </is>
      </c>
      <c r="O73" s="39" t="n"/>
      <c r="P73" s="78" t="n"/>
      <c r="Q73" s="77" t="n"/>
      <c r="R73" s="77" t="n"/>
      <c r="S73" s="77" t="n"/>
      <c r="T73" s="39" t="n"/>
    </row>
    <row r="74" ht="62" customHeight="1">
      <c r="A74" s="12">
        <f>_xlfn.IMAGE("https://m.media-amazon.com/images/I/81qEq06R1GL.jpg")</f>
        <v/>
      </c>
      <c r="B74" s="39" t="inlineStr">
        <is>
          <t>B0DDR9FXWM</t>
        </is>
      </c>
      <c r="C74" s="39" t="inlineStr">
        <is>
          <t>SS-SATIN-STRIPED-BLACK-KING-4PCS</t>
        </is>
      </c>
      <c r="D74" s="39" t="inlineStr">
        <is>
          <t>SLEEP SANCTUARY Satin Sheets King Size – 4 Piece Luxury Silky Bed Set, Softer Than Silk, 15" Deep Pocket, Cooling &amp; Wrinkle-Free, Moisture-Wicking &amp; Breathable for Hair &amp; Skin (Striped Black)</t>
        </is>
      </c>
      <c r="E74" s="39" t="inlineStr">
        <is>
          <t>King</t>
        </is>
      </c>
      <c r="F74" s="39" t="inlineStr">
        <is>
          <t>Striped Black</t>
        </is>
      </c>
      <c r="G74" s="40" t="n"/>
      <c r="H74" s="39" t="n"/>
      <c r="I74" s="74" t="n">
        <v>61.16</v>
      </c>
      <c r="J74" s="75" t="inlineStr">
        <is>
          <t>2026-03-30</t>
        </is>
      </c>
      <c r="K74" s="40" t="n">
        <v>22.76</v>
      </c>
      <c r="L74" s="76" t="n">
        <v>0.3721386527141923</v>
      </c>
      <c r="M74" s="77" t="n"/>
      <c r="N74" s="39" t="inlineStr">
        <is>
          <t>Inactive</t>
        </is>
      </c>
      <c r="O74" s="39" t="n"/>
      <c r="P74" s="78" t="n"/>
      <c r="Q74" s="77" t="n"/>
      <c r="R74" s="77" t="n"/>
      <c r="S74" s="77" t="n"/>
      <c r="T74" s="39" t="n"/>
    </row>
    <row r="75" ht="62" customHeight="1">
      <c r="A75" s="12">
        <f>_xlfn.IMAGE("https://m.media-amazon.com/images/I/81IuYnZdF7L.jpg")</f>
        <v/>
      </c>
      <c r="B75" s="39" t="inlineStr">
        <is>
          <t>B0DDRKSQT2</t>
        </is>
      </c>
      <c r="C75" s="39" t="inlineStr">
        <is>
          <t>SS-SATIN-STRIPED-BLUE-KING-4PCS</t>
        </is>
      </c>
      <c r="D75" s="39" t="inlineStr">
        <is>
          <t>SLEEP SANCTUARY Satin Sheets King Size – 4 Piece Luxury Silky Bed Set, Softer Than Silk, 15" Deep Pocket, Cooling &amp; Wrinkle-Free, Moisture-Wicking &amp; Breathable for Hair &amp; Skin (Striped Blue)</t>
        </is>
      </c>
      <c r="E75" s="39" t="inlineStr">
        <is>
          <t>King</t>
        </is>
      </c>
      <c r="F75" s="39" t="inlineStr">
        <is>
          <t>Striped Blue</t>
        </is>
      </c>
      <c r="G75" s="40" t="n"/>
      <c r="H75" s="39" t="n"/>
      <c r="I75" s="74" t="n">
        <v>61.14</v>
      </c>
      <c r="J75" s="75" t="inlineStr">
        <is>
          <t>2026-03-16</t>
        </is>
      </c>
      <c r="K75" s="40" t="n">
        <v>28.22</v>
      </c>
      <c r="L75" s="76" t="n">
        <v>0.4615636244684331</v>
      </c>
      <c r="M75" s="77" t="n"/>
      <c r="N75" s="39" t="inlineStr">
        <is>
          <t>Inactive</t>
        </is>
      </c>
      <c r="O75" s="39" t="n"/>
      <c r="P75" s="78" t="n"/>
      <c r="Q75" s="77" t="n"/>
      <c r="R75" s="77" t="n"/>
      <c r="S75" s="77" t="n"/>
      <c r="T75" s="39" t="n"/>
    </row>
    <row r="76" ht="62" customHeight="1">
      <c r="A76" s="12">
        <f>_xlfn.IMAGE("https://m.media-amazon.com/images/I/81c0TeFW0bL.jpg")</f>
        <v/>
      </c>
      <c r="B76" s="39" t="inlineStr">
        <is>
          <t>B0DDQXKZK7</t>
        </is>
      </c>
      <c r="C76" s="39" t="inlineStr">
        <is>
          <t>SS-SATIN-STRIPED-GOLD-KING-4PCS</t>
        </is>
      </c>
      <c r="D76" s="39" t="inlineStr">
        <is>
          <t>Sleep Sanctuary Satin Sheets King Size – 4 Piece Luxury Silky Bed Set, Softer Than Silk, 15" Deep Pocket, Cooling &amp; Wrinkle-Free, Moisture-Wicking &amp; Breathable for Hair &amp; Skin (Striped Gold)</t>
        </is>
      </c>
      <c r="E76" s="39" t="inlineStr">
        <is>
          <t>King</t>
        </is>
      </c>
      <c r="F76" s="39" t="inlineStr">
        <is>
          <t>Striped Gold</t>
        </is>
      </c>
      <c r="G76" s="73" t="n">
        <v>61.36</v>
      </c>
      <c r="H76" s="39" t="inlineStr">
        <is>
          <t>catalog price (CAD), 2026-10-14</t>
        </is>
      </c>
      <c r="I76" s="74" t="n">
        <v>61.14</v>
      </c>
      <c r="J76" s="75" t="inlineStr">
        <is>
          <t>2026-03-30</t>
        </is>
      </c>
      <c r="K76" s="40" t="n">
        <v>22.74</v>
      </c>
      <c r="L76" s="76" t="n">
        <v>0.3719332679097154</v>
      </c>
      <c r="M76" s="77" t="n">
        <v>0</v>
      </c>
      <c r="N76" s="39" t="inlineStr">
        <is>
          <t>Active</t>
        </is>
      </c>
      <c r="O76" s="39" t="n"/>
      <c r="P76" s="78" t="n">
        <v>4.4</v>
      </c>
      <c r="Q76" s="77" t="n">
        <v>1090</v>
      </c>
      <c r="R76" s="77" t="n">
        <v>64523</v>
      </c>
      <c r="S76" s="77" t="n">
        <v>0.5096000000000001</v>
      </c>
      <c r="T76" s="39" t="n"/>
    </row>
    <row r="77" ht="62" customHeight="1">
      <c r="A77" s="12">
        <f>_xlfn.IMAGE("https://m.media-amazon.com/images/I/81zlU-hzNOL.jpg")</f>
        <v/>
      </c>
      <c r="B77" s="39" t="inlineStr">
        <is>
          <t>B0DDRHYXFM</t>
        </is>
      </c>
      <c r="C77" s="39" t="inlineStr">
        <is>
          <t>SS-SATIN-STRIPED-GREY-KING-4PCS</t>
        </is>
      </c>
      <c r="D77" s="39" t="inlineStr">
        <is>
          <t>Sleep Sanctuary Satin Sheets King Size – 4 Piece Luxury Silky Bed Set, Softer Than Silk, 15" Deep Pocket, Cooling &amp; Wrinkle-Free, Moisture-Wicking &amp; Breathable for Hair &amp; Skin (Striped Grey)</t>
        </is>
      </c>
      <c r="E77" s="39" t="inlineStr">
        <is>
          <t>King</t>
        </is>
      </c>
      <c r="F77" s="39" t="inlineStr">
        <is>
          <t>Striped Grey</t>
        </is>
      </c>
      <c r="G77" s="73" t="n">
        <v>49.95</v>
      </c>
      <c r="H77" s="39" t="inlineStr">
        <is>
          <t>catalog price (CAD), 2026-10-14</t>
        </is>
      </c>
      <c r="I77" s="74" t="n">
        <v>49.95</v>
      </c>
      <c r="J77" s="75" t="inlineStr">
        <is>
          <t>2026-03-30</t>
        </is>
      </c>
      <c r="K77" s="40" t="n">
        <v>18.71</v>
      </c>
      <c r="L77" s="76" t="n">
        <v>0.3745745745745745</v>
      </c>
      <c r="M77" s="77" t="n">
        <v>0</v>
      </c>
      <c r="N77" s="39" t="inlineStr">
        <is>
          <t>Active</t>
        </is>
      </c>
      <c r="O77" s="39" t="n"/>
      <c r="P77" s="78" t="n">
        <v>4.4</v>
      </c>
      <c r="Q77" s="77" t="n">
        <v>1090</v>
      </c>
      <c r="R77" s="77" t="n">
        <v>64523</v>
      </c>
      <c r="S77" s="77" t="n">
        <v>0</v>
      </c>
      <c r="T77" s="39" t="n"/>
    </row>
    <row r="78" ht="62" customHeight="1">
      <c r="A78" s="12">
        <f>_xlfn.IMAGE("https://m.media-amazon.com/images/I/81VzFs1NSBL.jpg")</f>
        <v/>
      </c>
      <c r="B78" s="39" t="inlineStr">
        <is>
          <t>B0DDRKQYDW</t>
        </is>
      </c>
      <c r="C78" s="39" t="inlineStr">
        <is>
          <t>SS-SATIN-STRIPED-PINK-KING-4PCS</t>
        </is>
      </c>
      <c r="D78" s="39" t="inlineStr">
        <is>
          <t>SLEEP SANCTUARY Satin Sheets King Size – 4 Piece Luxury Silky Bed Set, Softer Than Silk, 15" Deep Pocket, Cooling &amp; Wrinkle-Free, Moisture-Wicking &amp; Breathable for Hair &amp; Skin (Striped Pink)</t>
        </is>
      </c>
      <c r="E78" s="39" t="inlineStr">
        <is>
          <t>King</t>
        </is>
      </c>
      <c r="F78" s="39" t="inlineStr">
        <is>
          <t>Striped Pink</t>
        </is>
      </c>
      <c r="G78" s="40" t="n"/>
      <c r="H78" s="39" t="n"/>
      <c r="I78" s="74" t="n">
        <v>61.01</v>
      </c>
      <c r="J78" s="75" t="inlineStr">
        <is>
          <t>2026-03-30</t>
        </is>
      </c>
      <c r="K78" s="40" t="n">
        <v>22.3</v>
      </c>
      <c r="L78" s="76" t="n">
        <v>0.3655138501884937</v>
      </c>
      <c r="M78" s="77" t="n">
        <v>0</v>
      </c>
      <c r="N78" s="39" t="inlineStr">
        <is>
          <t>Inactive</t>
        </is>
      </c>
      <c r="O78" s="39" t="n"/>
      <c r="P78" s="78" t="n"/>
      <c r="Q78" s="77" t="n"/>
      <c r="R78" s="77" t="n"/>
      <c r="S78" s="77" t="n"/>
      <c r="T78" s="39" t="n"/>
    </row>
    <row r="79" ht="62" customHeight="1">
      <c r="A79" s="12">
        <f>_xlfn.IMAGE("https://m.media-amazon.com/images/I/81qxRfk+zkL.jpg")</f>
        <v/>
      </c>
      <c r="B79" s="39" t="inlineStr">
        <is>
          <t>B0DDRDBWCG</t>
        </is>
      </c>
      <c r="C79" s="39" t="inlineStr">
        <is>
          <t>SS-SATIN-STRIPED-PURPLE-KING-4PCS</t>
        </is>
      </c>
      <c r="D79" s="39" t="inlineStr">
        <is>
          <t>SLEEP SANCTUARY Satin Sheets King Size – 4 Piece Luxury Silky Bed Set, Softer Than Silk, 15" Deep Pocket, Cooling &amp; Wrinkle-Free, Moisture-Wicking &amp; Breathable for Hair &amp; Skin (Striped Purple)</t>
        </is>
      </c>
      <c r="E79" s="39" t="inlineStr">
        <is>
          <t>King</t>
        </is>
      </c>
      <c r="F79" s="39" t="inlineStr">
        <is>
          <t>Striped Purple</t>
        </is>
      </c>
      <c r="G79" s="40" t="n"/>
      <c r="H79" s="39" t="n"/>
      <c r="I79" s="74" t="n">
        <v>61.16</v>
      </c>
      <c r="J79" s="75" t="inlineStr">
        <is>
          <t>2026-02-28</t>
        </is>
      </c>
      <c r="K79" s="40" t="n">
        <v>28.23999999999999</v>
      </c>
      <c r="L79" s="76" t="n">
        <v>0.461739699149771</v>
      </c>
      <c r="M79" s="77" t="n"/>
      <c r="N79" s="39" t="inlineStr">
        <is>
          <t>Inactive</t>
        </is>
      </c>
      <c r="O79" s="39" t="n"/>
      <c r="P79" s="78" t="n"/>
      <c r="Q79" s="77" t="n"/>
      <c r="R79" s="77" t="n"/>
      <c r="S79" s="77" t="n"/>
      <c r="T79" s="39" t="n"/>
    </row>
    <row r="80" ht="62" customHeight="1">
      <c r="A80" s="12">
        <f>_xlfn.IMAGE("https://m.media-amazon.com/images/I/81P2Ae6R78L.jpg")</f>
        <v/>
      </c>
      <c r="B80" s="39" t="inlineStr">
        <is>
          <t>B0DDRDMJCT</t>
        </is>
      </c>
      <c r="C80" s="39" t="inlineStr">
        <is>
          <t>SS-SATIN-STRIPED-RED-KING-4PCS</t>
        </is>
      </c>
      <c r="D80" s="39" t="inlineStr">
        <is>
          <t>Sleep Sanctuary Satin Sheets King Size – 4 Piece Luxury Silky Bed Set, Softer Than Silk, 15" Deep Pocket, Cooling &amp; Wrinkle-Free, Moisture-Wicking &amp; Breathable for Hair &amp; Skin (Striped Red)</t>
        </is>
      </c>
      <c r="E80" s="39" t="inlineStr">
        <is>
          <t>King</t>
        </is>
      </c>
      <c r="F80" s="39" t="inlineStr">
        <is>
          <t>Striped Red</t>
        </is>
      </c>
      <c r="G80" s="73" t="n">
        <v>61.36</v>
      </c>
      <c r="H80" s="39" t="inlineStr">
        <is>
          <t>catalog price (CAD), 2026-10-14</t>
        </is>
      </c>
      <c r="I80" s="74" t="n">
        <v>61.1</v>
      </c>
      <c r="J80" s="75" t="inlineStr">
        <is>
          <t>2026-03-30</t>
        </is>
      </c>
      <c r="K80" s="40" t="n">
        <v>22.7</v>
      </c>
      <c r="L80" s="76" t="n">
        <v>0.3715220949263502</v>
      </c>
      <c r="M80" s="77" t="n">
        <v>0</v>
      </c>
      <c r="N80" s="39" t="inlineStr">
        <is>
          <t>Active</t>
        </is>
      </c>
      <c r="O80" s="39" t="n"/>
      <c r="P80" s="78" t="n">
        <v>4.4</v>
      </c>
      <c r="Q80" s="77" t="n">
        <v>1090</v>
      </c>
      <c r="R80" s="77" t="n">
        <v>64523</v>
      </c>
      <c r="S80" s="77" t="n">
        <v>0</v>
      </c>
      <c r="T80" s="39" t="n"/>
    </row>
    <row r="81" ht="62" customHeight="1">
      <c r="A81" s="12">
        <f>_xlfn.IMAGE("https://m.media-amazon.com/images/I/81bZ3S4CehL.jpg")</f>
        <v/>
      </c>
      <c r="B81" s="39" t="inlineStr">
        <is>
          <t>B0DDRF1Z4N</t>
        </is>
      </c>
      <c r="C81" s="39" t="inlineStr">
        <is>
          <t>SS-SATIN-TAUPE-KING-4PCS</t>
        </is>
      </c>
      <c r="D81" s="39" t="inlineStr">
        <is>
          <t>Sleep Sanctuary Satin Sheets King Size – 4 Piece Luxury Silky Bed Set, Softer Than Silk, 15" Deep Pocket, Cooling &amp; Wrinkle-Free, Moisture-Wicking &amp; Breathable for Hair &amp; Skin (Taupe)</t>
        </is>
      </c>
      <c r="E81" s="39" t="inlineStr">
        <is>
          <t>King</t>
        </is>
      </c>
      <c r="F81" s="39" t="inlineStr">
        <is>
          <t>Taupe</t>
        </is>
      </c>
      <c r="G81" s="73" t="n">
        <v>49.95</v>
      </c>
      <c r="H81" s="39" t="inlineStr">
        <is>
          <t>catalog price (CAD), 2026-10-14</t>
        </is>
      </c>
      <c r="I81" s="74" t="n">
        <v>49.95</v>
      </c>
      <c r="J81" s="75" t="inlineStr">
        <is>
          <t>2026-03-30</t>
        </is>
      </c>
      <c r="K81" s="40" t="n">
        <v>20.79</v>
      </c>
      <c r="L81" s="76" t="n">
        <v>0.4162162162162162</v>
      </c>
      <c r="M81" s="77" t="n">
        <v>0</v>
      </c>
      <c r="N81" s="39" t="inlineStr">
        <is>
          <t>Active</t>
        </is>
      </c>
      <c r="O81" s="39" t="n"/>
      <c r="P81" s="78" t="n">
        <v>4.4</v>
      </c>
      <c r="Q81" s="77" t="n">
        <v>1090</v>
      </c>
      <c r="R81" s="77" t="n">
        <v>64523</v>
      </c>
      <c r="S81" s="77" t="n">
        <v>0.4355</v>
      </c>
      <c r="T81" s="39" t="n"/>
    </row>
    <row r="82" ht="62" customHeight="1">
      <c r="A82" s="12">
        <f>_xlfn.IMAGE("https://m.media-amazon.com/images/I/81qEq06R1GL.jpg")</f>
        <v/>
      </c>
      <c r="B82" s="39" t="inlineStr">
        <is>
          <t>B0DDRFM554</t>
        </is>
      </c>
      <c r="C82" s="39" t="inlineStr">
        <is>
          <t>SS-SATIN-BABY-BLUE-QUEEN-4PCS</t>
        </is>
      </c>
      <c r="D82" s="39" t="inlineStr">
        <is>
          <t>Sleep Sanctuary Satin Sheets Queen Size – 4 Piece Luxury Silky Bed Set, Softer Than Silk, 15" Deep Pocket, Cooling &amp; Wrinkle-Free, Moisture-Wicking &amp; Breathable for Hair &amp; Skin (Baby Blue)</t>
        </is>
      </c>
      <c r="E82" s="39" t="inlineStr">
        <is>
          <t>Queen</t>
        </is>
      </c>
      <c r="F82" s="39" t="inlineStr">
        <is>
          <t>Baby Blue</t>
        </is>
      </c>
      <c r="G82" s="73" t="n">
        <v>46.95</v>
      </c>
      <c r="H82" s="39" t="inlineStr">
        <is>
          <t>catalog price (CAD), 2026-10-14</t>
        </is>
      </c>
      <c r="I82" s="74" t="n">
        <v>46.95</v>
      </c>
      <c r="J82" s="75" t="inlineStr">
        <is>
          <t>2026-03-30</t>
        </is>
      </c>
      <c r="K82" s="40" t="n">
        <v>20.21000000000001</v>
      </c>
      <c r="L82" s="76" t="n">
        <v>0.4304579339723111</v>
      </c>
      <c r="M82" s="77" t="n">
        <v>0</v>
      </c>
      <c r="N82" s="39" t="inlineStr">
        <is>
          <t>Active</t>
        </is>
      </c>
      <c r="O82" s="39" t="n"/>
      <c r="P82" s="78" t="n">
        <v>4.4</v>
      </c>
      <c r="Q82" s="77" t="n">
        <v>1090</v>
      </c>
      <c r="R82" s="77" t="n">
        <v>64523</v>
      </c>
      <c r="S82" s="77" t="n">
        <v>0.9384</v>
      </c>
      <c r="T82" s="39" t="n"/>
    </row>
    <row r="83" ht="62" customHeight="1">
      <c r="A83" s="12">
        <f>_xlfn.IMAGE("https://m.media-amazon.com/images/I/81qEq06R1GL.jpg")</f>
        <v/>
      </c>
      <c r="B83" s="39" t="inlineStr">
        <is>
          <t>B0DDR6C74S</t>
        </is>
      </c>
      <c r="C83" s="39" t="inlineStr">
        <is>
          <t>SS-SATIN-BLACK-QUEEN-4PCS</t>
        </is>
      </c>
      <c r="D83" s="39" t="inlineStr">
        <is>
          <t>SLEEP SANCTUARY Satin Sheets Queen Size – 4 Piece Luxury Silky Bed Set, Softer Than Silk, 15" Deep Pocket, Cooling &amp; Wrinkle-Free, Moisture-Wicking &amp; Breathable for Hair &amp; Skin (Black)</t>
        </is>
      </c>
      <c r="E83" s="39" t="inlineStr">
        <is>
          <t>Queen</t>
        </is>
      </c>
      <c r="F83" s="39" t="inlineStr">
        <is>
          <t>Black</t>
        </is>
      </c>
      <c r="G83" s="40" t="n"/>
      <c r="H83" s="39" t="n"/>
      <c r="I83" s="74" t="n">
        <v>46.95</v>
      </c>
      <c r="J83" s="75" t="inlineStr">
        <is>
          <t>2026-03-30</t>
        </is>
      </c>
      <c r="K83" s="40" t="n">
        <v>19.58000000000001</v>
      </c>
      <c r="L83" s="76" t="n">
        <v>0.4170394036208734</v>
      </c>
      <c r="M83" s="77" t="n"/>
      <c r="N83" s="39" t="inlineStr">
        <is>
          <t>Inactive</t>
        </is>
      </c>
      <c r="O83" s="39" t="n"/>
      <c r="P83" s="78" t="n"/>
      <c r="Q83" s="77" t="n"/>
      <c r="R83" s="77" t="n"/>
      <c r="S83" s="77" t="n"/>
      <c r="T83" s="39" t="n"/>
    </row>
    <row r="84" ht="62" customHeight="1">
      <c r="A84" s="12">
        <f>_xlfn.IMAGE("https://m.media-amazon.com/images/I/81UIBGaUe6L.jpg")</f>
        <v/>
      </c>
      <c r="B84" s="39" t="inlineStr">
        <is>
          <t>B0DDRNW3GF</t>
        </is>
      </c>
      <c r="C84" s="39" t="inlineStr">
        <is>
          <t>SS-SATIN-BLUE-QUEEN-4PCS</t>
        </is>
      </c>
      <c r="D84" s="39" t="inlineStr">
        <is>
          <t>Sleep Sanctuary Satin Sheets Queen Size – 4 Piece Luxury Silky Bed Set, Softer Than Silk, 15" Deep Pocket, Cooling &amp; Wrinkle-Free, Moisture-Wicking &amp; Breathable for Hair &amp; Skin (Blue)</t>
        </is>
      </c>
      <c r="E84" s="39" t="inlineStr">
        <is>
          <t>Queen</t>
        </is>
      </c>
      <c r="F84" s="39" t="inlineStr">
        <is>
          <t>Blue</t>
        </is>
      </c>
      <c r="G84" s="73" t="n">
        <v>46.95</v>
      </c>
      <c r="H84" s="39" t="inlineStr">
        <is>
          <t>catalog price (CAD), 2026-10-14</t>
        </is>
      </c>
      <c r="I84" s="74" t="n">
        <v>46.95</v>
      </c>
      <c r="J84" s="75" t="inlineStr">
        <is>
          <t>2026-03-30</t>
        </is>
      </c>
      <c r="K84" s="40" t="n">
        <v>19.97000000000001</v>
      </c>
      <c r="L84" s="76" t="n">
        <v>0.4253461128860491</v>
      </c>
      <c r="M84" s="77" t="n">
        <v>0</v>
      </c>
      <c r="N84" s="39" t="inlineStr">
        <is>
          <t>Active</t>
        </is>
      </c>
      <c r="O84" s="39" t="n"/>
      <c r="P84" s="78" t="n">
        <v>4.4</v>
      </c>
      <c r="Q84" s="77" t="n">
        <v>1090</v>
      </c>
      <c r="R84" s="77" t="n">
        <v>64523</v>
      </c>
      <c r="S84" s="77" t="n">
        <v>0.9599</v>
      </c>
      <c r="T84" s="39" t="n"/>
    </row>
    <row r="85" ht="62" customHeight="1">
      <c r="A85" s="12">
        <f>_xlfn.IMAGE("https://m.media-amazon.com/images/I/81-8fCPCUcL.jpg")</f>
        <v/>
      </c>
      <c r="B85" s="39" t="inlineStr">
        <is>
          <t>B0DDR1H4YM</t>
        </is>
      </c>
      <c r="C85" s="39" t="inlineStr">
        <is>
          <t>SS-SATIN-BLUSH-PINK-QUEEN-4PCS</t>
        </is>
      </c>
      <c r="D85" s="39" t="inlineStr">
        <is>
          <t>Sleep Sanctuary Satin Sheets Queen Size – 4 Piece Luxury Silky Bed Set, Softer Than Silk, 15" Deep Pocket, Cooling &amp; Wrinkle-Free, Moisture-Wicking &amp; Breathable for Hair &amp; Skin (Blush Pink)</t>
        </is>
      </c>
      <c r="E85" s="39" t="inlineStr">
        <is>
          <t>Queen</t>
        </is>
      </c>
      <c r="F85" s="39" t="inlineStr">
        <is>
          <t>Blush Pink</t>
        </is>
      </c>
      <c r="G85" s="73" t="n">
        <v>46.95</v>
      </c>
      <c r="H85" s="39" t="inlineStr">
        <is>
          <t>catalog price (CAD), 2026-10-14</t>
        </is>
      </c>
      <c r="I85" s="74" t="n">
        <v>46.95</v>
      </c>
      <c r="J85" s="75" t="inlineStr">
        <is>
          <t>2026-03-30</t>
        </is>
      </c>
      <c r="K85" s="40" t="n">
        <v>20.21000000000001</v>
      </c>
      <c r="L85" s="76" t="n">
        <v>0.4304579339723111</v>
      </c>
      <c r="M85" s="77" t="n">
        <v>0</v>
      </c>
      <c r="N85" s="39" t="inlineStr">
        <is>
          <t>Active</t>
        </is>
      </c>
      <c r="O85" s="39" t="n"/>
      <c r="P85" s="78" t="n">
        <v>4.4</v>
      </c>
      <c r="Q85" s="77" t="n">
        <v>1090</v>
      </c>
      <c r="R85" s="77" t="n">
        <v>64523</v>
      </c>
      <c r="S85" s="77" t="n">
        <v>1</v>
      </c>
      <c r="T85" s="39" t="n"/>
    </row>
    <row r="86" ht="62" customHeight="1">
      <c r="A86" s="12">
        <f>_xlfn.IMAGE("https://m.media-amazon.com/images/I/81q5RxTETDL.jpg")</f>
        <v/>
      </c>
      <c r="B86" s="39" t="inlineStr">
        <is>
          <t>B0DDRB8PG4</t>
        </is>
      </c>
      <c r="C86" s="39" t="inlineStr">
        <is>
          <t>SS-SATIN-BURNT-ORANGE-QUEEN-4PCS</t>
        </is>
      </c>
      <c r="D86" s="39" t="inlineStr">
        <is>
          <t>SLEEP SANCTUARY Satin Sheets Queen Size – 4 Piece Luxury Silky Bed Set, Softer Than Silk, 15" Deep Pocket, Cooling &amp; Wrinkle-Free, Moisture-Wicking &amp; Breathable for Hair &amp; Skin (Burnt Orange)</t>
        </is>
      </c>
      <c r="E86" s="39" t="inlineStr">
        <is>
          <t>Queen</t>
        </is>
      </c>
      <c r="F86" s="39" t="inlineStr">
        <is>
          <t>Burnt Orange</t>
        </is>
      </c>
      <c r="G86" s="40" t="n"/>
      <c r="H86" s="39" t="n"/>
      <c r="I86" s="74" t="n">
        <v>57.82</v>
      </c>
      <c r="J86" s="75" t="inlineStr">
        <is>
          <t>2026-03-30</t>
        </is>
      </c>
      <c r="K86" s="40" t="n">
        <v>23.02</v>
      </c>
      <c r="L86" s="76" t="n">
        <v>0.398132134209616</v>
      </c>
      <c r="M86" s="77" t="n"/>
      <c r="N86" s="39" t="inlineStr">
        <is>
          <t>Inactive</t>
        </is>
      </c>
      <c r="O86" s="39" t="n"/>
      <c r="P86" s="78" t="n"/>
      <c r="Q86" s="77" t="n"/>
      <c r="R86" s="77" t="n"/>
      <c r="S86" s="77" t="n"/>
      <c r="T86" s="39" t="n"/>
    </row>
    <row r="87" ht="62" customHeight="1">
      <c r="A87" s="12">
        <f>_xlfn.IMAGE("https://m.media-amazon.com/images/I/817pb6oL4YL.jpg")</f>
        <v/>
      </c>
      <c r="B87" s="39" t="inlineStr">
        <is>
          <t>B0DDR1YLCM</t>
        </is>
      </c>
      <c r="C87" s="39" t="inlineStr">
        <is>
          <t>SS-SATIN-CHAMPAGNE-QUEEN-4PCS</t>
        </is>
      </c>
      <c r="D87" s="39" t="inlineStr">
        <is>
          <t>Sleep Sanctuary Satin Sheets Queen Size – 4 Piece Luxury Silky Bed Set, Softer Than Silk, 15" Deep Pocket, Cooling &amp; Wrinkle-Free, Moisture-Wicking &amp; Breathable for Hair &amp; Skin (Champagne)</t>
        </is>
      </c>
      <c r="E87" s="39" t="inlineStr">
        <is>
          <t>Queen</t>
        </is>
      </c>
      <c r="F87" s="39" t="inlineStr">
        <is>
          <t>Champagne</t>
        </is>
      </c>
      <c r="G87" s="73" t="n">
        <v>46.95</v>
      </c>
      <c r="H87" s="39" t="inlineStr">
        <is>
          <t>catalog price (CAD), 2026-10-14</t>
        </is>
      </c>
      <c r="I87" s="74" t="n">
        <v>46.95</v>
      </c>
      <c r="J87" s="75" t="inlineStr">
        <is>
          <t>2026-03-30</t>
        </is>
      </c>
      <c r="K87" s="40" t="n">
        <v>20.21000000000001</v>
      </c>
      <c r="L87" s="76" t="n">
        <v>0.4304579339723111</v>
      </c>
      <c r="M87" s="77" t="n">
        <v>0</v>
      </c>
      <c r="N87" s="39" t="inlineStr">
        <is>
          <t>Active</t>
        </is>
      </c>
      <c r="O87" s="39" t="n"/>
      <c r="P87" s="78" t="n">
        <v>4.4</v>
      </c>
      <c r="Q87" s="77" t="n">
        <v>1090</v>
      </c>
      <c r="R87" s="77" t="n">
        <v>64523</v>
      </c>
      <c r="S87" s="77" t="n">
        <v>0.9271</v>
      </c>
      <c r="T87" s="39" t="n"/>
    </row>
    <row r="88" ht="62" customHeight="1">
      <c r="A88" s="12">
        <f>_xlfn.IMAGE("https://m.media-amazon.com/images/I/81aclCTpoYL.jpg")</f>
        <v/>
      </c>
      <c r="B88" s="39" t="inlineStr">
        <is>
          <t>B0DDRGZYZD</t>
        </is>
      </c>
      <c r="C88" s="39" t="inlineStr">
        <is>
          <t>SS-SATIN-DARK-GREEN-QUEEN-4PCS</t>
        </is>
      </c>
      <c r="D88" s="39" t="inlineStr">
        <is>
          <t>Sleep Sanctuary Satin Sheets Queen Size – 4 Piece Luxury Silky Bed Set, Softer Than Silk, 15" Deep Pocket, Cooling &amp; Wrinkle-Free, Moisture-Wicking &amp; Breathable for Hair &amp; Skin (Dark Green)</t>
        </is>
      </c>
      <c r="E88" s="39" t="inlineStr">
        <is>
          <t>Queen</t>
        </is>
      </c>
      <c r="F88" s="39" t="inlineStr">
        <is>
          <t>Dark Green</t>
        </is>
      </c>
      <c r="G88" s="73" t="n">
        <v>46.95</v>
      </c>
      <c r="H88" s="39" t="inlineStr">
        <is>
          <t>catalog price (CAD), 2026-10-14</t>
        </is>
      </c>
      <c r="I88" s="74" t="n">
        <v>46.95</v>
      </c>
      <c r="J88" s="75" t="inlineStr">
        <is>
          <t>2026-03-30</t>
        </is>
      </c>
      <c r="K88" s="40" t="n">
        <v>20.3</v>
      </c>
      <c r="L88" s="76" t="n">
        <v>0.4323748668796593</v>
      </c>
      <c r="M88" s="77" t="n">
        <v>0</v>
      </c>
      <c r="N88" s="39" t="inlineStr">
        <is>
          <t>Active</t>
        </is>
      </c>
      <c r="O88" s="39" t="n"/>
      <c r="P88" s="78" t="n">
        <v>4.4</v>
      </c>
      <c r="Q88" s="77" t="n">
        <v>1090</v>
      </c>
      <c r="R88" s="77" t="n">
        <v>64523</v>
      </c>
      <c r="S88" s="77" t="n">
        <v>0.9283</v>
      </c>
      <c r="T88" s="39" t="n"/>
    </row>
    <row r="89" ht="62" customHeight="1">
      <c r="A89" s="12">
        <f>_xlfn.IMAGE("https://m.media-amazon.com/images/I/81AE8h7l4-L.jpg")</f>
        <v/>
      </c>
      <c r="B89" s="39" t="inlineStr">
        <is>
          <t>B0DDRHPKDV</t>
        </is>
      </c>
      <c r="C89" s="39" t="inlineStr">
        <is>
          <t>SS-SATIN-GOLD-QUEEN-4PCS</t>
        </is>
      </c>
      <c r="D89" s="39" t="inlineStr">
        <is>
          <t>Sleep Sanctuary Satin Sheets Queen Size – 4 Piece Luxury Silky Bed Set, Softer Than Silk, 15" Deep Pocket, Cooling &amp; Wrinkle-Free, Moisture-Wicking &amp; Breathable for Hair &amp; Skin (Gold)</t>
        </is>
      </c>
      <c r="E89" s="39" t="inlineStr">
        <is>
          <t>Queen</t>
        </is>
      </c>
      <c r="F89" s="39" t="inlineStr">
        <is>
          <t>Gold</t>
        </is>
      </c>
      <c r="G89" s="73" t="n">
        <v>46.95</v>
      </c>
      <c r="H89" s="39" t="inlineStr">
        <is>
          <t>catalog price (CAD), 2026-10-14</t>
        </is>
      </c>
      <c r="I89" s="74" t="n">
        <v>46.95</v>
      </c>
      <c r="J89" s="75" t="inlineStr">
        <is>
          <t>2026-03-30</t>
        </is>
      </c>
      <c r="K89" s="40" t="n">
        <v>19.97000000000001</v>
      </c>
      <c r="L89" s="76" t="n">
        <v>0.4253461128860491</v>
      </c>
      <c r="M89" s="77" t="n">
        <v>0</v>
      </c>
      <c r="N89" s="39" t="inlineStr">
        <is>
          <t>Active</t>
        </is>
      </c>
      <c r="O89" s="39" t="n"/>
      <c r="P89" s="78" t="n">
        <v>4.4</v>
      </c>
      <c r="Q89" s="77" t="n">
        <v>1090</v>
      </c>
      <c r="R89" s="77" t="n">
        <v>64523</v>
      </c>
      <c r="S89" s="77" t="n">
        <v>0</v>
      </c>
      <c r="T89" s="39" t="n"/>
    </row>
    <row r="90" ht="62" customHeight="1">
      <c r="A90" s="12">
        <f>_xlfn.IMAGE("https://m.media-amazon.com/images/I/81P2vrHt+-L.jpg")</f>
        <v/>
      </c>
      <c r="B90" s="39" t="inlineStr">
        <is>
          <t>B0DDRF591L</t>
        </is>
      </c>
      <c r="C90" s="39" t="inlineStr">
        <is>
          <t>SS-SATIN-GREY-QUEEN-4PCS</t>
        </is>
      </c>
      <c r="D90" s="39" t="inlineStr">
        <is>
          <t>SLEEP SANCTUARY Satin Sheets Queen Size – 4 Piece Luxury Silky Bed Set, Softer Than Silk, 15" Deep Pocket, Cooling &amp; Wrinkle-Free, Moisture-Wicking &amp; Breathable for Hair &amp; Skin (Grey-01)</t>
        </is>
      </c>
      <c r="E90" s="39" t="inlineStr">
        <is>
          <t>Queen</t>
        </is>
      </c>
      <c r="F90" s="39" t="inlineStr">
        <is>
          <t>Grey</t>
        </is>
      </c>
      <c r="G90" s="40" t="n"/>
      <c r="H90" s="39" t="n"/>
      <c r="I90" s="74" t="n">
        <v>57.52</v>
      </c>
      <c r="J90" s="75" t="inlineStr">
        <is>
          <t>2026-03-30</t>
        </is>
      </c>
      <c r="K90" s="40" t="n">
        <v>22.87</v>
      </c>
      <c r="L90" s="76" t="n">
        <v>0.3976008344923506</v>
      </c>
      <c r="M90" s="77" t="n"/>
      <c r="N90" s="39" t="inlineStr">
        <is>
          <t>Inactive</t>
        </is>
      </c>
      <c r="O90" s="39" t="n"/>
      <c r="P90" s="78" t="n"/>
      <c r="Q90" s="77" t="n"/>
      <c r="R90" s="77" t="n"/>
      <c r="S90" s="77" t="n"/>
      <c r="T90" s="39" t="n"/>
    </row>
    <row r="91" ht="62" customHeight="1">
      <c r="A91" s="12">
        <f>_xlfn.IMAGE("https://m.media-amazon.com/images/I/81eHsiCwxyL.jpg")</f>
        <v/>
      </c>
      <c r="B91" s="39" t="inlineStr">
        <is>
          <t>B0DDRHN5JH</t>
        </is>
      </c>
      <c r="C91" s="39" t="inlineStr">
        <is>
          <t>SS-SATIN-IVORY-QUEEN-4PCS</t>
        </is>
      </c>
      <c r="D91" s="39" t="inlineStr">
        <is>
          <t>Sleep Sanctuary Satin Sheets Queen Size – 4 Piece Luxury Silky Bed Set, Softer Than Silk, 15" Deep Pocket, Cooling &amp; Wrinkle-Free, Moisture-Wicking &amp; Breathable for Hair &amp; Skin (Ivory)</t>
        </is>
      </c>
      <c r="E91" s="39" t="inlineStr">
        <is>
          <t>Queen</t>
        </is>
      </c>
      <c r="F91" s="39" t="inlineStr">
        <is>
          <t>Ivory</t>
        </is>
      </c>
      <c r="G91" s="73" t="n">
        <v>46.95</v>
      </c>
      <c r="H91" s="39" t="inlineStr">
        <is>
          <t>catalog price (CAD), 2026-10-14</t>
        </is>
      </c>
      <c r="I91" s="74" t="n">
        <v>46.95</v>
      </c>
      <c r="J91" s="75" t="inlineStr">
        <is>
          <t>2026-03-30</t>
        </is>
      </c>
      <c r="K91" s="40" t="n">
        <v>20.21000000000001</v>
      </c>
      <c r="L91" s="76" t="n">
        <v>0.4304579339723111</v>
      </c>
      <c r="M91" s="77" t="n">
        <v>0</v>
      </c>
      <c r="N91" s="39" t="inlineStr">
        <is>
          <t>Active</t>
        </is>
      </c>
      <c r="O91" s="39" t="n"/>
      <c r="P91" s="78" t="n">
        <v>4.4</v>
      </c>
      <c r="Q91" s="77" t="n">
        <v>1090</v>
      </c>
      <c r="R91" s="77" t="n">
        <v>64523</v>
      </c>
      <c r="S91" s="77" t="n">
        <v>1</v>
      </c>
      <c r="T91" s="39" t="n"/>
    </row>
    <row r="92" ht="62" customHeight="1">
      <c r="A92" s="12">
        <f>_xlfn.IMAGE("https://m.media-amazon.com/images/I/81ttAeO-RjL.jpg")</f>
        <v/>
      </c>
      <c r="B92" s="39" t="inlineStr">
        <is>
          <t>B0DDRHLV1C</t>
        </is>
      </c>
      <c r="C92" s="39" t="inlineStr">
        <is>
          <t>SS-SATIN-LAVENDER-QUEEN-4PCS</t>
        </is>
      </c>
      <c r="D92" s="39" t="inlineStr">
        <is>
          <t>Sleep Sanctuary Satin Sheets Queen Size – 4 Piece Luxury Silky Bed Set, Softer Than Silk, 15" Deep Pocket, Cooling &amp; Wrinkle-Free, Moisture-Wicking &amp; Breathable for Hair &amp; Skin (Lavender)</t>
        </is>
      </c>
      <c r="E92" s="39" t="inlineStr">
        <is>
          <t>Queen</t>
        </is>
      </c>
      <c r="F92" s="39" t="inlineStr">
        <is>
          <t>Lavender</t>
        </is>
      </c>
      <c r="G92" s="73" t="n">
        <v>46.95</v>
      </c>
      <c r="H92" s="39" t="inlineStr">
        <is>
          <t>catalog price (CAD), 2026-10-14</t>
        </is>
      </c>
      <c r="I92" s="74" t="n">
        <v>46.95</v>
      </c>
      <c r="J92" s="75" t="inlineStr">
        <is>
          <t>2026-03-30</t>
        </is>
      </c>
      <c r="K92" s="40" t="n">
        <v>20.07</v>
      </c>
      <c r="L92" s="76" t="n">
        <v>0.4274760383386582</v>
      </c>
      <c r="M92" s="77" t="n">
        <v>0</v>
      </c>
      <c r="N92" s="39" t="inlineStr">
        <is>
          <t>Active</t>
        </is>
      </c>
      <c r="O92" s="39" t="n"/>
      <c r="P92" s="78" t="n">
        <v>4.4</v>
      </c>
      <c r="Q92" s="77" t="n">
        <v>1090</v>
      </c>
      <c r="R92" s="77" t="n">
        <v>64523</v>
      </c>
      <c r="S92" s="77" t="n">
        <v>1</v>
      </c>
      <c r="T92" s="39" t="n"/>
    </row>
    <row r="93" ht="62" customHeight="1">
      <c r="A93" s="12">
        <f>_xlfn.IMAGE("https://m.media-amazon.com/images/I/81n6eJJsrGL.jpg")</f>
        <v/>
      </c>
      <c r="B93" s="39" t="inlineStr">
        <is>
          <t>B0DDRD7JM2</t>
        </is>
      </c>
      <c r="C93" s="39" t="inlineStr">
        <is>
          <t>SS-SATIN-RED-QUEEN-4PCS</t>
        </is>
      </c>
      <c r="D93" s="39" t="inlineStr">
        <is>
          <t>Sleep Sanctuary Satin Sheets Queen Size – 4 Piece Luxury Silky Bed Set, Softer Than Silk, 15" Deep Pocket, Cooling &amp; Wrinkle-Free, Moisture-Wicking &amp; Breathable for Hair &amp; Skin (Red)</t>
        </is>
      </c>
      <c r="E93" s="39" t="inlineStr">
        <is>
          <t>Queen</t>
        </is>
      </c>
      <c r="F93" s="39" t="inlineStr">
        <is>
          <t>Red</t>
        </is>
      </c>
      <c r="G93" s="40" t="n"/>
      <c r="H93" s="39" t="n"/>
      <c r="I93" s="74" t="n">
        <v>46.95</v>
      </c>
      <c r="J93" s="75" t="inlineStr">
        <is>
          <t>2026-03-30</t>
        </is>
      </c>
      <c r="K93" s="40" t="n">
        <v>20.39000000000001</v>
      </c>
      <c r="L93" s="76" t="n">
        <v>0.4342917997870076</v>
      </c>
      <c r="M93" s="77" t="n">
        <v>0</v>
      </c>
      <c r="N93" s="39" t="inlineStr">
        <is>
          <t>Active</t>
        </is>
      </c>
      <c r="O93" s="39" t="n"/>
      <c r="P93" s="78" t="n"/>
      <c r="Q93" s="77" t="n"/>
      <c r="R93" s="77" t="n"/>
      <c r="S93" s="77" t="n"/>
      <c r="T93" s="39" t="n"/>
    </row>
    <row r="94" ht="62" customHeight="1">
      <c r="A94" s="12">
        <f>_xlfn.IMAGE("https://m.media-amazon.com/images/I/81vHqIiWdYL.jpg")</f>
        <v/>
      </c>
      <c r="B94" s="39" t="inlineStr">
        <is>
          <t>B0DDR5VW96</t>
        </is>
      </c>
      <c r="C94" s="39" t="inlineStr">
        <is>
          <t>SS-SATIN-ROSEWOOD-QUEEN-4PCS</t>
        </is>
      </c>
      <c r="D94" s="39" t="inlineStr">
        <is>
          <t>SLEEP SANCTUARY Satin Sheets Queen Size – 4 Piece Luxury Silky Bed Set, Softer Than Silk, 15" Deep Pocket, Cooling &amp; Wrinkle-Free, Moisture-Wicking &amp; Breathable for Hair &amp; Skin (Rosewood)</t>
        </is>
      </c>
      <c r="E94" s="39" t="inlineStr">
        <is>
          <t>Queen</t>
        </is>
      </c>
      <c r="F94" s="39" t="inlineStr">
        <is>
          <t>Rosewood</t>
        </is>
      </c>
      <c r="G94" s="40" t="n"/>
      <c r="H94" s="39" t="n"/>
      <c r="I94" s="74" t="n">
        <v>46.95</v>
      </c>
      <c r="J94" s="75" t="inlineStr">
        <is>
          <t>2026-03-30</t>
        </is>
      </c>
      <c r="K94" s="40" t="n">
        <v>21.18000000000001</v>
      </c>
      <c r="L94" s="76" t="n">
        <v>0.45111821086262</v>
      </c>
      <c r="M94" s="77" t="n"/>
      <c r="N94" s="39" t="inlineStr">
        <is>
          <t>Inactive</t>
        </is>
      </c>
      <c r="O94" s="39" t="n"/>
      <c r="P94" s="78" t="n"/>
      <c r="Q94" s="77" t="n"/>
      <c r="R94" s="77" t="n"/>
      <c r="S94" s="77" t="n"/>
      <c r="T94" s="39" t="n"/>
    </row>
    <row r="95" ht="62" customHeight="1">
      <c r="A95" s="12">
        <f>_xlfn.IMAGE("https://m.media-amazon.com/images/I/81iohyoFldL.jpg")</f>
        <v/>
      </c>
      <c r="B95" s="39" t="inlineStr">
        <is>
          <t>B0DDR5K4KK</t>
        </is>
      </c>
      <c r="C95" s="39" t="inlineStr">
        <is>
          <t>SS-SATIN-SAGE-GREEN-QUEEN-4PCS</t>
        </is>
      </c>
      <c r="D95" s="39" t="inlineStr">
        <is>
          <t>Sleep Sanctuary Satin Sheets Queen Size – 4 Piece Luxury Silky Bed Set, Softer Than Silk, 15" Deep Pocket, Cooling &amp; Wrinkle-Free, Moisture-Wicking &amp; Breathable for Hair &amp; Skin (Sage Green)</t>
        </is>
      </c>
      <c r="E95" s="39" t="inlineStr">
        <is>
          <t>Queen</t>
        </is>
      </c>
      <c r="F95" s="39" t="inlineStr">
        <is>
          <t>Sage Green</t>
        </is>
      </c>
      <c r="G95" s="73" t="n">
        <v>46.95</v>
      </c>
      <c r="H95" s="39" t="inlineStr">
        <is>
          <t>catalog price (CAD), 2026-10-14</t>
        </is>
      </c>
      <c r="I95" s="74" t="n">
        <v>46.95</v>
      </c>
      <c r="J95" s="75" t="inlineStr">
        <is>
          <t>2026-03-30</t>
        </is>
      </c>
      <c r="K95" s="40" t="n">
        <v>19.98</v>
      </c>
      <c r="L95" s="76" t="n">
        <v>0.42555910543131</v>
      </c>
      <c r="M95" s="77" t="n">
        <v>0</v>
      </c>
      <c r="N95" s="39" t="inlineStr">
        <is>
          <t>Active</t>
        </is>
      </c>
      <c r="O95" s="39" t="n"/>
      <c r="P95" s="78" t="n">
        <v>4.4</v>
      </c>
      <c r="Q95" s="77" t="n">
        <v>1090</v>
      </c>
      <c r="R95" s="77" t="n">
        <v>64523</v>
      </c>
      <c r="S95" s="77" t="n">
        <v>1</v>
      </c>
      <c r="T95" s="39" t="n"/>
    </row>
    <row r="96" ht="62" customHeight="1">
      <c r="A96" s="12">
        <f>_xlfn.IMAGE("https://m.media-amazon.com/images/I/81B6BzVilhL.jpg")</f>
        <v/>
      </c>
      <c r="B96" s="39" t="inlineStr">
        <is>
          <t>B0DDRDPMNM</t>
        </is>
      </c>
      <c r="C96" s="39" t="inlineStr">
        <is>
          <t>SS-SATIN-SEA-TEAL-QUEEN-4PCS</t>
        </is>
      </c>
      <c r="D96" s="39" t="inlineStr">
        <is>
          <t>SLEEP SANCTUARY Satin Sheets Queen Size – 4 Piece Luxury Silky Bed Set, Softer Than Silk, 15" Deep Pocket, Cooling &amp; Wrinkle-Free, Moisture-Wicking &amp; Breathable for Hair &amp; Skin (Sea Teal)</t>
        </is>
      </c>
      <c r="E96" s="39" t="inlineStr">
        <is>
          <t>Queen</t>
        </is>
      </c>
      <c r="F96" s="39" t="inlineStr">
        <is>
          <t>Sea Teal</t>
        </is>
      </c>
      <c r="G96" s="40" t="n"/>
      <c r="H96" s="39" t="n"/>
      <c r="I96" s="40" t="n"/>
      <c r="J96" s="39" t="n"/>
      <c r="K96" s="40" t="n"/>
      <c r="L96" s="76" t="n"/>
      <c r="M96" s="77" t="n"/>
      <c r="N96" s="39" t="inlineStr">
        <is>
          <t>Inactive</t>
        </is>
      </c>
      <c r="O96" s="39" t="n"/>
      <c r="P96" s="78" t="n"/>
      <c r="Q96" s="77" t="n"/>
      <c r="R96" s="77" t="n"/>
      <c r="S96" s="77" t="n"/>
      <c r="T96" s="39" t="n"/>
    </row>
    <row r="97" ht="62" customHeight="1">
      <c r="A97" s="12">
        <f>_xlfn.IMAGE("https://m.media-amazon.com/images/I/81qEq06R1GL.jpg")</f>
        <v/>
      </c>
      <c r="B97" s="39" t="inlineStr">
        <is>
          <t>B0DDQV5F8M</t>
        </is>
      </c>
      <c r="C97" s="39" t="inlineStr">
        <is>
          <t>SS-SATIN-STRIPED-BLACK-QUEEN-4PCS</t>
        </is>
      </c>
      <c r="D97" s="39" t="inlineStr">
        <is>
          <t>SLEEP SANCTUARY Satin Sheets Queen Size – 4 Piece Luxury Silky Bed Set, Softer Than Silk, 15" Deep Pocket, Cooling &amp; Wrinkle-Free, Moisture-Wicking &amp; Breathable for Hair &amp; Skin (Striped Black)</t>
        </is>
      </c>
      <c r="E97" s="39" t="inlineStr">
        <is>
          <t>Queen</t>
        </is>
      </c>
      <c r="F97" s="39" t="inlineStr">
        <is>
          <t>Striped Black</t>
        </is>
      </c>
      <c r="G97" s="40" t="n"/>
      <c r="H97" s="39" t="n"/>
      <c r="I97" s="40" t="n"/>
      <c r="J97" s="39" t="n"/>
      <c r="K97" s="40" t="n"/>
      <c r="L97" s="76" t="n"/>
      <c r="M97" s="77" t="n"/>
      <c r="N97" s="39" t="inlineStr">
        <is>
          <t>Inactive</t>
        </is>
      </c>
      <c r="O97" s="39" t="n"/>
      <c r="P97" s="78" t="n"/>
      <c r="Q97" s="77" t="n"/>
      <c r="R97" s="77" t="n"/>
      <c r="S97" s="77" t="n"/>
      <c r="T97" s="39" t="n"/>
    </row>
    <row r="98" ht="62" customHeight="1">
      <c r="A98" s="12">
        <f>_xlfn.IMAGE("https://m.media-amazon.com/images/I/81jL7DOnYOL.jpg")</f>
        <v/>
      </c>
      <c r="B98" s="39" t="inlineStr">
        <is>
          <t>B0DDR3M171</t>
        </is>
      </c>
      <c r="C98" s="39" t="inlineStr">
        <is>
          <t>SS-SATIN-STRIPED-BLUE-QUEEN-4PCS</t>
        </is>
      </c>
      <c r="D98" s="39" t="inlineStr">
        <is>
          <t>Sleep Sanctuary Satin Sheets Queen Size – 4 Piece Luxury Silky Bed Set, Softer Than Silk, 15" Deep Pocket, Cooling &amp; Wrinkle-Free, Moisture-Wicking &amp; Breathable for Hair &amp; Skin (Striped Blue)</t>
        </is>
      </c>
      <c r="E98" s="39" t="inlineStr">
        <is>
          <t>Queen</t>
        </is>
      </c>
      <c r="F98" s="39" t="inlineStr">
        <is>
          <t>Striped Blue</t>
        </is>
      </c>
      <c r="G98" s="73" t="n">
        <v>57.68</v>
      </c>
      <c r="H98" s="39" t="inlineStr">
        <is>
          <t>catalog price (CAD), 2026-10-14</t>
        </is>
      </c>
      <c r="I98" s="74" t="n">
        <v>57.25</v>
      </c>
      <c r="J98" s="75" t="inlineStr">
        <is>
          <t>2026-03-30</t>
        </is>
      </c>
      <c r="K98" s="40" t="n">
        <v>20.47</v>
      </c>
      <c r="L98" s="76" t="n">
        <v>0.3575545851528384</v>
      </c>
      <c r="M98" s="77" t="n">
        <v>0</v>
      </c>
      <c r="N98" s="39" t="inlineStr">
        <is>
          <t>Active</t>
        </is>
      </c>
      <c r="O98" s="39" t="n"/>
      <c r="P98" s="78" t="n">
        <v>4.4</v>
      </c>
      <c r="Q98" s="77" t="n">
        <v>1090</v>
      </c>
      <c r="R98" s="77" t="n">
        <v>64523</v>
      </c>
      <c r="S98" s="77" t="n">
        <v>0</v>
      </c>
      <c r="T98" s="39" t="n"/>
    </row>
    <row r="99" ht="62" customHeight="1">
      <c r="A99" s="12">
        <f>_xlfn.IMAGE("https://m.media-amazon.com/images/I/81c0TeFW0bL.jpg")</f>
        <v/>
      </c>
      <c r="B99" s="39" t="inlineStr">
        <is>
          <t>B0DDRB21ZG</t>
        </is>
      </c>
      <c r="C99" s="39" t="inlineStr">
        <is>
          <t>SS-SATIN-STRIPED-GOLD-QUEEN-4PCS</t>
        </is>
      </c>
      <c r="D99" s="39" t="inlineStr">
        <is>
          <t>Sleep Sanctuary Satin Sheets Queen Size – 4 Piece Luxury Silky Bed Set, Softer Than Silk, 15" Deep Pocket, Cooling &amp; Wrinkle-Free, Moisture-Wicking &amp; Breathable for Hair &amp; Skin (Striped Gold)</t>
        </is>
      </c>
      <c r="E99" s="39" t="inlineStr">
        <is>
          <t>Queen</t>
        </is>
      </c>
      <c r="F99" s="39" t="inlineStr">
        <is>
          <t>Striped Gold</t>
        </is>
      </c>
      <c r="G99" s="73" t="n">
        <v>57.68</v>
      </c>
      <c r="H99" s="39" t="inlineStr">
        <is>
          <t>catalog price (CAD), 2026-10-14</t>
        </is>
      </c>
      <c r="I99" s="74" t="n">
        <v>57.22</v>
      </c>
      <c r="J99" s="75" t="inlineStr">
        <is>
          <t>2026-03-30</t>
        </is>
      </c>
      <c r="K99" s="40" t="n">
        <v>20.45</v>
      </c>
      <c r="L99" s="76" t="n">
        <v>0.357392520097868</v>
      </c>
      <c r="M99" s="77" t="n"/>
      <c r="N99" s="39" t="inlineStr">
        <is>
          <t>Active</t>
        </is>
      </c>
      <c r="O99" s="39" t="n"/>
      <c r="P99" s="78" t="n">
        <v>4.4</v>
      </c>
      <c r="Q99" s="77" t="n">
        <v>1090</v>
      </c>
      <c r="R99" s="77" t="n">
        <v>64523</v>
      </c>
      <c r="S99" s="77" t="n">
        <v>0</v>
      </c>
      <c r="T99" s="39" t="n"/>
    </row>
    <row r="100" ht="62" customHeight="1">
      <c r="A100" s="12">
        <f>_xlfn.IMAGE("https://m.media-amazon.com/images/I/81EuG0SlLvL.jpg")</f>
        <v/>
      </c>
      <c r="B100" s="39" t="inlineStr">
        <is>
          <t>B0DDR3NYFT</t>
        </is>
      </c>
      <c r="C100" s="39" t="inlineStr">
        <is>
          <t>SS-SATIN-STRIPED-GREY-QUEEN-4PCS</t>
        </is>
      </c>
      <c r="D100" s="39" t="inlineStr">
        <is>
          <t>SLEEP SANCTUARY Satin Sheets Queen Size – 4 Piece Luxury Silky Bed Set, Softer Than Silk, 15" Deep Pocket, Cooling &amp; Wrinkle-Free, Moisture-Wicking &amp; Breathable for Hair &amp; Skin (Striped Grey)</t>
        </is>
      </c>
      <c r="E100" s="39" t="inlineStr">
        <is>
          <t>Queen</t>
        </is>
      </c>
      <c r="F100" s="39" t="inlineStr">
        <is>
          <t>Striped Grey</t>
        </is>
      </c>
      <c r="G100" s="40" t="n"/>
      <c r="H100" s="39" t="n"/>
      <c r="I100" s="74" t="n">
        <v>46.95</v>
      </c>
      <c r="J100" s="75" t="inlineStr">
        <is>
          <t>2026-03-30</t>
        </is>
      </c>
      <c r="K100" s="40" t="n">
        <v>17.25</v>
      </c>
      <c r="L100" s="76" t="n">
        <v>0.36741214057508</v>
      </c>
      <c r="M100" s="77" t="n"/>
      <c r="N100" s="39" t="inlineStr">
        <is>
          <t>Inactive</t>
        </is>
      </c>
      <c r="O100" s="39" t="n"/>
      <c r="P100" s="78" t="n"/>
      <c r="Q100" s="77" t="n"/>
      <c r="R100" s="77" t="n"/>
      <c r="S100" s="77" t="n"/>
      <c r="T100" s="39" t="n"/>
    </row>
    <row r="101" ht="62" customHeight="1">
      <c r="A101" s="12">
        <f>_xlfn.IMAGE("https://m.media-amazon.com/images/I/81oQ5+OPoZL.jpg")</f>
        <v/>
      </c>
      <c r="B101" s="39" t="inlineStr">
        <is>
          <t>B0DDR3WWT1</t>
        </is>
      </c>
      <c r="C101" s="39" t="inlineStr">
        <is>
          <t>SS-SATIN-STRIPED-PINK-QUEEN-4PCS</t>
        </is>
      </c>
      <c r="D101" s="39" t="inlineStr">
        <is>
          <t>Sleep Sanctuary Satin Sheets Queen Size – 4 Piece Luxury Silky Bed Set, Softer Than Silk, 15" Deep Pocket, Cooling &amp; Wrinkle-Free, Moisture-Wicking &amp; Breathable for Hair &amp; Skin (Striped Pink)</t>
        </is>
      </c>
      <c r="E101" s="39" t="inlineStr">
        <is>
          <t>Queen</t>
        </is>
      </c>
      <c r="F101" s="39" t="inlineStr">
        <is>
          <t>Striped Pink</t>
        </is>
      </c>
      <c r="G101" s="73" t="n">
        <v>56.46</v>
      </c>
      <c r="H101" s="39" t="inlineStr">
        <is>
          <t>catalog price (CAD), 2026-10-14</t>
        </is>
      </c>
      <c r="I101" s="74" t="n">
        <v>57.06</v>
      </c>
      <c r="J101" s="75" t="inlineStr">
        <is>
          <t>2026-03-30</t>
        </is>
      </c>
      <c r="K101" s="40" t="n">
        <v>20.09</v>
      </c>
      <c r="L101" s="76" t="n">
        <v>0.3520855240098143</v>
      </c>
      <c r="M101" s="77" t="n">
        <v>0</v>
      </c>
      <c r="N101" s="39" t="inlineStr">
        <is>
          <t>Active</t>
        </is>
      </c>
      <c r="O101" s="39" t="n"/>
      <c r="P101" s="78" t="n">
        <v>4.4</v>
      </c>
      <c r="Q101" s="77" t="n">
        <v>1090</v>
      </c>
      <c r="R101" s="77" t="n">
        <v>64523</v>
      </c>
      <c r="S101" s="77" t="n">
        <v>0.65</v>
      </c>
      <c r="T101" s="39" t="n"/>
    </row>
    <row r="102" ht="62" customHeight="1">
      <c r="A102" s="12">
        <f>_xlfn.IMAGE("https://m.media-amazon.com/images/I/81qxRfk+zkL.jpg")</f>
        <v/>
      </c>
      <c r="B102" s="39" t="inlineStr">
        <is>
          <t>B0DDRC33TZ</t>
        </is>
      </c>
      <c r="C102" s="39" t="inlineStr">
        <is>
          <t>SS-SATIN-STRIPED-PURPLE-QUEEN-4PCS</t>
        </is>
      </c>
      <c r="D102" s="39" t="inlineStr">
        <is>
          <t>SLEEP SANCTUARY Satin Sheets Queen Size – 4 Piece Luxury Silky Bed Set, Softer Than Silk, 15" Deep Pocket, Cooling &amp; Wrinkle-Free, Moisture-Wicking &amp; Breathable for Hair &amp; Skin (Striped Purple)</t>
        </is>
      </c>
      <c r="E102" s="39" t="inlineStr">
        <is>
          <t>Queen</t>
        </is>
      </c>
      <c r="F102" s="39" t="inlineStr">
        <is>
          <t>Striped Purple</t>
        </is>
      </c>
      <c r="G102" s="40" t="n"/>
      <c r="H102" s="39" t="n"/>
      <c r="I102" s="74" t="n">
        <v>57.25</v>
      </c>
      <c r="J102" s="75" t="inlineStr">
        <is>
          <t>2026-03-30</t>
        </is>
      </c>
      <c r="K102" s="40" t="n">
        <v>20.36</v>
      </c>
      <c r="L102" s="76" t="n">
        <v>0.3556331877729257</v>
      </c>
      <c r="M102" s="77" t="n"/>
      <c r="N102" s="39" t="inlineStr">
        <is>
          <t>Inactive</t>
        </is>
      </c>
      <c r="O102" s="39" t="n"/>
      <c r="P102" s="78" t="n"/>
      <c r="Q102" s="77" t="n"/>
      <c r="R102" s="77" t="n"/>
      <c r="S102" s="77" t="n"/>
      <c r="T102" s="39" t="n"/>
    </row>
    <row r="103" ht="62" customHeight="1">
      <c r="A103" s="12">
        <f>_xlfn.IMAGE("https://m.media-amazon.com/images/I/81P2Ae6R78L.jpg")</f>
        <v/>
      </c>
      <c r="B103" s="39" t="inlineStr">
        <is>
          <t>B0DDR852CS</t>
        </is>
      </c>
      <c r="C103" s="39" t="inlineStr">
        <is>
          <t>SS-SATIN-STRIPED-RED-QUEEN-4PCS</t>
        </is>
      </c>
      <c r="D103" s="39" t="inlineStr">
        <is>
          <t>Sleep Sanctuary Satin Sheets Queen Size – 4 Piece Luxury Silky Bed Set, Softer Than Silk, 15" Deep Pocket, Cooling &amp; Wrinkle-Free, Moisture-Wicking &amp; Breathable for Hair &amp; Skin (Striped Red)</t>
        </is>
      </c>
      <c r="E103" s="39" t="inlineStr">
        <is>
          <t>Queen</t>
        </is>
      </c>
      <c r="F103" s="39" t="inlineStr">
        <is>
          <t>Striped Red</t>
        </is>
      </c>
      <c r="G103" s="73" t="n">
        <v>57.68</v>
      </c>
      <c r="H103" s="39" t="inlineStr">
        <is>
          <t>catalog price (CAD), 2026-10-14</t>
        </is>
      </c>
      <c r="I103" s="74" t="n">
        <v>57.06</v>
      </c>
      <c r="J103" s="75" t="inlineStr">
        <is>
          <t>2026-03-30</t>
        </is>
      </c>
      <c r="K103" s="40" t="n">
        <v>20.31</v>
      </c>
      <c r="L103" s="76" t="n">
        <v>0.3559411146161935</v>
      </c>
      <c r="M103" s="77" t="n">
        <v>0</v>
      </c>
      <c r="N103" s="39" t="inlineStr">
        <is>
          <t>Active</t>
        </is>
      </c>
      <c r="O103" s="39" t="n"/>
      <c r="P103" s="78" t="n">
        <v>4.4</v>
      </c>
      <c r="Q103" s="77" t="n">
        <v>1090</v>
      </c>
      <c r="R103" s="77" t="n">
        <v>64523</v>
      </c>
      <c r="S103" s="77" t="n">
        <v>0</v>
      </c>
      <c r="T103" s="39" t="n"/>
    </row>
    <row r="104" ht="62" customHeight="1">
      <c r="A104" s="12">
        <f>_xlfn.IMAGE("https://m.media-amazon.com/images/I/81umFKx0vnL.jpg")</f>
        <v/>
      </c>
      <c r="B104" s="39" t="inlineStr">
        <is>
          <t>B0DDR1X5B9</t>
        </is>
      </c>
      <c r="C104" s="39" t="inlineStr">
        <is>
          <t>SS-SATIN-STRIPED-WHITE-QUEEN-4PCS</t>
        </is>
      </c>
      <c r="D104" s="39" t="inlineStr">
        <is>
          <t>SLEEP SANCTUARY Satin Sheets Queen Size – 4 Piece Luxury Silky Bed Set, Softer Than Silk, 15" Deep Pocket, Cooling &amp; Wrinkle-Free, Moisture-Wicking &amp; Breathable for Hair &amp; Skin (Striped White)</t>
        </is>
      </c>
      <c r="E104" s="39" t="inlineStr">
        <is>
          <t>Queen</t>
        </is>
      </c>
      <c r="F104" s="39" t="inlineStr">
        <is>
          <t>Striped White</t>
        </is>
      </c>
      <c r="G104" s="40" t="n"/>
      <c r="H104" s="39" t="n"/>
      <c r="I104" s="74" t="n">
        <v>57.12</v>
      </c>
      <c r="J104" s="75" t="inlineStr">
        <is>
          <t>2026-03-30</t>
        </is>
      </c>
      <c r="K104" s="40" t="n">
        <v>20.36</v>
      </c>
      <c r="L104" s="76" t="n">
        <v>0.3564425770308123</v>
      </c>
      <c r="M104" s="77" t="n"/>
      <c r="N104" s="39" t="inlineStr">
        <is>
          <t>Inactive</t>
        </is>
      </c>
      <c r="O104" s="39" t="n"/>
      <c r="P104" s="78" t="n"/>
      <c r="Q104" s="77" t="n"/>
      <c r="R104" s="77" t="n"/>
      <c r="S104" s="77" t="n"/>
      <c r="T104" s="39" t="n"/>
    </row>
    <row r="105" ht="62" customHeight="1">
      <c r="A105" s="12">
        <f>_xlfn.IMAGE("https://m.media-amazon.com/images/I/81bZ3S4CehL.jpg")</f>
        <v/>
      </c>
      <c r="B105" s="39" t="inlineStr">
        <is>
          <t>B0DDR4V4XB</t>
        </is>
      </c>
      <c r="C105" s="39" t="inlineStr">
        <is>
          <t>SS-SATIN-TAUPE-QUEEN-4PCS</t>
        </is>
      </c>
      <c r="D105" s="39" t="inlineStr">
        <is>
          <t>Sleep Sanctuary Satin Sheets Queen Size – 4 Piece Luxury Silky Bed Set, Softer Than Silk, 15" Deep Pocket, Cooling &amp; Wrinkle-Free, Moisture-Wicking &amp; Breathable for Hair &amp; Skin (Taupe)</t>
        </is>
      </c>
      <c r="E105" s="39" t="inlineStr">
        <is>
          <t>Queen</t>
        </is>
      </c>
      <c r="F105" s="39" t="inlineStr">
        <is>
          <t>Taupe</t>
        </is>
      </c>
      <c r="G105" s="73" t="n">
        <v>57.68</v>
      </c>
      <c r="H105" s="39" t="inlineStr">
        <is>
          <t>catalog price (CAD), 2026-10-14</t>
        </is>
      </c>
      <c r="I105" s="74" t="n">
        <v>46.95</v>
      </c>
      <c r="J105" s="75" t="inlineStr">
        <is>
          <t>2026-03-30</t>
        </is>
      </c>
      <c r="K105" s="40" t="n">
        <v>19.57000000000001</v>
      </c>
      <c r="L105" s="76" t="n">
        <v>0.4168264110756125</v>
      </c>
      <c r="M105" s="77" t="n">
        <v>0</v>
      </c>
      <c r="N105" s="39" t="inlineStr">
        <is>
          <t>Active</t>
        </is>
      </c>
      <c r="O105" s="39" t="n"/>
      <c r="P105" s="78" t="n">
        <v>4.4</v>
      </c>
      <c r="Q105" s="77" t="n">
        <v>1090</v>
      </c>
      <c r="R105" s="77" t="n">
        <v>64523</v>
      </c>
      <c r="S105" s="77" t="n">
        <v>0</v>
      </c>
      <c r="T105" s="39" t="n"/>
    </row>
    <row r="106" ht="62" customHeight="1">
      <c r="A106" s="12">
        <f>_xlfn.IMAGE("https://m.media-amazon.com/images/I/818RX-kt6VL.jpg")</f>
        <v/>
      </c>
      <c r="B106" s="39" t="inlineStr">
        <is>
          <t>B0DDR1DYR6</t>
        </is>
      </c>
      <c r="C106" s="39" t="inlineStr">
        <is>
          <t>SS-SATIN-WHITE-QUEEN-4PCS</t>
        </is>
      </c>
      <c r="D106" s="39" t="inlineStr">
        <is>
          <t>SLEEP SANCTUARY Satin Sheets Queen Size – 4 Piece Luxury Silky Bed Set, Softer Than Silk, 15" Deep Pocket, Cooling &amp; Wrinkle-Free, Moisture-Wicking &amp; Breathable for Hair &amp; Skin (White)</t>
        </is>
      </c>
      <c r="E106" s="39" t="inlineStr">
        <is>
          <t>Queen</t>
        </is>
      </c>
      <c r="F106" s="39" t="inlineStr">
        <is>
          <t>White</t>
        </is>
      </c>
      <c r="G106" s="40" t="n"/>
      <c r="H106" s="39" t="n"/>
      <c r="I106" s="74" t="n">
        <v>57.52</v>
      </c>
      <c r="J106" s="75" t="inlineStr">
        <is>
          <t>2026-03-30</t>
        </is>
      </c>
      <c r="K106" s="40" t="n">
        <v>23.12</v>
      </c>
      <c r="L106" s="76" t="n">
        <v>0.4019471488178026</v>
      </c>
      <c r="M106" s="77" t="n">
        <v>0</v>
      </c>
      <c r="N106" s="39" t="inlineStr">
        <is>
          <t>Inactive</t>
        </is>
      </c>
      <c r="O106" s="39" t="n"/>
      <c r="P106" s="78" t="n"/>
      <c r="Q106" s="77" t="n"/>
      <c r="R106" s="77" t="n"/>
      <c r="S106" s="77" t="n"/>
      <c r="T106" s="39" t="n"/>
    </row>
    <row r="107" ht="62" customHeight="1">
      <c r="A107" s="12">
        <f>_xlfn.IMAGE("https://m.media-amazon.com/images/I/81qEq06R1GL.jpg")</f>
        <v/>
      </c>
      <c r="B107" s="39" t="inlineStr">
        <is>
          <t>B0DDR9ZDTW</t>
        </is>
      </c>
      <c r="C107" s="39" t="inlineStr">
        <is>
          <t>SS-SATIN-BABY-BLUE-TWIN-3PCS</t>
        </is>
      </c>
      <c r="D107" s="39" t="inlineStr">
        <is>
          <t>SLEEP SANCTUARY Satin Sheets Twin Size – 3 Piece Luxury Silky Bed Set, Softer Than Silk, 15" Deep Pocket, Cooling &amp; Wrinkle-Free, Moisture-Wicking &amp; Breathable for Hair &amp; Skin (Baby Blue)</t>
        </is>
      </c>
      <c r="E107" s="39" t="inlineStr">
        <is>
          <t>Twin</t>
        </is>
      </c>
      <c r="F107" s="39" t="inlineStr">
        <is>
          <t>Baby Blue</t>
        </is>
      </c>
      <c r="G107" s="40" t="n"/>
      <c r="H107" s="39" t="n"/>
      <c r="I107" s="74" t="n">
        <v>50.07</v>
      </c>
      <c r="J107" s="75" t="inlineStr">
        <is>
          <t>2026-03-30</t>
        </is>
      </c>
      <c r="K107" s="40" t="n">
        <v>19.14</v>
      </c>
      <c r="L107" s="76" t="n">
        <v>0.3822648292390654</v>
      </c>
      <c r="M107" s="77" t="n"/>
      <c r="N107" s="39" t="inlineStr">
        <is>
          <t>Inactive</t>
        </is>
      </c>
      <c r="O107" s="39" t="n"/>
      <c r="P107" s="78" t="n"/>
      <c r="Q107" s="77" t="n"/>
      <c r="R107" s="77" t="n"/>
      <c r="S107" s="77" t="n"/>
      <c r="T107" s="39" t="n"/>
    </row>
    <row r="108" ht="62" customHeight="1">
      <c r="A108" s="12">
        <f>_xlfn.IMAGE("https://m.media-amazon.com/images/I/81qEq06R1GL.jpg")</f>
        <v/>
      </c>
      <c r="B108" s="39" t="inlineStr">
        <is>
          <t>B0DDRCSW2N</t>
        </is>
      </c>
      <c r="C108" s="39" t="inlineStr">
        <is>
          <t>SS-SATIN-BLACK-TWIN-3PCS</t>
        </is>
      </c>
      <c r="D108" s="39" t="inlineStr">
        <is>
          <t>SLEEP SANCTUARY Satin Sheets Twin Size – 3 Piece Luxury Silky Bed Set, Softer Than Silk, 15" Deep Pocket, Cooling &amp; Wrinkle-Free, Moisture-Wicking &amp; Breathable for Hair &amp; Skin (Black)</t>
        </is>
      </c>
      <c r="E108" s="39" t="inlineStr">
        <is>
          <t>Twin</t>
        </is>
      </c>
      <c r="F108" s="39" t="inlineStr">
        <is>
          <t>Black</t>
        </is>
      </c>
      <c r="G108" s="40" t="n"/>
      <c r="H108" s="39" t="n"/>
      <c r="I108" s="74" t="n">
        <v>41.95</v>
      </c>
      <c r="J108" s="75" t="inlineStr">
        <is>
          <t>2026-03-30</t>
        </is>
      </c>
      <c r="K108" s="40" t="n">
        <v>19.59</v>
      </c>
      <c r="L108" s="76" t="n">
        <v>0.466984505363528</v>
      </c>
      <c r="M108" s="77" t="n"/>
      <c r="N108" s="39" t="inlineStr">
        <is>
          <t>Inactive</t>
        </is>
      </c>
      <c r="O108" s="39" t="n"/>
      <c r="P108" s="78" t="n"/>
      <c r="Q108" s="77" t="n"/>
      <c r="R108" s="77" t="n"/>
      <c r="S108" s="77" t="n"/>
      <c r="T108" s="39" t="n"/>
    </row>
    <row r="109" ht="62" customHeight="1">
      <c r="A109" s="12">
        <f>_xlfn.IMAGE("https://m.media-amazon.com/images/I/81eHFzmJ3fL.jpg")</f>
        <v/>
      </c>
      <c r="B109" s="39" t="inlineStr">
        <is>
          <t>B0DDR3QB2L</t>
        </is>
      </c>
      <c r="C109" s="39" t="inlineStr">
        <is>
          <t>SS-SATIN-BLUE-TWIN-3PCS</t>
        </is>
      </c>
      <c r="D109" s="39" t="inlineStr">
        <is>
          <t>Sleep Sanctuary Satin Sheets Twin Size – 3 Piece Luxury Silky Bed Set, Softer Than Silk, 15" Deep Pocket, Cooling &amp; Wrinkle-Free, Moisture-Wicking &amp; Breathable for Hair &amp; Skin (Blue)</t>
        </is>
      </c>
      <c r="E109" s="39" t="inlineStr">
        <is>
          <t>Twin</t>
        </is>
      </c>
      <c r="F109" s="39" t="inlineStr">
        <is>
          <t>Blue</t>
        </is>
      </c>
      <c r="G109" s="73" t="n">
        <v>41.95</v>
      </c>
      <c r="H109" s="39" t="inlineStr">
        <is>
          <t>catalog price (CAD), 2026-10-14</t>
        </is>
      </c>
      <c r="I109" s="74" t="n">
        <v>41.95</v>
      </c>
      <c r="J109" s="75" t="inlineStr">
        <is>
          <t>2026-03-30</t>
        </is>
      </c>
      <c r="K109" s="40" t="n">
        <v>18.28</v>
      </c>
      <c r="L109" s="76" t="n">
        <v>0.4357568533969012</v>
      </c>
      <c r="M109" s="77" t="n">
        <v>0</v>
      </c>
      <c r="N109" s="39" t="inlineStr">
        <is>
          <t>Active</t>
        </is>
      </c>
      <c r="O109" s="39" t="n"/>
      <c r="P109" s="78" t="n">
        <v>4.4</v>
      </c>
      <c r="Q109" s="77" t="n">
        <v>1090</v>
      </c>
      <c r="R109" s="77" t="n">
        <v>64523</v>
      </c>
      <c r="S109" s="77" t="n">
        <v>2</v>
      </c>
      <c r="T109" s="39" t="n"/>
    </row>
    <row r="110" ht="62" customHeight="1">
      <c r="A110" s="12">
        <f>_xlfn.IMAGE("https://m.media-amazon.com/images/I/81ScJDSQPTL.jpg")</f>
        <v/>
      </c>
      <c r="B110" s="39" t="inlineStr">
        <is>
          <t>B0DDRM24KV</t>
        </is>
      </c>
      <c r="C110" s="39" t="inlineStr">
        <is>
          <t>SS-SATIN-BLUSH-PINK-TWIN-3PCS</t>
        </is>
      </c>
      <c r="D110" s="39" t="inlineStr">
        <is>
          <t>Sleep Sanctuary Satin Sheets Twin Size – 3 Piece Luxury Silky Bed Set, Softer Than Silk, 15" Deep Pocket, Cooling &amp; Wrinkle-Free, Moisture-Wicking &amp; Breathable for Hair &amp; Skin (Blush Pink)</t>
        </is>
      </c>
      <c r="E110" s="39" t="inlineStr">
        <is>
          <t>Twin</t>
        </is>
      </c>
      <c r="F110" s="39" t="inlineStr">
        <is>
          <t>Blush Pink</t>
        </is>
      </c>
      <c r="G110" s="73" t="n">
        <v>51.53</v>
      </c>
      <c r="H110" s="39" t="inlineStr">
        <is>
          <t>catalog price (CAD), 2026-10-14</t>
        </is>
      </c>
      <c r="I110" s="74" t="n">
        <v>51.08</v>
      </c>
      <c r="J110" s="75" t="inlineStr">
        <is>
          <t>2026-03-30</t>
        </is>
      </c>
      <c r="K110" s="40" t="n">
        <v>20</v>
      </c>
      <c r="L110" s="76" t="n">
        <v>0.3915426781519187</v>
      </c>
      <c r="M110" s="77" t="n"/>
      <c r="N110" s="39" t="inlineStr">
        <is>
          <t>Active</t>
        </is>
      </c>
      <c r="O110" s="39" t="n"/>
      <c r="P110" s="78" t="n">
        <v>4.4</v>
      </c>
      <c r="Q110" s="77" t="n">
        <v>1090</v>
      </c>
      <c r="R110" s="77" t="n">
        <v>64523</v>
      </c>
      <c r="S110" s="77" t="n">
        <v>0</v>
      </c>
      <c r="T110" s="39" t="n"/>
    </row>
    <row r="111" ht="62" customHeight="1">
      <c r="A111" s="12">
        <f>_xlfn.IMAGE("https://m.media-amazon.com/images/I/81q5RxTETDL.jpg")</f>
        <v/>
      </c>
      <c r="B111" s="39" t="inlineStr">
        <is>
          <t>B0DDRF485L</t>
        </is>
      </c>
      <c r="C111" s="39" t="inlineStr">
        <is>
          <t>SS-SATIN-BURNT-ORANGE-TWIN-3PCS</t>
        </is>
      </c>
      <c r="D111" s="39" t="inlineStr">
        <is>
          <t>Sleep Sanctuary Satin Sheets Twin Size – 3 Piece Luxury Silky Bed Set, Softer Than Silk, 15" Deep Pocket, Cooling &amp; Wrinkle-Free, Moisture-Wicking &amp; Breathable for Hair &amp; Skin (Burnt Orange)</t>
        </is>
      </c>
      <c r="E111" s="39" t="inlineStr">
        <is>
          <t>Twin</t>
        </is>
      </c>
      <c r="F111" s="39" t="inlineStr">
        <is>
          <t>Burnt Orange</t>
        </is>
      </c>
      <c r="G111" s="73" t="n">
        <v>51.53</v>
      </c>
      <c r="H111" s="39" t="inlineStr">
        <is>
          <t>catalog price (CAD), 2026-10-14</t>
        </is>
      </c>
      <c r="I111" s="74" t="n">
        <v>41.95</v>
      </c>
      <c r="J111" s="75" t="inlineStr">
        <is>
          <t>2026-03-30</t>
        </is>
      </c>
      <c r="K111" s="40" t="n">
        <v>18.83</v>
      </c>
      <c r="L111" s="76" t="n">
        <v>0.4488676996424315</v>
      </c>
      <c r="M111" s="77" t="n"/>
      <c r="N111" s="39" t="inlineStr">
        <is>
          <t>Active</t>
        </is>
      </c>
      <c r="O111" s="39" t="n"/>
      <c r="P111" s="78" t="n">
        <v>4.4</v>
      </c>
      <c r="Q111" s="77" t="n">
        <v>1090</v>
      </c>
      <c r="R111" s="77" t="n">
        <v>64523</v>
      </c>
      <c r="S111" s="77" t="n">
        <v>0</v>
      </c>
      <c r="T111" s="39" t="n"/>
    </row>
    <row r="112" ht="62" customHeight="1">
      <c r="A112" s="12">
        <f>_xlfn.IMAGE("https://m.media-amazon.com/images/I/81dWPG6osuL.jpg")</f>
        <v/>
      </c>
      <c r="B112" s="39" t="inlineStr">
        <is>
          <t>B0DDR96RQ3</t>
        </is>
      </c>
      <c r="C112" s="39" t="inlineStr">
        <is>
          <t>SS-SATIN-CHAMPAGNE-TWIN-3PCS</t>
        </is>
      </c>
      <c r="D112" s="39" t="inlineStr">
        <is>
          <t>Sleep Sanctuary Satin Sheets Twin Size – 3 Piece Luxury Silky Bed Set, Softer Than Silk, 15" Deep Pocket, Cooling &amp; Wrinkle-Free, Moisture-Wicking &amp; Breathable for Hair &amp; Skin (Champagne)</t>
        </is>
      </c>
      <c r="E112" s="39" t="inlineStr">
        <is>
          <t>Twin</t>
        </is>
      </c>
      <c r="F112" s="39" t="inlineStr">
        <is>
          <t>Champagne</t>
        </is>
      </c>
      <c r="G112" s="73" t="n">
        <v>51.53</v>
      </c>
      <c r="H112" s="39" t="inlineStr">
        <is>
          <t>catalog price (CAD), 2026-10-14</t>
        </is>
      </c>
      <c r="I112" s="74" t="n">
        <v>50.12</v>
      </c>
      <c r="J112" s="75" t="inlineStr">
        <is>
          <t>2026-03-30</t>
        </is>
      </c>
      <c r="K112" s="40" t="n">
        <v>20.41999999999999</v>
      </c>
      <c r="L112" s="76" t="n">
        <v>0.4074221867517956</v>
      </c>
      <c r="M112" s="77" t="n">
        <v>0</v>
      </c>
      <c r="N112" s="39" t="inlineStr">
        <is>
          <t>Active</t>
        </is>
      </c>
      <c r="O112" s="39" t="n"/>
      <c r="P112" s="78" t="n">
        <v>4.4</v>
      </c>
      <c r="Q112" s="77" t="n">
        <v>1090</v>
      </c>
      <c r="R112" s="77" t="n">
        <v>64523</v>
      </c>
      <c r="S112" s="77" t="n">
        <v>0</v>
      </c>
      <c r="T112" s="39" t="n"/>
    </row>
    <row r="113" ht="62" customHeight="1">
      <c r="A113" s="12">
        <f>_xlfn.IMAGE("https://m.media-amazon.com/images/I/81J3uOru1eL.jpg")</f>
        <v/>
      </c>
      <c r="B113" s="39" t="inlineStr">
        <is>
          <t>B0DDRDWVK1</t>
        </is>
      </c>
      <c r="C113" s="39" t="inlineStr">
        <is>
          <t>SS-SATIN-DARK-GREEN-TWIN-3PCS</t>
        </is>
      </c>
      <c r="D113" s="39" t="inlineStr">
        <is>
          <t>Sleep Sanctuary Satin Sheets Twin Size – 3 Piece Luxury Silky Bed Set, Softer Than Silk, 15" Deep Pocket, Cooling &amp; Wrinkle-Free, Moisture-Wicking &amp; Breathable for Hair &amp; Skin (Dark Green)</t>
        </is>
      </c>
      <c r="E113" s="39" t="inlineStr">
        <is>
          <t>Twin</t>
        </is>
      </c>
      <c r="F113" s="39" t="inlineStr">
        <is>
          <t>Dark Green</t>
        </is>
      </c>
      <c r="G113" s="73" t="n">
        <v>51.53</v>
      </c>
      <c r="H113" s="39" t="inlineStr">
        <is>
          <t>catalog price (CAD), 2026-10-14</t>
        </is>
      </c>
      <c r="I113" s="74" t="n">
        <v>50.18</v>
      </c>
      <c r="J113" s="75" t="inlineStr">
        <is>
          <t>2026-03-30</t>
        </is>
      </c>
      <c r="K113" s="40" t="n">
        <v>20.47</v>
      </c>
      <c r="L113" s="76" t="n">
        <v>0.4079314467915504</v>
      </c>
      <c r="M113" s="77" t="n"/>
      <c r="N113" s="39" t="inlineStr">
        <is>
          <t>Active</t>
        </is>
      </c>
      <c r="O113" s="39" t="n"/>
      <c r="P113" s="78" t="n">
        <v>4.4</v>
      </c>
      <c r="Q113" s="77" t="n">
        <v>1090</v>
      </c>
      <c r="R113" s="77" t="n">
        <v>64523</v>
      </c>
      <c r="S113" s="77" t="n">
        <v>0</v>
      </c>
      <c r="T113" s="39" t="n"/>
    </row>
    <row r="114" ht="62" customHeight="1">
      <c r="A114" s="12">
        <f>_xlfn.IMAGE("https://m.media-amazon.com/images/I/81+JI5+UtKL.jpg")</f>
        <v/>
      </c>
      <c r="B114" s="39" t="inlineStr">
        <is>
          <t>B0DDR15FTY</t>
        </is>
      </c>
      <c r="C114" s="39" t="inlineStr">
        <is>
          <t>SS-SATIN-GOLD-TWIN-3PCS</t>
        </is>
      </c>
      <c r="D114" s="39" t="inlineStr">
        <is>
          <t>Sleep Sanctuary Satin Sheets Twin Size – 3 Piece Luxury Silky Bed Set, Softer Than Silk, 15" Deep Pocket, Cooling &amp; Wrinkle-Free, Moisture-Wicking &amp; Breathable for Hair &amp; Skin (Gold)</t>
        </is>
      </c>
      <c r="E114" s="39" t="inlineStr">
        <is>
          <t>Twin</t>
        </is>
      </c>
      <c r="F114" s="39" t="inlineStr">
        <is>
          <t>Gold</t>
        </is>
      </c>
      <c r="G114" s="73" t="n">
        <v>51.53</v>
      </c>
      <c r="H114" s="39" t="inlineStr">
        <is>
          <t>catalog price (CAD), 2026-10-14</t>
        </is>
      </c>
      <c r="I114" s="74" t="n">
        <v>50.12</v>
      </c>
      <c r="J114" s="75" t="inlineStr">
        <is>
          <t>2026-03-30</t>
        </is>
      </c>
      <c r="K114" s="40" t="n">
        <v>20.13999999999999</v>
      </c>
      <c r="L114" s="76" t="n">
        <v>0.4018355945730246</v>
      </c>
      <c r="M114" s="77" t="n"/>
      <c r="N114" s="39" t="inlineStr">
        <is>
          <t>Active</t>
        </is>
      </c>
      <c r="O114" s="39" t="n"/>
      <c r="P114" s="78" t="n">
        <v>4.4</v>
      </c>
      <c r="Q114" s="77" t="n">
        <v>1090</v>
      </c>
      <c r="R114" s="77" t="n">
        <v>64523</v>
      </c>
      <c r="S114" s="77" t="n">
        <v>0</v>
      </c>
      <c r="T114" s="39" t="n"/>
    </row>
    <row r="115" ht="62" customHeight="1">
      <c r="A115" s="12">
        <f>_xlfn.IMAGE("https://m.media-amazon.com/images/I/81TG-RmUYiL.jpg")</f>
        <v/>
      </c>
      <c r="B115" s="39" t="inlineStr">
        <is>
          <t>B0DDRDYFFX</t>
        </is>
      </c>
      <c r="C115" s="39" t="inlineStr">
        <is>
          <t>SS-SATIN-GREY-TWIN-3PCS</t>
        </is>
      </c>
      <c r="D115" s="39" t="inlineStr">
        <is>
          <t>Sleep Sanctuary Satin Sheets Twin Size – 3 Piece Luxury Silky Bed Set, Softer Than Silk, 15" Deep Pocket, Cooling &amp; Wrinkle-Free, Moisture-Wicking &amp; Breathable for Hair &amp; Skin (Grey)</t>
        </is>
      </c>
      <c r="E115" s="39" t="inlineStr">
        <is>
          <t>Twin</t>
        </is>
      </c>
      <c r="F115" s="39" t="inlineStr">
        <is>
          <t>Grey</t>
        </is>
      </c>
      <c r="G115" s="73" t="n">
        <v>41.95</v>
      </c>
      <c r="H115" s="39" t="inlineStr">
        <is>
          <t>catalog price (CAD), 2026-10-14</t>
        </is>
      </c>
      <c r="I115" s="74" t="n">
        <v>41.95</v>
      </c>
      <c r="J115" s="75" t="inlineStr">
        <is>
          <t>2026-03-30</t>
        </is>
      </c>
      <c r="K115" s="40" t="n">
        <v>18.28</v>
      </c>
      <c r="L115" s="76" t="n">
        <v>0.4357568533969012</v>
      </c>
      <c r="M115" s="77" t="n"/>
      <c r="N115" s="39" t="inlineStr">
        <is>
          <t>Active</t>
        </is>
      </c>
      <c r="O115" s="39" t="n"/>
      <c r="P115" s="78" t="n">
        <v>4.4</v>
      </c>
      <c r="Q115" s="77" t="n">
        <v>1090</v>
      </c>
      <c r="R115" s="77" t="n">
        <v>64523</v>
      </c>
      <c r="S115" s="77" t="n">
        <v>0</v>
      </c>
      <c r="T115" s="39" t="n"/>
    </row>
    <row r="116" ht="62" customHeight="1">
      <c r="A116" s="12">
        <f>_xlfn.IMAGE("https://m.media-amazon.com/images/I/81ZPG1HQdFL.jpg")</f>
        <v/>
      </c>
      <c r="B116" s="39" t="inlineStr">
        <is>
          <t>B0DDR4QMK1</t>
        </is>
      </c>
      <c r="C116" s="39" t="inlineStr">
        <is>
          <t>SS-SATIN-IVORY-TWIN-3PCS</t>
        </is>
      </c>
      <c r="D116" s="39" t="inlineStr">
        <is>
          <t>Sleep Sanctuary Satin Sheets Twin Size – 3 Piece Luxury Silky Bed Set, Softer Than Silk, 15" Deep Pocket, Cooling &amp; Wrinkle-Free, Moisture-Wicking &amp; Breathable for Hair &amp; Skin (Ivory)</t>
        </is>
      </c>
      <c r="E116" s="39" t="inlineStr">
        <is>
          <t>Twin</t>
        </is>
      </c>
      <c r="F116" s="39" t="inlineStr">
        <is>
          <t>Ivory</t>
        </is>
      </c>
      <c r="G116" s="73" t="n">
        <v>51.53</v>
      </c>
      <c r="H116" s="39" t="inlineStr">
        <is>
          <t>catalog price (CAD), 2026-10-14</t>
        </is>
      </c>
      <c r="I116" s="74" t="n">
        <v>41.95</v>
      </c>
      <c r="J116" s="75" t="inlineStr">
        <is>
          <t>2026-03-30</t>
        </is>
      </c>
      <c r="K116" s="40" t="n">
        <v>18.83</v>
      </c>
      <c r="L116" s="76" t="n">
        <v>0.4488676996424315</v>
      </c>
      <c r="M116" s="77" t="n"/>
      <c r="N116" s="39" t="inlineStr">
        <is>
          <t>Active</t>
        </is>
      </c>
      <c r="O116" s="39" t="n"/>
      <c r="P116" s="78" t="n">
        <v>4.4</v>
      </c>
      <c r="Q116" s="77" t="n">
        <v>1090</v>
      </c>
      <c r="R116" s="77" t="n">
        <v>64523</v>
      </c>
      <c r="S116" s="77" t="n">
        <v>0</v>
      </c>
      <c r="T116" s="39" t="n"/>
    </row>
    <row r="117" ht="62" customHeight="1">
      <c r="A117" s="12">
        <f>_xlfn.IMAGE("https://m.media-amazon.com/images/I/81XKFWjDgKL.jpg")</f>
        <v/>
      </c>
      <c r="B117" s="39" t="inlineStr">
        <is>
          <t>B0DDRC2CDX</t>
        </is>
      </c>
      <c r="C117" s="39" t="inlineStr">
        <is>
          <t>SS-SATIN-PINK-TWIN-3PCS</t>
        </is>
      </c>
      <c r="D117" s="39" t="inlineStr">
        <is>
          <t>Sleep Sanctuary Satin Sheets Twin Size – 3 Piece Luxury Silky Bed Set, Softer Than Silk, 15" Deep Pocket, Cooling &amp; Wrinkle-Free, Moisture-Wicking &amp; Breathable for Hair &amp; Skin (Pink)</t>
        </is>
      </c>
      <c r="E117" s="39" t="inlineStr">
        <is>
          <t>Twin</t>
        </is>
      </c>
      <c r="F117" s="39" t="inlineStr">
        <is>
          <t>Pink</t>
        </is>
      </c>
      <c r="G117" s="73" t="n">
        <v>51.53</v>
      </c>
      <c r="H117" s="39" t="inlineStr">
        <is>
          <t>catalog price (CAD), 2026-10-14</t>
        </is>
      </c>
      <c r="I117" s="74" t="n">
        <v>41.95</v>
      </c>
      <c r="J117" s="75" t="inlineStr">
        <is>
          <t>2026-03-30</t>
        </is>
      </c>
      <c r="K117" s="40" t="n">
        <v>18.03</v>
      </c>
      <c r="L117" s="76" t="n">
        <v>0.429797377830751</v>
      </c>
      <c r="M117" s="77" t="n">
        <v>0</v>
      </c>
      <c r="N117" s="39" t="inlineStr">
        <is>
          <t>Active</t>
        </is>
      </c>
      <c r="O117" s="39" t="n"/>
      <c r="P117" s="78" t="n">
        <v>4.4</v>
      </c>
      <c r="Q117" s="77" t="n">
        <v>1090</v>
      </c>
      <c r="R117" s="77" t="n">
        <v>64523</v>
      </c>
      <c r="S117" s="77" t="n">
        <v>2</v>
      </c>
      <c r="T117" s="39" t="n"/>
    </row>
    <row r="118" ht="62" customHeight="1">
      <c r="A118" s="12">
        <f>_xlfn.IMAGE("https://m.media-amazon.com/images/I/81z9M9loqlL.jpg")</f>
        <v/>
      </c>
      <c r="B118" s="39" t="inlineStr">
        <is>
          <t>B0DDRFSGVJ</t>
        </is>
      </c>
      <c r="C118" s="39" t="inlineStr">
        <is>
          <t>SS-SATIN-PURPLE-TWIN-3PCS</t>
        </is>
      </c>
      <c r="D118" s="39" t="inlineStr">
        <is>
          <t>Sleep Sanctuary Satin Sheets Twin Size – 3 Piece Luxury Silky Bed Set, Softer Than Silk, 15" Deep Pocket, Cooling &amp; Wrinkle-Free, Moisture-Wicking &amp; Breathable for Hair &amp; Skin (Purple)</t>
        </is>
      </c>
      <c r="E118" s="39" t="inlineStr">
        <is>
          <t>Twin</t>
        </is>
      </c>
      <c r="F118" s="39" t="inlineStr">
        <is>
          <t>Purple</t>
        </is>
      </c>
      <c r="G118" s="73" t="n">
        <v>61.07</v>
      </c>
      <c r="H118" s="39" t="inlineStr">
        <is>
          <t>catalog price (CAD), 2026-10-14</t>
        </is>
      </c>
      <c r="I118" s="74" t="n">
        <v>62.96</v>
      </c>
      <c r="J118" s="75" t="inlineStr">
        <is>
          <t>2026-03-30</t>
        </is>
      </c>
      <c r="K118" s="40" t="n">
        <v>31.34000000000001</v>
      </c>
      <c r="L118" s="76" t="n">
        <v>0.4977763659466328</v>
      </c>
      <c r="M118" s="77" t="n">
        <v>0</v>
      </c>
      <c r="N118" s="39" t="inlineStr">
        <is>
          <t>Active</t>
        </is>
      </c>
      <c r="O118" s="39" t="n"/>
      <c r="P118" s="78" t="n">
        <v>4.4</v>
      </c>
      <c r="Q118" s="77" t="n">
        <v>1090</v>
      </c>
      <c r="R118" s="77" t="n">
        <v>64523</v>
      </c>
      <c r="S118" s="77" t="n">
        <v>0.8343</v>
      </c>
      <c r="T118" s="39" t="n"/>
    </row>
    <row r="119" ht="62" customHeight="1">
      <c r="A119" s="12">
        <f>_xlfn.IMAGE("https://m.media-amazon.com/images/I/81NQCabFrWL.jpg")</f>
        <v/>
      </c>
      <c r="B119" s="39" t="inlineStr">
        <is>
          <t>B0DDQTZWY6</t>
        </is>
      </c>
      <c r="C119" s="39" t="inlineStr">
        <is>
          <t>SS-SATIN-RED-TWIN-3PCS</t>
        </is>
      </c>
      <c r="D119" s="39" t="inlineStr">
        <is>
          <t>Sleep Sanctuary Satin Sheets Twin Size – 3 Piece Luxury Silky Bed Set, Softer Than Silk, 15" Deep Pocket, Cooling &amp; Wrinkle-Free, Moisture-Wicking &amp; Breathable for Hair &amp; Skin (Red)</t>
        </is>
      </c>
      <c r="E119" s="39" t="inlineStr">
        <is>
          <t>Twin</t>
        </is>
      </c>
      <c r="F119" s="39" t="inlineStr">
        <is>
          <t>Red</t>
        </is>
      </c>
      <c r="G119" s="73" t="n">
        <v>51.53</v>
      </c>
      <c r="H119" s="39" t="inlineStr">
        <is>
          <t>catalog price (CAD), 2026-10-14</t>
        </is>
      </c>
      <c r="I119" s="74" t="n">
        <v>41.95</v>
      </c>
      <c r="J119" s="75" t="inlineStr">
        <is>
          <t>2026-03-30</t>
        </is>
      </c>
      <c r="K119" s="40" t="n">
        <v>18.28</v>
      </c>
      <c r="L119" s="76" t="n">
        <v>0.4357568533969012</v>
      </c>
      <c r="M119" s="77" t="n"/>
      <c r="N119" s="39" t="inlineStr">
        <is>
          <t>Active</t>
        </is>
      </c>
      <c r="O119" s="39" t="n"/>
      <c r="P119" s="78" t="n">
        <v>4.4</v>
      </c>
      <c r="Q119" s="77" t="n">
        <v>1090</v>
      </c>
      <c r="R119" s="77" t="n">
        <v>64523</v>
      </c>
      <c r="S119" s="77" t="n">
        <v>0</v>
      </c>
      <c r="T119" s="39" t="n"/>
    </row>
    <row r="120" ht="62" customHeight="1">
      <c r="A120" s="12">
        <f>_xlfn.IMAGE("https://m.media-amazon.com/images/I/81vHqIiWdYL.jpg")</f>
        <v/>
      </c>
      <c r="B120" s="39" t="inlineStr">
        <is>
          <t>B0DDR6TLDV</t>
        </is>
      </c>
      <c r="C120" s="39" t="inlineStr">
        <is>
          <t>SS-SATIN-ROSEWOOD-TWIN-3PCS</t>
        </is>
      </c>
      <c r="D120" s="39" t="inlineStr">
        <is>
          <t>Sleep Sanctuary Satin Sheets Twin Size – 3 Piece Luxury Silky Bed Set, Softer Than Silk, 15" Deep Pocket, Cooling &amp; Wrinkle-Free, Moisture-Wicking &amp; Breathable for Hair &amp; Skin (Rosewood)</t>
        </is>
      </c>
      <c r="E120" s="39" t="inlineStr">
        <is>
          <t>Twin</t>
        </is>
      </c>
      <c r="F120" s="39" t="inlineStr">
        <is>
          <t>Rosewood</t>
        </is>
      </c>
      <c r="G120" s="73" t="n">
        <v>51.53</v>
      </c>
      <c r="H120" s="39" t="inlineStr">
        <is>
          <t>catalog price (CAD), 2026-10-14</t>
        </is>
      </c>
      <c r="I120" s="74" t="n">
        <v>41.95</v>
      </c>
      <c r="J120" s="75" t="inlineStr">
        <is>
          <t>2026-03-30</t>
        </is>
      </c>
      <c r="K120" s="40" t="n">
        <v>18.28</v>
      </c>
      <c r="L120" s="76" t="n">
        <v>0.4357568533969012</v>
      </c>
      <c r="M120" s="77" t="n">
        <v>0</v>
      </c>
      <c r="N120" s="39" t="inlineStr">
        <is>
          <t>Active</t>
        </is>
      </c>
      <c r="O120" s="39" t="n"/>
      <c r="P120" s="78" t="n">
        <v>4.4</v>
      </c>
      <c r="Q120" s="77" t="n">
        <v>1090</v>
      </c>
      <c r="R120" s="77" t="n">
        <v>64523</v>
      </c>
      <c r="S120" s="77" t="n">
        <v>2</v>
      </c>
      <c r="T120" s="39" t="n"/>
    </row>
    <row r="121" ht="62" customHeight="1">
      <c r="A121" s="12">
        <f>_xlfn.IMAGE("https://m.media-amazon.com/images/I/81i0u4Y+8uL.jpg")</f>
        <v/>
      </c>
      <c r="B121" s="39" t="inlineStr">
        <is>
          <t>B0DDR154D4</t>
        </is>
      </c>
      <c r="C121" s="39" t="inlineStr">
        <is>
          <t>SS-SATIN-SAGE-GREEN-TWIN-3PCS</t>
        </is>
      </c>
      <c r="D121" s="39" t="inlineStr">
        <is>
          <t>Sleep Sanctuary Satin Sheets Twin Size – 3 Piece Luxury Silky Bed Set, Softer Than Silk, 15" Deep Pocket, Cooling &amp; Wrinkle-Free, Moisture-Wicking &amp; Breathable for Hair &amp; Skin (Sage Green)</t>
        </is>
      </c>
      <c r="E121" s="39" t="inlineStr">
        <is>
          <t>Twin</t>
        </is>
      </c>
      <c r="F121" s="39" t="inlineStr">
        <is>
          <t>Sage Green</t>
        </is>
      </c>
      <c r="G121" s="73" t="n">
        <v>41.95</v>
      </c>
      <c r="H121" s="39" t="inlineStr">
        <is>
          <t>catalog price (CAD), 2026-10-14</t>
        </is>
      </c>
      <c r="I121" s="74" t="n">
        <v>50.12</v>
      </c>
      <c r="J121" s="75" t="inlineStr">
        <is>
          <t>2026-03-30</t>
        </is>
      </c>
      <c r="K121" s="40" t="n">
        <v>20.52</v>
      </c>
      <c r="L121" s="76" t="n">
        <v>0.4094173982442138</v>
      </c>
      <c r="M121" s="77" t="n"/>
      <c r="N121" s="39" t="inlineStr">
        <is>
          <t>Active</t>
        </is>
      </c>
      <c r="O121" s="39" t="n"/>
      <c r="P121" s="78" t="n">
        <v>4.4</v>
      </c>
      <c r="Q121" s="77" t="n">
        <v>1090</v>
      </c>
      <c r="R121" s="77" t="n">
        <v>64523</v>
      </c>
      <c r="S121" s="77" t="n">
        <v>0</v>
      </c>
      <c r="T121" s="39" t="n"/>
    </row>
    <row r="122" ht="62" customHeight="1">
      <c r="A122" s="12">
        <f>_xlfn.IMAGE("https://m.media-amazon.com/images/I/81B6BzVilhL.jpg")</f>
        <v/>
      </c>
      <c r="B122" s="39" t="inlineStr">
        <is>
          <t>B0DDR2CP9X</t>
        </is>
      </c>
      <c r="C122" s="39" t="inlineStr">
        <is>
          <t>SS-SATIN-SEA-TEAL-TWIN-3PCS</t>
        </is>
      </c>
      <c r="D122" s="39" t="inlineStr">
        <is>
          <t>Sleep Sanctuary Satin Sheets Twin Size – 3 Piece Luxury Silky Bed Set, Softer Than Silk, 15" Deep Pocket, Cooling &amp; Wrinkle-Free, Moisture-Wicking &amp; Breathable for Hair &amp; Skin (Sea Teal)</t>
        </is>
      </c>
      <c r="E122" s="39" t="inlineStr">
        <is>
          <t>Twin</t>
        </is>
      </c>
      <c r="F122" s="39" t="inlineStr">
        <is>
          <t>Sea Teal</t>
        </is>
      </c>
      <c r="G122" s="73" t="n">
        <v>51.53</v>
      </c>
      <c r="H122" s="39" t="inlineStr">
        <is>
          <t>catalog price (CAD), 2026-10-14</t>
        </is>
      </c>
      <c r="I122" s="74" t="n">
        <v>50.19</v>
      </c>
      <c r="J122" s="75" t="inlineStr">
        <is>
          <t>2026-03-30</t>
        </is>
      </c>
      <c r="K122" s="40" t="n">
        <v>19.24</v>
      </c>
      <c r="L122" s="76" t="n">
        <v>0.3833432954771867</v>
      </c>
      <c r="M122" s="77" t="n">
        <v>0</v>
      </c>
      <c r="N122" s="39" t="inlineStr">
        <is>
          <t>Active</t>
        </is>
      </c>
      <c r="O122" s="39" t="n"/>
      <c r="P122" s="78" t="n">
        <v>4.4</v>
      </c>
      <c r="Q122" s="77" t="n">
        <v>1090</v>
      </c>
      <c r="R122" s="77" t="n">
        <v>64523</v>
      </c>
      <c r="S122" s="77" t="n">
        <v>0</v>
      </c>
      <c r="T122" s="39" t="n"/>
    </row>
    <row r="123" ht="62" customHeight="1">
      <c r="A123" s="12">
        <f>_xlfn.IMAGE("https://m.media-amazon.com/images/I/816iXpTTsDL.jpg")</f>
        <v/>
      </c>
      <c r="B123" s="39" t="inlineStr">
        <is>
          <t>B0DDQVBL24</t>
        </is>
      </c>
      <c r="C123" s="39" t="inlineStr">
        <is>
          <t>SS-SATIN-STONE-GREY-TWIN-3PCS</t>
        </is>
      </c>
      <c r="D123" s="39" t="inlineStr">
        <is>
          <t>Sleep Sanctuary Satin Sheets Twin Size – 3 Piece Luxury Silky Bed Set, Softer Than Silk, 15" Deep Pocket, Cooling &amp; Wrinkle-Free, Moisture-Wicking &amp; Breathable for Hair &amp; Skin (Stone Grey)</t>
        </is>
      </c>
      <c r="E123" s="39" t="inlineStr">
        <is>
          <t>Twin</t>
        </is>
      </c>
      <c r="F123" s="39" t="inlineStr">
        <is>
          <t>Stone Grey</t>
        </is>
      </c>
      <c r="G123" s="73" t="n">
        <v>51.53</v>
      </c>
      <c r="H123" s="39" t="inlineStr">
        <is>
          <t>catalog price (CAD), 2026-10-14</t>
        </is>
      </c>
      <c r="I123" s="74" t="n">
        <v>41.95</v>
      </c>
      <c r="J123" s="75" t="inlineStr">
        <is>
          <t>2026-03-30</t>
        </is>
      </c>
      <c r="K123" s="40" t="n">
        <v>17.72</v>
      </c>
      <c r="L123" s="76" t="n">
        <v>0.4224076281287247</v>
      </c>
      <c r="M123" s="77" t="n"/>
      <c r="N123" s="39" t="inlineStr">
        <is>
          <t>Active</t>
        </is>
      </c>
      <c r="O123" s="39" t="n"/>
      <c r="P123" s="78" t="n">
        <v>4.4</v>
      </c>
      <c r="Q123" s="77" t="n">
        <v>1090</v>
      </c>
      <c r="R123" s="77" t="n">
        <v>64523</v>
      </c>
      <c r="S123" s="77" t="n">
        <v>0</v>
      </c>
      <c r="T123" s="39" t="n"/>
    </row>
    <row r="124" ht="62" customHeight="1">
      <c r="A124" s="12">
        <f>_xlfn.IMAGE("https://m.media-amazon.com/images/I/81qEq06R1GL.jpg")</f>
        <v/>
      </c>
      <c r="B124" s="39" t="inlineStr">
        <is>
          <t>B0DDR3RYKF</t>
        </is>
      </c>
      <c r="C124" s="39" t="inlineStr">
        <is>
          <t>SS-SATIN-STRIPED-BLACK-TWIN-3PCS</t>
        </is>
      </c>
      <c r="D124" s="39" t="inlineStr">
        <is>
          <t>Sleep Sanctuary Satin Sheets Twin Size – 3 Piece Luxury Silky Bed Set, Softer Than Silk, 15" Deep Pocket, Cooling &amp; Wrinkle-Free, Moisture-Wicking &amp; Breathable for Hair &amp; Skin (Striped Black)</t>
        </is>
      </c>
      <c r="E124" s="39" t="inlineStr">
        <is>
          <t>Twin</t>
        </is>
      </c>
      <c r="F124" s="39" t="inlineStr">
        <is>
          <t>Striped Black</t>
        </is>
      </c>
      <c r="G124" s="40" t="n"/>
      <c r="H124" s="39" t="n"/>
      <c r="I124" s="74" t="n">
        <v>50.12</v>
      </c>
      <c r="J124" s="75" t="inlineStr">
        <is>
          <t>2026-03-20</t>
        </is>
      </c>
      <c r="K124" s="40" t="n">
        <v>24.18999999999999</v>
      </c>
      <c r="L124" s="76" t="n">
        <v>0.4826416600159615</v>
      </c>
      <c r="M124" s="77" t="n"/>
      <c r="N124" s="39" t="inlineStr">
        <is>
          <t>Active</t>
        </is>
      </c>
      <c r="O124" s="39" t="n"/>
      <c r="P124" s="78" t="n"/>
      <c r="Q124" s="77" t="n"/>
      <c r="R124" s="77" t="n"/>
      <c r="S124" s="77" t="n"/>
      <c r="T124" s="39" t="n"/>
    </row>
    <row r="125" ht="62" customHeight="1">
      <c r="A125" s="12">
        <f>_xlfn.IMAGE("https://m.media-amazon.com/images/I/81IuYnZdF7L.jpg")</f>
        <v/>
      </c>
      <c r="B125" s="39" t="inlineStr">
        <is>
          <t>B0DDR9XL62</t>
        </is>
      </c>
      <c r="C125" s="39" t="inlineStr">
        <is>
          <t>SS-SATIN-STRIPED-BLUE-TWIN-3PCS</t>
        </is>
      </c>
      <c r="D125" s="39" t="inlineStr">
        <is>
          <t>Sleep Sanctuary Satin Sheets Twin Size – 3 Piece Luxury Silky Bed Set, Softer Than Silk, 15" Deep Pocket, Cooling &amp; Wrinkle-Free, Moisture-Wicking &amp; Breathable for Hair &amp; Skin (Striped Blue)</t>
        </is>
      </c>
      <c r="E125" s="39" t="inlineStr">
        <is>
          <t>Twin</t>
        </is>
      </c>
      <c r="F125" s="39" t="inlineStr">
        <is>
          <t>Striped Blue</t>
        </is>
      </c>
      <c r="G125" s="73" t="n">
        <v>51.53</v>
      </c>
      <c r="H125" s="39" t="inlineStr">
        <is>
          <t>catalog price (CAD), 2026-10-14</t>
        </is>
      </c>
      <c r="I125" s="74" t="n">
        <v>50.12</v>
      </c>
      <c r="J125" s="75" t="inlineStr">
        <is>
          <t>2026-03-30</t>
        </is>
      </c>
      <c r="K125" s="40" t="n">
        <v>18.84</v>
      </c>
      <c r="L125" s="76" t="n">
        <v>0.3758978451715881</v>
      </c>
      <c r="M125" s="77" t="n"/>
      <c r="N125" s="39" t="inlineStr">
        <is>
          <t>Active</t>
        </is>
      </c>
      <c r="O125" s="39" t="n"/>
      <c r="P125" s="78" t="n">
        <v>4.4</v>
      </c>
      <c r="Q125" s="77" t="n">
        <v>1090</v>
      </c>
      <c r="R125" s="77" t="n">
        <v>64523</v>
      </c>
      <c r="S125" s="77" t="n">
        <v>0</v>
      </c>
      <c r="T125" s="39" t="n"/>
    </row>
    <row r="126" ht="62" customHeight="1">
      <c r="A126" s="12">
        <f>_xlfn.IMAGE("https://m.media-amazon.com/images/I/81c0TeFW0bL.jpg")</f>
        <v/>
      </c>
      <c r="B126" s="39" t="inlineStr">
        <is>
          <t>B0DDR85DVM</t>
        </is>
      </c>
      <c r="C126" s="39" t="inlineStr">
        <is>
          <t>SS-SATIN-STRIPED-GOLD-TWIN-3PCS</t>
        </is>
      </c>
      <c r="D126" s="39" t="inlineStr">
        <is>
          <t>SLEEP SANCTUARY Satin Sheets Twin Size – 3 Piece Luxury Silky Bed Set, Softer Than Silk, 15" Deep Pocket, Cooling &amp; Wrinkle-Free, Moisture-Wicking &amp; Breathable for Hair &amp; Skin (Striped Gold)</t>
        </is>
      </c>
      <c r="E126" s="39" t="inlineStr">
        <is>
          <t>Twin</t>
        </is>
      </c>
      <c r="F126" s="39" t="inlineStr">
        <is>
          <t>Striped Gold</t>
        </is>
      </c>
      <c r="G126" s="40" t="n"/>
      <c r="H126" s="39" t="n"/>
      <c r="I126" s="74" t="n">
        <v>50.12</v>
      </c>
      <c r="J126" s="75" t="inlineStr">
        <is>
          <t>2026-03-30</t>
        </is>
      </c>
      <c r="K126" s="40" t="n">
        <v>18.84</v>
      </c>
      <c r="L126" s="76" t="n">
        <v>0.3758978451715881</v>
      </c>
      <c r="M126" s="77" t="n"/>
      <c r="N126" s="39" t="inlineStr">
        <is>
          <t>Inactive</t>
        </is>
      </c>
      <c r="O126" s="39" t="n"/>
      <c r="P126" s="78" t="n"/>
      <c r="Q126" s="77" t="n"/>
      <c r="R126" s="77" t="n"/>
      <c r="S126" s="77" t="n"/>
      <c r="T126" s="39" t="n"/>
    </row>
    <row r="127" ht="62" customHeight="1">
      <c r="A127" s="12">
        <f>_xlfn.IMAGE("https://m.media-amazon.com/images/I/81EuG0SlLvL.jpg")</f>
        <v/>
      </c>
      <c r="B127" s="39" t="inlineStr">
        <is>
          <t>B0DDRKHNWQ</t>
        </is>
      </c>
      <c r="C127" s="39" t="inlineStr">
        <is>
          <t>SS-SATIN-STRIPED-GREY-TWIN-3PCS</t>
        </is>
      </c>
      <c r="D127" s="39" t="inlineStr">
        <is>
          <t>Sleep Sanctuary Satin Sheets Twin Size – 3 Piece Luxury Silky Bed Set, Softer Than Silk, 15" Deep Pocket, Cooling &amp; Wrinkle-Free, Moisture-Wicking &amp; Breathable for Hair &amp; Skin (Striped Grey)</t>
        </is>
      </c>
      <c r="E127" s="39" t="inlineStr">
        <is>
          <t>Twin</t>
        </is>
      </c>
      <c r="F127" s="39" t="inlineStr">
        <is>
          <t>Striped Grey</t>
        </is>
      </c>
      <c r="G127" s="73" t="n">
        <v>51.53</v>
      </c>
      <c r="H127" s="39" t="inlineStr">
        <is>
          <t>catalog price (CAD), 2026-10-14</t>
        </is>
      </c>
      <c r="I127" s="74" t="n">
        <v>50.12</v>
      </c>
      <c r="J127" s="75" t="inlineStr">
        <is>
          <t>2026-03-30</t>
        </is>
      </c>
      <c r="K127" s="40" t="n">
        <v>18.84</v>
      </c>
      <c r="L127" s="76" t="n">
        <v>0.3758978451715881</v>
      </c>
      <c r="M127" s="77" t="n">
        <v>0</v>
      </c>
      <c r="N127" s="39" t="inlineStr">
        <is>
          <t>Active</t>
        </is>
      </c>
      <c r="O127" s="39" t="n"/>
      <c r="P127" s="78" t="n">
        <v>4.4</v>
      </c>
      <c r="Q127" s="77" t="n">
        <v>1090</v>
      </c>
      <c r="R127" s="77" t="n">
        <v>64523</v>
      </c>
      <c r="S127" s="77" t="n">
        <v>0</v>
      </c>
      <c r="T127" s="39" t="n"/>
    </row>
    <row r="128" ht="62" customHeight="1">
      <c r="A128" s="12">
        <f>_xlfn.IMAGE("https://m.media-amazon.com/images/I/81VzFs1NSBL.jpg")</f>
        <v/>
      </c>
      <c r="B128" s="39" t="inlineStr">
        <is>
          <t>B0DDQX418B</t>
        </is>
      </c>
      <c r="C128" s="39" t="inlineStr">
        <is>
          <t>SS-SATIN-STRIPED-PINK-TWIN-3PCS</t>
        </is>
      </c>
      <c r="D128" s="39" t="inlineStr">
        <is>
          <t>Sleep Sanctuary Satin Sheets Twin Size – 3 Piece Luxury Silky Bed Set, Softer Than Silk, 15" Deep Pocket, Cooling &amp; Wrinkle-Free, Moisture-Wicking &amp; Breathable for Hair &amp; Skin (Striped Pink)</t>
        </is>
      </c>
      <c r="E128" s="39" t="inlineStr">
        <is>
          <t>Twin</t>
        </is>
      </c>
      <c r="F128" s="39" t="inlineStr">
        <is>
          <t>Striped Pink</t>
        </is>
      </c>
      <c r="G128" s="73" t="n">
        <v>51.53</v>
      </c>
      <c r="H128" s="39" t="inlineStr">
        <is>
          <t>catalog price (CAD), 2026-10-14</t>
        </is>
      </c>
      <c r="I128" s="74" t="n">
        <v>50.68</v>
      </c>
      <c r="J128" s="75" t="inlineStr">
        <is>
          <t>2026-03-30</t>
        </is>
      </c>
      <c r="K128" s="40" t="n">
        <v>18.72</v>
      </c>
      <c r="L128" s="76" t="n">
        <v>0.3693764798737174</v>
      </c>
      <c r="M128" s="77" t="n"/>
      <c r="N128" s="39" t="inlineStr">
        <is>
          <t>Active</t>
        </is>
      </c>
      <c r="O128" s="39" t="n"/>
      <c r="P128" s="78" t="n">
        <v>4.4</v>
      </c>
      <c r="Q128" s="77" t="n">
        <v>1090</v>
      </c>
      <c r="R128" s="77" t="n">
        <v>64523</v>
      </c>
      <c r="S128" s="77" t="n">
        <v>0</v>
      </c>
      <c r="T128" s="39" t="n"/>
    </row>
    <row r="129" ht="62" customHeight="1">
      <c r="A129" s="12">
        <f>_xlfn.IMAGE("https://m.media-amazon.com/images/I/81qxRfk+zkL.jpg")</f>
        <v/>
      </c>
      <c r="B129" s="39" t="inlineStr">
        <is>
          <t>B0DDR9L9TF</t>
        </is>
      </c>
      <c r="C129" s="39" t="inlineStr">
        <is>
          <t>SS-SATIN-STRIPED-PURPLE-TWIN-3PCS</t>
        </is>
      </c>
      <c r="D129" s="39" t="inlineStr">
        <is>
          <t>Sleep Sanctuary Satin Sheets Twin Size – 3 Piece Luxury Silky Bed Set, Softer Than Silk, 15" Deep Pocket, Cooling &amp; Wrinkle-Free, Moisture-Wicking &amp; Breathable for Hair &amp; Skin (Striped Purple)</t>
        </is>
      </c>
      <c r="E129" s="39" t="inlineStr">
        <is>
          <t>Twin</t>
        </is>
      </c>
      <c r="F129" s="39" t="inlineStr">
        <is>
          <t>Striped Purple</t>
        </is>
      </c>
      <c r="G129" s="73" t="n">
        <v>51.53</v>
      </c>
      <c r="H129" s="39" t="inlineStr">
        <is>
          <t>catalog price (CAD), 2026-10-14</t>
        </is>
      </c>
      <c r="I129" s="74" t="n">
        <v>50.12</v>
      </c>
      <c r="J129" s="75" t="inlineStr">
        <is>
          <t>2026-03-30</t>
        </is>
      </c>
      <c r="K129" s="40" t="n">
        <v>18.84</v>
      </c>
      <c r="L129" s="76" t="n">
        <v>0.3758978451715881</v>
      </c>
      <c r="M129" s="77" t="n">
        <v>0</v>
      </c>
      <c r="N129" s="39" t="inlineStr">
        <is>
          <t>Active</t>
        </is>
      </c>
      <c r="O129" s="39" t="n"/>
      <c r="P129" s="78" t="n">
        <v>4.4</v>
      </c>
      <c r="Q129" s="77" t="n">
        <v>1090</v>
      </c>
      <c r="R129" s="77" t="n">
        <v>64523</v>
      </c>
      <c r="S129" s="77" t="n">
        <v>2</v>
      </c>
      <c r="T129" s="39" t="n"/>
    </row>
    <row r="130" ht="62" customHeight="1">
      <c r="A130" s="12">
        <f>_xlfn.IMAGE("https://m.media-amazon.com/images/I/81Jd40V1dxL.jpg")</f>
        <v/>
      </c>
      <c r="B130" s="39" t="inlineStr">
        <is>
          <t>B0DDR9XL5R</t>
        </is>
      </c>
      <c r="C130" s="39" t="inlineStr">
        <is>
          <t>SS-SATIN-STRIPED-RED-TWIN-3PCS</t>
        </is>
      </c>
      <c r="D130" s="39" t="inlineStr">
        <is>
          <t>Sleep Sanctuary Satin Sheets Twin Size – 3 Piece Luxury Silky Bed Set, Softer Than Silk, 15" Deep Pocket, Cooling &amp; Wrinkle-Free, Moisture-Wicking &amp; Breathable for Hair &amp; Skin (Striped Red)</t>
        </is>
      </c>
      <c r="E130" s="39" t="inlineStr">
        <is>
          <t>Twin</t>
        </is>
      </c>
      <c r="F130" s="39" t="inlineStr">
        <is>
          <t>Striped Red</t>
        </is>
      </c>
      <c r="G130" s="73" t="n">
        <v>51.53</v>
      </c>
      <c r="H130" s="39" t="inlineStr">
        <is>
          <t>catalog price (CAD), 2026-10-14</t>
        </is>
      </c>
      <c r="I130" s="74" t="n">
        <v>50.12</v>
      </c>
      <c r="J130" s="75" t="inlineStr">
        <is>
          <t>2026-03-30</t>
        </is>
      </c>
      <c r="K130" s="40" t="n">
        <v>18.84</v>
      </c>
      <c r="L130" s="76" t="n">
        <v>0.3758978451715881</v>
      </c>
      <c r="M130" s="77" t="n"/>
      <c r="N130" s="39" t="inlineStr">
        <is>
          <t>Active</t>
        </is>
      </c>
      <c r="O130" s="39" t="n"/>
      <c r="P130" s="78" t="n">
        <v>4.4</v>
      </c>
      <c r="Q130" s="77" t="n">
        <v>1090</v>
      </c>
      <c r="R130" s="77" t="n">
        <v>64523</v>
      </c>
      <c r="S130" s="77" t="n">
        <v>0</v>
      </c>
      <c r="T130" s="39" t="n"/>
    </row>
    <row r="131" ht="62" customHeight="1">
      <c r="A131" s="12">
        <f>_xlfn.IMAGE("https://m.media-amazon.com/images/I/81umFKx0vnL.jpg")</f>
        <v/>
      </c>
      <c r="B131" s="39" t="inlineStr">
        <is>
          <t>B0DDR95PQM</t>
        </is>
      </c>
      <c r="C131" s="39" t="inlineStr">
        <is>
          <t>SS-SATIN-STRIPED-WHITE-TWIN-3PCS</t>
        </is>
      </c>
      <c r="D131" s="39" t="inlineStr">
        <is>
          <t>Sleep Sanctuary Satin Sheets Twin Size – 3 Piece Luxury Silky Bed Set, Softer Than Silk, 15" Deep Pocket, Cooling &amp; Wrinkle-Free, Moisture-Wicking &amp; Breathable for Hair &amp; Skin (Striped White)</t>
        </is>
      </c>
      <c r="E131" s="39" t="inlineStr">
        <is>
          <t>Twin</t>
        </is>
      </c>
      <c r="F131" s="39" t="inlineStr">
        <is>
          <t>Striped White</t>
        </is>
      </c>
      <c r="G131" s="73" t="n">
        <v>51.53</v>
      </c>
      <c r="H131" s="39" t="inlineStr">
        <is>
          <t>catalog price (CAD), 2026-10-14</t>
        </is>
      </c>
      <c r="I131" s="74" t="n">
        <v>50.12</v>
      </c>
      <c r="J131" s="75" t="inlineStr">
        <is>
          <t>2026-03-30</t>
        </is>
      </c>
      <c r="K131" s="40" t="n">
        <v>18.84</v>
      </c>
      <c r="L131" s="76" t="n">
        <v>0.3758978451715881</v>
      </c>
      <c r="M131" s="77" t="n">
        <v>0</v>
      </c>
      <c r="N131" s="39" t="inlineStr">
        <is>
          <t>Active</t>
        </is>
      </c>
      <c r="O131" s="39" t="n"/>
      <c r="P131" s="78" t="n">
        <v>4.4</v>
      </c>
      <c r="Q131" s="77" t="n">
        <v>1090</v>
      </c>
      <c r="R131" s="77" t="n">
        <v>64523</v>
      </c>
      <c r="S131" s="77" t="n">
        <v>0</v>
      </c>
      <c r="T131" s="39" t="n"/>
    </row>
    <row r="132" ht="62" customHeight="1">
      <c r="A132" s="12">
        <f>_xlfn.IMAGE("https://m.media-amazon.com/images/I/81XJl86kBiL.jpg")</f>
        <v/>
      </c>
      <c r="B132" s="39" t="inlineStr">
        <is>
          <t>B0DDR7SDNH</t>
        </is>
      </c>
      <c r="C132" s="39" t="inlineStr">
        <is>
          <t>SS-SATIN-TAUPE-TWIN-3PCS</t>
        </is>
      </c>
      <c r="D132" s="39" t="inlineStr">
        <is>
          <t>Sleep Sanctuary Satin Sheets Twin Size – 3 Piece Luxury Silky Bed Set, Softer Than Silk, 15" Deep Pocket, Cooling &amp; Wrinkle-Free, Moisture-Wicking &amp; Breathable for Hair &amp; Skin (Taupe)</t>
        </is>
      </c>
      <c r="E132" s="39" t="inlineStr">
        <is>
          <t>Twin</t>
        </is>
      </c>
      <c r="F132" s="39" t="inlineStr">
        <is>
          <t>Taupe</t>
        </is>
      </c>
      <c r="G132" s="73" t="n">
        <v>51.53</v>
      </c>
      <c r="H132" s="39" t="inlineStr">
        <is>
          <t>catalog price (CAD), 2026-10-14</t>
        </is>
      </c>
      <c r="I132" s="74" t="n">
        <v>50.12</v>
      </c>
      <c r="J132" s="75" t="inlineStr">
        <is>
          <t>2026-03-30</t>
        </is>
      </c>
      <c r="K132" s="40" t="n">
        <v>20.41999999999999</v>
      </c>
      <c r="L132" s="76" t="n">
        <v>0.4074221867517956</v>
      </c>
      <c r="M132" s="77" t="n"/>
      <c r="N132" s="39" t="inlineStr">
        <is>
          <t>Active</t>
        </is>
      </c>
      <c r="O132" s="39" t="n"/>
      <c r="P132" s="78" t="n">
        <v>4.4</v>
      </c>
      <c r="Q132" s="77" t="n">
        <v>1090</v>
      </c>
      <c r="R132" s="77" t="n">
        <v>64523</v>
      </c>
      <c r="S132" s="77" t="n">
        <v>0</v>
      </c>
      <c r="T132" s="39" t="n"/>
    </row>
    <row r="133" ht="62" customHeight="1">
      <c r="A133" s="12">
        <f>_xlfn.IMAGE("https://m.media-amazon.com/images/I/818RX-kt6VL.jpg")</f>
        <v/>
      </c>
      <c r="B133" s="39" t="inlineStr">
        <is>
          <t>B0DDQTZ8NT</t>
        </is>
      </c>
      <c r="C133" s="39" t="inlineStr">
        <is>
          <t>SS-SATIN-WHITE-TWIN-3PCS</t>
        </is>
      </c>
      <c r="D133" s="39" t="inlineStr">
        <is>
          <t>Sleep Sanctuary Satin Sheets Twin Size – 3 Piece Luxury Silky Bed Set, Softer Than Silk, 15" Deep Pocket, Cooling &amp; Wrinkle-Free, Moisture-Wicking &amp; Breathable for Hair &amp; Skin (White)</t>
        </is>
      </c>
      <c r="E133" s="39" t="inlineStr">
        <is>
          <t>Twin</t>
        </is>
      </c>
      <c r="F133" s="39" t="inlineStr">
        <is>
          <t>White</t>
        </is>
      </c>
      <c r="G133" s="73" t="n">
        <v>41.95</v>
      </c>
      <c r="H133" s="39" t="inlineStr">
        <is>
          <t>catalog price (CAD), 2026-10-14</t>
        </is>
      </c>
      <c r="I133" s="74" t="n">
        <v>41.95</v>
      </c>
      <c r="J133" s="75" t="inlineStr">
        <is>
          <t>2026-03-30</t>
        </is>
      </c>
      <c r="K133" s="40" t="n">
        <v>18.53</v>
      </c>
      <c r="L133" s="76" t="n">
        <v>0.4417163289630514</v>
      </c>
      <c r="M133" s="77" t="n">
        <v>0</v>
      </c>
      <c r="N133" s="39" t="inlineStr">
        <is>
          <t>Active</t>
        </is>
      </c>
      <c r="O133" s="39" t="n"/>
      <c r="P133" s="78" t="n">
        <v>4.4</v>
      </c>
      <c r="Q133" s="77" t="n">
        <v>1090</v>
      </c>
      <c r="R133" s="77" t="n">
        <v>64523</v>
      </c>
      <c r="S133" s="77" t="n">
        <v>2</v>
      </c>
      <c r="T133" s="39" t="n"/>
    </row>
    <row r="134"/>
    <row r="135" ht="22" customHeight="1">
      <c r="A135" s="65" t="inlineStr">
        <is>
          <t>3 ▼</t>
        </is>
      </c>
      <c r="B135" s="66" t="inlineStr">
        <is>
          <t>OUR BFCM 2025 RESULT &amp; EVENT VISIBILITY</t>
        </is>
      </c>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c r="AC135" s="67" t="n"/>
      <c r="AD135" s="67" t="n"/>
      <c r="AE135" s="67" t="n"/>
      <c r="AF135" s="67" t="n"/>
      <c r="AG135" s="67" t="n"/>
      <c r="AH135" s="67" t="n"/>
      <c r="AI135" s="67" t="n"/>
      <c r="AJ135" s="67" t="n"/>
      <c r="AK135" s="67" t="n"/>
      <c r="AL135" s="67" t="n"/>
      <c r="AM135" s="67" t="n"/>
      <c r="AN135" s="67" t="n"/>
      <c r="AO135" s="67" t="n"/>
      <c r="AP135" s="67" t="n"/>
      <c r="AQ135" s="67" t="n"/>
      <c r="AR135" s="67" t="n"/>
      <c r="AS135" s="67" t="n"/>
      <c r="AT135" s="67" t="n"/>
      <c r="AU135" s="67" t="n"/>
      <c r="AV135" s="67" t="n"/>
      <c r="AW135" s="67" t="n"/>
      <c r="AX135" s="67" t="n"/>
      <c r="AY135" s="67" t="n"/>
      <c r="AZ135" s="67" t="n"/>
      <c r="BA135" s="67" t="n"/>
      <c r="BB135" s="67" t="n"/>
      <c r="BC135" s="67" t="n"/>
      <c r="BD135" s="67" t="n"/>
      <c r="BE135" s="67" t="n"/>
      <c r="BF135" s="67" t="n"/>
      <c r="BG135" s="67" t="n"/>
      <c r="BH135" s="67" t="n"/>
      <c r="BI135" s="67" t="n"/>
      <c r="BJ135" s="67" t="n"/>
      <c r="BK135" s="67" t="n"/>
    </row>
    <row r="136">
      <c r="A136" s="80" t="inlineStr">
        <is>
          <t>Window</t>
        </is>
      </c>
      <c r="B136" s="81" t="n"/>
      <c r="C136" s="82" t="n"/>
      <c r="D136" s="80" t="inlineStr">
        <is>
          <t>Ad spend</t>
        </is>
      </c>
      <c r="E136" s="80" t="inlineStr">
        <is>
          <t>Ad sales</t>
        </is>
      </c>
      <c r="F136" s="80" t="inlineStr">
        <is>
          <t>ACoS</t>
        </is>
      </c>
      <c r="G136" s="80" t="inlineStr">
        <is>
          <t>TACoS</t>
        </is>
      </c>
      <c r="H136" s="80" t="inlineStr">
        <is>
          <t>Total sales (derived)</t>
        </is>
      </c>
      <c r="J136" s="80" t="inlineStr">
        <is>
          <t>Ad orders</t>
        </is>
      </c>
      <c r="K136" s="80" t="inlineStr">
        <is>
          <t>CVR</t>
        </is>
      </c>
    </row>
    <row r="137">
      <c r="A137" s="83" t="inlineStr">
        <is>
          <t>Pre-event Oct 21 - Nov 19, 2025 (30d)</t>
        </is>
      </c>
      <c r="B137" s="81" t="n"/>
      <c r="C137" s="82" t="n"/>
      <c r="D137" s="84" t="n">
        <v>0</v>
      </c>
      <c r="E137" s="84" t="n">
        <v>0</v>
      </c>
      <c r="F137" s="85" t="n"/>
      <c r="G137" s="85" t="n">
        <v>0</v>
      </c>
      <c r="H137" s="84" t="n"/>
      <c r="J137" s="86" t="n">
        <v>0</v>
      </c>
      <c r="K137" s="87" t="n"/>
    </row>
    <row r="138">
      <c r="A138" s="83" t="inlineStr">
        <is>
          <t>BFCM week Nov 20 - Dec 1, 2025 (12d)</t>
        </is>
      </c>
      <c r="B138" s="81" t="n"/>
      <c r="C138" s="82" t="n"/>
      <c r="D138" s="84" t="n">
        <v>0</v>
      </c>
      <c r="E138" s="84" t="n">
        <v>0</v>
      </c>
      <c r="F138" s="85" t="n"/>
      <c r="G138" s="85" t="n">
        <v>0</v>
      </c>
      <c r="H138" s="84" t="n"/>
      <c r="J138" s="86" t="n">
        <v>0</v>
      </c>
      <c r="K138" s="87" t="n"/>
    </row>
    <row r="139">
      <c r="A139" s="83" t="inlineStr">
        <is>
          <t>December 2 - 31, 2025 (30d)</t>
        </is>
      </c>
      <c r="B139" s="81" t="n"/>
      <c r="C139" s="82" t="n"/>
      <c r="D139" s="84" t="n">
        <v>0</v>
      </c>
      <c r="E139" s="84" t="n">
        <v>0</v>
      </c>
      <c r="F139" s="85" t="n"/>
      <c r="G139" s="85" t="n">
        <v>0</v>
      </c>
      <c r="H139" s="84" t="n"/>
      <c r="J139" s="86" t="n">
        <v>0</v>
      </c>
      <c r="K139" s="87" t="n"/>
    </row>
    <row r="140"/>
    <row r="141">
      <c r="A141" s="80" t="inlineStr">
        <is>
          <t>Actual sales (account data)</t>
        </is>
      </c>
      <c r="B141" s="81" t="n"/>
      <c r="C141" s="82" t="n"/>
      <c r="D141" s="80" t="inlineStr">
        <is>
          <t>Sales</t>
        </is>
      </c>
      <c r="E141" s="80" t="inlineStr">
        <is>
          <t>Units</t>
        </is>
      </c>
      <c r="F141" s="80" t="inlineStr">
        <is>
          <t>Organic units</t>
        </is>
      </c>
      <c r="G141" s="80" t="inlineStr">
        <is>
          <t>Ad units</t>
        </is>
      </c>
      <c r="H141" s="80" t="inlineStr">
        <is>
          <t>Ad cost</t>
        </is>
      </c>
      <c r="J141" s="80" t="inlineStr">
        <is>
          <t>TACoS (actual)</t>
        </is>
      </c>
      <c r="K141" s="80" t="inlineStr">
        <is>
          <t>Sessions</t>
        </is>
      </c>
      <c r="L141" s="80" t="inlineStr">
        <is>
          <t>Unit session %</t>
        </is>
      </c>
      <c r="M141" s="80" t="inlineStr">
        <is>
          <t>Avg price</t>
        </is>
      </c>
      <c r="N141" s="80" t="inlineStr">
        <is>
          <t>Refunds</t>
        </is>
      </c>
    </row>
    <row r="142">
      <c r="A142" s="83" t="inlineStr">
        <is>
          <t>Pre-event Oct 21 - Nov 19, 2025 (30d)</t>
        </is>
      </c>
      <c r="B142" s="81" t="n"/>
      <c r="C142" s="82" t="n"/>
      <c r="D142" s="84" t="n">
        <v>165.99</v>
      </c>
      <c r="E142" s="86" t="n">
        <v>5</v>
      </c>
      <c r="F142" s="86" t="n">
        <v>5</v>
      </c>
      <c r="G142" s="86" t="n">
        <v>0</v>
      </c>
      <c r="H142" s="84" t="n">
        <v>0</v>
      </c>
      <c r="J142" s="88" t="n">
        <v>0</v>
      </c>
      <c r="K142" s="86" t="n">
        <v>127</v>
      </c>
      <c r="L142" s="88" t="n">
        <v>0.03937007874015748</v>
      </c>
      <c r="M142" s="89" t="n">
        <v>33.198</v>
      </c>
      <c r="N142" s="86" t="n">
        <v>0</v>
      </c>
    </row>
    <row r="143">
      <c r="A143" s="83" t="inlineStr">
        <is>
          <t>BFCM week Nov 20 - Dec 1, 2025 (12d)</t>
        </is>
      </c>
      <c r="B143" s="81" t="n"/>
      <c r="C143" s="82" t="n"/>
      <c r="D143" s="84" t="n">
        <v>100.59</v>
      </c>
      <c r="E143" s="86" t="n">
        <v>3</v>
      </c>
      <c r="F143" s="86" t="n">
        <v>3</v>
      </c>
      <c r="G143" s="86" t="n">
        <v>0</v>
      </c>
      <c r="H143" s="84" t="n">
        <v>0</v>
      </c>
      <c r="J143" s="88" t="n">
        <v>0</v>
      </c>
      <c r="K143" s="86" t="n">
        <v>83</v>
      </c>
      <c r="L143" s="88" t="n">
        <v>0.03614457831325301</v>
      </c>
      <c r="M143" s="89" t="n">
        <v>33.53</v>
      </c>
      <c r="N143" s="86" t="n">
        <v>1</v>
      </c>
    </row>
    <row r="144">
      <c r="A144" s="83" t="inlineStr">
        <is>
          <t>December 2 - 31, 2025 (30d)</t>
        </is>
      </c>
      <c r="B144" s="81" t="n"/>
      <c r="C144" s="82" t="n"/>
      <c r="D144" s="84" t="n">
        <v>617.92</v>
      </c>
      <c r="E144" s="86" t="n">
        <v>18</v>
      </c>
      <c r="F144" s="86" t="n">
        <v>18</v>
      </c>
      <c r="G144" s="86" t="n">
        <v>0</v>
      </c>
      <c r="H144" s="84" t="n">
        <v>0</v>
      </c>
      <c r="J144" s="88" t="n">
        <v>0</v>
      </c>
      <c r="K144" s="86" t="n">
        <v>250</v>
      </c>
      <c r="L144" s="88" t="n">
        <v>0.07199999999999999</v>
      </c>
      <c r="M144" s="89" t="n">
        <v>34.32888888888888</v>
      </c>
      <c r="N144" s="86" t="n">
        <v>1</v>
      </c>
    </row>
    <row r="145">
      <c r="A145" s="90" t="inlineStr">
        <is>
          <t>account data, Amazon parent B0F2Z7C4ST plus any of this product's child ASINs account data lists on their own, UTC days. Lift above uses these actual sales. Amazon.ca sales here are in USD: account data converts to the account currency, while the market data table above is in CAD (ratio ~0.71). Lift is a ratio, so it is unaffected.</t>
        </is>
      </c>
    </row>
    <row r="146" ht="18" customHeight="1">
      <c r="A146" s="91" t="inlineStr">
        <is>
          <t>Deals Nov 1 - Dec 5, 2025: no record returned by the deal records promotions feed. Unknown, not proof that no deal ran.</t>
        </is>
      </c>
    </row>
    <row r="147" ht="18" customHeight="1">
      <c r="A147" s="92" t="inlineStr">
        <is>
          <t>BFCM 2026 plan: Best Deal 11/19-11/30. Deal price and depth not yet given; not yet visible in Amazon's deal feed.</t>
        </is>
      </c>
    </row>
    <row r="148" ht="30" customHeight="1">
      <c r="A148" s="94" t="inlineStr">
        <is>
          <t>BFCM 2026 stock (account data, Oct 15): 1,209 units at Amazon + 114 already sent (no ETA in account data); selling 1.7 a day; need about 91 to Nov 30 with a 1.52x BFCM lift (own BFCM 2025 lift (account data)). Variations: 35 covered, 0 need the inbound in time, 3 short even with inbound (46 units), 2 out of stock now. Detail: BFCM Stock tab.</t>
        </is>
      </c>
    </row>
    <row r="149" ht="18" customHeight="1">
      <c r="A149" s="95" t="inlineStr">
        <is>
          <t>ASSUMED 2026 deal prices, until the team's final: B0DDR1ZPRZ today C$49.95; C$42.46 at 15% off (Nov 19-26) and C$39.96 at 20% off (Nov 27-30, Black Friday to Cyber Monday). Rule: team rule agreed Oct 15, 2026. Evidence: our BFCM 2025 deal on B0DDRH9RD7 (US, price history): $33.95 before, $31.41 during, 7% off; US competitors' median price cut in BFCM 2025: 6% (4 rivals). Amazon may use a lower reference price than today's (it sets it the day before the deal), which would lower the deal price.</t>
        </is>
      </c>
    </row>
    <row r="150" ht="40" customHeight="1">
      <c r="A150" s="91" t="inlineStr">
        <is>
          <t>Stock in BFCM week 2025 (FBA inventory snapshots, child-ASIN level, revision 2): 0 of 41 variations hit zero FBA stock on at least one observed day; weighted by today's sales mix that is ~0.0% of variation-days lost. Days with no snapshot (Nov 24, 29 and 30), inferred from sales that day and the readings either side: 69 of 123 variation-days in stock, 0 out of stock, 54 unknown. Inferred, not a stock reading.</t>
        </is>
      </c>
    </row>
    <row r="151">
      <c r="A151" s="90" t="inlineStr">
        <is>
          <t>Figures above are Amazon.ca in CAD. Visibility history is held for US ASINs only.</t>
        </is>
      </c>
    </row>
    <row r="152"/>
    <row r="153" ht="22" customHeight="1">
      <c r="A153" s="65" t="inlineStr">
        <is>
          <t>4 ▼</t>
        </is>
      </c>
      <c r="B153" s="66" t="inlineStr">
        <is>
          <t>COMPETITOR LANDSCAPE (15 mapped)</t>
        </is>
      </c>
      <c r="C153" s="67" t="n"/>
      <c r="D153" s="67" t="n"/>
      <c r="E153" s="67" t="n"/>
      <c r="F153" s="67" t="n"/>
      <c r="G153" s="67" t="n"/>
      <c r="H153" s="67" t="n"/>
      <c r="I153" s="67" t="n"/>
      <c r="J153" s="67" t="n"/>
      <c r="K153" s="67" t="n"/>
      <c r="L153" s="67" t="n"/>
      <c r="M153" s="67" t="n"/>
      <c r="N153" s="67" t="n"/>
      <c r="O153" s="67" t="n"/>
      <c r="P153" s="67" t="n"/>
      <c r="Q153" s="67" t="n"/>
      <c r="R153" s="67" t="n"/>
      <c r="S153" s="67" t="n"/>
      <c r="T153" s="67" t="n"/>
      <c r="U153" s="67" t="n"/>
      <c r="V153" s="67" t="n"/>
      <c r="W153" s="67" t="n"/>
      <c r="X153" s="67" t="n"/>
      <c r="Y153" s="67" t="n"/>
      <c r="Z153" s="67" t="n"/>
      <c r="AA153" s="67" t="n"/>
      <c r="AB153" s="67" t="n"/>
      <c r="AC153" s="67" t="n"/>
      <c r="AD153" s="67" t="n"/>
      <c r="AE153" s="67" t="n"/>
      <c r="AF153" s="67" t="n"/>
      <c r="AG153" s="67" t="n"/>
      <c r="AH153" s="67" t="n"/>
      <c r="AI153" s="67" t="n"/>
      <c r="AJ153" s="67" t="n"/>
      <c r="AK153" s="67" t="n"/>
      <c r="AL153" s="67" t="n"/>
      <c r="AM153" s="67" t="n"/>
      <c r="AN153" s="67" t="n"/>
      <c r="AO153" s="67" t="n"/>
      <c r="AP153" s="67" t="n"/>
      <c r="AQ153" s="67" t="n"/>
      <c r="AR153" s="67" t="n"/>
      <c r="AS153" s="67" t="n"/>
      <c r="AT153" s="67" t="n"/>
      <c r="AU153" s="67" t="n"/>
      <c r="AV153" s="67" t="n"/>
      <c r="AW153" s="67" t="n"/>
      <c r="AX153" s="67" t="n"/>
      <c r="AY153" s="67" t="n"/>
      <c r="AZ153" s="67" t="n"/>
      <c r="BA153" s="67" t="n"/>
      <c r="BB153" s="67" t="n"/>
      <c r="BC153" s="67" t="n"/>
      <c r="BD153" s="67" t="n"/>
      <c r="BE153" s="67" t="n"/>
      <c r="BF153" s="67" t="n"/>
      <c r="BG153" s="67" t="n"/>
      <c r="BH153" s="67" t="n"/>
      <c r="BI153" s="67" t="n"/>
      <c r="BJ153" s="67" t="n"/>
      <c r="BK153" s="67" t="n"/>
    </row>
    <row r="154" ht="20" customHeight="1">
      <c r="A154" s="96" t="inlineStr">
        <is>
          <t>▼▼▼</t>
        </is>
      </c>
      <c r="B154" s="97" t="inlineStr">
        <is>
          <t>COMPETITOR DATA BELOW: one row per competitor (11 direct first, then alternative material). Scroll right for listing, search, strikethrough now and BFCM 2025 history (deal type, price, discount, rank change).</t>
        </is>
      </c>
      <c r="C154" s="98" t="n"/>
      <c r="D154" s="98" t="n"/>
      <c r="E154" s="98" t="n"/>
      <c r="F154" s="98" t="n"/>
      <c r="G154" s="98" t="n"/>
      <c r="H154" s="98" t="n"/>
      <c r="I154" s="98" t="n"/>
      <c r="J154" s="98" t="n"/>
      <c r="K154" s="98" t="n"/>
      <c r="L154" s="98" t="n"/>
      <c r="M154" s="98" t="n"/>
      <c r="N154" s="98" t="n"/>
      <c r="O154" s="98" t="n"/>
      <c r="P154" s="98" t="n"/>
      <c r="Q154" s="98" t="n"/>
      <c r="R154" s="98" t="n"/>
      <c r="S154" s="98" t="n"/>
      <c r="T154" s="98" t="n"/>
      <c r="U154" s="98" t="n"/>
      <c r="V154" s="98" t="n"/>
      <c r="W154" s="98" t="n"/>
      <c r="X154" s="98" t="n"/>
      <c r="Y154" s="98" t="n"/>
      <c r="Z154" s="98" t="n"/>
      <c r="AA154" s="98" t="n"/>
      <c r="AB154" s="98" t="n"/>
      <c r="AC154" s="98" t="n"/>
      <c r="AD154" s="98" t="n"/>
      <c r="AE154" s="98" t="n"/>
      <c r="AF154" s="98" t="n"/>
      <c r="AG154" s="98" t="n"/>
      <c r="AH154" s="98" t="n"/>
      <c r="AI154" s="98" t="n"/>
      <c r="AJ154" s="98" t="n"/>
      <c r="AK154" s="98" t="n"/>
      <c r="AL154" s="98" t="n"/>
      <c r="AM154" s="98" t="n"/>
      <c r="AN154" s="98" t="n"/>
      <c r="AO154" s="98" t="n"/>
      <c r="AP154" s="98" t="n"/>
      <c r="AQ154" s="98" t="n"/>
      <c r="AR154" s="98" t="n"/>
      <c r="AS154" s="98" t="n"/>
      <c r="AT154" s="98" t="n"/>
      <c r="AU154" s="98" t="n"/>
      <c r="AV154" s="98" t="n"/>
      <c r="AW154" s="98" t="n"/>
      <c r="AX154" s="98" t="n"/>
      <c r="AY154" s="98" t="n"/>
      <c r="AZ154" s="98" t="n"/>
      <c r="BA154" s="98" t="n"/>
      <c r="BB154" s="98" t="n"/>
      <c r="BC154" s="98" t="n"/>
      <c r="BD154" s="98" t="n"/>
      <c r="BE154" s="98" t="n"/>
      <c r="BF154" s="98" t="n"/>
      <c r="BG154" s="98" t="n"/>
      <c r="BH154" s="98" t="n"/>
      <c r="BI154" s="98" t="n"/>
      <c r="BJ154" s="98" t="n"/>
      <c r="BK154" s="98" t="n"/>
    </row>
    <row r="155" ht="30" customHeight="1">
      <c r="A155"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56">
      <c r="A156" s="99" t="inlineStr">
        <is>
          <t>COMPETITOR</t>
        </is>
      </c>
      <c r="L156" s="100" t="inlineStr">
        <is>
          <t>LISTING - catalog data</t>
        </is>
      </c>
      <c r="M156" s="101" t="inlineStr">
        <is>
          <t>SEARCH STRATEGY - market data search data</t>
        </is>
      </c>
      <c r="N156" s="102" t="inlineStr">
        <is>
          <t>PRICE &amp; SALES - market data snapshot (date per row)</t>
        </is>
      </c>
      <c r="AA156" s="100" t="inlineStr">
        <is>
          <t>LISTING - catalog data</t>
        </is>
      </c>
      <c r="AD156" s="101" t="inlineStr">
        <is>
          <t>SEARCH STRATEGY - market data search data</t>
        </is>
      </c>
      <c r="AU156" s="103" t="inlineStr">
        <is>
          <t>STR NOW - Amazon page check (Oct 13, P1 + P2)</t>
        </is>
      </c>
      <c r="BB156" s="104" t="inlineStr">
        <is>
          <t>BFCM 2025 - price history (P1 filled; yellow = not pulled yet)</t>
        </is>
      </c>
    </row>
    <row r="157" ht="48" customHeight="1">
      <c r="A157" s="26" t="inlineStr">
        <is>
          <t>Image</t>
        </is>
      </c>
      <c r="B157" s="26" t="inlineStr">
        <is>
          <t>Brand</t>
        </is>
      </c>
      <c r="C157" s="26" t="inlineStr">
        <is>
          <t>Product title</t>
        </is>
      </c>
      <c r="D157" s="26" t="inlineStr">
        <is>
          <t>Tier</t>
        </is>
      </c>
      <c r="E157" s="26" t="inlineStr">
        <is>
          <t>Competitor type</t>
        </is>
      </c>
      <c r="F157" s="26" t="inlineStr">
        <is>
          <t>Material</t>
        </is>
      </c>
      <c r="G157" s="26" t="inlineStr">
        <is>
          <t>Why this type</t>
        </is>
      </c>
      <c r="H157" s="26" t="inlineStr">
        <is>
          <t>Parent ASIN</t>
        </is>
      </c>
      <c r="I157" s="26" t="inlineStr">
        <is>
          <t>Tracked child ASIN</t>
        </is>
      </c>
      <c r="J157" s="26" t="inlineStr">
        <is>
          <t>Size</t>
        </is>
      </c>
      <c r="K157" s="26" t="inlineStr">
        <is>
          <t>Colour</t>
        </is>
      </c>
      <c r="L157" s="26" t="inlineStr">
        <is>
          <t>Variations</t>
        </is>
      </c>
      <c r="M157" s="26" t="inlineStr">
        <is>
          <t>Hero child ASINs (share of their visibility)</t>
        </is>
      </c>
      <c r="N157" s="26" t="inlineStr">
        <is>
          <t>Price ($)</t>
        </is>
      </c>
      <c r="O157" s="26" t="inlineStr">
        <is>
          <t>List Price ($)</t>
        </is>
      </c>
      <c r="P157" s="26" t="inlineStr">
        <is>
          <t>List Price % over</t>
        </is>
      </c>
      <c r="Q157" s="26" t="inlineStr">
        <is>
          <t>STR band</t>
        </is>
      </c>
      <c r="R157" s="26" t="inlineStr">
        <is>
          <t>Our price, same size ($)</t>
        </is>
      </c>
      <c r="S157" s="26" t="inlineStr">
        <is>
          <t>Their price vs ours</t>
        </is>
      </c>
      <c r="T157" s="26" t="inlineStr">
        <is>
          <t>Comparison basis</t>
        </is>
      </c>
      <c r="U157" s="26" t="inlineStr">
        <is>
          <t>BSR</t>
        </is>
      </c>
      <c r="V157" s="26" t="inlineStr">
        <is>
          <t>Est weekly units</t>
        </is>
      </c>
      <c r="W157" s="26" t="inlineStr">
        <is>
          <t>Est monthly revenue ($)</t>
        </is>
      </c>
      <c r="X157" s="26" t="inlineStr">
        <is>
          <t>Rating</t>
        </is>
      </c>
      <c r="Y157" s="26" t="inlineStr">
        <is>
          <t>Reviews</t>
        </is>
      </c>
      <c r="Z157" s="26" t="inlineStr">
        <is>
          <t>Snapshot date</t>
        </is>
      </c>
      <c r="AA157" s="26" t="inlineStr">
        <is>
          <t>Listed</t>
        </is>
      </c>
      <c r="AB157" s="26" t="inlineStr">
        <is>
          <t>Fulfil.</t>
        </is>
      </c>
      <c r="AC157" s="26" t="inlineStr">
        <is>
          <t>Seller country</t>
        </is>
      </c>
      <c r="AD157" s="26" t="inlineStr">
        <is>
          <t>search data 7d traffic</t>
        </is>
      </c>
      <c r="AE157" s="26" t="inlineStr">
        <is>
          <t>Keywords ranked</t>
        </is>
      </c>
      <c r="AF157" s="26" t="inlineStr">
        <is>
          <t>Organic share of traffic</t>
        </is>
      </c>
      <c r="AG157" s="26" t="inlineStr">
        <is>
          <t>Ad share of traffic</t>
        </is>
      </c>
      <c r="AH157" s="26" t="inlineStr">
        <is>
          <t>Top keyword</t>
        </is>
      </c>
      <c r="AI157" s="26" t="inlineStr">
        <is>
          <t>SP reach</t>
        </is>
      </c>
      <c r="AJ157" s="26" t="inlineStr">
        <is>
          <t>SB reach</t>
        </is>
      </c>
      <c r="AK157" s="26" t="inlineStr">
        <is>
          <t>SB video reach</t>
        </is>
      </c>
      <c r="AL157" s="26" t="inlineStr">
        <is>
          <t>Amazon's Choice reach</t>
        </is>
      </c>
      <c r="AM157" s="26" t="inlineStr">
        <is>
          <t>Shared keywords</t>
        </is>
      </c>
      <c r="AN157" s="26" t="inlineStr">
        <is>
          <t>We win</t>
        </is>
      </c>
      <c r="AO157" s="26" t="inlineStr">
        <is>
          <t>We lose</t>
        </is>
      </c>
      <c r="AP157" s="26" t="inlineStr">
        <is>
          <t>Their keywords we miss</t>
        </is>
      </c>
      <c r="AQ157" s="26" t="inlineStr">
        <is>
          <t>KWs they advertise, we don't</t>
        </is>
      </c>
      <c r="AR157" s="26" t="inlineStr">
        <is>
          <t>KWs they out-advertise us</t>
        </is>
      </c>
      <c r="AS157" s="26" t="inlineStr">
        <is>
          <t>Prime Day 2026 organic vis lift</t>
        </is>
      </c>
      <c r="AT157" s="26" t="inlineStr">
        <is>
          <t>Organic trend (Aug-Sep vs Q2)</t>
        </is>
      </c>
      <c r="AU157" s="26" t="inlineStr">
        <is>
          <t>STR showing now? (Y/N)</t>
        </is>
      </c>
      <c r="AV157" s="26" t="inlineStr">
        <is>
          <t>STR label</t>
        </is>
      </c>
      <c r="AW157" s="26" t="inlineStr">
        <is>
          <t>Strikethrough price ($)</t>
        </is>
      </c>
      <c r="AX157" s="26" t="inlineStr">
        <is>
          <t>Page price at check ($)</t>
        </is>
      </c>
      <c r="AY157" s="26" t="inlineStr">
        <is>
          <t>Deal / coupon now</t>
        </is>
      </c>
      <c r="AZ157" s="26" t="inlineStr">
        <is>
          <t>Orderable now (Y/N)</t>
        </is>
      </c>
      <c r="BA157" s="26" t="inlineStr">
        <is>
          <t>Checked (ET)</t>
        </is>
      </c>
      <c r="BB157" s="26" t="inlineStr">
        <is>
          <t>BFCM 2025 deal type</t>
        </is>
      </c>
      <c r="BC157" s="26" t="inlineStr">
        <is>
          <t>BFCM 2025 deal dates</t>
        </is>
      </c>
      <c r="BD157" s="26" t="inlineStr">
        <is>
          <t>Pre-event price ($)</t>
        </is>
      </c>
      <c r="BE157" s="26" t="inlineStr">
        <is>
          <t>BFCM 2025 low ($)</t>
        </is>
      </c>
      <c r="BF157" s="26" t="inlineStr">
        <is>
          <t>BFCM 2025 discount</t>
        </is>
      </c>
      <c r="BG157" s="26" t="inlineStr">
        <is>
          <t>BSR pre-event</t>
        </is>
      </c>
      <c r="BH157" s="26" t="inlineStr">
        <is>
          <t>BSR BFCM wk</t>
        </is>
      </c>
      <c r="BI157" s="26" t="inlineStr">
        <is>
          <t>BSR lift (x)</t>
        </is>
      </c>
      <c r="BJ157" s="26" t="inlineStr">
        <is>
          <t>OOS in BFCM? (Y/N)</t>
        </is>
      </c>
      <c r="BK157" s="26" t="inlineStr">
        <is>
          <t>Notes</t>
        </is>
      </c>
    </row>
    <row r="158" ht="62" customHeight="1">
      <c r="A158" s="12">
        <f>_xlfn.IMAGE("https://m.media-amazon.com/images/I/71zGuoeuSrL.jpg")</f>
        <v/>
      </c>
      <c r="B158" s="105" t="inlineStr">
        <is>
          <t>MR&amp;HM</t>
        </is>
      </c>
      <c r="C158" s="39" t="inlineStr">
        <is>
          <t>MR&amp;HM Satin Sheets Queen Size with Elastic Corner Straps, Black</t>
        </is>
      </c>
      <c r="D158" s="105" t="inlineStr">
        <is>
          <t>Untiered</t>
        </is>
      </c>
      <c r="E158" s="106" t="inlineStr">
        <is>
          <t>Direct</t>
        </is>
      </c>
      <c r="F158" s="105" t="inlineStr">
        <is>
          <t>Satin (polyester)</t>
        </is>
      </c>
      <c r="G158" s="39" t="inlineStr">
        <is>
          <t>Same product (sheet set) in the same material family: Satin (polyester) (title: MR&amp;HM Satin Sheets Queen Size with Elastic Corner Straps, Bl); ours: our listing: polyester satin.</t>
        </is>
      </c>
      <c r="H158" s="107" t="inlineStr">
        <is>
          <t>B08NPFTQWB</t>
        </is>
      </c>
      <c r="I158" s="107" t="inlineStr">
        <is>
          <t>B08HM6WT6X</t>
        </is>
      </c>
      <c r="J158" s="105" t="inlineStr">
        <is>
          <t>Queen</t>
        </is>
      </c>
      <c r="K158" s="105" t="inlineStr">
        <is>
          <t>01- Black</t>
        </is>
      </c>
      <c r="L158" s="108" t="n">
        <v>182</v>
      </c>
      <c r="M158" s="39" t="n"/>
      <c r="N158" s="109" t="n">
        <v>40.99</v>
      </c>
      <c r="O158" s="109" t="n"/>
      <c r="P158" s="110">
        <f>IF(AND(ISNUMBER(O158),ISNUMBER(N158),N(N158)&gt;0),O158/N158-1,"")</f>
        <v/>
      </c>
      <c r="Q158" s="111">
        <f>IF(P158="","No List Price",IF(P158&lt;=0,"At/below price",IF(P158&lt;=0.12,"&lt;=12% STR zone",IF(P158&lt;=0.25,"12-25%","&gt;25% over"))))</f>
        <v/>
      </c>
      <c r="R158" s="109" t="n">
        <v>46.95</v>
      </c>
      <c r="S158" s="112">
        <f>IF(AND(ISNUMBER(N158),ISNUMBER(R158),N(R158)&gt;0),N158/R158-1,"")</f>
        <v/>
      </c>
      <c r="T158" s="39" t="inlineStr">
        <is>
          <t>Same size (Queen), CAD. Ours live: catalog price (CAD), 2026-10-14; 18 children</t>
        </is>
      </c>
      <c r="U158" s="108" t="n">
        <v>1512</v>
      </c>
      <c r="V158" s="108" t="n"/>
      <c r="W158" s="113">
        <f>IF(AND(ISNUMBER(N158),ISNUMBER(V158)),N158*V158*52/12,"")</f>
        <v/>
      </c>
      <c r="X158" s="114" t="n">
        <v>4.2</v>
      </c>
      <c r="Y158" s="108" t="n">
        <v>17432</v>
      </c>
      <c r="Z158" s="115" t="n">
        <v>46309</v>
      </c>
      <c r="AA158" s="115" t="n"/>
      <c r="AB158" s="105" t="n"/>
      <c r="AC158" s="105" t="n"/>
      <c r="AD158" s="108" t="n"/>
      <c r="AE158" s="108" t="n"/>
      <c r="AF158" s="116" t="n"/>
      <c r="AG158" s="116" t="n"/>
      <c r="AH158" s="39" t="n"/>
      <c r="AI158" s="116" t="n"/>
      <c r="AJ158" s="116" t="n"/>
      <c r="AK158" s="116" t="n"/>
      <c r="AL158" s="116" t="n"/>
      <c r="AM158" s="108" t="n"/>
      <c r="AN158" s="108" t="n"/>
      <c r="AO158" s="108" t="n"/>
      <c r="AP158" s="108" t="n"/>
      <c r="AQ158" s="108" t="n"/>
      <c r="AR158" s="108" t="n"/>
      <c r="AS158" s="117" t="n"/>
      <c r="AT158" s="112" t="n"/>
      <c r="AU158" s="118" t="inlineStr">
        <is>
          <t>Y</t>
        </is>
      </c>
      <c r="AV158" s="118" t="inlineStr">
        <is>
          <t>Was price</t>
        </is>
      </c>
      <c r="AW158" s="119" t="n">
        <v>46.99</v>
      </c>
      <c r="AX158" s="119" t="n">
        <v>40.99</v>
      </c>
      <c r="AY158" s="118" t="inlineStr">
        <is>
          <t>none</t>
        </is>
      </c>
      <c r="AZ158" s="118" t="inlineStr">
        <is>
          <t>Y</t>
        </is>
      </c>
      <c r="BA158" s="118" t="inlineStr">
        <is>
          <t>2026-10-14 00:30:54</t>
        </is>
      </c>
      <c r="BB158" s="120" t="inlineStr">
        <is>
          <t>None</t>
        </is>
      </c>
      <c r="BC158" s="125" t="n"/>
      <c r="BD158" s="121" t="n">
        <v>39.99</v>
      </c>
      <c r="BE158" s="121" t="n">
        <v>38.39</v>
      </c>
      <c r="BF158" s="110">
        <f>IF(AND(ISNUMBER(BD158),ISNUMBER(BE158),N(BD158)&gt;0),1-BE158/BD158,"")</f>
        <v/>
      </c>
      <c r="BG158" s="122" t="n">
        <v>1684</v>
      </c>
      <c r="BH158" s="122" t="n">
        <v>985</v>
      </c>
      <c r="BI158" s="123">
        <f>IF(AND(ISNUMBER(BG158),ISNUMBER(BH158),N(BH158)&gt;0),BG158/BH158,"")</f>
        <v/>
      </c>
      <c r="BJ158" s="120" t="inlineStr">
        <is>
          <t>N</t>
        </is>
      </c>
      <c r="BK158" s="120" t="inlineStr">
        <is>
          <t>Amazon.ca organic #2 for 'satin sheets queen'; 100% Polyester Satin; 100+ bought in past month bought past month; Reused DC S4 competitor observation, no separate search. variation_count = distinct children exposed in page variation map, not a guaranteed complete catalogue. price history: Prime Exclusive 11-01 to 12-05; Lightning Deal 11-14 to 11-14; Prime Exclusive already running before BFCM week; List Price C$47.99</t>
        </is>
      </c>
    </row>
    <row r="159" ht="62" customHeight="1">
      <c r="A159" s="12">
        <f>_xlfn.IMAGE("https://m.media-amazon.com/images/I/71zxqUjprTL.jpg")</f>
        <v/>
      </c>
      <c r="B159" s="105" t="inlineStr">
        <is>
          <t>BEDELITE</t>
        </is>
      </c>
      <c r="C159" s="39" t="inlineStr">
        <is>
          <t>BEDELITE Satin Sheets Queen Size Bed Set, Black, 4 Pieces</t>
        </is>
      </c>
      <c r="D159" s="105" t="inlineStr">
        <is>
          <t>Untiered</t>
        </is>
      </c>
      <c r="E159" s="106" t="inlineStr">
        <is>
          <t>Direct</t>
        </is>
      </c>
      <c r="F159" s="105" t="inlineStr">
        <is>
          <t>Satin (polyester)</t>
        </is>
      </c>
      <c r="G159" s="39" t="inlineStr">
        <is>
          <t>Same product (sheet set) in the same material family: Satin (polyester) (title: BEDELITE Satin Sheets Queen Size Bed Set, Black, 4 Pieces); ours: our listing: polyester satin.</t>
        </is>
      </c>
      <c r="H159" s="107" t="inlineStr">
        <is>
          <t>B0GJC51929</t>
        </is>
      </c>
      <c r="I159" s="107" t="inlineStr">
        <is>
          <t>B0GJCBX6CJ</t>
        </is>
      </c>
      <c r="J159" s="105" t="inlineStr">
        <is>
          <t>Queen</t>
        </is>
      </c>
      <c r="K159" s="105" t="inlineStr">
        <is>
          <t>Black</t>
        </is>
      </c>
      <c r="L159" s="108" t="n">
        <v>16</v>
      </c>
      <c r="M159" s="39" t="n"/>
      <c r="N159" s="109" t="n">
        <v>31.99</v>
      </c>
      <c r="O159" s="109" t="n"/>
      <c r="P159" s="110">
        <f>IF(AND(ISNUMBER(O159),ISNUMBER(N159),N(N159)&gt;0),O159/N159-1,"")</f>
        <v/>
      </c>
      <c r="Q159" s="111">
        <f>IF(P159="","No List Price",IF(P159&lt;=0,"At/below price",IF(P159&lt;=0.12,"&lt;=12% STR zone",IF(P159&lt;=0.25,"12-25%","&gt;25% over"))))</f>
        <v/>
      </c>
      <c r="R159" s="109" t="n">
        <v>46.95</v>
      </c>
      <c r="S159" s="112">
        <f>IF(AND(ISNUMBER(N159),ISNUMBER(R159),N(R159)&gt;0),N159/R159-1,"")</f>
        <v/>
      </c>
      <c r="T159" s="39" t="inlineStr">
        <is>
          <t>Same size (Queen), CAD. Ours live: catalog price (CAD), 2026-10-14; 18 children</t>
        </is>
      </c>
      <c r="U159" s="108" t="n">
        <v>8328</v>
      </c>
      <c r="V159" s="108" t="n"/>
      <c r="W159" s="113">
        <f>IF(AND(ISNUMBER(N159),ISNUMBER(V159)),N159*V159*52/12,"")</f>
        <v/>
      </c>
      <c r="X159" s="114" t="n">
        <v>4.1</v>
      </c>
      <c r="Y159" s="108" t="n">
        <v>346</v>
      </c>
      <c r="Z159" s="115" t="n">
        <v>46309</v>
      </c>
      <c r="AA159" s="115" t="n"/>
      <c r="AB159" s="105" t="n"/>
      <c r="AC159" s="105" t="n"/>
      <c r="AD159" s="108" t="n"/>
      <c r="AE159" s="108" t="n"/>
      <c r="AF159" s="116" t="n"/>
      <c r="AG159" s="116" t="n"/>
      <c r="AH159" s="39" t="n"/>
      <c r="AI159" s="116" t="n"/>
      <c r="AJ159" s="116" t="n"/>
      <c r="AK159" s="116" t="n"/>
      <c r="AL159" s="116" t="n"/>
      <c r="AM159" s="108" t="n"/>
      <c r="AN159" s="108" t="n"/>
      <c r="AO159" s="108" t="n"/>
      <c r="AP159" s="108" t="n"/>
      <c r="AQ159" s="108" t="n"/>
      <c r="AR159" s="108" t="n"/>
      <c r="AS159" s="117" t="n"/>
      <c r="AT159" s="112" t="n"/>
      <c r="AU159" s="118" t="inlineStr">
        <is>
          <t>Y</t>
        </is>
      </c>
      <c r="AV159" s="118" t="inlineStr">
        <is>
          <t>Was price</t>
        </is>
      </c>
      <c r="AW159" s="119" t="n">
        <v>37.99</v>
      </c>
      <c r="AX159" s="119" t="n">
        <v>31.99</v>
      </c>
      <c r="AY159" s="118" t="inlineStr">
        <is>
          <t>none</t>
        </is>
      </c>
      <c r="AZ159" s="118" t="inlineStr">
        <is>
          <t>Y</t>
        </is>
      </c>
      <c r="BA159" s="118" t="inlineStr">
        <is>
          <t>2026-10-14 00:31:18</t>
        </is>
      </c>
      <c r="BB159" s="120" t="inlineStr">
        <is>
          <t>Not live in 2025</t>
        </is>
      </c>
      <c r="BC159" s="125" t="n"/>
      <c r="BD159" s="124" t="n"/>
      <c r="BE159" s="124" t="n"/>
      <c r="BF159" s="110">
        <f>IF(AND(ISNUMBER(BD159),ISNUMBER(BE159),N(BD159)&gt;0),1-BE159/BD159,"")</f>
        <v/>
      </c>
      <c r="BG159" s="126" t="n"/>
      <c r="BH159" s="126" t="n"/>
      <c r="BI159" s="123">
        <f>IF(AND(ISNUMBER(BG159),ISNUMBER(BH159),N(BH159)&gt;0),BG159/BH159,"")</f>
        <v/>
      </c>
      <c r="BJ159" s="125" t="n"/>
      <c r="BK159" s="120" t="inlineStr">
        <is>
          <t>Amazon.ca organic #3 for 'satin sheets queen'; 100% Polyester Satin; 100+ bought in past month bought past month; Reused DC S4 competitor observation, no separate search. variation_count = distinct children exposed in page variation map, not a guaranteed complete catalogue.</t>
        </is>
      </c>
    </row>
    <row r="160" ht="62" customHeight="1">
      <c r="A160" s="12">
        <f>_xlfn.IMAGE("https://m.media-amazon.com/images/I/71C0hMb9zSL.jpg")</f>
        <v/>
      </c>
      <c r="B160" s="105" t="inlineStr">
        <is>
          <t>HENGWEITEXT</t>
        </is>
      </c>
      <c r="C160" s="39" t="inlineStr">
        <is>
          <t>HENGWEI Satin Sheet Set Queen Size, 4 Pieces Silky Bed Sheets with Deep Pocket, Luxury Soft Bedding Set Breathable and Cooling for Hair and Skin, 1 Flat Sheet, 1 Fitted Sheet, 2 Pillow Case</t>
        </is>
      </c>
      <c r="D160" s="105" t="inlineStr">
        <is>
          <t>Untiered</t>
        </is>
      </c>
      <c r="E160" s="106" t="inlineStr">
        <is>
          <t>Direct</t>
        </is>
      </c>
      <c r="F160" s="105" t="inlineStr">
        <is>
          <t>Satin (polyester)</t>
        </is>
      </c>
      <c r="G160" s="39" t="inlineStr">
        <is>
          <t>Same product (sheet set) in the same material family: Satin (polyester) (title: HENGWEI Satin Sheet Set Queen Size, 4 Pieces Silky Bed Sheet); ours: our listing: polyester satin.</t>
        </is>
      </c>
      <c r="H160" s="107" t="inlineStr">
        <is>
          <t>B0B1DDMNRF</t>
        </is>
      </c>
      <c r="I160" s="107" t="inlineStr">
        <is>
          <t>B0BYC3HK7X</t>
        </is>
      </c>
      <c r="J160" s="105" t="inlineStr">
        <is>
          <t>Queen</t>
        </is>
      </c>
      <c r="K160" s="105" t="inlineStr">
        <is>
          <t>Sd-brown</t>
        </is>
      </c>
      <c r="L160" s="108" t="n">
        <v>23</v>
      </c>
      <c r="M160" s="39" t="n"/>
      <c r="N160" s="109" t="n">
        <v>31.99</v>
      </c>
      <c r="O160" s="109" t="n"/>
      <c r="P160" s="110">
        <f>IF(AND(ISNUMBER(O160),ISNUMBER(N160),N(N160)&gt;0),O160/N160-1,"")</f>
        <v/>
      </c>
      <c r="Q160" s="111">
        <f>IF(P160="","No List Price",IF(P160&lt;=0,"At/below price",IF(P160&lt;=0.12,"&lt;=12% STR zone",IF(P160&lt;=0.25,"12-25%","&gt;25% over"))))</f>
        <v/>
      </c>
      <c r="R160" s="109" t="n">
        <v>46.95</v>
      </c>
      <c r="S160" s="112">
        <f>IF(AND(ISNUMBER(N160),ISNUMBER(R160),N(R160)&gt;0),N160/R160-1,"")</f>
        <v/>
      </c>
      <c r="T160" s="39" t="inlineStr">
        <is>
          <t>Same size (Queen), CAD. Ours live: catalog price (CAD), 2026-10-14; 18 children</t>
        </is>
      </c>
      <c r="U160" s="108" t="n">
        <v>31358</v>
      </c>
      <c r="V160" s="108" t="n"/>
      <c r="W160" s="113">
        <f>IF(AND(ISNUMBER(N160),ISNUMBER(V160)),N160*V160*52/12,"")</f>
        <v/>
      </c>
      <c r="X160" s="114" t="n">
        <v>4.2</v>
      </c>
      <c r="Y160" s="108" t="n">
        <v>2515</v>
      </c>
      <c r="Z160" s="115" t="n">
        <v>46309</v>
      </c>
      <c r="AA160" s="115" t="n"/>
      <c r="AB160" s="105" t="n"/>
      <c r="AC160" s="105" t="n"/>
      <c r="AD160" s="108" t="n"/>
      <c r="AE160" s="108" t="n"/>
      <c r="AF160" s="116" t="n"/>
      <c r="AG160" s="116" t="n"/>
      <c r="AH160" s="39" t="n"/>
      <c r="AI160" s="116" t="n"/>
      <c r="AJ160" s="116" t="n"/>
      <c r="AK160" s="116" t="n"/>
      <c r="AL160" s="116" t="n"/>
      <c r="AM160" s="108" t="n"/>
      <c r="AN160" s="108" t="n"/>
      <c r="AO160" s="108" t="n"/>
      <c r="AP160" s="108" t="n"/>
      <c r="AQ160" s="108" t="n"/>
      <c r="AR160" s="108" t="n"/>
      <c r="AS160" s="117" t="n"/>
      <c r="AT160" s="112" t="n"/>
      <c r="AU160" s="118" t="inlineStr">
        <is>
          <t>N</t>
        </is>
      </c>
      <c r="AV160" s="118" t="inlineStr">
        <is>
          <t>none</t>
        </is>
      </c>
      <c r="AW160" s="124" t="n"/>
      <c r="AX160" s="119" t="n">
        <v>31.99</v>
      </c>
      <c r="AY160" s="118" t="inlineStr">
        <is>
          <t>none</t>
        </is>
      </c>
      <c r="AZ160" s="118" t="inlineStr">
        <is>
          <t>Y</t>
        </is>
      </c>
      <c r="BA160" s="118" t="inlineStr">
        <is>
          <t>2026-10-14 00:33:00</t>
        </is>
      </c>
      <c r="BB160" s="120" t="inlineStr">
        <is>
          <t>Coupon only</t>
        </is>
      </c>
      <c r="BC160" s="120" t="inlineStr">
        <is>
          <t>11-01 to 12-05</t>
        </is>
      </c>
      <c r="BD160" s="124" t="n"/>
      <c r="BE160" s="124" t="n"/>
      <c r="BF160" s="110">
        <f>IF(AND(ISNUMBER(BD160),ISNUMBER(BE160),N(BD160)&gt;0),1-BE160/BD160,"")</f>
        <v/>
      </c>
      <c r="BG160" s="122" t="n">
        <v>14375</v>
      </c>
      <c r="BH160" s="122" t="n">
        <v>14375</v>
      </c>
      <c r="BI160" s="123">
        <f>IF(AND(ISNUMBER(BG160),ISNUMBER(BH160),N(BH160)&gt;0),BG160/BH160,"")</f>
        <v/>
      </c>
      <c r="BJ160" s="120" t="inlineStr">
        <is>
          <t>Y</t>
        </is>
      </c>
      <c r="BK160" s="120" t="inlineStr">
        <is>
          <t>Amazon.ca organic #5 for 'silk satin sheets'; Satin; Reused DC S4 competitor observation, no separate search. Search child B0BYCB7QDF; selected Queen child B0BYC3HK7X. variation_count = distinct children exposed i price history: Coupon 20%</t>
        </is>
      </c>
    </row>
    <row r="161" ht="62" customHeight="1">
      <c r="A161" s="12">
        <f>_xlfn.IMAGE("https://m.media-amazon.com/images/I/71r48b+Sh9L.jpg")</f>
        <v/>
      </c>
      <c r="B161" s="105" t="inlineStr">
        <is>
          <t>GOLAL</t>
        </is>
      </c>
      <c r="C161" s="39" t="inlineStr">
        <is>
          <t>Black Satin Sheets Queen Size - 4 Pieces Luxury Silky Soft Bed Sheets</t>
        </is>
      </c>
      <c r="D161" s="105" t="inlineStr">
        <is>
          <t>Untiered</t>
        </is>
      </c>
      <c r="E161" s="106" t="inlineStr">
        <is>
          <t>Direct</t>
        </is>
      </c>
      <c r="F161" s="105" t="inlineStr">
        <is>
          <t>Satin (polyester)</t>
        </is>
      </c>
      <c r="G161" s="39" t="inlineStr">
        <is>
          <t>Same product (sheet set) in the same material family: Satin (polyester) (title: Black Satin Sheets Queen Size - 4 Pieces Luxury Silky Soft B); ours: our listing: polyester satin.</t>
        </is>
      </c>
      <c r="H161" s="107" t="inlineStr">
        <is>
          <t>B09JB7K1PP</t>
        </is>
      </c>
      <c r="I161" s="107" t="inlineStr">
        <is>
          <t>B09G17XZC5</t>
        </is>
      </c>
      <c r="J161" s="105" t="inlineStr">
        <is>
          <t>Queen</t>
        </is>
      </c>
      <c r="K161" s="105" t="inlineStr">
        <is>
          <t>Black</t>
        </is>
      </c>
      <c r="L161" s="108" t="n">
        <v>91</v>
      </c>
      <c r="M161" s="39" t="n"/>
      <c r="N161" s="109" t="n">
        <v>47.99</v>
      </c>
      <c r="O161" s="109" t="n"/>
      <c r="P161" s="110">
        <f>IF(AND(ISNUMBER(O161),ISNUMBER(N161),N(N161)&gt;0),O161/N161-1,"")</f>
        <v/>
      </c>
      <c r="Q161" s="111">
        <f>IF(P161="","No List Price",IF(P161&lt;=0,"At/below price",IF(P161&lt;=0.12,"&lt;=12% STR zone",IF(P161&lt;=0.25,"12-25%","&gt;25% over"))))</f>
        <v/>
      </c>
      <c r="R161" s="109" t="n">
        <v>46.95</v>
      </c>
      <c r="S161" s="112">
        <f>IF(AND(ISNUMBER(N161),ISNUMBER(R161),N(R161)&gt;0),N161/R161-1,"")</f>
        <v/>
      </c>
      <c r="T161" s="39" t="inlineStr">
        <is>
          <t>Same size (Queen), CAD. Ours live: catalog price (CAD), 2026-10-14; 18 children</t>
        </is>
      </c>
      <c r="U161" s="108" t="n">
        <v>18076</v>
      </c>
      <c r="V161" s="108" t="n"/>
      <c r="W161" s="113">
        <f>IF(AND(ISNUMBER(N161),ISNUMBER(V161)),N161*V161*52/12,"")</f>
        <v/>
      </c>
      <c r="X161" s="114" t="n">
        <v>4.2</v>
      </c>
      <c r="Y161" s="108" t="n">
        <v>1280</v>
      </c>
      <c r="Z161" s="115" t="n">
        <v>46309</v>
      </c>
      <c r="AA161" s="115" t="n"/>
      <c r="AB161" s="105" t="n"/>
      <c r="AC161" s="105" t="n"/>
      <c r="AD161" s="108" t="n"/>
      <c r="AE161" s="108" t="n"/>
      <c r="AF161" s="116" t="n"/>
      <c r="AG161" s="116" t="n"/>
      <c r="AH161" s="39" t="n"/>
      <c r="AI161" s="116" t="n"/>
      <c r="AJ161" s="116" t="n"/>
      <c r="AK161" s="116" t="n"/>
      <c r="AL161" s="116" t="n"/>
      <c r="AM161" s="108" t="n"/>
      <c r="AN161" s="108" t="n"/>
      <c r="AO161" s="108" t="n"/>
      <c r="AP161" s="108" t="n"/>
      <c r="AQ161" s="108" t="n"/>
      <c r="AR161" s="108" t="n"/>
      <c r="AS161" s="117" t="n"/>
      <c r="AT161" s="112" t="n"/>
      <c r="AU161" s="118" t="inlineStr">
        <is>
          <t>N</t>
        </is>
      </c>
      <c r="AV161" s="118" t="inlineStr">
        <is>
          <t>none</t>
        </is>
      </c>
      <c r="AW161" s="124" t="n"/>
      <c r="AX161" s="119" t="n">
        <v>47.99</v>
      </c>
      <c r="AY161" s="118" t="inlineStr">
        <is>
          <t>none</t>
        </is>
      </c>
      <c r="AZ161" s="118" t="inlineStr">
        <is>
          <t>Y</t>
        </is>
      </c>
      <c r="BA161" s="118" t="inlineStr">
        <is>
          <t>2026-10-14 00:40:07</t>
        </is>
      </c>
      <c r="BB161" s="120" t="inlineStr">
        <is>
          <t>Prime Exclusive Discount</t>
        </is>
      </c>
      <c r="BC161" s="120" t="inlineStr">
        <is>
          <t>11-20 to 11-20</t>
        </is>
      </c>
      <c r="BD161" s="121" t="n">
        <v>47.99</v>
      </c>
      <c r="BE161" s="121" t="n">
        <v>34.55</v>
      </c>
      <c r="BF161" s="110">
        <f>IF(AND(ISNUMBER(BD161),ISNUMBER(BE161),N(BD161)&gt;0),1-BE161/BD161,"")</f>
        <v/>
      </c>
      <c r="BG161" s="122" t="n">
        <v>5247</v>
      </c>
      <c r="BH161" s="122" t="n">
        <v>5996</v>
      </c>
      <c r="BI161" s="123">
        <f>IF(AND(ISNUMBER(BG161),ISNUMBER(BH161),N(BH161)&gt;0),BG161/BH161,"")</f>
        <v/>
      </c>
      <c r="BJ161" s="120" t="inlineStr">
        <is>
          <t>N</t>
        </is>
      </c>
      <c r="BK161" s="120" t="inlineStr">
        <is>
          <t>Amazon.ca organic #7 for 'silk satin sheets'; 100% polyester; Reused DC S4 competitor observation, no separate search. Exact standard Queen sheet/set option selected; pillowcase-only, short-Queen, multipack and different-p price history: List Price C$51.99</t>
        </is>
      </c>
    </row>
    <row r="162" ht="62" customHeight="1">
      <c r="A162" s="12">
        <f>_xlfn.IMAGE("https://m.media-amazon.com/images/I/71ujt2CgaQL.jpg")</f>
        <v/>
      </c>
      <c r="B162" s="105" t="inlineStr">
        <is>
          <t>BEDELITE</t>
        </is>
      </c>
      <c r="C162" s="39" t="inlineStr">
        <is>
          <t>BEDELITE Satin Sheets Queen Size Bed Set, Black, 4 Pieces</t>
        </is>
      </c>
      <c r="D162" s="105" t="inlineStr">
        <is>
          <t>Untiered</t>
        </is>
      </c>
      <c r="E162" s="106" t="inlineStr">
        <is>
          <t>Direct</t>
        </is>
      </c>
      <c r="F162" s="105" t="inlineStr">
        <is>
          <t>Satin (polyester)</t>
        </is>
      </c>
      <c r="G162" s="39" t="inlineStr">
        <is>
          <t>Same product (sheet set) in the same material family: Satin (polyester) (title: BEDELITE Satin Sheets Queen Size Bed Set, Black, 4 Pieces); ours: our listing: polyester satin.</t>
        </is>
      </c>
      <c r="H162" s="107" t="inlineStr">
        <is>
          <t>B0HHQTDM9B</t>
        </is>
      </c>
      <c r="I162" s="107" t="inlineStr">
        <is>
          <t>B0CSFTRP2X</t>
        </is>
      </c>
      <c r="J162" s="105" t="inlineStr">
        <is>
          <t>Queen</t>
        </is>
      </c>
      <c r="K162" s="105" t="inlineStr">
        <is>
          <t>Black</t>
        </is>
      </c>
      <c r="L162" s="108" t="n">
        <v>100</v>
      </c>
      <c r="M162" s="39" t="n"/>
      <c r="N162" s="109" t="n">
        <v>44.96</v>
      </c>
      <c r="O162" s="109" t="n"/>
      <c r="P162" s="110">
        <f>IF(AND(ISNUMBER(O162),ISNUMBER(N162),N(N162)&gt;0),O162/N162-1,"")</f>
        <v/>
      </c>
      <c r="Q162" s="111">
        <f>IF(P162="","No List Price",IF(P162&lt;=0,"At/below price",IF(P162&lt;=0.12,"&lt;=12% STR zone",IF(P162&lt;=0.25,"12-25%","&gt;25% over"))))</f>
        <v/>
      </c>
      <c r="R162" s="109" t="n">
        <v>46.95</v>
      </c>
      <c r="S162" s="112">
        <f>IF(AND(ISNUMBER(N162),ISNUMBER(R162),N(R162)&gt;0),N162/R162-1,"")</f>
        <v/>
      </c>
      <c r="T162" s="39" t="inlineStr">
        <is>
          <t>Same size (Queen), CAD. Ours live: catalog price (CAD), 2026-10-14; 18 children</t>
        </is>
      </c>
      <c r="U162" s="108" t="n">
        <v>128960</v>
      </c>
      <c r="V162" s="108" t="n"/>
      <c r="W162" s="113">
        <f>IF(AND(ISNUMBER(N162),ISNUMBER(V162)),N162*V162*52/12,"")</f>
        <v/>
      </c>
      <c r="X162" s="114" t="n">
        <v>4.4</v>
      </c>
      <c r="Y162" s="108" t="n">
        <v>5584</v>
      </c>
      <c r="Z162" s="115" t="n">
        <v>46309</v>
      </c>
      <c r="AA162" s="115" t="n"/>
      <c r="AB162" s="105" t="n"/>
      <c r="AC162" s="105" t="n"/>
      <c r="AD162" s="108" t="n"/>
      <c r="AE162" s="108" t="n"/>
      <c r="AF162" s="116" t="n"/>
      <c r="AG162" s="116" t="n"/>
      <c r="AH162" s="39" t="n"/>
      <c r="AI162" s="116" t="n"/>
      <c r="AJ162" s="116" t="n"/>
      <c r="AK162" s="116" t="n"/>
      <c r="AL162" s="116" t="n"/>
      <c r="AM162" s="108" t="n"/>
      <c r="AN162" s="108" t="n"/>
      <c r="AO162" s="108" t="n"/>
      <c r="AP162" s="108" t="n"/>
      <c r="AQ162" s="108" t="n"/>
      <c r="AR162" s="108" t="n"/>
      <c r="AS162" s="117" t="n"/>
      <c r="AT162" s="112" t="n"/>
      <c r="AU162" s="118" t="inlineStr">
        <is>
          <t>N</t>
        </is>
      </c>
      <c r="AV162" s="118" t="inlineStr">
        <is>
          <t>none</t>
        </is>
      </c>
      <c r="AW162" s="124" t="n"/>
      <c r="AX162" s="119" t="n">
        <v>44.96</v>
      </c>
      <c r="AY162" s="118" t="inlineStr">
        <is>
          <t>none</t>
        </is>
      </c>
      <c r="AZ162" s="118" t="inlineStr">
        <is>
          <t>Y</t>
        </is>
      </c>
      <c r="BA162" s="118" t="inlineStr">
        <is>
          <t>2026-10-14 00:35:12</t>
        </is>
      </c>
      <c r="BB162" s="120" t="inlineStr">
        <is>
          <t>Price cut only</t>
        </is>
      </c>
      <c r="BC162" s="120" t="inlineStr">
        <is>
          <t>12-01 to 12-01</t>
        </is>
      </c>
      <c r="BD162" s="121" t="n">
        <v>73.48</v>
      </c>
      <c r="BE162" s="121" t="n">
        <v>60.16</v>
      </c>
      <c r="BF162" s="110">
        <f>IF(AND(ISNUMBER(BD162),ISNUMBER(BE162),N(BD162)&gt;0),1-BE162/BD162,"")</f>
        <v/>
      </c>
      <c r="BG162" s="122" t="n">
        <v>173105</v>
      </c>
      <c r="BH162" s="122" t="n">
        <v>221814</v>
      </c>
      <c r="BI162" s="123">
        <f>IF(AND(ISNUMBER(BG162),ISNUMBER(BH162),N(BH162)&gt;0),BG162/BH162,"")</f>
        <v/>
      </c>
      <c r="BJ162" s="120" t="inlineStr">
        <is>
          <t>N</t>
        </is>
      </c>
      <c r="BK162" s="120" t="inlineStr">
        <is>
          <t>Amazon.ca organic #13 for 'satin sheets queen'; 100% Polyester Satin; Reused DC S4 competitor observation, no separate search. variation_count = distinct children exposed in page variation map, not a guaranteed complete catalogue.</t>
        </is>
      </c>
    </row>
    <row r="163" ht="62" customHeight="1">
      <c r="A163" s="12">
        <f>_xlfn.IMAGE("https://m.media-amazon.com/images/I/81zLU1W0e8L.jpg")</f>
        <v/>
      </c>
      <c r="B163" s="105" t="inlineStr">
        <is>
          <t>Pure Bedding</t>
        </is>
      </c>
      <c r="C163" s="39" t="inlineStr">
        <is>
          <t>Pure Bedding Satin Sheets Queen [4-Piece, Black] Hotel Luxury Silky Bed Sheets - Extra Soft 1800 Microfiber Sheet Set, Wrinkle, Fade, Deep Pocket Fitted Sheet, Flat Sheet, Pillow Cases</t>
        </is>
      </c>
      <c r="D163" s="105" t="inlineStr">
        <is>
          <t>Untiered</t>
        </is>
      </c>
      <c r="E163" s="106" t="inlineStr">
        <is>
          <t>Direct</t>
        </is>
      </c>
      <c r="F163" s="105" t="inlineStr">
        <is>
          <t>Satin (polyester)</t>
        </is>
      </c>
      <c r="G163" s="39" t="inlineStr">
        <is>
          <t>Same product (sheet set) in the same material family: Satin (polyester) (title: Pure Bedding Satin Sheets Queen [4-Piece, Black] Hotel Luxur); ours: our listing: polyester satin.</t>
        </is>
      </c>
      <c r="H163" s="107" t="inlineStr">
        <is>
          <t>B07N6326HL</t>
        </is>
      </c>
      <c r="I163" s="107" t="inlineStr">
        <is>
          <t>B083G81VSH</t>
        </is>
      </c>
      <c r="J163" s="105" t="inlineStr">
        <is>
          <t>Queen</t>
        </is>
      </c>
      <c r="K163" s="105" t="inlineStr">
        <is>
          <t>Black</t>
        </is>
      </c>
      <c r="L163" s="108" t="n">
        <v>83</v>
      </c>
      <c r="M163" s="39" t="n"/>
      <c r="N163" s="109" t="n">
        <v>49.91</v>
      </c>
      <c r="O163" s="109" t="n"/>
      <c r="P163" s="110">
        <f>IF(AND(ISNUMBER(O163),ISNUMBER(N163),N(N163)&gt;0),O163/N163-1,"")</f>
        <v/>
      </c>
      <c r="Q163" s="111">
        <f>IF(P163="","No List Price",IF(P163&lt;=0,"At/below price",IF(P163&lt;=0.12,"&lt;=12% STR zone",IF(P163&lt;=0.25,"12-25%","&gt;25% over"))))</f>
        <v/>
      </c>
      <c r="R163" s="109" t="n">
        <v>46.95</v>
      </c>
      <c r="S163" s="112">
        <f>IF(AND(ISNUMBER(N163),ISNUMBER(R163),N(R163)&gt;0),N163/R163-1,"")</f>
        <v/>
      </c>
      <c r="T163" s="39" t="inlineStr">
        <is>
          <t>Same size (Queen), CAD. Ours live: catalog price (CAD), 2026-10-14; 18 children</t>
        </is>
      </c>
      <c r="U163" s="108" t="n">
        <v>188067</v>
      </c>
      <c r="V163" s="108" t="n"/>
      <c r="W163" s="113">
        <f>IF(AND(ISNUMBER(N163),ISNUMBER(V163)),N163*V163*52/12,"")</f>
        <v/>
      </c>
      <c r="X163" s="114" t="n">
        <v>4.2</v>
      </c>
      <c r="Y163" s="108" t="n">
        <v>12410</v>
      </c>
      <c r="Z163" s="115" t="n">
        <v>46309</v>
      </c>
      <c r="AA163" s="115" t="n"/>
      <c r="AB163" s="105" t="n"/>
      <c r="AC163" s="105" t="n"/>
      <c r="AD163" s="108" t="n"/>
      <c r="AE163" s="108" t="n"/>
      <c r="AF163" s="116" t="n"/>
      <c r="AG163" s="116" t="n"/>
      <c r="AH163" s="39" t="n"/>
      <c r="AI163" s="116" t="n"/>
      <c r="AJ163" s="116" t="n"/>
      <c r="AK163" s="116" t="n"/>
      <c r="AL163" s="116" t="n"/>
      <c r="AM163" s="108" t="n"/>
      <c r="AN163" s="108" t="n"/>
      <c r="AO163" s="108" t="n"/>
      <c r="AP163" s="108" t="n"/>
      <c r="AQ163" s="108" t="n"/>
      <c r="AR163" s="108" t="n"/>
      <c r="AS163" s="117" t="n"/>
      <c r="AT163" s="112" t="n"/>
      <c r="AU163" s="118" t="inlineStr">
        <is>
          <t>N</t>
        </is>
      </c>
      <c r="AV163" s="118" t="inlineStr">
        <is>
          <t>none</t>
        </is>
      </c>
      <c r="AW163" s="124" t="n"/>
      <c r="AX163" s="119" t="n">
        <v>49.91</v>
      </c>
      <c r="AY163" s="118" t="inlineStr">
        <is>
          <t>none</t>
        </is>
      </c>
      <c r="AZ163" s="118" t="inlineStr">
        <is>
          <t>Y</t>
        </is>
      </c>
      <c r="BA163" s="118" t="inlineStr">
        <is>
          <t>2026-10-14 00:35:19</t>
        </is>
      </c>
      <c r="BB163" s="120" t="inlineStr">
        <is>
          <t>Price cut only</t>
        </is>
      </c>
      <c r="BC163" s="120" t="inlineStr">
        <is>
          <t>11-20 to 11-25</t>
        </is>
      </c>
      <c r="BD163" s="121" t="n">
        <v>83.61</v>
      </c>
      <c r="BE163" s="121" t="n">
        <v>45.19</v>
      </c>
      <c r="BF163" s="110">
        <f>IF(AND(ISNUMBER(BD163),ISNUMBER(BE163),N(BD163)&gt;0),1-BE163/BD163,"")</f>
        <v/>
      </c>
      <c r="BG163" s="122" t="n">
        <v>33132</v>
      </c>
      <c r="BH163" s="122" t="n">
        <v>36310</v>
      </c>
      <c r="BI163" s="123">
        <f>IF(AND(ISNUMBER(BG163),ISNUMBER(BH163),N(BH163)&gt;0),BG163/BH163,"")</f>
        <v/>
      </c>
      <c r="BJ163" s="120" t="inlineStr">
        <is>
          <t>N</t>
        </is>
      </c>
      <c r="BK163" s="120" t="inlineStr">
        <is>
          <t>Amazon.ca organic #14 for 'silk satin sheets'; 100% Microfiber; Reused DC S4 competitor observation, no separate search. variation_count = distinct children exposed in page variation map, not a guaranteed complete catalogue. price history: List Price C$49.99</t>
        </is>
      </c>
    </row>
    <row r="164" ht="62" customHeight="1">
      <c r="A164" s="12">
        <f>_xlfn.IMAGE("https://m.media-amazon.com/images/I/51r1auLPSDL.jpg")</f>
        <v/>
      </c>
      <c r="B164" s="105" t="inlineStr">
        <is>
          <t>Laura Ashley</t>
        </is>
      </c>
      <c r="C164" s="39" t="inlineStr">
        <is>
          <t>Laura Ashley - Queen Sheet Set, 100% Soft &amp; Silky Smooth Satin Bed Sheets, Deep Pockets, Bedding with Matching Fitted Sheet &amp; Pillowcases (Bliss Pink)</t>
        </is>
      </c>
      <c r="D164" s="105" t="inlineStr">
        <is>
          <t>Untiered</t>
        </is>
      </c>
      <c r="E164" s="106" t="inlineStr">
        <is>
          <t>Direct</t>
        </is>
      </c>
      <c r="F164" s="105" t="inlineStr">
        <is>
          <t>Satin (polyester)</t>
        </is>
      </c>
      <c r="G164" s="39" t="inlineStr">
        <is>
          <t>Same product (sheet set) in the same material family: Satin (polyester) (title: Laura Ashley - Queen Sheet Set, 100% Soft &amp; Silky Smooth Sat); ours: our listing: polyester satin.</t>
        </is>
      </c>
      <c r="H164" s="107" t="inlineStr">
        <is>
          <t>B0G3QQZTY9</t>
        </is>
      </c>
      <c r="I164" s="107" t="inlineStr">
        <is>
          <t>B0G3C5G8FR</t>
        </is>
      </c>
      <c r="J164" s="105" t="inlineStr">
        <is>
          <t>Queen</t>
        </is>
      </c>
      <c r="K164" s="105" t="inlineStr">
        <is>
          <t>Bliss Pink</t>
        </is>
      </c>
      <c r="L164" s="108" t="n">
        <v>8</v>
      </c>
      <c r="M164" s="39" t="n"/>
      <c r="N164" s="109" t="n">
        <v>48.67</v>
      </c>
      <c r="O164" s="109" t="n"/>
      <c r="P164" s="110">
        <f>IF(AND(ISNUMBER(O164),ISNUMBER(N164),N(N164)&gt;0),O164/N164-1,"")</f>
        <v/>
      </c>
      <c r="Q164" s="111">
        <f>IF(P164="","No List Price",IF(P164&lt;=0,"At/below price",IF(P164&lt;=0.12,"&lt;=12% STR zone",IF(P164&lt;=0.25,"12-25%","&gt;25% over"))))</f>
        <v/>
      </c>
      <c r="R164" s="109" t="n">
        <v>46.95</v>
      </c>
      <c r="S164" s="112">
        <f>IF(AND(ISNUMBER(N164),ISNUMBER(R164),N(R164)&gt;0),N164/R164-1,"")</f>
        <v/>
      </c>
      <c r="T164" s="39" t="inlineStr">
        <is>
          <t>Same size (Queen), CAD. Ours live: catalog price (CAD), 2026-10-14; 18 children</t>
        </is>
      </c>
      <c r="U164" s="108" t="n">
        <v>329859</v>
      </c>
      <c r="V164" s="108" t="n"/>
      <c r="W164" s="113">
        <f>IF(AND(ISNUMBER(N164),ISNUMBER(V164)),N164*V164*52/12,"")</f>
        <v/>
      </c>
      <c r="X164" s="114" t="n">
        <v>4.3</v>
      </c>
      <c r="Y164" s="108" t="n">
        <v>13</v>
      </c>
      <c r="Z164" s="115" t="n">
        <v>46309</v>
      </c>
      <c r="AA164" s="115" t="n"/>
      <c r="AB164" s="105" t="n"/>
      <c r="AC164" s="105" t="n"/>
      <c r="AD164" s="108" t="n"/>
      <c r="AE164" s="108" t="n"/>
      <c r="AF164" s="116" t="n"/>
      <c r="AG164" s="116" t="n"/>
      <c r="AH164" s="39" t="n"/>
      <c r="AI164" s="116" t="n"/>
      <c r="AJ164" s="116" t="n"/>
      <c r="AK164" s="116" t="n"/>
      <c r="AL164" s="116" t="n"/>
      <c r="AM164" s="108" t="n"/>
      <c r="AN164" s="108" t="n"/>
      <c r="AO164" s="108" t="n"/>
      <c r="AP164" s="108" t="n"/>
      <c r="AQ164" s="108" t="n"/>
      <c r="AR164" s="108" t="n"/>
      <c r="AS164" s="117" t="n"/>
      <c r="AT164" s="112" t="n"/>
      <c r="AU164" s="118" t="inlineStr">
        <is>
          <t>N</t>
        </is>
      </c>
      <c r="AV164" s="118" t="inlineStr">
        <is>
          <t>none</t>
        </is>
      </c>
      <c r="AW164" s="124" t="n"/>
      <c r="AX164" s="119" t="n">
        <v>48.67</v>
      </c>
      <c r="AY164" s="118" t="inlineStr">
        <is>
          <t>none</t>
        </is>
      </c>
      <c r="AZ164" s="118" t="inlineStr">
        <is>
          <t>Y</t>
        </is>
      </c>
      <c r="BA164" s="118" t="inlineStr">
        <is>
          <t>2026-10-14 00:35:30</t>
        </is>
      </c>
      <c r="BB164" s="120" t="inlineStr">
        <is>
          <t>Not live in 2025</t>
        </is>
      </c>
      <c r="BC164" s="125" t="n"/>
      <c r="BD164" s="124" t="n"/>
      <c r="BE164" s="124" t="n"/>
      <c r="BF164" s="110">
        <f>IF(AND(ISNUMBER(BD164),ISNUMBER(BE164),N(BD164)&gt;0),1-BE164/BD164,"")</f>
        <v/>
      </c>
      <c r="BG164" s="126" t="n"/>
      <c r="BH164" s="126" t="n"/>
      <c r="BI164" s="123">
        <f>IF(AND(ISNUMBER(BG164),ISNUMBER(BH164),N(BH164)&gt;0),BG164/BH164,"")</f>
        <v/>
      </c>
      <c r="BJ164" s="125" t="n"/>
      <c r="BK164" s="120" t="inlineStr">
        <is>
          <t>Amazon.ca organic #16 for 'satin sheets queen'; 100% Polyester; Reused DC S4 competitor observation, no separate search. variation_count = distinct children exposed in page variation map, not a guaranteed complete catalogue.</t>
        </is>
      </c>
    </row>
    <row r="165" ht="62" customHeight="1">
      <c r="A165" s="12">
        <f>_xlfn.IMAGE("https://m.media-amazon.com/images/I/81zLU1W0e8L.jpg")</f>
        <v/>
      </c>
      <c r="B165" s="105" t="inlineStr">
        <is>
          <t>Pure Bedding</t>
        </is>
      </c>
      <c r="C165" s="39" t="inlineStr">
        <is>
          <t>Satin Sheets Queen [4-Piece, Black] Hotel Luxury Silky Bed Sheets - Extra Soft 1800 Microfiber Sheet Set, Wrinkle, Fade, Stain Resistant - Deep Pocket Fitted Sheet, Flat Sheet, Pillow Cases</t>
        </is>
      </c>
      <c r="D165" s="105" t="inlineStr">
        <is>
          <t>Untiered</t>
        </is>
      </c>
      <c r="E165" s="106" t="inlineStr">
        <is>
          <t>Direct</t>
        </is>
      </c>
      <c r="F165" s="105" t="inlineStr">
        <is>
          <t>Satin (polyester)</t>
        </is>
      </c>
      <c r="G165" s="39" t="inlineStr">
        <is>
          <t>Same product (sheet set) in the same material family: Satin (polyester) (title: Satin Sheets Queen [4-Piece, Black] Hotel Luxury Silky Bed S); ours: our listing: polyester satin.</t>
        </is>
      </c>
      <c r="H165" s="107" t="inlineStr">
        <is>
          <t>B0FMPR6QQ3</t>
        </is>
      </c>
      <c r="I165" s="107" t="inlineStr">
        <is>
          <t>B0FVJG1KD3</t>
        </is>
      </c>
      <c r="J165" s="105" t="inlineStr">
        <is>
          <t>Queen</t>
        </is>
      </c>
      <c r="K165" s="105" t="inlineStr">
        <is>
          <t>Black-01</t>
        </is>
      </c>
      <c r="L165" s="108" t="n">
        <v>1</v>
      </c>
      <c r="M165" s="39" t="n"/>
      <c r="N165" s="109" t="n">
        <v>32.4</v>
      </c>
      <c r="O165" s="109" t="n"/>
      <c r="P165" s="110">
        <f>IF(AND(ISNUMBER(O165),ISNUMBER(N165),N(N165)&gt;0),O165/N165-1,"")</f>
        <v/>
      </c>
      <c r="Q165" s="111">
        <f>IF(P165="","No List Price",IF(P165&lt;=0,"At/below price",IF(P165&lt;=0.12,"&lt;=12% STR zone",IF(P165&lt;=0.25,"12-25%","&gt;25% over"))))</f>
        <v/>
      </c>
      <c r="R165" s="109" t="n">
        <v>46.95</v>
      </c>
      <c r="S165" s="112">
        <f>IF(AND(ISNUMBER(N165),ISNUMBER(R165),N(R165)&gt;0),N165/R165-1,"")</f>
        <v/>
      </c>
      <c r="T165" s="39" t="inlineStr">
        <is>
          <t>Same size (Queen), CAD. Ours live: catalog price (CAD), 2026-10-14; 18 children</t>
        </is>
      </c>
      <c r="U165" s="108" t="n">
        <v>887952</v>
      </c>
      <c r="V165" s="108" t="n"/>
      <c r="W165" s="113">
        <f>IF(AND(ISNUMBER(N165),ISNUMBER(V165)),N165*V165*52/12,"")</f>
        <v/>
      </c>
      <c r="X165" s="114" t="n">
        <v>4.2</v>
      </c>
      <c r="Y165" s="108" t="n">
        <v>41</v>
      </c>
      <c r="Z165" s="115" t="n">
        <v>46309</v>
      </c>
      <c r="AA165" s="115" t="n"/>
      <c r="AB165" s="105" t="n"/>
      <c r="AC165" s="105" t="n"/>
      <c r="AD165" s="108" t="n"/>
      <c r="AE165" s="108" t="n"/>
      <c r="AF165" s="116" t="n"/>
      <c r="AG165" s="116" t="n"/>
      <c r="AH165" s="39" t="n"/>
      <c r="AI165" s="116" t="n"/>
      <c r="AJ165" s="116" t="n"/>
      <c r="AK165" s="116" t="n"/>
      <c r="AL165" s="116" t="n"/>
      <c r="AM165" s="108" t="n"/>
      <c r="AN165" s="108" t="n"/>
      <c r="AO165" s="108" t="n"/>
      <c r="AP165" s="108" t="n"/>
      <c r="AQ165" s="108" t="n"/>
      <c r="AR165" s="108" t="n"/>
      <c r="AS165" s="117" t="n"/>
      <c r="AT165" s="112" t="n"/>
      <c r="AU165" s="118" t="inlineStr">
        <is>
          <t>N</t>
        </is>
      </c>
      <c r="AV165" s="118" t="inlineStr">
        <is>
          <t>none</t>
        </is>
      </c>
      <c r="AW165" s="124" t="n"/>
      <c r="AX165" s="119" t="n">
        <v>32.4</v>
      </c>
      <c r="AY165" s="118" t="inlineStr">
        <is>
          <t>none</t>
        </is>
      </c>
      <c r="AZ165" s="118" t="inlineStr">
        <is>
          <t>Y</t>
        </is>
      </c>
      <c r="BA165" s="118" t="inlineStr">
        <is>
          <t>2026-10-14 00:36:14</t>
        </is>
      </c>
      <c r="BB165" s="125" t="n"/>
      <c r="BC165" s="125" t="n"/>
      <c r="BD165" s="124" t="n"/>
      <c r="BE165" s="124" t="n"/>
      <c r="BF165" s="110">
        <f>IF(AND(ISNUMBER(BD165),ISNUMBER(BE165),N(BD165)&gt;0),1-BE165/BD165,"")</f>
        <v/>
      </c>
      <c r="BG165" s="126" t="n"/>
      <c r="BH165" s="126" t="n"/>
      <c r="BI165" s="123">
        <f>IF(AND(ISNUMBER(BG165),ISNUMBER(BH165),N(BH165)&gt;0),BG165/BH165,"")</f>
        <v/>
      </c>
      <c r="BJ165" s="125" t="n"/>
      <c r="BK165" s="120" t="inlineStr">
        <is>
          <t>Amazon.ca organic #22 for 'satin sheets queen'; 100% Microfiber; Reused DC S4 competitor observation, no separate search. variation_count = distinct children exposed in page variation map, not a guaranteed complete catalogue. price history: No Buy Box history in price history for BFCM 2025</t>
        </is>
      </c>
    </row>
    <row r="166" ht="62" customHeight="1">
      <c r="A166" s="12">
        <f>_xlfn.IMAGE("https://m.media-amazon.com/images/I/81ogMf3izDL.jpg")</f>
        <v/>
      </c>
      <c r="B166" s="105" t="inlineStr">
        <is>
          <t>Lirex</t>
        </is>
      </c>
      <c r="C166" s="39" t="inlineStr">
        <is>
          <t>Lirex Satin Sheets Queen Size Bed Set, 4 Piece Sheet Set with 14" Deep Pocket, Luxury Smooth &amp; Soft Microfiber, Includes 1 Fitted Sheet, 1 Flat Sheet and 2 Pillowcases, Blue Daisy</t>
        </is>
      </c>
      <c r="D166" s="105" t="inlineStr">
        <is>
          <t>Untiered</t>
        </is>
      </c>
      <c r="E166" s="106" t="inlineStr">
        <is>
          <t>Direct</t>
        </is>
      </c>
      <c r="F166" s="105" t="inlineStr">
        <is>
          <t>Satin (polyester)</t>
        </is>
      </c>
      <c r="G166" s="39" t="inlineStr">
        <is>
          <t>Same product (sheet set) in the same material family: Satin (polyester) (title: Lirex Satin Sheets Queen Size Bed Set, 4 Piece Sheet Set wit); ours: our listing: polyester satin.</t>
        </is>
      </c>
      <c r="H166" s="107" t="inlineStr">
        <is>
          <t>B0GWPG1CXG</t>
        </is>
      </c>
      <c r="I166" s="107" t="inlineStr">
        <is>
          <t>B0GWPMHSL9</t>
        </is>
      </c>
      <c r="J166" s="105" t="inlineStr">
        <is>
          <t>Queen</t>
        </is>
      </c>
      <c r="K166" s="105" t="inlineStr">
        <is>
          <t>Blue Daisy</t>
        </is>
      </c>
      <c r="L166" s="108" t="n">
        <v>14</v>
      </c>
      <c r="M166" s="39" t="n"/>
      <c r="N166" s="109" t="n">
        <v>49.99</v>
      </c>
      <c r="O166" s="109" t="n"/>
      <c r="P166" s="110">
        <f>IF(AND(ISNUMBER(O166),ISNUMBER(N166),N(N166)&gt;0),O166/N166-1,"")</f>
        <v/>
      </c>
      <c r="Q166" s="111">
        <f>IF(P166="","No List Price",IF(P166&lt;=0,"At/below price",IF(P166&lt;=0.12,"&lt;=12% STR zone",IF(P166&lt;=0.25,"12-25%","&gt;25% over"))))</f>
        <v/>
      </c>
      <c r="R166" s="109" t="n">
        <v>46.95</v>
      </c>
      <c r="S166" s="112">
        <f>IF(AND(ISNUMBER(N166),ISNUMBER(R166),N(R166)&gt;0),N166/R166-1,"")</f>
        <v/>
      </c>
      <c r="T166" s="39" t="inlineStr">
        <is>
          <t>Same size (Queen), CAD. Ours live: catalog price (CAD), 2026-10-14; 18 children</t>
        </is>
      </c>
      <c r="U166" s="108" t="n">
        <v>96864</v>
      </c>
      <c r="V166" s="108" t="n"/>
      <c r="W166" s="113">
        <f>IF(AND(ISNUMBER(N166),ISNUMBER(V166)),N166*V166*52/12,"")</f>
        <v/>
      </c>
      <c r="X166" s="114" t="n">
        <v>4.6</v>
      </c>
      <c r="Y166" s="108" t="n">
        <v>4</v>
      </c>
      <c r="Z166" s="115" t="n">
        <v>46309</v>
      </c>
      <c r="AA166" s="115" t="n"/>
      <c r="AB166" s="105" t="n"/>
      <c r="AC166" s="105" t="n"/>
      <c r="AD166" s="108" t="n"/>
      <c r="AE166" s="108" t="n"/>
      <c r="AF166" s="116" t="n"/>
      <c r="AG166" s="116" t="n"/>
      <c r="AH166" s="39" t="n"/>
      <c r="AI166" s="116" t="n"/>
      <c r="AJ166" s="116" t="n"/>
      <c r="AK166" s="116" t="n"/>
      <c r="AL166" s="116" t="n"/>
      <c r="AM166" s="108" t="n"/>
      <c r="AN166" s="108" t="n"/>
      <c r="AO166" s="108" t="n"/>
      <c r="AP166" s="108" t="n"/>
      <c r="AQ166" s="108" t="n"/>
      <c r="AR166" s="108" t="n"/>
      <c r="AS166" s="117" t="n"/>
      <c r="AT166" s="112" t="n"/>
      <c r="AU166" s="118" t="inlineStr">
        <is>
          <t>N</t>
        </is>
      </c>
      <c r="AV166" s="118" t="inlineStr">
        <is>
          <t>none</t>
        </is>
      </c>
      <c r="AW166" s="124" t="n"/>
      <c r="AX166" s="119" t="n">
        <v>49.99</v>
      </c>
      <c r="AY166" s="118" t="inlineStr">
        <is>
          <t>none</t>
        </is>
      </c>
      <c r="AZ166" s="118" t="inlineStr">
        <is>
          <t>Y</t>
        </is>
      </c>
      <c r="BA166" s="118" t="inlineStr">
        <is>
          <t>2026-10-14 00:36:17</t>
        </is>
      </c>
      <c r="BB166" s="120" t="inlineStr">
        <is>
          <t>Not live in 2025</t>
        </is>
      </c>
      <c r="BC166" s="125" t="n"/>
      <c r="BD166" s="124" t="n"/>
      <c r="BE166" s="124" t="n"/>
      <c r="BF166" s="110">
        <f>IF(AND(ISNUMBER(BD166),ISNUMBER(BE166),N(BD166)&gt;0),1-BE166/BD166,"")</f>
        <v/>
      </c>
      <c r="BG166" s="126" t="n"/>
      <c r="BH166" s="126" t="n"/>
      <c r="BI166" s="123">
        <f>IF(AND(ISNUMBER(BG166),ISNUMBER(BH166),N(BH166)&gt;0),BG166/BH166,"")</f>
        <v/>
      </c>
      <c r="BJ166" s="125" t="n"/>
      <c r="BK166" s="120" t="inlineStr">
        <is>
          <t>Amazon.ca organic #22 for 'satin sheets king'; Polyester; Reused DC S4 competitor observation, no separate search. Search child B0GWPTWBQL; selected Queen child B0GWPMHSL9. variation_count = distinct children exposed i</t>
        </is>
      </c>
    </row>
    <row r="167" ht="62" customHeight="1">
      <c r="A167" s="12">
        <f>_xlfn.IMAGE("https://m.media-amazon.com/images/I/8192od9R6kL.jpg")</f>
        <v/>
      </c>
      <c r="B167" s="105" t="inlineStr">
        <is>
          <t>Martex</t>
        </is>
      </c>
      <c r="C167" s="39" t="inlineStr">
        <is>
          <t>4-Piece Martex Elegance Satin Sheets | Queen Size Bed Sheets | Luxury Hotel Quality Bed Sheets Set | Satin Sheets | Silky Soft &amp; Smooth | Great for Hair &amp; Skin | Leopard Print Sheets | Leopard</t>
        </is>
      </c>
      <c r="D167" s="105" t="inlineStr">
        <is>
          <t>Untiered</t>
        </is>
      </c>
      <c r="E167" s="106" t="inlineStr">
        <is>
          <t>Direct</t>
        </is>
      </c>
      <c r="F167" s="105" t="inlineStr">
        <is>
          <t>Satin (polyester)</t>
        </is>
      </c>
      <c r="G167" s="39" t="inlineStr">
        <is>
          <t>Same product (sheet set) in the same material family: Satin (polyester) (title: 4-Piece Martex Elegance Satin Sheets | Queen Size Bed Sheets); ours: our listing: polyester satin.</t>
        </is>
      </c>
      <c r="H167" s="107" t="inlineStr">
        <is>
          <t>B07XTX3G7J</t>
        </is>
      </c>
      <c r="I167" s="107" t="inlineStr">
        <is>
          <t>B07X5DPMJ9</t>
        </is>
      </c>
      <c r="J167" s="105" t="inlineStr">
        <is>
          <t>Queen</t>
        </is>
      </c>
      <c r="K167" s="105" t="inlineStr">
        <is>
          <t>Brown</t>
        </is>
      </c>
      <c r="L167" s="108" t="n">
        <v>28</v>
      </c>
      <c r="M167" s="39" t="n"/>
      <c r="N167" s="109" t="n">
        <v>46.45</v>
      </c>
      <c r="O167" s="109" t="n"/>
      <c r="P167" s="110">
        <f>IF(AND(ISNUMBER(O167),ISNUMBER(N167),N(N167)&gt;0),O167/N167-1,"")</f>
        <v/>
      </c>
      <c r="Q167" s="111">
        <f>IF(P167="","No List Price",IF(P167&lt;=0,"At/below price",IF(P167&lt;=0.12,"&lt;=12% STR zone",IF(P167&lt;=0.25,"12-25%","&gt;25% over"))))</f>
        <v/>
      </c>
      <c r="R167" s="109" t="n">
        <v>46.95</v>
      </c>
      <c r="S167" s="112">
        <f>IF(AND(ISNUMBER(N167),ISNUMBER(R167),N(R167)&gt;0),N167/R167-1,"")</f>
        <v/>
      </c>
      <c r="T167" s="39" t="inlineStr">
        <is>
          <t>Same size (Queen), CAD. Ours live: catalog price (CAD), 2026-10-14; 18 children</t>
        </is>
      </c>
      <c r="U167" s="108" t="n">
        <v>56349</v>
      </c>
      <c r="V167" s="108" t="n"/>
      <c r="W167" s="113">
        <f>IF(AND(ISNUMBER(N167),ISNUMBER(V167)),N167*V167*52/12,"")</f>
        <v/>
      </c>
      <c r="X167" s="114" t="n">
        <v>4.2</v>
      </c>
      <c r="Y167" s="108" t="n">
        <v>1078</v>
      </c>
      <c r="Z167" s="115" t="n">
        <v>46309</v>
      </c>
      <c r="AA167" s="115" t="n"/>
      <c r="AB167" s="105" t="n"/>
      <c r="AC167" s="105" t="n"/>
      <c r="AD167" s="108" t="n"/>
      <c r="AE167" s="108" t="n"/>
      <c r="AF167" s="116" t="n"/>
      <c r="AG167" s="116" t="n"/>
      <c r="AH167" s="39" t="n"/>
      <c r="AI167" s="116" t="n"/>
      <c r="AJ167" s="116" t="n"/>
      <c r="AK167" s="116" t="n"/>
      <c r="AL167" s="116" t="n"/>
      <c r="AM167" s="108" t="n"/>
      <c r="AN167" s="108" t="n"/>
      <c r="AO167" s="108" t="n"/>
      <c r="AP167" s="108" t="n"/>
      <c r="AQ167" s="108" t="n"/>
      <c r="AR167" s="108" t="n"/>
      <c r="AS167" s="117" t="n"/>
      <c r="AT167" s="112" t="n"/>
      <c r="AU167" s="118" t="inlineStr">
        <is>
          <t>N</t>
        </is>
      </c>
      <c r="AV167" s="118" t="inlineStr">
        <is>
          <t>none</t>
        </is>
      </c>
      <c r="AW167" s="124" t="n"/>
      <c r="AX167" s="119" t="n">
        <v>46.45</v>
      </c>
      <c r="AY167" s="118" t="inlineStr">
        <is>
          <t>none</t>
        </is>
      </c>
      <c r="AZ167" s="118" t="inlineStr">
        <is>
          <t>Y</t>
        </is>
      </c>
      <c r="BA167" s="118" t="inlineStr">
        <is>
          <t>2026-10-14 00:36:33</t>
        </is>
      </c>
      <c r="BB167" s="120" t="inlineStr">
        <is>
          <t>None</t>
        </is>
      </c>
      <c r="BC167" s="125" t="n"/>
      <c r="BD167" s="121" t="n">
        <v>44.76</v>
      </c>
      <c r="BE167" s="121" t="n">
        <v>44.65</v>
      </c>
      <c r="BF167" s="110">
        <f>IF(AND(ISNUMBER(BD167),ISNUMBER(BE167),N(BD167)&gt;0),1-BE167/BD167,"")</f>
        <v/>
      </c>
      <c r="BG167" s="122" t="n">
        <v>75340</v>
      </c>
      <c r="BH167" s="122" t="n">
        <v>59351</v>
      </c>
      <c r="BI167" s="123">
        <f>IF(AND(ISNUMBER(BG167),ISNUMBER(BH167),N(BH167)&gt;0),BG167/BH167,"")</f>
        <v/>
      </c>
      <c r="BJ167" s="120" t="inlineStr">
        <is>
          <t>N</t>
        </is>
      </c>
      <c r="BK167" s="120" t="inlineStr">
        <is>
          <t>Amazon.ca organic #24 for 'satin sheets queen'; 100% Polyester; Reused DC S4 competitor observation, no separate search. variation_count = distinct children exposed in page variation map, not a guaranteed complete catalogue.</t>
        </is>
      </c>
    </row>
    <row r="168" ht="62" customHeight="1">
      <c r="A168" s="12">
        <f>_xlfn.IMAGE("https://m.media-amazon.com/images/I/71jFV5g+prL.jpg")</f>
        <v/>
      </c>
      <c r="B168" s="105" t="inlineStr">
        <is>
          <t>Beatrice Home Fashions</t>
        </is>
      </c>
      <c r="C168" s="39" t="inlineStr">
        <is>
          <t>Elite Home Products 100% Luxury Satin Polyester Solid Sheet Set, Queen, Leopard</t>
        </is>
      </c>
      <c r="D168" s="105" t="inlineStr">
        <is>
          <t>Untiered</t>
        </is>
      </c>
      <c r="E168" s="106" t="inlineStr">
        <is>
          <t>Direct</t>
        </is>
      </c>
      <c r="F168" s="105" t="inlineStr">
        <is>
          <t>Satin (polyester)</t>
        </is>
      </c>
      <c r="G168" s="39" t="inlineStr">
        <is>
          <t>Same product (sheet set) in the same material family: Satin (polyester) (title: Elite Home Products 100% Luxury Satin Polyester Solid Sheet ); ours: our listing: polyester satin.</t>
        </is>
      </c>
      <c r="H168" s="107" t="inlineStr">
        <is>
          <t>B077NL4NZK</t>
        </is>
      </c>
      <c r="I168" s="107" t="inlineStr">
        <is>
          <t>B0721C4SD3</t>
        </is>
      </c>
      <c r="J168" s="105" t="inlineStr">
        <is>
          <t>Queen</t>
        </is>
      </c>
      <c r="K168" s="105" t="inlineStr">
        <is>
          <t>Leopard</t>
        </is>
      </c>
      <c r="L168" s="108" t="n">
        <v>9</v>
      </c>
      <c r="M168" s="39" t="n"/>
      <c r="N168" s="109" t="n">
        <v>42.49</v>
      </c>
      <c r="O168" s="109" t="n"/>
      <c r="P168" s="110">
        <f>IF(AND(ISNUMBER(O168),ISNUMBER(N168),N(N168)&gt;0),O168/N168-1,"")</f>
        <v/>
      </c>
      <c r="Q168" s="111">
        <f>IF(P168="","No List Price",IF(P168&lt;=0,"At/below price",IF(P168&lt;=0.12,"&lt;=12% STR zone",IF(P168&lt;=0.25,"12-25%","&gt;25% over"))))</f>
        <v/>
      </c>
      <c r="R168" s="109" t="n">
        <v>46.95</v>
      </c>
      <c r="S168" s="112">
        <f>IF(AND(ISNUMBER(N168),ISNUMBER(R168),N(R168)&gt;0),N168/R168-1,"")</f>
        <v/>
      </c>
      <c r="T168" s="39" t="inlineStr">
        <is>
          <t>Same size (Queen), CAD. Ours live: catalog price (CAD), 2026-10-14; 18 children</t>
        </is>
      </c>
      <c r="U168" s="108" t="n">
        <v>387847</v>
      </c>
      <c r="V168" s="108" t="n"/>
      <c r="W168" s="113">
        <f>IF(AND(ISNUMBER(N168),ISNUMBER(V168)),N168*V168*52/12,"")</f>
        <v/>
      </c>
      <c r="X168" s="114" t="n">
        <v>4</v>
      </c>
      <c r="Y168" s="108" t="n">
        <v>996</v>
      </c>
      <c r="Z168" s="115" t="n">
        <v>46309</v>
      </c>
      <c r="AA168" s="115" t="n"/>
      <c r="AB168" s="105" t="n"/>
      <c r="AC168" s="105" t="n"/>
      <c r="AD168" s="108" t="n"/>
      <c r="AE168" s="108" t="n"/>
      <c r="AF168" s="116" t="n"/>
      <c r="AG168" s="116" t="n"/>
      <c r="AH168" s="39" t="n"/>
      <c r="AI168" s="116" t="n"/>
      <c r="AJ168" s="116" t="n"/>
      <c r="AK168" s="116" t="n"/>
      <c r="AL168" s="116" t="n"/>
      <c r="AM168" s="108" t="n"/>
      <c r="AN168" s="108" t="n"/>
      <c r="AO168" s="108" t="n"/>
      <c r="AP168" s="108" t="n"/>
      <c r="AQ168" s="108" t="n"/>
      <c r="AR168" s="108" t="n"/>
      <c r="AS168" s="117" t="n"/>
      <c r="AT168" s="112" t="n"/>
      <c r="AU168" s="118" t="inlineStr">
        <is>
          <t>Y</t>
        </is>
      </c>
      <c r="AV168" s="118" t="inlineStr">
        <is>
          <t>Was price</t>
        </is>
      </c>
      <c r="AW168" s="119" t="n">
        <v>47.95</v>
      </c>
      <c r="AX168" s="119" t="n">
        <v>42.49</v>
      </c>
      <c r="AY168" s="118" t="inlineStr">
        <is>
          <t>none</t>
        </is>
      </c>
      <c r="AZ168" s="118" t="inlineStr">
        <is>
          <t>Y</t>
        </is>
      </c>
      <c r="BA168" s="118" t="inlineStr">
        <is>
          <t>2026-10-14 00:36:30</t>
        </is>
      </c>
      <c r="BB168" s="125" t="n"/>
      <c r="BC168" s="125" t="n"/>
      <c r="BD168" s="124" t="n"/>
      <c r="BE168" s="124" t="n"/>
      <c r="BF168" s="110">
        <f>IF(AND(ISNUMBER(BD168),ISNUMBER(BE168),N(BD168)&gt;0),1-BE168/BD168,"")</f>
        <v/>
      </c>
      <c r="BG168" s="122" t="n">
        <v>304968</v>
      </c>
      <c r="BH168" s="122" t="n">
        <v>304968</v>
      </c>
      <c r="BI168" s="123">
        <f>IF(AND(ISNUMBER(BG168),ISNUMBER(BH168),N(BH168)&gt;0),BG168/BH168,"")</f>
        <v/>
      </c>
      <c r="BJ168" s="120" t="inlineStr">
        <is>
          <t>Y</t>
        </is>
      </c>
      <c r="BK168" s="120" t="inlineStr">
        <is>
          <t>Amazon.ca organic #24 for 'satin sheets king'; 100% Polyester; Reused DC S4 competitor observation, no separate search. Search child B072K5TZVP; selected Queen child B0721C4SD3. variation_count = distinct children exposed i price history: No Buy Box history in price history for BFCM 2025</t>
        </is>
      </c>
    </row>
    <row r="169" ht="62" customHeight="1">
      <c r="A169" s="12">
        <f>_xlfn.IMAGE("https://m.media-amazon.com/images/I/71MADUOjsFL.jpg")</f>
        <v/>
      </c>
      <c r="B169" s="105" t="inlineStr">
        <is>
          <t>Sasttie</t>
        </is>
      </c>
      <c r="C169" s="39" t="inlineStr">
        <is>
          <t>Sasttie Satin Sheets Queen - 4 Pieces Luxury Soft Black Silky Bed Sheets Set with Pillowcases - Smooth Silk-Like Drap Satin Fabric, Reinforced 14 Inches Pocket, Oeko-Tex Certified</t>
        </is>
      </c>
      <c r="D169" s="105" t="inlineStr">
        <is>
          <t>Untiered</t>
        </is>
      </c>
      <c r="E169" s="128" t="inlineStr">
        <is>
          <t>Alternative material</t>
        </is>
      </c>
      <c r="F169" s="105" t="inlineStr">
        <is>
          <t>Silk</t>
        </is>
      </c>
      <c r="G169" s="39" t="inlineStr">
        <is>
          <t>Sheet set in Silk (title: Sasttie Satin Sheets Queen - 4 Pieces Luxury Soft Black Silk); ours is Satin (polyester) (our listing: polyester satin). Shopper may cross-shop, but not like-for-like.</t>
        </is>
      </c>
      <c r="H169" s="107" t="inlineStr">
        <is>
          <t>B0F2HNJ52T</t>
        </is>
      </c>
      <c r="I169" s="107" t="inlineStr">
        <is>
          <t>B0F2H8LPB3</t>
        </is>
      </c>
      <c r="J169" s="105" t="inlineStr">
        <is>
          <t>Queen</t>
        </is>
      </c>
      <c r="K169" s="105" t="inlineStr">
        <is>
          <t>Black</t>
        </is>
      </c>
      <c r="L169" s="108" t="n">
        <v>83</v>
      </c>
      <c r="M169" s="39" t="n"/>
      <c r="N169" s="109" t="n">
        <v>31.99</v>
      </c>
      <c r="O169" s="109" t="n"/>
      <c r="P169" s="110">
        <f>IF(AND(ISNUMBER(O169),ISNUMBER(N169),N(N169)&gt;0),O169/N169-1,"")</f>
        <v/>
      </c>
      <c r="Q169" s="111">
        <f>IF(P169="","No List Price",IF(P169&lt;=0,"At/below price",IF(P169&lt;=0.12,"&lt;=12% STR zone",IF(P169&lt;=0.25,"12-25%","&gt;25% over"))))</f>
        <v/>
      </c>
      <c r="R169" s="109" t="n">
        <v>46.95</v>
      </c>
      <c r="S169" s="112">
        <f>IF(AND(ISNUMBER(N169),ISNUMBER(R169),N(R169)&gt;0),N169/R169-1,"")</f>
        <v/>
      </c>
      <c r="T169" s="39" t="inlineStr">
        <is>
          <t>Same size (Queen), CAD. Ours live: catalog price (CAD), 2026-10-14; 18 children</t>
        </is>
      </c>
      <c r="U169" s="108" t="n">
        <v>1428</v>
      </c>
      <c r="V169" s="108" t="n"/>
      <c r="W169" s="113">
        <f>IF(AND(ISNUMBER(N169),ISNUMBER(V169)),N169*V169*52/12,"")</f>
        <v/>
      </c>
      <c r="X169" s="114" t="n">
        <v>4.2</v>
      </c>
      <c r="Y169" s="108" t="n">
        <v>962</v>
      </c>
      <c r="Z169" s="115" t="n">
        <v>46309</v>
      </c>
      <c r="AA169" s="115" t="n"/>
      <c r="AB169" s="105" t="n"/>
      <c r="AC169" s="105" t="n"/>
      <c r="AD169" s="108" t="n"/>
      <c r="AE169" s="108" t="n"/>
      <c r="AF169" s="116" t="n"/>
      <c r="AG169" s="116" t="n"/>
      <c r="AH169" s="39" t="n"/>
      <c r="AI169" s="116" t="n"/>
      <c r="AJ169" s="116" t="n"/>
      <c r="AK169" s="116" t="n"/>
      <c r="AL169" s="116" t="n"/>
      <c r="AM169" s="108" t="n"/>
      <c r="AN169" s="108" t="n"/>
      <c r="AO169" s="108" t="n"/>
      <c r="AP169" s="108" t="n"/>
      <c r="AQ169" s="108" t="n"/>
      <c r="AR169" s="108" t="n"/>
      <c r="AS169" s="117" t="n"/>
      <c r="AT169" s="112" t="n"/>
      <c r="AU169" s="118" t="inlineStr">
        <is>
          <t>N</t>
        </is>
      </c>
      <c r="AV169" s="118" t="inlineStr">
        <is>
          <t>none</t>
        </is>
      </c>
      <c r="AW169" s="124" t="n"/>
      <c r="AX169" s="119" t="n">
        <v>31.99</v>
      </c>
      <c r="AY169" s="118" t="inlineStr">
        <is>
          <t>none</t>
        </is>
      </c>
      <c r="AZ169" s="118" t="inlineStr">
        <is>
          <t>Y</t>
        </is>
      </c>
      <c r="BA169" s="118" t="inlineStr">
        <is>
          <t>2026-10-14 00:30:30</t>
        </is>
      </c>
      <c r="BB169" s="120" t="inlineStr">
        <is>
          <t>None</t>
        </is>
      </c>
      <c r="BC169" s="125" t="n"/>
      <c r="BD169" s="121" t="n">
        <v>24.99</v>
      </c>
      <c r="BE169" s="121" t="n">
        <v>24.99</v>
      </c>
      <c r="BF169" s="110">
        <f>IF(AND(ISNUMBER(BD169),ISNUMBER(BE169),N(BD169)&gt;0),1-BE169/BD169,"")</f>
        <v/>
      </c>
      <c r="BG169" s="122" t="n">
        <v>2844</v>
      </c>
      <c r="BH169" s="122" t="n">
        <v>4410</v>
      </c>
      <c r="BI169" s="123">
        <f>IF(AND(ISNUMBER(BG169),ISNUMBER(BH169),N(BH169)&gt;0),BG169/BH169,"")</f>
        <v/>
      </c>
      <c r="BJ169" s="120" t="inlineStr">
        <is>
          <t>N</t>
        </is>
      </c>
      <c r="BK169" s="120" t="inlineStr">
        <is>
          <t>Amazon.ca organic #1 for 'satin sheets queen'; satin; 300+ bought in past month bought past month; Reused DC S4 competitor observation, no separate search. Search child B0F2H9HRJJ; selected Queen child B0F2H8LPB3. variation_count = distinct children exposed i</t>
        </is>
      </c>
    </row>
    <row r="170" ht="62" customHeight="1">
      <c r="A170" s="12">
        <f>_xlfn.IMAGE("https://m.media-amazon.com/images/I/71tkklWokTL.jpg")</f>
        <v/>
      </c>
      <c r="B170" s="105" t="inlineStr">
        <is>
          <t>LIFCOM</t>
        </is>
      </c>
      <c r="C170" s="39" t="inlineStr">
        <is>
          <t>Satin Sheets Queen Size Bed Set,Similar to Silk Sheets,4Pcs Luxury Satin Sheet Set with 15 Inches Deep Pocket (Queen, Dark Grey)</t>
        </is>
      </c>
      <c r="D170" s="105" t="inlineStr">
        <is>
          <t>Untiered</t>
        </is>
      </c>
      <c r="E170" s="128" t="inlineStr">
        <is>
          <t>Alternative material</t>
        </is>
      </c>
      <c r="F170" s="105" t="inlineStr">
        <is>
          <t>Silk</t>
        </is>
      </c>
      <c r="G170" s="39" t="inlineStr">
        <is>
          <t>Sheet set in Silk (title: Satin Sheets Queen Size Bed Set,Similar to Silk Sheets,4Pcs ); ours is Satin (polyester) (our listing: polyester satin). Shopper may cross-shop, but not like-for-like.</t>
        </is>
      </c>
      <c r="H170" s="107" t="inlineStr">
        <is>
          <t>B0DJXBHN44</t>
        </is>
      </c>
      <c r="I170" s="107" t="inlineStr">
        <is>
          <t>B0DCC37WB3</t>
        </is>
      </c>
      <c r="J170" s="105" t="inlineStr">
        <is>
          <t>Queen</t>
        </is>
      </c>
      <c r="K170" s="105" t="inlineStr">
        <is>
          <t>Dark Grey</t>
        </is>
      </c>
      <c r="L170" s="108" t="n">
        <v>70</v>
      </c>
      <c r="M170" s="39" t="n"/>
      <c r="N170" s="109" t="n">
        <v>42.74</v>
      </c>
      <c r="O170" s="109" t="n"/>
      <c r="P170" s="110">
        <f>IF(AND(ISNUMBER(O170),ISNUMBER(N170),N(N170)&gt;0),O170/N170-1,"")</f>
        <v/>
      </c>
      <c r="Q170" s="111">
        <f>IF(P170="","No List Price",IF(P170&lt;=0,"At/below price",IF(P170&lt;=0.12,"&lt;=12% STR zone",IF(P170&lt;=0.25,"12-25%","&gt;25% over"))))</f>
        <v/>
      </c>
      <c r="R170" s="109" t="n">
        <v>46.95</v>
      </c>
      <c r="S170" s="112">
        <f>IF(AND(ISNUMBER(N170),ISNUMBER(R170),N(R170)&gt;0),N170/R170-1,"")</f>
        <v/>
      </c>
      <c r="T170" s="39" t="inlineStr">
        <is>
          <t>Same size (Queen), CAD. Ours live: catalog price (CAD), 2026-10-14; 18 children</t>
        </is>
      </c>
      <c r="U170" s="108" t="n">
        <v>72861</v>
      </c>
      <c r="V170" s="108" t="n"/>
      <c r="W170" s="113">
        <f>IF(AND(ISNUMBER(N170),ISNUMBER(V170)),N170*V170*52/12,"")</f>
        <v/>
      </c>
      <c r="X170" s="114" t="n">
        <v>4.3</v>
      </c>
      <c r="Y170" s="108" t="n">
        <v>351</v>
      </c>
      <c r="Z170" s="115" t="n">
        <v>46309</v>
      </c>
      <c r="AA170" s="115" t="n"/>
      <c r="AB170" s="105" t="n"/>
      <c r="AC170" s="105" t="n"/>
      <c r="AD170" s="108" t="n"/>
      <c r="AE170" s="108" t="n"/>
      <c r="AF170" s="116" t="n"/>
      <c r="AG170" s="116" t="n"/>
      <c r="AH170" s="39" t="n"/>
      <c r="AI170" s="116" t="n"/>
      <c r="AJ170" s="116" t="n"/>
      <c r="AK170" s="116" t="n"/>
      <c r="AL170" s="116" t="n"/>
      <c r="AM170" s="108" t="n"/>
      <c r="AN170" s="108" t="n"/>
      <c r="AO170" s="108" t="n"/>
      <c r="AP170" s="108" t="n"/>
      <c r="AQ170" s="108" t="n"/>
      <c r="AR170" s="108" t="n"/>
      <c r="AS170" s="117" t="n"/>
      <c r="AT170" s="112" t="n"/>
      <c r="AU170" s="118" t="inlineStr">
        <is>
          <t>Y</t>
        </is>
      </c>
      <c r="AV170" s="118" t="inlineStr">
        <is>
          <t>Was price</t>
        </is>
      </c>
      <c r="AW170" s="119" t="n">
        <v>44.99</v>
      </c>
      <c r="AX170" s="119" t="n">
        <v>42.74</v>
      </c>
      <c r="AY170" s="118" t="inlineStr">
        <is>
          <t>none</t>
        </is>
      </c>
      <c r="AZ170" s="118" t="inlineStr">
        <is>
          <t>Y</t>
        </is>
      </c>
      <c r="BA170" s="118" t="inlineStr">
        <is>
          <t>2026-10-14 00:35:27</t>
        </is>
      </c>
      <c r="BB170" s="120" t="inlineStr">
        <is>
          <t>Price cut only</t>
        </is>
      </c>
      <c r="BC170" s="120" t="inlineStr">
        <is>
          <t>11-30 to 12-01</t>
        </is>
      </c>
      <c r="BD170" s="121" t="n">
        <v>39.99</v>
      </c>
      <c r="BE170" s="121" t="n">
        <v>37.99</v>
      </c>
      <c r="BF170" s="110">
        <f>IF(AND(ISNUMBER(BD170),ISNUMBER(BE170),N(BD170)&gt;0),1-BE170/BD170,"")</f>
        <v/>
      </c>
      <c r="BG170" s="122" t="n">
        <v>31470</v>
      </c>
      <c r="BH170" s="122" t="n">
        <v>31390</v>
      </c>
      <c r="BI170" s="123">
        <f>IF(AND(ISNUMBER(BG170),ISNUMBER(BH170),N(BH170)&gt;0),BG170/BH170,"")</f>
        <v/>
      </c>
      <c r="BJ170" s="120" t="inlineStr">
        <is>
          <t>N</t>
        </is>
      </c>
      <c r="BK170" s="120" t="inlineStr">
        <is>
          <t>Amazon.ca organic #15 for 'silk satin sheets'; Satin; Reused DC S4 competitor observation, no separate search. Search child B0DCC5T8MG; selected Queen child B0DCC37WB3. variation_count = distinct children exposed i</t>
        </is>
      </c>
    </row>
    <row r="171" ht="62" customHeight="1">
      <c r="A171" s="12">
        <f>_xlfn.IMAGE("https://m.media-amazon.com/images/I/71Ilt8ijNsL.jpg")</f>
        <v/>
      </c>
      <c r="B171" s="105" t="inlineStr">
        <is>
          <t>Lanest Housing</t>
        </is>
      </c>
      <c r="C171" s="39" t="inlineStr">
        <is>
          <t>Lanest Housing Silk Satin Sheets, 4-Piece Queen Size Satin Bed Sheet Set with Deep Pockets, Cooling Soft and Hypoallergenic Satin Sheets Queen - Black</t>
        </is>
      </c>
      <c r="D171" s="105" t="inlineStr">
        <is>
          <t>Untiered</t>
        </is>
      </c>
      <c r="E171" s="128" t="inlineStr">
        <is>
          <t>Alternative material</t>
        </is>
      </c>
      <c r="F171" s="105" t="inlineStr">
        <is>
          <t>Silk</t>
        </is>
      </c>
      <c r="G171" s="39" t="inlineStr">
        <is>
          <t>Sheet set in Silk (title: Lanest Housing Silk Satin Sheets, 4-Piece Queen Size Satin B); ours is Satin (polyester) (our listing: polyester satin). Shopper may cross-shop, but not like-for-like.</t>
        </is>
      </c>
      <c r="H171" s="107" t="inlineStr">
        <is>
          <t>B07WD4MJHW</t>
        </is>
      </c>
      <c r="I171" s="107" t="inlineStr">
        <is>
          <t>B07VWFV7MB</t>
        </is>
      </c>
      <c r="J171" s="105" t="inlineStr">
        <is>
          <t>Queen</t>
        </is>
      </c>
      <c r="K171" s="105" t="inlineStr">
        <is>
          <t>Black</t>
        </is>
      </c>
      <c r="L171" s="108" t="n">
        <v>146</v>
      </c>
      <c r="M171" s="39" t="n"/>
      <c r="N171" s="109" t="n">
        <v>43.77</v>
      </c>
      <c r="O171" s="109" t="n"/>
      <c r="P171" s="110">
        <f>IF(AND(ISNUMBER(O171),ISNUMBER(N171),N(N171)&gt;0),O171/N171-1,"")</f>
        <v/>
      </c>
      <c r="Q171" s="111">
        <f>IF(P171="","No List Price",IF(P171&lt;=0,"At/below price",IF(P171&lt;=0.12,"&lt;=12% STR zone",IF(P171&lt;=0.25,"12-25%","&gt;25% over"))))</f>
        <v/>
      </c>
      <c r="R171" s="109" t="n">
        <v>46.95</v>
      </c>
      <c r="S171" s="112">
        <f>IF(AND(ISNUMBER(N171),ISNUMBER(R171),N(R171)&gt;0),N171/R171-1,"")</f>
        <v/>
      </c>
      <c r="T171" s="39" t="inlineStr">
        <is>
          <t>Same size (Queen), CAD. Ours live: catalog price (CAD), 2026-10-14; 18 children</t>
        </is>
      </c>
      <c r="U171" s="108" t="n">
        <v>153252</v>
      </c>
      <c r="V171" s="108" t="n"/>
      <c r="W171" s="113">
        <f>IF(AND(ISNUMBER(N171),ISNUMBER(V171)),N171*V171*52/12,"")</f>
        <v/>
      </c>
      <c r="X171" s="114" t="n">
        <v>4.2</v>
      </c>
      <c r="Y171" s="108" t="n">
        <v>5574</v>
      </c>
      <c r="Z171" s="115" t="n">
        <v>46309</v>
      </c>
      <c r="AA171" s="115" t="n"/>
      <c r="AB171" s="105" t="n"/>
      <c r="AC171" s="105" t="n"/>
      <c r="AD171" s="108" t="n"/>
      <c r="AE171" s="108" t="n"/>
      <c r="AF171" s="116" t="n"/>
      <c r="AG171" s="116" t="n"/>
      <c r="AH171" s="39" t="n"/>
      <c r="AI171" s="116" t="n"/>
      <c r="AJ171" s="116" t="n"/>
      <c r="AK171" s="116" t="n"/>
      <c r="AL171" s="116" t="n"/>
      <c r="AM171" s="108" t="n"/>
      <c r="AN171" s="108" t="n"/>
      <c r="AO171" s="108" t="n"/>
      <c r="AP171" s="108" t="n"/>
      <c r="AQ171" s="108" t="n"/>
      <c r="AR171" s="108" t="n"/>
      <c r="AS171" s="117" t="n"/>
      <c r="AT171" s="112" t="n"/>
      <c r="AU171" s="118" t="inlineStr">
        <is>
          <t>Y</t>
        </is>
      </c>
      <c r="AV171" s="118" t="inlineStr">
        <is>
          <t>Was price</t>
        </is>
      </c>
      <c r="AW171" s="119" t="n">
        <v>52.02</v>
      </c>
      <c r="AX171" s="119" t="n">
        <v>43.77</v>
      </c>
      <c r="AY171" s="118" t="inlineStr">
        <is>
          <t>none</t>
        </is>
      </c>
      <c r="AZ171" s="118" t="inlineStr">
        <is>
          <t>Y</t>
        </is>
      </c>
      <c r="BA171" s="118" t="inlineStr">
        <is>
          <t>2026-10-14 00:36:02</t>
        </is>
      </c>
      <c r="BB171" s="120" t="inlineStr">
        <is>
          <t>None</t>
        </is>
      </c>
      <c r="BC171" s="125" t="n"/>
      <c r="BD171" s="121" t="n">
        <v>54.66</v>
      </c>
      <c r="BE171" s="121" t="n">
        <v>52.84</v>
      </c>
      <c r="BF171" s="110">
        <f>IF(AND(ISNUMBER(BD171),ISNUMBER(BE171),N(BD171)&gt;0),1-BE171/BD171,"")</f>
        <v/>
      </c>
      <c r="BG171" s="122" t="n">
        <v>175487</v>
      </c>
      <c r="BH171" s="122" t="n">
        <v>236580</v>
      </c>
      <c r="BI171" s="123">
        <f>IF(AND(ISNUMBER(BG171),ISNUMBER(BH171),N(BH171)&gt;0),BG171/BH171,"")</f>
        <v/>
      </c>
      <c r="BJ171" s="120" t="inlineStr">
        <is>
          <t>N</t>
        </is>
      </c>
      <c r="BK171" s="120" t="inlineStr">
        <is>
          <t>Amazon.ca organic #21 for 'silk satin sheets'; 100% Polyester; Reused DC S4 competitor observation, no separate search. variation_count = distinct children exposed in page variation map, not a guaranteed complete catalogue.</t>
        </is>
      </c>
    </row>
    <row r="172" ht="62" customHeight="1">
      <c r="A172" s="12">
        <f>_xlfn.IMAGE("https://m.media-amazon.com/images/I/61WvjxRfgdL.jpg")</f>
        <v/>
      </c>
      <c r="B172" s="105" t="inlineStr">
        <is>
          <t>Bare Home</t>
        </is>
      </c>
      <c r="C172" s="39" t="inlineStr">
        <is>
          <t>Bare Home Poly Satin Sheet Set Similar to Silk (Queen, Blush)</t>
        </is>
      </c>
      <c r="D172" s="105" t="inlineStr">
        <is>
          <t>Untiered</t>
        </is>
      </c>
      <c r="E172" s="128" t="inlineStr">
        <is>
          <t>Alternative material</t>
        </is>
      </c>
      <c r="F172" s="105" t="inlineStr">
        <is>
          <t>Silk</t>
        </is>
      </c>
      <c r="G172" s="39" t="inlineStr">
        <is>
          <t>Sheet set in Silk (title: Bare Home Poly Satin Sheet Set Similar to Silk (Queen, Blush); ours is Satin (polyester) (our listing: polyester satin). Shopper may cross-shop, but not like-for-like.</t>
        </is>
      </c>
      <c r="H172" s="107" t="inlineStr">
        <is>
          <t>B0DJHFP2WL</t>
        </is>
      </c>
      <c r="I172" s="107" t="inlineStr">
        <is>
          <t>B0DJDXH65M</t>
        </is>
      </c>
      <c r="J172" s="105" t="inlineStr">
        <is>
          <t>Queen</t>
        </is>
      </c>
      <c r="K172" s="105" t="inlineStr">
        <is>
          <t>05 - Blush</t>
        </is>
      </c>
      <c r="L172" s="108" t="n">
        <v>37</v>
      </c>
      <c r="M172" s="39" t="n"/>
      <c r="N172" s="109" t="n">
        <v>63.99</v>
      </c>
      <c r="O172" s="109" t="n"/>
      <c r="P172" s="110">
        <f>IF(AND(ISNUMBER(O172),ISNUMBER(N172),N(N172)&gt;0),O172/N172-1,"")</f>
        <v/>
      </c>
      <c r="Q172" s="111">
        <f>IF(P172="","No List Price",IF(P172&lt;=0,"At/below price",IF(P172&lt;=0.12,"&lt;=12% STR zone",IF(P172&lt;=0.25,"12-25%","&gt;25% over"))))</f>
        <v/>
      </c>
      <c r="R172" s="109" t="n">
        <v>46.95</v>
      </c>
      <c r="S172" s="112">
        <f>IF(AND(ISNUMBER(N172),ISNUMBER(R172),N(R172)&gt;0),N172/R172-1,"")</f>
        <v/>
      </c>
      <c r="T172" s="39" t="inlineStr">
        <is>
          <t>Same size (Queen), CAD. Ours live: catalog price (CAD), 2026-10-14; 18 children</t>
        </is>
      </c>
      <c r="U172" s="108" t="n">
        <v>55879</v>
      </c>
      <c r="V172" s="108" t="n"/>
      <c r="W172" s="113">
        <f>IF(AND(ISNUMBER(N172),ISNUMBER(V172)),N172*V172*52/12,"")</f>
        <v/>
      </c>
      <c r="X172" s="114" t="n">
        <v>3.6</v>
      </c>
      <c r="Y172" s="108" t="n">
        <v>114</v>
      </c>
      <c r="Z172" s="115" t="n">
        <v>46309</v>
      </c>
      <c r="AA172" s="115" t="n"/>
      <c r="AB172" s="105" t="n"/>
      <c r="AC172" s="105" t="n"/>
      <c r="AD172" s="108" t="n"/>
      <c r="AE172" s="108" t="n"/>
      <c r="AF172" s="116" t="n"/>
      <c r="AG172" s="116" t="n"/>
      <c r="AH172" s="39" t="n"/>
      <c r="AI172" s="116" t="n"/>
      <c r="AJ172" s="116" t="n"/>
      <c r="AK172" s="116" t="n"/>
      <c r="AL172" s="116" t="n"/>
      <c r="AM172" s="108" t="n"/>
      <c r="AN172" s="108" t="n"/>
      <c r="AO172" s="108" t="n"/>
      <c r="AP172" s="108" t="n"/>
      <c r="AQ172" s="108" t="n"/>
      <c r="AR172" s="108" t="n"/>
      <c r="AS172" s="117" t="n"/>
      <c r="AT172" s="112" t="n"/>
      <c r="AU172" s="118" t="inlineStr">
        <is>
          <t>Y</t>
        </is>
      </c>
      <c r="AV172" s="118" t="inlineStr">
        <is>
          <t>Was price</t>
        </is>
      </c>
      <c r="AW172" s="119" t="n">
        <v>67.98999999999999</v>
      </c>
      <c r="AX172" s="119" t="n">
        <v>63.99</v>
      </c>
      <c r="AY172" s="118" t="inlineStr">
        <is>
          <t>none</t>
        </is>
      </c>
      <c r="AZ172" s="118" t="inlineStr">
        <is>
          <t>Y</t>
        </is>
      </c>
      <c r="BA172" s="118" t="inlineStr">
        <is>
          <t>2026-10-14 00:35:34</t>
        </is>
      </c>
      <c r="BB172" s="120" t="inlineStr">
        <is>
          <t>Not live in 2025</t>
        </is>
      </c>
      <c r="BC172" s="125" t="n"/>
      <c r="BD172" s="124" t="n"/>
      <c r="BE172" s="124" t="n"/>
      <c r="BF172" s="110">
        <f>IF(AND(ISNUMBER(BD172),ISNUMBER(BE172),N(BD172)&gt;0),1-BE172/BD172,"")</f>
        <v/>
      </c>
      <c r="BG172" s="126" t="n"/>
      <c r="BH172" s="126" t="n"/>
      <c r="BI172" s="123">
        <f>IF(AND(ISNUMBER(BG172),ISNUMBER(BH172),N(BH172)&gt;0),BG172/BH172,"")</f>
        <v/>
      </c>
      <c r="BJ172" s="125" t="n"/>
      <c r="BK172" s="120" t="inlineStr">
        <is>
          <t>Amazon.ca organic #23 for 'satin sheets king'; Poly Satin; Reused DC S4 competitor observation, no separate search. variation_count = distinct children exposed in page variation map, not a guaranteed complete catalogue.</t>
        </is>
      </c>
    </row>
    <row r="173"/>
    <row r="174" ht="22" customHeight="1">
      <c r="A174" s="65" t="inlineStr">
        <is>
          <t>5 ▼</t>
        </is>
      </c>
      <c r="B174" s="66" t="inlineStr">
        <is>
          <t>WHAT THIS MEANS FOR BFCM</t>
        </is>
      </c>
      <c r="C174" s="67" t="n"/>
      <c r="D174" s="67" t="n"/>
      <c r="E174" s="67" t="n"/>
      <c r="F174" s="67" t="n"/>
      <c r="G174" s="67" t="n"/>
      <c r="H174" s="67" t="n"/>
      <c r="I174" s="67" t="n"/>
      <c r="J174" s="67" t="n"/>
      <c r="K174" s="67" t="n"/>
      <c r="L174" s="67" t="n"/>
      <c r="M174" s="67" t="n"/>
      <c r="N174" s="67" t="n"/>
      <c r="O174" s="67" t="n"/>
      <c r="P174" s="67" t="n"/>
      <c r="Q174" s="67" t="n"/>
      <c r="R174" s="67" t="n"/>
      <c r="S174" s="67" t="n"/>
      <c r="T174" s="67" t="n"/>
      <c r="U174" s="67" t="n"/>
      <c r="V174" s="67" t="n"/>
      <c r="W174" s="67" t="n"/>
      <c r="X174" s="67" t="n"/>
      <c r="Y174" s="67" t="n"/>
      <c r="Z174" s="67" t="n"/>
      <c r="AA174" s="67" t="n"/>
      <c r="AB174" s="67" t="n"/>
      <c r="AC174" s="67" t="n"/>
      <c r="AD174" s="67" t="n"/>
      <c r="AE174" s="67" t="n"/>
      <c r="AF174" s="67" t="n"/>
      <c r="AG174" s="67" t="n"/>
      <c r="AH174" s="67" t="n"/>
      <c r="AI174" s="67" t="n"/>
      <c r="AJ174" s="67" t="n"/>
      <c r="AK174" s="67" t="n"/>
      <c r="AL174" s="67" t="n"/>
      <c r="AM174" s="67" t="n"/>
      <c r="AN174" s="67" t="n"/>
      <c r="AO174" s="67" t="n"/>
      <c r="AP174" s="67" t="n"/>
      <c r="AQ174" s="67" t="n"/>
      <c r="AR174" s="67" t="n"/>
      <c r="AS174" s="67" t="n"/>
      <c r="AT174" s="67" t="n"/>
      <c r="AU174" s="67" t="n"/>
      <c r="AV174" s="67" t="n"/>
      <c r="AW174" s="67" t="n"/>
      <c r="AX174" s="67" t="n"/>
      <c r="AY174" s="67" t="n"/>
      <c r="AZ174" s="67" t="n"/>
      <c r="BA174" s="67" t="n"/>
      <c r="BB174" s="67" t="n"/>
      <c r="BC174" s="67" t="n"/>
      <c r="BD174" s="67" t="n"/>
      <c r="BE174" s="67" t="n"/>
      <c r="BF174" s="67" t="n"/>
      <c r="BG174" s="67" t="n"/>
      <c r="BH174" s="67" t="n"/>
      <c r="BI174" s="67" t="n"/>
      <c r="BJ174" s="67" t="n"/>
      <c r="BK174" s="67" t="n"/>
    </row>
    <row r="175" ht="30" customHeight="1">
      <c r="A175" s="129" t="inlineStr">
        <is>
          <t>• Price: 10 of 15 rivals sit below our price today (same size where the title states one). Cheapest strong rivals: BEDELITE $31.99, HENGWEITEXT $31.99, Sasttie $31.99, Pure Bedding $32.40. CA prices are CAD; ours is the live Amazon.ca price (catalog price) where held.</t>
        </is>
      </c>
    </row>
    <row r="176" ht="30" customHeight="1">
      <c r="A176" s="129" t="inlineStr">
        <is>
          <t>• Top organic on Amazon.ca (Oct 13): #1 Sasttie $31.99 (satin sheets queen); #2 MR&amp;HM $40.99 (satin sheets queen); #3 BEDELITE $31.99 (satin sheets queen); #5 HENGWEITEXT $31.99 (silk satin sheets); #7 GOLAL $47.99 (silk satin sheets).</t>
        </is>
      </c>
    </row>
    <row r="177" ht="30" customHeight="1">
      <c r="A177" s="129" t="inlineStr">
        <is>
          <t>• Strikethrough on the page today (Oct 13 check): 6 of 15 checked rivals show one: MR&amp;HM Was price $46.99 vs $40.99 (+15%), BEDELITE Was price $37.99 vs $31.99 (+19%), Beatrice Home Fashions Was price $47.95 vs $42.49 (+13%), LIFCOM Was price $44.99 vs $42.74 (+5%), Lanest Housing Was price $52.02 vs $43.77 (+19%), Bare Home Was price $67.99 vs $63.99 (+6%).</t>
        </is>
      </c>
    </row>
    <row r="178" ht="18" customHeight="1">
      <c r="A178" s="129" t="inlineStr">
        <is>
          <t>• Our BFCM 2025: 1.52x daily sales in BFCM week vs the 30 days before; TACoS 0.0% vs 0.0% before; December 3.72x.</t>
        </is>
      </c>
    </row>
  </sheetData>
  <autoFilter ref="B157:BK172"/>
  <mergeCells count="62">
    <mergeCell ref="A137:C137"/>
    <mergeCell ref="A176:BK176"/>
    <mergeCell ref="A148:BK148"/>
    <mergeCell ref="AU156:BA156"/>
    <mergeCell ref="L5:Q5"/>
    <mergeCell ref="A178:BK178"/>
    <mergeCell ref="Q11:T11"/>
    <mergeCell ref="A136:C136"/>
    <mergeCell ref="L8:Q8"/>
    <mergeCell ref="A139:C139"/>
    <mergeCell ref="A146:BK146"/>
    <mergeCell ref="L4:Q4"/>
    <mergeCell ref="D7:I7"/>
    <mergeCell ref="A13:D13"/>
    <mergeCell ref="I13:L13"/>
    <mergeCell ref="D4:I4"/>
    <mergeCell ref="L10:Q10"/>
    <mergeCell ref="E12:H12"/>
    <mergeCell ref="Q13:T13"/>
    <mergeCell ref="A141:C141"/>
    <mergeCell ref="A177:BK177"/>
    <mergeCell ref="D9:I9"/>
    <mergeCell ref="U12:X12"/>
    <mergeCell ref="L9:Q9"/>
    <mergeCell ref="Q12:T12"/>
    <mergeCell ref="A144:C144"/>
    <mergeCell ref="A11:D11"/>
    <mergeCell ref="I11:L11"/>
    <mergeCell ref="A149:BK149"/>
    <mergeCell ref="D8:I8"/>
    <mergeCell ref="L6:Q6"/>
    <mergeCell ref="A4:B9"/>
    <mergeCell ref="A145:BK145"/>
    <mergeCell ref="BB156:BK156"/>
    <mergeCell ref="T6:Y6"/>
    <mergeCell ref="N156:Z156"/>
    <mergeCell ref="D5:I5"/>
    <mergeCell ref="A175:BK175"/>
    <mergeCell ref="A151:BK151"/>
    <mergeCell ref="M11:P11"/>
    <mergeCell ref="A143:C143"/>
    <mergeCell ref="U11:X11"/>
    <mergeCell ref="A150:BK150"/>
    <mergeCell ref="E13:H13"/>
    <mergeCell ref="AA156:AC156"/>
    <mergeCell ref="D10:I10"/>
    <mergeCell ref="L7:Q7"/>
    <mergeCell ref="T5:Y5"/>
    <mergeCell ref="A138:C138"/>
    <mergeCell ref="A142:C142"/>
    <mergeCell ref="A147:BK147"/>
    <mergeCell ref="A12:D12"/>
    <mergeCell ref="M13:P13"/>
    <mergeCell ref="I12:L12"/>
    <mergeCell ref="U13:X13"/>
    <mergeCell ref="A155:BK155"/>
    <mergeCell ref="A156:K156"/>
    <mergeCell ref="M12:P12"/>
    <mergeCell ref="T4:Y4"/>
    <mergeCell ref="D6:I6"/>
    <mergeCell ref="AD156:AT156"/>
    <mergeCell ref="E11:H11"/>
  </mergeCells>
  <conditionalFormatting sqref="Q158:Q172">
    <cfRule type="expression" priority="1" dxfId="1">
      <formula>Q158="&lt;=12% STR zone"</formula>
    </cfRule>
  </conditionalFormatting>
  <conditionalFormatting sqref="Z158:Z172">
    <cfRule type="expression" priority="2" dxfId="0">
      <formula>AND(ISNUMBER(Z158),Z158&lt;DATE(2026,10,6))</formula>
    </cfRule>
  </conditionalFormatting>
  <conditionalFormatting sqref="T158:T172">
    <cfRule type="expression" priority="3" dxfId="0">
      <formula>ISNUMBER(SEARCH("STALE",T158))</formula>
    </cfRule>
  </conditionalFormatting>
  <conditionalFormatting sqref="S158:S172">
    <cfRule type="expression" priority="4" dxfId="0">
      <formula>AND(ISNUMBER(S158),S158&lt;0)</formula>
    </cfRule>
  </conditionalFormatting>
  <dataValidations count="3">
    <dataValidation sqref="AU158:AU172 BJ158:BJ172" showDropDown="0" showInputMessage="0" showErrorMessage="0" allowBlank="1" type="list">
      <formula1>"Y,N"</formula1>
    </dataValidation>
    <dataValidation sqref="AV158:AV172" showDropDown="0" showInputMessage="0" showErrorMessage="0" allowBlank="1" type="list">
      <formula1>"List Price,Typical price,Was price,None"</formula1>
    </dataValidation>
    <dataValidation sqref="BB158:BB172"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SSS4'!A3" display="1 Our product ↓"/>
    <hyperlink ref="D2" location="'CA SSS4'!A15" display="2 Our variations ↓"/>
    <hyperlink ref="E2" location="'CA SSS4'!A135" display="3 Our BFCM 2025 ↓"/>
    <hyperlink ref="F2" location="'CA SSS4'!A153" display="4 COMPETITORS (15 mapped) ↓"/>
    <hyperlink ref="G2" location="'CA SSS4'!A174" display="5 What it means ↓"/>
    <hyperlink xmlns:r="http://schemas.openxmlformats.org/officeDocument/2006/relationships" ref="H158" r:id="rId1"/>
    <hyperlink xmlns:r="http://schemas.openxmlformats.org/officeDocument/2006/relationships" ref="I158" r:id="rId2"/>
    <hyperlink xmlns:r="http://schemas.openxmlformats.org/officeDocument/2006/relationships" ref="H159" r:id="rId3"/>
    <hyperlink xmlns:r="http://schemas.openxmlformats.org/officeDocument/2006/relationships" ref="I159" r:id="rId4"/>
    <hyperlink xmlns:r="http://schemas.openxmlformats.org/officeDocument/2006/relationships" ref="H160" r:id="rId5"/>
    <hyperlink xmlns:r="http://schemas.openxmlformats.org/officeDocument/2006/relationships" ref="I160" r:id="rId6"/>
    <hyperlink xmlns:r="http://schemas.openxmlformats.org/officeDocument/2006/relationships" ref="H161" r:id="rId7"/>
    <hyperlink xmlns:r="http://schemas.openxmlformats.org/officeDocument/2006/relationships" ref="I161" r:id="rId8"/>
    <hyperlink xmlns:r="http://schemas.openxmlformats.org/officeDocument/2006/relationships" ref="H162" r:id="rId9"/>
    <hyperlink xmlns:r="http://schemas.openxmlformats.org/officeDocument/2006/relationships" ref="I162" r:id="rId10"/>
    <hyperlink xmlns:r="http://schemas.openxmlformats.org/officeDocument/2006/relationships" ref="H163" r:id="rId11"/>
    <hyperlink xmlns:r="http://schemas.openxmlformats.org/officeDocument/2006/relationships" ref="I163" r:id="rId12"/>
    <hyperlink xmlns:r="http://schemas.openxmlformats.org/officeDocument/2006/relationships" ref="H164" r:id="rId13"/>
    <hyperlink xmlns:r="http://schemas.openxmlformats.org/officeDocument/2006/relationships" ref="I164" r:id="rId14"/>
    <hyperlink xmlns:r="http://schemas.openxmlformats.org/officeDocument/2006/relationships" ref="H165" r:id="rId15"/>
    <hyperlink xmlns:r="http://schemas.openxmlformats.org/officeDocument/2006/relationships" ref="I165" r:id="rId16"/>
    <hyperlink xmlns:r="http://schemas.openxmlformats.org/officeDocument/2006/relationships" ref="H166" r:id="rId17"/>
    <hyperlink xmlns:r="http://schemas.openxmlformats.org/officeDocument/2006/relationships" ref="I166" r:id="rId18"/>
    <hyperlink xmlns:r="http://schemas.openxmlformats.org/officeDocument/2006/relationships" ref="H167" r:id="rId19"/>
    <hyperlink xmlns:r="http://schemas.openxmlformats.org/officeDocument/2006/relationships" ref="I167" r:id="rId20"/>
    <hyperlink xmlns:r="http://schemas.openxmlformats.org/officeDocument/2006/relationships" ref="H168" r:id="rId21"/>
    <hyperlink xmlns:r="http://schemas.openxmlformats.org/officeDocument/2006/relationships" ref="I168" r:id="rId22"/>
    <hyperlink xmlns:r="http://schemas.openxmlformats.org/officeDocument/2006/relationships" ref="H169" r:id="rId23"/>
    <hyperlink xmlns:r="http://schemas.openxmlformats.org/officeDocument/2006/relationships" ref="I169" r:id="rId24"/>
    <hyperlink xmlns:r="http://schemas.openxmlformats.org/officeDocument/2006/relationships" ref="H170" r:id="rId25"/>
    <hyperlink xmlns:r="http://schemas.openxmlformats.org/officeDocument/2006/relationships" ref="I170" r:id="rId26"/>
    <hyperlink xmlns:r="http://schemas.openxmlformats.org/officeDocument/2006/relationships" ref="H171" r:id="rId27"/>
    <hyperlink xmlns:r="http://schemas.openxmlformats.org/officeDocument/2006/relationships" ref="I171" r:id="rId28"/>
    <hyperlink xmlns:r="http://schemas.openxmlformats.org/officeDocument/2006/relationships" ref="H172" r:id="rId29"/>
    <hyperlink xmlns:r="http://schemas.openxmlformats.org/officeDocument/2006/relationships" ref="I172" r:id="rId30"/>
  </hyperlink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F4B183"/>
    <outlinePr summaryBelow="1" summaryRight="1"/>
    <pageSetUpPr/>
  </sheetPr>
  <dimension ref="A1:BK130"/>
  <sheetViews>
    <sheetView showGridLines="0" zoomScale="90"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34" customWidth="1" min="3" max="3"/>
    <col width="9" customWidth="1" min="4" max="4"/>
    <col width="12" customWidth="1" min="5" max="5"/>
    <col width="12" customWidth="1" min="6" max="6"/>
    <col width="30" customWidth="1" min="7" max="7"/>
    <col width="11" customWidth="1" min="8" max="8"/>
    <col width="11" customWidth="1" min="9" max="9"/>
    <col width="8" customWidth="1" min="10" max="10"/>
    <col width="9" customWidth="1" min="11" max="11"/>
    <col width="7" customWidth="1" min="12" max="12"/>
    <col width="26" customWidth="1" min="13" max="13"/>
    <col width="8" customWidth="1" min="14" max="14"/>
    <col width="8" customWidth="1" min="15" max="15"/>
    <col width="7" customWidth="1" min="16" max="16"/>
    <col width="10" customWidth="1" min="17" max="17"/>
    <col width="8" customWidth="1" min="18" max="18"/>
    <col width="7" customWidth="1" min="19" max="19"/>
    <col width="11" customWidth="1" min="20" max="20"/>
    <col width="8" customWidth="1" min="21" max="21"/>
    <col width="7" customWidth="1" min="22" max="22"/>
    <col width="9" customWidth="1" min="23" max="23"/>
    <col width="5" customWidth="1" min="24" max="24"/>
    <col width="7" customWidth="1" min="25" max="25"/>
    <col width="8" customWidth="1" min="26" max="26"/>
    <col width="9" customWidth="1" min="27" max="27"/>
    <col width="5" customWidth="1" min="28" max="28"/>
    <col width="6" customWidth="1" min="29" max="29"/>
    <col width="9" customWidth="1" min="30" max="30"/>
    <col width="7" customWidth="1" min="31" max="31"/>
    <col width="7" customWidth="1" min="32" max="32"/>
    <col width="7" customWidth="1" min="33" max="33"/>
    <col width="14" customWidth="1" min="34" max="34"/>
    <col width="6" customWidth="1" min="35" max="35"/>
    <col width="6" customWidth="1" min="36" max="36"/>
    <col width="6" customWidth="1" min="37" max="37"/>
    <col width="6" customWidth="1" min="38" max="38"/>
    <col width="7" customWidth="1" min="39" max="39"/>
    <col width="6" customWidth="1" min="40" max="40"/>
    <col width="6" customWidth="1" min="41" max="41"/>
    <col width="7" customWidth="1" min="42" max="42"/>
    <col width="7" customWidth="1" min="43" max="43"/>
    <col width="7" customWidth="1" min="44" max="44"/>
    <col width="7" customWidth="1" min="45" max="45"/>
    <col width="7" customWidth="1" min="46" max="46"/>
    <col width="7" customWidth="1" min="47" max="47"/>
    <col width="8" customWidth="1" min="48" max="48"/>
    <col width="8" customWidth="1" min="49" max="49"/>
    <col width="8" customWidth="1" min="50" max="50"/>
    <col width="10" customWidth="1" min="51" max="51"/>
    <col width="6" customWidth="1" min="52" max="52"/>
    <col width="10" customWidth="1" min="53" max="53"/>
    <col width="10" customWidth="1" min="54" max="54"/>
    <col width="10" customWidth="1" min="55" max="55"/>
    <col width="8" customWidth="1" min="56" max="56"/>
    <col width="8" customWidth="1" min="57" max="57"/>
    <col width="7" customWidth="1" min="58" max="58"/>
    <col width="8" customWidth="1" min="59" max="59"/>
    <col width="8" customWidth="1" min="60" max="60"/>
    <col width="6" customWidth="1" min="61" max="61"/>
    <col width="6" customWidth="1" min="62" max="62"/>
    <col width="22" customWidth="1" min="63" max="63"/>
  </cols>
  <sheetData>
    <row r="1" ht="28" customHeight="1">
      <c r="A1" s="61" t="inlineStr">
        <is>
          <t>CA</t>
        </is>
      </c>
      <c r="B1" s="62" t="inlineStr">
        <is>
          <t>Decolure Satin Fitted Sheet · Amazon.ca (CA) · Satin · BFCM role: Opportunistic · Scope: Core</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row>
    <row r="2" ht="18" customHeight="1">
      <c r="A2" s="23" t="inlineStr">
        <is>
          <t>← Dashboard</t>
        </is>
      </c>
      <c r="B2" s="9" t="inlineStr">
        <is>
          <t>Jump to ▸</t>
        </is>
      </c>
      <c r="C2" s="23" t="inlineStr">
        <is>
          <t>1 Our product ↓</t>
        </is>
      </c>
      <c r="D2" s="23" t="inlineStr">
        <is>
          <t>2 Our variations ↓</t>
        </is>
      </c>
      <c r="E2" s="23" t="inlineStr">
        <is>
          <t>3 Our BFCM 2025 ↓</t>
        </is>
      </c>
      <c r="F2" s="64" t="inlineStr">
        <is>
          <t>4 COMPETITORS (15 mapped) ↓</t>
        </is>
      </c>
      <c r="G2" s="23" t="inlineStr">
        <is>
          <t>5 What it means ↓</t>
        </is>
      </c>
    </row>
    <row r="3" ht="22" customHeight="1">
      <c r="A3" s="65" t="inlineStr">
        <is>
          <t>1 ▼</t>
        </is>
      </c>
      <c r="B3" s="66" t="inlineStr">
        <is>
          <t>OUR PRODUCT</t>
        </is>
      </c>
      <c r="C3" s="67" t="n"/>
      <c r="D3" s="67" t="n"/>
      <c r="E3" s="67" t="n"/>
      <c r="F3" s="67" t="n"/>
      <c r="G3" s="67" t="n"/>
      <c r="H3" s="67" t="n"/>
      <c r="I3" s="67" t="n"/>
      <c r="J3" s="67" t="n"/>
      <c r="K3" s="67" t="n"/>
      <c r="L3" s="67" t="n"/>
      <c r="M3" s="67" t="n"/>
      <c r="N3" s="67" t="n"/>
      <c r="O3" s="67" t="n"/>
      <c r="P3" s="67" t="n"/>
      <c r="Q3" s="67" t="n"/>
      <c r="R3" s="67" t="n"/>
      <c r="S3" s="67" t="n"/>
      <c r="T3" s="67" t="n"/>
      <c r="U3" s="67" t="n"/>
      <c r="V3" s="67" t="n"/>
      <c r="W3" s="67" t="n"/>
      <c r="X3" s="67" t="n"/>
      <c r="Y3" s="67" t="n"/>
      <c r="Z3" s="67" t="n"/>
      <c r="AA3" s="67" t="n"/>
      <c r="AB3" s="67" t="n"/>
      <c r="AC3" s="67" t="n"/>
      <c r="AD3" s="67" t="n"/>
      <c r="AE3" s="67" t="n"/>
      <c r="AF3" s="67" t="n"/>
      <c r="AG3" s="67" t="n"/>
      <c r="AH3" s="67" t="n"/>
      <c r="AI3" s="67" t="n"/>
      <c r="AJ3" s="67" t="n"/>
      <c r="AK3" s="67" t="n"/>
      <c r="AL3" s="67" t="n"/>
      <c r="AM3" s="67" t="n"/>
      <c r="AN3" s="67" t="n"/>
      <c r="AO3" s="67" t="n"/>
      <c r="AP3" s="67" t="n"/>
      <c r="AQ3" s="67" t="n"/>
      <c r="AR3" s="67" t="n"/>
      <c r="AS3" s="67" t="n"/>
      <c r="AT3" s="67" t="n"/>
      <c r="AU3" s="67" t="n"/>
      <c r="AV3" s="67" t="n"/>
      <c r="AW3" s="67" t="n"/>
      <c r="AX3" s="67" t="n"/>
      <c r="AY3" s="67" t="n"/>
      <c r="AZ3" s="67" t="n"/>
      <c r="BA3" s="67" t="n"/>
      <c r="BB3" s="67" t="n"/>
      <c r="BC3" s="67" t="n"/>
      <c r="BD3" s="67" t="n"/>
      <c r="BE3" s="67" t="n"/>
      <c r="BF3" s="67" t="n"/>
      <c r="BG3" s="67" t="n"/>
      <c r="BH3" s="67" t="n"/>
      <c r="BI3" s="67" t="n"/>
      <c r="BJ3" s="67" t="n"/>
      <c r="BK3" s="67" t="n"/>
    </row>
    <row r="4" ht="34" customHeight="1">
      <c r="A4" s="12">
        <f>_xlfn.IMAGE("https://m.media-amazon.com/images/I/71APUp+JE3L._AC_SL1500_.jpg")</f>
        <v/>
      </c>
      <c r="C4" s="13" t="inlineStr">
        <is>
          <t>Title</t>
        </is>
      </c>
      <c r="D4" s="14" t="inlineStr">
        <is>
          <t>DECOLURE Satin Fitted Sheet Queen Size (1 PC) – Luxuriously Smooth &amp; Softer Than Silk Bed Sheets w/ 15 Inch Deep Pocket Hypoallergenic Wrinkle Free, Secure Snug Fit, Elastic Corner Straps (Black)</t>
        </is>
      </c>
      <c r="K4" s="13" t="inlineStr">
        <is>
          <t>Sizes</t>
        </is>
      </c>
      <c r="L4" s="68" t="inlineStr">
        <is>
          <t>Full, King, Queen, Twin</t>
        </is>
      </c>
      <c r="S4" s="13" t="inlineStr">
        <is>
          <t>Break-even ACoS</t>
        </is>
      </c>
      <c r="T4" s="68" t="inlineStr">
        <is>
          <t>28%</t>
        </is>
      </c>
    </row>
    <row r="5" ht="22" customHeight="1">
      <c r="C5" s="13" t="inlineStr">
        <is>
          <t>Brand</t>
        </is>
      </c>
      <c r="D5" s="68" t="inlineStr">
        <is>
          <t>Decolure</t>
        </is>
      </c>
      <c r="K5" s="13" t="inlineStr">
        <is>
          <t>Colours</t>
        </is>
      </c>
      <c r="L5" s="68" t="inlineStr">
        <is>
          <t>Baby Blue, Black, Blush Pink, Dark Green, Gold, Grey, Ivory, Lavender, Navy Blue, Pink, Purple, Red, Rosewood, Sage Green, Sea Teal, Stone Grey, White</t>
        </is>
      </c>
      <c r="S5" s="13" t="inlineStr">
        <is>
          <t>Units last 28 days</t>
        </is>
      </c>
      <c r="T5" s="68" t="inlineStr">
        <is>
          <t>204</t>
        </is>
      </c>
    </row>
    <row r="6" ht="22" customHeight="1">
      <c r="C6" s="13" t="inlineStr">
        <is>
          <t>Marketplace</t>
        </is>
      </c>
      <c r="D6" s="68" t="inlineStr">
        <is>
          <t>Amazon.ca (CA)</t>
        </is>
      </c>
      <c r="K6" s="13" t="inlineStr">
        <is>
          <t>Price now, best child</t>
        </is>
      </c>
      <c r="L6" s="68" t="inlineStr">
        <is>
          <t>$22.95 (catalog price (CAD), 2026-10-14)</t>
        </is>
      </c>
      <c r="S6" s="13" t="inlineStr">
        <is>
          <t>market data product ASIN</t>
        </is>
      </c>
      <c r="T6" s="68" t="inlineStr">
        <is>
          <t>B0DBVZV66D (one of our child ASINs, not the Amazon parent)</t>
        </is>
      </c>
    </row>
    <row r="7" ht="22" customHeight="1">
      <c r="C7" s="13" t="inlineStr">
        <is>
          <t>Parent ASIN (Amazon)</t>
        </is>
      </c>
      <c r="D7" s="68" t="inlineStr">
        <is>
          <t>B0FQC9C5QT</t>
        </is>
      </c>
      <c r="K7" s="13" t="inlineStr">
        <is>
          <t>Rating / reviews now</t>
        </is>
      </c>
      <c r="L7" s="68" t="inlineStr">
        <is>
          <t>4.4 / 1,265 (catalog price (CAD), 2026-10-14)</t>
        </is>
      </c>
    </row>
    <row r="8" ht="22" customHeight="1">
      <c r="C8" s="13" t="inlineStr">
        <is>
          <t>Best-selling child ASIN</t>
        </is>
      </c>
      <c r="D8" s="68" t="inlineStr">
        <is>
          <t>B0DBW1PNJ8</t>
        </is>
      </c>
      <c r="K8" s="13" t="inlineStr">
        <is>
          <t>Live prices held</t>
        </is>
      </c>
      <c r="L8" s="68" t="inlineStr">
        <is>
          <t>55 of 68 variations</t>
        </is>
      </c>
    </row>
    <row r="9" ht="22" customHeight="1">
      <c r="C9" s="13" t="inlineStr">
        <is>
          <t>Stage</t>
        </is>
      </c>
      <c r="D9" s="68" t="inlineStr">
        <is>
          <t>Maintenance</t>
        </is>
      </c>
      <c r="K9" s="13" t="inlineStr">
        <is>
          <t>Blended price (market data)</t>
        </is>
      </c>
      <c r="L9" s="68" t="inlineStr">
        <is>
          <t>$26.10 - fee feed as of 2026-03-30, STALE</t>
        </is>
      </c>
    </row>
    <row r="10">
      <c r="C10" s="13" t="inlineStr">
        <is>
          <t>Total variations (SKUs)</t>
        </is>
      </c>
      <c r="D10" s="68" t="n">
        <v>68</v>
      </c>
      <c r="K10" s="13" t="inlineStr">
        <is>
          <t>Contribution / unit</t>
        </is>
      </c>
      <c r="L10" s="68" t="inlineStr">
        <is>
          <t>$7.26</t>
        </is>
      </c>
    </row>
    <row r="11">
      <c r="A11" s="69" t="inlineStr">
        <is>
          <t>BFCM 2025 LIFT</t>
        </is>
      </c>
      <c r="E11" s="69" t="inlineStr">
        <is>
          <t>BFCM 2025 TACOS</t>
        </is>
      </c>
      <c r="I11" s="69" t="inlineStr">
        <is>
          <t>DEC 2025 VS PRE-EVENT</t>
        </is>
      </c>
      <c r="M11" s="69" t="inlineStr">
        <is>
          <t>COMPETITORS MAPPED</t>
        </is>
      </c>
      <c r="Q11" s="69" t="inlineStr">
        <is>
          <t>PRICED BELOW US</t>
        </is>
      </c>
      <c r="U11" s="69" t="inlineStr">
        <is>
          <t>STRIKETHROUGH SHOWN</t>
        </is>
      </c>
    </row>
    <row r="12" ht="24" customHeight="1">
      <c r="A12" s="70" t="inlineStr">
        <is>
          <t>0.74x</t>
        </is>
      </c>
      <c r="E12" s="70" t="inlineStr">
        <is>
          <t>1.3%</t>
        </is>
      </c>
      <c r="I12" s="70" t="inlineStr">
        <is>
          <t>0.76x</t>
        </is>
      </c>
      <c r="M12" s="70" t="inlineStr">
        <is>
          <t>15</t>
        </is>
      </c>
      <c r="Q12" s="70" t="inlineStr">
        <is>
          <t>5</t>
        </is>
      </c>
      <c r="U12" s="70" t="inlineStr">
        <is>
          <t>1 of 15</t>
        </is>
      </c>
    </row>
    <row r="13">
      <c r="A13" s="71" t="inlineStr">
        <is>
          <t>daily sales, BFCM wk vs 30 days before (account data actual)</t>
        </is>
      </c>
      <c r="E13" s="71" t="inlineStr">
        <is>
          <t>vs 0.0% before</t>
        </is>
      </c>
      <c r="I13" s="71" t="inlineStr">
        <is>
          <t>December daily sales vs Oct 21-Nov 19</t>
        </is>
      </c>
      <c r="M13" s="71" t="inlineStr">
        <is>
          <t>Amazon.ca page research</t>
        </is>
      </c>
      <c r="Q13" s="71" t="inlineStr">
        <is>
          <t>same size, else vs our Queen</t>
        </is>
      </c>
      <c r="U13" s="71" t="inlineStr">
        <is>
          <t>on the Amazon.ca page, Oct 13</t>
        </is>
      </c>
    </row>
    <row r="14"/>
    <row r="15" ht="22" customHeight="1">
      <c r="A15" s="65" t="inlineStr">
        <is>
          <t>2 ▼</t>
        </is>
      </c>
      <c r="B15" s="66" t="inlineStr">
        <is>
          <t>OUR VARIATIONS (68 listed)</t>
        </is>
      </c>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c r="AA15" s="67" t="n"/>
      <c r="AB15" s="67" t="n"/>
      <c r="AC15" s="67" t="n"/>
      <c r="AD15" s="67" t="n"/>
      <c r="AE15" s="67" t="n"/>
      <c r="AF15" s="67" t="n"/>
      <c r="AG15" s="67" t="n"/>
      <c r="AH15" s="67" t="n"/>
      <c r="AI15" s="67" t="n"/>
      <c r="AJ15" s="67" t="n"/>
      <c r="AK15" s="67" t="n"/>
      <c r="AL15" s="67" t="n"/>
      <c r="AM15" s="67" t="n"/>
      <c r="AN15" s="67" t="n"/>
      <c r="AO15" s="67" t="n"/>
      <c r="AP15" s="67" t="n"/>
      <c r="AQ15" s="67" t="n"/>
      <c r="AR15" s="67" t="n"/>
      <c r="AS15" s="67" t="n"/>
      <c r="AT15" s="67" t="n"/>
      <c r="AU15" s="67" t="n"/>
      <c r="AV15" s="67" t="n"/>
      <c r="AW15" s="67" t="n"/>
      <c r="AX15" s="67" t="n"/>
      <c r="AY15" s="67" t="n"/>
      <c r="AZ15" s="67" t="n"/>
      <c r="BA15" s="67" t="n"/>
      <c r="BB15" s="67" t="n"/>
      <c r="BC15" s="67" t="n"/>
      <c r="BD15" s="67" t="n"/>
      <c r="BE15" s="67" t="n"/>
      <c r="BF15" s="67" t="n"/>
      <c r="BG15" s="67" t="n"/>
      <c r="BH15" s="67" t="n"/>
      <c r="BI15" s="67" t="n"/>
      <c r="BJ15" s="67" t="n"/>
      <c r="BK15" s="67" t="n"/>
    </row>
    <row r="16">
      <c r="B16" s="72" t="inlineStr">
        <is>
          <t>Every SKU / child ASIN with its image, size, colour, price and 28-day units. Images from the catalog data seller catalog; sizes and colours from the SKU data, else read from the title.</t>
        </is>
      </c>
    </row>
    <row r="17" ht="34" customHeight="1">
      <c r="A17" s="26" t="inlineStr">
        <is>
          <t>Image</t>
        </is>
      </c>
      <c r="B17" s="26" t="inlineStr">
        <is>
          <t>Child ASIN</t>
        </is>
      </c>
      <c r="C17" s="26" t="inlineStr">
        <is>
          <t>SKU</t>
        </is>
      </c>
      <c r="D17" s="26" t="inlineStr">
        <is>
          <t>Title</t>
        </is>
      </c>
      <c r="E17" s="26" t="inlineStr">
        <is>
          <t>Size</t>
        </is>
      </c>
      <c r="F17" s="26" t="inlineStr">
        <is>
          <t>Colour</t>
        </is>
      </c>
      <c r="G17" s="26" t="inlineStr">
        <is>
          <t>Price now ($)</t>
        </is>
      </c>
      <c r="H17" s="26" t="inlineStr">
        <is>
          <t>Price now: source, date</t>
        </is>
      </c>
      <c r="I17" s="26" t="inlineStr">
        <is>
          <t>market data price ($)</t>
        </is>
      </c>
      <c r="J17" s="26" t="inlineStr">
        <is>
          <t>market data price date (stale)</t>
        </is>
      </c>
      <c r="K17" s="26" t="inlineStr">
        <is>
          <t>Contribution ($)</t>
        </is>
      </c>
      <c r="L17" s="26" t="inlineStr">
        <is>
          <t>Break-even ACoS</t>
        </is>
      </c>
      <c r="M17" s="26" t="inlineStr">
        <is>
          <t>Units 28d</t>
        </is>
      </c>
      <c r="N17" s="26" t="inlineStr">
        <is>
          <t>Status</t>
        </is>
      </c>
      <c r="O17" s="26" t="inlineStr">
        <is>
          <t>Our hero ASIN? (share of our visibility)</t>
        </is>
      </c>
      <c r="P17" s="26" t="inlineStr">
        <is>
          <t>Rating (H10, review family)</t>
        </is>
      </c>
      <c r="Q17" s="26" t="inlineStr">
        <is>
          <t>Reviews (H10, review family)</t>
        </is>
      </c>
      <c r="R17" s="26" t="inlineStr">
        <is>
          <t>BSR (H10)</t>
        </is>
      </c>
      <c r="S17" s="26" t="inlineStr">
        <is>
          <t>Est units / month (H10)</t>
        </is>
      </c>
      <c r="T17" s="26" t="inlineStr">
        <is>
          <t>Own review family?</t>
        </is>
      </c>
    </row>
    <row r="18" ht="62" customHeight="1">
      <c r="A18" s="12">
        <f>_xlfn.IMAGE("https://m.media-amazon.com/images/I/71APUp+JE3L.jpg")</f>
        <v/>
      </c>
      <c r="B18" s="39" t="inlineStr">
        <is>
          <t>B0DBW1PNJ8</t>
        </is>
      </c>
      <c r="C18" s="39" t="inlineStr">
        <is>
          <t>SATIN-FITTED-QUEEN-BLACK</t>
        </is>
      </c>
      <c r="D18" s="39" t="inlineStr">
        <is>
          <t>DECOLURE Satin Fitted Sheet Queen Size (1 PC) – Luxuriously Smooth &amp; Softer Than Silk Bed Sheets w/ 15 Inch Deep Pocket Hypoallergenic Wrinkle Free, Secure Snug Fit, Elastic Corner Straps (Black)</t>
        </is>
      </c>
      <c r="E18" s="39" t="inlineStr">
        <is>
          <t>Queen</t>
        </is>
      </c>
      <c r="F18" s="39" t="inlineStr">
        <is>
          <t>Black</t>
        </is>
      </c>
      <c r="G18" s="73" t="n">
        <v>22.95</v>
      </c>
      <c r="H18" s="39" t="inlineStr">
        <is>
          <t>catalog price (CAD), 2026-10-14</t>
        </is>
      </c>
      <c r="I18" s="74" t="n">
        <v>22.95</v>
      </c>
      <c r="J18" s="75" t="inlineStr">
        <is>
          <t>2026-03-30</t>
        </is>
      </c>
      <c r="K18" s="40" t="n">
        <v>7.289999999999997</v>
      </c>
      <c r="L18" s="76" t="n">
        <v>0.3176470588235293</v>
      </c>
      <c r="M18" s="77" t="n">
        <v>18</v>
      </c>
      <c r="N18" s="39" t="inlineStr">
        <is>
          <t>Active</t>
        </is>
      </c>
      <c r="O18" s="39" t="n"/>
      <c r="P18" s="78" t="n">
        <v>4.4</v>
      </c>
      <c r="Q18" s="77" t="n">
        <v>1265</v>
      </c>
      <c r="R18" s="77" t="n">
        <v>10424</v>
      </c>
      <c r="S18" s="77" t="n">
        <v>223</v>
      </c>
      <c r="T18" s="39" t="n"/>
    </row>
    <row r="19" ht="62" customHeight="1">
      <c r="A19" s="12">
        <f>_xlfn.IMAGE("https://m.media-amazon.com/images/I/71TuVlzH09L.jpg")</f>
        <v/>
      </c>
      <c r="B19" s="39" t="inlineStr">
        <is>
          <t>B0DBW19GXY</t>
        </is>
      </c>
      <c r="C19" s="39" t="inlineStr">
        <is>
          <t>SATIN-FITTED-QUEEN-GREY</t>
        </is>
      </c>
      <c r="D19" s="39" t="inlineStr">
        <is>
          <t>DECOLURE Satin Fitted Sheet Queen Size (1 PC) – Luxuriously Smooth &amp; Softer Than Silk Bed Sheets w/ 15 Inch Deep Pocket Hypoallergenic Wrinkle Free, Secure Snug Fit, Elastic Corner Straps (Grey)</t>
        </is>
      </c>
      <c r="E19" s="39" t="inlineStr">
        <is>
          <t>Queen</t>
        </is>
      </c>
      <c r="F19" s="39" t="inlineStr">
        <is>
          <t>Grey</t>
        </is>
      </c>
      <c r="G19" s="73" t="n">
        <v>22.95</v>
      </c>
      <c r="H19" s="39" t="inlineStr">
        <is>
          <t>catalog price (CAD), 2026-10-14</t>
        </is>
      </c>
      <c r="I19" s="74" t="n">
        <v>22.95</v>
      </c>
      <c r="J19" s="75" t="inlineStr">
        <is>
          <t>2026-03-30</t>
        </is>
      </c>
      <c r="K19" s="40" t="n">
        <v>-0.08000000000000185</v>
      </c>
      <c r="L19" s="76" t="n">
        <v>-0.3485838779956508</v>
      </c>
      <c r="M19" s="77" t="n">
        <v>12</v>
      </c>
      <c r="N19" s="39" t="inlineStr">
        <is>
          <t>Active</t>
        </is>
      </c>
      <c r="O19" s="39" t="n"/>
      <c r="P19" s="78" t="n">
        <v>4.4</v>
      </c>
      <c r="Q19" s="77" t="n">
        <v>1265</v>
      </c>
      <c r="R19" s="77" t="n">
        <v>10424</v>
      </c>
      <c r="S19" s="77" t="n">
        <v>3</v>
      </c>
      <c r="T19" s="39" t="n"/>
    </row>
    <row r="20" ht="62" customHeight="1">
      <c r="A20" s="12">
        <f>_xlfn.IMAGE("https://m.media-amazon.com/images/I/81hiVG9bW0L.jpg")</f>
        <v/>
      </c>
      <c r="B20" s="39" t="inlineStr">
        <is>
          <t>B0DBW2HDDZ</t>
        </is>
      </c>
      <c r="C20" s="39" t="inlineStr">
        <is>
          <t>SATIN-FITTED-TWIN-PINK</t>
        </is>
      </c>
      <c r="D20" s="39" t="inlineStr">
        <is>
          <t>DECOLURE Satin Fitted Sheet Twin Size (1 PC) – Luxuriously Smooth &amp; Softer Than Silk Bed Sheets w/ 15 Inch Deep Pocket Hypoallergenic Wrinkle Free, Secure Snug Fit, Elastic Corner Straps (Pink)</t>
        </is>
      </c>
      <c r="E20" s="39" t="inlineStr">
        <is>
          <t>Twin</t>
        </is>
      </c>
      <c r="F20" s="39" t="inlineStr">
        <is>
          <t>Pink</t>
        </is>
      </c>
      <c r="G20" s="73" t="n">
        <v>20.95</v>
      </c>
      <c r="H20" s="39" t="inlineStr">
        <is>
          <t>catalog price (CAD), 2026-10-14</t>
        </is>
      </c>
      <c r="I20" s="74" t="n">
        <v>20.95</v>
      </c>
      <c r="J20" s="75" t="inlineStr">
        <is>
          <t>2026-03-30</t>
        </is>
      </c>
      <c r="K20" s="40" t="n">
        <v>6.449999999999998</v>
      </c>
      <c r="L20" s="76" t="n">
        <v>0.3078758949880668</v>
      </c>
      <c r="M20" s="77" t="n">
        <v>12</v>
      </c>
      <c r="N20" s="39" t="inlineStr">
        <is>
          <t>Active</t>
        </is>
      </c>
      <c r="O20" s="39" t="n"/>
      <c r="P20" s="78" t="n">
        <v>4.4</v>
      </c>
      <c r="Q20" s="77" t="n">
        <v>1265</v>
      </c>
      <c r="R20" s="77" t="n">
        <v>10424</v>
      </c>
      <c r="S20" s="77" t="n">
        <v>6</v>
      </c>
      <c r="T20" s="39" t="n"/>
    </row>
    <row r="21" ht="62" customHeight="1">
      <c r="A21" s="12">
        <f>_xlfn.IMAGE("https://m.media-amazon.com/images/I/71JA-96z1+L.jpg")</f>
        <v/>
      </c>
      <c r="B21" s="39" t="inlineStr">
        <is>
          <t>B0DBW2HZBF</t>
        </is>
      </c>
      <c r="C21" s="39" t="inlineStr">
        <is>
          <t>SATIN-FITTED-QUEEN-ROSEWOOD</t>
        </is>
      </c>
      <c r="D21" s="39" t="inlineStr">
        <is>
          <t>DECOLURE Satin Fitted Sheet Queen Size (1 PC) – Luxuriously Smooth &amp; Softer Than Silk Bed Sheets w/ 15 Inch Deep Pocket Hypoallergenic Wrinkle Free, Secure Snug Fit, Elastic Corner Straps (Rosewood)</t>
        </is>
      </c>
      <c r="E21" s="39" t="inlineStr">
        <is>
          <t>Queen</t>
        </is>
      </c>
      <c r="F21" s="39" t="inlineStr">
        <is>
          <t>Rosewood</t>
        </is>
      </c>
      <c r="G21" s="73" t="n">
        <v>23.95</v>
      </c>
      <c r="H21" s="39" t="inlineStr">
        <is>
          <t>catalog price (CAD), 2026-10-14</t>
        </is>
      </c>
      <c r="I21" s="74" t="n">
        <v>31.23</v>
      </c>
      <c r="J21" s="75" t="inlineStr">
        <is>
          <t>2026-03-30</t>
        </is>
      </c>
      <c r="K21" s="40" t="n">
        <v>7.810000000000001</v>
      </c>
      <c r="L21" s="76" t="n">
        <v>0.250080051232789</v>
      </c>
      <c r="M21" s="77" t="n">
        <v>10</v>
      </c>
      <c r="N21" s="39" t="inlineStr">
        <is>
          <t>Active</t>
        </is>
      </c>
      <c r="O21" s="39" t="n"/>
      <c r="P21" s="78" t="n">
        <v>4.4</v>
      </c>
      <c r="Q21" s="77" t="n">
        <v>1265</v>
      </c>
      <c r="R21" s="77" t="n">
        <v>10392</v>
      </c>
      <c r="S21" s="77" t="n">
        <v>2</v>
      </c>
      <c r="T21" s="39" t="n"/>
    </row>
    <row r="22" ht="62" customHeight="1">
      <c r="A22" s="12">
        <f>_xlfn.IMAGE("https://m.media-amazon.com/images/I/81Zp5JX8nUL.jpg")</f>
        <v/>
      </c>
      <c r="B22" s="39" t="inlineStr">
        <is>
          <t>B0DBW151XC</t>
        </is>
      </c>
      <c r="C22" s="39" t="inlineStr">
        <is>
          <t>SATIN-FITTED-QUEEN-DARK-GREEN</t>
        </is>
      </c>
      <c r="D22" s="39" t="inlineStr">
        <is>
          <t>DECOLURE Satin Fitted Sheet Queen Size (1 PC) – Luxuriously Smooth &amp; Softer than Silk Bed Sheets w/ 15 Inch Deep Pocket Hypoallergenic Wrinkle Free, Secure Snug Fit, Elastic Corner Straps (Dark Green)</t>
        </is>
      </c>
      <c r="E22" s="39" t="inlineStr">
        <is>
          <t>Queen</t>
        </is>
      </c>
      <c r="F22" s="39" t="inlineStr">
        <is>
          <t>Dark Green</t>
        </is>
      </c>
      <c r="G22" s="73" t="n">
        <v>23.95</v>
      </c>
      <c r="H22" s="39" t="inlineStr">
        <is>
          <t>catalog price (CAD), 2026-10-14</t>
        </is>
      </c>
      <c r="I22" s="74" t="n">
        <v>23.95</v>
      </c>
      <c r="J22" s="75" t="inlineStr">
        <is>
          <t>2026-03-30</t>
        </is>
      </c>
      <c r="K22" s="40" t="n">
        <v>7.8</v>
      </c>
      <c r="L22" s="76" t="n">
        <v>0.325678496868476</v>
      </c>
      <c r="M22" s="77" t="n">
        <v>9</v>
      </c>
      <c r="N22" s="39" t="inlineStr">
        <is>
          <t>Active</t>
        </is>
      </c>
      <c r="O22" s="39" t="n"/>
      <c r="P22" s="78" t="n">
        <v>4.4</v>
      </c>
      <c r="Q22" s="77" t="n">
        <v>1265</v>
      </c>
      <c r="R22" s="77" t="n">
        <v>10424</v>
      </c>
      <c r="S22" s="77" t="n">
        <v>2</v>
      </c>
      <c r="T22" s="39" t="n"/>
    </row>
    <row r="23" ht="62" customHeight="1">
      <c r="A23" s="12">
        <f>_xlfn.IMAGE("https://m.media-amazon.com/images/I/81hiVG9bW0L.jpg")</f>
        <v/>
      </c>
      <c r="B23" s="39" t="inlineStr">
        <is>
          <t>B0DBVZRZ4H</t>
        </is>
      </c>
      <c r="C23" s="39" t="inlineStr">
        <is>
          <t>SATIN-FITTED-FULL-PINK</t>
        </is>
      </c>
      <c r="D23" s="39" t="inlineStr">
        <is>
          <t>DECOLURE Satin Fitted Sheet Full Size (1 PC) – Luxuriously Smooth &amp; Softer Than Silk Bed Sheets w/ 15 Inch Deep Pocket Hypoallergenic Wrinkle Free, Secure Snug Fit, Elastic Corner Straps (Pink)</t>
        </is>
      </c>
      <c r="E23" s="39" t="inlineStr">
        <is>
          <t>Full</t>
        </is>
      </c>
      <c r="F23" s="39" t="inlineStr">
        <is>
          <t>Pink</t>
        </is>
      </c>
      <c r="G23" s="73" t="n">
        <v>22.95</v>
      </c>
      <c r="H23" s="39" t="inlineStr">
        <is>
          <t>catalog price (CAD), 2026-10-14</t>
        </is>
      </c>
      <c r="I23" s="74" t="n">
        <v>22.95</v>
      </c>
      <c r="J23" s="75" t="inlineStr">
        <is>
          <t>2026-03-30</t>
        </is>
      </c>
      <c r="K23" s="40" t="n">
        <v>7.199999999999998</v>
      </c>
      <c r="L23" s="76" t="n">
        <v>0.3137254901960784</v>
      </c>
      <c r="M23" s="77" t="n">
        <v>8</v>
      </c>
      <c r="N23" s="39" t="inlineStr">
        <is>
          <t>Active</t>
        </is>
      </c>
      <c r="O23" s="39" t="n"/>
      <c r="P23" s="78" t="n">
        <v>4.4</v>
      </c>
      <c r="Q23" s="77" t="n">
        <v>1265</v>
      </c>
      <c r="R23" s="77" t="n">
        <v>10424</v>
      </c>
      <c r="S23" s="77" t="n">
        <v>3</v>
      </c>
      <c r="T23" s="39" t="n"/>
    </row>
    <row r="24" ht="62" customHeight="1">
      <c r="A24" s="12">
        <f>_xlfn.IMAGE("https://m.media-amazon.com/images/I/71iVJQHaIBL.jpg")</f>
        <v/>
      </c>
      <c r="B24" s="39" t="inlineStr">
        <is>
          <t>B0DBW27P8P</t>
        </is>
      </c>
      <c r="C24" s="39" t="inlineStr">
        <is>
          <t>SATIN-FITTED-FULL-WHITE</t>
        </is>
      </c>
      <c r="D24" s="39" t="inlineStr">
        <is>
          <t>DECOLURE Satin Fitted Sheet Full Size (1 PC) – Luxuriously Smooth &amp; Softer Than Silk Bed Sheets w/ 15 Inch Deep Pocket Hypoallergenic Wrinkle Free, Secure Snug Fit, Elastic Corner Straps (White)</t>
        </is>
      </c>
      <c r="E24" s="39" t="inlineStr">
        <is>
          <t>Full</t>
        </is>
      </c>
      <c r="F24" s="39" t="inlineStr">
        <is>
          <t>White</t>
        </is>
      </c>
      <c r="G24" s="73" t="n">
        <v>22.95</v>
      </c>
      <c r="H24" s="39" t="inlineStr">
        <is>
          <t>catalog price (CAD), 2026-10-14</t>
        </is>
      </c>
      <c r="I24" s="74" t="n">
        <v>30.04</v>
      </c>
      <c r="J24" s="75" t="inlineStr">
        <is>
          <t>2026-03-30</t>
        </is>
      </c>
      <c r="K24" s="40" t="n">
        <v>7.66</v>
      </c>
      <c r="L24" s="76" t="n">
        <v>0.2549933422103862</v>
      </c>
      <c r="M24" s="77" t="n">
        <v>8</v>
      </c>
      <c r="N24" s="39" t="inlineStr">
        <is>
          <t>Active</t>
        </is>
      </c>
      <c r="O24" s="39" t="n"/>
      <c r="P24" s="78" t="n">
        <v>4.4</v>
      </c>
      <c r="Q24" s="77" t="n">
        <v>1265</v>
      </c>
      <c r="R24" s="77" t="n">
        <v>10424</v>
      </c>
      <c r="S24" s="77" t="n">
        <v>3</v>
      </c>
      <c r="T24" s="39" t="n"/>
    </row>
    <row r="25" ht="62" customHeight="1">
      <c r="A25" s="12">
        <f>_xlfn.IMAGE("https://m.media-amazon.com/images/I/818qIvZ2yIL.jpg")</f>
        <v/>
      </c>
      <c r="B25" s="39" t="inlineStr">
        <is>
          <t>B0DBVZZH8S</t>
        </is>
      </c>
      <c r="C25" s="39" t="inlineStr">
        <is>
          <t>SATIN-FITTED-QUEEN-GOLD</t>
        </is>
      </c>
      <c r="D25" s="39" t="inlineStr">
        <is>
          <t>DECOLURE Satin Fitted Sheet Queen Size (1 PC) – Luxuriously Smooth &amp; Softer Than Silk Bed Sheets w/ 15 Inch Deep Pocket Hypoallergenic Wrinkle Free, Secure Snug Fit, Elastic Corner Straps (Gold)</t>
        </is>
      </c>
      <c r="E25" s="39" t="inlineStr">
        <is>
          <t>Queen</t>
        </is>
      </c>
      <c r="F25" s="39" t="inlineStr">
        <is>
          <t>Gold</t>
        </is>
      </c>
      <c r="G25" s="73" t="n">
        <v>23.95</v>
      </c>
      <c r="H25" s="39" t="inlineStr">
        <is>
          <t>catalog price (CAD), 2026-10-14</t>
        </is>
      </c>
      <c r="I25" s="74" t="n">
        <v>23.95</v>
      </c>
      <c r="J25" s="75" t="inlineStr">
        <is>
          <t>2026-03-30</t>
        </is>
      </c>
      <c r="K25" s="40" t="n">
        <v>7.279999999999999</v>
      </c>
      <c r="L25" s="76" t="n">
        <v>0.3039665970772442</v>
      </c>
      <c r="M25" s="77" t="n">
        <v>7</v>
      </c>
      <c r="N25" s="39" t="inlineStr">
        <is>
          <t>Active</t>
        </is>
      </c>
      <c r="O25" s="39" t="n"/>
      <c r="P25" s="78" t="n">
        <v>4.4</v>
      </c>
      <c r="Q25" s="77" t="n">
        <v>1265</v>
      </c>
      <c r="R25" s="77" t="n">
        <v>10424</v>
      </c>
      <c r="S25" s="77" t="n">
        <v>2</v>
      </c>
      <c r="T25" s="39" t="n"/>
    </row>
    <row r="26" ht="62" customHeight="1">
      <c r="A26" s="12">
        <f>_xlfn.IMAGE("https://m.media-amazon.com/images/I/81mTp2BYSlL.jpg")</f>
        <v/>
      </c>
      <c r="B26" s="39" t="inlineStr">
        <is>
          <t>B0DBVYJJZ6</t>
        </is>
      </c>
      <c r="C26" s="39" t="inlineStr">
        <is>
          <t>SATIN-FITTED-QUEEN-RED</t>
        </is>
      </c>
      <c r="D26" s="39" t="inlineStr">
        <is>
          <t>DECOLURE Satin Fitted Sheet Queen Size (1 PC) – Luxuriously Smooth &amp; Softer Than Silk Bed Sheets w/ 15 Inch Deep Pocket Hypoallergenic Wrinkle Free, Secure Snug Fit, Elastic Corner Straps (Red)</t>
        </is>
      </c>
      <c r="E26" s="39" t="inlineStr">
        <is>
          <t>Queen</t>
        </is>
      </c>
      <c r="F26" s="39" t="inlineStr">
        <is>
          <t>Red</t>
        </is>
      </c>
      <c r="G26" s="73" t="n">
        <v>23.95</v>
      </c>
      <c r="H26" s="39" t="inlineStr">
        <is>
          <t>catalog price (CAD), 2026-10-14</t>
        </is>
      </c>
      <c r="I26" s="74" t="n">
        <v>31.14</v>
      </c>
      <c r="J26" s="75" t="inlineStr">
        <is>
          <t>2026-03-30</t>
        </is>
      </c>
      <c r="K26" s="40" t="n">
        <v>8.119999999999999</v>
      </c>
      <c r="L26" s="76" t="n">
        <v>0.2607578676942838</v>
      </c>
      <c r="M26" s="77" t="n">
        <v>7</v>
      </c>
      <c r="N26" s="39" t="inlineStr">
        <is>
          <t>Active</t>
        </is>
      </c>
      <c r="O26" s="39" t="n"/>
      <c r="P26" s="78" t="n">
        <v>4.4</v>
      </c>
      <c r="Q26" s="77" t="n">
        <v>1265</v>
      </c>
      <c r="R26" s="77" t="n">
        <v>10424</v>
      </c>
      <c r="S26" s="77" t="n">
        <v>3</v>
      </c>
      <c r="T26" s="39" t="n"/>
    </row>
    <row r="27" ht="62" customHeight="1">
      <c r="A27" s="12">
        <f>_xlfn.IMAGE("https://m.media-amazon.com/images/I/71iVJQHaIBL.jpg")</f>
        <v/>
      </c>
      <c r="B27" s="39" t="inlineStr">
        <is>
          <t>B0DBVZSNZ4</t>
        </is>
      </c>
      <c r="C27" s="39" t="inlineStr">
        <is>
          <t>SATIN-FITTED-TWIN-WHITE</t>
        </is>
      </c>
      <c r="D27" s="39" t="inlineStr">
        <is>
          <t>DECOLURE Satin Fitted Sheet Twin Size (1 PC) – Luxuriously Smooth &amp; Softer Than Silk Bed Sheets w/ 15 Inch Deep Pocket Hypoallergenic Wrinkle Free, Secure Snug Fit, Elastic Corner Straps (White)</t>
        </is>
      </c>
      <c r="E27" s="39" t="inlineStr">
        <is>
          <t>Twin</t>
        </is>
      </c>
      <c r="F27" s="39" t="inlineStr">
        <is>
          <t>White</t>
        </is>
      </c>
      <c r="G27" s="73" t="n">
        <v>20.95</v>
      </c>
      <c r="H27" s="39" t="inlineStr">
        <is>
          <t>catalog price (CAD), 2026-10-14</t>
        </is>
      </c>
      <c r="I27" s="74" t="n">
        <v>20.95</v>
      </c>
      <c r="J27" s="75" t="inlineStr">
        <is>
          <t>2026-03-30</t>
        </is>
      </c>
      <c r="K27" s="40" t="n">
        <v>6.449999999999998</v>
      </c>
      <c r="L27" s="76" t="n">
        <v>0.3078758949880668</v>
      </c>
      <c r="M27" s="77" t="n">
        <v>7</v>
      </c>
      <c r="N27" s="39" t="inlineStr">
        <is>
          <t>Active</t>
        </is>
      </c>
      <c r="O27" s="39" t="n"/>
      <c r="P27" s="78" t="n">
        <v>4.4</v>
      </c>
      <c r="Q27" s="77" t="n">
        <v>1265</v>
      </c>
      <c r="R27" s="77" t="n">
        <v>10424</v>
      </c>
      <c r="S27" s="77" t="n">
        <v>6</v>
      </c>
      <c r="T27" s="39" t="n"/>
    </row>
    <row r="28" ht="62" customHeight="1">
      <c r="A28" s="12">
        <f>_xlfn.IMAGE("https://m.media-amazon.com/images/I/81mTp2BYSlL.jpg")</f>
        <v/>
      </c>
      <c r="B28" s="39" t="inlineStr">
        <is>
          <t>B0DBW1M6RN</t>
        </is>
      </c>
      <c r="C28" s="39" t="inlineStr">
        <is>
          <t>SATIN-FITTED-KING-RED</t>
        </is>
      </c>
      <c r="D28" s="39" t="inlineStr">
        <is>
          <t>DECOLURE Satin Fitted Sheet King Size (1 PC) – Luxuriously Smooth &amp; Softer Than Silk Bed Sheets w/ 15 Inch Deep Pocket Hypoallergenic Wrinkle Free, Secure Snug Fit, Elastic Corner Straps (Red)</t>
        </is>
      </c>
      <c r="E28" s="39" t="inlineStr">
        <is>
          <t>King</t>
        </is>
      </c>
      <c r="F28" s="39" t="inlineStr">
        <is>
          <t>Red</t>
        </is>
      </c>
      <c r="G28" s="73" t="n">
        <v>24.95</v>
      </c>
      <c r="H28" s="39" t="inlineStr">
        <is>
          <t>catalog price (CAD), 2026-10-14</t>
        </is>
      </c>
      <c r="I28" s="74" t="n">
        <v>32.66</v>
      </c>
      <c r="J28" s="75" t="inlineStr">
        <is>
          <t>2026-03-30</t>
        </is>
      </c>
      <c r="K28" s="40" t="n">
        <v>8.879999999999999</v>
      </c>
      <c r="L28" s="76" t="n">
        <v>0.2718922229026332</v>
      </c>
      <c r="M28" s="77" t="n">
        <v>5</v>
      </c>
      <c r="N28" s="39" t="inlineStr">
        <is>
          <t>Active</t>
        </is>
      </c>
      <c r="O28" s="39" t="n"/>
      <c r="P28" s="78" t="n">
        <v>4.4</v>
      </c>
      <c r="Q28" s="77" t="n">
        <v>1265</v>
      </c>
      <c r="R28" s="77" t="n">
        <v>10424</v>
      </c>
      <c r="S28" s="77" t="n">
        <v>1</v>
      </c>
      <c r="T28" s="39" t="n"/>
    </row>
    <row r="29" ht="62" customHeight="1">
      <c r="A29" s="12">
        <f>_xlfn.IMAGE("https://m.media-amazon.com/images/I/71iVJQHaIBL.jpg")</f>
        <v/>
      </c>
      <c r="B29" s="39" t="inlineStr">
        <is>
          <t>B0DBVZ1Z2R</t>
        </is>
      </c>
      <c r="C29" s="39" t="inlineStr">
        <is>
          <t>SATIN-FITTED-KING-WHITE</t>
        </is>
      </c>
      <c r="D29" s="39" t="inlineStr">
        <is>
          <t>DECOLURE Satin Fitted Sheet King Size (1 PC) – Luxuriously Smooth &amp; Softer Than Silk Bed Sheets w/ 15 Inch Deep Pocket Hypoallergenic Wrinkle Free, Secure Snug Fit, Elastic Corner Straps (White)</t>
        </is>
      </c>
      <c r="E29" s="39" t="inlineStr">
        <is>
          <t>King</t>
        </is>
      </c>
      <c r="F29" s="39" t="inlineStr">
        <is>
          <t>White</t>
        </is>
      </c>
      <c r="G29" s="73" t="n">
        <v>24.95</v>
      </c>
      <c r="H29" s="39" t="inlineStr">
        <is>
          <t>catalog price (CAD), 2026-10-14</t>
        </is>
      </c>
      <c r="I29" s="74" t="n">
        <v>32.8</v>
      </c>
      <c r="J29" s="75" t="inlineStr">
        <is>
          <t>2026-03-30</t>
        </is>
      </c>
      <c r="K29" s="40" t="n">
        <v>8.999999999999996</v>
      </c>
      <c r="L29" s="76" t="n">
        <v>0.2743902439024389</v>
      </c>
      <c r="M29" s="77" t="n">
        <v>5</v>
      </c>
      <c r="N29" s="39" t="inlineStr">
        <is>
          <t>Active</t>
        </is>
      </c>
      <c r="O29" s="39" t="n"/>
      <c r="P29" s="78" t="n">
        <v>4.4</v>
      </c>
      <c r="Q29" s="77" t="n">
        <v>1265</v>
      </c>
      <c r="R29" s="77" t="n">
        <v>10424</v>
      </c>
      <c r="S29" s="77" t="n">
        <v>1</v>
      </c>
      <c r="T29" s="39" t="n"/>
    </row>
    <row r="30" ht="62" customHeight="1">
      <c r="A30" s="12">
        <f>_xlfn.IMAGE("https://m.media-amazon.com/images/I/81r1IG1mOIL.jpg")</f>
        <v/>
      </c>
      <c r="B30" s="39" t="inlineStr">
        <is>
          <t>B0DBVZ9JMT</t>
        </is>
      </c>
      <c r="C30" s="39" t="inlineStr">
        <is>
          <t>SATIN-FITTED-TWIN-LAVENDER</t>
        </is>
      </c>
      <c r="D30" s="39" t="inlineStr">
        <is>
          <t>DECOLURE Satin Fitted Sheet Twin Size (1 PC) – Luxuriously Smooth &amp; Softer Than Silk Bed Sheets w/ 15 Inch Deep Pocket Hypoallergenic Wrinkle Free, Secure Snug Fit, Elastic Corner Straps (Lavender)</t>
        </is>
      </c>
      <c r="E30" s="39" t="inlineStr">
        <is>
          <t>Twin</t>
        </is>
      </c>
      <c r="F30" s="39" t="inlineStr">
        <is>
          <t>Lavender</t>
        </is>
      </c>
      <c r="G30" s="73" t="n">
        <v>20.95</v>
      </c>
      <c r="H30" s="39" t="inlineStr">
        <is>
          <t>catalog price (CAD), 2026-10-14</t>
        </is>
      </c>
      <c r="I30" s="74" t="n">
        <v>27.71</v>
      </c>
      <c r="J30" s="75" t="inlineStr">
        <is>
          <t>2026-03-30</t>
        </is>
      </c>
      <c r="K30" s="40" t="n">
        <v>6.99</v>
      </c>
      <c r="L30" s="76" t="n">
        <v>0.2522555034283652</v>
      </c>
      <c r="M30" s="77" t="n">
        <v>5</v>
      </c>
      <c r="N30" s="39" t="inlineStr">
        <is>
          <t>Active</t>
        </is>
      </c>
      <c r="O30" s="39" t="n"/>
      <c r="P30" s="78" t="n">
        <v>4.4</v>
      </c>
      <c r="Q30" s="77" t="n">
        <v>1265</v>
      </c>
      <c r="R30" s="77" t="n">
        <v>10424</v>
      </c>
      <c r="S30" s="77" t="n">
        <v>6</v>
      </c>
      <c r="T30" s="39" t="n"/>
    </row>
    <row r="31" ht="62" customHeight="1">
      <c r="A31" s="12">
        <f>_xlfn.IMAGE("https://m.media-amazon.com/images/I/81Zp5JX8nUL.jpg")</f>
        <v/>
      </c>
      <c r="B31" s="39" t="inlineStr">
        <is>
          <t>B0DBVXG561</t>
        </is>
      </c>
      <c r="C31" s="39" t="inlineStr">
        <is>
          <t>SATIN-FITTED-FULL-DARK-GREEN</t>
        </is>
      </c>
      <c r="D31" s="39" t="inlineStr">
        <is>
          <t>DECOLURE Satin Fitted Sheet Full Size (1 PC) – Luxuriously Smooth &amp; Softer Than Silk Bed Sheets w/ 15 Inch Deep Pocket Hypoallergenic Wrinkle Free, Secure Snug Fit, Elastic Corner Straps (Dark Green)</t>
        </is>
      </c>
      <c r="E31" s="39" t="inlineStr">
        <is>
          <t>Full</t>
        </is>
      </c>
      <c r="F31" s="39" t="inlineStr">
        <is>
          <t>Dark Green</t>
        </is>
      </c>
      <c r="G31" s="73" t="n">
        <v>22.95</v>
      </c>
      <c r="H31" s="39" t="inlineStr">
        <is>
          <t>catalog price (CAD), 2026-10-14</t>
        </is>
      </c>
      <c r="I31" s="74" t="n">
        <v>30.04</v>
      </c>
      <c r="J31" s="75" t="inlineStr">
        <is>
          <t>2026-03-30</t>
        </is>
      </c>
      <c r="K31" s="40" t="n">
        <v>8.31</v>
      </c>
      <c r="L31" s="76" t="n">
        <v>0.2766311584553928</v>
      </c>
      <c r="M31" s="77" t="n">
        <v>4</v>
      </c>
      <c r="N31" s="39" t="inlineStr">
        <is>
          <t>Active</t>
        </is>
      </c>
      <c r="O31" s="39" t="n"/>
      <c r="P31" s="78" t="n">
        <v>4.4</v>
      </c>
      <c r="Q31" s="77" t="n">
        <v>1265</v>
      </c>
      <c r="R31" s="77" t="n">
        <v>10424</v>
      </c>
      <c r="S31" s="77" t="n">
        <v>0</v>
      </c>
      <c r="T31" s="39" t="n"/>
    </row>
    <row r="32" ht="62" customHeight="1">
      <c r="A32" s="12">
        <f>_xlfn.IMAGE("https://m.media-amazon.com/images/I/71APUp+JE3L.jpg")</f>
        <v/>
      </c>
      <c r="B32" s="39" t="inlineStr">
        <is>
          <t>B0DBW13VVR</t>
        </is>
      </c>
      <c r="C32" s="39" t="inlineStr">
        <is>
          <t>SATIN-FITTED-KING-BLACK</t>
        </is>
      </c>
      <c r="D32" s="39" t="inlineStr">
        <is>
          <t>DECOLURE Satin Fitted Sheet King Size (1 PC) – Luxuriously Smooth &amp; Softer Than Silk Bed Sheets w/ 15 Inch Deep Pocket Hypoallergenic Wrinkle Free, Secure Snug Fit, Elastic Corner Straps (Black)</t>
        </is>
      </c>
      <c r="E32" s="39" t="inlineStr">
        <is>
          <t>King</t>
        </is>
      </c>
      <c r="F32" s="39" t="inlineStr">
        <is>
          <t>Black</t>
        </is>
      </c>
      <c r="G32" s="73" t="n">
        <v>23.95</v>
      </c>
      <c r="H32" s="39" t="inlineStr">
        <is>
          <t>catalog price (CAD), 2026-10-14</t>
        </is>
      </c>
      <c r="I32" s="74" t="n">
        <v>23.95</v>
      </c>
      <c r="J32" s="75" t="inlineStr">
        <is>
          <t>2026-03-30</t>
        </is>
      </c>
      <c r="K32" s="40" t="n">
        <v>6.51</v>
      </c>
      <c r="L32" s="76" t="n">
        <v>0.2718162839248434</v>
      </c>
      <c r="M32" s="77" t="n">
        <v>4</v>
      </c>
      <c r="N32" s="39" t="inlineStr">
        <is>
          <t>Inactive</t>
        </is>
      </c>
      <c r="O32" s="39" t="n"/>
      <c r="P32" s="78" t="n">
        <v>4.4</v>
      </c>
      <c r="Q32" s="77" t="n">
        <v>1265</v>
      </c>
      <c r="R32" s="77" t="n">
        <v>10424</v>
      </c>
      <c r="S32" s="77" t="n">
        <v>28</v>
      </c>
      <c r="T32" s="39" t="n"/>
    </row>
    <row r="33" ht="62" customHeight="1">
      <c r="A33" s="12">
        <f>_xlfn.IMAGE("https://m.media-amazon.com/images/I/71q7X0GjqSL.jpg")</f>
        <v/>
      </c>
      <c r="B33" s="39" t="inlineStr">
        <is>
          <t>B0DBVZYXY9</t>
        </is>
      </c>
      <c r="C33" s="39" t="inlineStr">
        <is>
          <t>SATIN-FITTED-QUEEN-NAVY-BLUE</t>
        </is>
      </c>
      <c r="D33" s="39" t="inlineStr">
        <is>
          <t>DECOLURE Satin Fitted Sheet Queen Size (1 PC) – Luxuriously Smooth &amp; Softer Than Silk Bed Sheets w/ 15 Inch Deep Pocket Hypoallergenic Wrinkle Free, Secure Snug Fit, Elastic Corner Straps (Navy Blue)</t>
        </is>
      </c>
      <c r="E33" s="39" t="inlineStr">
        <is>
          <t>Queen</t>
        </is>
      </c>
      <c r="F33" s="39" t="inlineStr">
        <is>
          <t>Navy Blue</t>
        </is>
      </c>
      <c r="G33" s="73" t="n">
        <v>29.42</v>
      </c>
      <c r="H33" s="39" t="inlineStr">
        <is>
          <t>catalog price (CAD), 2026-10-14</t>
        </is>
      </c>
      <c r="I33" s="74" t="n">
        <v>31.23</v>
      </c>
      <c r="J33" s="75" t="inlineStr">
        <is>
          <t>2026-03-30</t>
        </is>
      </c>
      <c r="K33" s="40" t="n">
        <v>8.41</v>
      </c>
      <c r="L33" s="76" t="n">
        <v>0.2692923471021454</v>
      </c>
      <c r="M33" s="77" t="n">
        <v>4</v>
      </c>
      <c r="N33" s="39" t="inlineStr">
        <is>
          <t>Active</t>
        </is>
      </c>
      <c r="O33" s="39" t="n"/>
      <c r="P33" s="78" t="n">
        <v>4.4</v>
      </c>
      <c r="Q33" s="77" t="n">
        <v>1265</v>
      </c>
      <c r="R33" s="77" t="n">
        <v>10424</v>
      </c>
      <c r="S33" s="77" t="n">
        <v>2</v>
      </c>
      <c r="T33" s="39" t="n"/>
    </row>
    <row r="34" ht="62" customHeight="1">
      <c r="A34" s="12">
        <f>_xlfn.IMAGE("https://m.media-amazon.com/images/I/71bgU8vMQnL.jpg")</f>
        <v/>
      </c>
      <c r="B34" s="39" t="inlineStr">
        <is>
          <t>B0DBVZPPJ6</t>
        </is>
      </c>
      <c r="C34" s="39" t="inlineStr">
        <is>
          <t>SATIN-FITTED-QUEEN-PURPLE</t>
        </is>
      </c>
      <c r="D34" s="39" t="inlineStr">
        <is>
          <t>DECOLURE Satin Fitted Sheet Queen Size (1 PC) – Luxuriously Smooth &amp; Softer Than Silk Bed Sheets w/ 15 Inch Deep Pocket Hypoallergenic Wrinkle Free, Secure Snug Fit, Elastic Corner Straps (Purple)</t>
        </is>
      </c>
      <c r="E34" s="39" t="inlineStr">
        <is>
          <t>Queen</t>
        </is>
      </c>
      <c r="F34" s="39" t="inlineStr">
        <is>
          <t>Purple</t>
        </is>
      </c>
      <c r="G34" s="73" t="n">
        <v>23.95</v>
      </c>
      <c r="H34" s="39" t="inlineStr">
        <is>
          <t>catalog price (CAD), 2026-10-14</t>
        </is>
      </c>
      <c r="I34" s="74" t="n">
        <v>23.95</v>
      </c>
      <c r="J34" s="75" t="inlineStr">
        <is>
          <t>2026-03-30</t>
        </is>
      </c>
      <c r="K34" s="40" t="n">
        <v>7.43</v>
      </c>
      <c r="L34" s="76" t="n">
        <v>0.3102296450939457</v>
      </c>
      <c r="M34" s="77" t="n">
        <v>4</v>
      </c>
      <c r="N34" s="39" t="inlineStr">
        <is>
          <t>Active</t>
        </is>
      </c>
      <c r="O34" s="39" t="n"/>
      <c r="P34" s="78" t="n">
        <v>4.4</v>
      </c>
      <c r="Q34" s="77" t="n">
        <v>1265</v>
      </c>
      <c r="R34" s="77" t="n">
        <v>10424</v>
      </c>
      <c r="S34" s="77" t="n">
        <v>2</v>
      </c>
      <c r="T34" s="39" t="n"/>
    </row>
    <row r="35" ht="62" customHeight="1">
      <c r="A35" s="12">
        <f>_xlfn.IMAGE("https://m.media-amazon.com/images/I/71iVJQHaIBL.jpg")</f>
        <v/>
      </c>
      <c r="B35" s="39" t="inlineStr">
        <is>
          <t>B0DBW157CR</t>
        </is>
      </c>
      <c r="C35" s="39" t="inlineStr">
        <is>
          <t>SATIN-FITTED-QUEEN-WHITE</t>
        </is>
      </c>
      <c r="D35" s="39" t="inlineStr">
        <is>
          <t>DECOLURE Satin Fitted Sheet Queen Size (1 PC) – Luxuriously Smooth &amp; Softer Than Silk Bed Sheets w/ 15 Inch Deep Pocket Hypoallergenic Wrinkle Free, Secure Snug Fit, Elastic Corner Straps (White)</t>
        </is>
      </c>
      <c r="E35" s="39" t="inlineStr">
        <is>
          <t>Queen</t>
        </is>
      </c>
      <c r="F35" s="39" t="inlineStr">
        <is>
          <t>White</t>
        </is>
      </c>
      <c r="G35" s="40" t="n"/>
      <c r="H35" s="39" t="n"/>
      <c r="I35" s="74" t="n">
        <v>31.14</v>
      </c>
      <c r="J35" s="75" t="inlineStr">
        <is>
          <t>2026-03-30</t>
        </is>
      </c>
      <c r="K35" s="40" t="n">
        <v>8.389999999999997</v>
      </c>
      <c r="L35" s="76" t="n">
        <v>0.2694283879254977</v>
      </c>
      <c r="M35" s="77" t="n">
        <v>4</v>
      </c>
      <c r="N35" s="79" t="inlineStr">
        <is>
          <t>Not buyable on Amazon 2026-10-14: page redirects to B0DBW27P8P (Full White) - FBA stock 0 since 2026-09-29, nothing inbound (deal records 2026-10-14)</t>
        </is>
      </c>
      <c r="O35" s="39" t="n"/>
      <c r="P35" s="78" t="n"/>
      <c r="Q35" s="77" t="n"/>
      <c r="R35" s="77" t="n"/>
      <c r="S35" s="77" t="n"/>
      <c r="T35" s="39" t="n"/>
    </row>
    <row r="36" ht="62" customHeight="1">
      <c r="A36" s="12">
        <f>_xlfn.IMAGE("https://m.media-amazon.com/images/I/81URVcoc9pL.jpg")</f>
        <v/>
      </c>
      <c r="B36" s="39" t="inlineStr">
        <is>
          <t>B0DBVZNLSM</t>
        </is>
      </c>
      <c r="C36" s="39" t="inlineStr">
        <is>
          <t>SATIN-FITTED-FULL-BLUSH-PINK</t>
        </is>
      </c>
      <c r="D36" s="39" t="inlineStr">
        <is>
          <t>DECOLURE Satin Fitted Sheet Full Size (1 PC) – Luxuriously Smooth &amp; Softer Than Silk Bed Sheets w/ 15 Inch Deep Pocket Hypoallergenic Wrinkle Free, Secure Snug Fit, Elastic Corner Straps (Blush Pink)</t>
        </is>
      </c>
      <c r="E36" s="39" t="inlineStr">
        <is>
          <t>Full</t>
        </is>
      </c>
      <c r="F36" s="39" t="inlineStr">
        <is>
          <t>Blush Pink</t>
        </is>
      </c>
      <c r="G36" s="73" t="n">
        <v>22.95</v>
      </c>
      <c r="H36" s="39" t="inlineStr">
        <is>
          <t>catalog price (CAD), 2026-10-14</t>
        </is>
      </c>
      <c r="I36" s="74" t="n">
        <v>30.01</v>
      </c>
      <c r="J36" s="75" t="inlineStr">
        <is>
          <t>2026-03-30</t>
        </is>
      </c>
      <c r="K36" s="40" t="n">
        <v>8.210000000000001</v>
      </c>
      <c r="L36" s="76" t="n">
        <v>0.2735754748417195</v>
      </c>
      <c r="M36" s="77" t="n">
        <v>3</v>
      </c>
      <c r="N36" s="39" t="inlineStr">
        <is>
          <t>Active</t>
        </is>
      </c>
      <c r="O36" s="39" t="n"/>
      <c r="P36" s="78" t="n">
        <v>4.4</v>
      </c>
      <c r="Q36" s="77" t="n">
        <v>1265</v>
      </c>
      <c r="R36" s="77" t="n">
        <v>10424</v>
      </c>
      <c r="S36" s="77" t="n">
        <v>3</v>
      </c>
      <c r="T36" s="39" t="n"/>
    </row>
    <row r="37" ht="62" customHeight="1">
      <c r="A37" s="12">
        <f>_xlfn.IMAGE("https://m.media-amazon.com/images/I/81r1IG1mOIL.jpg")</f>
        <v/>
      </c>
      <c r="B37" s="39" t="inlineStr">
        <is>
          <t>B0DBW1NXMH</t>
        </is>
      </c>
      <c r="C37" s="39" t="inlineStr">
        <is>
          <t>SATIN-FITTED-FULL-LAVENDER</t>
        </is>
      </c>
      <c r="D37" s="39" t="inlineStr">
        <is>
          <t>DECOLURE Satin Fitted Sheet Full Size (1 PC) – Luxuriously Smooth &amp; Softer Than Silk Bed Sheets w/ 15 Inch Deep Pocket Hypoallergenic Wrinkle Free, Secure Snug Fit, Elastic Corner Straps (Lavender)</t>
        </is>
      </c>
      <c r="E37" s="39" t="inlineStr">
        <is>
          <t>Full</t>
        </is>
      </c>
      <c r="F37" s="39" t="inlineStr">
        <is>
          <t>Lavender</t>
        </is>
      </c>
      <c r="G37" s="73" t="n">
        <v>22.95</v>
      </c>
      <c r="H37" s="39" t="inlineStr">
        <is>
          <t>catalog price (CAD), 2026-10-14</t>
        </is>
      </c>
      <c r="I37" s="74" t="n">
        <v>22.95</v>
      </c>
      <c r="J37" s="75" t="inlineStr">
        <is>
          <t>2026-03-30</t>
        </is>
      </c>
      <c r="K37" s="40" t="n">
        <v>7.499999999999997</v>
      </c>
      <c r="L37" s="76" t="n">
        <v>0.3267973856209149</v>
      </c>
      <c r="M37" s="77" t="n">
        <v>3</v>
      </c>
      <c r="N37" s="39" t="inlineStr">
        <is>
          <t>Active</t>
        </is>
      </c>
      <c r="O37" s="39" t="n"/>
      <c r="P37" s="78" t="n">
        <v>4.4</v>
      </c>
      <c r="Q37" s="77" t="n">
        <v>1265</v>
      </c>
      <c r="R37" s="77" t="n">
        <v>10424</v>
      </c>
      <c r="S37" s="77" t="n">
        <v>0</v>
      </c>
      <c r="T37" s="39" t="n"/>
    </row>
    <row r="38" ht="62" customHeight="1">
      <c r="A38" s="12">
        <f>_xlfn.IMAGE("https://m.media-amazon.com/images/I/71q7X0GjqSL.jpg")</f>
        <v/>
      </c>
      <c r="B38" s="39" t="inlineStr">
        <is>
          <t>B0DBVYHGK1</t>
        </is>
      </c>
      <c r="C38" s="39" t="inlineStr">
        <is>
          <t>SATIN-FITTED-FULL-NAVY-BLUE</t>
        </is>
      </c>
      <c r="D38" s="39" t="inlineStr">
        <is>
          <t>DECOLURE Satin Fitted Sheet Full Size (1 PC) – Luxuriously Smooth &amp; Softer Than Silk Bed Sheets w/ 15 Inch Deep Pocket Hypoallergenic Wrinkle Free, Secure Snug Fit, Elastic Corner Straps (Navy Blue)</t>
        </is>
      </c>
      <c r="E38" s="39" t="inlineStr">
        <is>
          <t>Full</t>
        </is>
      </c>
      <c r="F38" s="39" t="inlineStr">
        <is>
          <t>Navy Blue</t>
        </is>
      </c>
      <c r="G38" s="73" t="n">
        <v>22.95</v>
      </c>
      <c r="H38" s="39" t="inlineStr">
        <is>
          <t>catalog price (CAD), 2026-10-14</t>
        </is>
      </c>
      <c r="I38" s="74" t="n">
        <v>22.95</v>
      </c>
      <c r="J38" s="75" t="inlineStr">
        <is>
          <t>2026-03-30</t>
        </is>
      </c>
      <c r="K38" s="40" t="n">
        <v>7.449999999999998</v>
      </c>
      <c r="L38" s="76" t="n">
        <v>0.3246187363834421</v>
      </c>
      <c r="M38" s="77" t="n">
        <v>3</v>
      </c>
      <c r="N38" s="39" t="inlineStr">
        <is>
          <t>Active</t>
        </is>
      </c>
      <c r="O38" s="39" t="n"/>
      <c r="P38" s="78" t="n">
        <v>4.4</v>
      </c>
      <c r="Q38" s="77" t="n">
        <v>1265</v>
      </c>
      <c r="R38" s="77" t="n">
        <v>10424</v>
      </c>
      <c r="S38" s="77" t="n">
        <v>3</v>
      </c>
      <c r="T38" s="39" t="n"/>
    </row>
    <row r="39" ht="62" customHeight="1">
      <c r="A39" s="12">
        <f>_xlfn.IMAGE("https://m.media-amazon.com/images/I/81mTp2BYSlL.jpg")</f>
        <v/>
      </c>
      <c r="B39" s="39" t="inlineStr">
        <is>
          <t>B0DBW3YBV4</t>
        </is>
      </c>
      <c r="C39" s="39" t="inlineStr">
        <is>
          <t>SATIN-FITTED-FULL-RED</t>
        </is>
      </c>
      <c r="D39" s="39" t="inlineStr">
        <is>
          <t>DECOLURE Satin Fitted Sheet Full Size (1 PC) – Luxuriously Smooth &amp; Softer Than Silk Bed Sheets w/ 15 Inch Deep Pocket Hypoallergenic Wrinkle Free, Secure Snug Fit, Elastic Corner Straps (Red)</t>
        </is>
      </c>
      <c r="E39" s="39" t="inlineStr">
        <is>
          <t>Full</t>
        </is>
      </c>
      <c r="F39" s="39" t="inlineStr">
        <is>
          <t>Red</t>
        </is>
      </c>
      <c r="G39" s="73" t="n">
        <v>22.95</v>
      </c>
      <c r="H39" s="39" t="inlineStr">
        <is>
          <t>catalog price (CAD), 2026-10-14</t>
        </is>
      </c>
      <c r="I39" s="74" t="n">
        <v>22.95</v>
      </c>
      <c r="J39" s="75" t="inlineStr">
        <is>
          <t>2026-03-30</t>
        </is>
      </c>
      <c r="K39" s="40" t="n">
        <v>7.199999999999998</v>
      </c>
      <c r="L39" s="76" t="n">
        <v>0.3137254901960784</v>
      </c>
      <c r="M39" s="77" t="n">
        <v>3</v>
      </c>
      <c r="N39" s="39" t="inlineStr">
        <is>
          <t>Active</t>
        </is>
      </c>
      <c r="O39" s="39" t="n"/>
      <c r="P39" s="78" t="n">
        <v>4.4</v>
      </c>
      <c r="Q39" s="77" t="n">
        <v>1265</v>
      </c>
      <c r="R39" s="77" t="n">
        <v>10424</v>
      </c>
      <c r="S39" s="77" t="n">
        <v>3</v>
      </c>
      <c r="T39" s="39" t="n"/>
    </row>
    <row r="40" ht="62" customHeight="1">
      <c r="A40" s="12">
        <f>_xlfn.IMAGE("https://m.media-amazon.com/images/I/81RiAVYjy-L.jpg")</f>
        <v/>
      </c>
      <c r="B40" s="39" t="inlineStr">
        <is>
          <t>B0DBVZZZ7B</t>
        </is>
      </c>
      <c r="C40" s="39" t="inlineStr">
        <is>
          <t>SATIN-FITTED-FULL-STONE-GREY</t>
        </is>
      </c>
      <c r="D40" s="39" t="inlineStr">
        <is>
          <t>DECOLURE Satin Fitted Sheet Full Size (1 PC) – Luxuriously Smooth &amp; Softer Than Silk Bed Sheets w/ 15 Inch Deep Pocket Hypoallergenic Wrinkle Free, Secure Snug Fit, Elastic Corner Straps (Stone Grey)</t>
        </is>
      </c>
      <c r="E40" s="39" t="inlineStr">
        <is>
          <t>Full</t>
        </is>
      </c>
      <c r="F40" s="39" t="inlineStr">
        <is>
          <t>Stone Grey</t>
        </is>
      </c>
      <c r="G40" s="73" t="n">
        <v>22.95</v>
      </c>
      <c r="H40" s="39" t="inlineStr">
        <is>
          <t>catalog price (CAD), 2026-10-14</t>
        </is>
      </c>
      <c r="I40" s="74" t="n">
        <v>22.95</v>
      </c>
      <c r="J40" s="75" t="inlineStr">
        <is>
          <t>2026-03-30</t>
        </is>
      </c>
      <c r="K40" s="40" t="n">
        <v>7.319999999999998</v>
      </c>
      <c r="L40" s="76" t="n">
        <v>0.318954248366013</v>
      </c>
      <c r="M40" s="77" t="n">
        <v>3</v>
      </c>
      <c r="N40" s="39" t="inlineStr">
        <is>
          <t>Active</t>
        </is>
      </c>
      <c r="O40" s="39" t="n"/>
      <c r="P40" s="78" t="n">
        <v>4.4</v>
      </c>
      <c r="Q40" s="77" t="n">
        <v>1265</v>
      </c>
      <c r="R40" s="77" t="n">
        <v>10424</v>
      </c>
      <c r="S40" s="77" t="n">
        <v>3</v>
      </c>
      <c r="T40" s="39" t="n"/>
    </row>
    <row r="41" ht="62" customHeight="1">
      <c r="A41" s="12">
        <f>_xlfn.IMAGE("https://m.media-amazon.com/images/I/71TuVlzH09L.jpg")</f>
        <v/>
      </c>
      <c r="B41" s="39" t="inlineStr">
        <is>
          <t>B0DBVY6P25</t>
        </is>
      </c>
      <c r="C41" s="39" t="inlineStr">
        <is>
          <t>SATIN-FITTED-KING-GREY</t>
        </is>
      </c>
      <c r="D41" s="39" t="inlineStr">
        <is>
          <t>DECOLURE Satin Fitted Sheet King Size (1 PC) – Luxuriously Smooth &amp; Softer Than Silk Bed Sheets w/ 15 Inch Deep Pocket Hypoallergenic Wrinkle Free, Secure Snug Fit, Elastic Corner Straps (Grey)</t>
        </is>
      </c>
      <c r="E41" s="39" t="inlineStr">
        <is>
          <t>King</t>
        </is>
      </c>
      <c r="F41" s="39" t="inlineStr">
        <is>
          <t>Grey</t>
        </is>
      </c>
      <c r="G41" s="40" t="n"/>
      <c r="H41" s="39" t="n"/>
      <c r="I41" s="74" t="n">
        <v>31.6</v>
      </c>
      <c r="J41" s="75" t="inlineStr">
        <is>
          <t>2026-03-30</t>
        </is>
      </c>
      <c r="K41" s="40" t="n">
        <v>7.98</v>
      </c>
      <c r="L41" s="76" t="n">
        <v>0.2525316455696202</v>
      </c>
      <c r="M41" s="77" t="n">
        <v>3</v>
      </c>
      <c r="N41" s="79" t="inlineStr">
        <is>
          <t>Not buyable on Amazon 2026-10-14: page redirects to B0DBW17ZJP (Full Grey) - FBA stock 0 since 2026-09-29, nothing inbound (deal records 2026-10-14)</t>
        </is>
      </c>
      <c r="O41" s="39" t="n"/>
      <c r="P41" s="78" t="n"/>
      <c r="Q41" s="77" t="n"/>
      <c r="R41" s="77" t="n"/>
      <c r="S41" s="77" t="n"/>
      <c r="T41" s="39" t="n"/>
    </row>
    <row r="42" ht="62" customHeight="1">
      <c r="A42" s="12">
        <f>_xlfn.IMAGE("https://m.media-amazon.com/images/I/714ktb3sY+L.jpg")</f>
        <v/>
      </c>
      <c r="B42" s="39" t="inlineStr">
        <is>
          <t>B0DBW2G5JS</t>
        </is>
      </c>
      <c r="C42" s="39" t="inlineStr">
        <is>
          <t>SATIN-FITTED-KING-IVORY</t>
        </is>
      </c>
      <c r="D42" s="39" t="inlineStr">
        <is>
          <t>DECOLURE Satin Fitted Sheet King Size (1 PC) – Luxuriously Smooth &amp; Softer Than Silk Bed Sheets w/ 15 Inch Deep Pocket Hypoallergenic Wrinkle Free, Secure Snug Fit, Elastic Corner Straps (Ivory)</t>
        </is>
      </c>
      <c r="E42" s="39" t="inlineStr">
        <is>
          <t>King</t>
        </is>
      </c>
      <c r="F42" s="39" t="inlineStr">
        <is>
          <t>Ivory</t>
        </is>
      </c>
      <c r="G42" s="73" t="n">
        <v>27.95</v>
      </c>
      <c r="H42" s="39" t="inlineStr">
        <is>
          <t>catalog price (CAD), 2026-10-14</t>
        </is>
      </c>
      <c r="I42" s="74" t="n">
        <v>27.95</v>
      </c>
      <c r="J42" s="75" t="inlineStr">
        <is>
          <t>2026-03-30</t>
        </is>
      </c>
      <c r="K42" s="40" t="n">
        <v>9.769999999999998</v>
      </c>
      <c r="L42" s="76" t="n">
        <v>0.3495527728085868</v>
      </c>
      <c r="M42" s="77" t="n">
        <v>3</v>
      </c>
      <c r="N42" s="39" t="inlineStr">
        <is>
          <t>Active</t>
        </is>
      </c>
      <c r="O42" s="39" t="n"/>
      <c r="P42" s="78" t="n">
        <v>4.4</v>
      </c>
      <c r="Q42" s="77" t="n">
        <v>1265</v>
      </c>
      <c r="R42" s="77" t="n">
        <v>10424</v>
      </c>
      <c r="S42" s="77" t="n">
        <v>1</v>
      </c>
      <c r="T42" s="39" t="n"/>
    </row>
    <row r="43" ht="62" customHeight="1">
      <c r="A43" s="12">
        <f>_xlfn.IMAGE("https://m.media-amazon.com/images/I/81NguKiiueL.jpg")</f>
        <v/>
      </c>
      <c r="B43" s="39" t="inlineStr">
        <is>
          <t>B0DBVZGV7Z</t>
        </is>
      </c>
      <c r="C43" s="39" t="inlineStr">
        <is>
          <t>SATIN-FITTED-KING-SAGE-GREEN</t>
        </is>
      </c>
      <c r="D43" s="39" t="inlineStr">
        <is>
          <t>DECOLURE Satin Fitted Sheet King Size (1 PC) – Luxuriously Smooth &amp; Softer Than Silk Bed Sheets w/ 15 Inch Deep Pocket Hypoallergenic Wrinkle Free, Secure Snug Fit, Elastic Corner Straps (Sage Green)</t>
        </is>
      </c>
      <c r="E43" s="39" t="inlineStr">
        <is>
          <t>King</t>
        </is>
      </c>
      <c r="F43" s="39" t="inlineStr">
        <is>
          <t>Sage Green</t>
        </is>
      </c>
      <c r="G43" s="73" t="n">
        <v>27.95</v>
      </c>
      <c r="H43" s="39" t="inlineStr">
        <is>
          <t>catalog price (CAD), 2026-10-14</t>
        </is>
      </c>
      <c r="I43" s="74" t="n">
        <v>27.95</v>
      </c>
      <c r="J43" s="75" t="inlineStr">
        <is>
          <t>2026-03-30</t>
        </is>
      </c>
      <c r="K43" s="40" t="n">
        <v>10.49</v>
      </c>
      <c r="L43" s="76" t="n">
        <v>0.3753130590339893</v>
      </c>
      <c r="M43" s="77" t="n">
        <v>3</v>
      </c>
      <c r="N43" s="39" t="inlineStr">
        <is>
          <t>Active</t>
        </is>
      </c>
      <c r="O43" s="39" t="n"/>
      <c r="P43" s="78" t="n">
        <v>4.4</v>
      </c>
      <c r="Q43" s="77" t="n">
        <v>1265</v>
      </c>
      <c r="R43" s="77" t="n">
        <v>10424</v>
      </c>
      <c r="S43" s="77" t="n">
        <v>0</v>
      </c>
      <c r="T43" s="39" t="n"/>
    </row>
    <row r="44" ht="62" customHeight="1">
      <c r="A44" s="12">
        <f>_xlfn.IMAGE("https://m.media-amazon.com/images/I/81RiAVYjy-L.jpg")</f>
        <v/>
      </c>
      <c r="B44" s="39" t="inlineStr">
        <is>
          <t>B0DBVYF4DM</t>
        </is>
      </c>
      <c r="C44" s="39" t="inlineStr">
        <is>
          <t>SATIN-FITTED-KING-STONE-GREY</t>
        </is>
      </c>
      <c r="D44" s="39" t="inlineStr">
        <is>
          <t>DECOLURE Satin Fitted Sheet King Size (1 PC) – Luxuriously Smooth &amp; Softer Than Silk Bed Sheets w/ 15 Inch Deep Pocket Hypoallergenic Wrinkle Free, Secure Snug Fit, Elastic Corner Straps (Stone Grey)</t>
        </is>
      </c>
      <c r="E44" s="39" t="inlineStr">
        <is>
          <t>King</t>
        </is>
      </c>
      <c r="F44" s="39" t="inlineStr">
        <is>
          <t>Stone Grey</t>
        </is>
      </c>
      <c r="G44" s="40" t="n"/>
      <c r="H44" s="39" t="n"/>
      <c r="I44" s="74" t="n">
        <v>24.95</v>
      </c>
      <c r="J44" s="75" t="inlineStr">
        <is>
          <t>2026-03-30</t>
        </is>
      </c>
      <c r="K44" s="40" t="n">
        <v>7.750000000000001</v>
      </c>
      <c r="L44" s="76" t="n">
        <v>0.31062124248497</v>
      </c>
      <c r="M44" s="77" t="n">
        <v>3</v>
      </c>
      <c r="N44" s="79" t="inlineStr">
        <is>
          <t>Not buyable on Amazon 2026-10-14: page redirects to B0DBVZZZ7B (Full Stone Grey) - FBA stock 0 since 2026-10-08, nothing inbound (deal records 2026-10-14)</t>
        </is>
      </c>
      <c r="O44" s="39" t="n"/>
      <c r="P44" s="78" t="n"/>
      <c r="Q44" s="77" t="n"/>
      <c r="R44" s="77" t="n"/>
      <c r="S44" s="77" t="n"/>
      <c r="T44" s="39" t="n"/>
    </row>
    <row r="45" ht="62" customHeight="1">
      <c r="A45" s="12">
        <f>_xlfn.IMAGE("https://m.media-amazon.com/images/I/81r1IG1mOIL.jpg")</f>
        <v/>
      </c>
      <c r="B45" s="39" t="inlineStr">
        <is>
          <t>B0DBW47GVH</t>
        </is>
      </c>
      <c r="C45" s="39" t="inlineStr">
        <is>
          <t>SATIN-FITTED-QUEEN-LAVENDER</t>
        </is>
      </c>
      <c r="D45" s="39" t="inlineStr">
        <is>
          <t>DECOLURE Satin Fitted Sheet Queen Size (1 PC) – Luxuriously Smooth &amp; Softer Than Silk Bed Sheets w/ 15 Inch Deep Pocket Hypoallergenic Wrinkle Free, Secure Snug Fit, Elastic Corner Straps (Lavender)</t>
        </is>
      </c>
      <c r="E45" s="39" t="inlineStr">
        <is>
          <t>Queen</t>
        </is>
      </c>
      <c r="F45" s="39" t="inlineStr">
        <is>
          <t>Lavender</t>
        </is>
      </c>
      <c r="G45" s="73" t="n">
        <v>27.95</v>
      </c>
      <c r="H45" s="39" t="inlineStr">
        <is>
          <t>catalog price (CAD), 2026-10-14</t>
        </is>
      </c>
      <c r="I45" s="74" t="n">
        <v>35.23</v>
      </c>
      <c r="J45" s="75" t="inlineStr">
        <is>
          <t>2026-03-30</t>
        </is>
      </c>
      <c r="K45" s="40" t="n">
        <v>11.61</v>
      </c>
      <c r="L45" s="76" t="n">
        <v>0.3295486801021855</v>
      </c>
      <c r="M45" s="77" t="n">
        <v>3</v>
      </c>
      <c r="N45" s="39" t="inlineStr">
        <is>
          <t>Active</t>
        </is>
      </c>
      <c r="O45" s="39" t="n"/>
      <c r="P45" s="78" t="n">
        <v>4.4</v>
      </c>
      <c r="Q45" s="77" t="n">
        <v>1265</v>
      </c>
      <c r="R45" s="77" t="n">
        <v>10424</v>
      </c>
      <c r="S45" s="77" t="n">
        <v>1</v>
      </c>
      <c r="T45" s="39" t="n"/>
    </row>
    <row r="46" ht="62" customHeight="1">
      <c r="A46" s="12">
        <f>_xlfn.IMAGE("https://m.media-amazon.com/images/I/81hiVG9bW0L.jpg")</f>
        <v/>
      </c>
      <c r="B46" s="39" t="inlineStr">
        <is>
          <t>B0DBW47GVG</t>
        </is>
      </c>
      <c r="C46" s="39" t="inlineStr">
        <is>
          <t>SATIN-FITTED-QUEEN-PINK</t>
        </is>
      </c>
      <c r="D46" s="39" t="inlineStr">
        <is>
          <t>DECOLURE Satin Fitted Sheet Queen Size (1 PC) – Luxuriously Smooth &amp; Softer Than Silk Bed Sheets w/ 15 Inch Deep Pocket Hypoallergenic Wrinkle Free, Secure Snug Fit, Elastic Corner Straps (Pink)</t>
        </is>
      </c>
      <c r="E46" s="39" t="inlineStr">
        <is>
          <t>Queen</t>
        </is>
      </c>
      <c r="F46" s="39" t="inlineStr">
        <is>
          <t>Pink</t>
        </is>
      </c>
      <c r="G46" s="73" t="n">
        <v>23.95</v>
      </c>
      <c r="H46" s="39" t="inlineStr">
        <is>
          <t>catalog price (CAD), 2026-10-14</t>
        </is>
      </c>
      <c r="I46" s="74" t="n">
        <v>23.95</v>
      </c>
      <c r="J46" s="75" t="inlineStr">
        <is>
          <t>2026-03-30</t>
        </is>
      </c>
      <c r="K46" s="40" t="n">
        <v>7.659999999999999</v>
      </c>
      <c r="L46" s="76" t="n">
        <v>0.3198329853862213</v>
      </c>
      <c r="M46" s="77" t="n">
        <v>3</v>
      </c>
      <c r="N46" s="39" t="inlineStr">
        <is>
          <t>Active</t>
        </is>
      </c>
      <c r="O46" s="39" t="n"/>
      <c r="P46" s="78" t="n">
        <v>4.4</v>
      </c>
      <c r="Q46" s="77" t="n">
        <v>1265</v>
      </c>
      <c r="R46" s="77" t="n">
        <v>10424</v>
      </c>
      <c r="S46" s="77" t="n">
        <v>3</v>
      </c>
      <c r="T46" s="39" t="n"/>
    </row>
    <row r="47" ht="62" customHeight="1">
      <c r="A47" s="12">
        <f>_xlfn.IMAGE("https://m.media-amazon.com/images/I/81URVcoc9pL.jpg")</f>
        <v/>
      </c>
      <c r="B47" s="39" t="inlineStr">
        <is>
          <t>B0DBVZMMPN</t>
        </is>
      </c>
      <c r="C47" s="39" t="inlineStr">
        <is>
          <t>SATIN-FITTED-TWIN-BLUSH-PINK</t>
        </is>
      </c>
      <c r="D47" s="39" t="inlineStr">
        <is>
          <t>DECOLURE Satin Fitted Sheet Twin Size (1 PC) – Luxuriously Smooth &amp; Softer Than Silk Bed Sheets w/ 15 Inch Deep Pocket Hypoallergenic Wrinkle Free, Secure Snug Fit, Elastic Corner Straps (Blush Pink)</t>
        </is>
      </c>
      <c r="E47" s="39" t="inlineStr">
        <is>
          <t>Twin</t>
        </is>
      </c>
      <c r="F47" s="39" t="inlineStr">
        <is>
          <t>Blush Pink</t>
        </is>
      </c>
      <c r="G47" s="73" t="n">
        <v>20.95</v>
      </c>
      <c r="H47" s="39" t="inlineStr">
        <is>
          <t>catalog price (CAD), 2026-10-14</t>
        </is>
      </c>
      <c r="I47" s="74" t="n">
        <v>27.68</v>
      </c>
      <c r="J47" s="75" t="inlineStr">
        <is>
          <t>2026-03-30</t>
        </is>
      </c>
      <c r="K47" s="40" t="n">
        <v>7.76</v>
      </c>
      <c r="L47" s="76" t="n">
        <v>0.2803468208092486</v>
      </c>
      <c r="M47" s="77" t="n">
        <v>3</v>
      </c>
      <c r="N47" s="39" t="inlineStr">
        <is>
          <t>Active</t>
        </is>
      </c>
      <c r="O47" s="39" t="n"/>
      <c r="P47" s="78" t="n">
        <v>4.4</v>
      </c>
      <c r="Q47" s="77" t="n">
        <v>1265</v>
      </c>
      <c r="R47" s="77" t="n">
        <v>10424</v>
      </c>
      <c r="S47" s="77" t="n">
        <v>6</v>
      </c>
      <c r="T47" s="39" t="n"/>
    </row>
    <row r="48" ht="62" customHeight="1">
      <c r="A48" s="12">
        <f>_xlfn.IMAGE("https://m.media-amazon.com/images/I/71q7X0GjqSL.jpg")</f>
        <v/>
      </c>
      <c r="B48" s="39" t="inlineStr">
        <is>
          <t>B0DBW1ZHFR</t>
        </is>
      </c>
      <c r="C48" s="39" t="inlineStr">
        <is>
          <t>SATIN-FITTED-TWIN-NAVY-BLUE</t>
        </is>
      </c>
      <c r="D48" s="39" t="inlineStr">
        <is>
          <t>DECOLURE Satin Fitted Sheet Twin Size (1 PC) – Luxuriously Smooth &amp; Softer Than Silk Bed Sheets w/ 15 Inch Deep Pocket Hypoallergenic Wrinkle Free, Secure Snug Fit, Elastic Corner Straps (Navy Blue)</t>
        </is>
      </c>
      <c r="E48" s="39" t="inlineStr">
        <is>
          <t>Twin</t>
        </is>
      </c>
      <c r="F48" s="39" t="inlineStr">
        <is>
          <t>Navy Blue</t>
        </is>
      </c>
      <c r="G48" s="73" t="n">
        <v>20.95</v>
      </c>
      <c r="H48" s="39" t="inlineStr">
        <is>
          <t>catalog price (CAD), 2026-10-14</t>
        </is>
      </c>
      <c r="I48" s="74" t="n">
        <v>27.71</v>
      </c>
      <c r="J48" s="75" t="inlineStr">
        <is>
          <t>2026-03-30</t>
        </is>
      </c>
      <c r="K48" s="40" t="n">
        <v>7.200000000000001</v>
      </c>
      <c r="L48" s="76" t="n">
        <v>0.2598339949476723</v>
      </c>
      <c r="M48" s="77" t="n">
        <v>3</v>
      </c>
      <c r="N48" s="39" t="inlineStr">
        <is>
          <t>Active</t>
        </is>
      </c>
      <c r="O48" s="39" t="n"/>
      <c r="P48" s="78" t="n">
        <v>4.4</v>
      </c>
      <c r="Q48" s="77" t="n">
        <v>1265</v>
      </c>
      <c r="R48" s="77" t="n">
        <v>10424</v>
      </c>
      <c r="S48" s="77" t="n">
        <v>6</v>
      </c>
      <c r="T48" s="39" t="n"/>
    </row>
    <row r="49" ht="62" customHeight="1">
      <c r="A49" s="12">
        <f>_xlfn.IMAGE("https://m.media-amazon.com/images/I/71TuVlzH09L.jpg")</f>
        <v/>
      </c>
      <c r="B49" s="39" t="inlineStr">
        <is>
          <t>B0DBW17ZJP</t>
        </is>
      </c>
      <c r="C49" s="39" t="inlineStr">
        <is>
          <t>SATIN-FITTED-FULL-GREY</t>
        </is>
      </c>
      <c r="D49" s="39" t="inlineStr">
        <is>
          <t>DECOLURE Satin Fitted Sheet Full Size (1 PC) – Luxuriously Smooth &amp; Softer Than Silk Bed Sheets w/ 15 Inch Deep Pocket Hypoallergenic Wrinkle Free, Secure Snug Fit, Elastic Corner Straps (Grey)</t>
        </is>
      </c>
      <c r="E49" s="39" t="inlineStr">
        <is>
          <t>Full</t>
        </is>
      </c>
      <c r="F49" s="39" t="inlineStr">
        <is>
          <t>Grey</t>
        </is>
      </c>
      <c r="G49" s="73" t="n">
        <v>20.95</v>
      </c>
      <c r="H49" s="39" t="inlineStr">
        <is>
          <t>catalog price (CAD), 2026-10-14</t>
        </is>
      </c>
      <c r="I49" s="74" t="n">
        <v>20.95</v>
      </c>
      <c r="J49" s="75" t="inlineStr">
        <is>
          <t>2026-03-30</t>
        </is>
      </c>
      <c r="K49" s="40" t="n">
        <v>5.319999999999999</v>
      </c>
      <c r="L49" s="76" t="n">
        <v>0.2539379474940334</v>
      </c>
      <c r="M49" s="77" t="n">
        <v>2</v>
      </c>
      <c r="N49" s="39" t="inlineStr">
        <is>
          <t>Active</t>
        </is>
      </c>
      <c r="O49" s="39" t="n"/>
      <c r="P49" s="78" t="n">
        <v>4.4</v>
      </c>
      <c r="Q49" s="77" t="n">
        <v>1265</v>
      </c>
      <c r="R49" s="77" t="n">
        <v>10424</v>
      </c>
      <c r="S49" s="77" t="n">
        <v>5</v>
      </c>
      <c r="T49" s="39" t="n"/>
    </row>
    <row r="50" ht="62" customHeight="1">
      <c r="A50" s="12">
        <f>_xlfn.IMAGE("https://m.media-amazon.com/images/I/714ktb3sY+L.jpg")</f>
        <v/>
      </c>
      <c r="B50" s="39" t="inlineStr">
        <is>
          <t>B0DBW2GW4S</t>
        </is>
      </c>
      <c r="C50" s="39" t="inlineStr">
        <is>
          <t>SATIN-FITTED-FULL-IVORY</t>
        </is>
      </c>
      <c r="D50" s="39" t="inlineStr">
        <is>
          <t>DECOLURE Satin Fitted Sheet Full Size (1 PC) – Luxuriously Smooth &amp; Softer Than Silk Bed Sheets w/ 15 Inch Deep Pocket Hypoallergenic Wrinkle Free, Secure Snug Fit, Elastic Corner Straps (Ivory)</t>
        </is>
      </c>
      <c r="E50" s="39" t="inlineStr">
        <is>
          <t>Full</t>
        </is>
      </c>
      <c r="F50" s="39" t="inlineStr">
        <is>
          <t>Ivory</t>
        </is>
      </c>
      <c r="G50" s="73" t="n">
        <v>22.95</v>
      </c>
      <c r="H50" s="39" t="inlineStr">
        <is>
          <t>catalog price (CAD), 2026-10-14</t>
        </is>
      </c>
      <c r="I50" s="74" t="n">
        <v>22.95</v>
      </c>
      <c r="J50" s="75" t="inlineStr">
        <is>
          <t>2026-03-30</t>
        </is>
      </c>
      <c r="K50" s="40" t="n">
        <v>7.369999999999997</v>
      </c>
      <c r="L50" s="76" t="n">
        <v>0.3211328976034857</v>
      </c>
      <c r="M50" s="77" t="n">
        <v>2</v>
      </c>
      <c r="N50" s="39" t="inlineStr">
        <is>
          <t>Active</t>
        </is>
      </c>
      <c r="O50" s="39" t="n"/>
      <c r="P50" s="78" t="n">
        <v>4.4</v>
      </c>
      <c r="Q50" s="77" t="n">
        <v>1265</v>
      </c>
      <c r="R50" s="77" t="n">
        <v>10424</v>
      </c>
      <c r="S50" s="77" t="n">
        <v>3</v>
      </c>
      <c r="T50" s="39" t="n"/>
    </row>
    <row r="51" ht="62" customHeight="1">
      <c r="A51" s="12">
        <f>_xlfn.IMAGE("https://m.media-amazon.com/images/I/81URVcoc9pL.jpg")</f>
        <v/>
      </c>
      <c r="B51" s="39" t="inlineStr">
        <is>
          <t>B0DBVZZD7X</t>
        </is>
      </c>
      <c r="C51" s="39" t="inlineStr">
        <is>
          <t>SATIN-FITTED-KING-BLUSH-PINK</t>
        </is>
      </c>
      <c r="D51" s="39" t="inlineStr">
        <is>
          <t>DECOLURE Satin Fitted Sheet King Size (1 PC) – Luxuriously Smooth &amp; Softer Than Silk Bed Sheets w/ 15 Inch Deep Pocket Hypoallergenic Wrinkle Free, Secure Snug Fit, Elastic Corner Straps (Blush Pink)</t>
        </is>
      </c>
      <c r="E51" s="39" t="inlineStr">
        <is>
          <t>King</t>
        </is>
      </c>
      <c r="F51" s="39" t="inlineStr">
        <is>
          <t>Blush Pink</t>
        </is>
      </c>
      <c r="G51" s="73" t="n">
        <v>27.95</v>
      </c>
      <c r="H51" s="39" t="inlineStr">
        <is>
          <t>catalog price (CAD), 2026-10-14</t>
        </is>
      </c>
      <c r="I51" s="74" t="n">
        <v>35.66</v>
      </c>
      <c r="J51" s="75" t="inlineStr">
        <is>
          <t>2026-03-30</t>
        </is>
      </c>
      <c r="K51" s="40" t="n">
        <v>10.02999999999999</v>
      </c>
      <c r="L51" s="76" t="n">
        <v>0.2812675266404934</v>
      </c>
      <c r="M51" s="77" t="n">
        <v>2</v>
      </c>
      <c r="N51" s="39" t="inlineStr">
        <is>
          <t>Active</t>
        </is>
      </c>
      <c r="O51" s="39" t="n"/>
      <c r="P51" s="78" t="n">
        <v>4.4</v>
      </c>
      <c r="Q51" s="77" t="n">
        <v>1265</v>
      </c>
      <c r="R51" s="77" t="n">
        <v>10424</v>
      </c>
      <c r="S51" s="77" t="n">
        <v>0</v>
      </c>
      <c r="T51" s="39" t="n"/>
    </row>
    <row r="52" ht="62" customHeight="1">
      <c r="A52" s="12">
        <f>_xlfn.IMAGE("https://m.media-amazon.com/images/I/81Zp5JX8nUL.jpg")</f>
        <v/>
      </c>
      <c r="B52" s="39" t="inlineStr">
        <is>
          <t>B0DBVYYWX3</t>
        </is>
      </c>
      <c r="C52" s="39" t="inlineStr">
        <is>
          <t>SATIN-FITTED-KING-DARK-GREEN</t>
        </is>
      </c>
      <c r="D52" s="39" t="inlineStr">
        <is>
          <t>DECOLURE Satin Fitted Sheet King Size (1 PC) – Luxuriously Smooth &amp; Softer Than Silk Bed Sheets w/ 15 Inch Deep Pocket Hypoallergenic Wrinkle Free, Secure Snug Fit, Elastic Corner Straps (Dark Green)</t>
        </is>
      </c>
      <c r="E52" s="39" t="inlineStr">
        <is>
          <t>King</t>
        </is>
      </c>
      <c r="F52" s="39" t="inlineStr">
        <is>
          <t>Dark Green</t>
        </is>
      </c>
      <c r="G52" s="73" t="n">
        <v>27.95</v>
      </c>
      <c r="H52" s="39" t="inlineStr">
        <is>
          <t>catalog price (CAD), 2026-10-14</t>
        </is>
      </c>
      <c r="I52" s="74" t="n">
        <v>27.95</v>
      </c>
      <c r="J52" s="75" t="inlineStr">
        <is>
          <t>2026-03-30</t>
        </is>
      </c>
      <c r="K52" s="40" t="n">
        <v>10.09</v>
      </c>
      <c r="L52" s="76" t="n">
        <v>0.3610017889087656</v>
      </c>
      <c r="M52" s="77" t="n">
        <v>2</v>
      </c>
      <c r="N52" s="39" t="inlineStr">
        <is>
          <t>Active</t>
        </is>
      </c>
      <c r="O52" s="39" t="n"/>
      <c r="P52" s="78" t="n">
        <v>4.4</v>
      </c>
      <c r="Q52" s="77" t="n">
        <v>1265</v>
      </c>
      <c r="R52" s="77" t="n">
        <v>10424</v>
      </c>
      <c r="S52" s="77" t="n">
        <v>1</v>
      </c>
      <c r="T52" s="39" t="n"/>
    </row>
    <row r="53" ht="62" customHeight="1">
      <c r="A53" s="12">
        <f>_xlfn.IMAGE("https://m.media-amazon.com/images/I/71bgU8vMQnL.jpg")</f>
        <v/>
      </c>
      <c r="B53" s="39" t="inlineStr">
        <is>
          <t>B0DBVZJTGS</t>
        </is>
      </c>
      <c r="C53" s="39" t="inlineStr">
        <is>
          <t>SATIN-FITTED-KING-PURPLE</t>
        </is>
      </c>
      <c r="D53" s="39" t="inlineStr">
        <is>
          <t>DECOLURE Satin Fitted Sheet King Size (1 PC) – Luxuriously Smooth &amp; Softer Than Silk Bed Sheets w/ 15 Inch Deep Pocket Hypoallergenic Wrinkle Free, Secure Snug Fit, Elastic Corner Straps (Purple)</t>
        </is>
      </c>
      <c r="E53" s="39" t="inlineStr">
        <is>
          <t>King</t>
        </is>
      </c>
      <c r="F53" s="39" t="inlineStr">
        <is>
          <t>Purple</t>
        </is>
      </c>
      <c r="G53" s="73" t="n">
        <v>27.95</v>
      </c>
      <c r="H53" s="39" t="inlineStr">
        <is>
          <t>catalog price (CAD), 2026-10-14</t>
        </is>
      </c>
      <c r="I53" s="74" t="n">
        <v>27.95</v>
      </c>
      <c r="J53" s="75" t="inlineStr">
        <is>
          <t>2026-03-30</t>
        </is>
      </c>
      <c r="K53" s="40" t="n">
        <v>10.38</v>
      </c>
      <c r="L53" s="76" t="n">
        <v>0.3713774597495528</v>
      </c>
      <c r="M53" s="77" t="n">
        <v>2</v>
      </c>
      <c r="N53" s="39" t="inlineStr">
        <is>
          <t>Active</t>
        </is>
      </c>
      <c r="O53" s="39" t="n"/>
      <c r="P53" s="78" t="n">
        <v>4.4</v>
      </c>
      <c r="Q53" s="77" t="n">
        <v>1265</v>
      </c>
      <c r="R53" s="77" t="n">
        <v>10424</v>
      </c>
      <c r="S53" s="77" t="n">
        <v>1</v>
      </c>
      <c r="T53" s="39" t="n"/>
    </row>
    <row r="54" ht="62" customHeight="1">
      <c r="A54" s="12">
        <f>_xlfn.IMAGE("https://m.media-amazon.com/images/I/81URVcoc9pL.jpg")</f>
        <v/>
      </c>
      <c r="B54" s="39" t="inlineStr">
        <is>
          <t>B0DBVZBLDK</t>
        </is>
      </c>
      <c r="C54" s="39" t="inlineStr">
        <is>
          <t>SATIN-FITTED-QUEEN-BLUSH-PINK</t>
        </is>
      </c>
      <c r="D54" s="39" t="inlineStr">
        <is>
          <t>DECOLURE Satin Fitted Sheet Queen Size (1 PC) – Luxuriously Smooth &amp; Softer than Silk Bed Sheets w/ 15 Inch Deep Pocket Hypoallergenic Wrinkle Free, Secure Snug Fit, Elastic Corner Straps (Blush Pink)</t>
        </is>
      </c>
      <c r="E54" s="39" t="inlineStr">
        <is>
          <t>Queen</t>
        </is>
      </c>
      <c r="F54" s="39" t="inlineStr">
        <is>
          <t>Blush Pink</t>
        </is>
      </c>
      <c r="G54" s="73" t="n">
        <v>23.95</v>
      </c>
      <c r="H54" s="39" t="inlineStr">
        <is>
          <t>catalog price (CAD), 2026-10-14</t>
        </is>
      </c>
      <c r="I54" s="74" t="n">
        <v>31.2</v>
      </c>
      <c r="J54" s="75" t="inlineStr">
        <is>
          <t>2026-03-30</t>
        </is>
      </c>
      <c r="K54" s="40" t="n">
        <v>9.09</v>
      </c>
      <c r="L54" s="76" t="n">
        <v>0.2913461538461539</v>
      </c>
      <c r="M54" s="77" t="n">
        <v>2</v>
      </c>
      <c r="N54" s="39" t="inlineStr">
        <is>
          <t>Active</t>
        </is>
      </c>
      <c r="O54" s="39" t="n"/>
      <c r="P54" s="78" t="n">
        <v>4.4</v>
      </c>
      <c r="Q54" s="77" t="n">
        <v>1265</v>
      </c>
      <c r="R54" s="77" t="n">
        <v>10424</v>
      </c>
      <c r="S54" s="77" t="n">
        <v>2</v>
      </c>
      <c r="T54" s="39" t="n"/>
    </row>
    <row r="55" ht="62" customHeight="1">
      <c r="A55" s="12">
        <f>_xlfn.IMAGE("https://m.media-amazon.com/images/I/71APUp+JE3L.jpg")</f>
        <v/>
      </c>
      <c r="B55" s="39" t="inlineStr">
        <is>
          <t>B0DBVZRL8V</t>
        </is>
      </c>
      <c r="C55" s="39" t="inlineStr">
        <is>
          <t>SATIN-FITTED-TWIN-BLACK</t>
        </is>
      </c>
      <c r="D55" s="39" t="inlineStr">
        <is>
          <t>DECOLURE Satin Fitted Sheet Twin Size (1 PC) – Luxuriously Smooth &amp; Softer Than Silk Bed Sheets w/ 15 Inch Deep Pocket Hypoallergenic Wrinkle Free, Secure Snug Fit, Elastic Corner Straps (Black)</t>
        </is>
      </c>
      <c r="E55" s="39" t="inlineStr">
        <is>
          <t>Twin</t>
        </is>
      </c>
      <c r="F55" s="39" t="inlineStr">
        <is>
          <t>Black</t>
        </is>
      </c>
      <c r="G55" s="40" t="n"/>
      <c r="H55" s="39" t="n"/>
      <c r="I55" s="74" t="n">
        <v>19.95</v>
      </c>
      <c r="J55" s="75" t="inlineStr">
        <is>
          <t>2026-03-30</t>
        </is>
      </c>
      <c r="K55" s="40" t="n">
        <v>5.040000000000001</v>
      </c>
      <c r="L55" s="76" t="n">
        <v>0.2526315789473685</v>
      </c>
      <c r="M55" s="77" t="n">
        <v>2</v>
      </c>
      <c r="N55" s="79" t="inlineStr">
        <is>
          <t>Not buyable on Amazon 2026-10-14: page redirects to B0DBW13VVR (King Black) - FBA stock 0 since 2026-10-07, nothing inbound (deal records 2026-10-14)</t>
        </is>
      </c>
      <c r="O55" s="39" t="n"/>
      <c r="P55" s="78" t="n"/>
      <c r="Q55" s="77" t="n"/>
      <c r="R55" s="77" t="n"/>
      <c r="S55" s="77" t="n"/>
      <c r="T55" s="39" t="n"/>
    </row>
    <row r="56" ht="62" customHeight="1">
      <c r="A56" s="12">
        <f>_xlfn.IMAGE("https://m.media-amazon.com/images/I/71TuVlzH09L.jpg")</f>
        <v/>
      </c>
      <c r="B56" s="39" t="inlineStr">
        <is>
          <t>B0DBW2LTK4</t>
        </is>
      </c>
      <c r="C56" s="39" t="inlineStr">
        <is>
          <t>SATIN-FITTED-TWIN-GREY</t>
        </is>
      </c>
      <c r="D56" s="39" t="inlineStr">
        <is>
          <t>DECOLURE Satin Fitted Sheet Twin Size (1 PC) – Luxuriously Smooth &amp; Softer Than Silk Bed Sheets w/ 15 Inch Deep Pocket Hypoallergenic Wrinkle Free, Secure Snug Fit, Elastic Corner Straps (Grey)</t>
        </is>
      </c>
      <c r="E56" s="39" t="inlineStr">
        <is>
          <t>Twin</t>
        </is>
      </c>
      <c r="F56" s="39" t="inlineStr">
        <is>
          <t>Grey</t>
        </is>
      </c>
      <c r="G56" s="73" t="n">
        <v>19.95</v>
      </c>
      <c r="H56" s="39" t="inlineStr">
        <is>
          <t>catalog price (CAD), 2026-10-14</t>
        </is>
      </c>
      <c r="I56" s="74" t="n">
        <v>19.95</v>
      </c>
      <c r="J56" s="75" t="inlineStr">
        <is>
          <t>2026-03-30</t>
        </is>
      </c>
      <c r="K56" s="40" t="n">
        <v>5.760000000000002</v>
      </c>
      <c r="L56" s="76" t="n">
        <v>0.2887218045112783</v>
      </c>
      <c r="M56" s="77" t="n">
        <v>2</v>
      </c>
      <c r="N56" s="39" t="inlineStr">
        <is>
          <t>Active</t>
        </is>
      </c>
      <c r="O56" s="39" t="n"/>
      <c r="P56" s="78" t="n">
        <v>4.4</v>
      </c>
      <c r="Q56" s="77" t="n">
        <v>1265</v>
      </c>
      <c r="R56" s="77" t="n">
        <v>10424</v>
      </c>
      <c r="S56" s="77" t="n">
        <v>7</v>
      </c>
      <c r="T56" s="39" t="n"/>
    </row>
    <row r="57" ht="62" customHeight="1">
      <c r="A57" s="12">
        <f>_xlfn.IMAGE("https://m.media-amazon.com/images/I/714ktb3sY+L.jpg")</f>
        <v/>
      </c>
      <c r="B57" s="39" t="inlineStr">
        <is>
          <t>B0DBW6FW27</t>
        </is>
      </c>
      <c r="C57" s="39" t="inlineStr">
        <is>
          <t>SATIN-FITTED-TWIN-IVORY</t>
        </is>
      </c>
      <c r="D57" s="39" t="inlineStr">
        <is>
          <t>DECOLURE Satin Fitted Sheet Twin Size (1 PC) – Luxuriously Smooth &amp; Softer Than Silk Bed Sheets w/ 15 Inch Deep Pocket Hypoallergenic Wrinkle Free, Secure Snug Fit, Elastic Corner Straps (Ivory)</t>
        </is>
      </c>
      <c r="E57" s="39" t="inlineStr">
        <is>
          <t>Twin</t>
        </is>
      </c>
      <c r="F57" s="39" t="inlineStr">
        <is>
          <t>Ivory</t>
        </is>
      </c>
      <c r="G57" s="73" t="n">
        <v>20.95</v>
      </c>
      <c r="H57" s="39" t="inlineStr">
        <is>
          <t>catalog price (CAD), 2026-10-14</t>
        </is>
      </c>
      <c r="I57" s="74" t="n">
        <v>20.95</v>
      </c>
      <c r="J57" s="75" t="inlineStr">
        <is>
          <t>2026-03-30</t>
        </is>
      </c>
      <c r="K57" s="40" t="n">
        <v>6.329999999999998</v>
      </c>
      <c r="L57" s="76" t="n">
        <v>0.3021479713603818</v>
      </c>
      <c r="M57" s="77" t="n">
        <v>2</v>
      </c>
      <c r="N57" s="39" t="inlineStr">
        <is>
          <t>Active</t>
        </is>
      </c>
      <c r="O57" s="39" t="n"/>
      <c r="P57" s="78" t="n">
        <v>4.4</v>
      </c>
      <c r="Q57" s="77" t="n">
        <v>1265</v>
      </c>
      <c r="R57" s="77" t="n">
        <v>10424</v>
      </c>
      <c r="S57" s="77" t="n">
        <v>0</v>
      </c>
      <c r="T57" s="39" t="n"/>
    </row>
    <row r="58" ht="62" customHeight="1">
      <c r="A58" s="12">
        <f>_xlfn.IMAGE("https://m.media-amazon.com/images/I/71bgU8vMQnL.jpg")</f>
        <v/>
      </c>
      <c r="B58" s="39" t="inlineStr">
        <is>
          <t>B0DBW1M6RR</t>
        </is>
      </c>
      <c r="C58" s="39" t="inlineStr">
        <is>
          <t>SATIN-FITTED-TWIN-PURPLE</t>
        </is>
      </c>
      <c r="D58" s="39" t="inlineStr">
        <is>
          <t>DECOLURE Satin Fitted Sheet Twin Size (1 PC) – Luxuriously Smooth &amp; Softer Than Silk Bed Sheets w/ 15 Inch Deep Pocket Hypoallergenic Wrinkle Free, Secure Snug Fit, Elastic Corner Straps (Purple)</t>
        </is>
      </c>
      <c r="E58" s="39" t="inlineStr">
        <is>
          <t>Twin</t>
        </is>
      </c>
      <c r="F58" s="39" t="inlineStr">
        <is>
          <t>Purple</t>
        </is>
      </c>
      <c r="G58" s="73" t="n">
        <v>20.95</v>
      </c>
      <c r="H58" s="39" t="inlineStr">
        <is>
          <t>catalog price (CAD), 2026-10-14</t>
        </is>
      </c>
      <c r="I58" s="74" t="n">
        <v>27.71</v>
      </c>
      <c r="J58" s="75" t="inlineStr">
        <is>
          <t>2026-03-30</t>
        </is>
      </c>
      <c r="K58" s="40" t="n">
        <v>6.99</v>
      </c>
      <c r="L58" s="76" t="n">
        <v>0.2522555034283652</v>
      </c>
      <c r="M58" s="77" t="n">
        <v>2</v>
      </c>
      <c r="N58" s="39" t="inlineStr">
        <is>
          <t>Active</t>
        </is>
      </c>
      <c r="O58" s="39" t="n"/>
      <c r="P58" s="78" t="n">
        <v>4.4</v>
      </c>
      <c r="Q58" s="77" t="n">
        <v>1265</v>
      </c>
      <c r="R58" s="77" t="n">
        <v>10424</v>
      </c>
      <c r="S58" s="77" t="n">
        <v>5</v>
      </c>
      <c r="T58" s="39" t="n"/>
    </row>
    <row r="59" ht="62" customHeight="1">
      <c r="A59" s="12">
        <f>_xlfn.IMAGE("https://m.media-amazon.com/images/I/81RiAVYjy-L.jpg")</f>
        <v/>
      </c>
      <c r="B59" s="39" t="inlineStr">
        <is>
          <t>B0DBW28W1W</t>
        </is>
      </c>
      <c r="C59" s="39" t="inlineStr">
        <is>
          <t>SATIN-FITTED-TWIN-STONE-GREY</t>
        </is>
      </c>
      <c r="D59" s="39" t="inlineStr">
        <is>
          <t>DECOLURE Satin Fitted Sheet Twin Size (1 PC) – Luxuriously Smooth &amp; Softer Than Silk Bed Sheets w/ 15 Inch Deep Pocket Hypoallergenic Wrinkle Free, Secure Snug Fit, Elastic Corner Straps (Stone Grey)</t>
        </is>
      </c>
      <c r="E59" s="39" t="inlineStr">
        <is>
          <t>Twin</t>
        </is>
      </c>
      <c r="F59" s="39" t="inlineStr">
        <is>
          <t>Stone Grey</t>
        </is>
      </c>
      <c r="G59" s="73" t="n">
        <v>20.95</v>
      </c>
      <c r="H59" s="39" t="inlineStr">
        <is>
          <t>catalog price (CAD), 2026-10-14</t>
        </is>
      </c>
      <c r="I59" s="74" t="n">
        <v>27.71</v>
      </c>
      <c r="J59" s="75" t="inlineStr">
        <is>
          <t>2026-03-30</t>
        </is>
      </c>
      <c r="K59" s="40" t="n">
        <v>6.76</v>
      </c>
      <c r="L59" s="76" t="n">
        <v>0.2439552508119812</v>
      </c>
      <c r="M59" s="77" t="n">
        <v>2</v>
      </c>
      <c r="N59" s="39" t="inlineStr">
        <is>
          <t>Active</t>
        </is>
      </c>
      <c r="O59" s="39" t="n"/>
      <c r="P59" s="78" t="n">
        <v>4.4</v>
      </c>
      <c r="Q59" s="77" t="n">
        <v>1265</v>
      </c>
      <c r="R59" s="77" t="n">
        <v>10424</v>
      </c>
      <c r="S59" s="77" t="n">
        <v>6</v>
      </c>
      <c r="T59" s="39" t="n"/>
    </row>
    <row r="60" ht="62" customHeight="1">
      <c r="A60" s="12">
        <f>_xlfn.IMAGE("https://m.media-amazon.com/images/I/812QjIl2c0L.jpg")</f>
        <v/>
      </c>
      <c r="B60" s="39" t="inlineStr">
        <is>
          <t>B0DBVZV66D</t>
        </is>
      </c>
      <c r="C60" s="39" t="inlineStr">
        <is>
          <t>SATIN-FITTED-FULL-BABY-BLUE</t>
        </is>
      </c>
      <c r="D60" s="39" t="inlineStr">
        <is>
          <t>DECOLURE Satin Fitted Sheet Full Size (1 PC) – Luxuriously Smooth &amp; Softer Than Silk Bed Sheets w/ 15 Inch Deep Pocket Hypoallergenic Wrinkle Free, Secure Snug Fit, Elastic Corner Straps (Baby Blue)</t>
        </is>
      </c>
      <c r="E60" s="39" t="inlineStr">
        <is>
          <t>Full</t>
        </is>
      </c>
      <c r="F60" s="39" t="inlineStr">
        <is>
          <t>Baby Blue</t>
        </is>
      </c>
      <c r="G60" s="73" t="n">
        <v>22.95</v>
      </c>
      <c r="H60" s="39" t="inlineStr">
        <is>
          <t>catalog price (CAD), 2026-10-14</t>
        </is>
      </c>
      <c r="I60" s="74" t="n">
        <v>22.95</v>
      </c>
      <c r="J60" s="75" t="inlineStr">
        <is>
          <t>2026-03-30</t>
        </is>
      </c>
      <c r="K60" s="40" t="n">
        <v>7.499999999999997</v>
      </c>
      <c r="L60" s="76" t="n">
        <v>0.3267973856209149</v>
      </c>
      <c r="M60" s="77" t="n">
        <v>1</v>
      </c>
      <c r="N60" s="39" t="inlineStr">
        <is>
          <t>Active</t>
        </is>
      </c>
      <c r="O60" s="39" t="n"/>
      <c r="P60" s="78" t="n">
        <v>4.4</v>
      </c>
      <c r="Q60" s="77" t="n">
        <v>1265</v>
      </c>
      <c r="R60" s="77" t="n">
        <v>10424</v>
      </c>
      <c r="S60" s="77" t="n">
        <v>3</v>
      </c>
      <c r="T60" s="39" t="n"/>
    </row>
    <row r="61" ht="62" customHeight="1">
      <c r="A61" s="12">
        <f>_xlfn.IMAGE("https://m.media-amazon.com/images/I/71bgU8vMQnL.jpg")</f>
        <v/>
      </c>
      <c r="B61" s="39" t="inlineStr">
        <is>
          <t>B0DBVZGV7Y</t>
        </is>
      </c>
      <c r="C61" s="39" t="inlineStr">
        <is>
          <t>SATIN-FITTED-FULL-PURPLE</t>
        </is>
      </c>
      <c r="D61" s="39" t="inlineStr">
        <is>
          <t>DECOLURE Satin Fitted Sheet Full Size (1 PC) – Luxuriously Smooth &amp; Softer Than Silk Bed Sheets w/ 15 Inch Deep Pocket Hypoallergenic Wrinkle Free, Secure Snug Fit, Elastic Corner Straps (Purple)</t>
        </is>
      </c>
      <c r="E61" s="39" t="inlineStr">
        <is>
          <t>Full</t>
        </is>
      </c>
      <c r="F61" s="39" t="inlineStr">
        <is>
          <t>Purple</t>
        </is>
      </c>
      <c r="G61" s="73" t="n">
        <v>22.95</v>
      </c>
      <c r="H61" s="39" t="inlineStr">
        <is>
          <t>catalog price (CAD), 2026-10-14</t>
        </is>
      </c>
      <c r="I61" s="74" t="n">
        <v>22.95</v>
      </c>
      <c r="J61" s="75" t="inlineStr">
        <is>
          <t>2026-03-30</t>
        </is>
      </c>
      <c r="K61" s="40" t="n">
        <v>7.729999999999998</v>
      </c>
      <c r="L61" s="76" t="n">
        <v>0.3368191721132897</v>
      </c>
      <c r="M61" s="77" t="n">
        <v>1</v>
      </c>
      <c r="N61" s="39" t="inlineStr">
        <is>
          <t>Active</t>
        </is>
      </c>
      <c r="O61" s="39" t="n"/>
      <c r="P61" s="78" t="n">
        <v>4.4</v>
      </c>
      <c r="Q61" s="77" t="n">
        <v>1265</v>
      </c>
      <c r="R61" s="77" t="n">
        <v>10424</v>
      </c>
      <c r="S61" s="77" t="n">
        <v>0</v>
      </c>
      <c r="T61" s="39" t="n"/>
    </row>
    <row r="62" ht="62" customHeight="1">
      <c r="A62" s="12">
        <f>_xlfn.IMAGE("https://m.media-amazon.com/images/I/81r1IG1mOIL.jpg")</f>
        <v/>
      </c>
      <c r="B62" s="39" t="inlineStr">
        <is>
          <t>B0DBW1FPBT</t>
        </is>
      </c>
      <c r="C62" s="39" t="inlineStr">
        <is>
          <t>SATIN-FITTED-KING-LAVENDER</t>
        </is>
      </c>
      <c r="D62" s="39" t="inlineStr">
        <is>
          <t>DECOLURE Satin Fitted Sheet King Size (1 PC) – Luxuriously Smooth &amp; Softer Than Silk Bed Sheets w/ 15 Inch Deep Pocket Hypoallergenic Wrinkle Free, Secure Snug Fit, Elastic Corner Straps (Lavender)</t>
        </is>
      </c>
      <c r="E62" s="39" t="inlineStr">
        <is>
          <t>King</t>
        </is>
      </c>
      <c r="F62" s="39" t="inlineStr">
        <is>
          <t>Lavender</t>
        </is>
      </c>
      <c r="G62" s="73" t="n">
        <v>27.95</v>
      </c>
      <c r="H62" s="39" t="inlineStr">
        <is>
          <t>catalog price (CAD), 2026-10-14</t>
        </is>
      </c>
      <c r="I62" s="74" t="n">
        <v>35.66</v>
      </c>
      <c r="J62" s="75" t="inlineStr">
        <is>
          <t>2026-03-30</t>
        </is>
      </c>
      <c r="K62" s="40" t="n">
        <v>11.43</v>
      </c>
      <c r="L62" s="76" t="n">
        <v>0.3205272013460459</v>
      </c>
      <c r="M62" s="77" t="n">
        <v>1</v>
      </c>
      <c r="N62" s="39" t="inlineStr">
        <is>
          <t>Active</t>
        </is>
      </c>
      <c r="O62" s="39" t="n"/>
      <c r="P62" s="78" t="n">
        <v>4.4</v>
      </c>
      <c r="Q62" s="77" t="n">
        <v>1265</v>
      </c>
      <c r="R62" s="77" t="n">
        <v>10424</v>
      </c>
      <c r="S62" s="77" t="n">
        <v>1</v>
      </c>
      <c r="T62" s="39" t="n"/>
    </row>
    <row r="63" ht="62" customHeight="1">
      <c r="A63" s="12">
        <f>_xlfn.IMAGE("https://m.media-amazon.com/images/I/81hiVG9bW0L.jpg")</f>
        <v/>
      </c>
      <c r="B63" s="39" t="inlineStr">
        <is>
          <t>B0DBW17V8N</t>
        </is>
      </c>
      <c r="C63" s="39" t="inlineStr">
        <is>
          <t>SATIN-FITTED-KING-PINK</t>
        </is>
      </c>
      <c r="D63" s="39" t="inlineStr">
        <is>
          <t>DECOLURE Satin Fitted Sheet King Size (1 PC) – Luxuriously Smooth &amp; Softer Than Silk Bed Sheets w/ 15 Inch Deep Pocket Hypoallergenic Wrinkle Free, Secure Snug Fit, Elastic Corner Straps (Pink)</t>
        </is>
      </c>
      <c r="E63" s="39" t="inlineStr">
        <is>
          <t>King</t>
        </is>
      </c>
      <c r="F63" s="39" t="inlineStr">
        <is>
          <t>Pink</t>
        </is>
      </c>
      <c r="G63" s="73" t="n">
        <v>27.95</v>
      </c>
      <c r="H63" s="39" t="inlineStr">
        <is>
          <t>catalog price (CAD), 2026-10-14</t>
        </is>
      </c>
      <c r="I63" s="74" t="n">
        <v>27.95</v>
      </c>
      <c r="J63" s="75" t="inlineStr">
        <is>
          <t>2026-03-30</t>
        </is>
      </c>
      <c r="K63" s="40" t="n">
        <v>9.939999999999998</v>
      </c>
      <c r="L63" s="76" t="n">
        <v>0.3556350626118067</v>
      </c>
      <c r="M63" s="77" t="n">
        <v>1</v>
      </c>
      <c r="N63" s="39" t="inlineStr">
        <is>
          <t>Active</t>
        </is>
      </c>
      <c r="O63" s="39" t="n"/>
      <c r="P63" s="78" t="n">
        <v>4.4</v>
      </c>
      <c r="Q63" s="77" t="n">
        <v>1265</v>
      </c>
      <c r="R63" s="77" t="n">
        <v>10424</v>
      </c>
      <c r="S63" s="77" t="n">
        <v>1</v>
      </c>
      <c r="T63" s="39" t="n"/>
    </row>
    <row r="64" ht="62" customHeight="1">
      <c r="A64" s="12">
        <f>_xlfn.IMAGE("https://m.media-amazon.com/images/I/71JA-96z1+L.jpg")</f>
        <v/>
      </c>
      <c r="B64" s="39" t="inlineStr">
        <is>
          <t>B0DBVZKXNX</t>
        </is>
      </c>
      <c r="C64" s="39" t="inlineStr">
        <is>
          <t>SATIN-FITTED-KING-ROSEWOOD</t>
        </is>
      </c>
      <c r="D64" s="39" t="inlineStr">
        <is>
          <t>DECOLURE Satin Fitted Sheet King Size (1 PC) – Luxuriously Smooth &amp; Softer Than Silk Bed Sheets w/ 15 Inch Deep Pocket Hypoallergenic Wrinkle Free, Secure Snug Fit, Elastic Corner Straps (Rosewood)</t>
        </is>
      </c>
      <c r="E64" s="39" t="inlineStr">
        <is>
          <t>King</t>
        </is>
      </c>
      <c r="F64" s="39" t="inlineStr">
        <is>
          <t>Rosewood</t>
        </is>
      </c>
      <c r="G64" s="73" t="n">
        <v>24.95</v>
      </c>
      <c r="H64" s="39" t="inlineStr">
        <is>
          <t>catalog price (CAD), 2026-10-14</t>
        </is>
      </c>
      <c r="I64" s="74" t="n">
        <v>32.66</v>
      </c>
      <c r="J64" s="75" t="inlineStr">
        <is>
          <t>2026-03-30</t>
        </is>
      </c>
      <c r="K64" s="40" t="n">
        <v>8.43</v>
      </c>
      <c r="L64" s="76" t="n">
        <v>0.2581139007960809</v>
      </c>
      <c r="M64" s="77" t="n">
        <v>1</v>
      </c>
      <c r="N64" s="39" t="inlineStr">
        <is>
          <t>Active</t>
        </is>
      </c>
      <c r="O64" s="39" t="n"/>
      <c r="P64" s="78" t="n">
        <v>4.4</v>
      </c>
      <c r="Q64" s="77" t="n">
        <v>1265</v>
      </c>
      <c r="R64" s="77" t="n">
        <v>10424</v>
      </c>
      <c r="S64" s="77" t="n">
        <v>1</v>
      </c>
      <c r="T64" s="39" t="n"/>
    </row>
    <row r="65" ht="62" customHeight="1">
      <c r="A65" s="12">
        <f>_xlfn.IMAGE("https://m.media-amazon.com/images/I/81NguKiiueL.jpg")</f>
        <v/>
      </c>
      <c r="B65" s="39" t="inlineStr">
        <is>
          <t>B0DBW1NX31</t>
        </is>
      </c>
      <c r="C65" s="39" t="inlineStr">
        <is>
          <t>SATIN-FITTED-QUEEN-SAGE-GREEN</t>
        </is>
      </c>
      <c r="D65" s="39" t="inlineStr">
        <is>
          <t>DECOLURE Satin Fitted Sheet Queen Size (1 PC) – Luxuriously Smooth &amp; Softer than Silk Bed Sheets w/ 15 Inch Deep Pocket Hypoallergenic Wrinkle Free, Secure Snug Fit, Elastic Corner Straps (Sage Green)</t>
        </is>
      </c>
      <c r="E65" s="39" t="inlineStr">
        <is>
          <t>Queen</t>
        </is>
      </c>
      <c r="F65" s="39" t="inlineStr">
        <is>
          <t>Sage Green</t>
        </is>
      </c>
      <c r="G65" s="73" t="n">
        <v>27.95</v>
      </c>
      <c r="H65" s="39" t="inlineStr">
        <is>
          <t>catalog price (CAD), 2026-10-14</t>
        </is>
      </c>
      <c r="I65" s="74" t="n">
        <v>35.23</v>
      </c>
      <c r="J65" s="75" t="inlineStr">
        <is>
          <t>2026-03-30</t>
        </is>
      </c>
      <c r="K65" s="40" t="n">
        <v>12.47</v>
      </c>
      <c r="L65" s="76" t="n">
        <v>0.3539596934430882</v>
      </c>
      <c r="M65" s="77" t="n">
        <v>1</v>
      </c>
      <c r="N65" s="39" t="inlineStr">
        <is>
          <t>Active</t>
        </is>
      </c>
      <c r="O65" s="39" t="n"/>
      <c r="P65" s="78" t="n">
        <v>4.4</v>
      </c>
      <c r="Q65" s="77" t="n">
        <v>1265</v>
      </c>
      <c r="R65" s="77" t="n">
        <v>10424</v>
      </c>
      <c r="S65" s="77" t="n">
        <v>1</v>
      </c>
      <c r="T65" s="39" t="n"/>
    </row>
    <row r="66" ht="62" customHeight="1">
      <c r="A66" s="12">
        <f>_xlfn.IMAGE("https://m.media-amazon.com/images/I/812QjIl2c0L.jpg")</f>
        <v/>
      </c>
      <c r="B66" s="39" t="inlineStr">
        <is>
          <t>B0DBVZQZXV</t>
        </is>
      </c>
      <c r="C66" s="39" t="inlineStr">
        <is>
          <t>SATIN-FITTED-TWIN-BABY-BLUE</t>
        </is>
      </c>
      <c r="D66" s="39" t="inlineStr">
        <is>
          <t>DECOLURE Satin Fitted Sheet Twin Size (1 PC) – Luxuriously Smooth &amp; Softer Than Silk Bed Sheets w/ 15 Inch Deep Pocket Hypoallergenic Wrinkle Free, Secure Snug Fit, Elastic Corner Straps (Baby Blue)</t>
        </is>
      </c>
      <c r="E66" s="39" t="inlineStr">
        <is>
          <t>Twin</t>
        </is>
      </c>
      <c r="F66" s="39" t="inlineStr">
        <is>
          <t>Baby Blue</t>
        </is>
      </c>
      <c r="G66" s="73" t="n">
        <v>20.95</v>
      </c>
      <c r="H66" s="39" t="inlineStr">
        <is>
          <t>catalog price (CAD), 2026-10-14</t>
        </is>
      </c>
      <c r="I66" s="74" t="n">
        <v>20.95</v>
      </c>
      <c r="J66" s="75" t="inlineStr">
        <is>
          <t>2026-03-30</t>
        </is>
      </c>
      <c r="K66" s="40" t="n">
        <v>6.409999999999998</v>
      </c>
      <c r="L66" s="76" t="n">
        <v>0.3059665871121718</v>
      </c>
      <c r="M66" s="77" t="n">
        <v>1</v>
      </c>
      <c r="N66" s="39" t="inlineStr">
        <is>
          <t>Active</t>
        </is>
      </c>
      <c r="O66" s="39" t="n"/>
      <c r="P66" s="78" t="n">
        <v>4.4</v>
      </c>
      <c r="Q66" s="77" t="n">
        <v>1265</v>
      </c>
      <c r="R66" s="77" t="n">
        <v>10424</v>
      </c>
      <c r="S66" s="77" t="n">
        <v>6</v>
      </c>
      <c r="T66" s="39" t="n"/>
    </row>
    <row r="67" ht="62" customHeight="1">
      <c r="A67" s="12">
        <f>_xlfn.IMAGE("https://m.media-amazon.com/images/I/81Zp5JX8nUL.jpg")</f>
        <v/>
      </c>
      <c r="B67" s="39" t="inlineStr">
        <is>
          <t>B0DBW1NXMC</t>
        </is>
      </c>
      <c r="C67" s="39" t="inlineStr">
        <is>
          <t>SATIN-FITTED-TWIN-DARK-GREEN</t>
        </is>
      </c>
      <c r="D67" s="39" t="inlineStr">
        <is>
          <t>DECOLURE Satin Fitted Sheet Twin Size (1 PC) – Luxuriously Smooth &amp; Softer Than Silk Bed Sheets w/ 15 Inch Deep Pocket Hypoallergenic Wrinkle Free, Secure Snug Fit, Elastic Corner Straps (Dark Green)</t>
        </is>
      </c>
      <c r="E67" s="39" t="inlineStr">
        <is>
          <t>Twin</t>
        </is>
      </c>
      <c r="F67" s="39" t="inlineStr">
        <is>
          <t>Dark Green</t>
        </is>
      </c>
      <c r="G67" s="73" t="n">
        <v>20.95</v>
      </c>
      <c r="H67" s="39" t="inlineStr">
        <is>
          <t>catalog price (CAD), 2026-10-14</t>
        </is>
      </c>
      <c r="I67" s="74" t="n">
        <v>20.95</v>
      </c>
      <c r="J67" s="75" t="inlineStr">
        <is>
          <t>2026-03-30</t>
        </is>
      </c>
      <c r="K67" s="40" t="n">
        <v>5.609999999999999</v>
      </c>
      <c r="L67" s="76" t="n">
        <v>0.267780429594272</v>
      </c>
      <c r="M67" s="77" t="n">
        <v>1</v>
      </c>
      <c r="N67" s="39" t="inlineStr">
        <is>
          <t>Active</t>
        </is>
      </c>
      <c r="O67" s="39" t="n"/>
      <c r="P67" s="78" t="n">
        <v>4.4</v>
      </c>
      <c r="Q67" s="77" t="n">
        <v>1265</v>
      </c>
      <c r="R67" s="77" t="n">
        <v>10424</v>
      </c>
      <c r="S67" s="77" t="n">
        <v>5</v>
      </c>
      <c r="T67" s="39" t="n"/>
    </row>
    <row r="68" ht="62" customHeight="1">
      <c r="A68" s="12">
        <f>_xlfn.IMAGE("https://m.media-amazon.com/images/I/818qIvZ2yIL.jpg")</f>
        <v/>
      </c>
      <c r="B68" s="39" t="inlineStr">
        <is>
          <t>B0DBVZY5T2</t>
        </is>
      </c>
      <c r="C68" s="39" t="inlineStr">
        <is>
          <t>SATIN-FITTED-TWIN-GOLD</t>
        </is>
      </c>
      <c r="D68" s="39" t="inlineStr">
        <is>
          <t>DECOLURE Satin Fitted Sheet Twin Size (1 PC) – Luxuriously Smooth &amp; Softer Than Silk Bed Sheets w/ 15 Inch Deep Pocket Hypoallergenic Wrinkle Free, Secure Snug Fit, Elastic Corner Straps (Gold)</t>
        </is>
      </c>
      <c r="E68" s="39" t="inlineStr">
        <is>
          <t>Twin</t>
        </is>
      </c>
      <c r="F68" s="39" t="inlineStr">
        <is>
          <t>Gold</t>
        </is>
      </c>
      <c r="G68" s="73" t="n">
        <v>20.95</v>
      </c>
      <c r="H68" s="39" t="inlineStr">
        <is>
          <t>catalog price (CAD), 2026-10-14</t>
        </is>
      </c>
      <c r="I68" s="74" t="n">
        <v>20.95</v>
      </c>
      <c r="J68" s="75" t="inlineStr">
        <is>
          <t>2026-03-30</t>
        </is>
      </c>
      <c r="K68" s="40" t="n">
        <v>6.989999999999998</v>
      </c>
      <c r="L68" s="76" t="n">
        <v>0.3336515513126491</v>
      </c>
      <c r="M68" s="77" t="n">
        <v>1</v>
      </c>
      <c r="N68" s="39" t="inlineStr">
        <is>
          <t>Active</t>
        </is>
      </c>
      <c r="O68" s="39" t="n"/>
      <c r="P68" s="78" t="n">
        <v>4.4</v>
      </c>
      <c r="Q68" s="77" t="n">
        <v>1265</v>
      </c>
      <c r="R68" s="77" t="n">
        <v>10424</v>
      </c>
      <c r="S68" s="77" t="n">
        <v>0</v>
      </c>
      <c r="T68" s="39" t="n"/>
    </row>
    <row r="69" ht="62" customHeight="1">
      <c r="A69" s="12">
        <f>_xlfn.IMAGE("https://m.media-amazon.com/images/I/81mTp2BYSlL.jpg")</f>
        <v/>
      </c>
      <c r="B69" s="39" t="inlineStr">
        <is>
          <t>B0DBW1FRHC</t>
        </is>
      </c>
      <c r="C69" s="39" t="inlineStr">
        <is>
          <t>SATIN-FITTED-TWIN-RED</t>
        </is>
      </c>
      <c r="D69" s="39" t="inlineStr">
        <is>
          <t>DECOLURE Satin Fitted Sheet Twin Size (1 PC) – Luxuriously Smooth &amp; Softer Than Silk Bed Sheets w/ 15 Inch Deep Pocket Hypoallergenic Wrinkle Free, Secure Snug Fit, Elastic Corner Straps (Red)</t>
        </is>
      </c>
      <c r="E69" s="39" t="inlineStr">
        <is>
          <t>Twin</t>
        </is>
      </c>
      <c r="F69" s="39" t="inlineStr">
        <is>
          <t>Red</t>
        </is>
      </c>
      <c r="G69" s="73" t="n">
        <v>20.95</v>
      </c>
      <c r="H69" s="39" t="inlineStr">
        <is>
          <t>catalog price (CAD), 2026-10-14</t>
        </is>
      </c>
      <c r="I69" s="74" t="n">
        <v>20.95</v>
      </c>
      <c r="J69" s="75" t="inlineStr">
        <is>
          <t>2026-03-30</t>
        </is>
      </c>
      <c r="K69" s="40" t="n">
        <v>6.389999999999999</v>
      </c>
      <c r="L69" s="76" t="n">
        <v>0.3050119331742243</v>
      </c>
      <c r="M69" s="77" t="n">
        <v>1</v>
      </c>
      <c r="N69" s="39" t="inlineStr">
        <is>
          <t>Active</t>
        </is>
      </c>
      <c r="O69" s="39" t="n"/>
      <c r="P69" s="78" t="n">
        <v>4.4</v>
      </c>
      <c r="Q69" s="77" t="n">
        <v>1265</v>
      </c>
      <c r="R69" s="77" t="n">
        <v>10424</v>
      </c>
      <c r="S69" s="77" t="n">
        <v>6</v>
      </c>
      <c r="T69" s="39" t="n"/>
    </row>
    <row r="70" ht="62" customHeight="1">
      <c r="A70" s="12">
        <f>_xlfn.IMAGE("https://m.media-amazon.com/images/I/71APUp+JE3L.jpg")</f>
        <v/>
      </c>
      <c r="B70" s="39" t="inlineStr">
        <is>
          <t>B0DBVZTM41</t>
        </is>
      </c>
      <c r="C70" s="39" t="inlineStr">
        <is>
          <t>SATIN-FITTED-FULL-BLACK</t>
        </is>
      </c>
      <c r="D70" s="39" t="inlineStr">
        <is>
          <t>DECOLURE Satin Fitted Sheet Full Size (1 PC) – Luxuriously Smooth &amp; Softer Than Silk Bed Sheets w/ 15 Inch Deep Pocket Hypoallergenic Wrinkle Free, Secure Snug Fit, Elastic Corner Straps (Black)</t>
        </is>
      </c>
      <c r="E70" s="39" t="inlineStr">
        <is>
          <t>Full</t>
        </is>
      </c>
      <c r="F70" s="39" t="inlineStr">
        <is>
          <t>Black</t>
        </is>
      </c>
      <c r="G70" s="40" t="n"/>
      <c r="H70" s="39" t="n"/>
      <c r="I70" s="74" t="n">
        <v>20.95</v>
      </c>
      <c r="J70" s="75" t="inlineStr">
        <is>
          <t>2026-03-30</t>
        </is>
      </c>
      <c r="K70" s="40" t="n">
        <v>6.019999999999999</v>
      </c>
      <c r="L70" s="76" t="n">
        <v>0.2873508353221956</v>
      </c>
      <c r="M70" s="77" t="n"/>
      <c r="N70" s="39" t="inlineStr">
        <is>
          <t>Inactive</t>
        </is>
      </c>
      <c r="O70" s="39" t="n"/>
      <c r="P70" s="78" t="n"/>
      <c r="Q70" s="77" t="n"/>
      <c r="R70" s="77" t="n"/>
      <c r="S70" s="77" t="n"/>
      <c r="T70" s="39" t="n"/>
    </row>
    <row r="71" ht="62" customHeight="1">
      <c r="A71" s="12">
        <f>_xlfn.IMAGE("https://m.media-amazon.com/images/I/818qIvZ2yIL.jpg")</f>
        <v/>
      </c>
      <c r="B71" s="39" t="inlineStr">
        <is>
          <t>B0DBVZ73F7</t>
        </is>
      </c>
      <c r="C71" s="39" t="inlineStr">
        <is>
          <t>SATIN-FITTED-FULL-GOLD</t>
        </is>
      </c>
      <c r="D71" s="39" t="inlineStr">
        <is>
          <t>DECOLURE Satin Fitted Sheet Full Size (1 PC) – Luxuriously Smooth &amp; Softer Than Silk Bed Sheets w/ 15 Inch Deep Pocket Hypoallergenic Wrinkle Free, Secure Snug Fit, Elastic Corner Straps (Gold)</t>
        </is>
      </c>
      <c r="E71" s="39" t="inlineStr">
        <is>
          <t>Full</t>
        </is>
      </c>
      <c r="F71" s="39" t="inlineStr">
        <is>
          <t>Gold</t>
        </is>
      </c>
      <c r="G71" s="73" t="n">
        <v>22.95</v>
      </c>
      <c r="H71" s="39" t="inlineStr">
        <is>
          <t>catalog price (CAD), 2026-10-14</t>
        </is>
      </c>
      <c r="I71" s="74" t="n">
        <v>22.95</v>
      </c>
      <c r="J71" s="75" t="inlineStr">
        <is>
          <t>2026-03-30</t>
        </is>
      </c>
      <c r="K71" s="40" t="n">
        <v>7.279999999999998</v>
      </c>
      <c r="L71" s="76" t="n">
        <v>0.3172113289760348</v>
      </c>
      <c r="M71" s="77" t="n">
        <v>0</v>
      </c>
      <c r="N71" s="39" t="inlineStr">
        <is>
          <t>Active</t>
        </is>
      </c>
      <c r="O71" s="39" t="n"/>
      <c r="P71" s="78" t="n">
        <v>4.4</v>
      </c>
      <c r="Q71" s="77" t="n">
        <v>1265</v>
      </c>
      <c r="R71" s="77" t="n">
        <v>10424</v>
      </c>
      <c r="S71" s="77" t="n">
        <v>3</v>
      </c>
      <c r="T71" s="39" t="n"/>
    </row>
    <row r="72" ht="62" customHeight="1">
      <c r="A72" s="12">
        <f>_xlfn.IMAGE("https://m.media-amazon.com/images/I/71JA-96z1+L.jpg")</f>
        <v/>
      </c>
      <c r="B72" s="39" t="inlineStr">
        <is>
          <t>B0DBW17KGC</t>
        </is>
      </c>
      <c r="C72" s="39" t="inlineStr">
        <is>
          <t>SATIN-FITTED-FULL-ROSEWOOD</t>
        </is>
      </c>
      <c r="D72" s="39" t="inlineStr">
        <is>
          <t>DECOLURE Satin Fitted Sheet Full Size (1 PC) – Luxuriously Smooth &amp; Softer Than Silk Bed Sheets w/ 15 Inch Deep Pocket Hypoallergenic Wrinkle Free, Secure Snug Fit, Elastic Corner Straps (Rosewood)</t>
        </is>
      </c>
      <c r="E72" s="39" t="inlineStr">
        <is>
          <t>Full</t>
        </is>
      </c>
      <c r="F72" s="39" t="inlineStr">
        <is>
          <t>Rosewood</t>
        </is>
      </c>
      <c r="G72" s="40" t="n"/>
      <c r="H72" s="39" t="n"/>
      <c r="I72" s="74" t="n">
        <v>22.95</v>
      </c>
      <c r="J72" s="75" t="inlineStr">
        <is>
          <t>2026-03-30</t>
        </is>
      </c>
      <c r="K72" s="40" t="n">
        <v>7.569999999999998</v>
      </c>
      <c r="L72" s="76" t="n">
        <v>0.3298474945533768</v>
      </c>
      <c r="M72" s="77" t="n"/>
      <c r="N72" s="39" t="inlineStr">
        <is>
          <t>Inactive</t>
        </is>
      </c>
      <c r="O72" s="39" t="n"/>
      <c r="P72" s="78" t="n"/>
      <c r="Q72" s="77" t="n"/>
      <c r="R72" s="77" t="n"/>
      <c r="S72" s="77" t="n"/>
      <c r="T72" s="39" t="n"/>
    </row>
    <row r="73" ht="62" customHeight="1">
      <c r="A73" s="12">
        <f>_xlfn.IMAGE("https://m.media-amazon.com/images/I/81NguKiiueL.jpg")</f>
        <v/>
      </c>
      <c r="B73" s="39" t="inlineStr">
        <is>
          <t>B0DBW2LXQY</t>
        </is>
      </c>
      <c r="C73" s="39" t="inlineStr">
        <is>
          <t>SATIN-FITTED-FULL-SAGE-GREEN</t>
        </is>
      </c>
      <c r="D73" s="39" t="inlineStr">
        <is>
          <t>DECOLURE Satin Fitted Sheet Full Size (1 PC) – Luxuriously Smooth &amp; Softer Than Silk Bed Sheets w/ 15 Inch Deep Pocket Hypoallergenic Wrinkle Free, Secure Snug Fit, Elastic Corner Straps (Sage Green)</t>
        </is>
      </c>
      <c r="E73" s="39" t="inlineStr">
        <is>
          <t>Full</t>
        </is>
      </c>
      <c r="F73" s="39" t="inlineStr">
        <is>
          <t>Sage Green</t>
        </is>
      </c>
      <c r="G73" s="73" t="n">
        <v>22.95</v>
      </c>
      <c r="H73" s="39" t="inlineStr">
        <is>
          <t>catalog price (CAD), 2026-10-14</t>
        </is>
      </c>
      <c r="I73" s="74" t="n">
        <v>30.04</v>
      </c>
      <c r="J73" s="75" t="inlineStr">
        <is>
          <t>2026-03-30</t>
        </is>
      </c>
      <c r="K73" s="40" t="n">
        <v>8.359999999999999</v>
      </c>
      <c r="L73" s="76" t="n">
        <v>0.2782956058588548</v>
      </c>
      <c r="M73" s="77" t="n">
        <v>0</v>
      </c>
      <c r="N73" s="39" t="inlineStr">
        <is>
          <t>Active</t>
        </is>
      </c>
      <c r="O73" s="39" t="n"/>
      <c r="P73" s="78" t="n">
        <v>4.4</v>
      </c>
      <c r="Q73" s="77" t="n">
        <v>1265</v>
      </c>
      <c r="R73" s="77" t="n">
        <v>10424</v>
      </c>
      <c r="S73" s="77" t="n">
        <v>3</v>
      </c>
      <c r="T73" s="39" t="n"/>
    </row>
    <row r="74" ht="62" customHeight="1">
      <c r="A74" s="12">
        <f>_xlfn.IMAGE("https://m.media-amazon.com/images/I/81oKLEMiMUL.jpg")</f>
        <v/>
      </c>
      <c r="B74" s="39" t="inlineStr">
        <is>
          <t>B0DBVZ1Z2S</t>
        </is>
      </c>
      <c r="C74" s="39" t="inlineStr">
        <is>
          <t>SATIN-FITTED-FULL-SEA-TEAL</t>
        </is>
      </c>
      <c r="D74" s="39" t="inlineStr">
        <is>
          <t>DECOLURE Satin Fitted Sheet Full Size (1 PC) – Luxuriously Smooth &amp; Softer Than Silk Bed Sheets w/ 15 Inch Deep Pocket Hypoallergenic Wrinkle Free, Secure Snug Fit, Elastic Corner Straps (Sea Teal)</t>
        </is>
      </c>
      <c r="E74" s="39" t="inlineStr">
        <is>
          <t>Full</t>
        </is>
      </c>
      <c r="F74" s="39" t="inlineStr">
        <is>
          <t>Sea Teal</t>
        </is>
      </c>
      <c r="G74" s="73" t="n">
        <v>28.19</v>
      </c>
      <c r="H74" s="39" t="inlineStr">
        <is>
          <t>catalog price (CAD), 2026-10-14</t>
        </is>
      </c>
      <c r="I74" s="74" t="n">
        <v>22.95</v>
      </c>
      <c r="J74" s="75" t="inlineStr">
        <is>
          <t>2026-03-30</t>
        </is>
      </c>
      <c r="K74" s="40" t="n">
        <v>7.499999999999997</v>
      </c>
      <c r="L74" s="76" t="n">
        <v>0.3267973856209149</v>
      </c>
      <c r="M74" s="77" t="n">
        <v>0</v>
      </c>
      <c r="N74" s="39" t="inlineStr">
        <is>
          <t>Active</t>
        </is>
      </c>
      <c r="O74" s="39" t="n"/>
      <c r="P74" s="78" t="n">
        <v>4.4</v>
      </c>
      <c r="Q74" s="77" t="n">
        <v>1265</v>
      </c>
      <c r="R74" s="77" t="n">
        <v>10424</v>
      </c>
      <c r="S74" s="77" t="n">
        <v>4</v>
      </c>
      <c r="T74" s="39" t="n"/>
    </row>
    <row r="75" ht="62" customHeight="1">
      <c r="A75" s="12">
        <f>_xlfn.IMAGE("https://m.media-amazon.com/images/I/812QjIl2c0L.jpg")</f>
        <v/>
      </c>
      <c r="B75" s="39" t="inlineStr">
        <is>
          <t>B0DBVY2YWN</t>
        </is>
      </c>
      <c r="C75" s="39" t="inlineStr">
        <is>
          <t>SATIN-FITTED-KING-BABY-BLUE</t>
        </is>
      </c>
      <c r="D75" s="39" t="inlineStr">
        <is>
          <t>DECOLURE Satin Fitted Sheet King Size (1 PC) – Luxuriously Smooth &amp; Softer Than Silk Bed Sheets w/ 15 Inch Deep Pocket Hypoallergenic Wrinkle Free, Secure Snug Fit, Elastic Corner Straps (Baby Blue)</t>
        </is>
      </c>
      <c r="E75" s="39" t="inlineStr">
        <is>
          <t>King</t>
        </is>
      </c>
      <c r="F75" s="39" t="inlineStr">
        <is>
          <t>Baby Blue</t>
        </is>
      </c>
      <c r="G75" s="40" t="n"/>
      <c r="H75" s="39" t="n"/>
      <c r="I75" s="74" t="n">
        <v>27.95</v>
      </c>
      <c r="J75" s="75" t="inlineStr">
        <is>
          <t>2026-03-30</t>
        </is>
      </c>
      <c r="K75" s="40" t="n">
        <v>9.849999999999998</v>
      </c>
      <c r="L75" s="76" t="n">
        <v>0.3524150268336314</v>
      </c>
      <c r="M75" s="77" t="n"/>
      <c r="N75" s="39" t="inlineStr">
        <is>
          <t>Inactive</t>
        </is>
      </c>
      <c r="O75" s="39" t="n"/>
      <c r="P75" s="78" t="n"/>
      <c r="Q75" s="77" t="n"/>
      <c r="R75" s="77" t="n"/>
      <c r="S75" s="77" t="n"/>
      <c r="T75" s="39" t="n"/>
    </row>
    <row r="76" ht="62" customHeight="1">
      <c r="A76" s="12">
        <f>_xlfn.IMAGE("https://m.media-amazon.com/images/I/818qIvZ2yIL.jpg")</f>
        <v/>
      </c>
      <c r="B76" s="39" t="inlineStr">
        <is>
          <t>B0DBW6FFG1</t>
        </is>
      </c>
      <c r="C76" s="39" t="inlineStr">
        <is>
          <t>SATIN-FITTED-KING-GOLD</t>
        </is>
      </c>
      <c r="D76" s="39" t="inlineStr">
        <is>
          <t>DECOLURE Satin Fitted Sheet King Size (1 PC) – Luxuriously Smooth &amp; Softer Than Silk Bed Sheets w/ 15 Inch Deep Pocket Hypoallergenic Wrinkle Free, Secure Snug Fit, Elastic Corner Straps (Gold)</t>
        </is>
      </c>
      <c r="E76" s="39" t="inlineStr">
        <is>
          <t>King</t>
        </is>
      </c>
      <c r="F76" s="39" t="inlineStr">
        <is>
          <t>Gold</t>
        </is>
      </c>
      <c r="G76" s="73" t="n">
        <v>27.95</v>
      </c>
      <c r="H76" s="39" t="inlineStr">
        <is>
          <t>catalog price (CAD), 2026-10-14</t>
        </is>
      </c>
      <c r="I76" s="74" t="n">
        <v>27.95</v>
      </c>
      <c r="J76" s="75" t="inlineStr">
        <is>
          <t>2026-03-30</t>
        </is>
      </c>
      <c r="K76" s="40" t="n">
        <v>10.26</v>
      </c>
      <c r="L76" s="76" t="n">
        <v>0.3670840787119856</v>
      </c>
      <c r="M76" s="77" t="n">
        <v>0</v>
      </c>
      <c r="N76" s="39" t="inlineStr">
        <is>
          <t>Active</t>
        </is>
      </c>
      <c r="O76" s="39" t="n"/>
      <c r="P76" s="78" t="n">
        <v>4.4</v>
      </c>
      <c r="Q76" s="77" t="n">
        <v>1265</v>
      </c>
      <c r="R76" s="77" t="n">
        <v>10424</v>
      </c>
      <c r="S76" s="77" t="n">
        <v>1</v>
      </c>
      <c r="T76" s="39" t="n"/>
    </row>
    <row r="77" ht="62" customHeight="1">
      <c r="A77" s="12">
        <f>_xlfn.IMAGE("https://m.media-amazon.com/images/I/71q7X0GjqSL.jpg")</f>
        <v/>
      </c>
      <c r="B77" s="39" t="inlineStr">
        <is>
          <t>B0DBW336HD</t>
        </is>
      </c>
      <c r="C77" s="39" t="inlineStr">
        <is>
          <t>SATIN-FITTED-KING-NAVY-BLUE</t>
        </is>
      </c>
      <c r="D77" s="39" t="inlineStr">
        <is>
          <t>DECOLURE Satin Fitted Sheet King Size (1 PC) – Luxuriously Smooth &amp; Softer Than Silk Bed Sheets w/ 15 Inch Deep Pocket Hypoallergenic Wrinkle Free, Secure Snug Fit, Elastic Corner Straps (Navy Blue)</t>
        </is>
      </c>
      <c r="E77" s="39" t="inlineStr">
        <is>
          <t>King</t>
        </is>
      </c>
      <c r="F77" s="39" t="inlineStr">
        <is>
          <t>Navy Blue</t>
        </is>
      </c>
      <c r="G77" s="73" t="n">
        <v>27.95</v>
      </c>
      <c r="H77" s="39" t="inlineStr">
        <is>
          <t>catalog price (CAD), 2026-10-14</t>
        </is>
      </c>
      <c r="I77" s="74" t="n">
        <v>27.95</v>
      </c>
      <c r="J77" s="75" t="inlineStr">
        <is>
          <t>2026-03-30</t>
        </is>
      </c>
      <c r="K77" s="40" t="n">
        <v>9.849999999999998</v>
      </c>
      <c r="L77" s="76" t="n">
        <v>0.3524150268336314</v>
      </c>
      <c r="M77" s="77" t="n">
        <v>0</v>
      </c>
      <c r="N77" s="39" t="inlineStr">
        <is>
          <t>Active</t>
        </is>
      </c>
      <c r="O77" s="39" t="n"/>
      <c r="P77" s="78" t="n">
        <v>4.4</v>
      </c>
      <c r="Q77" s="77" t="n">
        <v>1265</v>
      </c>
      <c r="R77" s="77" t="n">
        <v>10424</v>
      </c>
      <c r="S77" s="77" t="n">
        <v>1</v>
      </c>
      <c r="T77" s="39" t="n"/>
    </row>
    <row r="78" ht="62" customHeight="1">
      <c r="A78" s="12">
        <f>_xlfn.IMAGE("https://m.media-amazon.com/images/I/81oKLEMiMUL.jpg")</f>
        <v/>
      </c>
      <c r="B78" s="39" t="inlineStr">
        <is>
          <t>B0DBVZBSHL</t>
        </is>
      </c>
      <c r="C78" s="39" t="inlineStr">
        <is>
          <t>SATIN-FITTED-KING-SEA-TEAL</t>
        </is>
      </c>
      <c r="D78" s="39" t="inlineStr">
        <is>
          <t>DECOLURE Satin Fitted Sheet King Size (1 PC) – Luxuriously Smooth &amp; Softer Than Silk Bed Sheets w/ 15 Inch Deep Pocket Hypoallergenic Wrinkle Free, Secure Snug Fit, Elastic Corner Straps (Sea Teal)</t>
        </is>
      </c>
      <c r="E78" s="39" t="inlineStr">
        <is>
          <t>King</t>
        </is>
      </c>
      <c r="F78" s="39" t="inlineStr">
        <is>
          <t>Sea Teal</t>
        </is>
      </c>
      <c r="G78" s="40" t="n"/>
      <c r="H78" s="39" t="n"/>
      <c r="I78" s="74" t="n">
        <v>27.95</v>
      </c>
      <c r="J78" s="75" t="inlineStr">
        <is>
          <t>2026-03-30</t>
        </is>
      </c>
      <c r="K78" s="40" t="n">
        <v>10.02</v>
      </c>
      <c r="L78" s="76" t="n">
        <v>0.3584973166368515</v>
      </c>
      <c r="M78" s="77" t="n">
        <v>0</v>
      </c>
      <c r="N78" s="39" t="inlineStr">
        <is>
          <t>Inactive</t>
        </is>
      </c>
      <c r="O78" s="39" t="n"/>
      <c r="P78" s="78" t="n"/>
      <c r="Q78" s="77" t="n"/>
      <c r="R78" s="77" t="n"/>
      <c r="S78" s="77" t="n"/>
      <c r="T78" s="39" t="n"/>
    </row>
    <row r="79" ht="62" customHeight="1">
      <c r="A79" s="12">
        <f>_xlfn.IMAGE("https://m.media-amazon.com/images/I/812QjIl2c0L.jpg")</f>
        <v/>
      </c>
      <c r="B79" s="39" t="inlineStr">
        <is>
          <t>B0DBW19662</t>
        </is>
      </c>
      <c r="C79" s="39" t="inlineStr">
        <is>
          <t>SATIN-FITTED-QUEEN-BABY-BLUE</t>
        </is>
      </c>
      <c r="D79" s="39" t="inlineStr">
        <is>
          <t>DECOLURE Satin Fitted Sheet Queen Size (1 PC) – Luxuriously Smooth &amp; Softer Than Silk Bed Sheets w/ 15 Inch Deep Pocket Hypoallergenic Wrinkle Free, Secure Snug Fit, Elastic Corner Straps (Baby Blue)</t>
        </is>
      </c>
      <c r="E79" s="39" t="inlineStr">
        <is>
          <t>Queen</t>
        </is>
      </c>
      <c r="F79" s="39" t="inlineStr">
        <is>
          <t>Baby Blue</t>
        </is>
      </c>
      <c r="G79" s="40" t="n"/>
      <c r="H79" s="39" t="n"/>
      <c r="I79" s="74" t="n">
        <v>23.95</v>
      </c>
      <c r="J79" s="75" t="inlineStr">
        <is>
          <t>2026-03-30</t>
        </is>
      </c>
      <c r="K79" s="40" t="n">
        <v>7.659999999999999</v>
      </c>
      <c r="L79" s="76" t="n">
        <v>0.3198329853862213</v>
      </c>
      <c r="M79" s="77" t="n">
        <v>0</v>
      </c>
      <c r="N79" s="39" t="inlineStr">
        <is>
          <t>Inactive</t>
        </is>
      </c>
      <c r="O79" s="39" t="n"/>
      <c r="P79" s="78" t="n"/>
      <c r="Q79" s="77" t="n"/>
      <c r="R79" s="77" t="n"/>
      <c r="S79" s="77" t="n"/>
      <c r="T79" s="39" t="n"/>
    </row>
    <row r="80" ht="62" customHeight="1">
      <c r="A80" s="12">
        <f>_xlfn.IMAGE("https://m.media-amazon.com/images/I/714ktb3sY+L.jpg")</f>
        <v/>
      </c>
      <c r="B80" s="39" t="inlineStr">
        <is>
          <t>B0DBW128WH</t>
        </is>
      </c>
      <c r="C80" s="39" t="inlineStr">
        <is>
          <t>SATIN-FITTED-QUEEN-IVORY</t>
        </is>
      </c>
      <c r="D80" s="39" t="inlineStr">
        <is>
          <t>DECOLURE Satin Fitted Sheet Queen Size (1 PC) – Luxuriously Smooth &amp; Softer Than Silk Bed Sheets w/ 15 Inch Deep Pocket Hypoallergenic Wrinkle Free, Secure Snug Fit, Elastic Corner Straps (Ivory)</t>
        </is>
      </c>
      <c r="E80" s="39" t="inlineStr">
        <is>
          <t>Queen</t>
        </is>
      </c>
      <c r="F80" s="39" t="inlineStr">
        <is>
          <t>Ivory</t>
        </is>
      </c>
      <c r="G80" s="40" t="n"/>
      <c r="H80" s="39" t="n"/>
      <c r="I80" s="74" t="n">
        <v>31.2</v>
      </c>
      <c r="J80" s="75" t="inlineStr">
        <is>
          <t>2026-03-30</t>
        </is>
      </c>
      <c r="K80" s="40" t="n">
        <v>8.25</v>
      </c>
      <c r="L80" s="76" t="n">
        <v>0.2644230769230769</v>
      </c>
      <c r="M80" s="77" t="n">
        <v>0</v>
      </c>
      <c r="N80" s="39" t="inlineStr">
        <is>
          <t>Inactive</t>
        </is>
      </c>
      <c r="O80" s="39" t="n"/>
      <c r="P80" s="78" t="n"/>
      <c r="Q80" s="77" t="n"/>
      <c r="R80" s="77" t="n"/>
      <c r="S80" s="77" t="n"/>
      <c r="T80" s="39" t="n"/>
    </row>
    <row r="81" ht="62" customHeight="1">
      <c r="A81" s="12">
        <f>_xlfn.IMAGE("https://m.media-amazon.com/images/I/81oKLEMiMUL.jpg")</f>
        <v/>
      </c>
      <c r="B81" s="39" t="inlineStr">
        <is>
          <t>B0DBW1NVHF</t>
        </is>
      </c>
      <c r="C81" s="39" t="inlineStr">
        <is>
          <t>SATIN-FITTED-QUEEN-SEA-TEAL</t>
        </is>
      </c>
      <c r="D81" s="39" t="inlineStr">
        <is>
          <t>DECOLURE Satin Fitted Sheet Queen Size (1 PC) – Luxuriously Smooth &amp; Softer Than Silk Bed Sheets w/ 15 Inch Deep Pocket Hypoallergenic Wrinkle Free, Secure Snug Fit, Elastic Corner Straps (Sea Teal)</t>
        </is>
      </c>
      <c r="E81" s="39" t="inlineStr">
        <is>
          <t>Queen</t>
        </is>
      </c>
      <c r="F81" s="39" t="inlineStr">
        <is>
          <t>Sea Teal</t>
        </is>
      </c>
      <c r="G81" s="40" t="n"/>
      <c r="H81" s="39" t="n"/>
      <c r="I81" s="74" t="n">
        <v>31.11</v>
      </c>
      <c r="J81" s="75" t="inlineStr">
        <is>
          <t>2026-03-30</t>
        </is>
      </c>
      <c r="K81" s="40" t="n">
        <v>8.149999999999999</v>
      </c>
      <c r="L81" s="76" t="n">
        <v>0.2619736419157827</v>
      </c>
      <c r="M81" s="77" t="n">
        <v>0</v>
      </c>
      <c r="N81" s="39" t="inlineStr">
        <is>
          <t>Inactive</t>
        </is>
      </c>
      <c r="O81" s="39" t="n"/>
      <c r="P81" s="78" t="n"/>
      <c r="Q81" s="77" t="n"/>
      <c r="R81" s="77" t="n"/>
      <c r="S81" s="77" t="n"/>
      <c r="T81" s="39" t="n"/>
    </row>
    <row r="82" ht="62" customHeight="1">
      <c r="A82" s="12">
        <f>_xlfn.IMAGE("https://m.media-amazon.com/images/I/81RiAVYjy-L.jpg")</f>
        <v/>
      </c>
      <c r="B82" s="39" t="inlineStr">
        <is>
          <t>B0DBVZQYZ7</t>
        </is>
      </c>
      <c r="C82" s="39" t="inlineStr">
        <is>
          <t>SATIN-FITTED-QUEEN-STONE-GREY</t>
        </is>
      </c>
      <c r="D82" s="39" t="inlineStr">
        <is>
          <t>DECOLURE Satin Fitted Sheet Queen Size (1 PC) – Luxuriously Smooth &amp; Softer than Silk Bed Sheets w/ 15 Inch Deep Pocket Hypoallergenic Wrinkle Free, Secure Snug Fit, Elastic Corner Straps (Stone Grey)</t>
        </is>
      </c>
      <c r="E82" s="39" t="inlineStr">
        <is>
          <t>Queen</t>
        </is>
      </c>
      <c r="F82" s="39" t="inlineStr">
        <is>
          <t>Stone Grey</t>
        </is>
      </c>
      <c r="G82" s="40" t="n"/>
      <c r="H82" s="39" t="n"/>
      <c r="I82" s="74" t="n">
        <v>31.07</v>
      </c>
      <c r="J82" s="75" t="inlineStr">
        <is>
          <t>2026-03-30</t>
        </is>
      </c>
      <c r="K82" s="40" t="n">
        <v>7.52</v>
      </c>
      <c r="L82" s="76" t="n">
        <v>0.242034116511104</v>
      </c>
      <c r="M82" s="77" t="n">
        <v>0</v>
      </c>
      <c r="N82" s="39" t="inlineStr">
        <is>
          <t>Inactive</t>
        </is>
      </c>
      <c r="O82" s="39" t="n"/>
      <c r="P82" s="78" t="n"/>
      <c r="Q82" s="77" t="n"/>
      <c r="R82" s="77" t="n"/>
      <c r="S82" s="77" t="n"/>
      <c r="T82" s="39" t="n"/>
    </row>
    <row r="83" ht="62" customHeight="1">
      <c r="A83" s="12">
        <f>_xlfn.IMAGE("https://m.media-amazon.com/images/I/71JA-96z1+L.jpg")</f>
        <v/>
      </c>
      <c r="B83" s="39" t="inlineStr">
        <is>
          <t>B0DBVY3FF2</t>
        </is>
      </c>
      <c r="C83" s="39" t="inlineStr">
        <is>
          <t>SATIN-FITTED-TWIN-ROSEWOOD</t>
        </is>
      </c>
      <c r="D83" s="39" t="inlineStr">
        <is>
          <t>DECOLURE Satin Fitted Sheet Twin Size (1 PC) – Luxuriously Smooth &amp; Softer Than Silk Bed Sheets w/ 15 Inch Deep Pocket Hypoallergenic Wrinkle Free, Secure Snug Fit, Elastic Corner Straps (Rosewood)</t>
        </is>
      </c>
      <c r="E83" s="39" t="inlineStr">
        <is>
          <t>Twin</t>
        </is>
      </c>
      <c r="F83" s="39" t="inlineStr">
        <is>
          <t>Rosewood</t>
        </is>
      </c>
      <c r="G83" s="40" t="n"/>
      <c r="H83" s="39" t="n"/>
      <c r="I83" s="74" t="n">
        <v>20.95</v>
      </c>
      <c r="J83" s="75" t="inlineStr">
        <is>
          <t>2026-03-30</t>
        </is>
      </c>
      <c r="K83" s="40" t="n">
        <v>6.679999999999999</v>
      </c>
      <c r="L83" s="76" t="n">
        <v>0.318854415274463</v>
      </c>
      <c r="M83" s="77" t="n"/>
      <c r="N83" s="39" t="inlineStr">
        <is>
          <t>Inactive</t>
        </is>
      </c>
      <c r="O83" s="39" t="n"/>
      <c r="P83" s="78" t="n"/>
      <c r="Q83" s="77" t="n"/>
      <c r="R83" s="77" t="n"/>
      <c r="S83" s="77" t="n"/>
      <c r="T83" s="39" t="n"/>
    </row>
    <row r="84" ht="62" customHeight="1">
      <c r="A84" s="12">
        <f>_xlfn.IMAGE("https://m.media-amazon.com/images/I/81NguKiiueL.jpg")</f>
        <v/>
      </c>
      <c r="B84" s="39" t="inlineStr">
        <is>
          <t>B0DBVZ9QZC</t>
        </is>
      </c>
      <c r="C84" s="39" t="inlineStr">
        <is>
          <t>SATIN-FITTED-TWIN-SAGE-GREEN</t>
        </is>
      </c>
      <c r="D84" s="39" t="inlineStr">
        <is>
          <t>DECOLURE Satin Fitted Sheet Twin Size (1 PC) – Luxuriously Smooth &amp; Softer Than Silk Bed Sheets w/ 15 Inch Deep Pocket Hypoallergenic Wrinkle Free, Secure Snug Fit, Elastic Corner Straps (Sage Green)</t>
        </is>
      </c>
      <c r="E84" s="39" t="inlineStr">
        <is>
          <t>Twin</t>
        </is>
      </c>
      <c r="F84" s="39" t="inlineStr">
        <is>
          <t>Sage Green</t>
        </is>
      </c>
      <c r="G84" s="73" t="n">
        <v>20.95</v>
      </c>
      <c r="H84" s="39" t="inlineStr">
        <is>
          <t>catalog price (CAD), 2026-10-14</t>
        </is>
      </c>
      <c r="I84" s="74" t="n">
        <v>27.71</v>
      </c>
      <c r="J84" s="75" t="inlineStr">
        <is>
          <t>2026-03-30</t>
        </is>
      </c>
      <c r="K84" s="40" t="n">
        <v>6.76</v>
      </c>
      <c r="L84" s="76" t="n">
        <v>0.2439552508119812</v>
      </c>
      <c r="M84" s="77" t="n">
        <v>0</v>
      </c>
      <c r="N84" s="39" t="inlineStr">
        <is>
          <t>Active</t>
        </is>
      </c>
      <c r="O84" s="39" t="n"/>
      <c r="P84" s="78" t="n">
        <v>4.4</v>
      </c>
      <c r="Q84" s="77" t="n">
        <v>1265</v>
      </c>
      <c r="R84" s="77" t="n">
        <v>10424</v>
      </c>
      <c r="S84" s="77" t="n">
        <v>0</v>
      </c>
      <c r="T84" s="39" t="n"/>
    </row>
    <row r="85" ht="62" customHeight="1">
      <c r="A85" s="12">
        <f>_xlfn.IMAGE("https://m.media-amazon.com/images/I/81oKLEMiMUL.jpg")</f>
        <v/>
      </c>
      <c r="B85" s="39" t="inlineStr">
        <is>
          <t>B0DBW1M1HX</t>
        </is>
      </c>
      <c r="C85" s="39" t="inlineStr">
        <is>
          <t>SATIN-FITTED-TWIN-SEA-TEAL</t>
        </is>
      </c>
      <c r="D85" s="39" t="inlineStr">
        <is>
          <t>DECOLURE Satin Fitted Sheet Twin Size (1 PC) – Luxuriously Smooth &amp; Softer Than Silk Bed Sheets w/ 15 Inch Deep Pocket Hypoallergenic Wrinkle Free, Secure Snug Fit, Elastic Corner Straps (Sea Teal)</t>
        </is>
      </c>
      <c r="E85" s="39" t="inlineStr">
        <is>
          <t>Twin</t>
        </is>
      </c>
      <c r="F85" s="39" t="inlineStr">
        <is>
          <t>Sea Teal</t>
        </is>
      </c>
      <c r="G85" s="73" t="n">
        <v>25.74</v>
      </c>
      <c r="H85" s="39" t="inlineStr">
        <is>
          <t>catalog price (CAD), 2026-10-14</t>
        </is>
      </c>
      <c r="I85" s="74" t="n">
        <v>27.71</v>
      </c>
      <c r="J85" s="75" t="inlineStr">
        <is>
          <t>2026-03-30</t>
        </is>
      </c>
      <c r="K85" s="40" t="n">
        <v>6.99</v>
      </c>
      <c r="L85" s="76" t="n">
        <v>0.2522555034283652</v>
      </c>
      <c r="M85" s="77" t="n">
        <v>0</v>
      </c>
      <c r="N85" s="39" t="inlineStr">
        <is>
          <t>Active</t>
        </is>
      </c>
      <c r="O85" s="39" t="n"/>
      <c r="P85" s="78" t="n">
        <v>4.4</v>
      </c>
      <c r="Q85" s="77" t="n">
        <v>1265</v>
      </c>
      <c r="R85" s="77" t="n">
        <v>10424</v>
      </c>
      <c r="S85" s="77" t="n">
        <v>5</v>
      </c>
      <c r="T85" s="39" t="n"/>
    </row>
    <row r="86"/>
    <row r="87" ht="22" customHeight="1">
      <c r="A87" s="65" t="inlineStr">
        <is>
          <t>3 ▼</t>
        </is>
      </c>
      <c r="B87" s="66" t="inlineStr">
        <is>
          <t>OUR BFCM 2025 RESULT &amp; EVENT VISIBILITY</t>
        </is>
      </c>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c r="AC87" s="67" t="n"/>
      <c r="AD87" s="67" t="n"/>
      <c r="AE87" s="67" t="n"/>
      <c r="AF87" s="67" t="n"/>
      <c r="AG87" s="67" t="n"/>
      <c r="AH87" s="67" t="n"/>
      <c r="AI87" s="67" t="n"/>
      <c r="AJ87" s="67" t="n"/>
      <c r="AK87" s="67" t="n"/>
      <c r="AL87" s="67" t="n"/>
      <c r="AM87" s="67" t="n"/>
      <c r="AN87" s="67" t="n"/>
      <c r="AO87" s="67" t="n"/>
      <c r="AP87" s="67" t="n"/>
      <c r="AQ87" s="67" t="n"/>
      <c r="AR87" s="67" t="n"/>
      <c r="AS87" s="67" t="n"/>
      <c r="AT87" s="67" t="n"/>
      <c r="AU87" s="67" t="n"/>
      <c r="AV87" s="67" t="n"/>
      <c r="AW87" s="67" t="n"/>
      <c r="AX87" s="67" t="n"/>
      <c r="AY87" s="67" t="n"/>
      <c r="AZ87" s="67" t="n"/>
      <c r="BA87" s="67" t="n"/>
      <c r="BB87" s="67" t="n"/>
      <c r="BC87" s="67" t="n"/>
      <c r="BD87" s="67" t="n"/>
      <c r="BE87" s="67" t="n"/>
      <c r="BF87" s="67" t="n"/>
      <c r="BG87" s="67" t="n"/>
      <c r="BH87" s="67" t="n"/>
      <c r="BI87" s="67" t="n"/>
      <c r="BJ87" s="67" t="n"/>
      <c r="BK87" s="67" t="n"/>
    </row>
    <row r="88">
      <c r="A88" s="80" t="inlineStr">
        <is>
          <t>Window</t>
        </is>
      </c>
      <c r="B88" s="81" t="n"/>
      <c r="C88" s="82" t="n"/>
      <c r="D88" s="80" t="inlineStr">
        <is>
          <t>Ad spend</t>
        </is>
      </c>
      <c r="E88" s="80" t="inlineStr">
        <is>
          <t>Ad sales</t>
        </is>
      </c>
      <c r="F88" s="80" t="inlineStr">
        <is>
          <t>ACoS</t>
        </is>
      </c>
      <c r="G88" s="80" t="inlineStr">
        <is>
          <t>TACoS</t>
        </is>
      </c>
      <c r="H88" s="80" t="inlineStr">
        <is>
          <t>Total sales (derived)</t>
        </is>
      </c>
      <c r="J88" s="80" t="inlineStr">
        <is>
          <t>Ad orders</t>
        </is>
      </c>
      <c r="K88" s="80" t="inlineStr">
        <is>
          <t>CVR</t>
        </is>
      </c>
    </row>
    <row r="89">
      <c r="A89" s="83" t="inlineStr">
        <is>
          <t>Pre-event Oct 21 - Nov 19, 2025 (30d)</t>
        </is>
      </c>
      <c r="B89" s="81" t="n"/>
      <c r="C89" s="82" t="n"/>
      <c r="D89" s="84" t="n">
        <v>0</v>
      </c>
      <c r="E89" s="84" t="n">
        <v>0</v>
      </c>
      <c r="F89" s="85" t="n"/>
      <c r="G89" s="85" t="n">
        <v>0</v>
      </c>
      <c r="H89" s="84" t="n"/>
      <c r="J89" s="86" t="n">
        <v>0</v>
      </c>
      <c r="K89" s="87" t="n"/>
    </row>
    <row r="90">
      <c r="A90" s="83" t="inlineStr">
        <is>
          <t>BFCM week Nov 20 - Dec 1, 2025 (12d)</t>
        </is>
      </c>
      <c r="B90" s="81" t="n"/>
      <c r="C90" s="82" t="n"/>
      <c r="D90" s="84" t="n">
        <v>50.84999999999999</v>
      </c>
      <c r="E90" s="84" t="n">
        <v>588.6</v>
      </c>
      <c r="F90" s="85" t="n">
        <v>8.6</v>
      </c>
      <c r="G90" s="85" t="n">
        <v>1.296334064141131</v>
      </c>
      <c r="H90" s="84" t="n">
        <v>3922.6</v>
      </c>
      <c r="J90" s="86" t="n">
        <v>20</v>
      </c>
      <c r="K90" s="87" t="n">
        <v>16.53</v>
      </c>
    </row>
    <row r="91">
      <c r="A91" s="83" t="inlineStr">
        <is>
          <t>December 2 - 31, 2025 (30d)</t>
        </is>
      </c>
      <c r="B91" s="81" t="n"/>
      <c r="C91" s="82" t="n"/>
      <c r="D91" s="84" t="n">
        <v>4.22</v>
      </c>
      <c r="E91" s="84" t="n">
        <v>23.95</v>
      </c>
      <c r="F91" s="85" t="n">
        <v>17.6</v>
      </c>
      <c r="G91" s="85" t="n">
        <v>0.04336299554039334</v>
      </c>
      <c r="H91" s="84" t="n">
        <v>9731.799999999999</v>
      </c>
      <c r="J91" s="86" t="n">
        <v>1</v>
      </c>
      <c r="K91" s="87" t="n">
        <v>10</v>
      </c>
    </row>
    <row r="92"/>
    <row r="93">
      <c r="A93" s="80" t="inlineStr">
        <is>
          <t>Actual sales (account data)</t>
        </is>
      </c>
      <c r="B93" s="81" t="n"/>
      <c r="C93" s="82" t="n"/>
      <c r="D93" s="80" t="inlineStr">
        <is>
          <t>Sales</t>
        </is>
      </c>
      <c r="E93" s="80" t="inlineStr">
        <is>
          <t>Units</t>
        </is>
      </c>
      <c r="F93" s="80" t="inlineStr">
        <is>
          <t>Organic units</t>
        </is>
      </c>
      <c r="G93" s="80" t="inlineStr">
        <is>
          <t>Ad units</t>
        </is>
      </c>
      <c r="H93" s="80" t="inlineStr">
        <is>
          <t>Ad cost</t>
        </is>
      </c>
      <c r="J93" s="80" t="inlineStr">
        <is>
          <t>TACoS (actual)</t>
        </is>
      </c>
      <c r="K93" s="80" t="inlineStr">
        <is>
          <t>Sessions</t>
        </is>
      </c>
      <c r="L93" s="80" t="inlineStr">
        <is>
          <t>Unit session %</t>
        </is>
      </c>
      <c r="M93" s="80" t="inlineStr">
        <is>
          <t>Avg price</t>
        </is>
      </c>
      <c r="N93" s="80" t="inlineStr">
        <is>
          <t>Refunds</t>
        </is>
      </c>
    </row>
    <row r="94">
      <c r="A94" s="83" t="inlineStr">
        <is>
          <t>Pre-event Oct 21 - Nov 19, 2025 (30d)</t>
        </is>
      </c>
      <c r="B94" s="81" t="n"/>
      <c r="C94" s="82" t="n"/>
      <c r="D94" s="84" t="n">
        <v>9458</v>
      </c>
      <c r="E94" s="86" t="n">
        <v>618</v>
      </c>
      <c r="F94" s="86" t="n">
        <v>618</v>
      </c>
      <c r="G94" s="86" t="n">
        <v>0</v>
      </c>
      <c r="H94" s="84" t="n">
        <v>0</v>
      </c>
      <c r="J94" s="88" t="n">
        <v>0</v>
      </c>
      <c r="K94" s="86" t="n">
        <v>9672</v>
      </c>
      <c r="L94" s="88" t="n">
        <v>0.06389578163771713</v>
      </c>
      <c r="M94" s="89" t="n">
        <v>15.3042071197411</v>
      </c>
      <c r="N94" s="86" t="n">
        <v>33</v>
      </c>
    </row>
    <row r="95">
      <c r="A95" s="83" t="inlineStr">
        <is>
          <t>BFCM week Nov 20 - Dec 1, 2025 (12d)</t>
        </is>
      </c>
      <c r="B95" s="81" t="n"/>
      <c r="C95" s="82" t="n"/>
      <c r="D95" s="84" t="n">
        <v>2791.44</v>
      </c>
      <c r="E95" s="86" t="n">
        <v>168</v>
      </c>
      <c r="F95" s="86" t="n">
        <v>166</v>
      </c>
      <c r="G95" s="86" t="n">
        <v>2</v>
      </c>
      <c r="H95" s="84" t="n">
        <v>36.25</v>
      </c>
      <c r="J95" s="88" t="n">
        <v>0.01298612902301321</v>
      </c>
      <c r="K95" s="86" t="n">
        <v>2381</v>
      </c>
      <c r="L95" s="88" t="n">
        <v>0.07055858882822344</v>
      </c>
      <c r="M95" s="89" t="n">
        <v>16.61571428571429</v>
      </c>
      <c r="N95" s="86" t="n">
        <v>11</v>
      </c>
    </row>
    <row r="96">
      <c r="A96" s="83" t="inlineStr">
        <is>
          <t>December 2 - 31, 2025 (30d)</t>
        </is>
      </c>
      <c r="B96" s="81" t="n"/>
      <c r="C96" s="82" t="n"/>
      <c r="D96" s="84" t="n">
        <v>7219.26</v>
      </c>
      <c r="E96" s="86" t="n">
        <v>433</v>
      </c>
      <c r="F96" s="86" t="n">
        <v>433</v>
      </c>
      <c r="G96" s="86" t="n">
        <v>0</v>
      </c>
      <c r="H96" s="84" t="n">
        <v>3.03</v>
      </c>
      <c r="J96" s="88" t="n">
        <v>0.0004197106074583821</v>
      </c>
      <c r="K96" s="86" t="n">
        <v>5821</v>
      </c>
      <c r="L96" s="88" t="n">
        <v>0.07438584435663975</v>
      </c>
      <c r="M96" s="89" t="n">
        <v>16.6726558891455</v>
      </c>
      <c r="N96" s="86" t="n">
        <v>31</v>
      </c>
    </row>
    <row r="97">
      <c r="A97" s="90" t="inlineStr">
        <is>
          <t>account data, Amazon parent B0FQC9C5QT plus any of this product's child ASINs account data lists on their own, UTC days. Lift above uses these actual sales. Amazon.ca sales here are in USD: account data converts to the account currency, while the market data table above is in CAD (ratio ~0.71). Lift is a ratio, so it is unaffected.</t>
        </is>
      </c>
    </row>
    <row r="98" ht="30" customHeight="1">
      <c r="A98" s="91" t="inlineStr">
        <is>
          <t>Deals we ran or scheduled, Nov 1 - Dec 5, 2025 (deal records promotions; scheduled deal price not in the feed. price history price = lowest Buy Box seen during the deal, an observation for the hero child only, not the scheduled deal price): Best Deal 10-22 to 11-05 (ran, 49 variations, 346 units).</t>
        </is>
      </c>
    </row>
    <row r="99" ht="18" customHeight="1">
      <c r="A99" s="92" t="inlineStr">
        <is>
          <t>BFCM 2026 plan: Best Deal 11/19-11/30. Deal price and depth not yet given; not yet visible in Amazon's deal feed.</t>
        </is>
      </c>
    </row>
    <row r="100" ht="30" customHeight="1">
      <c r="A100" s="94" t="inlineStr">
        <is>
          <t>BFCM 2026 stock (account data, Oct 15): 1,748 units at Amazon + 360 already sent (no ETA in account data); selling 9.7 a day; need about 696 to Nov 30 with a 3.14x BFCM lift (ASSUMED: account BFCM 2025 lift (CA); product's own 2025 lift not reliable). Variations: 38 covered, 0 need the inbound in time, 4 short even with inbound (383 units), 18 out of stock now. Detail: BFCM Stock tab.</t>
        </is>
      </c>
    </row>
    <row r="101" ht="18" customHeight="1">
      <c r="A101" s="95" t="inlineStr">
        <is>
          <t>ASSUMED 2026 deal prices, until the team's final: B0DBW1PNJ8 today C$22.95; C$19.51 at 15% off (Nov 19-26) and C$18.36 at 20% off (Nov 27-30, Black Friday to Cyber Monday). Rule: team rule agreed Oct 15, 2026. Evidence: our BFCM 2025 deal on B0DBW1PNJ8 (US, price history): $16.95 before, $15.15 during, 11% off; US competitors' median price cut in BFCM 2025: 5% (2 rivals). Amazon may use a lower reference price than today's (it sets it the day before the deal), which would lower the deal price.</t>
        </is>
      </c>
    </row>
    <row r="102" ht="40" customHeight="1">
      <c r="A102" s="91" t="inlineStr">
        <is>
          <t>Stock in BFCM week 2025 (FBA inventory snapshots, child-ASIN level, revision 2): 1 of 34 variations hit zero FBA stock on at least one observed day; weighted by today's sales mix that is ~0.0% of variation-days lost. Most important: B0DBVZQYZ7 1/8 days. Days with no snapshot (Nov 24, 29 and 30), inferred from sales that day and the readings either side: 26 of 117 variation-days in stock, 0 out of stock, 91 unknown. Inferred, not a stock reading.</t>
        </is>
      </c>
    </row>
    <row r="103">
      <c r="A103" s="90" t="inlineStr">
        <is>
          <t>Figures above are Amazon.ca in CAD. Visibility history is held for US ASINs only.</t>
        </is>
      </c>
    </row>
    <row r="104"/>
    <row r="105" ht="22" customHeight="1">
      <c r="A105" s="65" t="inlineStr">
        <is>
          <t>4 ▼</t>
        </is>
      </c>
      <c r="B105" s="66" t="inlineStr">
        <is>
          <t>COMPETITOR LANDSCAPE (15 mapped)</t>
        </is>
      </c>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c r="AC105" s="67" t="n"/>
      <c r="AD105" s="67" t="n"/>
      <c r="AE105" s="67" t="n"/>
      <c r="AF105" s="67" t="n"/>
      <c r="AG105" s="67" t="n"/>
      <c r="AH105" s="67" t="n"/>
      <c r="AI105" s="67" t="n"/>
      <c r="AJ105" s="67" t="n"/>
      <c r="AK105" s="67" t="n"/>
      <c r="AL105" s="67" t="n"/>
      <c r="AM105" s="67" t="n"/>
      <c r="AN105" s="67" t="n"/>
      <c r="AO105" s="67" t="n"/>
      <c r="AP105" s="67" t="n"/>
      <c r="AQ105" s="67" t="n"/>
      <c r="AR105" s="67" t="n"/>
      <c r="AS105" s="67" t="n"/>
      <c r="AT105" s="67" t="n"/>
      <c r="AU105" s="67" t="n"/>
      <c r="AV105" s="67" t="n"/>
      <c r="AW105" s="67" t="n"/>
      <c r="AX105" s="67" t="n"/>
      <c r="AY105" s="67" t="n"/>
      <c r="AZ105" s="67" t="n"/>
      <c r="BA105" s="67" t="n"/>
      <c r="BB105" s="67" t="n"/>
      <c r="BC105" s="67" t="n"/>
      <c r="BD105" s="67" t="n"/>
      <c r="BE105" s="67" t="n"/>
      <c r="BF105" s="67" t="n"/>
      <c r="BG105" s="67" t="n"/>
      <c r="BH105" s="67" t="n"/>
      <c r="BI105" s="67" t="n"/>
      <c r="BJ105" s="67" t="n"/>
      <c r="BK105" s="67" t="n"/>
    </row>
    <row r="106" ht="20" customHeight="1">
      <c r="A106" s="96" t="inlineStr">
        <is>
          <t>▼▼▼</t>
        </is>
      </c>
      <c r="B106" s="97" t="inlineStr">
        <is>
          <t>COMPETITOR DATA BELOW: one row per competitor (10 direct first, then alternative material). Scroll right for listing, search, strikethrough now and BFCM 2025 history (deal type, price, discount, rank change).</t>
        </is>
      </c>
      <c r="C106" s="98" t="n"/>
      <c r="D106" s="98" t="n"/>
      <c r="E106" s="98" t="n"/>
      <c r="F106" s="98" t="n"/>
      <c r="G106" s="98" t="n"/>
      <c r="H106" s="98" t="n"/>
      <c r="I106" s="98" t="n"/>
      <c r="J106" s="98" t="n"/>
      <c r="K106" s="98" t="n"/>
      <c r="L106" s="98" t="n"/>
      <c r="M106" s="98" t="n"/>
      <c r="N106" s="98" t="n"/>
      <c r="O106" s="98" t="n"/>
      <c r="P106" s="98" t="n"/>
      <c r="Q106" s="98" t="n"/>
      <c r="R106" s="98" t="n"/>
      <c r="S106" s="98" t="n"/>
      <c r="T106" s="98" t="n"/>
      <c r="U106" s="98" t="n"/>
      <c r="V106" s="98" t="n"/>
      <c r="W106" s="98" t="n"/>
      <c r="X106" s="98" t="n"/>
      <c r="Y106" s="98" t="n"/>
      <c r="Z106" s="98" t="n"/>
      <c r="AA106" s="98" t="n"/>
      <c r="AB106" s="98" t="n"/>
      <c r="AC106" s="98" t="n"/>
      <c r="AD106" s="98" t="n"/>
      <c r="AE106" s="98" t="n"/>
      <c r="AF106" s="98" t="n"/>
      <c r="AG106" s="98" t="n"/>
      <c r="AH106" s="98" t="n"/>
      <c r="AI106" s="98" t="n"/>
      <c r="AJ106" s="98" t="n"/>
      <c r="AK106" s="98" t="n"/>
      <c r="AL106" s="98" t="n"/>
      <c r="AM106" s="98" t="n"/>
      <c r="AN106" s="98" t="n"/>
      <c r="AO106" s="98" t="n"/>
      <c r="AP106" s="98" t="n"/>
      <c r="AQ106" s="98" t="n"/>
      <c r="AR106" s="98" t="n"/>
      <c r="AS106" s="98" t="n"/>
      <c r="AT106" s="98" t="n"/>
      <c r="AU106" s="98" t="n"/>
      <c r="AV106" s="98" t="n"/>
      <c r="AW106" s="98" t="n"/>
      <c r="AX106" s="98" t="n"/>
      <c r="AY106" s="98" t="n"/>
      <c r="AZ106" s="98" t="n"/>
      <c r="BA106" s="98" t="n"/>
      <c r="BB106" s="98" t="n"/>
      <c r="BC106" s="98" t="n"/>
      <c r="BD106" s="98" t="n"/>
      <c r="BE106" s="98" t="n"/>
      <c r="BF106" s="98" t="n"/>
      <c r="BG106" s="98" t="n"/>
      <c r="BH106" s="98" t="n"/>
      <c r="BI106" s="98" t="n"/>
      <c r="BJ106" s="98" t="n"/>
      <c r="BK106" s="98" t="n"/>
    </row>
    <row r="107" ht="30" customHeight="1">
      <c r="A107" s="91" t="inlineStr">
        <is>
          <t>Canadian competitors from Amazon.ca page research (Oct 13, logged out, Toronto M5V 3L9): page-1 organic results for this product's keywords, same material and piece count, Queen size selected (2 King where no Queen). Prices in CAD. The market data columns (BSR trend, search data search strategy, weekly units) do not exist for Canada; organic rank and keyword are in Notes. 'Our price, same size' is our live Amazon.ca price (catalog price, CAD) where held, else the market data CAD price marked STALE.</t>
        </is>
      </c>
    </row>
    <row r="108">
      <c r="A108" s="99" t="inlineStr">
        <is>
          <t>COMPETITOR</t>
        </is>
      </c>
      <c r="L108" s="100" t="inlineStr">
        <is>
          <t>LISTING - catalog data</t>
        </is>
      </c>
      <c r="M108" s="101" t="inlineStr">
        <is>
          <t>SEARCH STRATEGY - market data search data</t>
        </is>
      </c>
      <c r="N108" s="102" t="inlineStr">
        <is>
          <t>PRICE &amp; SALES - market data snapshot (date per row)</t>
        </is>
      </c>
      <c r="AA108" s="100" t="inlineStr">
        <is>
          <t>LISTING - catalog data</t>
        </is>
      </c>
      <c r="AD108" s="101" t="inlineStr">
        <is>
          <t>SEARCH STRATEGY - market data search data</t>
        </is>
      </c>
      <c r="AU108" s="103" t="inlineStr">
        <is>
          <t>STR NOW - Amazon page check (Oct 13, P1 + P2)</t>
        </is>
      </c>
      <c r="BB108" s="104" t="inlineStr">
        <is>
          <t>BFCM 2025 - price history (P1 filled; yellow = not pulled yet)</t>
        </is>
      </c>
    </row>
    <row r="109" ht="48" customHeight="1">
      <c r="A109" s="26" t="inlineStr">
        <is>
          <t>Image</t>
        </is>
      </c>
      <c r="B109" s="26" t="inlineStr">
        <is>
          <t>Brand</t>
        </is>
      </c>
      <c r="C109" s="26" t="inlineStr">
        <is>
          <t>Product title</t>
        </is>
      </c>
      <c r="D109" s="26" t="inlineStr">
        <is>
          <t>Tier</t>
        </is>
      </c>
      <c r="E109" s="26" t="inlineStr">
        <is>
          <t>Competitor type</t>
        </is>
      </c>
      <c r="F109" s="26" t="inlineStr">
        <is>
          <t>Material</t>
        </is>
      </c>
      <c r="G109" s="26" t="inlineStr">
        <is>
          <t>Why this type</t>
        </is>
      </c>
      <c r="H109" s="26" t="inlineStr">
        <is>
          <t>Parent ASIN</t>
        </is>
      </c>
      <c r="I109" s="26" t="inlineStr">
        <is>
          <t>Tracked child ASIN</t>
        </is>
      </c>
      <c r="J109" s="26" t="inlineStr">
        <is>
          <t>Size</t>
        </is>
      </c>
      <c r="K109" s="26" t="inlineStr">
        <is>
          <t>Colour</t>
        </is>
      </c>
      <c r="L109" s="26" t="inlineStr">
        <is>
          <t>Variations</t>
        </is>
      </c>
      <c r="M109" s="26" t="inlineStr">
        <is>
          <t>Hero child ASINs (share of their visibility)</t>
        </is>
      </c>
      <c r="N109" s="26" t="inlineStr">
        <is>
          <t>Price ($)</t>
        </is>
      </c>
      <c r="O109" s="26" t="inlineStr">
        <is>
          <t>List Price ($)</t>
        </is>
      </c>
      <c r="P109" s="26" t="inlineStr">
        <is>
          <t>List Price % over</t>
        </is>
      </c>
      <c r="Q109" s="26" t="inlineStr">
        <is>
          <t>STR band</t>
        </is>
      </c>
      <c r="R109" s="26" t="inlineStr">
        <is>
          <t>Our price, same size ($)</t>
        </is>
      </c>
      <c r="S109" s="26" t="inlineStr">
        <is>
          <t>Their price vs ours</t>
        </is>
      </c>
      <c r="T109" s="26" t="inlineStr">
        <is>
          <t>Comparison basis</t>
        </is>
      </c>
      <c r="U109" s="26" t="inlineStr">
        <is>
          <t>BSR</t>
        </is>
      </c>
      <c r="V109" s="26" t="inlineStr">
        <is>
          <t>Est weekly units</t>
        </is>
      </c>
      <c r="W109" s="26" t="inlineStr">
        <is>
          <t>Est monthly revenue ($)</t>
        </is>
      </c>
      <c r="X109" s="26" t="inlineStr">
        <is>
          <t>Rating</t>
        </is>
      </c>
      <c r="Y109" s="26" t="inlineStr">
        <is>
          <t>Reviews</t>
        </is>
      </c>
      <c r="Z109" s="26" t="inlineStr">
        <is>
          <t>Snapshot date</t>
        </is>
      </c>
      <c r="AA109" s="26" t="inlineStr">
        <is>
          <t>Listed</t>
        </is>
      </c>
      <c r="AB109" s="26" t="inlineStr">
        <is>
          <t>Fulfil.</t>
        </is>
      </c>
      <c r="AC109" s="26" t="inlineStr">
        <is>
          <t>Seller country</t>
        </is>
      </c>
      <c r="AD109" s="26" t="inlineStr">
        <is>
          <t>search data 7d traffic</t>
        </is>
      </c>
      <c r="AE109" s="26" t="inlineStr">
        <is>
          <t>Keywords ranked</t>
        </is>
      </c>
      <c r="AF109" s="26" t="inlineStr">
        <is>
          <t>Organic share of traffic</t>
        </is>
      </c>
      <c r="AG109" s="26" t="inlineStr">
        <is>
          <t>Ad share of traffic</t>
        </is>
      </c>
      <c r="AH109" s="26" t="inlineStr">
        <is>
          <t>Top keyword</t>
        </is>
      </c>
      <c r="AI109" s="26" t="inlineStr">
        <is>
          <t>SP reach</t>
        </is>
      </c>
      <c r="AJ109" s="26" t="inlineStr">
        <is>
          <t>SB reach</t>
        </is>
      </c>
      <c r="AK109" s="26" t="inlineStr">
        <is>
          <t>SB video reach</t>
        </is>
      </c>
      <c r="AL109" s="26" t="inlineStr">
        <is>
          <t>Amazon's Choice reach</t>
        </is>
      </c>
      <c r="AM109" s="26" t="inlineStr">
        <is>
          <t>Shared keywords</t>
        </is>
      </c>
      <c r="AN109" s="26" t="inlineStr">
        <is>
          <t>We win</t>
        </is>
      </c>
      <c r="AO109" s="26" t="inlineStr">
        <is>
          <t>We lose</t>
        </is>
      </c>
      <c r="AP109" s="26" t="inlineStr">
        <is>
          <t>Their keywords we miss</t>
        </is>
      </c>
      <c r="AQ109" s="26" t="inlineStr">
        <is>
          <t>KWs they advertise, we don't</t>
        </is>
      </c>
      <c r="AR109" s="26" t="inlineStr">
        <is>
          <t>KWs they out-advertise us</t>
        </is>
      </c>
      <c r="AS109" s="26" t="inlineStr">
        <is>
          <t>Prime Day 2026 organic vis lift</t>
        </is>
      </c>
      <c r="AT109" s="26" t="inlineStr">
        <is>
          <t>Organic trend (Aug-Sep vs Q2)</t>
        </is>
      </c>
      <c r="AU109" s="26" t="inlineStr">
        <is>
          <t>STR showing now? (Y/N)</t>
        </is>
      </c>
      <c r="AV109" s="26" t="inlineStr">
        <is>
          <t>STR label</t>
        </is>
      </c>
      <c r="AW109" s="26" t="inlineStr">
        <is>
          <t>Strikethrough price ($)</t>
        </is>
      </c>
      <c r="AX109" s="26" t="inlineStr">
        <is>
          <t>Page price at check ($)</t>
        </is>
      </c>
      <c r="AY109" s="26" t="inlineStr">
        <is>
          <t>Deal / coupon now</t>
        </is>
      </c>
      <c r="AZ109" s="26" t="inlineStr">
        <is>
          <t>Orderable now (Y/N)</t>
        </is>
      </c>
      <c r="BA109" s="26" t="inlineStr">
        <is>
          <t>Checked (ET)</t>
        </is>
      </c>
      <c r="BB109" s="26" t="inlineStr">
        <is>
          <t>BFCM 2025 deal type</t>
        </is>
      </c>
      <c r="BC109" s="26" t="inlineStr">
        <is>
          <t>BFCM 2025 deal dates</t>
        </is>
      </c>
      <c r="BD109" s="26" t="inlineStr">
        <is>
          <t>Pre-event price ($)</t>
        </is>
      </c>
      <c r="BE109" s="26" t="inlineStr">
        <is>
          <t>BFCM 2025 low ($)</t>
        </is>
      </c>
      <c r="BF109" s="26" t="inlineStr">
        <is>
          <t>BFCM 2025 discount</t>
        </is>
      </c>
      <c r="BG109" s="26" t="inlineStr">
        <is>
          <t>BSR pre-event</t>
        </is>
      </c>
      <c r="BH109" s="26" t="inlineStr">
        <is>
          <t>BSR BFCM wk</t>
        </is>
      </c>
      <c r="BI109" s="26" t="inlineStr">
        <is>
          <t>BSR lift (x)</t>
        </is>
      </c>
      <c r="BJ109" s="26" t="inlineStr">
        <is>
          <t>OOS in BFCM? (Y/N)</t>
        </is>
      </c>
      <c r="BK109" s="26" t="inlineStr">
        <is>
          <t>Notes</t>
        </is>
      </c>
    </row>
    <row r="110" ht="62" customHeight="1">
      <c r="A110" s="12">
        <f>_xlfn.IMAGE("https://m.media-amazon.com/images/I/71HGO27j0uL.jpg")</f>
        <v/>
      </c>
      <c r="B110" s="105" t="inlineStr">
        <is>
          <t>MR&amp;HM</t>
        </is>
      </c>
      <c r="C110" s="39" t="inlineStr">
        <is>
          <t>MR&amp;HM Satin Fitted Sheet Queen Size with Elastic Corner Straps, Black</t>
        </is>
      </c>
      <c r="D110" s="105" t="inlineStr">
        <is>
          <t>Untiered</t>
        </is>
      </c>
      <c r="E110" s="106" t="inlineStr">
        <is>
          <t>Direct</t>
        </is>
      </c>
      <c r="F110" s="105" t="inlineStr">
        <is>
          <t>Satin (polyester)</t>
        </is>
      </c>
      <c r="G110" s="39" t="inlineStr">
        <is>
          <t>Same product (fitted sheet) in the same material family: Satin (polyester) (title: MR&amp;HM Satin Fitted Sheet Queen Size with Elastic Corner Stra); ours: our listing: polyester satin.</t>
        </is>
      </c>
      <c r="H110" s="107" t="inlineStr">
        <is>
          <t>B099M1HTWC</t>
        </is>
      </c>
      <c r="I110" s="107" t="inlineStr">
        <is>
          <t>B095PBLXD1</t>
        </is>
      </c>
      <c r="J110" s="105" t="inlineStr">
        <is>
          <t>Queen</t>
        </is>
      </c>
      <c r="K110" s="105" t="inlineStr">
        <is>
          <t>01 - Black</t>
        </is>
      </c>
      <c r="L110" s="108" t="n">
        <v>132</v>
      </c>
      <c r="M110" s="39" t="n"/>
      <c r="N110" s="109" t="n">
        <v>21.59</v>
      </c>
      <c r="O110" s="109" t="n"/>
      <c r="P110" s="110">
        <f>IF(AND(ISNUMBER(O110),ISNUMBER(N110),N(N110)&gt;0),O110/N110-1,"")</f>
        <v/>
      </c>
      <c r="Q110" s="111">
        <f>IF(P110="","No List Price",IF(P110&lt;=0,"At/below price",IF(P110&lt;=0.12,"&lt;=12% STR zone",IF(P110&lt;=0.25,"12-25%","&gt;25% over"))))</f>
        <v/>
      </c>
      <c r="R110" s="109" t="n">
        <v>23.95</v>
      </c>
      <c r="S110" s="112">
        <f>IF(AND(ISNUMBER(N110),ISNUMBER(R110),N(R110)&gt;0),N110/R110-1,"")</f>
        <v/>
      </c>
      <c r="T110" s="39" t="inlineStr">
        <is>
          <t>Same size (Queen), CAD. Ours live: catalog price (CAD), 2026-10-14; 12 children</t>
        </is>
      </c>
      <c r="U110" s="108" t="n">
        <v>1676</v>
      </c>
      <c r="V110" s="108" t="n"/>
      <c r="W110" s="113">
        <f>IF(AND(ISNUMBER(N110),ISNUMBER(V110)),N110*V110*52/12,"")</f>
        <v/>
      </c>
      <c r="X110" s="114" t="n">
        <v>3.9</v>
      </c>
      <c r="Y110" s="108" t="n">
        <v>648</v>
      </c>
      <c r="Z110" s="115" t="n">
        <v>46309</v>
      </c>
      <c r="AA110" s="115" t="n"/>
      <c r="AB110" s="105" t="n"/>
      <c r="AC110" s="105" t="n"/>
      <c r="AD110" s="108" t="n"/>
      <c r="AE110" s="108" t="n"/>
      <c r="AF110" s="116" t="n"/>
      <c r="AG110" s="116" t="n"/>
      <c r="AH110" s="39" t="n"/>
      <c r="AI110" s="116" t="n"/>
      <c r="AJ110" s="116" t="n"/>
      <c r="AK110" s="116" t="n"/>
      <c r="AL110" s="116" t="n"/>
      <c r="AM110" s="108" t="n"/>
      <c r="AN110" s="108" t="n"/>
      <c r="AO110" s="108" t="n"/>
      <c r="AP110" s="108" t="n"/>
      <c r="AQ110" s="108" t="n"/>
      <c r="AR110" s="108" t="n"/>
      <c r="AS110" s="117" t="n"/>
      <c r="AT110" s="112" t="n"/>
      <c r="AU110" s="118" t="inlineStr">
        <is>
          <t>Y</t>
        </is>
      </c>
      <c r="AV110" s="118" t="inlineStr">
        <is>
          <t>Was price</t>
        </is>
      </c>
      <c r="AW110" s="119" t="n">
        <v>23.99</v>
      </c>
      <c r="AX110" s="119" t="n">
        <v>21.59</v>
      </c>
      <c r="AY110" s="118" t="inlineStr">
        <is>
          <t>none</t>
        </is>
      </c>
      <c r="AZ110" s="118" t="inlineStr">
        <is>
          <t>Y</t>
        </is>
      </c>
      <c r="BA110" s="118" t="inlineStr">
        <is>
          <t>2026-10-14 00:29:59</t>
        </is>
      </c>
      <c r="BB110" s="120" t="inlineStr">
        <is>
          <t>Price cut only</t>
        </is>
      </c>
      <c r="BC110" s="120" t="inlineStr">
        <is>
          <t>11-20 to 12-01</t>
        </is>
      </c>
      <c r="BD110" s="121" t="n">
        <v>27.99</v>
      </c>
      <c r="BE110" s="121" t="n">
        <v>23.79</v>
      </c>
      <c r="BF110" s="110">
        <f>IF(AND(ISNUMBER(BD110),ISNUMBER(BE110),N(BD110)&gt;0),1-BE110/BD110,"")</f>
        <v/>
      </c>
      <c r="BG110" s="122" t="n">
        <v>4765</v>
      </c>
      <c r="BH110" s="122" t="n">
        <v>2790</v>
      </c>
      <c r="BI110" s="123">
        <f>IF(AND(ISNUMBER(BG110),ISNUMBER(BH110),N(BH110)&gt;0),BG110/BH110,"")</f>
        <v/>
      </c>
      <c r="BJ110" s="120" t="inlineStr">
        <is>
          <t>N</t>
        </is>
      </c>
      <c r="BK110" s="120" t="inlineStr">
        <is>
          <t>Amazon.ca organic #1 for 'satin fitted sheet queen'; 100% Polyester Satin; 100+ bought in past month bought past month; variation_count = distinct children exposed in page variation map, not a guaranteed complete catalogue. price history: Lightning Deal 11-11 to 11-11</t>
        </is>
      </c>
    </row>
    <row r="111" ht="62" customHeight="1">
      <c r="A111" s="12">
        <f>_xlfn.IMAGE("https://m.media-amazon.com/images/I/515KUtM8t+L.jpg")</f>
        <v/>
      </c>
      <c r="B111" s="105" t="inlineStr">
        <is>
          <t>FLCA</t>
        </is>
      </c>
      <c r="C111" s="39" t="inlineStr">
        <is>
          <t>Solid Fitted Sheet - Deep Pocket Satin Bed Sheet, Breathable Soft and Comfortable - Wrinkle, Fade, Stain and Abrasion Resistant (White, Queen)</t>
        </is>
      </c>
      <c r="D111" s="105" t="inlineStr">
        <is>
          <t>Untiered</t>
        </is>
      </c>
      <c r="E111" s="106" t="inlineStr">
        <is>
          <t>Direct</t>
        </is>
      </c>
      <c r="F111" s="105" t="inlineStr">
        <is>
          <t>Satin (polyester)</t>
        </is>
      </c>
      <c r="G111" s="39" t="inlineStr">
        <is>
          <t>Same product (fitted sheet) in the same material family: Satin (polyester) (title: Solid Fitted Sheet - Deep Pocket Satin Bed Sheet, Breathable); ours: our listing: polyester satin.</t>
        </is>
      </c>
      <c r="H111" s="107" t="inlineStr">
        <is>
          <t>B07Q7QZC68</t>
        </is>
      </c>
      <c r="I111" s="107" t="inlineStr">
        <is>
          <t>B07Q7PR1MD</t>
        </is>
      </c>
      <c r="J111" s="105" t="inlineStr">
        <is>
          <t>Queen</t>
        </is>
      </c>
      <c r="K111" s="105" t="inlineStr">
        <is>
          <t>White</t>
        </is>
      </c>
      <c r="L111" s="108" t="n">
        <v>18</v>
      </c>
      <c r="M111" s="39" t="n"/>
      <c r="N111" s="109" t="n">
        <v>17.99</v>
      </c>
      <c r="O111" s="109" t="n"/>
      <c r="P111" s="110">
        <f>IF(AND(ISNUMBER(O111),ISNUMBER(N111),N(N111)&gt;0),O111/N111-1,"")</f>
        <v/>
      </c>
      <c r="Q111" s="111">
        <f>IF(P111="","No List Price",IF(P111&lt;=0,"At/below price",IF(P111&lt;=0.12,"&lt;=12% STR zone",IF(P111&lt;=0.25,"12-25%","&gt;25% over"))))</f>
        <v/>
      </c>
      <c r="R111" s="109" t="n">
        <v>23.95</v>
      </c>
      <c r="S111" s="112">
        <f>IF(AND(ISNUMBER(N111),ISNUMBER(R111),N(R111)&gt;0),N111/R111-1,"")</f>
        <v/>
      </c>
      <c r="T111" s="39" t="inlineStr">
        <is>
          <t>Same size (Queen), CAD. Ours live: catalog price (CAD), 2026-10-14; 12 children</t>
        </is>
      </c>
      <c r="U111" s="108" t="n">
        <v>25714</v>
      </c>
      <c r="V111" s="108" t="n"/>
      <c r="W111" s="113">
        <f>IF(AND(ISNUMBER(N111),ISNUMBER(V111)),N111*V111*52/12,"")</f>
        <v/>
      </c>
      <c r="X111" s="114" t="n">
        <v>3.8</v>
      </c>
      <c r="Y111" s="108" t="n">
        <v>242</v>
      </c>
      <c r="Z111" s="115" t="n">
        <v>46309</v>
      </c>
      <c r="AA111" s="115" t="n"/>
      <c r="AB111" s="105" t="n"/>
      <c r="AC111" s="105" t="n"/>
      <c r="AD111" s="108" t="n"/>
      <c r="AE111" s="108" t="n"/>
      <c r="AF111" s="116" t="n"/>
      <c r="AG111" s="116" t="n"/>
      <c r="AH111" s="39" t="n"/>
      <c r="AI111" s="116" t="n"/>
      <c r="AJ111" s="116" t="n"/>
      <c r="AK111" s="116" t="n"/>
      <c r="AL111" s="116" t="n"/>
      <c r="AM111" s="108" t="n"/>
      <c r="AN111" s="108" t="n"/>
      <c r="AO111" s="108" t="n"/>
      <c r="AP111" s="108" t="n"/>
      <c r="AQ111" s="108" t="n"/>
      <c r="AR111" s="108" t="n"/>
      <c r="AS111" s="117" t="n"/>
      <c r="AT111" s="112" t="n"/>
      <c r="AU111" s="118" t="inlineStr">
        <is>
          <t>N</t>
        </is>
      </c>
      <c r="AV111" s="118" t="inlineStr">
        <is>
          <t>none</t>
        </is>
      </c>
      <c r="AW111" s="124" t="n"/>
      <c r="AX111" s="119" t="n">
        <v>17.99</v>
      </c>
      <c r="AY111" s="118" t="inlineStr">
        <is>
          <t>none</t>
        </is>
      </c>
      <c r="AZ111" s="118" t="inlineStr">
        <is>
          <t>Y</t>
        </is>
      </c>
      <c r="BA111" s="118" t="inlineStr">
        <is>
          <t>2026-10-14 00:31:09</t>
        </is>
      </c>
      <c r="BB111" s="120" t="inlineStr">
        <is>
          <t>None</t>
        </is>
      </c>
      <c r="BC111" s="125" t="n"/>
      <c r="BD111" s="121" t="n">
        <v>17.99</v>
      </c>
      <c r="BE111" s="121" t="n">
        <v>17.99</v>
      </c>
      <c r="BF111" s="110">
        <f>IF(AND(ISNUMBER(BD111),ISNUMBER(BE111),N(BD111)&gt;0),1-BE111/BD111,"")</f>
        <v/>
      </c>
      <c r="BG111" s="122" t="n">
        <v>73660</v>
      </c>
      <c r="BH111" s="122" t="n">
        <v>51512</v>
      </c>
      <c r="BI111" s="123">
        <f>IF(AND(ISNUMBER(BG111),ISNUMBER(BH111),N(BH111)&gt;0),BG111/BH111,"")</f>
        <v/>
      </c>
      <c r="BJ111" s="120" t="inlineStr">
        <is>
          <t>N</t>
        </is>
      </c>
      <c r="BK111" s="120" t="inlineStr">
        <is>
          <t>Amazon.ca organic #3 for 'satin fitted sheet'; SATIN; Search child B07Q6RTH8J; selected Queen child B07Q7PR1MD. variation_count = distinct children exposed in page variation map, not a guaranteed complete catalogue</t>
        </is>
      </c>
    </row>
    <row r="112" ht="62" customHeight="1">
      <c r="A112" s="12">
        <f>_xlfn.IMAGE("https://m.media-amazon.com/images/I/61NzrVgRCaL.jpg")</f>
        <v/>
      </c>
      <c r="B112" s="105" t="inlineStr">
        <is>
          <t>JUWENIN</t>
        </is>
      </c>
      <c r="C112" s="39" t="inlineStr">
        <is>
          <t>Fitted Sheet - Luxury Silky Soft Satin Bottom Sheet - Deep Pockets, Shrinkage and Fade Resistant - Easy Care - 1 Fitted Sheet Only (Navy, Queen)</t>
        </is>
      </c>
      <c r="D112" s="105" t="inlineStr">
        <is>
          <t>Untiered</t>
        </is>
      </c>
      <c r="E112" s="106" t="inlineStr">
        <is>
          <t>Direct</t>
        </is>
      </c>
      <c r="F112" s="105" t="inlineStr">
        <is>
          <t>Satin (polyester)</t>
        </is>
      </c>
      <c r="G112" s="39" t="inlineStr">
        <is>
          <t>Same product (fitted sheet) in the same material family: Satin (polyester) (title: Fitted Sheet - Luxury Silky Soft Satin Bottom Sheet - Deep P); ours: our listing: polyester satin.</t>
        </is>
      </c>
      <c r="H112" s="107" t="inlineStr">
        <is>
          <t>B0B1P3PGQD</t>
        </is>
      </c>
      <c r="I112" s="107" t="inlineStr">
        <is>
          <t>B0B1NWTYMT</t>
        </is>
      </c>
      <c r="J112" s="105" t="inlineStr">
        <is>
          <t>Queen</t>
        </is>
      </c>
      <c r="K112" s="105" t="inlineStr">
        <is>
          <t>Navy</t>
        </is>
      </c>
      <c r="L112" s="108" t="n">
        <v>19</v>
      </c>
      <c r="M112" s="39" t="n"/>
      <c r="N112" s="109" t="n">
        <v>19.99</v>
      </c>
      <c r="O112" s="109" t="n"/>
      <c r="P112" s="110">
        <f>IF(AND(ISNUMBER(O112),ISNUMBER(N112),N(N112)&gt;0),O112/N112-1,"")</f>
        <v/>
      </c>
      <c r="Q112" s="111">
        <f>IF(P112="","No List Price",IF(P112&lt;=0,"At/below price",IF(P112&lt;=0.12,"&lt;=12% STR zone",IF(P112&lt;=0.25,"12-25%","&gt;25% over"))))</f>
        <v/>
      </c>
      <c r="R112" s="109" t="n">
        <v>23.95</v>
      </c>
      <c r="S112" s="112">
        <f>IF(AND(ISNUMBER(N112),ISNUMBER(R112),N(R112)&gt;0),N112/R112-1,"")</f>
        <v/>
      </c>
      <c r="T112" s="39" t="inlineStr">
        <is>
          <t>Same size (Queen), CAD. Ours live: catalog price (CAD), 2026-10-14; 12 children</t>
        </is>
      </c>
      <c r="U112" s="108" t="n">
        <v>53472</v>
      </c>
      <c r="V112" s="108" t="n"/>
      <c r="W112" s="113">
        <f>IF(AND(ISNUMBER(N112),ISNUMBER(V112)),N112*V112*52/12,"")</f>
        <v/>
      </c>
      <c r="X112" s="114" t="n">
        <v>4.2</v>
      </c>
      <c r="Y112" s="108" t="n">
        <v>125</v>
      </c>
      <c r="Z112" s="115" t="n">
        <v>46309</v>
      </c>
      <c r="AA112" s="115" t="n"/>
      <c r="AB112" s="105" t="n"/>
      <c r="AC112" s="105" t="n"/>
      <c r="AD112" s="108" t="n"/>
      <c r="AE112" s="108" t="n"/>
      <c r="AF112" s="116" t="n"/>
      <c r="AG112" s="116" t="n"/>
      <c r="AH112" s="39" t="n"/>
      <c r="AI112" s="116" t="n"/>
      <c r="AJ112" s="116" t="n"/>
      <c r="AK112" s="116" t="n"/>
      <c r="AL112" s="116" t="n"/>
      <c r="AM112" s="108" t="n"/>
      <c r="AN112" s="108" t="n"/>
      <c r="AO112" s="108" t="n"/>
      <c r="AP112" s="108" t="n"/>
      <c r="AQ112" s="108" t="n"/>
      <c r="AR112" s="108" t="n"/>
      <c r="AS112" s="117" t="n"/>
      <c r="AT112" s="112" t="n"/>
      <c r="AU112" s="118" t="inlineStr">
        <is>
          <t>N</t>
        </is>
      </c>
      <c r="AV112" s="118" t="inlineStr">
        <is>
          <t>none</t>
        </is>
      </c>
      <c r="AW112" s="124" t="n"/>
      <c r="AX112" s="119" t="n">
        <v>19.99</v>
      </c>
      <c r="AY112" s="118" t="inlineStr">
        <is>
          <t>none</t>
        </is>
      </c>
      <c r="AZ112" s="118" t="inlineStr">
        <is>
          <t>Y</t>
        </is>
      </c>
      <c r="BA112" s="118" t="inlineStr">
        <is>
          <t>2026-10-14 00:31:50</t>
        </is>
      </c>
      <c r="BB112" s="120" t="inlineStr">
        <is>
          <t>None</t>
        </is>
      </c>
      <c r="BC112" s="125" t="n"/>
      <c r="BD112" s="124" t="n"/>
      <c r="BE112" s="121" t="n">
        <v>19.99</v>
      </c>
      <c r="BF112" s="110">
        <f>IF(AND(ISNUMBER(BD112),ISNUMBER(BE112),N(BD112)&gt;0),1-BE112/BD112,"")</f>
        <v/>
      </c>
      <c r="BG112" s="122" t="n">
        <v>87720</v>
      </c>
      <c r="BH112" s="122" t="n">
        <v>109467</v>
      </c>
      <c r="BI112" s="123">
        <f>IF(AND(ISNUMBER(BG112),ISNUMBER(BH112),N(BH112)&gt;0),BG112/BH112,"")</f>
        <v/>
      </c>
      <c r="BJ112" s="120" t="inlineStr">
        <is>
          <t>Y</t>
        </is>
      </c>
      <c r="BK112" s="120" t="inlineStr">
        <is>
          <t>Amazon.ca organic #4 for 'satin fitted sheet queen'; 100%POLYESTER; variation_count = distinct children exposed in page variation map, not a guaranteed complete catalogue. Bought-past-month badge not displayed.</t>
        </is>
      </c>
    </row>
    <row r="113" ht="62" customHeight="1">
      <c r="A113" s="12">
        <f>_xlfn.IMAGE("https://m.media-amazon.com/images/I/61YaWaN38uL.jpg")</f>
        <v/>
      </c>
      <c r="B113" s="105" t="inlineStr">
        <is>
          <t>Lirex</t>
        </is>
      </c>
      <c r="C113" s="39" t="inlineStr">
        <is>
          <t>Lirex Satin Fitted Sheet, Luxurious Silky Smooth Polyester Bedding Soft Deep Pocket Bed Sheets Mattress Cover, Queen, Black</t>
        </is>
      </c>
      <c r="D113" s="105" t="inlineStr">
        <is>
          <t>Untiered</t>
        </is>
      </c>
      <c r="E113" s="106" t="inlineStr">
        <is>
          <t>Direct</t>
        </is>
      </c>
      <c r="F113" s="105" t="inlineStr">
        <is>
          <t>Satin (polyester)</t>
        </is>
      </c>
      <c r="G113" s="39" t="inlineStr">
        <is>
          <t>Same product (fitted sheet) in the same material family: Satin (polyester) (title: Lirex Satin Fitted Sheet, Luxurious Silky Smooth Polyester B); ours: our listing: polyester satin.</t>
        </is>
      </c>
      <c r="H113" s="107" t="inlineStr">
        <is>
          <t>B0D62TXWHW</t>
        </is>
      </c>
      <c r="I113" s="107" t="inlineStr">
        <is>
          <t>B0D62VPSSW</t>
        </is>
      </c>
      <c r="J113" s="105" t="inlineStr">
        <is>
          <t>Queen</t>
        </is>
      </c>
      <c r="K113" s="105" t="inlineStr">
        <is>
          <t>Black</t>
        </is>
      </c>
      <c r="L113" s="108" t="n">
        <v>63</v>
      </c>
      <c r="M113" s="39" t="n"/>
      <c r="N113" s="109" t="n">
        <v>36.29</v>
      </c>
      <c r="O113" s="109" t="n"/>
      <c r="P113" s="110">
        <f>IF(AND(ISNUMBER(O113),ISNUMBER(N113),N(N113)&gt;0),O113/N113-1,"")</f>
        <v/>
      </c>
      <c r="Q113" s="111">
        <f>IF(P113="","No List Price",IF(P113&lt;=0,"At/below price",IF(P113&lt;=0.12,"&lt;=12% STR zone",IF(P113&lt;=0.25,"12-25%","&gt;25% over"))))</f>
        <v/>
      </c>
      <c r="R113" s="109" t="n">
        <v>23.95</v>
      </c>
      <c r="S113" s="112">
        <f>IF(AND(ISNUMBER(N113),ISNUMBER(R113),N(R113)&gt;0),N113/R113-1,"")</f>
        <v/>
      </c>
      <c r="T113" s="39" t="inlineStr">
        <is>
          <t>Same size (Queen), CAD. Ours live: catalog price (CAD), 2026-10-14; 12 children</t>
        </is>
      </c>
      <c r="U113" s="108" t="n">
        <v>35710</v>
      </c>
      <c r="V113" s="108" t="n"/>
      <c r="W113" s="113">
        <f>IF(AND(ISNUMBER(N113),ISNUMBER(V113)),N113*V113*52/12,"")</f>
        <v/>
      </c>
      <c r="X113" s="114" t="n">
        <v>4.4</v>
      </c>
      <c r="Y113" s="108" t="n">
        <v>430</v>
      </c>
      <c r="Z113" s="115" t="n">
        <v>46309</v>
      </c>
      <c r="AA113" s="115" t="n"/>
      <c r="AB113" s="105" t="n"/>
      <c r="AC113" s="105" t="n"/>
      <c r="AD113" s="108" t="n"/>
      <c r="AE113" s="108" t="n"/>
      <c r="AF113" s="116" t="n"/>
      <c r="AG113" s="116" t="n"/>
      <c r="AH113" s="39" t="n"/>
      <c r="AI113" s="116" t="n"/>
      <c r="AJ113" s="116" t="n"/>
      <c r="AK113" s="116" t="n"/>
      <c r="AL113" s="116" t="n"/>
      <c r="AM113" s="108" t="n"/>
      <c r="AN113" s="108" t="n"/>
      <c r="AO113" s="108" t="n"/>
      <c r="AP113" s="108" t="n"/>
      <c r="AQ113" s="108" t="n"/>
      <c r="AR113" s="108" t="n"/>
      <c r="AS113" s="117" t="n"/>
      <c r="AT113" s="112" t="n"/>
      <c r="AU113" s="118" t="inlineStr">
        <is>
          <t>N</t>
        </is>
      </c>
      <c r="AV113" s="118" t="inlineStr">
        <is>
          <t>none</t>
        </is>
      </c>
      <c r="AW113" s="124" t="n"/>
      <c r="AX113" s="119" t="n">
        <v>36.29</v>
      </c>
      <c r="AY113" s="118" t="inlineStr">
        <is>
          <t>none</t>
        </is>
      </c>
      <c r="AZ113" s="118" t="inlineStr">
        <is>
          <t>Y</t>
        </is>
      </c>
      <c r="BA113" s="118" t="inlineStr">
        <is>
          <t>2026-10-14 00:31:42</t>
        </is>
      </c>
      <c r="BB113" s="120" t="inlineStr">
        <is>
          <t>Prime Exclusive Discount</t>
        </is>
      </c>
      <c r="BC113" s="120" t="inlineStr">
        <is>
          <t>11-22 to 12-01</t>
        </is>
      </c>
      <c r="BD113" s="121" t="n">
        <v>23.89</v>
      </c>
      <c r="BE113" s="121" t="n">
        <v>20.3</v>
      </c>
      <c r="BF113" s="110">
        <f>IF(AND(ISNUMBER(BD113),ISNUMBER(BE113),N(BD113)&gt;0),1-BE113/BD113,"")</f>
        <v/>
      </c>
      <c r="BG113" s="122" t="n">
        <v>35270</v>
      </c>
      <c r="BH113" s="122" t="n">
        <v>25049</v>
      </c>
      <c r="BI113" s="123">
        <f>IF(AND(ISNUMBER(BG113),ISNUMBER(BH113),N(BH113)&gt;0),BG113/BH113,"")</f>
        <v/>
      </c>
      <c r="BJ113" s="120" t="inlineStr">
        <is>
          <t>N</t>
        </is>
      </c>
      <c r="BK113" s="120" t="inlineStr">
        <is>
          <t>Amazon.ca organic #4 for 'satin fitted sheet'; Polyester; Search child B0D62V4P12; selected Queen child B0D62VPSSW. variation_count = distinct children exposed in page variation map, not a guaranteed complete catalogue price history: List Price C$25.99</t>
        </is>
      </c>
    </row>
    <row r="114" ht="62" customHeight="1">
      <c r="A114" s="12">
        <f>_xlfn.IMAGE("https://m.media-amazon.com/images/I/71rymABpYeL.jpg")</f>
        <v/>
      </c>
      <c r="B114" s="105" t="inlineStr">
        <is>
          <t>Lirex</t>
        </is>
      </c>
      <c r="C114" s="39" t="inlineStr">
        <is>
          <t>Lirex Satin Fitted Sheet, Silky &amp; Soft Polyester Satin Weave Bed Sheets, 14"/36 cm Deep Pocket with Elastic Corner Straps, Queen, Navy Blue Stripes</t>
        </is>
      </c>
      <c r="D114" s="105" t="inlineStr">
        <is>
          <t>Untiered</t>
        </is>
      </c>
      <c r="E114" s="106" t="inlineStr">
        <is>
          <t>Direct</t>
        </is>
      </c>
      <c r="F114" s="105" t="inlineStr">
        <is>
          <t>Satin (polyester)</t>
        </is>
      </c>
      <c r="G114" s="39" t="inlineStr">
        <is>
          <t>Same product (fitted sheet) in the same material family: Satin (polyester) (title: Lirex Satin Fitted Sheet, Silky &amp; Soft Polyester Satin Weave); ours: our listing: polyester satin.</t>
        </is>
      </c>
      <c r="H114" s="107" t="inlineStr">
        <is>
          <t>B0F7R3DZ72</t>
        </is>
      </c>
      <c r="I114" s="107" t="inlineStr">
        <is>
          <t>B0F7R36H12</t>
        </is>
      </c>
      <c r="J114" s="105" t="inlineStr">
        <is>
          <t>Queen</t>
        </is>
      </c>
      <c r="K114" s="105" t="inlineStr">
        <is>
          <t>Navy Blue Stripes</t>
        </is>
      </c>
      <c r="L114" s="108" t="n">
        <v>57</v>
      </c>
      <c r="M114" s="39" t="n"/>
      <c r="N114" s="109" t="n">
        <v>26.21</v>
      </c>
      <c r="O114" s="109" t="n"/>
      <c r="P114" s="110">
        <f>IF(AND(ISNUMBER(O114),ISNUMBER(N114),N(N114)&gt;0),O114/N114-1,"")</f>
        <v/>
      </c>
      <c r="Q114" s="111">
        <f>IF(P114="","No List Price",IF(P114&lt;=0,"At/below price",IF(P114&lt;=0.12,"&lt;=12% STR zone",IF(P114&lt;=0.25,"12-25%","&gt;25% over"))))</f>
        <v/>
      </c>
      <c r="R114" s="109" t="n">
        <v>23.95</v>
      </c>
      <c r="S114" s="112">
        <f>IF(AND(ISNUMBER(N114),ISNUMBER(R114),N(R114)&gt;0),N114/R114-1,"")</f>
        <v/>
      </c>
      <c r="T114" s="39" t="inlineStr">
        <is>
          <t>Same size (Queen), CAD. Ours live: catalog price (CAD), 2026-10-14; 12 children</t>
        </is>
      </c>
      <c r="U114" s="108" t="n">
        <v>38918</v>
      </c>
      <c r="V114" s="108" t="n"/>
      <c r="W114" s="113">
        <f>IF(AND(ISNUMBER(N114),ISNUMBER(V114)),N114*V114*52/12,"")</f>
        <v/>
      </c>
      <c r="X114" s="114" t="n">
        <v>4.1</v>
      </c>
      <c r="Y114" s="108" t="n">
        <v>39</v>
      </c>
      <c r="Z114" s="115" t="n">
        <v>46309</v>
      </c>
      <c r="AA114" s="115" t="n"/>
      <c r="AB114" s="105" t="n"/>
      <c r="AC114" s="105" t="n"/>
      <c r="AD114" s="108" t="n"/>
      <c r="AE114" s="108" t="n"/>
      <c r="AF114" s="116" t="n"/>
      <c r="AG114" s="116" t="n"/>
      <c r="AH114" s="39" t="n"/>
      <c r="AI114" s="116" t="n"/>
      <c r="AJ114" s="116" t="n"/>
      <c r="AK114" s="116" t="n"/>
      <c r="AL114" s="116" t="n"/>
      <c r="AM114" s="108" t="n"/>
      <c r="AN114" s="108" t="n"/>
      <c r="AO114" s="108" t="n"/>
      <c r="AP114" s="108" t="n"/>
      <c r="AQ114" s="108" t="n"/>
      <c r="AR114" s="108" t="n"/>
      <c r="AS114" s="117" t="n"/>
      <c r="AT114" s="112" t="n"/>
      <c r="AU114" s="118" t="inlineStr">
        <is>
          <t>N</t>
        </is>
      </c>
      <c r="AV114" s="118" t="inlineStr">
        <is>
          <t>none</t>
        </is>
      </c>
      <c r="AW114" s="124" t="n"/>
      <c r="AX114" s="119" t="n">
        <v>26.21</v>
      </c>
      <c r="AY114" s="118" t="inlineStr">
        <is>
          <t>none</t>
        </is>
      </c>
      <c r="AZ114" s="118" t="inlineStr">
        <is>
          <t>Y</t>
        </is>
      </c>
      <c r="BA114" s="118" t="inlineStr">
        <is>
          <t>2026-10-14 00:34:43</t>
        </is>
      </c>
      <c r="BB114" s="120" t="inlineStr">
        <is>
          <t>None</t>
        </is>
      </c>
      <c r="BC114" s="125" t="n"/>
      <c r="BD114" s="121" t="n">
        <v>22.55</v>
      </c>
      <c r="BE114" s="121" t="n">
        <v>23.99</v>
      </c>
      <c r="BF114" s="110">
        <f>IF(AND(ISNUMBER(BD114),ISNUMBER(BE114),N(BD114)&gt;0),1-BE114/BD114,"")</f>
        <v/>
      </c>
      <c r="BG114" s="122" t="n">
        <v>241345</v>
      </c>
      <c r="BH114" s="122" t="n">
        <v>294569</v>
      </c>
      <c r="BI114" s="123">
        <f>IF(AND(ISNUMBER(BG114),ISNUMBER(BH114),N(BH114)&gt;0),BG114/BH114,"")</f>
        <v/>
      </c>
      <c r="BJ114" s="120" t="inlineStr">
        <is>
          <t>N</t>
        </is>
      </c>
      <c r="BK114" s="120" t="inlineStr">
        <is>
          <t>Amazon.ca organic #11 for 'satin fitted sheet'; Satin; Search child B0FDZV4JVL; selected Queen child B0F7R36H12. variation_count = distinct children exposed in page variation map, not a guaranteed complete catalogue price history: Buy Box RAISED in BFCM week (median C$23.99 vs C$22.55 before)</t>
        </is>
      </c>
    </row>
    <row r="115" ht="62" customHeight="1">
      <c r="A115" s="12">
        <f>_xlfn.IMAGE("https://m.media-amazon.com/images/I/61BFwnmnIIL.jpg")</f>
        <v/>
      </c>
      <c r="B115" s="105" t="inlineStr">
        <is>
          <t>JUWENIN</t>
        </is>
      </c>
      <c r="C115" s="39" t="inlineStr">
        <is>
          <t>Fitted Sheet - Luxury Silky Soft Satin Bottom Sheet - Deep Pockets, Shrinkage and Fade Resistant - Easy Care - 1 Fitted Sheet Only (Grey, Queen)</t>
        </is>
      </c>
      <c r="D115" s="105" t="inlineStr">
        <is>
          <t>Untiered</t>
        </is>
      </c>
      <c r="E115" s="106" t="inlineStr">
        <is>
          <t>Direct</t>
        </is>
      </c>
      <c r="F115" s="105" t="inlineStr">
        <is>
          <t>Satin (polyester)</t>
        </is>
      </c>
      <c r="G115" s="39" t="inlineStr">
        <is>
          <t>Same product (fitted sheet) in the same material family: Satin (polyester) (title: Fitted Sheet - Luxury Silky Soft Satin Bottom Sheet - Deep P); ours: our listing: polyester satin.</t>
        </is>
      </c>
      <c r="H115" s="107" t="inlineStr">
        <is>
          <t>B0B5MSKV3D</t>
        </is>
      </c>
      <c r="I115" s="107" t="inlineStr">
        <is>
          <t>B0B1DVR7MV</t>
        </is>
      </c>
      <c r="J115" s="105" t="inlineStr">
        <is>
          <t>Queen</t>
        </is>
      </c>
      <c r="K115" s="105" t="inlineStr">
        <is>
          <t>Grey</t>
        </is>
      </c>
      <c r="L115" s="108" t="n">
        <v>9</v>
      </c>
      <c r="M115" s="39" t="n"/>
      <c r="N115" s="109" t="n">
        <v>18.99</v>
      </c>
      <c r="O115" s="109" t="n"/>
      <c r="P115" s="110">
        <f>IF(AND(ISNUMBER(O115),ISNUMBER(N115),N(N115)&gt;0),O115/N115-1,"")</f>
        <v/>
      </c>
      <c r="Q115" s="111">
        <f>IF(P115="","No List Price",IF(P115&lt;=0,"At/below price",IF(P115&lt;=0.12,"&lt;=12% STR zone",IF(P115&lt;=0.25,"12-25%","&gt;25% over"))))</f>
        <v/>
      </c>
      <c r="R115" s="109" t="n">
        <v>23.95</v>
      </c>
      <c r="S115" s="112">
        <f>IF(AND(ISNUMBER(N115),ISNUMBER(R115),N(R115)&gt;0),N115/R115-1,"")</f>
        <v/>
      </c>
      <c r="T115" s="39" t="inlineStr">
        <is>
          <t>Same size (Queen), CAD. Ours live: catalog price (CAD), 2026-10-14; 12 children</t>
        </is>
      </c>
      <c r="U115" s="108" t="n">
        <v>190992</v>
      </c>
      <c r="V115" s="108" t="n"/>
      <c r="W115" s="113">
        <f>IF(AND(ISNUMBER(N115),ISNUMBER(V115)),N115*V115*52/12,"")</f>
        <v/>
      </c>
      <c r="X115" s="114" t="n">
        <v>3.7</v>
      </c>
      <c r="Y115" s="108" t="n">
        <v>26</v>
      </c>
      <c r="Z115" s="115" t="n">
        <v>46309</v>
      </c>
      <c r="AA115" s="115" t="n"/>
      <c r="AB115" s="105" t="n"/>
      <c r="AC115" s="105" t="n"/>
      <c r="AD115" s="108" t="n"/>
      <c r="AE115" s="108" t="n"/>
      <c r="AF115" s="116" t="n"/>
      <c r="AG115" s="116" t="n"/>
      <c r="AH115" s="39" t="n"/>
      <c r="AI115" s="116" t="n"/>
      <c r="AJ115" s="116" t="n"/>
      <c r="AK115" s="116" t="n"/>
      <c r="AL115" s="116" t="n"/>
      <c r="AM115" s="108" t="n"/>
      <c r="AN115" s="108" t="n"/>
      <c r="AO115" s="108" t="n"/>
      <c r="AP115" s="108" t="n"/>
      <c r="AQ115" s="108" t="n"/>
      <c r="AR115" s="108" t="n"/>
      <c r="AS115" s="117" t="n"/>
      <c r="AT115" s="112" t="n"/>
      <c r="AU115" s="118" t="inlineStr">
        <is>
          <t>N</t>
        </is>
      </c>
      <c r="AV115" s="118" t="inlineStr">
        <is>
          <t>none</t>
        </is>
      </c>
      <c r="AW115" s="124" t="n"/>
      <c r="AX115" s="119" t="n">
        <v>18.99</v>
      </c>
      <c r="AY115" s="118" t="inlineStr">
        <is>
          <t>none</t>
        </is>
      </c>
      <c r="AZ115" s="118" t="inlineStr">
        <is>
          <t>Y</t>
        </is>
      </c>
      <c r="BA115" s="118" t="inlineStr">
        <is>
          <t>2026-10-14 00:35:03</t>
        </is>
      </c>
      <c r="BB115" s="120" t="inlineStr">
        <is>
          <t>None</t>
        </is>
      </c>
      <c r="BC115" s="125" t="n"/>
      <c r="BD115" s="121" t="n">
        <v>18.99</v>
      </c>
      <c r="BE115" s="121" t="n">
        <v>18.99</v>
      </c>
      <c r="BF115" s="110">
        <f>IF(AND(ISNUMBER(BD115),ISNUMBER(BE115),N(BD115)&gt;0),1-BE115/BD115,"")</f>
        <v/>
      </c>
      <c r="BG115" s="122" t="n">
        <v>287975</v>
      </c>
      <c r="BH115" s="122" t="n">
        <v>312210</v>
      </c>
      <c r="BI115" s="123">
        <f>IF(AND(ISNUMBER(BG115),ISNUMBER(BH115),N(BH115)&gt;0),BG115/BH115,"")</f>
        <v/>
      </c>
      <c r="BJ115" s="120" t="inlineStr">
        <is>
          <t>N</t>
        </is>
      </c>
      <c r="BK115" s="120" t="inlineStr">
        <is>
          <t>Amazon.ca organic #12 for 'satin fitted sheet queen'; 100%POLYESTER; variation_count = distinct children exposed in page variation map, not a guaranteed complete catalogue. Bought-past-month badge not displayed.</t>
        </is>
      </c>
    </row>
    <row r="116" ht="62" customHeight="1">
      <c r="A116" s="12">
        <f>_xlfn.IMAGE("https://m.media-amazon.com/images/I/51KSNCJ2dvL.jpg")</f>
        <v/>
      </c>
      <c r="B116" s="105" t="inlineStr">
        <is>
          <t>uxcell</t>
        </is>
      </c>
      <c r="C116" s="39" t="inlineStr">
        <is>
          <t>uxcell Satin Fitted Sheet Queen Size, Solid Silky 12" Deep Pocket for Bed Sheet, Soft Breathable Bed Fitted Sheet 79"x60" Gloden Tone</t>
        </is>
      </c>
      <c r="D116" s="105" t="inlineStr">
        <is>
          <t>Untiered</t>
        </is>
      </c>
      <c r="E116" s="106" t="inlineStr">
        <is>
          <t>Direct</t>
        </is>
      </c>
      <c r="F116" s="105" t="inlineStr">
        <is>
          <t>Satin (polyester)</t>
        </is>
      </c>
      <c r="G116" s="39" t="inlineStr">
        <is>
          <t>Same product (fitted sheet) in the same material family: Satin (polyester) (title: uxcell Satin Fitted Sheet Queen Size, Solid Silky 12" Deep P); ours: our listing: polyester satin.</t>
        </is>
      </c>
      <c r="H116" s="105" t="n"/>
      <c r="I116" s="107" t="inlineStr">
        <is>
          <t>B07JVFGW71</t>
        </is>
      </c>
      <c r="J116" s="105" t="inlineStr">
        <is>
          <t>Queen</t>
        </is>
      </c>
      <c r="K116" s="105" t="inlineStr">
        <is>
          <t>White</t>
        </is>
      </c>
      <c r="L116" s="108" t="n"/>
      <c r="M116" s="39" t="n"/>
      <c r="N116" s="109" t="n">
        <v>13.49</v>
      </c>
      <c r="O116" s="109" t="n"/>
      <c r="P116" s="110">
        <f>IF(AND(ISNUMBER(O116),ISNUMBER(N116),N(N116)&gt;0),O116/N116-1,"")</f>
        <v/>
      </c>
      <c r="Q116" s="111">
        <f>IF(P116="","No List Price",IF(P116&lt;=0,"At/below price",IF(P116&lt;=0.12,"&lt;=12% STR zone",IF(P116&lt;=0.25,"12-25%","&gt;25% over"))))</f>
        <v/>
      </c>
      <c r="R116" s="109" t="n">
        <v>23.95</v>
      </c>
      <c r="S116" s="112">
        <f>IF(AND(ISNUMBER(N116),ISNUMBER(R116),N(R116)&gt;0),N116/R116-1,"")</f>
        <v/>
      </c>
      <c r="T116" s="39" t="inlineStr">
        <is>
          <t>Same size (Queen), CAD. Ours live: catalog price (CAD), 2026-10-14; 12 children</t>
        </is>
      </c>
      <c r="U116" s="108" t="n"/>
      <c r="V116" s="108" t="n"/>
      <c r="W116" s="113">
        <f>IF(AND(ISNUMBER(N116),ISNUMBER(V116)),N116*V116*52/12,"")</f>
        <v/>
      </c>
      <c r="X116" s="114" t="n">
        <v>3.6</v>
      </c>
      <c r="Y116" s="108" t="n">
        <v>7</v>
      </c>
      <c r="Z116" s="115" t="n">
        <v>46309</v>
      </c>
      <c r="AA116" s="115" t="n"/>
      <c r="AB116" s="105" t="n"/>
      <c r="AC116" s="105" t="n"/>
      <c r="AD116" s="108" t="n"/>
      <c r="AE116" s="108" t="n"/>
      <c r="AF116" s="116" t="n"/>
      <c r="AG116" s="116" t="n"/>
      <c r="AH116" s="39" t="n"/>
      <c r="AI116" s="116" t="n"/>
      <c r="AJ116" s="116" t="n"/>
      <c r="AK116" s="116" t="n"/>
      <c r="AL116" s="116" t="n"/>
      <c r="AM116" s="108" t="n"/>
      <c r="AN116" s="108" t="n"/>
      <c r="AO116" s="108" t="n"/>
      <c r="AP116" s="108" t="n"/>
      <c r="AQ116" s="108" t="n"/>
      <c r="AR116" s="108" t="n"/>
      <c r="AS116" s="117" t="n"/>
      <c r="AT116" s="112" t="n"/>
      <c r="AU116" s="118" t="inlineStr">
        <is>
          <t>N</t>
        </is>
      </c>
      <c r="AV116" s="118" t="inlineStr">
        <is>
          <t>none</t>
        </is>
      </c>
      <c r="AW116" s="124" t="n"/>
      <c r="AX116" s="119" t="n">
        <v>13.49</v>
      </c>
      <c r="AY116" s="118" t="inlineStr">
        <is>
          <t>none</t>
        </is>
      </c>
      <c r="AZ116" s="118" t="inlineStr">
        <is>
          <t>Y</t>
        </is>
      </c>
      <c r="BA116" s="118" t="inlineStr">
        <is>
          <t>2026-10-14 00:36:19</t>
        </is>
      </c>
      <c r="BB116" s="120" t="inlineStr">
        <is>
          <t>None</t>
        </is>
      </c>
      <c r="BC116" s="125" t="n"/>
      <c r="BD116" s="121" t="n">
        <v>25.19</v>
      </c>
      <c r="BE116" s="121" t="n">
        <v>25.19</v>
      </c>
      <c r="BF116" s="110">
        <f>IF(AND(ISNUMBER(BD116),ISNUMBER(BE116),N(BD116)&gt;0),1-BE116/BD116,"")</f>
        <v/>
      </c>
      <c r="BG116" s="122" t="n">
        <v>1317556</v>
      </c>
      <c r="BH116" s="122" t="n">
        <v>1330523</v>
      </c>
      <c r="BI116" s="123">
        <f>IF(AND(ISNUMBER(BG116),ISNUMBER(BH116),N(BH116)&gt;0),BG116/BH116,"")</f>
        <v/>
      </c>
      <c r="BJ116" s="120" t="inlineStr">
        <is>
          <t>N</t>
        </is>
      </c>
      <c r="BK116" s="120" t="inlineStr">
        <is>
          <t>Amazon.ca organic #23 for 'satin fitted sheet queen'; 100% Polyester; Page parent field repeats the selected child; no distinct parent ASIN exposed. Treated as standalone observed listing. Parent ASIN not exposed. Displayed Colour</t>
        </is>
      </c>
    </row>
    <row r="117" ht="62" customHeight="1">
      <c r="A117" s="12">
        <f>_xlfn.IMAGE("https://m.media-amazon.com/images/I/71iEmNjDaLL.jpg")</f>
        <v/>
      </c>
      <c r="B117" s="105" t="inlineStr">
        <is>
          <t>P Pothuiny</t>
        </is>
      </c>
      <c r="C117" s="39" t="inlineStr">
        <is>
          <t>P Pothuiny Satin Fitted Sheet Queen Black Single Mattress Cover Only</t>
        </is>
      </c>
      <c r="D117" s="105" t="inlineStr">
        <is>
          <t>Untiered</t>
        </is>
      </c>
      <c r="E117" s="106" t="inlineStr">
        <is>
          <t>Direct</t>
        </is>
      </c>
      <c r="F117" s="105" t="inlineStr">
        <is>
          <t>Satin (polyester)</t>
        </is>
      </c>
      <c r="G117" s="39" t="inlineStr">
        <is>
          <t>Same product (fitted sheet) in the same material family: Satin (polyester) (title: P Pothuiny Satin Fitted Sheet Queen Black Single Mattress Co); ours: our listing: polyester satin.</t>
        </is>
      </c>
      <c r="H117" s="107" t="inlineStr">
        <is>
          <t>B09Z6L6RC7</t>
        </is>
      </c>
      <c r="I117" s="107" t="inlineStr">
        <is>
          <t>B09W5X43TM</t>
        </is>
      </c>
      <c r="J117" s="105" t="inlineStr">
        <is>
          <t>Queen</t>
        </is>
      </c>
      <c r="K117" s="105" t="inlineStr">
        <is>
          <t>Black</t>
        </is>
      </c>
      <c r="L117" s="108" t="n">
        <v>16</v>
      </c>
      <c r="M117" s="39" t="n"/>
      <c r="N117" s="109" t="n">
        <v>33.48</v>
      </c>
      <c r="O117" s="109" t="n"/>
      <c r="P117" s="110">
        <f>IF(AND(ISNUMBER(O117),ISNUMBER(N117),N(N117)&gt;0),O117/N117-1,"")</f>
        <v/>
      </c>
      <c r="Q117" s="111">
        <f>IF(P117="","No List Price",IF(P117&lt;=0,"At/below price",IF(P117&lt;=0.12,"&lt;=12% STR zone",IF(P117&lt;=0.25,"12-25%","&gt;25% over"))))</f>
        <v/>
      </c>
      <c r="R117" s="109" t="n">
        <v>23.95</v>
      </c>
      <c r="S117" s="112">
        <f>IF(AND(ISNUMBER(N117),ISNUMBER(R117),N(R117)&gt;0),N117/R117-1,"")</f>
        <v/>
      </c>
      <c r="T117" s="39" t="inlineStr">
        <is>
          <t>Same size (Queen), CAD. Ours live: catalog price (CAD), 2026-10-14; 12 children</t>
        </is>
      </c>
      <c r="U117" s="108" t="n">
        <v>641725</v>
      </c>
      <c r="V117" s="108" t="n"/>
      <c r="W117" s="113">
        <f>IF(AND(ISNUMBER(N117),ISNUMBER(V117)),N117*V117*52/12,"")</f>
        <v/>
      </c>
      <c r="X117" s="114" t="n">
        <v>4.4</v>
      </c>
      <c r="Y117" s="108" t="n">
        <v>534</v>
      </c>
      <c r="Z117" s="115" t="n">
        <v>46309</v>
      </c>
      <c r="AA117" s="115" t="n"/>
      <c r="AB117" s="105" t="n"/>
      <c r="AC117" s="105" t="n"/>
      <c r="AD117" s="108" t="n"/>
      <c r="AE117" s="108" t="n"/>
      <c r="AF117" s="116" t="n"/>
      <c r="AG117" s="116" t="n"/>
      <c r="AH117" s="39" t="n"/>
      <c r="AI117" s="116" t="n"/>
      <c r="AJ117" s="116" t="n"/>
      <c r="AK117" s="116" t="n"/>
      <c r="AL117" s="116" t="n"/>
      <c r="AM117" s="108" t="n"/>
      <c r="AN117" s="108" t="n"/>
      <c r="AO117" s="108" t="n"/>
      <c r="AP117" s="108" t="n"/>
      <c r="AQ117" s="108" t="n"/>
      <c r="AR117" s="108" t="n"/>
      <c r="AS117" s="117" t="n"/>
      <c r="AT117" s="112" t="n"/>
      <c r="AU117" s="118" t="inlineStr">
        <is>
          <t>N</t>
        </is>
      </c>
      <c r="AV117" s="118" t="inlineStr">
        <is>
          <t>none</t>
        </is>
      </c>
      <c r="AW117" s="124" t="n"/>
      <c r="AX117" s="119" t="n">
        <v>33.48</v>
      </c>
      <c r="AY117" s="118" t="inlineStr">
        <is>
          <t>none</t>
        </is>
      </c>
      <c r="AZ117" s="118" t="inlineStr">
        <is>
          <t>Y</t>
        </is>
      </c>
      <c r="BA117" s="118" t="inlineStr">
        <is>
          <t>2026-10-14 00:36:22</t>
        </is>
      </c>
      <c r="BB117" s="120" t="inlineStr">
        <is>
          <t>None</t>
        </is>
      </c>
      <c r="BC117" s="125" t="n"/>
      <c r="BD117" s="121" t="n">
        <v>29.57</v>
      </c>
      <c r="BE117" s="121" t="n">
        <v>29.57</v>
      </c>
      <c r="BF117" s="110">
        <f>IF(AND(ISNUMBER(BD117),ISNUMBER(BE117),N(BD117)&gt;0),1-BE117/BD117,"")</f>
        <v/>
      </c>
      <c r="BG117" s="122" t="n">
        <v>343174</v>
      </c>
      <c r="BH117" s="122" t="n">
        <v>376186</v>
      </c>
      <c r="BI117" s="123">
        <f>IF(AND(ISNUMBER(BG117),ISNUMBER(BH117),N(BH117)&gt;0),BG117/BH117,"")</f>
        <v/>
      </c>
      <c r="BJ117" s="120" t="inlineStr">
        <is>
          <t>N</t>
        </is>
      </c>
      <c r="BK117" s="120" t="inlineStr">
        <is>
          <t>Amazon.ca organic #24 for 'satin fitted sheet queen'; 100% Polyester Satin; variation_count = distinct children exposed in page variation map, not a guaranteed complete catalogue. Bought-past-month badge not displayed.</t>
        </is>
      </c>
    </row>
    <row r="118" ht="62" customHeight="1">
      <c r="A118" s="12">
        <f>_xlfn.IMAGE("https://m.media-amazon.com/images/I/81MYmoOAtUL.jpg")</f>
        <v/>
      </c>
      <c r="B118" s="105" t="inlineStr">
        <is>
          <t>Homiest</t>
        </is>
      </c>
      <c r="C118" s="39" t="inlineStr">
        <is>
          <t>Homiest Black Satin Fitted Sheet Queen Size Deep Pocket Luxury Ultra Soft Bedding</t>
        </is>
      </c>
      <c r="D118" s="105" t="inlineStr">
        <is>
          <t>Untiered</t>
        </is>
      </c>
      <c r="E118" s="106" t="inlineStr">
        <is>
          <t>Direct</t>
        </is>
      </c>
      <c r="F118" s="105" t="inlineStr">
        <is>
          <t>Satin (polyester)</t>
        </is>
      </c>
      <c r="G118" s="39" t="inlineStr">
        <is>
          <t>Same product (fitted sheet) in the same material family: Satin (polyester) (title: Homiest Black Satin Fitted Sheet Queen Size Deep Pocket Luxu); ours: our listing: polyester satin.</t>
        </is>
      </c>
      <c r="H118" s="107" t="inlineStr">
        <is>
          <t>B0B15DCTV8</t>
        </is>
      </c>
      <c r="I118" s="107" t="inlineStr">
        <is>
          <t>B09WH4B2BD</t>
        </is>
      </c>
      <c r="J118" s="105" t="inlineStr">
        <is>
          <t>Queen</t>
        </is>
      </c>
      <c r="K118" s="105" t="inlineStr">
        <is>
          <t>Brown</t>
        </is>
      </c>
      <c r="L118" s="108" t="n">
        <v>98</v>
      </c>
      <c r="M118" s="39" t="n"/>
      <c r="N118" s="109" t="n">
        <v>34.53</v>
      </c>
      <c r="O118" s="109" t="n"/>
      <c r="P118" s="110">
        <f>IF(AND(ISNUMBER(O118),ISNUMBER(N118),N(N118)&gt;0),O118/N118-1,"")</f>
        <v/>
      </c>
      <c r="Q118" s="111">
        <f>IF(P118="","No List Price",IF(P118&lt;=0,"At/below price",IF(P118&lt;=0.12,"&lt;=12% STR zone",IF(P118&lt;=0.25,"12-25%","&gt;25% over"))))</f>
        <v/>
      </c>
      <c r="R118" s="109" t="n">
        <v>23.95</v>
      </c>
      <c r="S118" s="112">
        <f>IF(AND(ISNUMBER(N118),ISNUMBER(R118),N(R118)&gt;0),N118/R118-1,"")</f>
        <v/>
      </c>
      <c r="T118" s="39" t="inlineStr">
        <is>
          <t>Same size (Queen), CAD. Ours live: catalog price (CAD), 2026-10-14; 12 children</t>
        </is>
      </c>
      <c r="U118" s="108" t="n">
        <v>114075</v>
      </c>
      <c r="V118" s="108" t="n"/>
      <c r="W118" s="113">
        <f>IF(AND(ISNUMBER(N118),ISNUMBER(V118)),N118*V118*52/12,"")</f>
        <v/>
      </c>
      <c r="X118" s="114" t="n">
        <v>4.5</v>
      </c>
      <c r="Y118" s="108" t="n">
        <v>484</v>
      </c>
      <c r="Z118" s="115" t="n">
        <v>46309</v>
      </c>
      <c r="AA118" s="115" t="n"/>
      <c r="AB118" s="105" t="n"/>
      <c r="AC118" s="105" t="n"/>
      <c r="AD118" s="108" t="n"/>
      <c r="AE118" s="108" t="n"/>
      <c r="AF118" s="116" t="n"/>
      <c r="AG118" s="116" t="n"/>
      <c r="AH118" s="39" t="n"/>
      <c r="AI118" s="116" t="n"/>
      <c r="AJ118" s="116" t="n"/>
      <c r="AK118" s="116" t="n"/>
      <c r="AL118" s="116" t="n"/>
      <c r="AM118" s="108" t="n"/>
      <c r="AN118" s="108" t="n"/>
      <c r="AO118" s="108" t="n"/>
      <c r="AP118" s="108" t="n"/>
      <c r="AQ118" s="108" t="n"/>
      <c r="AR118" s="108" t="n"/>
      <c r="AS118" s="117" t="n"/>
      <c r="AT118" s="112" t="n"/>
      <c r="AU118" s="118" t="inlineStr">
        <is>
          <t>N</t>
        </is>
      </c>
      <c r="AV118" s="118" t="inlineStr">
        <is>
          <t>none</t>
        </is>
      </c>
      <c r="AW118" s="124" t="n"/>
      <c r="AX118" s="119" t="n">
        <v>34.53</v>
      </c>
      <c r="AY118" s="118" t="inlineStr">
        <is>
          <t>none</t>
        </is>
      </c>
      <c r="AZ118" s="118" t="inlineStr">
        <is>
          <t>Y</t>
        </is>
      </c>
      <c r="BA118" s="118" t="inlineStr">
        <is>
          <t>2026-10-14 00:36:45</t>
        </is>
      </c>
      <c r="BB118" s="120" t="inlineStr">
        <is>
          <t>None</t>
        </is>
      </c>
      <c r="BC118" s="125" t="n"/>
      <c r="BD118" s="121" t="n">
        <v>25.73</v>
      </c>
      <c r="BE118" s="121" t="n">
        <v>29.95</v>
      </c>
      <c r="BF118" s="110">
        <f>IF(AND(ISNUMBER(BD118),ISNUMBER(BE118),N(BD118)&gt;0),1-BE118/BD118,"")</f>
        <v/>
      </c>
      <c r="BG118" s="122" t="n">
        <v>200138</v>
      </c>
      <c r="BH118" s="122" t="n">
        <v>262530</v>
      </c>
      <c r="BI118" s="123">
        <f>IF(AND(ISNUMBER(BG118),ISNUMBER(BH118),N(BH118)&gt;0),BG118/BH118,"")</f>
        <v/>
      </c>
      <c r="BJ118" s="120" t="inlineStr">
        <is>
          <t>N</t>
        </is>
      </c>
      <c r="BK118" s="120" t="inlineStr">
        <is>
          <t>Amazon.ca organic #26 for 'satin fitted sheet queen'; Polyester,silky,satin; variation_count = distinct children exposed in page variation map, not a guaranteed complete catalogue. Bought-past-month badge not displayed. price history: Buy Box RAISED in BFCM week (median C$29.98 vs C$25.73 before)</t>
        </is>
      </c>
    </row>
    <row r="119" ht="62" customHeight="1">
      <c r="A119" s="12">
        <f>_xlfn.IMAGE("https://m.media-amazon.com/images/I/51u7qE48BAL.jpg")</f>
        <v/>
      </c>
      <c r="B119" s="105" t="inlineStr">
        <is>
          <t>uxcell</t>
        </is>
      </c>
      <c r="C119" s="39" t="inlineStr">
        <is>
          <t>uxcell Satin Fitted Sheet Queen Size, Solid Silky 12" Deep Pocket for Bed Sheet, Soft Breathable Bed Fitted Sheet 79"x60" Gray</t>
        </is>
      </c>
      <c r="D119" s="105" t="inlineStr">
        <is>
          <t>Untiered</t>
        </is>
      </c>
      <c r="E119" s="106" t="inlineStr">
        <is>
          <t>Direct</t>
        </is>
      </c>
      <c r="F119" s="105" t="inlineStr">
        <is>
          <t>Satin (polyester)</t>
        </is>
      </c>
      <c r="G119" s="39" t="inlineStr">
        <is>
          <t>Same product (fitted sheet) in the same material family: Satin (polyester) (title: uxcell Satin Fitted Sheet Queen Size, Solid Silky 12" Deep P); ours: our listing: polyester satin.</t>
        </is>
      </c>
      <c r="H119" s="105" t="n"/>
      <c r="I119" s="107" t="inlineStr">
        <is>
          <t>B07LFCM1J3</t>
        </is>
      </c>
      <c r="J119" s="105" t="inlineStr">
        <is>
          <t>Queen</t>
        </is>
      </c>
      <c r="K119" s="105" t="inlineStr">
        <is>
          <t>White</t>
        </is>
      </c>
      <c r="L119" s="108" t="n"/>
      <c r="M119" s="39" t="n"/>
      <c r="N119" s="109" t="n">
        <v>26.99</v>
      </c>
      <c r="O119" s="109" t="n"/>
      <c r="P119" s="110">
        <f>IF(AND(ISNUMBER(O119),ISNUMBER(N119),N(N119)&gt;0),O119/N119-1,"")</f>
        <v/>
      </c>
      <c r="Q119" s="111">
        <f>IF(P119="","No List Price",IF(P119&lt;=0,"At/below price",IF(P119&lt;=0.12,"&lt;=12% STR zone",IF(P119&lt;=0.25,"12-25%","&gt;25% over"))))</f>
        <v/>
      </c>
      <c r="R119" s="109" t="n">
        <v>23.95</v>
      </c>
      <c r="S119" s="112">
        <f>IF(AND(ISNUMBER(N119),ISNUMBER(R119),N(R119)&gt;0),N119/R119-1,"")</f>
        <v/>
      </c>
      <c r="T119" s="39" t="inlineStr">
        <is>
          <t>Same size (Queen), CAD. Ours live: catalog price (CAD), 2026-10-14; 12 children</t>
        </is>
      </c>
      <c r="U119" s="108" t="n"/>
      <c r="V119" s="108" t="n"/>
      <c r="W119" s="113">
        <f>IF(AND(ISNUMBER(N119),ISNUMBER(V119)),N119*V119*52/12,"")</f>
        <v/>
      </c>
      <c r="X119" s="114" t="n">
        <v>3.8</v>
      </c>
      <c r="Y119" s="108" t="n">
        <v>22</v>
      </c>
      <c r="Z119" s="115" t="n">
        <v>46309</v>
      </c>
      <c r="AA119" s="115" t="n"/>
      <c r="AB119" s="105" t="n"/>
      <c r="AC119" s="105" t="n"/>
      <c r="AD119" s="108" t="n"/>
      <c r="AE119" s="108" t="n"/>
      <c r="AF119" s="116" t="n"/>
      <c r="AG119" s="116" t="n"/>
      <c r="AH119" s="39" t="n"/>
      <c r="AI119" s="116" t="n"/>
      <c r="AJ119" s="116" t="n"/>
      <c r="AK119" s="116" t="n"/>
      <c r="AL119" s="116" t="n"/>
      <c r="AM119" s="108" t="n"/>
      <c r="AN119" s="108" t="n"/>
      <c r="AO119" s="108" t="n"/>
      <c r="AP119" s="108" t="n"/>
      <c r="AQ119" s="108" t="n"/>
      <c r="AR119" s="108" t="n"/>
      <c r="AS119" s="117" t="n"/>
      <c r="AT119" s="112" t="n"/>
      <c r="AU119" s="118" t="inlineStr">
        <is>
          <t>N</t>
        </is>
      </c>
      <c r="AV119" s="118" t="inlineStr">
        <is>
          <t>none</t>
        </is>
      </c>
      <c r="AW119" s="124" t="n"/>
      <c r="AX119" s="119" t="n">
        <v>26.99</v>
      </c>
      <c r="AY119" s="118" t="inlineStr">
        <is>
          <t>none</t>
        </is>
      </c>
      <c r="AZ119" s="118" t="inlineStr">
        <is>
          <t>Y</t>
        </is>
      </c>
      <c r="BA119" s="118" t="inlineStr">
        <is>
          <t>2026-10-14 00:38:04</t>
        </is>
      </c>
      <c r="BB119" s="125" t="n"/>
      <c r="BC119" s="125" t="n"/>
      <c r="BD119" s="124" t="n"/>
      <c r="BE119" s="124" t="n"/>
      <c r="BF119" s="110">
        <f>IF(AND(ISNUMBER(BD119),ISNUMBER(BE119),N(BD119)&gt;0),1-BE119/BD119,"")</f>
        <v/>
      </c>
      <c r="BG119" s="122" t="n">
        <v>1299121</v>
      </c>
      <c r="BH119" s="122" t="n">
        <v>1299121</v>
      </c>
      <c r="BI119" s="123">
        <f>IF(AND(ISNUMBER(BG119),ISNUMBER(BH119),N(BH119)&gt;0),BG119/BH119,"")</f>
        <v/>
      </c>
      <c r="BJ119" s="125" t="n"/>
      <c r="BK119" s="120" t="inlineStr">
        <is>
          <t>Amazon.ca organic #36 for 'satin fitted sheet queen'; 100% Polyester; Page parent field repeats the selected child; no distinct parent ASIN exposed. Treated as standalone observed listing. Parent ASIN not exposed. Displayed Colour price history: No Buy Box history in price history for BFCM 2025</t>
        </is>
      </c>
    </row>
    <row r="120" ht="62" customHeight="1">
      <c r="A120" s="12">
        <f>_xlfn.IMAGE("https://m.media-amazon.com/images/I/71E6gxishcL.jpg")</f>
        <v/>
      </c>
      <c r="B120" s="105" t="inlineStr">
        <is>
          <t>Lanest Housing</t>
        </is>
      </c>
      <c r="C120" s="39" t="inlineStr">
        <is>
          <t>Queen Silk Satin Fitted Sheet, Soft Deep Pocket Single Bottom Bed Sheets Sold Separately, Wrinkle Free, Non- Fading, Breathable, Fully Elasticized(Queen Size, Dark Grey)</t>
        </is>
      </c>
      <c r="D120" s="105" t="inlineStr">
        <is>
          <t>Untiered</t>
        </is>
      </c>
      <c r="E120" s="128" t="inlineStr">
        <is>
          <t>Alternative material</t>
        </is>
      </c>
      <c r="F120" s="105" t="inlineStr">
        <is>
          <t>Silk</t>
        </is>
      </c>
      <c r="G120" s="39" t="inlineStr">
        <is>
          <t>Fitted sheet in Silk (title: Queen Silk Satin Fitted Sheet, Soft Deep Pocket Single Botto); ours is Satin (polyester) (our listing: polyester satin). Shopper may cross-shop, but not like-for-like.</t>
        </is>
      </c>
      <c r="H120" s="107" t="inlineStr">
        <is>
          <t>B09HQK4K21</t>
        </is>
      </c>
      <c r="I120" s="107" t="inlineStr">
        <is>
          <t>B09CL6BLJC</t>
        </is>
      </c>
      <c r="J120" s="105" t="inlineStr">
        <is>
          <t>Queen</t>
        </is>
      </c>
      <c r="K120" s="105" t="inlineStr">
        <is>
          <t>Grey</t>
        </is>
      </c>
      <c r="L120" s="108" t="n">
        <v>82</v>
      </c>
      <c r="M120" s="39" t="n"/>
      <c r="N120" s="109" t="n">
        <v>41.44</v>
      </c>
      <c r="O120" s="109" t="n"/>
      <c r="P120" s="110">
        <f>IF(AND(ISNUMBER(O120),ISNUMBER(N120),N(N120)&gt;0),O120/N120-1,"")</f>
        <v/>
      </c>
      <c r="Q120" s="111">
        <f>IF(P120="","No List Price",IF(P120&lt;=0,"At/below price",IF(P120&lt;=0.12,"&lt;=12% STR zone",IF(P120&lt;=0.25,"12-25%","&gt;25% over"))))</f>
        <v/>
      </c>
      <c r="R120" s="109" t="n">
        <v>23.95</v>
      </c>
      <c r="S120" s="112">
        <f>IF(AND(ISNUMBER(N120),ISNUMBER(R120),N(R120)&gt;0),N120/R120-1,"")</f>
        <v/>
      </c>
      <c r="T120" s="39" t="inlineStr">
        <is>
          <t>Same size (Queen), CAD. Ours live: catalog price (CAD), 2026-10-14; 12 children</t>
        </is>
      </c>
      <c r="U120" s="108" t="n">
        <v>277266</v>
      </c>
      <c r="V120" s="108" t="n"/>
      <c r="W120" s="113">
        <f>IF(AND(ISNUMBER(N120),ISNUMBER(V120)),N120*V120*52/12,"")</f>
        <v/>
      </c>
      <c r="X120" s="114" t="n">
        <v>4</v>
      </c>
      <c r="Y120" s="108" t="n">
        <v>4038</v>
      </c>
      <c r="Z120" s="115" t="n">
        <v>46309</v>
      </c>
      <c r="AA120" s="115" t="n"/>
      <c r="AB120" s="105" t="n"/>
      <c r="AC120" s="105" t="n"/>
      <c r="AD120" s="108" t="n"/>
      <c r="AE120" s="108" t="n"/>
      <c r="AF120" s="116" t="n"/>
      <c r="AG120" s="116" t="n"/>
      <c r="AH120" s="39" t="n"/>
      <c r="AI120" s="116" t="n"/>
      <c r="AJ120" s="116" t="n"/>
      <c r="AK120" s="116" t="n"/>
      <c r="AL120" s="116" t="n"/>
      <c r="AM120" s="108" t="n"/>
      <c r="AN120" s="108" t="n"/>
      <c r="AO120" s="108" t="n"/>
      <c r="AP120" s="108" t="n"/>
      <c r="AQ120" s="108" t="n"/>
      <c r="AR120" s="108" t="n"/>
      <c r="AS120" s="117" t="n"/>
      <c r="AT120" s="112" t="n"/>
      <c r="AU120" s="118" t="inlineStr">
        <is>
          <t>N</t>
        </is>
      </c>
      <c r="AV120" s="118" t="inlineStr">
        <is>
          <t>none</t>
        </is>
      </c>
      <c r="AW120" s="124" t="n"/>
      <c r="AX120" s="119" t="n">
        <v>41.44</v>
      </c>
      <c r="AY120" s="118" t="inlineStr">
        <is>
          <t>none</t>
        </is>
      </c>
      <c r="AZ120" s="118" t="inlineStr">
        <is>
          <t>Y</t>
        </is>
      </c>
      <c r="BA120" s="118" t="inlineStr">
        <is>
          <t>2026-10-14 00:35:54</t>
        </is>
      </c>
      <c r="BB120" s="120" t="inlineStr">
        <is>
          <t>None</t>
        </is>
      </c>
      <c r="BC120" s="125" t="n"/>
      <c r="BD120" s="121" t="n">
        <v>48.96</v>
      </c>
      <c r="BE120" s="121" t="n">
        <v>48.05</v>
      </c>
      <c r="BF120" s="110">
        <f>IF(AND(ISNUMBER(BD120),ISNUMBER(BE120),N(BD120)&gt;0),1-BE120/BD120,"")</f>
        <v/>
      </c>
      <c r="BG120" s="122" t="n">
        <v>86655</v>
      </c>
      <c r="BH120" s="122" t="n">
        <v>157632</v>
      </c>
      <c r="BI120" s="123">
        <f>IF(AND(ISNUMBER(BG120),ISNUMBER(BH120),N(BH120)&gt;0),BG120/BH120,"")</f>
        <v/>
      </c>
      <c r="BJ120" s="120" t="inlineStr">
        <is>
          <t>N</t>
        </is>
      </c>
      <c r="BK120" s="120" t="inlineStr">
        <is>
          <t>Amazon.ca organic #19 for 'satin fitted sheet'; Satin,Silky; Search child B09CL5Z5HS; selected Queen child B09CL6BLJC. variation_count = distinct children exposed in page variation map, not a guaranteed complete catalogue</t>
        </is>
      </c>
    </row>
    <row r="121" ht="62" customHeight="1">
      <c r="A121" s="12">
        <f>_xlfn.IMAGE("https://m.media-amazon.com/images/I/71V4-nmuDoS.jpg")</f>
        <v/>
      </c>
      <c r="B121" s="105" t="inlineStr">
        <is>
          <t>Luxbedding</t>
        </is>
      </c>
      <c r="C121" s="39" t="inlineStr">
        <is>
          <t>LuxBedding Satin Fitted Bed Sheet Only, Soft as Silk, Queue, Burgundy</t>
        </is>
      </c>
      <c r="D121" s="105" t="inlineStr">
        <is>
          <t>Untiered</t>
        </is>
      </c>
      <c r="E121" s="128" t="inlineStr">
        <is>
          <t>Alternative material</t>
        </is>
      </c>
      <c r="F121" s="105" t="inlineStr">
        <is>
          <t>Silk</t>
        </is>
      </c>
      <c r="G121" s="39" t="inlineStr">
        <is>
          <t>Fitted sheet in Silk (title: LuxBedding Satin Fitted Bed Sheet Only, Soft as Silk, Queue); ours is Satin (polyester) (our listing: polyester satin). Shopper may cross-shop, but not like-for-like.</t>
        </is>
      </c>
      <c r="H121" s="107" t="inlineStr">
        <is>
          <t>B093WZY75P</t>
        </is>
      </c>
      <c r="I121" s="107" t="inlineStr">
        <is>
          <t>B08QF4WDWL</t>
        </is>
      </c>
      <c r="J121" s="105" t="inlineStr">
        <is>
          <t>Queen</t>
        </is>
      </c>
      <c r="K121" s="105" t="inlineStr">
        <is>
          <t>Red</t>
        </is>
      </c>
      <c r="L121" s="108" t="n">
        <v>45</v>
      </c>
      <c r="M121" s="39" t="n"/>
      <c r="N121" s="109" t="n">
        <v>46.69</v>
      </c>
      <c r="O121" s="109" t="n"/>
      <c r="P121" s="110">
        <f>IF(AND(ISNUMBER(O121),ISNUMBER(N121),N(N121)&gt;0),O121/N121-1,"")</f>
        <v/>
      </c>
      <c r="Q121" s="111">
        <f>IF(P121="","No List Price",IF(P121&lt;=0,"At/below price",IF(P121&lt;=0.12,"&lt;=12% STR zone",IF(P121&lt;=0.25,"12-25%","&gt;25% over"))))</f>
        <v/>
      </c>
      <c r="R121" s="109" t="n">
        <v>23.95</v>
      </c>
      <c r="S121" s="112">
        <f>IF(AND(ISNUMBER(N121),ISNUMBER(R121),N(R121)&gt;0),N121/R121-1,"")</f>
        <v/>
      </c>
      <c r="T121" s="39" t="inlineStr">
        <is>
          <t>Same size (Queen), CAD. Ours live: catalog price (CAD), 2026-10-14; 12 children</t>
        </is>
      </c>
      <c r="U121" s="108" t="n">
        <v>210282</v>
      </c>
      <c r="V121" s="108" t="n"/>
      <c r="W121" s="113">
        <f>IF(AND(ISNUMBER(N121),ISNUMBER(V121)),N121*V121*52/12,"")</f>
        <v/>
      </c>
      <c r="X121" s="114" t="n">
        <v>4.3</v>
      </c>
      <c r="Y121" s="108" t="n">
        <v>1600</v>
      </c>
      <c r="Z121" s="115" t="n">
        <v>46309</v>
      </c>
      <c r="AA121" s="115" t="n"/>
      <c r="AB121" s="105" t="n"/>
      <c r="AC121" s="105" t="n"/>
      <c r="AD121" s="108" t="n"/>
      <c r="AE121" s="108" t="n"/>
      <c r="AF121" s="116" t="n"/>
      <c r="AG121" s="116" t="n"/>
      <c r="AH121" s="39" t="n"/>
      <c r="AI121" s="116" t="n"/>
      <c r="AJ121" s="116" t="n"/>
      <c r="AK121" s="116" t="n"/>
      <c r="AL121" s="116" t="n"/>
      <c r="AM121" s="108" t="n"/>
      <c r="AN121" s="108" t="n"/>
      <c r="AO121" s="108" t="n"/>
      <c r="AP121" s="108" t="n"/>
      <c r="AQ121" s="108" t="n"/>
      <c r="AR121" s="108" t="n"/>
      <c r="AS121" s="117" t="n"/>
      <c r="AT121" s="112" t="n"/>
      <c r="AU121" s="118" t="inlineStr">
        <is>
          <t>N</t>
        </is>
      </c>
      <c r="AV121" s="118" t="inlineStr">
        <is>
          <t>none</t>
        </is>
      </c>
      <c r="AW121" s="124" t="n"/>
      <c r="AX121" s="119" t="n">
        <v>46.69</v>
      </c>
      <c r="AY121" s="118" t="inlineStr">
        <is>
          <t>none</t>
        </is>
      </c>
      <c r="AZ121" s="118" t="inlineStr">
        <is>
          <t>Y</t>
        </is>
      </c>
      <c r="BA121" s="118" t="inlineStr">
        <is>
          <t>2026-10-14 00:37:08</t>
        </is>
      </c>
      <c r="BB121" s="120" t="inlineStr">
        <is>
          <t>None</t>
        </is>
      </c>
      <c r="BC121" s="125" t="n"/>
      <c r="BD121" s="121" t="n">
        <v>58.57</v>
      </c>
      <c r="BE121" s="121" t="n">
        <v>57.07</v>
      </c>
      <c r="BF121" s="110">
        <f>IF(AND(ISNUMBER(BD121),ISNUMBER(BE121),N(BD121)&gt;0),1-BE121/BD121,"")</f>
        <v/>
      </c>
      <c r="BG121" s="122" t="n">
        <v>280310</v>
      </c>
      <c r="BH121" s="122" t="n">
        <v>356456</v>
      </c>
      <c r="BI121" s="123">
        <f>IF(AND(ISNUMBER(BG121),ISNUMBER(BH121),N(BH121)&gt;0),BG121/BH121,"")</f>
        <v/>
      </c>
      <c r="BJ121" s="120" t="inlineStr">
        <is>
          <t>Y</t>
        </is>
      </c>
      <c r="BK121" s="120" t="inlineStr">
        <is>
          <t>Amazon.ca organic #30 for 'satin fitted sheet'; 100% Polyester; Search child B08QF3YY8G; selected Queen - Fitted Sheet Only child B08QF4WDWL. variation_count = distinct children exposed in page variation map, not a guarantee</t>
        </is>
      </c>
    </row>
    <row r="122" ht="62" customHeight="1">
      <c r="A122" s="12">
        <f>_xlfn.IMAGE("https://m.media-amazon.com/images/I/61KHLNuBD4L.jpg")</f>
        <v/>
      </c>
      <c r="B122" s="105" t="inlineStr">
        <is>
          <t>BEDELITE</t>
        </is>
      </c>
      <c r="C122" s="39" t="inlineStr">
        <is>
          <t>BEDELITE Satin Fitted Sheet Queen Size for Hair &amp; Skin, Luxury Soft Silk-Like Bed Sheet with Elastic Corner Straps, 1 Deep Pocket Fitted Sheet Only Fits 15" Mattress, Fade &amp; Wrinkle Resistant, Ivory</t>
        </is>
      </c>
      <c r="D122" s="105" t="inlineStr">
        <is>
          <t>Untiered</t>
        </is>
      </c>
      <c r="E122" s="128" t="inlineStr">
        <is>
          <t>Alternative material</t>
        </is>
      </c>
      <c r="F122" s="105" t="inlineStr">
        <is>
          <t>Silk</t>
        </is>
      </c>
      <c r="G122" s="39" t="inlineStr">
        <is>
          <t>Fitted sheet in Silk (title: BEDELITE Satin Fitted Sheet Queen Size for Hair &amp; Skin, Luxu); ours is Satin (polyester) (our listing: polyester satin). Shopper may cross-shop, but not like-for-like.</t>
        </is>
      </c>
      <c r="H122" s="107" t="inlineStr">
        <is>
          <t>B0FSN6J3TP</t>
        </is>
      </c>
      <c r="I122" s="107" t="inlineStr">
        <is>
          <t>B0FL2BKPPN</t>
        </is>
      </c>
      <c r="J122" s="105" t="inlineStr">
        <is>
          <t>Queen</t>
        </is>
      </c>
      <c r="K122" s="105" t="inlineStr">
        <is>
          <t>Ivory</t>
        </is>
      </c>
      <c r="L122" s="108" t="n">
        <v>42</v>
      </c>
      <c r="M122" s="39" t="n"/>
      <c r="N122" s="109" t="n">
        <v>45.6</v>
      </c>
      <c r="O122" s="109" t="n"/>
      <c r="P122" s="110">
        <f>IF(AND(ISNUMBER(O122),ISNUMBER(N122),N(N122)&gt;0),O122/N122-1,"")</f>
        <v/>
      </c>
      <c r="Q122" s="111">
        <f>IF(P122="","No List Price",IF(P122&lt;=0,"At/below price",IF(P122&lt;=0.12,"&lt;=12% STR zone",IF(P122&lt;=0.25,"12-25%","&gt;25% over"))))</f>
        <v/>
      </c>
      <c r="R122" s="109" t="n">
        <v>23.95</v>
      </c>
      <c r="S122" s="112">
        <f>IF(AND(ISNUMBER(N122),ISNUMBER(R122),N(R122)&gt;0),N122/R122-1,"")</f>
        <v/>
      </c>
      <c r="T122" s="39" t="inlineStr">
        <is>
          <t>Same size (Queen), CAD. Ours live: catalog price (CAD), 2026-10-14; 12 children</t>
        </is>
      </c>
      <c r="U122" s="108" t="n">
        <v>282249</v>
      </c>
      <c r="V122" s="108" t="n"/>
      <c r="W122" s="113">
        <f>IF(AND(ISNUMBER(N122),ISNUMBER(V122)),N122*V122*52/12,"")</f>
        <v/>
      </c>
      <c r="X122" s="114" t="n">
        <v>4.5</v>
      </c>
      <c r="Y122" s="108" t="n">
        <v>490</v>
      </c>
      <c r="Z122" s="115" t="n">
        <v>46309</v>
      </c>
      <c r="AA122" s="115" t="n"/>
      <c r="AB122" s="105" t="n"/>
      <c r="AC122" s="105" t="n"/>
      <c r="AD122" s="108" t="n"/>
      <c r="AE122" s="108" t="n"/>
      <c r="AF122" s="116" t="n"/>
      <c r="AG122" s="116" t="n"/>
      <c r="AH122" s="39" t="n"/>
      <c r="AI122" s="116" t="n"/>
      <c r="AJ122" s="116" t="n"/>
      <c r="AK122" s="116" t="n"/>
      <c r="AL122" s="116" t="n"/>
      <c r="AM122" s="108" t="n"/>
      <c r="AN122" s="108" t="n"/>
      <c r="AO122" s="108" t="n"/>
      <c r="AP122" s="108" t="n"/>
      <c r="AQ122" s="108" t="n"/>
      <c r="AR122" s="108" t="n"/>
      <c r="AS122" s="117" t="n"/>
      <c r="AT122" s="112" t="n"/>
      <c r="AU122" s="118" t="inlineStr">
        <is>
          <t>N</t>
        </is>
      </c>
      <c r="AV122" s="118" t="inlineStr">
        <is>
          <t>none</t>
        </is>
      </c>
      <c r="AW122" s="124" t="n"/>
      <c r="AX122" s="119" t="n">
        <v>45.6</v>
      </c>
      <c r="AY122" s="118" t="inlineStr">
        <is>
          <t>none</t>
        </is>
      </c>
      <c r="AZ122" s="118" t="inlineStr">
        <is>
          <t>Y</t>
        </is>
      </c>
      <c r="BA122" s="118" t="inlineStr">
        <is>
          <t>2026-10-14 00:37:31</t>
        </is>
      </c>
      <c r="BB122" s="125" t="n"/>
      <c r="BC122" s="125" t="n"/>
      <c r="BD122" s="124" t="n"/>
      <c r="BE122" s="124" t="n"/>
      <c r="BF122" s="110">
        <f>IF(AND(ISNUMBER(BD122),ISNUMBER(BE122),N(BD122)&gt;0),1-BE122/BD122,"")</f>
        <v/>
      </c>
      <c r="BG122" s="126" t="n"/>
      <c r="BH122" s="126" t="n"/>
      <c r="BI122" s="123">
        <f>IF(AND(ISNUMBER(BG122),ISNUMBER(BH122),N(BH122)&gt;0),BG122/BH122,"")</f>
        <v/>
      </c>
      <c r="BJ122" s="125" t="n"/>
      <c r="BK122" s="120" t="inlineStr">
        <is>
          <t>Amazon.ca organic #32 for 'satin fitted sheet'; 100% Polyester Satin; Search child B0FL2DCWX7; selected Queen child B0FL2BKPPN. variation_count = distinct children exposed in page variation map, not a guaranteed complete catalogue price history: No Buy Box history in price history for BFCM 2025</t>
        </is>
      </c>
    </row>
    <row r="123" ht="62" customHeight="1">
      <c r="A123" s="12">
        <f>_xlfn.IMAGE("https://m.media-amazon.com/images/I/61vzu4mSjhL.jpg")</f>
        <v/>
      </c>
      <c r="B123" s="105" t="inlineStr">
        <is>
          <t>FLCA</t>
        </is>
      </c>
      <c r="C123" s="39" t="inlineStr">
        <is>
          <t>1 Piece Satin Fitted Sheet Only Classic Luxury Silky Soft Bed Sheets Solid Color (Grey, Fitted Sheet(Queen))</t>
        </is>
      </c>
      <c r="D123" s="105" t="inlineStr">
        <is>
          <t>Untiered</t>
        </is>
      </c>
      <c r="E123" s="133" t="inlineStr">
        <is>
          <t>Different product type</t>
        </is>
      </c>
      <c r="F123" s="105" t="inlineStr">
        <is>
          <t>Satin (polyester)</t>
        </is>
      </c>
      <c r="G123" s="39" t="inlineStr">
        <is>
          <t>Sells a sheet set; ours is a fitted sheet.</t>
        </is>
      </c>
      <c r="H123" s="107" t="inlineStr">
        <is>
          <t>B08KHV3CR8</t>
        </is>
      </c>
      <c r="I123" s="107" t="inlineStr">
        <is>
          <t>B08FCC1QFF</t>
        </is>
      </c>
      <c r="J123" s="105" t="inlineStr">
        <is>
          <t>Queen</t>
        </is>
      </c>
      <c r="K123" s="105" t="inlineStr">
        <is>
          <t>Grey</t>
        </is>
      </c>
      <c r="L123" s="108" t="n">
        <v>26</v>
      </c>
      <c r="M123" s="39" t="n"/>
      <c r="N123" s="109" t="n">
        <v>27.55</v>
      </c>
      <c r="O123" s="109" t="n"/>
      <c r="P123" s="110">
        <f>IF(AND(ISNUMBER(O123),ISNUMBER(N123),N(N123)&gt;0),O123/N123-1,"")</f>
        <v/>
      </c>
      <c r="Q123" s="111">
        <f>IF(P123="","No List Price",IF(P123&lt;=0,"At/below price",IF(P123&lt;=0.12,"&lt;=12% STR zone",IF(P123&lt;=0.25,"12-25%","&gt;25% over"))))</f>
        <v/>
      </c>
      <c r="R123" s="109" t="n">
        <v>23.95</v>
      </c>
      <c r="S123" s="112">
        <f>IF(AND(ISNUMBER(N123),ISNUMBER(R123),N(R123)&gt;0),N123/R123-1,"")</f>
        <v/>
      </c>
      <c r="T123" s="39" t="inlineStr">
        <is>
          <t>Same size (Queen), CAD. Ours live: catalog price (CAD), 2026-10-14; 12 children</t>
        </is>
      </c>
      <c r="U123" s="108" t="n">
        <v>188692</v>
      </c>
      <c r="V123" s="108" t="n"/>
      <c r="W123" s="113">
        <f>IF(AND(ISNUMBER(N123),ISNUMBER(V123)),N123*V123*52/12,"")</f>
        <v/>
      </c>
      <c r="X123" s="114" t="n">
        <v>4.3</v>
      </c>
      <c r="Y123" s="108" t="n">
        <v>312</v>
      </c>
      <c r="Z123" s="115" t="n">
        <v>46309</v>
      </c>
      <c r="AA123" s="115" t="n"/>
      <c r="AB123" s="105" t="n"/>
      <c r="AC123" s="105" t="n"/>
      <c r="AD123" s="108" t="n"/>
      <c r="AE123" s="108" t="n"/>
      <c r="AF123" s="116" t="n"/>
      <c r="AG123" s="116" t="n"/>
      <c r="AH123" s="39" t="n"/>
      <c r="AI123" s="116" t="n"/>
      <c r="AJ123" s="116" t="n"/>
      <c r="AK123" s="116" t="n"/>
      <c r="AL123" s="116" t="n"/>
      <c r="AM123" s="108" t="n"/>
      <c r="AN123" s="108" t="n"/>
      <c r="AO123" s="108" t="n"/>
      <c r="AP123" s="108" t="n"/>
      <c r="AQ123" s="108" t="n"/>
      <c r="AR123" s="108" t="n"/>
      <c r="AS123" s="117" t="n"/>
      <c r="AT123" s="112" t="n"/>
      <c r="AU123" s="118" t="inlineStr">
        <is>
          <t>N</t>
        </is>
      </c>
      <c r="AV123" s="118" t="inlineStr">
        <is>
          <t>none</t>
        </is>
      </c>
      <c r="AW123" s="124" t="n"/>
      <c r="AX123" s="119" t="n">
        <v>27.55</v>
      </c>
      <c r="AY123" s="118" t="inlineStr">
        <is>
          <t>none</t>
        </is>
      </c>
      <c r="AZ123" s="118" t="inlineStr">
        <is>
          <t>Y</t>
        </is>
      </c>
      <c r="BA123" s="118" t="inlineStr">
        <is>
          <t>2026-10-14 00:32:37</t>
        </is>
      </c>
      <c r="BB123" s="120" t="inlineStr">
        <is>
          <t>None</t>
        </is>
      </c>
      <c r="BC123" s="125" t="n"/>
      <c r="BD123" s="121" t="n">
        <v>20.66</v>
      </c>
      <c r="BE123" s="121" t="n">
        <v>20.66</v>
      </c>
      <c r="BF123" s="110">
        <f>IF(AND(ISNUMBER(BD123),ISNUMBER(BE123),N(BD123)&gt;0),1-BE123/BD123,"")</f>
        <v/>
      </c>
      <c r="BG123" s="122" t="n">
        <v>118546</v>
      </c>
      <c r="BH123" s="122" t="n">
        <v>213919</v>
      </c>
      <c r="BI123" s="123">
        <f>IF(AND(ISNUMBER(BG123),ISNUMBER(BH123),N(BH123)&gt;0),BG123/BH123,"")</f>
        <v/>
      </c>
      <c r="BJ123" s="120" t="inlineStr">
        <is>
          <t>N</t>
        </is>
      </c>
      <c r="BK123" s="120" t="inlineStr">
        <is>
          <t>Amazon.ca organic #5 for 'satin fitted sheet'; Polyester,Silky,Satin; Search child B08FCBB96H; selected Fitted sheet(Queen) child B08FCC1QFF. variation_count = distinct children exposed in page variation map, not a guaranteed comp</t>
        </is>
      </c>
    </row>
    <row r="124" ht="62" customHeight="1">
      <c r="A124" s="12">
        <f>_xlfn.IMAGE("https://m.media-amazon.com/images/I/71gp4XZlwCL.jpg")</f>
        <v/>
      </c>
      <c r="B124" s="105" t="inlineStr">
        <is>
          <t>YASMENG</t>
        </is>
      </c>
      <c r="C124" s="39" t="inlineStr">
        <is>
          <t>Wine Red Queen Satin Fitted Sheets Only with 14" Elastic Deep Pocket</t>
        </is>
      </c>
      <c r="D124" s="105" t="inlineStr">
        <is>
          <t>Untiered</t>
        </is>
      </c>
      <c r="E124" s="133" t="inlineStr">
        <is>
          <t>Different product type</t>
        </is>
      </c>
      <c r="F124" s="105" t="inlineStr">
        <is>
          <t>Satin (polyester)</t>
        </is>
      </c>
      <c r="G124" s="39" t="inlineStr">
        <is>
          <t>Sells a sheet set; ours is a fitted sheet.</t>
        </is>
      </c>
      <c r="H124" s="107" t="inlineStr">
        <is>
          <t>B0CPRZL17M</t>
        </is>
      </c>
      <c r="I124" s="107" t="inlineStr">
        <is>
          <t>B0CPSG8X6G</t>
        </is>
      </c>
      <c r="J124" s="105" t="inlineStr">
        <is>
          <t>Queen</t>
        </is>
      </c>
      <c r="K124" s="105" t="inlineStr">
        <is>
          <t>Burgundy</t>
        </is>
      </c>
      <c r="L124" s="108" t="n">
        <v>32</v>
      </c>
      <c r="M124" s="39" t="n"/>
      <c r="N124" s="109" t="n">
        <v>29.99</v>
      </c>
      <c r="O124" s="109" t="n"/>
      <c r="P124" s="110">
        <f>IF(AND(ISNUMBER(O124),ISNUMBER(N124),N(N124)&gt;0),O124/N124-1,"")</f>
        <v/>
      </c>
      <c r="Q124" s="111">
        <f>IF(P124="","No List Price",IF(P124&lt;=0,"At/below price",IF(P124&lt;=0.12,"&lt;=12% STR zone",IF(P124&lt;=0.25,"12-25%","&gt;25% over"))))</f>
        <v/>
      </c>
      <c r="R124" s="109" t="n">
        <v>23.95</v>
      </c>
      <c r="S124" s="112">
        <f>IF(AND(ISNUMBER(N124),ISNUMBER(R124),N(R124)&gt;0),N124/R124-1,"")</f>
        <v/>
      </c>
      <c r="T124" s="39" t="inlineStr">
        <is>
          <t>Same size (Queen), CAD. Ours live: catalog price (CAD), 2026-10-14; 12 children</t>
        </is>
      </c>
      <c r="U124" s="108" t="n">
        <v>18907</v>
      </c>
      <c r="V124" s="108" t="n"/>
      <c r="W124" s="113">
        <f>IF(AND(ISNUMBER(N124),ISNUMBER(V124)),N124*V124*52/12,"")</f>
        <v/>
      </c>
      <c r="X124" s="114" t="n">
        <v>4.1</v>
      </c>
      <c r="Y124" s="108" t="n">
        <v>153</v>
      </c>
      <c r="Z124" s="115" t="n">
        <v>46309</v>
      </c>
      <c r="AA124" s="115" t="n"/>
      <c r="AB124" s="105" t="n"/>
      <c r="AC124" s="105" t="n"/>
      <c r="AD124" s="108" t="n"/>
      <c r="AE124" s="108" t="n"/>
      <c r="AF124" s="116" t="n"/>
      <c r="AG124" s="116" t="n"/>
      <c r="AH124" s="39" t="n"/>
      <c r="AI124" s="116" t="n"/>
      <c r="AJ124" s="116" t="n"/>
      <c r="AK124" s="116" t="n"/>
      <c r="AL124" s="116" t="n"/>
      <c r="AM124" s="108" t="n"/>
      <c r="AN124" s="108" t="n"/>
      <c r="AO124" s="108" t="n"/>
      <c r="AP124" s="108" t="n"/>
      <c r="AQ124" s="108" t="n"/>
      <c r="AR124" s="108" t="n"/>
      <c r="AS124" s="117" t="n"/>
      <c r="AT124" s="112" t="n"/>
      <c r="AU124" s="118" t="inlineStr">
        <is>
          <t>N</t>
        </is>
      </c>
      <c r="AV124" s="118" t="inlineStr">
        <is>
          <t>none</t>
        </is>
      </c>
      <c r="AW124" s="124" t="n"/>
      <c r="AX124" s="119" t="n">
        <v>29.99</v>
      </c>
      <c r="AY124" s="118" t="inlineStr">
        <is>
          <t>none</t>
        </is>
      </c>
      <c r="AZ124" s="118" t="inlineStr">
        <is>
          <t>Y</t>
        </is>
      </c>
      <c r="BA124" s="118" t="inlineStr">
        <is>
          <t>2026-10-14 00:34:26</t>
        </is>
      </c>
      <c r="BB124" s="120" t="inlineStr">
        <is>
          <t>Prime Exclusive Discount</t>
        </is>
      </c>
      <c r="BC124" s="120" t="inlineStr">
        <is>
          <t>11-22 to 12-03</t>
        </is>
      </c>
      <c r="BD124" s="121" t="n">
        <v>29.99</v>
      </c>
      <c r="BE124" s="121" t="n">
        <v>22.49</v>
      </c>
      <c r="BF124" s="110">
        <f>IF(AND(ISNUMBER(BD124),ISNUMBER(BE124),N(BD124)&gt;0),1-BE124/BD124,"")</f>
        <v/>
      </c>
      <c r="BG124" s="122" t="n">
        <v>27847</v>
      </c>
      <c r="BH124" s="122" t="n">
        <v>15998</v>
      </c>
      <c r="BI124" s="123">
        <f>IF(AND(ISNUMBER(BG124),ISNUMBER(BH124),N(BH124)&gt;0),BG124/BH124,"")</f>
        <v/>
      </c>
      <c r="BJ124" s="120" t="inlineStr">
        <is>
          <t>N</t>
        </is>
      </c>
      <c r="BK124" s="120" t="inlineStr">
        <is>
          <t>Amazon.ca organic #8 for 'satin fitted sheet'; 100% Microfiber; Search child B0CPS7PQBH; selected Queen child B0CPSG8X6G. variation_count = distinct children exposed in page variation map, not a guaranteed complete catalogue</t>
        </is>
      </c>
    </row>
    <row r="125"/>
    <row r="126" ht="22" customHeight="1">
      <c r="A126" s="65" t="inlineStr">
        <is>
          <t>5 ▼</t>
        </is>
      </c>
      <c r="B126" s="66" t="inlineStr">
        <is>
          <t>WHAT THIS MEANS FOR BFCM</t>
        </is>
      </c>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c r="AC126" s="67" t="n"/>
      <c r="AD126" s="67" t="n"/>
      <c r="AE126" s="67" t="n"/>
      <c r="AF126" s="67" t="n"/>
      <c r="AG126" s="67" t="n"/>
      <c r="AH126" s="67" t="n"/>
      <c r="AI126" s="67" t="n"/>
      <c r="AJ126" s="67" t="n"/>
      <c r="AK126" s="67" t="n"/>
      <c r="AL126" s="67" t="n"/>
      <c r="AM126" s="67" t="n"/>
      <c r="AN126" s="67" t="n"/>
      <c r="AO126" s="67" t="n"/>
      <c r="AP126" s="67" t="n"/>
      <c r="AQ126" s="67" t="n"/>
      <c r="AR126" s="67" t="n"/>
      <c r="AS126" s="67" t="n"/>
      <c r="AT126" s="67" t="n"/>
      <c r="AU126" s="67" t="n"/>
      <c r="AV126" s="67" t="n"/>
      <c r="AW126" s="67" t="n"/>
      <c r="AX126" s="67" t="n"/>
      <c r="AY126" s="67" t="n"/>
      <c r="AZ126" s="67" t="n"/>
      <c r="BA126" s="67" t="n"/>
      <c r="BB126" s="67" t="n"/>
      <c r="BC126" s="67" t="n"/>
      <c r="BD126" s="67" t="n"/>
      <c r="BE126" s="67" t="n"/>
      <c r="BF126" s="67" t="n"/>
      <c r="BG126" s="67" t="n"/>
      <c r="BH126" s="67" t="n"/>
      <c r="BI126" s="67" t="n"/>
      <c r="BJ126" s="67" t="n"/>
      <c r="BK126" s="67" t="n"/>
    </row>
    <row r="127" ht="30" customHeight="1">
      <c r="A127" s="129" t="inlineStr">
        <is>
          <t>• Price: 5 of 15 rivals sit below our price today (same size where the title states one). Cheapest strong rivals: uxcell $13.49, FLCA $17.99, JUWENIN $18.99, JUWENIN $19.99. CA prices are CAD; ours is the live Amazon.ca price (catalog price) where held.</t>
        </is>
      </c>
    </row>
    <row r="128" ht="30" customHeight="1">
      <c r="A128" s="129" t="inlineStr">
        <is>
          <t>• Top organic on Amazon.ca (Oct 13): #1 MR&amp;HM $21.59 (satin fitted sheet queen); #3 FLCA $17.99 (satin fitted sheet); #4 JUWENIN $19.99 (satin fitted sheet queen); #4 Lirex $36.29 (satin fitted sheet); #5 FLCA $27.55 (satin fitted sheet).</t>
        </is>
      </c>
    </row>
    <row r="129" ht="18" customHeight="1">
      <c r="A129" s="129" t="inlineStr">
        <is>
          <t>• Strikethrough on the page today (Oct 13 check): 1 of 15 checked rivals show one: MR&amp;HM Was price $23.99 vs $21.59 (+11%).</t>
        </is>
      </c>
    </row>
    <row r="130" ht="18" customHeight="1">
      <c r="A130" s="129" t="inlineStr">
        <is>
          <t>• Our BFCM 2025: 0.74x daily sales in BFCM week vs the 30 days before; TACoS 1.3% vs 0.0% before; December 0.76x.</t>
        </is>
      </c>
    </row>
  </sheetData>
  <autoFilter ref="B109:BK124"/>
  <mergeCells count="62">
    <mergeCell ref="A130:BK130"/>
    <mergeCell ref="A90:C90"/>
    <mergeCell ref="L5:Q5"/>
    <mergeCell ref="A89:C89"/>
    <mergeCell ref="A107:BK107"/>
    <mergeCell ref="A98:BK98"/>
    <mergeCell ref="Q11:T11"/>
    <mergeCell ref="A103:BK103"/>
    <mergeCell ref="L8:Q8"/>
    <mergeCell ref="A95:C95"/>
    <mergeCell ref="L4:Q4"/>
    <mergeCell ref="D7:I7"/>
    <mergeCell ref="A13:D13"/>
    <mergeCell ref="BB108:BK108"/>
    <mergeCell ref="I13:L13"/>
    <mergeCell ref="D4:I4"/>
    <mergeCell ref="L10:Q10"/>
    <mergeCell ref="E12:H12"/>
    <mergeCell ref="Q13:T13"/>
    <mergeCell ref="A99:BK99"/>
    <mergeCell ref="AA108:AC108"/>
    <mergeCell ref="D9:I9"/>
    <mergeCell ref="N108:Z108"/>
    <mergeCell ref="A128:BK128"/>
    <mergeCell ref="U12:X12"/>
    <mergeCell ref="L9:Q9"/>
    <mergeCell ref="Q12:T12"/>
    <mergeCell ref="A91:C91"/>
    <mergeCell ref="A11:D11"/>
    <mergeCell ref="A108:K108"/>
    <mergeCell ref="I11:L11"/>
    <mergeCell ref="A96:C96"/>
    <mergeCell ref="D8:I8"/>
    <mergeCell ref="L6:Q6"/>
    <mergeCell ref="A4:B9"/>
    <mergeCell ref="A101:BK101"/>
    <mergeCell ref="T6:Y6"/>
    <mergeCell ref="A93:C93"/>
    <mergeCell ref="D5:I5"/>
    <mergeCell ref="A129:BK129"/>
    <mergeCell ref="M11:P11"/>
    <mergeCell ref="AD108:AT108"/>
    <mergeCell ref="U11:X11"/>
    <mergeCell ref="A97:BK97"/>
    <mergeCell ref="E13:H13"/>
    <mergeCell ref="A100:BK100"/>
    <mergeCell ref="D10:I10"/>
    <mergeCell ref="L7:Q7"/>
    <mergeCell ref="T5:Y5"/>
    <mergeCell ref="A94:C94"/>
    <mergeCell ref="A12:D12"/>
    <mergeCell ref="M13:P13"/>
    <mergeCell ref="I12:L12"/>
    <mergeCell ref="U13:X13"/>
    <mergeCell ref="A88:C88"/>
    <mergeCell ref="M12:P12"/>
    <mergeCell ref="A102:BK102"/>
    <mergeCell ref="T4:Y4"/>
    <mergeCell ref="AU108:BA108"/>
    <mergeCell ref="D6:I6"/>
    <mergeCell ref="E11:H11"/>
    <mergeCell ref="A127:BK127"/>
  </mergeCells>
  <conditionalFormatting sqref="Q110:Q124">
    <cfRule type="expression" priority="1" dxfId="1">
      <formula>Q110="&lt;=12% STR zone"</formula>
    </cfRule>
  </conditionalFormatting>
  <conditionalFormatting sqref="Z110:Z124">
    <cfRule type="expression" priority="2" dxfId="0">
      <formula>AND(ISNUMBER(Z110),Z110&lt;DATE(2026,10,6))</formula>
    </cfRule>
  </conditionalFormatting>
  <conditionalFormatting sqref="T110:T124">
    <cfRule type="expression" priority="3" dxfId="0">
      <formula>ISNUMBER(SEARCH("STALE",T110))</formula>
    </cfRule>
  </conditionalFormatting>
  <conditionalFormatting sqref="S110:S124">
    <cfRule type="expression" priority="4" dxfId="0">
      <formula>AND(ISNUMBER(S110),S110&lt;0)</formula>
    </cfRule>
  </conditionalFormatting>
  <dataValidations count="3">
    <dataValidation sqref="AU110:AU124 BJ110:BJ124" showDropDown="0" showInputMessage="0" showErrorMessage="0" allowBlank="1" type="list">
      <formula1>"Y,N"</formula1>
    </dataValidation>
    <dataValidation sqref="AV110:AV124" showDropDown="0" showInputMessage="0" showErrorMessage="0" allowBlank="1" type="list">
      <formula1>"List Price,Typical price,Was price,None"</formula1>
    </dataValidation>
    <dataValidation sqref="BB110:BB124" showDropDown="0" showInputMessage="0" showErrorMessage="0" allowBlank="1" type="list">
      <formula1>"Lightning Deal,Best Deal,Prime Exclusive Discount,Coupon only,Price cut only,None,Not live in 2025"</formula1>
    </dataValidation>
  </dataValidations>
  <hyperlinks>
    <hyperlink ref="A2" location="'CA Dashboard'!A1" display="← Dashboard"/>
    <hyperlink ref="C2" location="'CA DC Satin Fitted'!A3" display="1 Our product ↓"/>
    <hyperlink ref="D2" location="'CA DC Satin Fitted'!A15" display="2 Our variations ↓"/>
    <hyperlink ref="E2" location="'CA DC Satin Fitted'!A87" display="3 Our BFCM 2025 ↓"/>
    <hyperlink ref="F2" location="'CA DC Satin Fitted'!A105" display="4 COMPETITORS (15 mapped) ↓"/>
    <hyperlink ref="G2" location="'CA DC Satin Fitted'!A126" display="5 What it means ↓"/>
    <hyperlink xmlns:r="http://schemas.openxmlformats.org/officeDocument/2006/relationships" ref="H110" r:id="rId1"/>
    <hyperlink xmlns:r="http://schemas.openxmlformats.org/officeDocument/2006/relationships" ref="I110" r:id="rId2"/>
    <hyperlink xmlns:r="http://schemas.openxmlformats.org/officeDocument/2006/relationships" ref="H111" r:id="rId3"/>
    <hyperlink xmlns:r="http://schemas.openxmlformats.org/officeDocument/2006/relationships" ref="I111" r:id="rId4"/>
    <hyperlink xmlns:r="http://schemas.openxmlformats.org/officeDocument/2006/relationships" ref="H112" r:id="rId5"/>
    <hyperlink xmlns:r="http://schemas.openxmlformats.org/officeDocument/2006/relationships" ref="I112" r:id="rId6"/>
    <hyperlink xmlns:r="http://schemas.openxmlformats.org/officeDocument/2006/relationships" ref="H113" r:id="rId7"/>
    <hyperlink xmlns:r="http://schemas.openxmlformats.org/officeDocument/2006/relationships" ref="I113" r:id="rId8"/>
    <hyperlink xmlns:r="http://schemas.openxmlformats.org/officeDocument/2006/relationships" ref="H114" r:id="rId9"/>
    <hyperlink xmlns:r="http://schemas.openxmlformats.org/officeDocument/2006/relationships" ref="I114" r:id="rId10"/>
    <hyperlink xmlns:r="http://schemas.openxmlformats.org/officeDocument/2006/relationships" ref="H115" r:id="rId11"/>
    <hyperlink xmlns:r="http://schemas.openxmlformats.org/officeDocument/2006/relationships" ref="I115" r:id="rId12"/>
    <hyperlink xmlns:r="http://schemas.openxmlformats.org/officeDocument/2006/relationships" ref="I116" r:id="rId13"/>
    <hyperlink xmlns:r="http://schemas.openxmlformats.org/officeDocument/2006/relationships" ref="H117" r:id="rId14"/>
    <hyperlink xmlns:r="http://schemas.openxmlformats.org/officeDocument/2006/relationships" ref="I117" r:id="rId15"/>
    <hyperlink xmlns:r="http://schemas.openxmlformats.org/officeDocument/2006/relationships" ref="H118" r:id="rId16"/>
    <hyperlink xmlns:r="http://schemas.openxmlformats.org/officeDocument/2006/relationships" ref="I118" r:id="rId17"/>
    <hyperlink xmlns:r="http://schemas.openxmlformats.org/officeDocument/2006/relationships" ref="I119" r:id="rId18"/>
    <hyperlink xmlns:r="http://schemas.openxmlformats.org/officeDocument/2006/relationships" ref="H120" r:id="rId19"/>
    <hyperlink xmlns:r="http://schemas.openxmlformats.org/officeDocument/2006/relationships" ref="I120" r:id="rId20"/>
    <hyperlink xmlns:r="http://schemas.openxmlformats.org/officeDocument/2006/relationships" ref="H121" r:id="rId21"/>
    <hyperlink xmlns:r="http://schemas.openxmlformats.org/officeDocument/2006/relationships" ref="I121" r:id="rId22"/>
    <hyperlink xmlns:r="http://schemas.openxmlformats.org/officeDocument/2006/relationships" ref="H122" r:id="rId23"/>
    <hyperlink xmlns:r="http://schemas.openxmlformats.org/officeDocument/2006/relationships" ref="I122" r:id="rId24"/>
    <hyperlink xmlns:r="http://schemas.openxmlformats.org/officeDocument/2006/relationships" ref="H123" r:id="rId25"/>
    <hyperlink xmlns:r="http://schemas.openxmlformats.org/officeDocument/2006/relationships" ref="I123" r:id="rId26"/>
    <hyperlink xmlns:r="http://schemas.openxmlformats.org/officeDocument/2006/relationships" ref="H124" r:id="rId27"/>
    <hyperlink xmlns:r="http://schemas.openxmlformats.org/officeDocument/2006/relationships" ref="I124" r:id="rId28"/>
  </hyperlink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2" customWidth="1" min="6" max="6"/>
    <col width="60" customWidth="1" min="7" max="7"/>
  </cols>
  <sheetData>
    <row r="1">
      <c r="A1" s="135" t="inlineStr">
        <is>
          <t>Data Check - how current and how accurate every number is</t>
        </is>
      </c>
    </row>
    <row r="2">
      <c r="A2" s="136" t="inlineStr">
        <is>
          <t>Read this before quoting a number. Orange cells in product tabs = stale value; 'STALE' in Comparison basis = our price there is the market data fee-feed price, not today's.</t>
        </is>
      </c>
    </row>
    <row r="3"/>
    <row r="4">
      <c r="A4" s="137" t="inlineStr">
        <is>
          <t>Data</t>
        </is>
      </c>
      <c r="B4" s="137" t="inlineStr">
        <is>
          <t>As of</t>
        </is>
      </c>
      <c r="C4" s="137" t="inlineStr">
        <is>
          <t>Rows</t>
        </is>
      </c>
      <c r="D4" s="137" t="inlineStr">
        <is>
          <t>Status</t>
        </is>
      </c>
      <c r="E4" s="137" t="inlineStr"/>
      <c r="F4" s="137" t="inlineStr">
        <is>
          <t>Notes</t>
        </is>
      </c>
    </row>
    <row r="5">
      <c r="A5" s="138" t="inlineStr">
        <is>
          <t>Competitor price, List Price, BSR, rating, reviews</t>
        </is>
      </c>
      <c r="B5" s="138" t="inlineStr">
        <is>
          <t>2026-10-12</t>
        </is>
      </c>
      <c r="C5" s="138" t="n">
        <v>631</v>
      </c>
      <c r="D5" s="139" t="inlineStr">
        <is>
          <t>Current</t>
        </is>
      </c>
      <c r="E5" s="138" t="inlineStr"/>
      <c r="F5" s="138" t="inlineStr">
        <is>
          <t>18 US rows are older (Jul 20 - Sep 21, 2026) and are shaded orange in the 'Snapshot date' column. Price is for the one tracked child ASIN; Amazon search may show another size of the same listing.</t>
        </is>
      </c>
    </row>
    <row r="6">
      <c r="A6" s="138" t="inlineStr">
        <is>
          <t>Strikethrough now (shown / label / price)</t>
        </is>
      </c>
      <c r="B6" s="138" t="inlineStr">
        <is>
          <t>2026-10-13</t>
        </is>
      </c>
      <c r="C6" s="138" t="n">
        <v>371</v>
      </c>
      <c r="D6" s="139" t="inlineStr">
        <is>
          <t>Current</t>
        </is>
      </c>
      <c r="E6" s="138" t="inlineStr"/>
      <c r="F6" s="138" t="inlineStr">
        <is>
          <t>371 competitor ASINs checked on the Amazon page Oct 13 (70 P1 at 12:10 ET, 240 P2 at 23:35 ET; logged out, ZIP 10001). Blank = redirect or not shown, never assumed. Redirects left blank, not substituted: B0D1RBXBNG (David's Home) now opens B0DBHFTF8W, a different variation (3-pc Twin vs 4-pc Twin) of the same family; B0CP3NX181, B0DG2HRZKK, B09G8P3X6L, B0D4PKVNWB.</t>
        </is>
      </c>
    </row>
    <row r="7">
      <c r="A7" s="138" t="inlineStr">
        <is>
          <t>Our price now</t>
        </is>
      </c>
      <c r="B7" s="138" t="inlineStr">
        <is>
          <t>2026-10-13 to 14</t>
        </is>
      </c>
      <c r="C7" s="138" t="n">
        <v>1157</v>
      </c>
      <c r="D7" s="140" t="inlineStr">
        <is>
          <t>Partial</t>
        </is>
      </c>
      <c r="E7" s="138" t="inlineStr"/>
      <c r="F7" s="138" t="inlineStr">
        <is>
          <t>Core products: US 664 of 917 variations live, Canada 493 of 590. Core US still without a live price: SL B6 44, SSS4 36, DC Cooling 4pc 28, SL Cooling Fitted 26, DC B6 21, SL Cooling 4pc 21, DC S4 20, DC S6 18, DC Satin Fitted 15, SL Cooling Pillowcase 9, DC B4 6, SL Cooling Comforter 6, DC Bamboo Fitted 3. Not-launched products (SL B4, SL Satin 6pc, SL Cooling 6pc, SL Bamboo Pillowcase) are excluded. Without a live price the tabs show the market data fee-feed price (Mar 2026), which is out of date. catalog matched every price already verified on the Amazon page. Canada: catalog price of Amazon.ca (Oct 14, CAD). fills the rest.</t>
        </is>
      </c>
    </row>
    <row r="8">
      <c r="A8" s="138" t="inlineStr">
        <is>
          <t>Our variations not buyable on Amazon</t>
        </is>
      </c>
      <c r="B8" s="138" t="inlineStr">
        <is>
          <t>2026-10-14</t>
        </is>
      </c>
      <c r="C8" s="138" t="n">
        <v>18</v>
      </c>
      <c r="D8" s="140" t="inlineStr">
        <is>
          <t>Check</t>
        </is>
      </c>
      <c r="E8" s="138" t="inlineStr"/>
      <c r="F8" s="138" t="inlineStr">
        <is>
          <t>Of 20 selling Canadian variations with no catalog price, 15 redirect to another size and 3 show no Buy Box. deal records stock (Oct 14): 16 are out of FBA stock (5 with stock inbound, 11 with nothing inbound); 2 have stock but no Buy Box (offer / listing issue - one page says 'Price higher than typical', i.e. Buy Box suppressed on price). Reason shown per variation in each Canada tab's Status column.</t>
        </is>
      </c>
    </row>
    <row r="9">
      <c r="A9" s="138" t="inlineStr">
        <is>
          <t>Our listings outside the main review family</t>
        </is>
      </c>
      <c r="B9" s="138" t="inlineStr">
        <is>
          <t>2026-10-13</t>
        </is>
      </c>
      <c r="C9" s="138" t="n">
        <v>9</v>
      </c>
      <c r="D9" s="140" t="inlineStr">
        <is>
          <t>Check</t>
        </is>
      </c>
      <c r="E9" s="138" t="inlineStr"/>
      <c r="F9" s="138" t="inlineStr">
        <is>
          <t>Variations with their own rating and review count instead of the product's main family, flagged in each tab's variation table: DC B4 Full Light Blue 3.9 / 61, DC S6 King White 4.0 / 28, DC Cooling Cal King Graphite 3.0 / 15, and CL Cooling launch variations not yet merged. Reassigned: 7 'SATIN-4PC-TWIN' SKUs moved from DC S4 to DC S6 (a Twin in the 6 Pc set is a 4-piece set; Amazon lists them in the Satin 6pc family). Their variations, units, deals and stock now count under DC S6; ad spend stays under DC S4 as the market data attributes it.</t>
        </is>
      </c>
    </row>
    <row r="10">
      <c r="A10" s="138" t="inlineStr">
        <is>
          <t>SKU reassignment vs market data</t>
        </is>
      </c>
      <c r="B10" s="138" t="inlineStr">
        <is>
          <t>2026-10-14</t>
        </is>
      </c>
      <c r="C10" s="138" t="n">
        <v>7</v>
      </c>
      <c r="D10" s="139" t="inlineStr">
        <is>
          <t>Fixed</t>
        </is>
      </c>
      <c r="E10" s="138" t="inlineStr"/>
      <c r="F10" s="138" t="inlineStr">
        <is>
          <t>DC S4 and DC S6 SKU counts and 28-day units differ from the market data by 7 SKUs / 7 units. Blended price and contribution are still the market data's (effect under 1%).</t>
        </is>
      </c>
    </row>
    <row r="11">
      <c r="A11" s="138" t="inlineStr">
        <is>
          <t>Same-size price gap vs ours</t>
        </is>
      </c>
      <c r="B11" s="138" t="inlineStr">
        <is>
          <t>2026-10-13</t>
        </is>
      </c>
      <c r="C11" s="138" t="n">
        <v>439</v>
      </c>
      <c r="D11" s="140" t="inlineStr">
        <is>
          <t>Partial</t>
        </is>
      </c>
      <c r="E11" s="138" t="inlineStr"/>
      <c r="F11" s="138" t="inlineStr">
        <is>
          <t>439 of 661 US competitor rows compare against our live price; the rest are marked STALE in 'Comparison basis'.</t>
        </is>
      </c>
    </row>
    <row r="12">
      <c r="A12" s="138" t="inlineStr">
        <is>
          <t>Our contribution / break-even ACoS</t>
        </is>
      </c>
      <c r="B12" s="138" t="inlineStr">
        <is>
          <t>2026-03-30 prices</t>
        </is>
      </c>
      <c r="C12" s="138" t="n"/>
      <c r="D12" s="141" t="inlineStr">
        <is>
          <t>Stale</t>
        </is>
      </c>
      <c r="E12" s="138" t="inlineStr"/>
      <c r="F12" s="138" t="inlineStr">
        <is>
          <t>Calculated on the Mar 2026 fee-feed price. Where our live price is higher (e.g. B6 King +$10, B4 King +$15) contribution and break-even ACoS are understated.</t>
        </is>
      </c>
    </row>
    <row r="13">
      <c r="A13" s="138" t="inlineStr">
        <is>
          <t>Our parent ASIN</t>
        </is>
      </c>
      <c r="B13" s="138" t="inlineStr">
        <is>
          <t>2026-10-13</t>
        </is>
      </c>
      <c r="C13" s="138" t="n">
        <v>33</v>
      </c>
      <c r="D13" s="139" t="inlineStr">
        <is>
          <t>Fixed</t>
        </is>
      </c>
      <c r="E13" s="138" t="inlineStr"/>
      <c r="F13" s="138" t="inlineStr">
        <is>
          <t>market data's 'parent_asin' is one of our child ASINs. Tabs now show the Amazon parent from the catalog; the market data ASIN is listed separately.</t>
        </is>
      </c>
    </row>
    <row r="14">
      <c r="A14" s="138" t="inlineStr">
        <is>
          <t>Our BFCM 2025 ad spend, ad sales, ACoS, TACoS, orders</t>
        </is>
      </c>
      <c r="B14" s="138" t="inlineStr">
        <is>
          <t>2025-11-20 to 2025-12-01</t>
        </is>
      </c>
      <c r="C14" s="138" t="n"/>
      <c r="D14" s="139" t="inlineStr">
        <is>
          <t>Exact</t>
        </is>
      </c>
      <c r="E14" s="138" t="inlineStr"/>
      <c r="F14" s="138" t="inlineStr">
        <is>
          <t>Ad metrics as reported by the market data.</t>
        </is>
      </c>
    </row>
    <row r="15">
      <c r="A15" s="138" t="inlineStr">
        <is>
          <t>Our BFCM 2025 total sales and lift</t>
        </is>
      </c>
      <c r="B15" s="138" t="inlineStr">
        <is>
          <t>Oct 21 - Dec 31, 2025</t>
        </is>
      </c>
      <c r="C15" s="138" t="n">
        <v>127</v>
      </c>
      <c r="D15" s="139" t="inlineStr">
        <is>
          <t>Exact</t>
        </is>
      </c>
      <c r="E15" s="138" t="inlineStr"/>
      <c r="F15" s="138" t="inlineStr">
        <is>
          <t>Actual sales, units (organic / PPC / SD), ad cost, sessions and refunds per Amazon parent for the 30 days before, BFCM week and December, US and CA. Every file sums exactly to account data's period totals; 99%+ of US sales map to a tracked product. Actual lifts match the market data estimates (B4 4.25x, B6 2.49x, S4 2.64x). Amazon.ca amounts are in USD (account data converts).</t>
        </is>
      </c>
    </row>
    <row r="16">
      <c r="A16" s="138" t="inlineStr">
        <is>
          <t>Our BFCM 2025 deals</t>
        </is>
      </c>
      <c r="B16" s="138" t="inlineStr">
        <is>
          <t>2026-10-14</t>
        </is>
      </c>
      <c r="C16" s="138" t="n"/>
      <c r="D16" s="139" t="inlineStr">
        <is>
          <t>Exact</t>
        </is>
      </c>
      <c r="E16" s="138" t="inlineStr"/>
      <c r="F16" s="138" t="inlineStr">
        <is>
          <t>Re-verified Oct 14 against the market data deal feed: the same 31 US campaigns, dates and units (6 Best Deals ran Nov 20 - Dec 1: B4 4,890 units, S4 4,311, B6 2,927, Satin Fitted 1,865, SSS4 1,152, S6 1,008; 3 Best Deals and 22 Lightning Deals cancelled). The market data coupon feed has no US coupons Nov 1 - Dec 5. Scheduled deal price is not in either feed; the hero child's actual price during the deal comes from price history (next row). Prime Exclusive Discounts on SL Bamboo 6pc and SL Cooling Comforter are price history observations only.</t>
        </is>
      </c>
    </row>
    <row r="17">
      <c r="A17" s="138" t="inlineStr">
        <is>
          <t>How Amazon sets the BFCM deal price</t>
        </is>
      </c>
      <c r="B17" s="138" t="inlineStr">
        <is>
          <t>2026-10-15</t>
        </is>
      </c>
      <c r="C17" s="138" t="n"/>
      <c r="D17" s="139" t="inlineStr">
        <is>
          <t>Current</t>
        </is>
      </c>
      <c r="E17" s="138" t="inlineStr"/>
      <c r="F17" s="138" t="inlineStr">
        <is>
          <t>The BFCM deal price is the lower of (a) the lowest deal price still inside the lookback window and (b) 15% below Amazon's reference price at that point. A deal run inside the lookback forces the BFCM deal at least 5% below it. Amazon sets the reference the day before the deal. Team decision Oct 15: cancel most pre-BFCM deals unless the reference already equals the current price.</t>
        </is>
      </c>
    </row>
    <row r="18">
      <c r="A18" s="138" t="inlineStr">
        <is>
          <t>STR (strikethrough) tests</t>
        </is>
      </c>
      <c r="B18" s="138" t="inlineStr">
        <is>
          <t>2026-10-15</t>
        </is>
      </c>
      <c r="C18" s="138" t="n"/>
      <c r="D18" s="139" t="inlineStr">
        <is>
          <t>Current</t>
        </is>
      </c>
      <c r="E18" s="138" t="inlineStr"/>
      <c r="F18" s="138" t="inlineStr">
        <is>
          <t>38 SKUs raised +6% to +15% on Oct 10 with 2-9 day holds. 2-day, 3-day and 4-day holds all failed (no STR after revert, even with paid orders). Earlier round: 10 of 12 SKUs held 9-12 days got STR; 0 of 10 held 3-6 days. 5-9 day arms revert Oct 15-19; consolidated readout Oct 20, checks to Oct 22. Proposed Oct 19 cutoff for pre-BFCM deals on SKUs selected for the price reset.</t>
        </is>
      </c>
    </row>
    <row r="19">
      <c r="A19" s="138" t="inlineStr">
        <is>
          <t>Deal pricing and pre-BFCM decisions per product</t>
        </is>
      </c>
      <c r="B19" s="138" t="inlineStr">
        <is>
          <t>2026-10-15</t>
        </is>
      </c>
      <c r="C19" s="138" t="n">
        <v>15</v>
      </c>
      <c r="D19" s="139" t="inlineStr">
        <is>
          <t>Current</t>
        </is>
      </c>
      <c r="E19" s="138" t="inlineStr"/>
      <c r="F19" s="138" t="inlineStr">
        <is>
          <t>Shown on each product tab under the BFCM 2026 plan: Amazon's current reference and max deal price, and the decision on each pre-BFCM deal (B4 US and CA, B6, S4, Satin Fitted, Quilt, SL B6, S6, Silk Pillowcase, SL Cooling Fitted).</t>
        </is>
      </c>
    </row>
    <row r="20">
      <c r="A20" s="138" t="inlineStr">
        <is>
          <t>BFCM 2026 stock outlook</t>
        </is>
      </c>
      <c r="B20" s="138" t="inlineStr">
        <is>
          <t>2026-10-15</t>
        </is>
      </c>
      <c r="C20" s="138" t="n">
        <v>2915</v>
      </c>
      <c r="D20" s="140" t="inlineStr">
        <is>
          <t>Partial</t>
        </is>
      </c>
      <c r="E20" s="138" t="inlineStr"/>
      <c r="F20" s="138" t="inlineStr">
        <is>
          <t>Inventory: every page pulled (Amazon.com 2,177 rows, Amazon.ca 836); totals match account data's own account summary (US 70,217 FBA stock, 22,893 sent to FBA; CA 10,238 and 8,062). 78 open FBA shipments listed by Amazon status; account data has NO ETA field, so arrival dates are not shown and the outlook is given with and without inbound. No purchase orders in account data. Demand uses account data's velocity, which runs about 1.5x the 28-day units on the big products (includes Prime Big Deal Days and late-September deals), so the 28-day pace is shown beside it. BFCM lift = product's own 2025 lift where reliable, else ASSUMED at the account lift (US 2.74x, CA 3.14x).</t>
        </is>
      </c>
    </row>
    <row r="21">
      <c r="A21" s="138" t="inlineStr">
        <is>
          <t>Stock outlook cross-check (inventory planner)</t>
        </is>
      </c>
      <c r="B21" s="138" t="inlineStr">
        <is>
          <t>2026-10-15</t>
        </is>
      </c>
      <c r="C21" s="138" t="n">
        <v>44</v>
      </c>
      <c r="D21" s="139" t="inlineStr">
        <is>
          <t>Exact</t>
        </is>
      </c>
      <c r="E21" s="138" t="inlineStr"/>
      <c r="F21" s="138" t="inlineStr">
        <is>
          <t>44 key variations (each product's best seller plus the biggest risks) checked against the inventory planner's own forecast: sales pace matches on every row; where we see a run-out before Nov 18, the planner's date is within 3 days on 17 of 19 (the other 2 within 15 days); where we show 'covered', the planner's run-out date is after Nov 30 on all 15. Our dates are earlier when the run-out falls in BFCM week because we add the BFCM lift.</t>
        </is>
      </c>
    </row>
    <row r="22">
      <c r="A22" s="138" t="inlineStr">
        <is>
          <t>Competitor type: direct vs alternative material</t>
        </is>
      </c>
      <c r="B22" s="138" t="inlineStr">
        <is>
          <t>2026-10-15</t>
        </is>
      </c>
      <c r="C22" s="138" t="n">
        <v>744</v>
      </c>
      <c r="D22" s="139" t="inlineStr">
        <is>
          <t>Current</t>
        </is>
      </c>
      <c r="E22" s="138" t="inlineStr"/>
      <c r="F22" s="138" t="inlineStr">
        <is>
          <t>Every competitor is classified against our product: Direct = same product type and same material family (403 rows); Alternative material = same product, different material (150); Material not verified = no material on the page or in the title (30); Different product type = e.g. fitted sheet only vs our set (26). Materials: competitor's product page where checked, else its title. Ours: CooLinens and Sleephoria cooling = synthetic nylon-spandex cooling knit (CooLinens 90% nylon / 10% spandex; Sleephoria BreezeWeave confirmed the same fabric family Oct 15); Decolure Cooling = microfiber blend (a different material from Sleephoria); bamboo = viscose from bamboo; satin = polyester satin; silk = mulberry silk. Direct rivals lead every list.</t>
        </is>
      </c>
    </row>
    <row r="23">
      <c r="A23" s="138" t="inlineStr">
        <is>
          <t>CooLinens Cooling Sheets price</t>
        </is>
      </c>
      <c r="B23" s="138" t="inlineStr">
        <is>
          <t>2026-10-15</t>
        </is>
      </c>
      <c r="C23" s="138" t="n">
        <v>5</v>
      </c>
      <c r="D23" s="139" t="inlineStr">
        <is>
          <t>Current</t>
        </is>
      </c>
      <c r="E23" s="138" t="inlineStr"/>
      <c r="F23" s="138" t="inlineStr">
        <is>
          <t>Launch prices confirmed live with the Buy Box on all 60 children on Oct 15, 2026 (the latest confirmed figure, replacing the earlier $79.99 Queen planning price): Twin $69.99, Full $74.99, Queen $87.99, King $93.99, Cal King $95.99. Same price for all 12 colours of a size; used for our price and every price comparison on this product.</t>
        </is>
      </c>
    </row>
    <row r="24">
      <c r="A24" s="138" t="inlineStr">
        <is>
          <t>Our prices</t>
        </is>
      </c>
      <c r="B24" s="138" t="inlineStr">
        <is>
          <t>2026-10-14</t>
        </is>
      </c>
      <c r="C24" s="138" t="n">
        <v>1275</v>
      </c>
      <c r="D24" s="139" t="inlineStr">
        <is>
          <t>Current</t>
        </is>
      </c>
      <c r="E24" s="138" t="inlineStr"/>
      <c r="F24" s="138" t="inlineStr">
        <is>
          <t>Agreed Oct 15: catalog is the single source for our price. Amazon page check, catalog data and account data listing prices are no longer shown as our price; a variation missing from catalog shows no price.</t>
        </is>
      </c>
    </row>
    <row r="25">
      <c r="A25" s="138" t="inlineStr">
        <is>
          <t>Our BFCM 2026 deal plan</t>
        </is>
      </c>
      <c r="B25" s="138" t="inlineStr">
        <is>
          <t>2026-10-15</t>
        </is>
      </c>
      <c r="C25" s="138" t="n">
        <v>21</v>
      </c>
      <c r="D25" s="140" t="inlineStr">
        <is>
          <t>Partial</t>
        </is>
      </c>
      <c r="E25" s="138" t="inlineStr"/>
      <c r="F25" s="138" t="inlineStr">
        <is>
          <t>US: 13 Best Deals Nov 19-30 (12 tracked products plus the Hanging Closet Organizer) and 3 Lightning Deals (S6 Nov 23 cancelled, trying for a Best Deal; Silk Pillowcase Nov 23; SL Cooling Fitted Nov 25). CA: 6 Best Deals Nov 19-30. Every tracked product not on this list is NOT in a deal, e.g. DC Cooling 4pc. The Hanging Closet Organizer is not a bedding product, so it stays outside this tracker. Deal price, depth, variations and committed units not given yet. market data shows no Nov 15 - Dec 5, 2026 deals in either market yet.</t>
        </is>
      </c>
    </row>
    <row r="26">
      <c r="A26" s="138" t="inlineStr">
        <is>
          <t>Independent re-verification</t>
        </is>
      </c>
      <c r="B26" s="138" t="inlineStr">
        <is>
          <t>2026-10-15</t>
        </is>
      </c>
      <c r="C26" s="138" t="n">
        <v>16</v>
      </c>
      <c r="D26" s="139" t="inlineStr">
        <is>
          <t>Exact</t>
        </is>
      </c>
      <c r="E26" s="138" t="inlineStr"/>
      <c r="F26" s="138" t="inlineStr">
        <is>
          <t>Competitor BFCM 2025 price and rank (US): 635 checked, 0 mismatches; Competitor BFCM 2025 price and rank (CA): 71 checked, 0 mismatches; Workbook vs dashboard, competitor rows: 744 checked, 0 mismatches; Price vs ours: 697 checked, 0 mismatches; Our live variation prices: 1,307 checked, 0 mismatches; Account BFCM 2025 sales lift (US): 1 checked, 0 mismatches; Account BFCM 2025 sales lift (CA): 1 checked, 0 mismatches; Our BFCM 2025 deal units: 19 checked, 0 mismatches; No zero or negative values: 744 checked, 0 mismatches; Photos: 1,890 checked, 0 mismatches; Photos from the other marketplace: 93 checked, 0 mismatches; BFCM 2026 plan mapped: 21 checked, 0 mismatches; Assumed 2026 deal price arithmetic: 21 checked, 0 mismatches; BFCM 2026 stock per variation: 1,383 checked, 0 mismatches; BFCM 2026 stock, workbook vs dashboard: 30 checked, 0 mismatches; Stock run-out dates vs the inventory planner: 43 checked, 0 mismatches</t>
        </is>
      </c>
    </row>
    <row r="27">
      <c r="A27" s="138" t="inlineStr">
        <is>
          <t>ASSUMED BFCM 2026 deal prices</t>
        </is>
      </c>
      <c r="B27" s="138" t="inlineStr">
        <is>
          <t>2026-10-15</t>
        </is>
      </c>
      <c r="C27" s="138" t="n"/>
      <c r="D27" s="140" t="inlineStr">
        <is>
          <t>Check</t>
        </is>
      </c>
      <c r="E27" s="138" t="inlineStr"/>
      <c r="F27" s="138" t="inlineStr">
        <is>
          <t>Why an assumption: BFCM 2026 pricing is not finalized yet because of price fluctuations, and Amazon fixes the deal reference price the day before the event. Rule: 20% off on the high days and 15% off on the other deal days; high days taken as Black Friday to Cyber Monday, Nov 27-30, until confirmed. Base = today's live price of the hero ASIN (US) or best seller (CA). Evidence beside each product: our own BFCM 2025 cut on the hero (price history median price Nov 1-19 vs Nov 20 - Dec 1) and the US competitors' median cut. Amazon's reference can be lower than today's price, which would push the deal price lower. Replace with the team's prices when they arrive.</t>
        </is>
      </c>
    </row>
    <row r="28">
      <c r="A28" s="138" t="inlineStr">
        <is>
          <t>Our heroes' BFCM 2025 price and Best Seller Rank (US)</t>
        </is>
      </c>
      <c r="B28" s="138" t="inlineStr">
        <is>
          <t>Nov 1 - Dec 5, 2025</t>
        </is>
      </c>
      <c r="C28" s="138" t="n">
        <v>23</v>
      </c>
      <c r="D28" s="139" t="inlineStr">
        <is>
          <t>Exact</t>
        </is>
      </c>
      <c r="E28" s="138" t="inlineStr"/>
      <c r="F28" s="138" t="inlineStr">
        <is>
          <t>Daily price history for our 23 US hero child ASINs, pulled Oct 14. price history holds no Buy Box series for our own ASINs, so price = lowest new offer (we are the only seller). Price drops on Nov 20 match the Best Deals start: B4 $74.99 to $71.24, B6 $79.99 to $75.99, S4 $29.95 to $25.46, S6 $33.95 to $32.25, Satin Fitted $16.95 to $15.15, SSS4 $33.95 to $31.41. No price history for Bamboo Fitted, Decolure Cooling 4pc, CL Pillowcases, Linen Curtains and Quilt Set in this window.</t>
        </is>
      </c>
    </row>
    <row r="29">
      <c r="A29" s="138" t="inlineStr">
        <is>
          <t>Our BFCM 2025 stock</t>
        </is>
      </c>
      <c r="B29" s="138" t="inlineStr">
        <is>
          <t>2026-10-14</t>
        </is>
      </c>
      <c r="C29" s="138" t="n"/>
      <c r="D29" s="140" t="inlineStr">
        <is>
          <t>Partial</t>
        </is>
      </c>
      <c r="E29" s="138" t="inlineStr"/>
      <c r="F29" s="138" t="inlineStr">
        <is>
          <t>US Nov 26, 27, Dec 1 and CA Nov 24, 29, 30 have no snapshot. Filled by inference from units sold that day and the readings either side: 3,503 of 3,936 variation-days in stock, 39 out of stock, 386 unknown (low or no stock either side and no sale), and 8 sold despite 0 units on both sides (inbound stock arriving that day, e.g. B4 Queen Mid Grey B0BZQ18QJB sold 87 on Cyber Monday). Stock unit columns stay blank for these days.</t>
        </is>
      </c>
    </row>
    <row r="30">
      <c r="A30" s="138" t="inlineStr">
        <is>
          <t>Competitor tier, catalog sales band, listing assets; newly mapped rivals</t>
        </is>
      </c>
      <c r="B30" s="138" t="inlineStr">
        <is>
          <t>week of 2026-10-11</t>
        </is>
      </c>
      <c r="C30" s="138" t="n">
        <v>661</v>
      </c>
      <c r="D30" s="139" t="inlineStr">
        <is>
          <t>Current</t>
        </is>
      </c>
      <c r="E30" s="138" t="inlineStr"/>
      <c r="F30" s="138" t="inlineStr">
        <is>
          <t>All 27 US products pulled Oct 14 (661 product-competitor pairs). Tier now follows the market data's current grade. 45 pairs mapped after the tracker's snapshot were added (B4, B6, CooLinens Cooling); price history BFCM 2025 history for the 6 new ASINs came from the market data (price history.csv). The market data list reads each rival's seed ASIN, often a different variation from the child tracked here, so its price, rank and reviews are shown beside the child figures, not in place of them.</t>
        </is>
      </c>
    </row>
    <row r="31">
      <c r="A31" s="138" t="inlineStr">
        <is>
          <t>Competitor price, newest</t>
        </is>
      </c>
      <c r="B31" s="138" t="inlineStr">
        <is>
          <t>2026-10-14</t>
        </is>
      </c>
      <c r="C31" s="138" t="n">
        <v>579</v>
      </c>
      <c r="D31" s="139" t="inlineStr">
        <is>
          <t>Current</t>
        </is>
      </c>
      <c r="E31" s="138" t="inlineStr"/>
      <c r="F31" s="138" t="inlineStr">
        <is>
          <t>Price column uses the Amazon page price for that exact ASIN where checked; 81 had changed since the market data snapshot and the cell comment keeps the older price. The page price matched the tracked child in 493 of 549 checkable rows on Oct 13-14.</t>
        </is>
      </c>
    </row>
    <row r="32">
      <c r="A32" s="138" t="inlineStr">
        <is>
          <t>Competitor image, size and colour (US)</t>
        </is>
      </c>
      <c r="B32" s="138" t="inlineStr">
        <is>
          <t>2026-10-14</t>
        </is>
      </c>
      <c r="C32" s="138" t="n">
        <v>253</v>
      </c>
      <c r="D32" s="139" t="inlineStr">
        <is>
          <t>Current</t>
        </is>
      </c>
      <c r="E32" s="138" t="inlineStr"/>
      <c r="F32" s="138" t="inlineStr">
        <is>
          <t>257 US competitor ASINs that lacked an image, size or colour were checked on their own Amazon page (signed out, ZIP 10001). 253 kept their ASIN; 4 redirected to another ASIN and are left blank, not substituted (B0DG2HRZKK, B09G8P3X6L, B0D4PKVNWB, B0D1RBXBNG). Fills 165 of the 169 missing images. Size and colour come from the page's variation attributes, never the title. Brand and parent now follow Amazon as of Oct 14: B07M67HRKS is WETCAT (market data: Chakir Turkish) and B0D59BMBK7 is Fafua (CC: NORTHERN BROTHERS); 28 competitors have a new parent ASIN (Amazon re-parented them; the old market data parent is kept in the cell comment). price history (market data) confirmed both brands and agreed with the page on all 11 tracked ASINs where price history lists a parent; the other 17 rest on the page alone.</t>
        </is>
      </c>
    </row>
    <row r="33">
      <c r="A33" s="138" t="inlineStr">
        <is>
          <t>Our product photos (web dashboard)</t>
        </is>
      </c>
      <c r="B33" s="138" t="inlineStr">
        <is>
          <t>2026-10-15</t>
        </is>
      </c>
      <c r="C33" s="138" t="n">
        <v>1977</v>
      </c>
      <c r="D33" s="140" t="inlineStr">
        <is>
          <t>Partial</t>
        </is>
      </c>
      <c r="E33" s="138" t="inlineStr"/>
      <c r="F33" s="138" t="inlineStr">
        <is>
          <t>Parts 1 and 2: 1,977 exact-ASIN main images of our 2,834 listed child ASINs (956 US, 1,021 CA), all checked as 200 px RGB JPEGs matching the manifest; all 45 best-selling children covered. Sources: 1,838 fresh Amazon page, 134 cached price history main image, exact ASIN and marketplace, 5 saved Amazon page. Not available: 857 (548 HTTP 404 on the exact page, 309 page showed another ASIN), never filled with a placeholder or another ASIN.US and CA share the same listing for the same ASIN, so where one marketplace has no photo the other marketplace's photo of that SAME ASIN is used (flagged in the cell comment and on the dashboard tile); a different ASIN is never used. Anything still without a photo shows the COMING SOON picture. In the workbook our images come from the catalog data / catalog image URLs.</t>
        </is>
      </c>
    </row>
    <row r="34">
      <c r="A34" s="138" t="inlineStr">
        <is>
          <t>Canada competitors</t>
        </is>
      </c>
      <c r="B34" s="138" t="inlineStr">
        <is>
          <t>2026-10-13</t>
        </is>
      </c>
      <c r="C34" s="138" t="n">
        <v>83</v>
      </c>
      <c r="D34" s="140" t="inlineStr">
        <is>
          <t>Partial</t>
        </is>
      </c>
      <c r="E34" s="138" t="inlineStr"/>
      <c r="F34" s="138" t="inlineStr">
        <is>
          <t>Page-1 organic results per product keyword, same material and piece count, Queen selected (2 King), CAD, logged out Toronto. 15 rivals each for DC B4, S4, S6, SSS4 (reuses S4) and Satin Fitted; 8 for DC B6 (only 8 qualifying 6-piece bamboo sets). No market data fields (weekly units, search data) exist for Canada; price history BFCM 2025 history follows after the US pulls. Our Canadian comparison price is the live Amazon.ca price from catalog price (Oct 14, CAD).</t>
        </is>
      </c>
    </row>
    <row r="35">
      <c r="A35" s="138" t="inlineStr">
        <is>
          <t>Competitors' BFCM 2025 history (Canada)</t>
        </is>
      </c>
      <c r="B35" s="138" t="inlineStr">
        <is>
          <t>Nov 1 - Dec 5, 2025</t>
        </is>
      </c>
      <c r="C35" s="138" t="n">
        <v>68</v>
      </c>
      <c r="D35" s="139" t="inlineStr">
        <is>
          <t>Exact</t>
        </is>
      </c>
      <c r="E35" s="138" t="inlineStr"/>
      <c r="F35" s="138" t="inlineStr">
        <is>
          <t>68 of 68 Canadian competitor ASINs delivered (Amazon.ca, domain 6, CAD); 0 still being pulled. Kept apart from the US history: 7 of these ASINs also sell in the US at different prices, and earlier builds showed their US figures on the Canada tabs. B0FNR1QR4J now redirects to B0FNQW1YT4 and is not substituted.</t>
        </is>
      </c>
    </row>
    <row r="36">
      <c r="A36" s="138" t="inlineStr">
        <is>
          <t>Competitors' BFCM 2025 history (US)</t>
        </is>
      </c>
      <c r="B36" s="138" t="inlineStr">
        <is>
          <t>Nov 1 - Dec 5, 2025</t>
        </is>
      </c>
      <c r="C36" s="138" t="n">
        <v>316</v>
      </c>
      <c r="D36" s="140" t="inlineStr">
        <is>
          <t>Partial</t>
        </is>
      </c>
      <c r="E36" s="138" t="inlineStr"/>
      <c r="F36" s="138" t="inlineStr">
        <is>
          <t>316 US competitor ASINs pulled (P1 70 + P2 240, complete); 26 US rows without a BFCM 2025 result (ASINs price history has no history for). Spot-checked Oct 14 against the market data's own price history (price history): Buy Box, List Price, Lightning Deal, Prime Exclusive and coupon days identical; daily rank values differ slightly because reads 23:59 UTC and the market data reads per Eastern day. Pre-event = Nov 1-19 (pull starts Nov 1), BFCM = Nov 20 - Dec 1. Daily end-of-day state, so a deal of a few hours can be missed. Coupons are listed, not netted into the low price.</t>
        </is>
      </c>
    </row>
    <row r="37"/>
    <row r="38">
      <c r="A38" s="142" t="inlineStr">
        <is>
          <t>Spot check: Amazon search 'DECOLURE 100% Viscose from Bamboo Sheets King Size | 6 Pc Cooling Bed Set' (screenshot, Oct 13, 2026)</t>
        </is>
      </c>
    </row>
    <row r="39">
      <c r="A39" s="137" t="inlineStr">
        <is>
          <t>Listing on the search page</t>
        </is>
      </c>
      <c r="B39" s="137" t="inlineStr">
        <is>
          <t>Page price ($)</t>
        </is>
      </c>
      <c r="C39" s="137" t="inlineStr">
        <is>
          <t>Page rating / reviews</t>
        </is>
      </c>
      <c r="D39" s="137" t="inlineStr">
        <is>
          <t>Tracker price ($)</t>
        </is>
      </c>
      <c r="E39" s="137" t="inlineStr">
        <is>
          <t>Tracker rating / reviews</t>
        </is>
      </c>
      <c r="F39" s="137" t="inlineStr">
        <is>
          <t>Price match?</t>
        </is>
      </c>
      <c r="G39" s="137" t="inlineStr">
        <is>
          <t>Finding</t>
        </is>
      </c>
    </row>
    <row r="40">
      <c r="A40" s="138" t="inlineStr">
        <is>
          <t>DECOLURE Bamboo 6 Pc, King (B0CQ2XQF9N)</t>
        </is>
      </c>
      <c r="B40" s="143" t="n">
        <v>99.98999999999999</v>
      </c>
      <c r="C40" s="138" t="inlineStr">
        <is>
          <t>4.4 / 3.1K</t>
        </is>
      </c>
      <c r="D40" s="143" t="n">
        <v>99.98999999999999</v>
      </c>
      <c r="E40" s="138" t="inlineStr">
        <is>
          <t>4.4 / 3153.0</t>
        </is>
      </c>
      <c r="F40" s="138">
        <f>IF(OR(B40="",D40=""),"n/a",IF(ABS(B40-D40)&lt;0.01,"Match","Differs"))</f>
        <v/>
      </c>
      <c r="G40" s="138" t="inlineStr">
        <is>
          <t>Tracker now uses the live price (catalog price, 2026-10-13). market data fee feed still says $89.99 (2026-03-30) - stale, no longer used for comparisons.</t>
        </is>
      </c>
    </row>
    <row r="41">
      <c r="A41" s="138" t="inlineStr">
        <is>
          <t>DECOLURE Bamboo 4 Pc, King (B08KQHRDDG)</t>
        </is>
      </c>
      <c r="B41" s="143" t="n">
        <v>94.98999999999999</v>
      </c>
      <c r="C41" s="138" t="inlineStr">
        <is>
          <t>4.5 / 5.9K</t>
        </is>
      </c>
      <c r="D41" s="143" t="n">
        <v>94.98999999999999</v>
      </c>
      <c r="E41" s="138" t="inlineStr">
        <is>
          <t>4.5 / 5972.0</t>
        </is>
      </c>
      <c r="F41" s="138">
        <f>IF(OR(B41="",D41=""),"n/a",IF(ABS(B41-D41)&lt;0.01,"Match","Differs"))</f>
        <v/>
      </c>
      <c r="G41" s="138" t="inlineStr">
        <is>
          <t>Live price from catalog price, 2026-10-13. market data fee feed: $79.99 (2026-03-30) - stale.</t>
        </is>
      </c>
    </row>
    <row r="42">
      <c r="A42" s="138" t="inlineStr">
        <is>
          <t>DECOLURE Cooling 4pcs, King Purple (B0C9LS8Z18)</t>
        </is>
      </c>
      <c r="B42" s="143" t="n">
        <v>37.95</v>
      </c>
      <c r="C42" s="138" t="inlineStr">
        <is>
          <t>4.2 / 1.2K</t>
        </is>
      </c>
      <c r="D42" s="143" t="n">
        <v>37.95</v>
      </c>
      <c r="E42" s="138" t="inlineStr">
        <is>
          <t>4.2 / 1,296</t>
        </is>
      </c>
      <c r="F42" s="138">
        <f>IF(OR(B42="",D42=""),"n/a",IF(ABS(B42-D42)&lt;0.01,"Match","Differs"))</f>
        <v/>
      </c>
      <c r="G42" s="138" t="inlineStr">
        <is>
          <t>Live price from catalog price, 2026-10-13.</t>
        </is>
      </c>
    </row>
    <row r="43">
      <c r="A43" s="138" t="inlineStr">
        <is>
          <t>Pure Bamboo, King (B07DZTQ4JC)</t>
        </is>
      </c>
      <c r="B43" s="143" t="n">
        <v>109.99</v>
      </c>
      <c r="C43" s="138" t="inlineStr">
        <is>
          <t>4.5 / 21.9K</t>
        </is>
      </c>
      <c r="D43" s="143" t="n">
        <v>109.99</v>
      </c>
      <c r="E43" s="138" t="inlineStr">
        <is>
          <t>4.5 / 21927</t>
        </is>
      </c>
      <c r="F43" s="138">
        <f>IF(OR(B43="",D43=""),"n/a",IF(ABS(B43-D43)&lt;0.01,"Match","Differs"))</f>
        <v/>
      </c>
      <c r="G43" s="138" t="inlineStr">
        <is>
          <t>Exact match (market data 2026-10-12).</t>
        </is>
      </c>
    </row>
    <row r="44">
      <c r="A44" s="138" t="inlineStr">
        <is>
          <t>Bamboo Bay 6 Piece, King</t>
        </is>
      </c>
      <c r="B44" s="143" t="n">
        <v>89.98999999999999</v>
      </c>
      <c r="C44" s="138" t="inlineStr">
        <is>
          <t>4.5 / 2.6K</t>
        </is>
      </c>
      <c r="D44" s="143" t="n">
        <v>79.98</v>
      </c>
      <c r="E44" s="138" t="inlineStr">
        <is>
          <t>4.5 / 2691</t>
        </is>
      </c>
      <c r="F44" s="138">
        <f>IF(OR(B44="",D44=""),"n/a",IF(ABS(B44-D44)&lt;0.01,"Match","Differs"))</f>
        <v/>
      </c>
      <c r="G44" s="138" t="inlineStr">
        <is>
          <t>Same family (reviews match). Tracker prices tracked child B07TBHLZJM (Queen), not the King 6 Pc shown on the page.</t>
        </is>
      </c>
    </row>
    <row r="45">
      <c r="A45" s="138" t="inlineStr">
        <is>
          <t>Bamboo Bay 6 Piece, King ($27.99/count)</t>
        </is>
      </c>
      <c r="B45" s="143" t="n">
        <v>111.94</v>
      </c>
      <c r="C45" s="138" t="inlineStr">
        <is>
          <t>4.4 / 739</t>
        </is>
      </c>
      <c r="D45" s="143" t="n">
        <v>89.98</v>
      </c>
      <c r="E45" s="138" t="inlineStr">
        <is>
          <t>4.4 / 739</t>
        </is>
      </c>
      <c r="F45" s="138">
        <f>IF(OR(B45="",D45=""),"n/a",IF(ABS(B45-D45)&lt;0.01,"Match","Differs"))</f>
        <v/>
      </c>
      <c r="G45" s="138" t="inlineStr">
        <is>
          <t>Same family (739 reviews). Tracked child B08M9QK14J is a 4 Piece Queen, so the price differs by design; compare on the same-size basis.</t>
        </is>
      </c>
    </row>
    <row r="46">
      <c r="A46" s="138" t="inlineStr">
        <is>
          <t>Bella Coterie 6 Piece, King</t>
        </is>
      </c>
      <c r="B46" s="143" t="n">
        <v>194.99</v>
      </c>
      <c r="C46" s="138" t="inlineStr">
        <is>
          <t>4.4 / 5.8K</t>
        </is>
      </c>
      <c r="D46" s="143" t="n">
        <v>154.99</v>
      </c>
      <c r="E46" s="138" t="inlineStr">
        <is>
          <t>4.4 / 5871</t>
        </is>
      </c>
      <c r="F46" s="138">
        <f>IF(OR(B46="",D46=""),"n/a",IF(ABS(B46-D46)&lt;0.01,"Match","Differs"))</f>
        <v/>
      </c>
      <c r="G46" s="138" t="inlineStr">
        <is>
          <t>Same family. Tracked child B08L86VLZB is another size/pack; it also moved from $154.99 (Oct 12) to $169.99 on the Oct 13 page check.</t>
        </is>
      </c>
    </row>
    <row r="47">
      <c r="A47" s="138" t="inlineStr">
        <is>
          <t>TWK Real 100% Viscose, King</t>
        </is>
      </c>
      <c r="B47" s="143" t="n">
        <v>79</v>
      </c>
      <c r="C47" s="138" t="inlineStr">
        <is>
          <t>5.0 / 76</t>
        </is>
      </c>
      <c r="D47" s="143" t="n"/>
      <c r="E47" s="138" t="inlineStr">
        <is>
          <t>not in map</t>
        </is>
      </c>
      <c r="F47" s="138">
        <f>IF(OR(B47="",D47=""),"n/a",IF(ABS(B47-D47)&lt;0.01,"Match","Differs"))</f>
        <v/>
      </c>
      <c r="G47" s="138" t="inlineStr">
        <is>
          <t>Shows List $99.00, 'Limited time deal' and a 10% coupon. No TWK row in the map has 76 reviews - likely a TWK listing not yet mapped. Add it to the competitor map.</t>
        </is>
      </c>
    </row>
    <row r="48">
      <c r="A48" s="138" t="inlineStr">
        <is>
          <t>DECOLURE Bamboo 6 Pc, California King</t>
        </is>
      </c>
      <c r="B48" s="143" t="n">
        <v>106.99</v>
      </c>
      <c r="C48" s="138" t="inlineStr">
        <is>
          <t>3.5 / 16</t>
        </is>
      </c>
      <c r="D48" s="143" t="n"/>
      <c r="E48" s="138" t="inlineStr">
        <is>
          <t>not matched</t>
        </is>
      </c>
      <c r="F48" s="138">
        <f>IF(OR(B48="",D48=""),"n/a",IF(ABS(B48-D48)&lt;0.01,"Match","Differs"))</f>
        <v/>
      </c>
      <c r="G48" s="138" t="inlineStr">
        <is>
          <t>Our own detail page with only 16 reviews - looks split from the main family (B6 now sits under parent B0H6335KNV). Check the variation family in Seller Central.</t>
        </is>
      </c>
    </row>
    <row r="49">
      <c r="A49" s="138" t="inlineStr">
        <is>
          <t>DECOLURE Bamboo 6 Pc, Full</t>
        </is>
      </c>
      <c r="B49" s="143" t="n">
        <v>79.98999999999999</v>
      </c>
      <c r="C49" s="138" t="inlineStr">
        <is>
          <t>4.2 / 27</t>
        </is>
      </c>
      <c r="D49" s="143" t="n"/>
      <c r="E49" s="138" t="inlineStr">
        <is>
          <t>not matched</t>
        </is>
      </c>
      <c r="F49" s="138">
        <f>IF(OR(B49="",D49=""),"n/a",IF(ABS(B49-D49)&lt;0.01,"Match","Differs"))</f>
        <v/>
      </c>
      <c r="G49" s="138" t="inlineStr">
        <is>
          <t>Same as above: an own listing with 27 reviews, outside the main review pool.</t>
        </is>
      </c>
    </row>
    <row r="50"/>
    <row r="51">
      <c r="A51" s="144" t="inlineStr">
        <is>
          <t>Page values typed from the screenshot (Source: Amazon.com search, Oct 13, 2026). 'Differs' on a competitor is expected when the tracked child is a different size; it is an error only for the same ASIN.</t>
        </is>
      </c>
    </row>
  </sheetData>
  <conditionalFormatting sqref="F40:F49">
    <cfRule type="expression" priority="1" dxfId="1">
      <formula>F40="Match"</formula>
    </cfRule>
    <cfRule type="expression" priority="2" dxfId="3">
      <formula>F40="Differs"</formula>
    </cfRule>
  </conditionalFormatting>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40" customWidth="1" min="1" max="1"/>
    <col width="50" customWidth="1" min="2" max="2"/>
    <col width="50" customWidth="1" min="3" max="3"/>
  </cols>
  <sheetData>
    <row r="1">
      <c r="A1" s="137" t="inlineStr">
        <is>
          <t>Gap</t>
        </is>
      </c>
      <c r="B1" s="137" t="inlineStr">
        <is>
          <t>Why it matters</t>
        </is>
      </c>
    </row>
    <row r="2">
      <c r="A2" s="138" t="inlineStr">
        <is>
          <t>Competitors' BFCM 2025 deal type, dates, prices, discount, BSR change</t>
        </is>
      </c>
      <c r="B2" s="138" t="inlineStr">
        <is>
          <t>Core of the lift forecast and deal-depth benchmark</t>
        </is>
      </c>
    </row>
    <row r="3">
      <c r="A3" s="138" t="inlineStr">
        <is>
          <t>Competitor variation detail: every child ASIN with colour, size, price and image</t>
        </is>
      </c>
      <c r="B3" s="138" t="inlineStr">
        <is>
          <t>market data and catalog data hold one tracked child per competitor plus the variation count only</t>
        </is>
      </c>
    </row>
    <row r="4">
      <c r="A4" s="138" t="inlineStr">
        <is>
          <t>Competitor images missing: 12 competitor rows</t>
        </is>
      </c>
      <c r="B4" s="138" t="inlineStr">
        <is>
          <t>No verified image URL in catalog data for these ASINs</t>
        </is>
      </c>
    </row>
    <row r="5">
      <c r="A5" s="138" t="inlineStr">
        <is>
          <t>Whether the strikethrough shows today, and its label</t>
        </is>
      </c>
      <c r="B5" s="138" t="inlineStr">
        <is>
          <t>market data holds List Price, not whether Amazon shows it</t>
        </is>
      </c>
    </row>
    <row r="6">
      <c r="A6" s="138" t="inlineStr">
        <is>
          <t>Canada competitor set</t>
        </is>
      </c>
      <c r="B6" s="138" t="inlineStr">
        <is>
          <t>No Amazon.ca competitor snapshots in the market data</t>
        </is>
      </c>
    </row>
    <row r="7">
      <c r="A7" s="138" t="inlineStr">
        <is>
          <t>Our BFCM 2025 deals and stock-outs</t>
        </is>
      </c>
      <c r="B7" s="138" t="inlineStr">
        <is>
          <t>To read our 2025 lift fairly</t>
        </is>
      </c>
    </row>
    <row r="8">
      <c r="A8" s="138" t="inlineStr">
        <is>
          <t>Our 2026 deal plan per product</t>
        </is>
      </c>
      <c r="B8" s="138" t="inlineStr">
        <is>
          <t>Undercut flags and the forecast scenario</t>
        </is>
      </c>
    </row>
    <row r="9">
      <c r="A9" s="138" t="inlineStr">
        <is>
          <t>Image files for the web dashboard</t>
        </is>
      </c>
      <c r="B9" s="138" t="inlineStr">
        <is>
          <t>The web dashboard cannot load images from Amazon; it needs the files</t>
        </is>
      </c>
    </row>
    <row r="10"/>
    <row r="11">
      <c r="A11" s="145" t="inlineStr">
        <is>
          <t>Competitor rows with no verified image</t>
        </is>
      </c>
    </row>
    <row r="12">
      <c r="A12" s="146" t="inlineStr">
        <is>
          <t>CL Cooling Sheets</t>
        </is>
      </c>
      <c r="B12" s="146" t="inlineStr">
        <is>
          <t>David's Home</t>
        </is>
      </c>
      <c r="C12" s="146" t="inlineStr">
        <is>
          <t>B0D1RBXBNG</t>
        </is>
      </c>
    </row>
    <row r="13">
      <c r="A13" s="146" t="inlineStr">
        <is>
          <t>CL Cooling Sheets</t>
        </is>
      </c>
      <c r="B13" s="146" t="inlineStr">
        <is>
          <t>Shilucheng</t>
        </is>
      </c>
      <c r="C13" s="146" t="inlineStr">
        <is>
          <t>B0FWY1TGFK</t>
        </is>
      </c>
    </row>
    <row r="14">
      <c r="A14" s="146" t="inlineStr">
        <is>
          <t>DC B4</t>
        </is>
      </c>
      <c r="B14" s="146" t="inlineStr">
        <is>
          <t>TOSMO</t>
        </is>
      </c>
      <c r="C14" s="146" t="inlineStr">
        <is>
          <t>B0DWXNH24Z</t>
        </is>
      </c>
    </row>
    <row r="15">
      <c r="A15" s="146" t="inlineStr">
        <is>
          <t>DC B4</t>
        </is>
      </c>
      <c r="B15" s="146" t="inlineStr">
        <is>
          <t>TWK</t>
        </is>
      </c>
      <c r="C15" s="146" t="inlineStr">
        <is>
          <t>B0G1N59S1Q</t>
        </is>
      </c>
    </row>
    <row r="16">
      <c r="A16" s="146" t="inlineStr">
        <is>
          <t>DC B6</t>
        </is>
      </c>
      <c r="B16" s="146" t="inlineStr">
        <is>
          <t>TOSMO</t>
        </is>
      </c>
      <c r="C16" s="146" t="inlineStr">
        <is>
          <t>B0DWXNH24Z</t>
        </is>
      </c>
    </row>
    <row r="17">
      <c r="A17" s="146" t="inlineStr">
        <is>
          <t>DC B6</t>
        </is>
      </c>
      <c r="B17" s="146" t="inlineStr">
        <is>
          <t>TWK</t>
        </is>
      </c>
      <c r="C17" s="146" t="inlineStr">
        <is>
          <t>B0G1N59S1Q</t>
        </is>
      </c>
    </row>
    <row r="18">
      <c r="A18" s="146" t="inlineStr">
        <is>
          <t>DC Cooling 4pc</t>
        </is>
      </c>
      <c r="B18" s="146" t="inlineStr">
        <is>
          <t>David's Home</t>
        </is>
      </c>
      <c r="C18" s="146" t="inlineStr">
        <is>
          <t>B0D1RBXBNG</t>
        </is>
      </c>
    </row>
    <row r="19">
      <c r="A19" s="146" t="inlineStr">
        <is>
          <t>DC Satin Fitted</t>
        </is>
      </c>
      <c r="B19" s="146" t="inlineStr">
        <is>
          <t>Bedsure</t>
        </is>
      </c>
      <c r="C19" s="146" t="inlineStr">
        <is>
          <t>B0DG2HRZKK</t>
        </is>
      </c>
    </row>
    <row r="20">
      <c r="A20" s="146" t="inlineStr">
        <is>
          <t>DC Silk Pillowcase</t>
        </is>
      </c>
      <c r="B20" s="146" t="inlineStr">
        <is>
          <t>RENESSY</t>
        </is>
      </c>
      <c r="C20" s="146" t="inlineStr">
        <is>
          <t>B09G8P3X6L</t>
        </is>
      </c>
    </row>
    <row r="21">
      <c r="A21" s="146" t="inlineStr">
        <is>
          <t>SL Cooling 4pc</t>
        </is>
      </c>
      <c r="B21" s="146" t="inlineStr">
        <is>
          <t>David's Home</t>
        </is>
      </c>
      <c r="C21" s="146" t="inlineStr">
        <is>
          <t>B0D1RBXBNG</t>
        </is>
      </c>
    </row>
    <row r="22">
      <c r="A22" s="146" t="inlineStr">
        <is>
          <t>SL Cooling 6pc</t>
        </is>
      </c>
      <c r="B22" s="146" t="inlineStr">
        <is>
          <t>David's Home</t>
        </is>
      </c>
      <c r="C22" s="146" t="inlineStr">
        <is>
          <t>B0D1RBXBNG</t>
        </is>
      </c>
    </row>
    <row r="23">
      <c r="A23" s="146" t="inlineStr">
        <is>
          <t>SL Mask Velcro</t>
        </is>
      </c>
      <c r="B23" s="146" t="inlineStr">
        <is>
          <t>YFONG</t>
        </is>
      </c>
      <c r="C23" s="146" t="inlineStr">
        <is>
          <t>B0D4PKVNWB</t>
        </is>
      </c>
    </row>
  </sheetData>
  <pageMargins left="0.75" right="0.75" top="1" bottom="1" header="0.5" footer="0.5"/>
</worksheet>
</file>

<file path=xl/worksheets/sheet41.xml><?xml version="1.0" encoding="utf-8"?>
<worksheet xmlns="http://schemas.openxmlformats.org/spreadsheetml/2006/main">
  <sheetPr>
    <tabColor rgb="00BFBFBF"/>
    <outlinePr summaryBelow="1" summaryRight="1"/>
    <pageSetUpPr/>
  </sheetPr>
  <dimension ref="A1:AK745"/>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147" t="inlineStr">
        <is>
          <t>match</t>
        </is>
      </c>
      <c r="B1" s="147" t="inlineStr">
        <is>
          <t>seq</t>
        </is>
      </c>
      <c r="C1" s="147" t="inlineStr">
        <is>
          <t>pid</t>
        </is>
      </c>
      <c r="D1" s="147" t="inlineStr">
        <is>
          <t>Product</t>
        </is>
      </c>
      <c r="E1" s="147" t="inlineStr">
        <is>
          <t>Marketplace</t>
        </is>
      </c>
      <c r="F1" s="147" t="inlineStr">
        <is>
          <t>Family</t>
        </is>
      </c>
      <c r="G1" s="147" t="inlineStr">
        <is>
          <t>Brand</t>
        </is>
      </c>
      <c r="H1" s="147" t="inlineStr">
        <is>
          <t>Tier</t>
        </is>
      </c>
      <c r="I1" s="147" t="inlineStr">
        <is>
          <t>Title</t>
        </is>
      </c>
      <c r="J1" s="147" t="inlineStr">
        <is>
          <t>Image URL</t>
        </is>
      </c>
      <c r="K1" s="147" t="inlineStr">
        <is>
          <t>Parent ASIN</t>
        </is>
      </c>
      <c r="L1" s="147" t="inlineStr">
        <is>
          <t>Child ASIN</t>
        </is>
      </c>
      <c r="M1" s="147" t="inlineStr">
        <is>
          <t>Variations</t>
        </is>
      </c>
      <c r="N1" s="147" t="inlineStr">
        <is>
          <t>Price</t>
        </is>
      </c>
      <c r="O1" s="147" t="inlineStr">
        <is>
          <t>List Price</t>
        </is>
      </c>
      <c r="P1" s="147" t="inlineStr">
        <is>
          <t>List % over</t>
        </is>
      </c>
      <c r="Q1" s="147" t="inlineStr">
        <is>
          <t>Our price same size</t>
        </is>
      </c>
      <c r="R1" s="147" t="inlineStr">
        <is>
          <t>Gap vs ours</t>
        </is>
      </c>
      <c r="S1" s="147" t="inlineStr">
        <is>
          <t>BSR</t>
        </is>
      </c>
      <c r="T1" s="147" t="inlineStr">
        <is>
          <t>Est weekly units</t>
        </is>
      </c>
      <c r="U1" s="147" t="inlineStr">
        <is>
          <t>Rating</t>
        </is>
      </c>
      <c r="V1" s="147" t="inlineStr">
        <is>
          <t>Reviews</t>
        </is>
      </c>
      <c r="W1" s="147" t="inlineStr">
        <is>
          <t>Search traffic</t>
        </is>
      </c>
      <c r="X1" s="147" t="inlineStr">
        <is>
          <t>Organic share</t>
        </is>
      </c>
      <c r="Y1" s="147" t="inlineStr">
        <is>
          <t>We win</t>
        </is>
      </c>
      <c r="Z1" s="147" t="inlineStr">
        <is>
          <t>We lose</t>
        </is>
      </c>
      <c r="AA1" s="147" t="inlineStr">
        <is>
          <t>KWs they advertise we don't</t>
        </is>
      </c>
      <c r="AB1" s="147" t="inlineStr">
        <is>
          <t>PD26 vis lift</t>
        </is>
      </c>
      <c r="AC1" s="147" t="inlineStr">
        <is>
          <t>Tab</t>
        </is>
      </c>
      <c r="AD1" s="147" t="inlineStr">
        <is>
          <t>BFCM25 discount</t>
        </is>
      </c>
      <c r="AE1" s="147" t="inlineStr">
        <is>
          <t>BFCM25 BSR lift</t>
        </is>
      </c>
      <c r="AF1" s="147" t="inlineStr">
        <is>
          <t>Size</t>
        </is>
      </c>
      <c r="AG1" s="147" t="inlineStr">
        <is>
          <t>Colour</t>
        </is>
      </c>
      <c r="AH1" s="147" t="inlineStr">
        <is>
          <t>match CA</t>
        </is>
      </c>
      <c r="AI1" s="147" t="inlineStr">
        <is>
          <t>seq CA</t>
        </is>
      </c>
      <c r="AJ1" s="147" t="inlineStr">
        <is>
          <t>Competitor type</t>
        </is>
      </c>
      <c r="AK1" s="147" t="inlineStr">
        <is>
          <t>Why this type</t>
        </is>
      </c>
    </row>
    <row r="2">
      <c r="A2" s="148">
        <f>AND(E2="US",OR('US Dashboard'!$C$4="All",'US Dashboard'!$C$4=D2),OR('US Dashboard'!$C$5="All",'US Dashboard'!$C$5=G2),OR('US Dashboard'!$C$6="All",'US Dashboard'!$C$6=H2),OR('US Dashboard'!$C$7="All",'US Dashboard'!$C$7=F2),OR('US Dashboard'!$C$8="All",'US Dashboard'!$C$8=AJ2))</f>
        <v/>
      </c>
      <c r="B2" s="148">
        <f>IF(A2,0+1,0)</f>
        <v/>
      </c>
      <c r="C2" s="148" t="n">
        <v>59</v>
      </c>
      <c r="D2" s="148" t="inlineStr">
        <is>
          <t>DC B4</t>
        </is>
      </c>
      <c r="E2" s="148" t="inlineStr">
        <is>
          <t>US</t>
        </is>
      </c>
      <c r="F2" s="148" t="inlineStr">
        <is>
          <t>Bamboo</t>
        </is>
      </c>
      <c r="G2" s="148" t="inlineStr">
        <is>
          <t>Bedsure</t>
        </is>
      </c>
      <c r="H2" s="148" t="inlineStr">
        <is>
          <t>Aspirational</t>
        </is>
      </c>
      <c r="I2" s="148" t="inlineStr">
        <is>
          <t>Bedsure PureWoven 100% Rayon Derived from Bamboo, Queen Sheets, 4 Pieces</t>
        </is>
      </c>
      <c r="J2" s="148" t="inlineStr">
        <is>
          <t>https://images-na.ssl-images-amazon.com/images/I/81L2xb5ly6L.jpg</t>
        </is>
      </c>
      <c r="K2" s="148" t="inlineStr">
        <is>
          <t>B0BZ8T5BJ6</t>
        </is>
      </c>
      <c r="L2" s="148" t="inlineStr">
        <is>
          <t>B07YK8VTJV</t>
        </is>
      </c>
      <c r="M2" s="148" t="n">
        <v>131</v>
      </c>
      <c r="N2" s="148" t="n">
        <v>62.99</v>
      </c>
      <c r="O2" s="148" t="n">
        <v>69.98999999999999</v>
      </c>
      <c r="P2" s="148">
        <f>IF(AND(ISNUMBER(O2),ISNUMBER(N2),N(N2)&gt;0),O2/N2-1,"")</f>
        <v/>
      </c>
      <c r="Q2" s="148" t="n">
        <v>89.98999999999999</v>
      </c>
      <c r="R2" s="148">
        <f>IF(AND(ISNUMBER(N2),ISNUMBER(Q2),N(Q2)&gt;0),N2/Q2-1,"")</f>
        <v/>
      </c>
      <c r="S2" s="148" t="n">
        <v>256</v>
      </c>
      <c r="T2" s="148" t="n">
        <v>809</v>
      </c>
      <c r="U2" s="148" t="n">
        <v>4.4</v>
      </c>
      <c r="V2" s="148" t="n">
        <v>65061</v>
      </c>
      <c r="W2" s="148" t="n">
        <v>2166046</v>
      </c>
      <c r="X2" s="148" t="n">
        <v>0.5902383405984899</v>
      </c>
      <c r="Y2" s="148" t="n">
        <v>122</v>
      </c>
      <c r="Z2" s="148" t="n">
        <v>1398</v>
      </c>
      <c r="AA2" s="148" t="n">
        <v>2984</v>
      </c>
      <c r="AB2" s="148" t="n">
        <v>1.066623404715553</v>
      </c>
      <c r="AC2" s="148" t="inlineStr">
        <is>
          <t>US DC B4</t>
        </is>
      </c>
      <c r="AD2" s="148">
        <f>'US DC B4'!BF125</f>
        <v/>
      </c>
      <c r="AE2" s="148">
        <f>'US DC B4'!BI125</f>
        <v/>
      </c>
      <c r="AF2" s="148" t="inlineStr">
        <is>
          <t>Queen</t>
        </is>
      </c>
      <c r="AG2" s="148" t="inlineStr">
        <is>
          <t>02 - White</t>
        </is>
      </c>
      <c r="AH2" s="148">
        <f>AND(E2="CA",OR('CA Dashboard'!$C$4="All",'CA Dashboard'!$C$4=D2),OR('CA Dashboard'!$C$5="All",'CA Dashboard'!$C$5=G2),OR('CA Dashboard'!$C$6="All",'CA Dashboard'!$C$6=H2),OR('CA Dashboard'!$C$7="All",'CA Dashboard'!$C$7=F2),OR('CA Dashboard'!$C$8="All",'CA Dashboard'!$C$8=AJ2))</f>
        <v/>
      </c>
      <c r="AI2" s="148">
        <f>IF(AH2,0+1,0)</f>
        <v/>
      </c>
      <c r="AJ2" s="148" t="inlineStr">
        <is>
          <t>Direct</t>
        </is>
      </c>
      <c r="AK2" s="148" t="inlineStr">
        <is>
          <t>Same product (sheet set) in the same material family: Bamboo viscose (product page material: Rayon Derived from Bamboo); ours: our listing: viscose from bamboo.</t>
        </is>
      </c>
    </row>
    <row r="3">
      <c r="A3" s="148">
        <f>AND(E3="US",OR('US Dashboard'!$C$4="All",'US Dashboard'!$C$4=D3),OR('US Dashboard'!$C$5="All",'US Dashboard'!$C$5=G3),OR('US Dashboard'!$C$6="All",'US Dashboard'!$C$6=H3),OR('US Dashboard'!$C$7="All",'US Dashboard'!$C$7=F3),OR('US Dashboard'!$C$8="All",'US Dashboard'!$C$8=AJ3))</f>
        <v/>
      </c>
      <c r="B3" s="148">
        <f>IF(A3,B2+1,B2)</f>
        <v/>
      </c>
      <c r="C3" s="148" t="n">
        <v>59</v>
      </c>
      <c r="D3" s="148" t="inlineStr">
        <is>
          <t>DC B4</t>
        </is>
      </c>
      <c r="E3" s="148" t="inlineStr">
        <is>
          <t>US</t>
        </is>
      </c>
      <c r="F3" s="148" t="inlineStr">
        <is>
          <t>Bamboo</t>
        </is>
      </c>
      <c r="G3" s="148" t="inlineStr">
        <is>
          <t>Pure Bamboo</t>
        </is>
      </c>
      <c r="H3" s="148" t="inlineStr">
        <is>
          <t>Aspirational</t>
        </is>
      </c>
      <c r="I3" s="148" t="inlineStr">
        <is>
          <t>Pure Bamboo King Sheets, Genuine 100% Organic Viscose Derived from Bamboo Bed Sheet Set, Luxuriously Soft &amp; Cooling, Double Stitching, 2 Year Quality Promise (King, Ivory)</t>
        </is>
      </c>
      <c r="J3" s="148" t="inlineStr">
        <is>
          <t>https://images-na.ssl-images-amazon.com/images/I/91dfner9BkL.jpg</t>
        </is>
      </c>
      <c r="K3" s="148" t="inlineStr">
        <is>
          <t>B0CZQ52MTQ</t>
        </is>
      </c>
      <c r="L3" s="148" t="inlineStr">
        <is>
          <t>B07DZTQ4JC</t>
        </is>
      </c>
      <c r="M3" s="148" t="n">
        <v>181</v>
      </c>
      <c r="N3" s="148" t="n">
        <v>109.99</v>
      </c>
      <c r="O3" s="148" t="n"/>
      <c r="P3" s="148">
        <f>IF(AND(ISNUMBER(O3),ISNUMBER(N3),N(N3)&gt;0),O3/N3-1,"")</f>
        <v/>
      </c>
      <c r="Q3" s="148" t="n">
        <v>94.98999999999999</v>
      </c>
      <c r="R3" s="148">
        <f>IF(AND(ISNUMBER(N3),ISNUMBER(Q3),N(Q3)&gt;0),N3/Q3-1,"")</f>
        <v/>
      </c>
      <c r="S3" s="148" t="n">
        <v>304</v>
      </c>
      <c r="T3" s="148" t="n">
        <v>809</v>
      </c>
      <c r="U3" s="148" t="n">
        <v>4.5</v>
      </c>
      <c r="V3" s="148" t="n">
        <v>21927</v>
      </c>
      <c r="W3" s="148" t="n">
        <v>2565055</v>
      </c>
      <c r="X3" s="148" t="n">
        <v>0.4648594811807159</v>
      </c>
      <c r="Y3" s="148" t="n">
        <v>118</v>
      </c>
      <c r="Z3" s="148" t="n">
        <v>1357</v>
      </c>
      <c r="AA3" s="148" t="n">
        <v>3363</v>
      </c>
      <c r="AB3" s="148" t="n">
        <v>1.180104147961932</v>
      </c>
      <c r="AC3" s="148" t="inlineStr">
        <is>
          <t>US DC B4</t>
        </is>
      </c>
      <c r="AD3" s="148">
        <f>'US DC B4'!BF126</f>
        <v/>
      </c>
      <c r="AE3" s="148">
        <f>'US DC B4'!BI126</f>
        <v/>
      </c>
      <c r="AF3" s="148" t="inlineStr">
        <is>
          <t>King</t>
        </is>
      </c>
      <c r="AG3" s="148" t="inlineStr">
        <is>
          <t>Ivory</t>
        </is>
      </c>
      <c r="AH3" s="148">
        <f>AND(E3="CA",OR('CA Dashboard'!$C$4="All",'CA Dashboard'!$C$4=D3),OR('CA Dashboard'!$C$5="All",'CA Dashboard'!$C$5=G3),OR('CA Dashboard'!$C$6="All",'CA Dashboard'!$C$6=H3),OR('CA Dashboard'!$C$7="All",'CA Dashboard'!$C$7=F3),OR('CA Dashboard'!$C$8="All",'CA Dashboard'!$C$8=AJ3))</f>
        <v/>
      </c>
      <c r="AI3" s="148">
        <f>IF(AH3,AI2+1,AI2)</f>
        <v/>
      </c>
      <c r="AJ3" s="148" t="inlineStr">
        <is>
          <t>Direct</t>
        </is>
      </c>
      <c r="AK3" s="148" t="inlineStr">
        <is>
          <t>Same product (sheet set) in the same material family: Bamboo viscose (title: Pure Bamboo King Sheets, Genuine 100% Organic Viscose Derive); ours: our listing: viscose from bamboo.</t>
        </is>
      </c>
    </row>
    <row r="4">
      <c r="A4" s="148">
        <f>AND(E4="US",OR('US Dashboard'!$C$4="All",'US Dashboard'!$C$4=D4),OR('US Dashboard'!$C$5="All",'US Dashboard'!$C$5=G4),OR('US Dashboard'!$C$6="All",'US Dashboard'!$C$6=H4),OR('US Dashboard'!$C$7="All",'US Dashboard'!$C$7=F4),OR('US Dashboard'!$C$8="All",'US Dashboard'!$C$8=AJ4))</f>
        <v/>
      </c>
      <c r="B4" s="148">
        <f>IF(A4,B3+1,B3)</f>
        <v/>
      </c>
      <c r="C4" s="148" t="n">
        <v>59</v>
      </c>
      <c r="D4" s="148" t="inlineStr">
        <is>
          <t>DC B4</t>
        </is>
      </c>
      <c r="E4" s="148" t="inlineStr">
        <is>
          <t>US</t>
        </is>
      </c>
      <c r="F4" s="148" t="inlineStr">
        <is>
          <t>Bamboo</t>
        </is>
      </c>
      <c r="G4" s="148" t="inlineStr">
        <is>
          <t>Hotel Sheets Direct</t>
        </is>
      </c>
      <c r="H4" s="148" t="inlineStr">
        <is>
          <t>Aspirational</t>
        </is>
      </c>
      <c r="I4" s="148" t="inlineStr">
        <is>
          <t>Hotel Sheets Direct 4 Piece Bed Sheet Set Queen Size, 100% Viscose Derived from Bamboo Sheets Set with 2 Pillowcases, Cooling &amp; Breathable Luxury Bedding, Moisture-Wicking &amp; Silky Soft Texture, White</t>
        </is>
      </c>
      <c r="J4" s="148" t="inlineStr">
        <is>
          <t>https://images-na.ssl-images-amazon.com/images/I/71oEhkRYQ+L.jpg</t>
        </is>
      </c>
      <c r="K4" s="148" t="inlineStr">
        <is>
          <t>B0G5N99X9R</t>
        </is>
      </c>
      <c r="L4" s="148" t="inlineStr">
        <is>
          <t>B01N9L2O9P</t>
        </is>
      </c>
      <c r="M4" s="148" t="n">
        <v>61</v>
      </c>
      <c r="N4" s="148" t="n">
        <v>79.98999999999999</v>
      </c>
      <c r="O4" s="148" t="n"/>
      <c r="P4" s="148">
        <f>IF(AND(ISNUMBER(O4),ISNUMBER(N4),N(N4)&gt;0),O4/N4-1,"")</f>
        <v/>
      </c>
      <c r="Q4" s="148" t="n">
        <v>89.98999999999999</v>
      </c>
      <c r="R4" s="148">
        <f>IF(AND(ISNUMBER(N4),ISNUMBER(Q4),N(Q4)&gt;0),N4/Q4-1,"")</f>
        <v/>
      </c>
      <c r="S4" s="148" t="n">
        <v>2984</v>
      </c>
      <c r="T4" s="148" t="n">
        <v>347</v>
      </c>
      <c r="U4" s="148" t="n">
        <v>4.4</v>
      </c>
      <c r="V4" s="148" t="n">
        <v>37179</v>
      </c>
      <c r="W4" s="148" t="n">
        <v>451969</v>
      </c>
      <c r="X4" s="148" t="n">
        <v>0.6071584272372669</v>
      </c>
      <c r="Y4" s="148" t="n">
        <v>393</v>
      </c>
      <c r="Z4" s="148" t="n">
        <v>807</v>
      </c>
      <c r="AA4" s="148" t="n">
        <v>706</v>
      </c>
      <c r="AB4" s="148" t="n">
        <v>1.799620493358634</v>
      </c>
      <c r="AC4" s="148" t="inlineStr">
        <is>
          <t>US DC B4</t>
        </is>
      </c>
      <c r="AD4" s="148">
        <f>'US DC B4'!BF127</f>
        <v/>
      </c>
      <c r="AE4" s="148">
        <f>'US DC B4'!BI127</f>
        <v/>
      </c>
      <c r="AF4" s="148" t="inlineStr">
        <is>
          <t>Queen</t>
        </is>
      </c>
      <c r="AG4" s="148" t="inlineStr">
        <is>
          <t>White</t>
        </is>
      </c>
      <c r="AH4" s="148">
        <f>AND(E4="CA",OR('CA Dashboard'!$C$4="All",'CA Dashboard'!$C$4=D4),OR('CA Dashboard'!$C$5="All",'CA Dashboard'!$C$5=G4),OR('CA Dashboard'!$C$6="All",'CA Dashboard'!$C$6=H4),OR('CA Dashboard'!$C$7="All",'CA Dashboard'!$C$7=F4),OR('CA Dashboard'!$C$8="All",'CA Dashboard'!$C$8=AJ4))</f>
        <v/>
      </c>
      <c r="AI4" s="148">
        <f>IF(AH4,AI3+1,AI3)</f>
        <v/>
      </c>
      <c r="AJ4" s="148" t="inlineStr">
        <is>
          <t>Direct</t>
        </is>
      </c>
      <c r="AK4" s="148" t="inlineStr">
        <is>
          <t>Same product (sheet set) in the same material family: Bamboo viscose (title: Hotel Sheets Direct 4 Piece Bed Sheet Set Queen Size, 100% V); ours: our listing: viscose from bamboo.</t>
        </is>
      </c>
    </row>
    <row r="5">
      <c r="A5" s="148">
        <f>AND(E5="US",OR('US Dashboard'!$C$4="All",'US Dashboard'!$C$4=D5),OR('US Dashboard'!$C$5="All",'US Dashboard'!$C$5=G5),OR('US Dashboard'!$C$6="All",'US Dashboard'!$C$6=H5),OR('US Dashboard'!$C$7="All",'US Dashboard'!$C$7=F5),OR('US Dashboard'!$C$8="All",'US Dashboard'!$C$8=AJ5))</f>
        <v/>
      </c>
      <c r="B5" s="148">
        <f>IF(A5,B4+1,B4)</f>
        <v/>
      </c>
      <c r="C5" s="148" t="n">
        <v>59</v>
      </c>
      <c r="D5" s="148" t="inlineStr">
        <is>
          <t>DC B4</t>
        </is>
      </c>
      <c r="E5" s="148" t="inlineStr">
        <is>
          <t>US</t>
        </is>
      </c>
      <c r="F5" s="148" t="inlineStr">
        <is>
          <t>Bamboo</t>
        </is>
      </c>
      <c r="G5" s="148" t="inlineStr">
        <is>
          <t>Love's cabin</t>
        </is>
      </c>
      <c r="H5" s="148" t="inlineStr">
        <is>
          <t>Beatable</t>
        </is>
      </c>
      <c r="I5" s="148" t="inlineStr">
        <is>
          <t>Love's cabin 4 Piece Queen Sheet Set, 100% Rayon Derived from Bamboo, Cooling &amp; Breathable, Soft Silky Deep Pocket up to 16", Hotel Luxury Bedding for Hot Sleepers, Beige</t>
        </is>
      </c>
      <c r="J5" s="148" t="inlineStr">
        <is>
          <t>https://images-na.ssl-images-amazon.com/images/I/71AudKmD2JL.jpg</t>
        </is>
      </c>
      <c r="K5" s="148" t="inlineStr">
        <is>
          <t>B0DN1GGFL7</t>
        </is>
      </c>
      <c r="L5" s="148" t="inlineStr">
        <is>
          <t>B0DN1DVKH5</t>
        </is>
      </c>
      <c r="M5" s="148" t="n">
        <v>176</v>
      </c>
      <c r="N5" s="148" t="n">
        <v>37.99</v>
      </c>
      <c r="O5" s="148" t="n">
        <v>44.99</v>
      </c>
      <c r="P5" s="148">
        <f>IF(AND(ISNUMBER(O5),ISNUMBER(N5),N(N5)&gt;0),O5/N5-1,"")</f>
        <v/>
      </c>
      <c r="Q5" s="148" t="n">
        <v>89.98999999999999</v>
      </c>
      <c r="R5" s="148">
        <f>IF(AND(ISNUMBER(N5),ISNUMBER(Q5),N(Q5)&gt;0),N5/Q5-1,"")</f>
        <v/>
      </c>
      <c r="S5" s="148" t="n">
        <v>501</v>
      </c>
      <c r="T5" s="148" t="n">
        <v>924</v>
      </c>
      <c r="U5" s="148" t="n">
        <v>4.4</v>
      </c>
      <c r="V5" s="148" t="n">
        <v>1900</v>
      </c>
      <c r="W5" s="148" t="n">
        <v>906346</v>
      </c>
      <c r="X5" s="148" t="n">
        <v>0.9184238707954808</v>
      </c>
      <c r="Y5" s="148" t="n">
        <v>186</v>
      </c>
      <c r="Z5" s="148" t="n">
        <v>1128</v>
      </c>
      <c r="AA5" s="148" t="n">
        <v>938</v>
      </c>
      <c r="AB5" s="148" t="n">
        <v>0.8953669259384511</v>
      </c>
      <c r="AC5" s="148" t="inlineStr">
        <is>
          <t>US DC B4</t>
        </is>
      </c>
      <c r="AD5" s="148">
        <f>'US DC B4'!BF128</f>
        <v/>
      </c>
      <c r="AE5" s="148">
        <f>'US DC B4'!BI128</f>
        <v/>
      </c>
      <c r="AF5" s="148" t="inlineStr">
        <is>
          <t>Queen</t>
        </is>
      </c>
      <c r="AG5" s="148" t="inlineStr">
        <is>
          <t>Beige</t>
        </is>
      </c>
      <c r="AH5" s="148">
        <f>AND(E5="CA",OR('CA Dashboard'!$C$4="All",'CA Dashboard'!$C$4=D5),OR('CA Dashboard'!$C$5="All",'CA Dashboard'!$C$5=G5),OR('CA Dashboard'!$C$6="All",'CA Dashboard'!$C$6=H5),OR('CA Dashboard'!$C$7="All",'CA Dashboard'!$C$7=F5),OR('CA Dashboard'!$C$8="All",'CA Dashboard'!$C$8=AJ5))</f>
        <v/>
      </c>
      <c r="AI5" s="148">
        <f>IF(AH5,AI4+1,AI4)</f>
        <v/>
      </c>
      <c r="AJ5" s="148" t="inlineStr">
        <is>
          <t>Direct</t>
        </is>
      </c>
      <c r="AK5" s="148" t="inlineStr">
        <is>
          <t>Same product (sheet set) in the same material family: Bamboo viscose (title: Love's cabin 4 Piece Queen Sheet Set, 100% Rayon Derived fro); ours: our listing: viscose from bamboo.</t>
        </is>
      </c>
    </row>
    <row r="6">
      <c r="A6" s="148">
        <f>AND(E6="US",OR('US Dashboard'!$C$4="All",'US Dashboard'!$C$4=D6),OR('US Dashboard'!$C$5="All",'US Dashboard'!$C$5=G6),OR('US Dashboard'!$C$6="All",'US Dashboard'!$C$6=H6),OR('US Dashboard'!$C$7="All",'US Dashboard'!$C$7=F6),OR('US Dashboard'!$C$8="All",'US Dashboard'!$C$8=AJ6))</f>
        <v/>
      </c>
      <c r="B6" s="148">
        <f>IF(A6,B5+1,B5)</f>
        <v/>
      </c>
      <c r="C6" s="148" t="n">
        <v>59</v>
      </c>
      <c r="D6" s="148" t="inlineStr">
        <is>
          <t>DC B4</t>
        </is>
      </c>
      <c r="E6" s="148" t="inlineStr">
        <is>
          <t>US</t>
        </is>
      </c>
      <c r="F6" s="148" t="inlineStr">
        <is>
          <t>Bamboo</t>
        </is>
      </c>
      <c r="G6" s="148" t="inlineStr">
        <is>
          <t>KRIMANO</t>
        </is>
      </c>
      <c r="H6" s="148" t="inlineStr">
        <is>
          <t>Beatable</t>
        </is>
      </c>
      <c r="I6" s="148" t="inlineStr">
        <is>
          <t>KRIMANO Bamboo Viscose Sheet Set King Size, Cooling Sheets Bed Set</t>
        </is>
      </c>
      <c r="J6" s="148" t="inlineStr">
        <is>
          <t>https://images-na.ssl-images-amazon.com/images/I/61-LBYlR5KL.jpg</t>
        </is>
      </c>
      <c r="K6" s="148" t="inlineStr">
        <is>
          <t>B0FT7L9RSX</t>
        </is>
      </c>
      <c r="L6" s="148" t="inlineStr">
        <is>
          <t>B0FT7LZ2CD</t>
        </is>
      </c>
      <c r="M6" s="148" t="n">
        <v>43</v>
      </c>
      <c r="N6" s="148" t="n">
        <v>79.98999999999999</v>
      </c>
      <c r="O6" s="148" t="n"/>
      <c r="P6" s="148">
        <f>IF(AND(ISNUMBER(O6),ISNUMBER(N6),N(N6)&gt;0),O6/N6-1,"")</f>
        <v/>
      </c>
      <c r="Q6" s="148" t="n">
        <v>94.98999999999999</v>
      </c>
      <c r="R6" s="148">
        <f>IF(AND(ISNUMBER(N6),ISNUMBER(Q6),N(Q6)&gt;0),N6/Q6-1,"")</f>
        <v/>
      </c>
      <c r="S6" s="148" t="n">
        <v>5664</v>
      </c>
      <c r="T6" s="148" t="n">
        <v>185</v>
      </c>
      <c r="U6" s="148" t="n">
        <v>4.5</v>
      </c>
      <c r="V6" s="148" t="n">
        <v>263</v>
      </c>
      <c r="W6" s="148" t="n">
        <v>334819</v>
      </c>
      <c r="X6" s="148" t="n">
        <v>0.6137371774003271</v>
      </c>
      <c r="Y6" s="148" t="n">
        <v>272</v>
      </c>
      <c r="Z6" s="148" t="n">
        <v>705</v>
      </c>
      <c r="AA6" s="148" t="n">
        <v>294</v>
      </c>
      <c r="AB6" s="148" t="n">
        <v>1.312468450277638</v>
      </c>
      <c r="AC6" s="148" t="inlineStr">
        <is>
          <t>US DC B4</t>
        </is>
      </c>
      <c r="AD6" s="148">
        <f>'US DC B4'!BF129</f>
        <v/>
      </c>
      <c r="AE6" s="148">
        <f>'US DC B4'!BI129</f>
        <v/>
      </c>
      <c r="AF6" s="148" t="inlineStr">
        <is>
          <t>King</t>
        </is>
      </c>
      <c r="AG6" s="148" t="inlineStr">
        <is>
          <t>1.navy Blue</t>
        </is>
      </c>
      <c r="AH6" s="148">
        <f>AND(E6="CA",OR('CA Dashboard'!$C$4="All",'CA Dashboard'!$C$4=D6),OR('CA Dashboard'!$C$5="All",'CA Dashboard'!$C$5=G6),OR('CA Dashboard'!$C$6="All",'CA Dashboard'!$C$6=H6),OR('CA Dashboard'!$C$7="All",'CA Dashboard'!$C$7=F6),OR('CA Dashboard'!$C$8="All",'CA Dashboard'!$C$8=AJ6))</f>
        <v/>
      </c>
      <c r="AI6" s="148">
        <f>IF(AH6,AI5+1,AI5)</f>
        <v/>
      </c>
      <c r="AJ6" s="148" t="inlineStr">
        <is>
          <t>Direct</t>
        </is>
      </c>
      <c r="AK6" s="148" t="inlineStr">
        <is>
          <t>Same product (sheet set) in the same material family: Bamboo viscose (product page material: Viscose Derived from Bamboo); ours: our listing: viscose from bamboo.</t>
        </is>
      </c>
    </row>
    <row r="7">
      <c r="A7" s="148">
        <f>AND(E7="US",OR('US Dashboard'!$C$4="All",'US Dashboard'!$C$4=D7),OR('US Dashboard'!$C$5="All",'US Dashboard'!$C$5=G7),OR('US Dashboard'!$C$6="All",'US Dashboard'!$C$6=H7),OR('US Dashboard'!$C$7="All",'US Dashboard'!$C$7=F7),OR('US Dashboard'!$C$8="All",'US Dashboard'!$C$8=AJ7))</f>
        <v/>
      </c>
      <c r="B7" s="148">
        <f>IF(A7,B6+1,B6)</f>
        <v/>
      </c>
      <c r="C7" s="148" t="n">
        <v>59</v>
      </c>
      <c r="D7" s="148" t="inlineStr">
        <is>
          <t>DC B4</t>
        </is>
      </c>
      <c r="E7" s="148" t="inlineStr">
        <is>
          <t>US</t>
        </is>
      </c>
      <c r="F7" s="148" t="inlineStr">
        <is>
          <t>Bamboo</t>
        </is>
      </c>
      <c r="G7" s="148" t="inlineStr">
        <is>
          <t>TRUE BAMBOO</t>
        </is>
      </c>
      <c r="H7" s="148" t="inlineStr">
        <is>
          <t>Beatable</t>
        </is>
      </c>
      <c r="I7" s="148" t="inlineStr">
        <is>
          <t>TRUE BAMBOO Sheets Set King Size - Silky Soft &amp; Cooling - Dark Gray</t>
        </is>
      </c>
      <c r="J7" s="148" t="inlineStr">
        <is>
          <t>https://m.media-amazon.com/images/I/81V9M033qOL._AC_SL1500_.jpg</t>
        </is>
      </c>
      <c r="K7" s="148" t="inlineStr">
        <is>
          <t>B0HHQ97HBL</t>
        </is>
      </c>
      <c r="L7" s="148" t="inlineStr">
        <is>
          <t>B0HD7R5L1D</t>
        </is>
      </c>
      <c r="M7" s="148" t="n">
        <v>30</v>
      </c>
      <c r="N7" s="148" t="n">
        <v>79.98999999999999</v>
      </c>
      <c r="O7" s="148" t="n">
        <v>129.99</v>
      </c>
      <c r="P7" s="148">
        <f>IF(AND(ISNUMBER(O7),ISNUMBER(N7),N(N7)&gt;0),O7/N7-1,"")</f>
        <v/>
      </c>
      <c r="Q7" s="148" t="n">
        <v>89.98999999999999</v>
      </c>
      <c r="R7" s="148">
        <f>IF(AND(ISNUMBER(N7),ISNUMBER(Q7),N(Q7)&gt;0),N7/Q7-1,"")</f>
        <v/>
      </c>
      <c r="S7" s="148" t="n">
        <v>5934</v>
      </c>
      <c r="T7" s="148" t="n">
        <v>185</v>
      </c>
      <c r="U7" s="148" t="n">
        <v>4.6</v>
      </c>
      <c r="V7" s="148" t="n">
        <v>167</v>
      </c>
      <c r="W7" s="148" t="n">
        <v>557658</v>
      </c>
      <c r="X7" s="148" t="n">
        <v>0.518044597943542</v>
      </c>
      <c r="Y7" s="148" t="n">
        <v>246</v>
      </c>
      <c r="Z7" s="148" t="n">
        <v>667</v>
      </c>
      <c r="AA7" s="148" t="n">
        <v>661</v>
      </c>
      <c r="AB7" s="148" t="n"/>
      <c r="AC7" s="148" t="inlineStr">
        <is>
          <t>US DC B4</t>
        </is>
      </c>
      <c r="AD7" s="148">
        <f>'US DC B4'!BF130</f>
        <v/>
      </c>
      <c r="AE7" s="148">
        <f>'US DC B4'!BI130</f>
        <v/>
      </c>
      <c r="AF7" s="148" t="inlineStr">
        <is>
          <t>Queen</t>
        </is>
      </c>
      <c r="AG7" s="148" t="inlineStr">
        <is>
          <t>Dark Gray</t>
        </is>
      </c>
      <c r="AH7" s="148">
        <f>AND(E7="CA",OR('CA Dashboard'!$C$4="All",'CA Dashboard'!$C$4=D7),OR('CA Dashboard'!$C$5="All",'CA Dashboard'!$C$5=G7),OR('CA Dashboard'!$C$6="All",'CA Dashboard'!$C$6=H7),OR('CA Dashboard'!$C$7="All",'CA Dashboard'!$C$7=F7),OR('CA Dashboard'!$C$8="All",'CA Dashboard'!$C$8=AJ7))</f>
        <v/>
      </c>
      <c r="AI7" s="148">
        <f>IF(AH7,AI6+1,AI6)</f>
        <v/>
      </c>
      <c r="AJ7" s="148" t="inlineStr">
        <is>
          <t>Direct</t>
        </is>
      </c>
      <c r="AK7" s="148" t="inlineStr">
        <is>
          <t>Same product (sheet set) in the same material family: Bamboo viscose (product page material: Rayon); ours: our listing: viscose from bamboo.</t>
        </is>
      </c>
    </row>
    <row r="8">
      <c r="A8" s="148">
        <f>AND(E8="US",OR('US Dashboard'!$C$4="All",'US Dashboard'!$C$4=D8),OR('US Dashboard'!$C$5="All",'US Dashboard'!$C$5=G8),OR('US Dashboard'!$C$6="All",'US Dashboard'!$C$6=H8),OR('US Dashboard'!$C$7="All",'US Dashboard'!$C$7=F8),OR('US Dashboard'!$C$8="All",'US Dashboard'!$C$8=AJ8))</f>
        <v/>
      </c>
      <c r="B8" s="148">
        <f>IF(A8,B7+1,B7)</f>
        <v/>
      </c>
      <c r="C8" s="148" t="n">
        <v>59</v>
      </c>
      <c r="D8" s="148" t="inlineStr">
        <is>
          <t>DC B4</t>
        </is>
      </c>
      <c r="E8" s="148" t="inlineStr">
        <is>
          <t>US</t>
        </is>
      </c>
      <c r="F8" s="148" t="inlineStr">
        <is>
          <t>Bamboo</t>
        </is>
      </c>
      <c r="G8" s="148" t="inlineStr">
        <is>
          <t>Bambaw</t>
        </is>
      </c>
      <c r="H8" s="148" t="inlineStr">
        <is>
          <t>Beatable</t>
        </is>
      </c>
      <c r="I8" s="148" t="inlineStr">
        <is>
          <t>Bambaw 100% Viscose Derived from Bamboo Sheets Queen Size Set – 4pcs Cooling Sheet Set, Super Soft Sheets Queen Size, Luxury Bed Sheets, Deep Pocket Fits Up to 16'' Mattresses (Charcoal)</t>
        </is>
      </c>
      <c r="J8" s="148" t="inlineStr">
        <is>
          <t>https://images-na.ssl-images-amazon.com/images/I/81svKInu7aL.jpg</t>
        </is>
      </c>
      <c r="K8" s="148" t="inlineStr">
        <is>
          <t>B07K6SYX8L</t>
        </is>
      </c>
      <c r="L8" s="148" t="inlineStr">
        <is>
          <t>B0DR99Q37Y</t>
        </is>
      </c>
      <c r="M8" s="148" t="n">
        <v>104</v>
      </c>
      <c r="N8" s="148" t="n">
        <v>89.98999999999999</v>
      </c>
      <c r="O8" s="148" t="n"/>
      <c r="P8" s="148">
        <f>IF(AND(ISNUMBER(O8),ISNUMBER(N8),N(N8)&gt;0),O8/N8-1,"")</f>
        <v/>
      </c>
      <c r="Q8" s="148" t="n">
        <v>89.98999999999999</v>
      </c>
      <c r="R8" s="148">
        <f>IF(AND(ISNUMBER(N8),ISNUMBER(Q8),N(Q8)&gt;0),N8/Q8-1,"")</f>
        <v/>
      </c>
      <c r="S8" s="148" t="n">
        <v>6971</v>
      </c>
      <c r="T8" s="148" t="n">
        <v>104</v>
      </c>
      <c r="U8" s="148" t="n">
        <v>4.3</v>
      </c>
      <c r="V8" s="148" t="n">
        <v>2766</v>
      </c>
      <c r="W8" s="148" t="n">
        <v>407949</v>
      </c>
      <c r="X8" s="148" t="n">
        <v>0.5037485506766772</v>
      </c>
      <c r="Y8" s="148" t="n">
        <v>263</v>
      </c>
      <c r="Z8" s="148" t="n">
        <v>666</v>
      </c>
      <c r="AA8" s="148" t="n">
        <v>402</v>
      </c>
      <c r="AB8" s="148" t="n">
        <v>1.374474053295933</v>
      </c>
      <c r="AC8" s="148" t="inlineStr">
        <is>
          <t>US DC B4</t>
        </is>
      </c>
      <c r="AD8" s="148">
        <f>'US DC B4'!BF131</f>
        <v/>
      </c>
      <c r="AE8" s="148">
        <f>'US DC B4'!BI131</f>
        <v/>
      </c>
      <c r="AF8" s="148" t="inlineStr">
        <is>
          <t>Queen</t>
        </is>
      </c>
      <c r="AG8" s="148" t="inlineStr">
        <is>
          <t>Charcoal</t>
        </is>
      </c>
      <c r="AH8" s="148">
        <f>AND(E8="CA",OR('CA Dashboard'!$C$4="All",'CA Dashboard'!$C$4=D8),OR('CA Dashboard'!$C$5="All",'CA Dashboard'!$C$5=G8),OR('CA Dashboard'!$C$6="All",'CA Dashboard'!$C$6=H8),OR('CA Dashboard'!$C$7="All",'CA Dashboard'!$C$7=F8),OR('CA Dashboard'!$C$8="All",'CA Dashboard'!$C$8=AJ8))</f>
        <v/>
      </c>
      <c r="AI8" s="148">
        <f>IF(AH8,AI7+1,AI7)</f>
        <v/>
      </c>
      <c r="AJ8" s="148" t="inlineStr">
        <is>
          <t>Direct</t>
        </is>
      </c>
      <c r="AK8" s="148" t="inlineStr">
        <is>
          <t>Same product (sheet set) in the same material family: Bamboo viscose (title: Bambaw 100% Viscose Derived from Bamboo Sheets Queen Size Se); ours: our listing: viscose from bamboo.</t>
        </is>
      </c>
    </row>
    <row r="9">
      <c r="A9" s="148">
        <f>AND(E9="US",OR('US Dashboard'!$C$4="All",'US Dashboard'!$C$4=D9),OR('US Dashboard'!$C$5="All",'US Dashboard'!$C$5=G9),OR('US Dashboard'!$C$6="All",'US Dashboard'!$C$6=H9),OR('US Dashboard'!$C$7="All",'US Dashboard'!$C$7=F9),OR('US Dashboard'!$C$8="All",'US Dashboard'!$C$8=AJ9))</f>
        <v/>
      </c>
      <c r="B9" s="148">
        <f>IF(A9,B8+1,B8)</f>
        <v/>
      </c>
      <c r="C9" s="148" t="n">
        <v>59</v>
      </c>
      <c r="D9" s="148" t="inlineStr">
        <is>
          <t>DC B4</t>
        </is>
      </c>
      <c r="E9" s="148" t="inlineStr">
        <is>
          <t>US</t>
        </is>
      </c>
      <c r="F9" s="148" t="inlineStr">
        <is>
          <t>Bamboo</t>
        </is>
      </c>
      <c r="G9" s="148" t="inlineStr">
        <is>
          <t>Bedsure</t>
        </is>
      </c>
      <c r="H9" s="148" t="inlineStr">
        <is>
          <t>Beatable</t>
        </is>
      </c>
      <c r="I9" s="148" t="inlineStr">
        <is>
          <t>Bedsure PureWoven Organically Grown Bamboo Viscose Queen Sheet Set, 4PCS</t>
        </is>
      </c>
      <c r="J9" s="148" t="inlineStr">
        <is>
          <t>https://images-na.ssl-images-amazon.com/images/I/81suQgVR0GL.jpg</t>
        </is>
      </c>
      <c r="K9" s="148" t="inlineStr">
        <is>
          <t>B0FB8XS4D1</t>
        </is>
      </c>
      <c r="L9" s="148" t="inlineStr">
        <is>
          <t>B0FB8XR43Q</t>
        </is>
      </c>
      <c r="M9" s="148" t="n">
        <v>39</v>
      </c>
      <c r="N9" s="148" t="n">
        <v>89.98999999999999</v>
      </c>
      <c r="O9" s="148" t="n">
        <v>119.99</v>
      </c>
      <c r="P9" s="148">
        <f>IF(AND(ISNUMBER(O9),ISNUMBER(N9),N(N9)&gt;0),O9/N9-1,"")</f>
        <v/>
      </c>
      <c r="Q9" s="148" t="n">
        <v>89.98999999999999</v>
      </c>
      <c r="R9" s="148">
        <f>IF(AND(ISNUMBER(N9),ISNUMBER(Q9),N(Q9)&gt;0),N9/Q9-1,"")</f>
        <v/>
      </c>
      <c r="S9" s="148" t="n">
        <v>8938</v>
      </c>
      <c r="T9" s="148" t="n">
        <v>104</v>
      </c>
      <c r="U9" s="148" t="n">
        <v>4.5</v>
      </c>
      <c r="V9" s="148" t="n">
        <v>588</v>
      </c>
      <c r="W9" s="148" t="n">
        <v>840292</v>
      </c>
      <c r="X9" s="148" t="n">
        <v>0.1404099194089678</v>
      </c>
      <c r="Y9" s="148" t="n">
        <v>157</v>
      </c>
      <c r="Z9" s="148" t="n">
        <v>1057</v>
      </c>
      <c r="AA9" s="148" t="n">
        <v>2055</v>
      </c>
      <c r="AB9" s="148" t="n">
        <v>1.764832022873481</v>
      </c>
      <c r="AC9" s="148" t="inlineStr">
        <is>
          <t>US DC B4</t>
        </is>
      </c>
      <c r="AD9" s="148">
        <f>'US DC B4'!BF132</f>
        <v/>
      </c>
      <c r="AE9" s="148">
        <f>'US DC B4'!BI132</f>
        <v/>
      </c>
      <c r="AF9" s="148" t="inlineStr">
        <is>
          <t>Queen</t>
        </is>
      </c>
      <c r="AG9" s="148" t="inlineStr">
        <is>
          <t>01 - White</t>
        </is>
      </c>
      <c r="AH9" s="148">
        <f>AND(E9="CA",OR('CA Dashboard'!$C$4="All",'CA Dashboard'!$C$4=D9),OR('CA Dashboard'!$C$5="All",'CA Dashboard'!$C$5=G9),OR('CA Dashboard'!$C$6="All",'CA Dashboard'!$C$6=H9),OR('CA Dashboard'!$C$7="All",'CA Dashboard'!$C$7=F9),OR('CA Dashboard'!$C$8="All",'CA Dashboard'!$C$8=AJ9))</f>
        <v/>
      </c>
      <c r="AI9" s="148">
        <f>IF(AH9,AI8+1,AI8)</f>
        <v/>
      </c>
      <c r="AJ9" s="148" t="inlineStr">
        <is>
          <t>Direct</t>
        </is>
      </c>
      <c r="AK9" s="148" t="inlineStr">
        <is>
          <t>Same product (sheet set) in the same material family: Bamboo viscose (product page material: Viscose Derived from Bamboo); ours: our listing: viscose from bamboo.</t>
        </is>
      </c>
    </row>
    <row r="10">
      <c r="A10" s="148">
        <f>AND(E10="US",OR('US Dashboard'!$C$4="All",'US Dashboard'!$C$4=D10),OR('US Dashboard'!$C$5="All",'US Dashboard'!$C$5=G10),OR('US Dashboard'!$C$6="All",'US Dashboard'!$C$6=H10),OR('US Dashboard'!$C$7="All",'US Dashboard'!$C$7=F10),OR('US Dashboard'!$C$8="All",'US Dashboard'!$C$8=AJ10))</f>
        <v/>
      </c>
      <c r="B10" s="148">
        <f>IF(A10,B9+1,B9)</f>
        <v/>
      </c>
      <c r="C10" s="148" t="n">
        <v>59</v>
      </c>
      <c r="D10" s="148" t="inlineStr">
        <is>
          <t>DC B4</t>
        </is>
      </c>
      <c r="E10" s="148" t="inlineStr">
        <is>
          <t>US</t>
        </is>
      </c>
      <c r="F10" s="148" t="inlineStr">
        <is>
          <t>Bamboo</t>
        </is>
      </c>
      <c r="G10" s="148" t="inlineStr">
        <is>
          <t>SONORO KATE</t>
        </is>
      </c>
      <c r="H10" s="148" t="inlineStr">
        <is>
          <t>Beatable</t>
        </is>
      </c>
      <c r="I10" s="148" t="inlineStr">
        <is>
          <t>Bamboo Sheets</t>
        </is>
      </c>
      <c r="J10" s="148" t="inlineStr">
        <is>
          <t>https://images-na.ssl-images-amazon.com/images/I/71sqxa1EquL.jpg</t>
        </is>
      </c>
      <c r="K10" s="148" t="inlineStr">
        <is>
          <t>B0F4852T9V</t>
        </is>
      </c>
      <c r="L10" s="148" t="inlineStr">
        <is>
          <t>B0F4873G4H</t>
        </is>
      </c>
      <c r="M10" s="148" t="n">
        <v>33</v>
      </c>
      <c r="N10" s="148" t="n">
        <v>79.98999999999999</v>
      </c>
      <c r="O10" s="148" t="n"/>
      <c r="P10" s="148">
        <f>IF(AND(ISNUMBER(O10),ISNUMBER(N10),N(N10)&gt;0),O10/N10-1,"")</f>
        <v/>
      </c>
      <c r="Q10" s="148" t="n">
        <v>94.98999999999999</v>
      </c>
      <c r="R10" s="148">
        <f>IF(AND(ISNUMBER(N10),ISNUMBER(Q10),N(Q10)&gt;0),N10/Q10-1,"")</f>
        <v/>
      </c>
      <c r="S10" s="148" t="n">
        <v>7961</v>
      </c>
      <c r="T10" s="148" t="n">
        <v>104</v>
      </c>
      <c r="U10" s="148" t="n">
        <v>4.5</v>
      </c>
      <c r="V10" s="148" t="n">
        <v>3776</v>
      </c>
      <c r="W10" s="148" t="n">
        <v>185157</v>
      </c>
      <c r="X10" s="148" t="n">
        <v>0.9776013545261586</v>
      </c>
      <c r="Y10" s="148" t="n">
        <v>203</v>
      </c>
      <c r="Z10" s="148" t="n">
        <v>507</v>
      </c>
      <c r="AA10" s="148" t="n">
        <v>80</v>
      </c>
      <c r="AB10" s="148" t="n">
        <v>1.314808539478143</v>
      </c>
      <c r="AC10" s="148" t="inlineStr">
        <is>
          <t>US DC B4</t>
        </is>
      </c>
      <c r="AD10" s="148">
        <f>'US DC B4'!BF133</f>
        <v/>
      </c>
      <c r="AE10" s="148">
        <f>'US DC B4'!BI133</f>
        <v/>
      </c>
      <c r="AF10" s="148" t="inlineStr">
        <is>
          <t>King</t>
        </is>
      </c>
      <c r="AG10" s="148" t="inlineStr">
        <is>
          <t>Dark Grey</t>
        </is>
      </c>
      <c r="AH10" s="148">
        <f>AND(E10="CA",OR('CA Dashboard'!$C$4="All",'CA Dashboard'!$C$4=D10),OR('CA Dashboard'!$C$5="All",'CA Dashboard'!$C$5=G10),OR('CA Dashboard'!$C$6="All",'CA Dashboard'!$C$6=H10),OR('CA Dashboard'!$C$7="All",'CA Dashboard'!$C$7=F10),OR('CA Dashboard'!$C$8="All",'CA Dashboard'!$C$8=AJ10))</f>
        <v/>
      </c>
      <c r="AI10" s="148">
        <f>IF(AH10,AI9+1,AI9)</f>
        <v/>
      </c>
      <c r="AJ10" s="148" t="inlineStr">
        <is>
          <t>Direct</t>
        </is>
      </c>
      <c r="AK10" s="148" t="inlineStr">
        <is>
          <t>Same product (sheet set) in the same material family: Bamboo viscose (product page material: Viscose Derived From Bamboo); ours: our listing: viscose from bamboo.</t>
        </is>
      </c>
    </row>
    <row r="11">
      <c r="A11" s="148">
        <f>AND(E11="US",OR('US Dashboard'!$C$4="All",'US Dashboard'!$C$4=D11),OR('US Dashboard'!$C$5="All",'US Dashboard'!$C$5=G11),OR('US Dashboard'!$C$6="All",'US Dashboard'!$C$6=H11),OR('US Dashboard'!$C$7="All",'US Dashboard'!$C$7=F11),OR('US Dashboard'!$C$8="All",'US Dashboard'!$C$8=AJ11))</f>
        <v/>
      </c>
      <c r="B11" s="148">
        <f>IF(A11,B10+1,B10)</f>
        <v/>
      </c>
      <c r="C11" s="148" t="n">
        <v>59</v>
      </c>
      <c r="D11" s="148" t="inlineStr">
        <is>
          <t>DC B4</t>
        </is>
      </c>
      <c r="E11" s="148" t="inlineStr">
        <is>
          <t>US</t>
        </is>
      </c>
      <c r="F11" s="148" t="inlineStr">
        <is>
          <t>Bamboo</t>
        </is>
      </c>
      <c r="G11" s="148" t="inlineStr">
        <is>
          <t>BC BELLA COTERIE</t>
        </is>
      </c>
      <c r="H11" s="148" t="inlineStr">
        <is>
          <t>Beatable</t>
        </is>
      </c>
      <c r="I11" s="148" t="inlineStr">
        <is>
          <t>Bella Coterie Luxury Bamboo Viscose King Size Sheet Set</t>
        </is>
      </c>
      <c r="J11" s="148" t="inlineStr">
        <is>
          <t>https://images-na.ssl-images-amazon.com/images/I/71Pl57-j67L.jpg</t>
        </is>
      </c>
      <c r="K11" s="148" t="inlineStr">
        <is>
          <t>B0H29V113N</t>
        </is>
      </c>
      <c r="L11" s="148" t="inlineStr">
        <is>
          <t>B08L86VLZB</t>
        </is>
      </c>
      <c r="M11" s="148" t="n">
        <v>258</v>
      </c>
      <c r="N11" s="148" t="n">
        <v>154.99</v>
      </c>
      <c r="O11" s="148" t="n"/>
      <c r="P11" s="148">
        <f>IF(AND(ISNUMBER(O11),ISNUMBER(N11),N(N11)&gt;0),O11/N11-1,"")</f>
        <v/>
      </c>
      <c r="Q11" s="148" t="n">
        <v>94.98999999999999</v>
      </c>
      <c r="R11" s="148">
        <f>IF(AND(ISNUMBER(N11),ISNUMBER(Q11),N(Q11)&gt;0),N11/Q11-1,"")</f>
        <v/>
      </c>
      <c r="S11" s="148" t="n">
        <v>1358</v>
      </c>
      <c r="T11" s="148" t="n">
        <v>92</v>
      </c>
      <c r="U11" s="148" t="n">
        <v>4.4</v>
      </c>
      <c r="V11" s="148" t="n">
        <v>5871</v>
      </c>
      <c r="W11" s="148" t="n">
        <v>591713</v>
      </c>
      <c r="X11" s="148" t="n">
        <v>0.3622702587234016</v>
      </c>
      <c r="Y11" s="148" t="n">
        <v>324</v>
      </c>
      <c r="Z11" s="148" t="n">
        <v>996</v>
      </c>
      <c r="AA11" s="148" t="n">
        <v>2046</v>
      </c>
      <c r="AB11" s="148" t="n">
        <v>1.778087279480037</v>
      </c>
      <c r="AC11" s="148" t="inlineStr">
        <is>
          <t>US DC B4</t>
        </is>
      </c>
      <c r="AD11" s="148">
        <f>'US DC B4'!BF134</f>
        <v/>
      </c>
      <c r="AE11" s="148">
        <f>'US DC B4'!BI134</f>
        <v/>
      </c>
      <c r="AF11" s="148" t="inlineStr">
        <is>
          <t>King - 2 Pillowcases</t>
        </is>
      </c>
      <c r="AG11" s="148" t="inlineStr">
        <is>
          <t>01 - White</t>
        </is>
      </c>
      <c r="AH11" s="148">
        <f>AND(E11="CA",OR('CA Dashboard'!$C$4="All",'CA Dashboard'!$C$4=D11),OR('CA Dashboard'!$C$5="All",'CA Dashboard'!$C$5=G11),OR('CA Dashboard'!$C$6="All",'CA Dashboard'!$C$6=H11),OR('CA Dashboard'!$C$7="All",'CA Dashboard'!$C$7=F11),OR('CA Dashboard'!$C$8="All",'CA Dashboard'!$C$8=AJ11))</f>
        <v/>
      </c>
      <c r="AI11" s="148">
        <f>IF(AH11,AI10+1,AI10)</f>
        <v/>
      </c>
      <c r="AJ11" s="148" t="inlineStr">
        <is>
          <t>Direct</t>
        </is>
      </c>
      <c r="AK11" s="148" t="inlineStr">
        <is>
          <t>Same product (sheet set) in the same material family: Bamboo viscose (product page material: Organically Grown | Viscose Made From Bamboo); ours: our listing: viscose from bamboo.</t>
        </is>
      </c>
    </row>
    <row r="12">
      <c r="A12" s="148">
        <f>AND(E12="US",OR('US Dashboard'!$C$4="All",'US Dashboard'!$C$4=D12),OR('US Dashboard'!$C$5="All",'US Dashboard'!$C$5=G12),OR('US Dashboard'!$C$6="All",'US Dashboard'!$C$6=H12),OR('US Dashboard'!$C$7="All",'US Dashboard'!$C$7=F12),OR('US Dashboard'!$C$8="All",'US Dashboard'!$C$8=AJ12))</f>
        <v/>
      </c>
      <c r="B12" s="148">
        <f>IF(A12,B11+1,B11)</f>
        <v/>
      </c>
      <c r="C12" s="148" t="n">
        <v>59</v>
      </c>
      <c r="D12" s="148" t="inlineStr">
        <is>
          <t>DC B4</t>
        </is>
      </c>
      <c r="E12" s="148" t="inlineStr">
        <is>
          <t>US</t>
        </is>
      </c>
      <c r="F12" s="148" t="inlineStr">
        <is>
          <t>Bamboo</t>
        </is>
      </c>
      <c r="G12" s="148" t="inlineStr">
        <is>
          <t>BAMPURE</t>
        </is>
      </c>
      <c r="H12" s="148" t="inlineStr">
        <is>
          <t>Beatable</t>
        </is>
      </c>
      <c r="I12" s="148" t="inlineStr">
        <is>
          <t>BAMPURE 100% Rayon from Bamboo Sheets King Size - 4pc Cooling King Sheets</t>
        </is>
      </c>
      <c r="J12" s="148" t="inlineStr">
        <is>
          <t>https://images-na.ssl-images-amazon.com/images/I/61fbapIObwL.jpg</t>
        </is>
      </c>
      <c r="K12" s="148" t="inlineStr">
        <is>
          <t>B0HC778XB4</t>
        </is>
      </c>
      <c r="L12" s="148" t="inlineStr">
        <is>
          <t>B07XFP6BY2</t>
        </is>
      </c>
      <c r="M12" s="148" t="n">
        <v>40</v>
      </c>
      <c r="N12" s="148" t="n">
        <v>67.98</v>
      </c>
      <c r="O12" s="148" t="n">
        <v>99.98999999999999</v>
      </c>
      <c r="P12" s="148">
        <f>IF(AND(ISNUMBER(O12),ISNUMBER(N12),N(N12)&gt;0),O12/N12-1,"")</f>
        <v/>
      </c>
      <c r="Q12" s="148" t="n">
        <v>94.98999999999999</v>
      </c>
      <c r="R12" s="148">
        <f>IF(AND(ISNUMBER(N12),ISNUMBER(Q12),N(Q12)&gt;0),N12/Q12-1,"")</f>
        <v/>
      </c>
      <c r="S12" s="148" t="n">
        <v>14479</v>
      </c>
      <c r="T12" s="148" t="n">
        <v>81</v>
      </c>
      <c r="U12" s="148" t="n">
        <v>4.4</v>
      </c>
      <c r="V12" s="148" t="n">
        <v>4095</v>
      </c>
      <c r="W12" s="148" t="n">
        <v>67699</v>
      </c>
      <c r="X12" s="148" t="n">
        <v>0.8589487052984534</v>
      </c>
      <c r="Y12" s="148" t="n">
        <v>486</v>
      </c>
      <c r="Z12" s="148" t="n">
        <v>217</v>
      </c>
      <c r="AA12" s="148" t="n">
        <v>204</v>
      </c>
      <c r="AB12" s="148" t="n">
        <v>1.016706443914081</v>
      </c>
      <c r="AC12" s="148" t="inlineStr">
        <is>
          <t>US DC B4</t>
        </is>
      </c>
      <c r="AD12" s="148">
        <f>'US DC B4'!BF135</f>
        <v/>
      </c>
      <c r="AE12" s="148">
        <f>'US DC B4'!BI135</f>
        <v/>
      </c>
      <c r="AF12" s="148" t="inlineStr">
        <is>
          <t>King</t>
        </is>
      </c>
      <c r="AG12" s="148" t="inlineStr">
        <is>
          <t>White</t>
        </is>
      </c>
      <c r="AH12" s="148">
        <f>AND(E12="CA",OR('CA Dashboard'!$C$4="All",'CA Dashboard'!$C$4=D12),OR('CA Dashboard'!$C$5="All",'CA Dashboard'!$C$5=G12),OR('CA Dashboard'!$C$6="All",'CA Dashboard'!$C$6=H12),OR('CA Dashboard'!$C$7="All",'CA Dashboard'!$C$7=F12),OR('CA Dashboard'!$C$8="All",'CA Dashboard'!$C$8=AJ12))</f>
        <v/>
      </c>
      <c r="AI12" s="148">
        <f>IF(AH12,AI11+1,AI11)</f>
        <v/>
      </c>
      <c r="AJ12" s="148" t="inlineStr">
        <is>
          <t>Direct</t>
        </is>
      </c>
      <c r="AK12" s="148" t="inlineStr">
        <is>
          <t>Same product (sheet set) in the same material family: Bamboo viscose (product page material: Viscose Derived from Bamboo); ours: our listing: viscose from bamboo.</t>
        </is>
      </c>
    </row>
    <row r="13">
      <c r="A13" s="148">
        <f>AND(E13="US",OR('US Dashboard'!$C$4="All",'US Dashboard'!$C$4=D13),OR('US Dashboard'!$C$5="All",'US Dashboard'!$C$5=G13),OR('US Dashboard'!$C$6="All",'US Dashboard'!$C$6=H13),OR('US Dashboard'!$C$7="All",'US Dashboard'!$C$7=F13),OR('US Dashboard'!$C$8="All",'US Dashboard'!$C$8=AJ13))</f>
        <v/>
      </c>
      <c r="B13" s="148">
        <f>IF(A13,B12+1,B12)</f>
        <v/>
      </c>
      <c r="C13" s="148" t="n">
        <v>59</v>
      </c>
      <c r="D13" s="148" t="inlineStr">
        <is>
          <t>DC B4</t>
        </is>
      </c>
      <c r="E13" s="148" t="inlineStr">
        <is>
          <t>US</t>
        </is>
      </c>
      <c r="F13" s="148" t="inlineStr">
        <is>
          <t>Bamboo</t>
        </is>
      </c>
      <c r="G13" s="148" t="inlineStr">
        <is>
          <t>BEDELITE</t>
        </is>
      </c>
      <c r="H13" s="148" t="inlineStr">
        <is>
          <t>Beatable</t>
        </is>
      </c>
      <c r="I13" s="148" t="inlineStr">
        <is>
          <t>BEDELITE Bamboo Viscose Sheet Set, Queen Size, 4 Pieces, White</t>
        </is>
      </c>
      <c r="J13" s="148" t="inlineStr">
        <is>
          <t>https://m.media-amazon.com/images/I/71F+539t2YL._AC_SL1500_.jpg</t>
        </is>
      </c>
      <c r="K13" s="148" t="inlineStr">
        <is>
          <t>B0GT98GVQN</t>
        </is>
      </c>
      <c r="L13" s="148" t="inlineStr">
        <is>
          <t>B0GT8Z4X5D</t>
        </is>
      </c>
      <c r="M13" s="148" t="n">
        <v>8</v>
      </c>
      <c r="N13" s="148" t="n">
        <v>84.98</v>
      </c>
      <c r="O13" s="148" t="n">
        <v>99.89</v>
      </c>
      <c r="P13" s="148">
        <f>IF(AND(ISNUMBER(O13),ISNUMBER(N13),N(N13)&gt;0),O13/N13-1,"")</f>
        <v/>
      </c>
      <c r="Q13" s="148" t="n">
        <v>89.98999999999999</v>
      </c>
      <c r="R13" s="148">
        <f>IF(AND(ISNUMBER(N13),ISNUMBER(Q13),N(Q13)&gt;0),N13/Q13-1,"")</f>
        <v/>
      </c>
      <c r="S13" s="148" t="n">
        <v>65907</v>
      </c>
      <c r="T13" s="148" t="n">
        <v>81</v>
      </c>
      <c r="U13" s="148" t="n">
        <v>4.5</v>
      </c>
      <c r="V13" s="148" t="n">
        <v>113</v>
      </c>
      <c r="W13" s="148" t="n">
        <v>212120</v>
      </c>
      <c r="X13" s="148" t="n">
        <v>0.1115827267584386</v>
      </c>
      <c r="Y13" s="148" t="n">
        <v>265</v>
      </c>
      <c r="Z13" s="148" t="n">
        <v>427</v>
      </c>
      <c r="AA13" s="148" t="n">
        <v>968</v>
      </c>
      <c r="AB13" s="148" t="n">
        <v>0.8073654390934845</v>
      </c>
      <c r="AC13" s="148" t="inlineStr">
        <is>
          <t>US DC B4</t>
        </is>
      </c>
      <c r="AD13" s="148">
        <f>'US DC B4'!BF136</f>
        <v/>
      </c>
      <c r="AE13" s="148">
        <f>'US DC B4'!BI136</f>
        <v/>
      </c>
      <c r="AF13" s="148" t="inlineStr">
        <is>
          <t>Queen</t>
        </is>
      </c>
      <c r="AG13" s="148" t="inlineStr">
        <is>
          <t>White</t>
        </is>
      </c>
      <c r="AH13" s="148">
        <f>AND(E13="CA",OR('CA Dashboard'!$C$4="All",'CA Dashboard'!$C$4=D13),OR('CA Dashboard'!$C$5="All",'CA Dashboard'!$C$5=G13),OR('CA Dashboard'!$C$6="All",'CA Dashboard'!$C$6=H13),OR('CA Dashboard'!$C$7="All",'CA Dashboard'!$C$7=F13),OR('CA Dashboard'!$C$8="All",'CA Dashboard'!$C$8=AJ13))</f>
        <v/>
      </c>
      <c r="AI13" s="148">
        <f>IF(AH13,AI12+1,AI12)</f>
        <v/>
      </c>
      <c r="AJ13" s="148" t="inlineStr">
        <is>
          <t>Direct</t>
        </is>
      </c>
      <c r="AK13" s="148" t="inlineStr">
        <is>
          <t>Same product (sheet set) in the same material family: Bamboo viscose (product page material: Viscose Derived from Bamboo); ours: our listing: viscose from bamboo.</t>
        </is>
      </c>
    </row>
    <row r="14">
      <c r="A14" s="148">
        <f>AND(E14="US",OR('US Dashboard'!$C$4="All",'US Dashboard'!$C$4=D14),OR('US Dashboard'!$C$5="All",'US Dashboard'!$C$5=G14),OR('US Dashboard'!$C$6="All",'US Dashboard'!$C$6=H14),OR('US Dashboard'!$C$7="All",'US Dashboard'!$C$7=F14),OR('US Dashboard'!$C$8="All",'US Dashboard'!$C$8=AJ14))</f>
        <v/>
      </c>
      <c r="B14" s="148">
        <f>IF(A14,B13+1,B13)</f>
        <v/>
      </c>
      <c r="C14" s="148" t="n">
        <v>59</v>
      </c>
      <c r="D14" s="148" t="inlineStr">
        <is>
          <t>DC B4</t>
        </is>
      </c>
      <c r="E14" s="148" t="inlineStr">
        <is>
          <t>US</t>
        </is>
      </c>
      <c r="F14" s="148" t="inlineStr">
        <is>
          <t>Bamboo</t>
        </is>
      </c>
      <c r="G14" s="148" t="inlineStr">
        <is>
          <t>SONORO KATE</t>
        </is>
      </c>
      <c r="H14" s="148" t="inlineStr">
        <is>
          <t>Beatable</t>
        </is>
      </c>
      <c r="I14" s="148" t="inlineStr">
        <is>
          <t>SONORO KATE 100% Viscose Derived from Bamboo_Sheets Queen Size,4PC</t>
        </is>
      </c>
      <c r="J14" s="148" t="inlineStr">
        <is>
          <t>https://images-na.ssl-images-amazon.com/images/I/71HeTCWM4hL.jpg</t>
        </is>
      </c>
      <c r="K14" s="148" t="inlineStr">
        <is>
          <t>B0F29FQLFD</t>
        </is>
      </c>
      <c r="L14" s="148" t="inlineStr">
        <is>
          <t>B0F29F1JM5</t>
        </is>
      </c>
      <c r="M14" s="148" t="n">
        <v>42</v>
      </c>
      <c r="N14" s="148" t="n">
        <v>59.99</v>
      </c>
      <c r="O14" s="148" t="n"/>
      <c r="P14" s="148">
        <f>IF(AND(ISNUMBER(O14),ISNUMBER(N14),N(N14)&gt;0),O14/N14-1,"")</f>
        <v/>
      </c>
      <c r="Q14" s="148" t="n">
        <v>89.98999999999999</v>
      </c>
      <c r="R14" s="148">
        <f>IF(AND(ISNUMBER(N14),ISNUMBER(Q14),N(Q14)&gt;0),N14/Q14-1,"")</f>
        <v/>
      </c>
      <c r="S14" s="148" t="n">
        <v>23979</v>
      </c>
      <c r="T14" s="148" t="n">
        <v>81</v>
      </c>
      <c r="U14" s="148" t="n">
        <v>4.5</v>
      </c>
      <c r="V14" s="148" t="n">
        <v>3911</v>
      </c>
      <c r="W14" s="148" t="n">
        <v>114504</v>
      </c>
      <c r="X14" s="148" t="n">
        <v>0.8792897182631171</v>
      </c>
      <c r="Y14" s="148" t="n">
        <v>204</v>
      </c>
      <c r="Z14" s="148" t="n">
        <v>382</v>
      </c>
      <c r="AA14" s="148" t="n">
        <v>63</v>
      </c>
      <c r="AB14" s="148" t="n">
        <v>1.095271210013908</v>
      </c>
      <c r="AC14" s="148" t="inlineStr">
        <is>
          <t>US DC B4</t>
        </is>
      </c>
      <c r="AD14" s="148">
        <f>'US DC B4'!BF137</f>
        <v/>
      </c>
      <c r="AE14" s="148">
        <f>'US DC B4'!BI137</f>
        <v/>
      </c>
      <c r="AF14" s="148" t="inlineStr">
        <is>
          <t>Queen</t>
        </is>
      </c>
      <c r="AG14" s="148" t="inlineStr">
        <is>
          <t>Dark Grey</t>
        </is>
      </c>
      <c r="AH14" s="148">
        <f>AND(E14="CA",OR('CA Dashboard'!$C$4="All",'CA Dashboard'!$C$4=D14),OR('CA Dashboard'!$C$5="All",'CA Dashboard'!$C$5=G14),OR('CA Dashboard'!$C$6="All",'CA Dashboard'!$C$6=H14),OR('CA Dashboard'!$C$7="All",'CA Dashboard'!$C$7=F14),OR('CA Dashboard'!$C$8="All",'CA Dashboard'!$C$8=AJ14))</f>
        <v/>
      </c>
      <c r="AI14" s="148">
        <f>IF(AH14,AI13+1,AI13)</f>
        <v/>
      </c>
      <c r="AJ14" s="148" t="inlineStr">
        <is>
          <t>Direct</t>
        </is>
      </c>
      <c r="AK14" s="148" t="inlineStr">
        <is>
          <t>Same product (sheet set) in the same material family: Bamboo viscose (product page material: Viscose Derived From Bamboo); ours: our listing: viscose from bamboo.</t>
        </is>
      </c>
    </row>
    <row r="15">
      <c r="A15" s="148">
        <f>AND(E15="US",OR('US Dashboard'!$C$4="All",'US Dashboard'!$C$4=D15),OR('US Dashboard'!$C$5="All",'US Dashboard'!$C$5=G15),OR('US Dashboard'!$C$6="All",'US Dashboard'!$C$6=H15),OR('US Dashboard'!$C$7="All",'US Dashboard'!$C$7=F15),OR('US Dashboard'!$C$8="All",'US Dashboard'!$C$8=AJ15))</f>
        <v/>
      </c>
      <c r="B15" s="148">
        <f>IF(A15,B14+1,B14)</f>
        <v/>
      </c>
      <c r="C15" s="148" t="n">
        <v>59</v>
      </c>
      <c r="D15" s="148" t="inlineStr">
        <is>
          <t>DC B4</t>
        </is>
      </c>
      <c r="E15" s="148" t="inlineStr">
        <is>
          <t>US</t>
        </is>
      </c>
      <c r="F15" s="148" t="inlineStr">
        <is>
          <t>Bamboo</t>
        </is>
      </c>
      <c r="G15" s="148" t="inlineStr">
        <is>
          <t>Davmabcjy</t>
        </is>
      </c>
      <c r="H15" s="148" t="inlineStr">
        <is>
          <t>Beatable</t>
        </is>
      </c>
      <c r="I15" s="148" t="inlineStr">
        <is>
          <t>100% Organically Grown Bamboo Viscose King Sheet Set with Pockets on Side</t>
        </is>
      </c>
      <c r="J15" s="148" t="inlineStr">
        <is>
          <t>https://m.media-amazon.com/images/I/71fKTruZ7YL._AC_SL1500_.jpg</t>
        </is>
      </c>
      <c r="K15" s="148" t="inlineStr">
        <is>
          <t>B0HJZNMQ5G</t>
        </is>
      </c>
      <c r="L15" s="148" t="inlineStr">
        <is>
          <t>B0GXJYQR7H</t>
        </is>
      </c>
      <c r="M15" s="148" t="n">
        <v>7</v>
      </c>
      <c r="N15" s="148" t="n">
        <v>59.99</v>
      </c>
      <c r="O15" s="148" t="n"/>
      <c r="P15" s="148">
        <f>IF(AND(ISNUMBER(O15),ISNUMBER(N15),N(N15)&gt;0),O15/N15-1,"")</f>
        <v/>
      </c>
      <c r="Q15" s="148" t="n">
        <v>94.98999999999999</v>
      </c>
      <c r="R15" s="148">
        <f>IF(AND(ISNUMBER(N15),ISNUMBER(Q15),N(Q15)&gt;0),N15/Q15-1,"")</f>
        <v/>
      </c>
      <c r="S15" s="148" t="n">
        <v>205508</v>
      </c>
      <c r="T15" s="148" t="n">
        <v>35</v>
      </c>
      <c r="U15" s="148" t="n">
        <v>4.2</v>
      </c>
      <c r="V15" s="148" t="n">
        <v>81</v>
      </c>
      <c r="W15" s="148" t="n">
        <v>75425</v>
      </c>
      <c r="X15" s="148" t="n">
        <v>0.8470417779250914</v>
      </c>
      <c r="Y15" s="148" t="n">
        <v>189</v>
      </c>
      <c r="Z15" s="148" t="n">
        <v>389</v>
      </c>
      <c r="AA15" s="148" t="n">
        <v>293</v>
      </c>
      <c r="AB15" s="148" t="n"/>
      <c r="AC15" s="148" t="inlineStr">
        <is>
          <t>US DC B4</t>
        </is>
      </c>
      <c r="AD15" s="148">
        <f>'US DC B4'!BF138</f>
        <v/>
      </c>
      <c r="AE15" s="148">
        <f>'US DC B4'!BI138</f>
        <v/>
      </c>
      <c r="AF15" s="148" t="inlineStr">
        <is>
          <t>King (Deep Fits 16" )</t>
        </is>
      </c>
      <c r="AG15" s="148" t="inlineStr">
        <is>
          <t>Dark Grey-side Pockets</t>
        </is>
      </c>
      <c r="AH15" s="148">
        <f>AND(E15="CA",OR('CA Dashboard'!$C$4="All",'CA Dashboard'!$C$4=D15),OR('CA Dashboard'!$C$5="All",'CA Dashboard'!$C$5=G15),OR('CA Dashboard'!$C$6="All",'CA Dashboard'!$C$6=H15),OR('CA Dashboard'!$C$7="All",'CA Dashboard'!$C$7=F15),OR('CA Dashboard'!$C$8="All",'CA Dashboard'!$C$8=AJ15))</f>
        <v/>
      </c>
      <c r="AI15" s="148">
        <f>IF(AH15,AI14+1,AI14)</f>
        <v/>
      </c>
      <c r="AJ15" s="148" t="inlineStr">
        <is>
          <t>Direct</t>
        </is>
      </c>
      <c r="AK15" s="148" t="inlineStr">
        <is>
          <t>Same product (sheet set) in the same material family: Bamboo viscose (product page material: Rayon Derived from Bamboo); ours: our listing: viscose from bamboo.</t>
        </is>
      </c>
    </row>
    <row r="16">
      <c r="A16" s="148">
        <f>AND(E16="US",OR('US Dashboard'!$C$4="All",'US Dashboard'!$C$4=D16),OR('US Dashboard'!$C$5="All",'US Dashboard'!$C$5=G16),OR('US Dashboard'!$C$6="All",'US Dashboard'!$C$6=H16),OR('US Dashboard'!$C$7="All",'US Dashboard'!$C$7=F16),OR('US Dashboard'!$C$8="All",'US Dashboard'!$C$8=AJ16))</f>
        <v/>
      </c>
      <c r="B16" s="148">
        <f>IF(A16,B15+1,B15)</f>
        <v/>
      </c>
      <c r="C16" s="148" t="n">
        <v>59</v>
      </c>
      <c r="D16" s="148" t="inlineStr">
        <is>
          <t>DC B4</t>
        </is>
      </c>
      <c r="E16" s="148" t="inlineStr">
        <is>
          <t>US</t>
        </is>
      </c>
      <c r="F16" s="148" t="inlineStr">
        <is>
          <t>Bamboo</t>
        </is>
      </c>
      <c r="G16" s="148" t="inlineStr">
        <is>
          <t>DOZ by SIJO</t>
        </is>
      </c>
      <c r="H16" s="148" t="inlineStr">
        <is>
          <t>Beatable</t>
        </is>
      </c>
      <c r="I16" s="148" t="inlineStr">
        <is>
          <t>Bamboo Sheets</t>
        </is>
      </c>
      <c r="J16" s="148" t="inlineStr">
        <is>
          <t>https://images-na.ssl-images-amazon.com/images/I/710aWpCd4AL.jpg</t>
        </is>
      </c>
      <c r="K16" s="148" t="inlineStr">
        <is>
          <t>B0DCZGYVZ9</t>
        </is>
      </c>
      <c r="L16" s="148" t="inlineStr">
        <is>
          <t>B0F24TRXCZ</t>
        </is>
      </c>
      <c r="M16" s="148" t="n">
        <v>131</v>
      </c>
      <c r="N16" s="148" t="n">
        <v>55</v>
      </c>
      <c r="O16" s="148" t="n"/>
      <c r="P16" s="148">
        <f>IF(AND(ISNUMBER(O16),ISNUMBER(N16),N(N16)&gt;0),O16/N16-1,"")</f>
        <v/>
      </c>
      <c r="Q16" s="148" t="n">
        <v>89.98999999999999</v>
      </c>
      <c r="R16" s="148">
        <f>IF(AND(ISNUMBER(N16),ISNUMBER(Q16),N(Q16)&gt;0),N16/Q16-1,"")</f>
        <v/>
      </c>
      <c r="S16" s="148" t="n">
        <v>4051</v>
      </c>
      <c r="T16" s="148" t="n">
        <v>35</v>
      </c>
      <c r="U16" s="148" t="n">
        <v>4.4</v>
      </c>
      <c r="V16" s="148" t="n">
        <v>1909</v>
      </c>
      <c r="W16" s="148" t="n">
        <v>171534</v>
      </c>
      <c r="X16" s="148" t="n">
        <v>0.5544749851341424</v>
      </c>
      <c r="Y16" s="148" t="n">
        <v>315</v>
      </c>
      <c r="Z16" s="148" t="n">
        <v>705</v>
      </c>
      <c r="AA16" s="148" t="n">
        <v>588</v>
      </c>
      <c r="AB16" s="148" t="n"/>
      <c r="AC16" s="148" t="inlineStr">
        <is>
          <t>US DC B4</t>
        </is>
      </c>
      <c r="AD16" s="148">
        <f>'US DC B4'!BF139</f>
        <v/>
      </c>
      <c r="AE16" s="148">
        <f>'US DC B4'!BI139</f>
        <v/>
      </c>
      <c r="AF16" s="148" t="inlineStr">
        <is>
          <t>Queen</t>
        </is>
      </c>
      <c r="AG16" s="148" t="inlineStr">
        <is>
          <t>Olive</t>
        </is>
      </c>
      <c r="AH16" s="148">
        <f>AND(E16="CA",OR('CA Dashboard'!$C$4="All",'CA Dashboard'!$C$4=D16),OR('CA Dashboard'!$C$5="All",'CA Dashboard'!$C$5=G16),OR('CA Dashboard'!$C$6="All",'CA Dashboard'!$C$6=H16),OR('CA Dashboard'!$C$7="All",'CA Dashboard'!$C$7=F16),OR('CA Dashboard'!$C$8="All",'CA Dashboard'!$C$8=AJ16))</f>
        <v/>
      </c>
      <c r="AI16" s="148">
        <f>IF(AH16,AI15+1,AI15)</f>
        <v/>
      </c>
      <c r="AJ16" s="148" t="inlineStr">
        <is>
          <t>Direct</t>
        </is>
      </c>
      <c r="AK16" s="148" t="inlineStr">
        <is>
          <t>Same product (sheet set) in the same material family: Bamboo viscose (product page material: Rayon); ours: our listing: viscose from bamboo.</t>
        </is>
      </c>
    </row>
    <row r="17">
      <c r="A17" s="148">
        <f>AND(E17="US",OR('US Dashboard'!$C$4="All",'US Dashboard'!$C$4=D17),OR('US Dashboard'!$C$5="All",'US Dashboard'!$C$5=G17),OR('US Dashboard'!$C$6="All",'US Dashboard'!$C$6=H17),OR('US Dashboard'!$C$7="All",'US Dashboard'!$C$7=F17),OR('US Dashboard'!$C$8="All",'US Dashboard'!$C$8=AJ17))</f>
        <v/>
      </c>
      <c r="B17" s="148">
        <f>IF(A17,B16+1,B16)</f>
        <v/>
      </c>
      <c r="C17" s="148" t="n">
        <v>59</v>
      </c>
      <c r="D17" s="148" t="inlineStr">
        <is>
          <t>DC B4</t>
        </is>
      </c>
      <c r="E17" s="148" t="inlineStr">
        <is>
          <t>US</t>
        </is>
      </c>
      <c r="F17" s="148" t="inlineStr">
        <is>
          <t>Bamboo</t>
        </is>
      </c>
      <c r="G17" s="148" t="inlineStr">
        <is>
          <t>GOKOTTA</t>
        </is>
      </c>
      <c r="H17" s="148" t="inlineStr">
        <is>
          <t>Beatable</t>
        </is>
      </c>
      <c r="I17" s="148" t="inlineStr">
        <is>
          <t>GOKOTTA King Bamboo Rayon Sheets Set, Silky Soft Cooling Sheets Stay Put</t>
        </is>
      </c>
      <c r="J17" s="148" t="inlineStr">
        <is>
          <t>https://images-na.ssl-images-amazon.com/images/I/81EdgN1LRmL.jpg</t>
        </is>
      </c>
      <c r="K17" s="148" t="inlineStr">
        <is>
          <t>B09WV7RN1V</t>
        </is>
      </c>
      <c r="L17" s="148" t="inlineStr">
        <is>
          <t>B0BR53P7DY</t>
        </is>
      </c>
      <c r="M17" s="148" t="n">
        <v>99</v>
      </c>
      <c r="N17" s="148" t="n">
        <v>109</v>
      </c>
      <c r="O17" s="148" t="n"/>
      <c r="P17" s="148">
        <f>IF(AND(ISNUMBER(O17),ISNUMBER(N17),N(N17)&gt;0),O17/N17-1,"")</f>
        <v/>
      </c>
      <c r="Q17" s="148" t="n">
        <v>94.98999999999999</v>
      </c>
      <c r="R17" s="148">
        <f>IF(AND(ISNUMBER(N17),ISNUMBER(Q17),N(Q17)&gt;0),N17/Q17-1,"")</f>
        <v/>
      </c>
      <c r="S17" s="148" t="n">
        <v>16154</v>
      </c>
      <c r="T17" s="148" t="n">
        <v>35</v>
      </c>
      <c r="U17" s="148" t="n">
        <v>4.4</v>
      </c>
      <c r="V17" s="148" t="n">
        <v>3371</v>
      </c>
      <c r="W17" s="148" t="n">
        <v>76017</v>
      </c>
      <c r="X17" s="148" t="n">
        <v>0.8206756843863878</v>
      </c>
      <c r="Y17" s="148" t="n">
        <v>370</v>
      </c>
      <c r="Z17" s="148" t="n">
        <v>210</v>
      </c>
      <c r="AA17" s="148" t="n">
        <v>240</v>
      </c>
      <c r="AB17" s="148" t="n"/>
      <c r="AC17" s="148" t="inlineStr">
        <is>
          <t>US DC B4</t>
        </is>
      </c>
      <c r="AD17" s="148">
        <f>'US DC B4'!BF140</f>
        <v/>
      </c>
      <c r="AE17" s="148">
        <f>'US DC B4'!BI140</f>
        <v/>
      </c>
      <c r="AF17" s="148" t="inlineStr">
        <is>
          <t>King - 4 PCS</t>
        </is>
      </c>
      <c r="AG17" s="148" t="inlineStr">
        <is>
          <t>00 Bright White</t>
        </is>
      </c>
      <c r="AH17" s="148">
        <f>AND(E17="CA",OR('CA Dashboard'!$C$4="All",'CA Dashboard'!$C$4=D17),OR('CA Dashboard'!$C$5="All",'CA Dashboard'!$C$5=G17),OR('CA Dashboard'!$C$6="All",'CA Dashboard'!$C$6=H17),OR('CA Dashboard'!$C$7="All",'CA Dashboard'!$C$7=F17),OR('CA Dashboard'!$C$8="All",'CA Dashboard'!$C$8=AJ17))</f>
        <v/>
      </c>
      <c r="AI17" s="148">
        <f>IF(AH17,AI16+1,AI16)</f>
        <v/>
      </c>
      <c r="AJ17" s="148" t="inlineStr">
        <is>
          <t>Direct</t>
        </is>
      </c>
      <c r="AK17" s="148" t="inlineStr">
        <is>
          <t>Same product (sheet set) in the same material family: Bamboo viscose (product page material: Bamboo Rayon); ours: our listing: viscose from bamboo.</t>
        </is>
      </c>
    </row>
    <row r="18">
      <c r="A18" s="148">
        <f>AND(E18="US",OR('US Dashboard'!$C$4="All",'US Dashboard'!$C$4=D18),OR('US Dashboard'!$C$5="All",'US Dashboard'!$C$5=G18),OR('US Dashboard'!$C$6="All",'US Dashboard'!$C$6=H18),OR('US Dashboard'!$C$7="All",'US Dashboard'!$C$7=F18),OR('US Dashboard'!$C$8="All",'US Dashboard'!$C$8=AJ18))</f>
        <v/>
      </c>
      <c r="B18" s="148">
        <f>IF(A18,B17+1,B17)</f>
        <v/>
      </c>
      <c r="C18" s="148" t="n">
        <v>59</v>
      </c>
      <c r="D18" s="148" t="inlineStr">
        <is>
          <t>DC B4</t>
        </is>
      </c>
      <c r="E18" s="148" t="inlineStr">
        <is>
          <t>US</t>
        </is>
      </c>
      <c r="F18" s="148" t="inlineStr">
        <is>
          <t>Bamboo</t>
        </is>
      </c>
      <c r="G18" s="148" t="inlineStr">
        <is>
          <t>KARISSA MAE</t>
        </is>
      </c>
      <c r="H18" s="148" t="inlineStr">
        <is>
          <t>Beatable</t>
        </is>
      </c>
      <c r="I18" s="148" t="inlineStr">
        <is>
          <t>Cooling Sheets</t>
        </is>
      </c>
      <c r="J18" s="148" t="inlineStr">
        <is>
          <t>https://images-na.ssl-images-amazon.com/images/I/71rcYip7GcL.jpg</t>
        </is>
      </c>
      <c r="K18" s="148" t="inlineStr">
        <is>
          <t>B0GT172Y8L</t>
        </is>
      </c>
      <c r="L18" s="148" t="inlineStr">
        <is>
          <t>B0G1CSCQTB</t>
        </is>
      </c>
      <c r="M18" s="148" t="n">
        <v>138</v>
      </c>
      <c r="N18" s="148" t="n">
        <v>119.99</v>
      </c>
      <c r="O18" s="148" t="n"/>
      <c r="P18" s="148">
        <f>IF(AND(ISNUMBER(O18),ISNUMBER(N18),N(N18)&gt;0),O18/N18-1,"")</f>
        <v/>
      </c>
      <c r="Q18" s="148" t="n">
        <v>94.98999999999999</v>
      </c>
      <c r="R18" s="148">
        <f>IF(AND(ISNUMBER(N18),ISNUMBER(Q18),N(Q18)&gt;0),N18/Q18-1,"")</f>
        <v/>
      </c>
      <c r="S18" s="148" t="n">
        <v>15914</v>
      </c>
      <c r="T18" s="148" t="n">
        <v>35</v>
      </c>
      <c r="U18" s="148" t="n">
        <v>4.3</v>
      </c>
      <c r="V18" s="148" t="n">
        <v>474</v>
      </c>
      <c r="W18" s="148" t="n">
        <v>243610</v>
      </c>
      <c r="X18" s="148" t="n">
        <v>0.1385290000410493</v>
      </c>
      <c r="Y18" s="148" t="n">
        <v>540</v>
      </c>
      <c r="Z18" s="148" t="n">
        <v>586</v>
      </c>
      <c r="AA18" s="148" t="n">
        <v>1381</v>
      </c>
      <c r="AB18" s="148" t="n">
        <v>2.102564102564103</v>
      </c>
      <c r="AC18" s="148" t="inlineStr">
        <is>
          <t>US DC B4</t>
        </is>
      </c>
      <c r="AD18" s="148">
        <f>'US DC B4'!BF141</f>
        <v/>
      </c>
      <c r="AE18" s="148">
        <f>'US DC B4'!BI141</f>
        <v/>
      </c>
      <c r="AF18" s="148" t="inlineStr">
        <is>
          <t>King - 2 Pillowcases</t>
        </is>
      </c>
      <c r="AG18" s="148" t="inlineStr">
        <is>
          <t>10 - Mocha</t>
        </is>
      </c>
      <c r="AH18" s="148">
        <f>AND(E18="CA",OR('CA Dashboard'!$C$4="All",'CA Dashboard'!$C$4=D18),OR('CA Dashboard'!$C$5="All",'CA Dashboard'!$C$5=G18),OR('CA Dashboard'!$C$6="All",'CA Dashboard'!$C$6=H18),OR('CA Dashboard'!$C$7="All",'CA Dashboard'!$C$7=F18),OR('CA Dashboard'!$C$8="All",'CA Dashboard'!$C$8=AJ18))</f>
        <v/>
      </c>
      <c r="AI18" s="148">
        <f>IF(AH18,AI17+1,AI17)</f>
        <v/>
      </c>
      <c r="AJ18" s="148" t="inlineStr">
        <is>
          <t>Direct</t>
        </is>
      </c>
      <c r="AK18" s="148" t="inlineStr">
        <is>
          <t>Same product (sheet set) in the same material family: Bamboo viscose (product page material: Organically Grown Bamboo Viscose); ours: our listing: viscose from bamboo.</t>
        </is>
      </c>
    </row>
    <row r="19">
      <c r="A19" s="148">
        <f>AND(E19="US",OR('US Dashboard'!$C$4="All",'US Dashboard'!$C$4=D19),OR('US Dashboard'!$C$5="All",'US Dashboard'!$C$5=G19),OR('US Dashboard'!$C$6="All",'US Dashboard'!$C$6=H19),OR('US Dashboard'!$C$7="All",'US Dashboard'!$C$7=F19),OR('US Dashboard'!$C$8="All",'US Dashboard'!$C$8=AJ19))</f>
        <v/>
      </c>
      <c r="B19" s="148">
        <f>IF(A19,B18+1,B18)</f>
        <v/>
      </c>
      <c r="C19" s="148" t="n">
        <v>59</v>
      </c>
      <c r="D19" s="148" t="inlineStr">
        <is>
          <t>DC B4</t>
        </is>
      </c>
      <c r="E19" s="148" t="inlineStr">
        <is>
          <t>US</t>
        </is>
      </c>
      <c r="F19" s="148" t="inlineStr">
        <is>
          <t>Bamboo</t>
        </is>
      </c>
      <c r="G19" s="148" t="inlineStr">
        <is>
          <t>Bamboo Bay</t>
        </is>
      </c>
      <c r="H19" s="148" t="inlineStr">
        <is>
          <t>Beatable</t>
        </is>
      </c>
      <c r="I19" s="148" t="inlineStr">
        <is>
          <t>Bamboo Bay 4 Piece Queen Size Sheet Set, 100% Viscose Made from Bamboo, Breathab</t>
        </is>
      </c>
      <c r="J19" s="148" t="inlineStr">
        <is>
          <t>https://m.media-amazon.com/images/I/71sMGbbi-RL._AC_SL1500_.jpg</t>
        </is>
      </c>
      <c r="K19" s="148" t="inlineStr">
        <is>
          <t>B0DLD8982V</t>
        </is>
      </c>
      <c r="L19" s="148" t="inlineStr">
        <is>
          <t>B08M9QK14J</t>
        </is>
      </c>
      <c r="M19" s="148" t="n">
        <v>20</v>
      </c>
      <c r="N19" s="148" t="n">
        <v>89.98</v>
      </c>
      <c r="O19" s="148" t="n"/>
      <c r="P19" s="148">
        <f>IF(AND(ISNUMBER(O19),ISNUMBER(N19),N(N19)&gt;0),O19/N19-1,"")</f>
        <v/>
      </c>
      <c r="Q19" s="148" t="n">
        <v>89.98999999999999</v>
      </c>
      <c r="R19" s="148">
        <f>IF(AND(ISNUMBER(N19),ISNUMBER(Q19),N(Q19)&gt;0),N19/Q19-1,"")</f>
        <v/>
      </c>
      <c r="S19" s="148" t="n">
        <v>263209</v>
      </c>
      <c r="T19" s="148" t="n">
        <v>18</v>
      </c>
      <c r="U19" s="148" t="n">
        <v>4.4</v>
      </c>
      <c r="V19" s="148" t="n">
        <v>739</v>
      </c>
      <c r="W19" s="148" t="n">
        <v>67928</v>
      </c>
      <c r="X19" s="148" t="n">
        <v>0.313496176834295</v>
      </c>
      <c r="Y19" s="148" t="n">
        <v>269</v>
      </c>
      <c r="Z19" s="148" t="n">
        <v>172</v>
      </c>
      <c r="AA19" s="148" t="n">
        <v>320</v>
      </c>
      <c r="AB19" s="148" t="n">
        <v>0.7336182336182336</v>
      </c>
      <c r="AC19" s="148" t="inlineStr">
        <is>
          <t>US DC B4</t>
        </is>
      </c>
      <c r="AD19" s="148">
        <f>'US DC B4'!BF142</f>
        <v/>
      </c>
      <c r="AE19" s="148">
        <f>'US DC B4'!BI142</f>
        <v/>
      </c>
      <c r="AF19" s="148" t="inlineStr">
        <is>
          <t>Queen</t>
        </is>
      </c>
      <c r="AG19" s="148" t="inlineStr">
        <is>
          <t>01 - White</t>
        </is>
      </c>
      <c r="AH19" s="148">
        <f>AND(E19="CA",OR('CA Dashboard'!$C$4="All",'CA Dashboard'!$C$4=D19),OR('CA Dashboard'!$C$5="All",'CA Dashboard'!$C$5=G19),OR('CA Dashboard'!$C$6="All",'CA Dashboard'!$C$6=H19),OR('CA Dashboard'!$C$7="All",'CA Dashboard'!$C$7=F19),OR('CA Dashboard'!$C$8="All",'CA Dashboard'!$C$8=AJ19))</f>
        <v/>
      </c>
      <c r="AI19" s="148">
        <f>IF(AH19,AI18+1,AI18)</f>
        <v/>
      </c>
      <c r="AJ19" s="148" t="inlineStr">
        <is>
          <t>Direct</t>
        </is>
      </c>
      <c r="AK19" s="148" t="inlineStr">
        <is>
          <t>Same product (sheet set) in the same material family: Bamboo viscose (product page material: Viscose Made from Bamboo); ours: our listing: viscose from bamboo.</t>
        </is>
      </c>
    </row>
    <row r="20">
      <c r="A20" s="148">
        <f>AND(E20="US",OR('US Dashboard'!$C$4="All",'US Dashboard'!$C$4=D20),OR('US Dashboard'!$C$5="All",'US Dashboard'!$C$5=G20),OR('US Dashboard'!$C$6="All",'US Dashboard'!$C$6=H20),OR('US Dashboard'!$C$7="All",'US Dashboard'!$C$7=F20),OR('US Dashboard'!$C$8="All",'US Dashboard'!$C$8=AJ20))</f>
        <v/>
      </c>
      <c r="B20" s="148">
        <f>IF(A20,B19+1,B19)</f>
        <v/>
      </c>
      <c r="C20" s="148" t="n">
        <v>59</v>
      </c>
      <c r="D20" s="148" t="inlineStr">
        <is>
          <t>DC B4</t>
        </is>
      </c>
      <c r="E20" s="148" t="inlineStr">
        <is>
          <t>US</t>
        </is>
      </c>
      <c r="F20" s="148" t="inlineStr">
        <is>
          <t>Bamboo</t>
        </is>
      </c>
      <c r="G20" s="148" t="inlineStr">
        <is>
          <t>California Design Den</t>
        </is>
      </c>
      <c r="H20" s="148" t="inlineStr">
        <is>
          <t>Beatable</t>
        </is>
      </c>
      <c r="I20" s="148" t="inlineStr">
        <is>
          <t>California Design Den 100% Viscose from Bamboo Sheets Queen, Dark Olive</t>
        </is>
      </c>
      <c r="J20" s="148" t="inlineStr">
        <is>
          <t>https://m.media-amazon.com/images/I/71MnWA4xzHL._AC_SL1500_.jpg</t>
        </is>
      </c>
      <c r="K20" s="148" t="inlineStr">
        <is>
          <t>B0HFBJPD56</t>
        </is>
      </c>
      <c r="L20" s="148" t="inlineStr">
        <is>
          <t>B0GWHPJ9SD</t>
        </is>
      </c>
      <c r="M20" s="148" t="n">
        <v>81</v>
      </c>
      <c r="N20" s="148" t="n">
        <v>89.98999999999999</v>
      </c>
      <c r="O20" s="148" t="n"/>
      <c r="P20" s="148">
        <f>IF(AND(ISNUMBER(O20),ISNUMBER(N20),N(N20)&gt;0),O20/N20-1,"")</f>
        <v/>
      </c>
      <c r="Q20" s="148" t="n">
        <v>89.98999999999999</v>
      </c>
      <c r="R20" s="148">
        <f>IF(AND(ISNUMBER(N20),ISNUMBER(Q20),N(Q20)&gt;0),N20/Q20-1,"")</f>
        <v/>
      </c>
      <c r="S20" s="148" t="n">
        <v>21237</v>
      </c>
      <c r="T20" s="148" t="n">
        <v>18</v>
      </c>
      <c r="U20" s="148" t="n">
        <v>4.6</v>
      </c>
      <c r="V20" s="148" t="n">
        <v>76</v>
      </c>
      <c r="W20" s="148" t="n">
        <v>103642</v>
      </c>
      <c r="X20" s="148" t="n">
        <v>0.8956907055054905</v>
      </c>
      <c r="Y20" s="148" t="n">
        <v>288</v>
      </c>
      <c r="Z20" s="148" t="n">
        <v>515</v>
      </c>
      <c r="AA20" s="148" t="n">
        <v>192</v>
      </c>
      <c r="AB20" s="148" t="n"/>
      <c r="AC20" s="148" t="inlineStr">
        <is>
          <t>US DC B4</t>
        </is>
      </c>
      <c r="AD20" s="148">
        <f>'US DC B4'!BF143</f>
        <v/>
      </c>
      <c r="AE20" s="148">
        <f>'US DC B4'!BI143</f>
        <v/>
      </c>
      <c r="AF20" s="148" t="inlineStr">
        <is>
          <t>Queen</t>
        </is>
      </c>
      <c r="AG20" s="148" t="inlineStr">
        <is>
          <t>Bright White</t>
        </is>
      </c>
      <c r="AH20" s="148">
        <f>AND(E20="CA",OR('CA Dashboard'!$C$4="All",'CA Dashboard'!$C$4=D20),OR('CA Dashboard'!$C$5="All",'CA Dashboard'!$C$5=G20),OR('CA Dashboard'!$C$6="All",'CA Dashboard'!$C$6=H20),OR('CA Dashboard'!$C$7="All",'CA Dashboard'!$C$7=F20),OR('CA Dashboard'!$C$8="All",'CA Dashboard'!$C$8=AJ20))</f>
        <v/>
      </c>
      <c r="AI20" s="148">
        <f>IF(AH20,AI19+1,AI19)</f>
        <v/>
      </c>
      <c r="AJ20" s="148" t="inlineStr">
        <is>
          <t>Direct</t>
        </is>
      </c>
      <c r="AK20" s="148" t="inlineStr">
        <is>
          <t>Same product (sheet set) in the same material family: Bamboo viscose (product page material: Viscose Derived from Bamboo); ours: our listing: viscose from bamboo.</t>
        </is>
      </c>
    </row>
    <row r="21">
      <c r="A21" s="148">
        <f>AND(E21="US",OR('US Dashboard'!$C$4="All",'US Dashboard'!$C$4=D21),OR('US Dashboard'!$C$5="All",'US Dashboard'!$C$5=G21),OR('US Dashboard'!$C$6="All",'US Dashboard'!$C$6=H21),OR('US Dashboard'!$C$7="All",'US Dashboard'!$C$7=F21),OR('US Dashboard'!$C$8="All",'US Dashboard'!$C$8=AJ21))</f>
        <v/>
      </c>
      <c r="B21" s="148">
        <f>IF(A21,B20+1,B20)</f>
        <v/>
      </c>
      <c r="C21" s="148" t="n">
        <v>59</v>
      </c>
      <c r="D21" s="148" t="inlineStr">
        <is>
          <t>DC B4</t>
        </is>
      </c>
      <c r="E21" s="148" t="inlineStr">
        <is>
          <t>US</t>
        </is>
      </c>
      <c r="F21" s="148" t="inlineStr">
        <is>
          <t>Bamboo</t>
        </is>
      </c>
      <c r="G21" s="148" t="inlineStr">
        <is>
          <t>TWK</t>
        </is>
      </c>
      <c r="H21" s="148" t="inlineStr">
        <is>
          <t>Beatable</t>
        </is>
      </c>
      <c r="I21" s="148" t="inlineStr">
        <is>
          <t>TWK Real 100% Viscose Derived from Bamboo Sheets Set Queen Size, Cooling &amp; Silky</t>
        </is>
      </c>
      <c r="J21" s="148" t="inlineStr">
        <is>
          <t>https://images-na.ssl-images-amazon.com/images/I/71X+0TBtodL.jpg</t>
        </is>
      </c>
      <c r="K21" s="148" t="inlineStr">
        <is>
          <t>B0HHQG3RSW</t>
        </is>
      </c>
      <c r="L21" s="148" t="inlineStr">
        <is>
          <t>B0G1N8QS55</t>
        </is>
      </c>
      <c r="M21" s="148" t="n">
        <v>13</v>
      </c>
      <c r="N21" s="148" t="n">
        <v>65</v>
      </c>
      <c r="O21" s="148" t="n">
        <v>79</v>
      </c>
      <c r="P21" s="148">
        <f>IF(AND(ISNUMBER(O21),ISNUMBER(N21),N(N21)&gt;0),O21/N21-1,"")</f>
        <v/>
      </c>
      <c r="Q21" s="148" t="n">
        <v>89.98999999999999</v>
      </c>
      <c r="R21" s="148">
        <f>IF(AND(ISNUMBER(N21),ISNUMBER(Q21),N(Q21)&gt;0),N21/Q21-1,"")</f>
        <v/>
      </c>
      <c r="S21" s="148" t="n">
        <v>196488</v>
      </c>
      <c r="T21" s="148" t="n">
        <v>18</v>
      </c>
      <c r="U21" s="148" t="n">
        <v>4.9</v>
      </c>
      <c r="V21" s="148" t="n">
        <v>121</v>
      </c>
      <c r="W21" s="148" t="n">
        <v>82471</v>
      </c>
      <c r="X21" s="148" t="n">
        <v>0.8861114561482216</v>
      </c>
      <c r="Y21" s="148" t="n">
        <v>247</v>
      </c>
      <c r="Z21" s="148" t="n">
        <v>326</v>
      </c>
      <c r="AA21" s="148" t="n">
        <v>43</v>
      </c>
      <c r="AB21" s="148" t="n"/>
      <c r="AC21" s="148" t="inlineStr">
        <is>
          <t>US DC B4</t>
        </is>
      </c>
      <c r="AD21" s="148">
        <f>'US DC B4'!BF144</f>
        <v/>
      </c>
      <c r="AE21" s="148">
        <f>'US DC B4'!BI144</f>
        <v/>
      </c>
      <c r="AF21" s="148" t="inlineStr">
        <is>
          <t>Queen</t>
        </is>
      </c>
      <c r="AG21" s="148" t="inlineStr">
        <is>
          <t>Sand</t>
        </is>
      </c>
      <c r="AH21" s="148">
        <f>AND(E21="CA",OR('CA Dashboard'!$C$4="All",'CA Dashboard'!$C$4=D21),OR('CA Dashboard'!$C$5="All",'CA Dashboard'!$C$5=G21),OR('CA Dashboard'!$C$6="All",'CA Dashboard'!$C$6=H21),OR('CA Dashboard'!$C$7="All",'CA Dashboard'!$C$7=F21),OR('CA Dashboard'!$C$8="All",'CA Dashboard'!$C$8=AJ21))</f>
        <v/>
      </c>
      <c r="AI21" s="148">
        <f>IF(AH21,AI20+1,AI20)</f>
        <v/>
      </c>
      <c r="AJ21" s="148" t="inlineStr">
        <is>
          <t>Direct</t>
        </is>
      </c>
      <c r="AK21" s="148" t="inlineStr">
        <is>
          <t>Same product (sheet set) in the same material family: Bamboo viscose (product page material: Genuine 100% Viscose Derived from Bamboo); ours: our listing: viscose from bamboo.</t>
        </is>
      </c>
    </row>
    <row r="22">
      <c r="A22" s="148">
        <f>AND(E22="US",OR('US Dashboard'!$C$4="All",'US Dashboard'!$C$4=D22),OR('US Dashboard'!$C$5="All",'US Dashboard'!$C$5=G22),OR('US Dashboard'!$C$6="All",'US Dashboard'!$C$6=H22),OR('US Dashboard'!$C$7="All",'US Dashboard'!$C$7=F22),OR('US Dashboard'!$C$8="All",'US Dashboard'!$C$8=AJ22))</f>
        <v/>
      </c>
      <c r="B22" s="148">
        <f>IF(A22,B21+1,B21)</f>
        <v/>
      </c>
      <c r="C22" s="148" t="n">
        <v>59</v>
      </c>
      <c r="D22" s="148" t="inlineStr">
        <is>
          <t>DC B4</t>
        </is>
      </c>
      <c r="E22" s="148" t="inlineStr">
        <is>
          <t>US</t>
        </is>
      </c>
      <c r="F22" s="148" t="inlineStr">
        <is>
          <t>Bamboo</t>
        </is>
      </c>
      <c r="G22" s="148" t="inlineStr">
        <is>
          <t>BAMPURE</t>
        </is>
      </c>
      <c r="H22" s="148" t="inlineStr">
        <is>
          <t>Beatable</t>
        </is>
      </c>
      <c r="I22" s="148" t="inlineStr">
        <is>
          <t>Bamboo Sheets</t>
        </is>
      </c>
      <c r="J22" s="148" t="inlineStr">
        <is>
          <t>https://m.media-amazon.com/images/I/61A6QLdfwQL._AC_SL1500_.jpg</t>
        </is>
      </c>
      <c r="K22" s="148" t="inlineStr">
        <is>
          <t>B07XC2KVM7</t>
        </is>
      </c>
      <c r="L22" s="148" t="inlineStr">
        <is>
          <t>B07XC2KVM7</t>
        </is>
      </c>
      <c r="M22" s="148" t="n"/>
      <c r="N22" s="148" t="n">
        <v>37.99</v>
      </c>
      <c r="O22" s="148" t="n"/>
      <c r="P22" s="148">
        <f>IF(AND(ISNUMBER(O22),ISNUMBER(N22),N(N22)&gt;0),O22/N22-1,"")</f>
        <v/>
      </c>
      <c r="Q22" s="148" t="n">
        <v>64.98999999999999</v>
      </c>
      <c r="R22" s="148">
        <f>IF(AND(ISNUMBER(N22),ISNUMBER(Q22),N(Q22)&gt;0),N22/Q22-1,"")</f>
        <v/>
      </c>
      <c r="S22" s="148" t="n">
        <v>2541068</v>
      </c>
      <c r="T22" s="148" t="n">
        <v>5</v>
      </c>
      <c r="U22" s="148" t="n">
        <v>4.4</v>
      </c>
      <c r="V22" s="148" t="n">
        <v>30</v>
      </c>
      <c r="W22" s="148" t="n"/>
      <c r="X22" s="148" t="n"/>
      <c r="Y22" s="148" t="n"/>
      <c r="Z22" s="148" t="n"/>
      <c r="AA22" s="148" t="n"/>
      <c r="AB22" s="148" t="n"/>
      <c r="AC22" s="148" t="inlineStr">
        <is>
          <t>US DC B4</t>
        </is>
      </c>
      <c r="AD22" s="148">
        <f>'US DC B4'!BF145</f>
        <v/>
      </c>
      <c r="AE22" s="148">
        <f>'US DC B4'!BI145</f>
        <v/>
      </c>
      <c r="AF22" s="148" t="inlineStr">
        <is>
          <t>Twin - 3 Pieces Set</t>
        </is>
      </c>
      <c r="AG22" s="148" t="inlineStr">
        <is>
          <t>White</t>
        </is>
      </c>
      <c r="AH22" s="148">
        <f>AND(E22="CA",OR('CA Dashboard'!$C$4="All",'CA Dashboard'!$C$4=D22),OR('CA Dashboard'!$C$5="All",'CA Dashboard'!$C$5=G22),OR('CA Dashboard'!$C$6="All",'CA Dashboard'!$C$6=H22),OR('CA Dashboard'!$C$7="All",'CA Dashboard'!$C$7=F22),OR('CA Dashboard'!$C$8="All",'CA Dashboard'!$C$8=AJ22))</f>
        <v/>
      </c>
      <c r="AI22" s="148">
        <f>IF(AH22,AI21+1,AI21)</f>
        <v/>
      </c>
      <c r="AJ22" s="148" t="inlineStr">
        <is>
          <t>Direct</t>
        </is>
      </c>
      <c r="AK22" s="148" t="inlineStr">
        <is>
          <t>Same product (sheet set) in the same material family: Bamboo viscose (product page material: Viscose derived from Bamboo); ours: our listing: viscose from bamboo.</t>
        </is>
      </c>
    </row>
    <row r="23">
      <c r="A23" s="148">
        <f>AND(E23="US",OR('US Dashboard'!$C$4="All",'US Dashboard'!$C$4=D23),OR('US Dashboard'!$C$5="All",'US Dashboard'!$C$5=G23),OR('US Dashboard'!$C$6="All",'US Dashboard'!$C$6=H23),OR('US Dashboard'!$C$7="All",'US Dashboard'!$C$7=F23),OR('US Dashboard'!$C$8="All",'US Dashboard'!$C$8=AJ23))</f>
        <v/>
      </c>
      <c r="B23" s="148">
        <f>IF(A23,B22+1,B22)</f>
        <v/>
      </c>
      <c r="C23" s="148" t="n">
        <v>59</v>
      </c>
      <c r="D23" s="148" t="inlineStr">
        <is>
          <t>DC B4</t>
        </is>
      </c>
      <c r="E23" s="148" t="inlineStr">
        <is>
          <t>US</t>
        </is>
      </c>
      <c r="F23" s="148" t="inlineStr">
        <is>
          <t>Bamboo</t>
        </is>
      </c>
      <c r="G23" s="148" t="inlineStr">
        <is>
          <t>BC BELLA COTERIE</t>
        </is>
      </c>
      <c r="H23" s="148" t="inlineStr">
        <is>
          <t>Beatable</t>
        </is>
      </c>
      <c r="I23" s="148" t="inlineStr">
        <is>
          <t>4 Piece Bamboo Sheet Set</t>
        </is>
      </c>
      <c r="J23" s="148" t="inlineStr">
        <is>
          <t>https://m.media-amazon.com/images/I/81BvQVXWCLL._AC_SL1500_.jpg</t>
        </is>
      </c>
      <c r="K23" s="148" t="inlineStr">
        <is>
          <t>B0H29V113N</t>
        </is>
      </c>
      <c r="L23" s="148" t="inlineStr">
        <is>
          <t>B0G674ZDTV</t>
        </is>
      </c>
      <c r="M23" s="148" t="n"/>
      <c r="N23" s="148" t="n">
        <v>159.99</v>
      </c>
      <c r="O23" s="148" t="n"/>
      <c r="P23" s="148">
        <f>IF(AND(ISNUMBER(O23),ISNUMBER(N23),N(N23)&gt;0),O23/N23-1,"")</f>
        <v/>
      </c>
      <c r="Q23" s="148" t="n">
        <v>89.98999999999999</v>
      </c>
      <c r="R23" s="148">
        <f>IF(AND(ISNUMBER(N23),ISNUMBER(Q23),N(Q23)&gt;0),N23/Q23-1,"")</f>
        <v/>
      </c>
      <c r="S23" s="148" t="n">
        <v>1577</v>
      </c>
      <c r="T23" s="148" t="n">
        <v>5</v>
      </c>
      <c r="U23" s="148" t="n">
        <v>4.4</v>
      </c>
      <c r="V23" s="148" t="n">
        <v>5652</v>
      </c>
      <c r="W23" s="148" t="n"/>
      <c r="X23" s="148" t="n"/>
      <c r="Y23" s="148" t="n"/>
      <c r="Z23" s="148" t="n"/>
      <c r="AA23" s="148" t="n"/>
      <c r="AB23" s="148" t="n"/>
      <c r="AC23" s="148" t="inlineStr">
        <is>
          <t>US DC B4</t>
        </is>
      </c>
      <c r="AD23" s="148">
        <f>'US DC B4'!BF146</f>
        <v/>
      </c>
      <c r="AE23" s="148">
        <f>'US DC B4'!BI146</f>
        <v/>
      </c>
      <c r="AF23" s="148" t="inlineStr">
        <is>
          <t>Queen - 2 Pillowcases</t>
        </is>
      </c>
      <c r="AG23" s="148" t="inlineStr">
        <is>
          <t>22 - Striped Dune</t>
        </is>
      </c>
      <c r="AH23" s="148">
        <f>AND(E23="CA",OR('CA Dashboard'!$C$4="All",'CA Dashboard'!$C$4=D23),OR('CA Dashboard'!$C$5="All",'CA Dashboard'!$C$5=G23),OR('CA Dashboard'!$C$6="All",'CA Dashboard'!$C$6=H23),OR('CA Dashboard'!$C$7="All",'CA Dashboard'!$C$7=F23),OR('CA Dashboard'!$C$8="All",'CA Dashboard'!$C$8=AJ23))</f>
        <v/>
      </c>
      <c r="AI23" s="148">
        <f>IF(AH23,AI22+1,AI22)</f>
        <v/>
      </c>
      <c r="AJ23" s="148" t="inlineStr">
        <is>
          <t>Direct</t>
        </is>
      </c>
      <c r="AK23" s="148" t="inlineStr">
        <is>
          <t>Same product (sheet set) in the same material family: Bamboo viscose (product page material: Organically Grown | Viscose Made From Bamboo); ours: our listing: viscose from bamboo.</t>
        </is>
      </c>
    </row>
    <row r="24">
      <c r="A24" s="148">
        <f>AND(E24="US",OR('US Dashboard'!$C$4="All",'US Dashboard'!$C$4=D24),OR('US Dashboard'!$C$5="All",'US Dashboard'!$C$5=G24),OR('US Dashboard'!$C$6="All",'US Dashboard'!$C$6=H24),OR('US Dashboard'!$C$7="All",'US Dashboard'!$C$7=F24),OR('US Dashboard'!$C$8="All",'US Dashboard'!$C$8=AJ24))</f>
        <v/>
      </c>
      <c r="B24" s="148">
        <f>IF(A24,B23+1,B23)</f>
        <v/>
      </c>
      <c r="C24" s="148" t="n">
        <v>59</v>
      </c>
      <c r="D24" s="148" t="inlineStr">
        <is>
          <t>DC B4</t>
        </is>
      </c>
      <c r="E24" s="148" t="inlineStr">
        <is>
          <t>US</t>
        </is>
      </c>
      <c r="F24" s="148" t="inlineStr">
        <is>
          <t>Bamboo</t>
        </is>
      </c>
      <c r="G24" s="148" t="inlineStr">
        <is>
          <t>Tafts</t>
        </is>
      </c>
      <c r="H24" s="148" t="inlineStr">
        <is>
          <t>Beatable</t>
        </is>
      </c>
      <c r="I24" s="148" t="inlineStr">
        <is>
          <t>Bamboo Sheets Queen Size, 100% Pure Viscose derived from Bamboo Bed Sheet Set, L</t>
        </is>
      </c>
      <c r="J24" s="148" t="inlineStr">
        <is>
          <t>https://m.media-amazon.com/images/I/71-mwiI1N+L._AC_SL1500_.jpg</t>
        </is>
      </c>
      <c r="K24" s="148" t="inlineStr">
        <is>
          <t>B0D34K3FB9</t>
        </is>
      </c>
      <c r="L24" s="148" t="inlineStr">
        <is>
          <t>B07YSVNCVT</t>
        </is>
      </c>
      <c r="M24" s="148" t="n">
        <v>23</v>
      </c>
      <c r="N24" s="148" t="n">
        <v>104.99</v>
      </c>
      <c r="O24" s="148" t="n"/>
      <c r="P24" s="148">
        <f>IF(AND(ISNUMBER(O24),ISNUMBER(N24),N(N24)&gt;0),O24/N24-1,"")</f>
        <v/>
      </c>
      <c r="Q24" s="148" t="n">
        <v>89.98999999999999</v>
      </c>
      <c r="R24" s="148">
        <f>IF(AND(ISNUMBER(N24),ISNUMBER(Q24),N(Q24)&gt;0),N24/Q24-1,"")</f>
        <v/>
      </c>
      <c r="S24" s="148" t="n">
        <v>184749</v>
      </c>
      <c r="T24" s="148" t="n">
        <v>5</v>
      </c>
      <c r="U24" s="148" t="n">
        <v>4.5</v>
      </c>
      <c r="V24" s="148" t="n">
        <v>3184</v>
      </c>
      <c r="W24" s="148" t="n">
        <v>11787</v>
      </c>
      <c r="X24" s="148" t="n">
        <v>0.9613189955035204</v>
      </c>
      <c r="Y24" s="148" t="n">
        <v>163</v>
      </c>
      <c r="Z24" s="148" t="n">
        <v>39</v>
      </c>
      <c r="AA24" s="148" t="n">
        <v>17</v>
      </c>
      <c r="AB24" s="148" t="n"/>
      <c r="AC24" s="148" t="inlineStr">
        <is>
          <t>US DC B4</t>
        </is>
      </c>
      <c r="AD24" s="148">
        <f>'US DC B4'!BF147</f>
        <v/>
      </c>
      <c r="AE24" s="148">
        <f>'US DC B4'!BI147</f>
        <v/>
      </c>
      <c r="AF24" s="148" t="inlineStr">
        <is>
          <t>Queen</t>
        </is>
      </c>
      <c r="AG24" s="148" t="inlineStr">
        <is>
          <t>Nude Beige</t>
        </is>
      </c>
      <c r="AH24" s="148">
        <f>AND(E24="CA",OR('CA Dashboard'!$C$4="All",'CA Dashboard'!$C$4=D24),OR('CA Dashboard'!$C$5="All",'CA Dashboard'!$C$5=G24),OR('CA Dashboard'!$C$6="All",'CA Dashboard'!$C$6=H24),OR('CA Dashboard'!$C$7="All",'CA Dashboard'!$C$7=F24),OR('CA Dashboard'!$C$8="All",'CA Dashboard'!$C$8=AJ24))</f>
        <v/>
      </c>
      <c r="AI24" s="148">
        <f>IF(AH24,AI23+1,AI23)</f>
        <v/>
      </c>
      <c r="AJ24" s="148" t="inlineStr">
        <is>
          <t>Direct</t>
        </is>
      </c>
      <c r="AK24" s="148" t="inlineStr">
        <is>
          <t>Same product (sheet set) in the same material family: Bamboo viscose (product page material: Viscose derived from Bamboo); ours: our listing: viscose from bamboo.</t>
        </is>
      </c>
    </row>
    <row r="25">
      <c r="A25" s="148">
        <f>AND(E25="US",OR('US Dashboard'!$C$4="All",'US Dashboard'!$C$4=D25),OR('US Dashboard'!$C$5="All",'US Dashboard'!$C$5=G25),OR('US Dashboard'!$C$6="All",'US Dashboard'!$C$6=H25),OR('US Dashboard'!$C$7="All",'US Dashboard'!$C$7=F25),OR('US Dashboard'!$C$8="All",'US Dashboard'!$C$8=AJ25))</f>
        <v/>
      </c>
      <c r="B25" s="148">
        <f>IF(A25,B24+1,B24)</f>
        <v/>
      </c>
      <c r="C25" s="148" t="n">
        <v>59</v>
      </c>
      <c r="D25" s="148" t="inlineStr">
        <is>
          <t>DC B4</t>
        </is>
      </c>
      <c r="E25" s="148" t="inlineStr">
        <is>
          <t>US</t>
        </is>
      </c>
      <c r="F25" s="148" t="inlineStr">
        <is>
          <t>Bamboo</t>
        </is>
      </c>
      <c r="G25" s="148" t="inlineStr">
        <is>
          <t>TWK</t>
        </is>
      </c>
      <c r="H25" s="148" t="inlineStr">
        <is>
          <t>Beatable</t>
        </is>
      </c>
      <c r="I25" s="148" t="inlineStr">
        <is>
          <t>TWK Real 100% Viscose Derived from Bamboo Sheets Set Queen Size, Cooling &amp; Silky</t>
        </is>
      </c>
      <c r="J25" s="148" t="inlineStr">
        <is>
          <t>https://m.media-amazon.com/images/I/71QUqgRttAL._AC_SL1500_.jpg</t>
        </is>
      </c>
      <c r="K25" s="148" t="inlineStr">
        <is>
          <t>B0HHQG3RSW</t>
        </is>
      </c>
      <c r="L25" s="148" t="inlineStr">
        <is>
          <t>B0HHRR4XGX</t>
        </is>
      </c>
      <c r="M25" s="148" t="n">
        <v>1</v>
      </c>
      <c r="N25" s="148" t="n">
        <v>105</v>
      </c>
      <c r="O25" s="148" t="n"/>
      <c r="P25" s="148">
        <f>IF(AND(ISNUMBER(O25),ISNUMBER(N25),N(N25)&gt;0),O25/N25-1,"")</f>
        <v/>
      </c>
      <c r="Q25" s="148" t="n">
        <v>89.98999999999999</v>
      </c>
      <c r="R25" s="148">
        <f>IF(AND(ISNUMBER(N25),ISNUMBER(Q25),N(Q25)&gt;0),N25/Q25-1,"")</f>
        <v/>
      </c>
      <c r="S25" s="148" t="n"/>
      <c r="T25" s="148" t="n">
        <v>5</v>
      </c>
      <c r="U25" s="148" t="n">
        <v>4.5</v>
      </c>
      <c r="V25" s="148" t="n"/>
      <c r="W25" s="148" t="n">
        <v>30066</v>
      </c>
      <c r="X25" s="148" t="n">
        <v>1</v>
      </c>
      <c r="Y25" s="148" t="n">
        <v>54</v>
      </c>
      <c r="Z25" s="148" t="n">
        <v>16</v>
      </c>
      <c r="AA25" s="148" t="n">
        <v>0</v>
      </c>
      <c r="AB25" s="148" t="n"/>
      <c r="AC25" s="148" t="inlineStr">
        <is>
          <t>US DC B4</t>
        </is>
      </c>
      <c r="AD25" s="148">
        <f>'US DC B4'!BF148</f>
        <v/>
      </c>
      <c r="AE25" s="148">
        <f>'US DC B4'!BI148</f>
        <v/>
      </c>
      <c r="AF25" s="148" t="inlineStr">
        <is>
          <t>Queen</t>
        </is>
      </c>
      <c r="AG25" s="148" t="inlineStr">
        <is>
          <t>White</t>
        </is>
      </c>
      <c r="AH25" s="148">
        <f>AND(E25="CA",OR('CA Dashboard'!$C$4="All",'CA Dashboard'!$C$4=D25),OR('CA Dashboard'!$C$5="All",'CA Dashboard'!$C$5=G25),OR('CA Dashboard'!$C$6="All",'CA Dashboard'!$C$6=H25),OR('CA Dashboard'!$C$7="All",'CA Dashboard'!$C$7=F25),OR('CA Dashboard'!$C$8="All",'CA Dashboard'!$C$8=AJ25))</f>
        <v/>
      </c>
      <c r="AI25" s="148">
        <f>IF(AH25,AI24+1,AI24)</f>
        <v/>
      </c>
      <c r="AJ25" s="148" t="inlineStr">
        <is>
          <t>Direct</t>
        </is>
      </c>
      <c r="AK25" s="148" t="inlineStr">
        <is>
          <t>Same product (sheet set) in the same material family: Bamboo viscose (product page material: Genuine 100% Viscose Derived from Bamboo); ours: our listing: viscose from bamboo.</t>
        </is>
      </c>
    </row>
    <row r="26">
      <c r="A26" s="148">
        <f>AND(E26="US",OR('US Dashboard'!$C$4="All",'US Dashboard'!$C$4=D26),OR('US Dashboard'!$C$5="All",'US Dashboard'!$C$5=G26),OR('US Dashboard'!$C$6="All",'US Dashboard'!$C$6=H26),OR('US Dashboard'!$C$7="All",'US Dashboard'!$C$7=F26),OR('US Dashboard'!$C$8="All",'US Dashboard'!$C$8=AJ26))</f>
        <v/>
      </c>
      <c r="B26" s="148">
        <f>IF(A26,B25+1,B25)</f>
        <v/>
      </c>
      <c r="C26" s="148" t="n">
        <v>59</v>
      </c>
      <c r="D26" s="148" t="inlineStr">
        <is>
          <t>DC B4</t>
        </is>
      </c>
      <c r="E26" s="148" t="inlineStr">
        <is>
          <t>US</t>
        </is>
      </c>
      <c r="F26" s="148" t="inlineStr">
        <is>
          <t>Bamboo</t>
        </is>
      </c>
      <c r="G26" s="148" t="inlineStr">
        <is>
          <t>TOSMO</t>
        </is>
      </c>
      <c r="H26" s="148" t="inlineStr">
        <is>
          <t>Beatable</t>
        </is>
      </c>
      <c r="I26" s="148" t="inlineStr">
        <is>
          <t>TOSMO Luxury Cooling Sheet Set - 100% Viscose from Bamboo, 4-Piece Bedding Set (King Size) - 18” Extra Deep Pockets, Oeko-Tex Certified, Silky Soft and Breathable, Classic White</t>
        </is>
      </c>
      <c r="J26" s="148" t="n"/>
      <c r="K26" s="148" t="n"/>
      <c r="L26" s="148" t="inlineStr">
        <is>
          <t>B0DWXNH24Z</t>
        </is>
      </c>
      <c r="M26" s="148" t="n"/>
      <c r="N26" s="148" t="n">
        <v>129</v>
      </c>
      <c r="O26" s="148" t="n"/>
      <c r="P26" s="148">
        <f>IF(AND(ISNUMBER(O26),ISNUMBER(N26),N(N26)&gt;0),O26/N26-1,"")</f>
        <v/>
      </c>
      <c r="Q26" s="148" t="n">
        <v>94.98999999999999</v>
      </c>
      <c r="R26" s="148">
        <f>IF(AND(ISNUMBER(N26),ISNUMBER(Q26),N(Q26)&gt;0),N26/Q26-1,"")</f>
        <v/>
      </c>
      <c r="S26" s="148" t="n">
        <v>543947</v>
      </c>
      <c r="T26" s="148" t="n"/>
      <c r="U26" s="148" t="n">
        <v>4.4</v>
      </c>
      <c r="V26" s="148" t="n">
        <v>53</v>
      </c>
      <c r="W26" s="148" t="n"/>
      <c r="X26" s="148" t="n"/>
      <c r="Y26" s="148" t="n"/>
      <c r="Z26" s="148" t="n"/>
      <c r="AA26" s="148" t="n"/>
      <c r="AB26" s="148" t="n"/>
      <c r="AC26" s="148" t="inlineStr">
        <is>
          <t>US DC B4</t>
        </is>
      </c>
      <c r="AD26" s="148">
        <f>'US DC B4'!BF149</f>
        <v/>
      </c>
      <c r="AE26" s="148">
        <f>'US DC B4'!BI149</f>
        <v/>
      </c>
      <c r="AF26" s="148" t="inlineStr">
        <is>
          <t>King</t>
        </is>
      </c>
      <c r="AG26" s="148" t="inlineStr">
        <is>
          <t>White</t>
        </is>
      </c>
      <c r="AH26" s="148">
        <f>AND(E26="CA",OR('CA Dashboard'!$C$4="All",'CA Dashboard'!$C$4=D26),OR('CA Dashboard'!$C$5="All",'CA Dashboard'!$C$5=G26),OR('CA Dashboard'!$C$6="All",'CA Dashboard'!$C$6=H26),OR('CA Dashboard'!$C$7="All",'CA Dashboard'!$C$7=F26),OR('CA Dashboard'!$C$8="All",'CA Dashboard'!$C$8=AJ26))</f>
        <v/>
      </c>
      <c r="AI26" s="148">
        <f>IF(AH26,AI25+1,AI25)</f>
        <v/>
      </c>
      <c r="AJ26" s="148" t="inlineStr">
        <is>
          <t>Direct</t>
        </is>
      </c>
      <c r="AK26" s="148" t="inlineStr">
        <is>
          <t>Same product (sheet set) in the same material family: Bamboo viscose (title: TOSMO Luxury Cooling Sheet Set - 100% Viscose from Bamboo, 4); ours: our listing: viscose from bamboo.</t>
        </is>
      </c>
    </row>
    <row r="27">
      <c r="A27" s="148">
        <f>AND(E27="US",OR('US Dashboard'!$C$4="All",'US Dashboard'!$C$4=D27),OR('US Dashboard'!$C$5="All",'US Dashboard'!$C$5=G27),OR('US Dashboard'!$C$6="All",'US Dashboard'!$C$6=H27),OR('US Dashboard'!$C$7="All",'US Dashboard'!$C$7=F27),OR('US Dashboard'!$C$8="All",'US Dashboard'!$C$8=AJ27))</f>
        <v/>
      </c>
      <c r="B27" s="148">
        <f>IF(A27,B26+1,B26)</f>
        <v/>
      </c>
      <c r="C27" s="148" t="n">
        <v>59</v>
      </c>
      <c r="D27" s="148" t="inlineStr">
        <is>
          <t>DC B4</t>
        </is>
      </c>
      <c r="E27" s="148" t="inlineStr">
        <is>
          <t>US</t>
        </is>
      </c>
      <c r="F27" s="148" t="inlineStr">
        <is>
          <t>Bamboo</t>
        </is>
      </c>
      <c r="G27" s="148" t="inlineStr">
        <is>
          <t>BAMPURE</t>
        </is>
      </c>
      <c r="H27" s="148" t="inlineStr">
        <is>
          <t>Beatable</t>
        </is>
      </c>
      <c r="I27" s="148" t="inlineStr">
        <is>
          <t>BAMPURE 100% Rayon from Bamboo Sheets Queen Size - 4pc Cooling Sheets Queen</t>
        </is>
      </c>
      <c r="J27" s="148" t="inlineStr">
        <is>
          <t>https://images-na.ssl-images-amazon.com/images/I/61fbapIObwL.jpg</t>
        </is>
      </c>
      <c r="K27" s="148" t="n"/>
      <c r="L27" s="148" t="inlineStr">
        <is>
          <t>B07XBJY2JR</t>
        </is>
      </c>
      <c r="M27" s="148" t="n">
        <v>40</v>
      </c>
      <c r="N27" s="148" t="n">
        <v>72.23</v>
      </c>
      <c r="O27" s="148" t="n"/>
      <c r="P27" s="148">
        <f>IF(AND(ISNUMBER(O27),ISNUMBER(N27),N(N27)&gt;0),O27/N27-1,"")</f>
        <v/>
      </c>
      <c r="Q27" s="148" t="n">
        <v>89.98999999999999</v>
      </c>
      <c r="R27" s="148">
        <f>IF(AND(ISNUMBER(N27),ISNUMBER(Q27),N(Q27)&gt;0),N27/Q27-1,"")</f>
        <v/>
      </c>
      <c r="S27" s="148" t="n">
        <v>14474</v>
      </c>
      <c r="T27" s="148" t="n"/>
      <c r="U27" s="148" t="n">
        <v>4.4</v>
      </c>
      <c r="V27" s="148" t="n">
        <v>4320</v>
      </c>
      <c r="W27" s="148" t="n"/>
      <c r="X27" s="148" t="n"/>
      <c r="Y27" s="148" t="n"/>
      <c r="Z27" s="148" t="n"/>
      <c r="AA27" s="148" t="n"/>
      <c r="AB27" s="148" t="n"/>
      <c r="AC27" s="148" t="inlineStr">
        <is>
          <t>US DC B4</t>
        </is>
      </c>
      <c r="AD27" s="148">
        <f>'US DC B4'!BF150</f>
        <v/>
      </c>
      <c r="AE27" s="148">
        <f>'US DC B4'!BI150</f>
        <v/>
      </c>
      <c r="AF27" s="148" t="inlineStr">
        <is>
          <t>Queen</t>
        </is>
      </c>
      <c r="AG27" s="148" t="n"/>
      <c r="AH27" s="148">
        <f>AND(E27="CA",OR('CA Dashboard'!$C$4="All",'CA Dashboard'!$C$4=D27),OR('CA Dashboard'!$C$5="All",'CA Dashboard'!$C$5=G27),OR('CA Dashboard'!$C$6="All",'CA Dashboard'!$C$6=H27),OR('CA Dashboard'!$C$7="All",'CA Dashboard'!$C$7=F27),OR('CA Dashboard'!$C$8="All",'CA Dashboard'!$C$8=AJ27))</f>
        <v/>
      </c>
      <c r="AI27" s="148">
        <f>IF(AH27,AI26+1,AI26)</f>
        <v/>
      </c>
      <c r="AJ27" s="148" t="inlineStr">
        <is>
          <t>Direct</t>
        </is>
      </c>
      <c r="AK27" s="148" t="inlineStr">
        <is>
          <t>Same product (sheet set) in the same material family: Bamboo viscose (title: BAMPURE 100% Rayon from Bamboo Sheets Queen Size - 4pc Cooli); ours: our listing: viscose from bamboo.</t>
        </is>
      </c>
    </row>
    <row r="28">
      <c r="A28" s="148">
        <f>AND(E28="US",OR('US Dashboard'!$C$4="All",'US Dashboard'!$C$4=D28),OR('US Dashboard'!$C$5="All",'US Dashboard'!$C$5=G28),OR('US Dashboard'!$C$6="All",'US Dashboard'!$C$6=H28),OR('US Dashboard'!$C$7="All",'US Dashboard'!$C$7=F28),OR('US Dashboard'!$C$8="All",'US Dashboard'!$C$8=AJ28))</f>
        <v/>
      </c>
      <c r="B28" s="148">
        <f>IF(A28,B27+1,B27)</f>
        <v/>
      </c>
      <c r="C28" s="148" t="n">
        <v>59</v>
      </c>
      <c r="D28" s="148" t="inlineStr">
        <is>
          <t>DC B4</t>
        </is>
      </c>
      <c r="E28" s="148" t="inlineStr">
        <is>
          <t>US</t>
        </is>
      </c>
      <c r="F28" s="148" t="inlineStr">
        <is>
          <t>Bamboo</t>
        </is>
      </c>
      <c r="G28" s="148" t="inlineStr">
        <is>
          <t>AiAngu</t>
        </is>
      </c>
      <c r="H28" s="148" t="inlineStr">
        <is>
          <t>Poor</t>
        </is>
      </c>
      <c r="I28" s="148" t="inlineStr">
        <is>
          <t>Bamboo Sheets</t>
        </is>
      </c>
      <c r="J28" s="148" t="inlineStr">
        <is>
          <t>https://m.media-amazon.com/images/I/71m+WEzQwhL._AC_SL1500_.jpg</t>
        </is>
      </c>
      <c r="K28" s="148" t="inlineStr">
        <is>
          <t>B0GX135KCN</t>
        </is>
      </c>
      <c r="L28" s="148" t="inlineStr">
        <is>
          <t>B0GX15Y7TT</t>
        </is>
      </c>
      <c r="M28" s="148" t="n"/>
      <c r="N28" s="148" t="n">
        <v>74.98999999999999</v>
      </c>
      <c r="O28" s="148" t="n">
        <v>79.98999999999999</v>
      </c>
      <c r="P28" s="148">
        <f>IF(AND(ISNUMBER(O28),ISNUMBER(N28),N(N28)&gt;0),O28/N28-1,"")</f>
        <v/>
      </c>
      <c r="Q28" s="148" t="n">
        <v>89.98999999999999</v>
      </c>
      <c r="R28" s="148">
        <f>IF(AND(ISNUMBER(N28),ISNUMBER(Q28),N(Q28)&gt;0),N28/Q28-1,"")</f>
        <v/>
      </c>
      <c r="S28" s="148" t="n">
        <v>39296</v>
      </c>
      <c r="T28" s="148" t="n">
        <v>81</v>
      </c>
      <c r="U28" s="148" t="n">
        <v>4.6</v>
      </c>
      <c r="V28" s="148" t="n">
        <v>121</v>
      </c>
      <c r="W28" s="148" t="n"/>
      <c r="X28" s="148" t="n"/>
      <c r="Y28" s="148" t="n"/>
      <c r="Z28" s="148" t="n"/>
      <c r="AA28" s="148" t="n"/>
      <c r="AB28" s="148" t="n"/>
      <c r="AC28" s="148" t="inlineStr">
        <is>
          <t>US DC B4</t>
        </is>
      </c>
      <c r="AD28" s="148">
        <f>'US DC B4'!BF151</f>
        <v/>
      </c>
      <c r="AE28" s="148">
        <f>'US DC B4'!BI151</f>
        <v/>
      </c>
      <c r="AF28" s="148" t="inlineStr">
        <is>
          <t>Queen</t>
        </is>
      </c>
      <c r="AG28" s="148" t="inlineStr">
        <is>
          <t>Dark Grey</t>
        </is>
      </c>
      <c r="AH28" s="148">
        <f>AND(E28="CA",OR('CA Dashboard'!$C$4="All",'CA Dashboard'!$C$4=D28),OR('CA Dashboard'!$C$5="All",'CA Dashboard'!$C$5=G28),OR('CA Dashboard'!$C$6="All",'CA Dashboard'!$C$6=H28),OR('CA Dashboard'!$C$7="All",'CA Dashboard'!$C$7=F28),OR('CA Dashboard'!$C$8="All",'CA Dashboard'!$C$8=AJ28))</f>
        <v/>
      </c>
      <c r="AI28" s="148">
        <f>IF(AH28,AI27+1,AI27)</f>
        <v/>
      </c>
      <c r="AJ28" s="148" t="inlineStr">
        <is>
          <t>Direct</t>
        </is>
      </c>
      <c r="AK28" s="148" t="inlineStr">
        <is>
          <t>Same product (sheet set) in the same material family: Bamboo viscose (product page material: Rayon Derived from Bamboo); ours: our listing: viscose from bamboo.</t>
        </is>
      </c>
    </row>
    <row r="29">
      <c r="A29" s="148">
        <f>AND(E29="US",OR('US Dashboard'!$C$4="All",'US Dashboard'!$C$4=D29),OR('US Dashboard'!$C$5="All",'US Dashboard'!$C$5=G29),OR('US Dashboard'!$C$6="All",'US Dashboard'!$C$6=H29),OR('US Dashboard'!$C$7="All",'US Dashboard'!$C$7=F29),OR('US Dashboard'!$C$8="All",'US Dashboard'!$C$8=AJ29))</f>
        <v/>
      </c>
      <c r="B29" s="148">
        <f>IF(A29,B28+1,B28)</f>
        <v/>
      </c>
      <c r="C29" s="148" t="n">
        <v>59</v>
      </c>
      <c r="D29" s="148" t="inlineStr">
        <is>
          <t>DC B4</t>
        </is>
      </c>
      <c r="E29" s="148" t="inlineStr">
        <is>
          <t>US</t>
        </is>
      </c>
      <c r="F29" s="148" t="inlineStr">
        <is>
          <t>Bamboo</t>
        </is>
      </c>
      <c r="G29" s="148" t="inlineStr">
        <is>
          <t>Cariloha</t>
        </is>
      </c>
      <c r="H29" s="148" t="inlineStr">
        <is>
          <t>Poor</t>
        </is>
      </c>
      <c r="I29" s="148" t="inlineStr">
        <is>
          <t>Cariloha Aloha Soft Bamboo Viscose Sheet Set - Natural - Queen</t>
        </is>
      </c>
      <c r="J29" s="148" t="inlineStr">
        <is>
          <t>https://images-na.ssl-images-amazon.com/images/I/71Kvq1YdGJL.jpg</t>
        </is>
      </c>
      <c r="K29" s="148" t="inlineStr">
        <is>
          <t>B0F89K7BXJ</t>
        </is>
      </c>
      <c r="L29" s="148" t="inlineStr">
        <is>
          <t>B0DJV1K332</t>
        </is>
      </c>
      <c r="M29" s="148" t="n">
        <v>35</v>
      </c>
      <c r="N29" s="148" t="n">
        <v>107.1</v>
      </c>
      <c r="O29" s="148" t="n"/>
      <c r="P29" s="148">
        <f>IF(AND(ISNUMBER(O29),ISNUMBER(N29),N(N29)&gt;0),O29/N29-1,"")</f>
        <v/>
      </c>
      <c r="Q29" s="148" t="n">
        <v>89.98999999999999</v>
      </c>
      <c r="R29" s="148">
        <f>IF(AND(ISNUMBER(N29),ISNUMBER(Q29),N(Q29)&gt;0),N29/Q29-1,"")</f>
        <v/>
      </c>
      <c r="S29" s="148" t="n">
        <v>15882</v>
      </c>
      <c r="T29" s="148" t="n">
        <v>81</v>
      </c>
      <c r="U29" s="148" t="n">
        <v>4.4</v>
      </c>
      <c r="V29" s="148" t="n">
        <v>426</v>
      </c>
      <c r="W29" s="148" t="n"/>
      <c r="X29" s="148" t="n"/>
      <c r="Y29" s="148" t="n"/>
      <c r="Z29" s="148" t="n"/>
      <c r="AA29" s="148" t="n"/>
      <c r="AB29" s="148" t="n"/>
      <c r="AC29" s="148" t="inlineStr">
        <is>
          <t>US DC B4</t>
        </is>
      </c>
      <c r="AD29" s="148">
        <f>'US DC B4'!BF152</f>
        <v/>
      </c>
      <c r="AE29" s="148">
        <f>'US DC B4'!BI152</f>
        <v/>
      </c>
      <c r="AF29" s="148" t="inlineStr">
        <is>
          <t>Queen</t>
        </is>
      </c>
      <c r="AG29" s="148" t="inlineStr">
        <is>
          <t>Natural</t>
        </is>
      </c>
      <c r="AH29" s="148">
        <f>AND(E29="CA",OR('CA Dashboard'!$C$4="All",'CA Dashboard'!$C$4=D29),OR('CA Dashboard'!$C$5="All",'CA Dashboard'!$C$5=G29),OR('CA Dashboard'!$C$6="All",'CA Dashboard'!$C$6=H29),OR('CA Dashboard'!$C$7="All",'CA Dashboard'!$C$7=F29),OR('CA Dashboard'!$C$8="All",'CA Dashboard'!$C$8=AJ29))</f>
        <v/>
      </c>
      <c r="AI29" s="148">
        <f>IF(AH29,AI28+1,AI28)</f>
        <v/>
      </c>
      <c r="AJ29" s="148" t="inlineStr">
        <is>
          <t>Direct</t>
        </is>
      </c>
      <c r="AK29" s="148" t="inlineStr">
        <is>
          <t>Same product (sheet set) in the same material family: Bamboo viscose (product page material: Viscose derived from Bamboo); ours: our listing: viscose from bamboo.</t>
        </is>
      </c>
    </row>
    <row r="30">
      <c r="A30" s="148">
        <f>AND(E30="US",OR('US Dashboard'!$C$4="All",'US Dashboard'!$C$4=D30),OR('US Dashboard'!$C$5="All",'US Dashboard'!$C$5=G30),OR('US Dashboard'!$C$6="All",'US Dashboard'!$C$6=H30),OR('US Dashboard'!$C$7="All",'US Dashboard'!$C$7=F30),OR('US Dashboard'!$C$8="All",'US Dashboard'!$C$8=AJ30))</f>
        <v/>
      </c>
      <c r="B30" s="148">
        <f>IF(A30,B29+1,B29)</f>
        <v/>
      </c>
      <c r="C30" s="148" t="n">
        <v>59</v>
      </c>
      <c r="D30" s="148" t="inlineStr">
        <is>
          <t>DC B4</t>
        </is>
      </c>
      <c r="E30" s="148" t="inlineStr">
        <is>
          <t>US</t>
        </is>
      </c>
      <c r="F30" s="148" t="inlineStr">
        <is>
          <t>Bamboo</t>
        </is>
      </c>
      <c r="G30" s="148" t="inlineStr">
        <is>
          <t>Cozy Earth</t>
        </is>
      </c>
      <c r="H30" s="148" t="inlineStr">
        <is>
          <t>Poor</t>
        </is>
      </c>
      <c r="I30" s="148" t="inlineStr">
        <is>
          <t>Cozy Earth Luxury Bed Sheet Set, 100% Viscose from Bamboo Fabric</t>
        </is>
      </c>
      <c r="J30" s="148" t="inlineStr">
        <is>
          <t>https://images-na.ssl-images-amazon.com/images/I/61NbNWE+BJL.jpg</t>
        </is>
      </c>
      <c r="K30" s="148" t="inlineStr">
        <is>
          <t>B0DSQ9V4ML</t>
        </is>
      </c>
      <c r="L30" s="148" t="inlineStr">
        <is>
          <t>B0F22JR4S8</t>
        </is>
      </c>
      <c r="M30" s="148" t="n">
        <v>54</v>
      </c>
      <c r="N30" s="148" t="n">
        <v>328</v>
      </c>
      <c r="O30" s="148" t="n"/>
      <c r="P30" s="148">
        <f>IF(AND(ISNUMBER(O30),ISNUMBER(N30),N(N30)&gt;0),O30/N30-1,"")</f>
        <v/>
      </c>
      <c r="Q30" s="148" t="n">
        <v>94.98999999999999</v>
      </c>
      <c r="R30" s="148">
        <f>IF(AND(ISNUMBER(N30),ISNUMBER(Q30),N(Q30)&gt;0),N30/Q30-1,"")</f>
        <v/>
      </c>
      <c r="S30" s="148" t="n">
        <v>45709</v>
      </c>
      <c r="T30" s="148" t="n">
        <v>35</v>
      </c>
      <c r="U30" s="148" t="n">
        <v>3.9</v>
      </c>
      <c r="V30" s="148" t="n">
        <v>425</v>
      </c>
      <c r="W30" s="148" t="n"/>
      <c r="X30" s="148" t="n"/>
      <c r="Y30" s="148" t="n"/>
      <c r="Z30" s="148" t="n"/>
      <c r="AA30" s="148" t="n"/>
      <c r="AB30" s="148" t="n"/>
      <c r="AC30" s="148" t="inlineStr">
        <is>
          <t>US DC B4</t>
        </is>
      </c>
      <c r="AD30" s="148">
        <f>'US DC B4'!BF153</f>
        <v/>
      </c>
      <c r="AE30" s="148">
        <f>'US DC B4'!BI153</f>
        <v/>
      </c>
      <c r="AF30" s="148" t="inlineStr">
        <is>
          <t>King</t>
        </is>
      </c>
      <c r="AG30" s="148" t="inlineStr">
        <is>
          <t>White</t>
        </is>
      </c>
      <c r="AH30" s="148">
        <f>AND(E30="CA",OR('CA Dashboard'!$C$4="All",'CA Dashboard'!$C$4=D30),OR('CA Dashboard'!$C$5="All",'CA Dashboard'!$C$5=G30),OR('CA Dashboard'!$C$6="All",'CA Dashboard'!$C$6=H30),OR('CA Dashboard'!$C$7="All",'CA Dashboard'!$C$7=F30),OR('CA Dashboard'!$C$8="All",'CA Dashboard'!$C$8=AJ30))</f>
        <v/>
      </c>
      <c r="AI30" s="148">
        <f>IF(AH30,AI29+1,AI29)</f>
        <v/>
      </c>
      <c r="AJ30" s="148" t="inlineStr">
        <is>
          <t>Direct</t>
        </is>
      </c>
      <c r="AK30" s="148" t="inlineStr">
        <is>
          <t>Same product (sheet set) in the same material family: Bamboo viscose (product page material: Viscose from Bamboo); ours: our listing: viscose from bamboo.</t>
        </is>
      </c>
    </row>
    <row r="31">
      <c r="A31" s="148">
        <f>AND(E31="US",OR('US Dashboard'!$C$4="All",'US Dashboard'!$C$4=D31),OR('US Dashboard'!$C$5="All",'US Dashboard'!$C$5=G31),OR('US Dashboard'!$C$6="All",'US Dashboard'!$C$6=H31),OR('US Dashboard'!$C$7="All",'US Dashboard'!$C$7=F31),OR('US Dashboard'!$C$8="All",'US Dashboard'!$C$8=AJ31))</f>
        <v/>
      </c>
      <c r="B31" s="148">
        <f>IF(A31,B30+1,B30)</f>
        <v/>
      </c>
      <c r="C31" s="148" t="n">
        <v>59</v>
      </c>
      <c r="D31" s="148" t="inlineStr">
        <is>
          <t>DC B4</t>
        </is>
      </c>
      <c r="E31" s="148" t="inlineStr">
        <is>
          <t>US</t>
        </is>
      </c>
      <c r="F31" s="148" t="inlineStr">
        <is>
          <t>Bamboo</t>
        </is>
      </c>
      <c r="G31" s="148" t="inlineStr">
        <is>
          <t>DREAMCARE</t>
        </is>
      </c>
      <c r="H31" s="148" t="inlineStr">
        <is>
          <t>Poor</t>
        </is>
      </c>
      <c r="I31" s="148" t="inlineStr">
        <is>
          <t>DREAMCARE 100% Rayon Bamboo Sheets King Size - 4pc Cooling Sheets King Size</t>
        </is>
      </c>
      <c r="J31" s="148" t="inlineStr">
        <is>
          <t>https://images-na.ssl-images-amazon.com/images/I/61iqSV9TaLL.jpg</t>
        </is>
      </c>
      <c r="K31" s="148" t="inlineStr">
        <is>
          <t>B0DVZFLVMG</t>
        </is>
      </c>
      <c r="L31" s="148" t="inlineStr">
        <is>
          <t>B0CF2MND41</t>
        </is>
      </c>
      <c r="M31" s="148" t="n">
        <v>30</v>
      </c>
      <c r="N31" s="148" t="n">
        <v>46.74</v>
      </c>
      <c r="O31" s="148" t="n">
        <v>59.99</v>
      </c>
      <c r="P31" s="148">
        <f>IF(AND(ISNUMBER(O31),ISNUMBER(N31),N(N31)&gt;0),O31/N31-1,"")</f>
        <v/>
      </c>
      <c r="Q31" s="148" t="n">
        <v>94.98999999999999</v>
      </c>
      <c r="R31" s="148">
        <f>IF(AND(ISNUMBER(N31),ISNUMBER(Q31),N(Q31)&gt;0),N31/Q31-1,"")</f>
        <v/>
      </c>
      <c r="S31" s="148" t="n">
        <v>37217</v>
      </c>
      <c r="T31" s="148" t="n">
        <v>35</v>
      </c>
      <c r="U31" s="148" t="n">
        <v>4.5</v>
      </c>
      <c r="V31" s="148" t="n">
        <v>2261</v>
      </c>
      <c r="W31" s="148" t="n"/>
      <c r="X31" s="148" t="n"/>
      <c r="Y31" s="148" t="n"/>
      <c r="Z31" s="148" t="n"/>
      <c r="AA31" s="148" t="n"/>
      <c r="AB31" s="148" t="n"/>
      <c r="AC31" s="148" t="inlineStr">
        <is>
          <t>US DC B4</t>
        </is>
      </c>
      <c r="AD31" s="148">
        <f>'US DC B4'!BF154</f>
        <v/>
      </c>
      <c r="AE31" s="148">
        <f>'US DC B4'!BI154</f>
        <v/>
      </c>
      <c r="AF31" s="148" t="inlineStr">
        <is>
          <t>King</t>
        </is>
      </c>
      <c r="AG31" s="148" t="inlineStr">
        <is>
          <t>5 - Gray</t>
        </is>
      </c>
      <c r="AH31" s="148">
        <f>AND(E31="CA",OR('CA Dashboard'!$C$4="All",'CA Dashboard'!$C$4=D31),OR('CA Dashboard'!$C$5="All",'CA Dashboard'!$C$5=G31),OR('CA Dashboard'!$C$6="All",'CA Dashboard'!$C$6=H31),OR('CA Dashboard'!$C$7="All",'CA Dashboard'!$C$7=F31),OR('CA Dashboard'!$C$8="All",'CA Dashboard'!$C$8=AJ31))</f>
        <v/>
      </c>
      <c r="AI31" s="148">
        <f>IF(AH31,AI30+1,AI30)</f>
        <v/>
      </c>
      <c r="AJ31" s="148" t="inlineStr">
        <is>
          <t>Direct</t>
        </is>
      </c>
      <c r="AK31" s="148" t="inlineStr">
        <is>
          <t>Same product (sheet set) in the same material family: Bamboo viscose (product page material: Viscose derived from Bamboo); ours: our listing: viscose from bamboo.</t>
        </is>
      </c>
    </row>
    <row r="32">
      <c r="A32" s="148">
        <f>AND(E32="US",OR('US Dashboard'!$C$4="All",'US Dashboard'!$C$4=D32),OR('US Dashboard'!$C$5="All",'US Dashboard'!$C$5=G32),OR('US Dashboard'!$C$6="All",'US Dashboard'!$C$6=H32),OR('US Dashboard'!$C$7="All",'US Dashboard'!$C$7=F32),OR('US Dashboard'!$C$8="All",'US Dashboard'!$C$8=AJ32))</f>
        <v/>
      </c>
      <c r="B32" s="148">
        <f>IF(A32,B31+1,B31)</f>
        <v/>
      </c>
      <c r="C32" s="148" t="n">
        <v>59</v>
      </c>
      <c r="D32" s="148" t="inlineStr">
        <is>
          <t>DC B4</t>
        </is>
      </c>
      <c r="E32" s="148" t="inlineStr">
        <is>
          <t>US</t>
        </is>
      </c>
      <c r="F32" s="148" t="inlineStr">
        <is>
          <t>Bamboo</t>
        </is>
      </c>
      <c r="G32" s="148" t="inlineStr">
        <is>
          <t>HOT SLEEPER SHEETS</t>
        </is>
      </c>
      <c r="H32" s="148" t="inlineStr">
        <is>
          <t>Poor</t>
        </is>
      </c>
      <c r="I32" s="148" t="inlineStr">
        <is>
          <t>Cooling Sheets Set Queen Size, Viscose Derived from Bamboo for Hot Sleepers | Deep Pocket Up to 16 Inch | Silky Soft &amp; Breathable Bedding - 4PC (Queen, Navy)</t>
        </is>
      </c>
      <c r="J32" s="148" t="inlineStr">
        <is>
          <t>https://images-na.ssl-images-amazon.com/images/I/81noqNc+ZjL.jpg</t>
        </is>
      </c>
      <c r="K32" s="148" t="inlineStr">
        <is>
          <t>B0DM3GDCTR</t>
        </is>
      </c>
      <c r="L32" s="148" t="inlineStr">
        <is>
          <t>B0D3XQM7DL</t>
        </is>
      </c>
      <c r="M32" s="148" t="n">
        <v>74</v>
      </c>
      <c r="N32" s="148" t="n">
        <v>51.29</v>
      </c>
      <c r="O32" s="148" t="n">
        <v>62.99</v>
      </c>
      <c r="P32" s="148">
        <f>IF(AND(ISNUMBER(O32),ISNUMBER(N32),N(N32)&gt;0),O32/N32-1,"")</f>
        <v/>
      </c>
      <c r="Q32" s="148" t="n">
        <v>89.98999999999999</v>
      </c>
      <c r="R32" s="148">
        <f>IF(AND(ISNUMBER(N32),ISNUMBER(Q32),N(Q32)&gt;0),N32/Q32-1,"")</f>
        <v/>
      </c>
      <c r="S32" s="148" t="n">
        <v>33959</v>
      </c>
      <c r="T32" s="148" t="n">
        <v>35</v>
      </c>
      <c r="U32" s="148" t="n">
        <v>4.4</v>
      </c>
      <c r="V32" s="148" t="n">
        <v>674</v>
      </c>
      <c r="W32" s="148" t="n"/>
      <c r="X32" s="148" t="n"/>
      <c r="Y32" s="148" t="n"/>
      <c r="Z32" s="148" t="n"/>
      <c r="AA32" s="148" t="n"/>
      <c r="AB32" s="148" t="n"/>
      <c r="AC32" s="148" t="inlineStr">
        <is>
          <t>US DC B4</t>
        </is>
      </c>
      <c r="AD32" s="148">
        <f>'US DC B4'!BF155</f>
        <v/>
      </c>
      <c r="AE32" s="148">
        <f>'US DC B4'!BI155</f>
        <v/>
      </c>
      <c r="AF32" s="148" t="inlineStr">
        <is>
          <t>Queen</t>
        </is>
      </c>
      <c r="AG32" s="148" t="inlineStr">
        <is>
          <t>Navy</t>
        </is>
      </c>
      <c r="AH32" s="148">
        <f>AND(E32="CA",OR('CA Dashboard'!$C$4="All",'CA Dashboard'!$C$4=D32),OR('CA Dashboard'!$C$5="All",'CA Dashboard'!$C$5=G32),OR('CA Dashboard'!$C$6="All",'CA Dashboard'!$C$6=H32),OR('CA Dashboard'!$C$7="All",'CA Dashboard'!$C$7=F32),OR('CA Dashboard'!$C$8="All",'CA Dashboard'!$C$8=AJ32))</f>
        <v/>
      </c>
      <c r="AI32" s="148">
        <f>IF(AH32,AI31+1,AI31)</f>
        <v/>
      </c>
      <c r="AJ32" s="148" t="inlineStr">
        <is>
          <t>Direct</t>
        </is>
      </c>
      <c r="AK32" s="148" t="inlineStr">
        <is>
          <t>Same product (sheet set) in the same material family: Bamboo viscose (title: Cooling Sheets Set Queen Size, Viscose Derived from Bamboo f); ours: our listing: viscose from bamboo.</t>
        </is>
      </c>
    </row>
    <row r="33">
      <c r="A33" s="148">
        <f>AND(E33="US",OR('US Dashboard'!$C$4="All",'US Dashboard'!$C$4=D33),OR('US Dashboard'!$C$5="All",'US Dashboard'!$C$5=G33),OR('US Dashboard'!$C$6="All",'US Dashboard'!$C$6=H33),OR('US Dashboard'!$C$7="All",'US Dashboard'!$C$7=F33),OR('US Dashboard'!$C$8="All",'US Dashboard'!$C$8=AJ33))</f>
        <v/>
      </c>
      <c r="B33" s="148">
        <f>IF(A33,B32+1,B32)</f>
        <v/>
      </c>
      <c r="C33" s="148" t="n">
        <v>59</v>
      </c>
      <c r="D33" s="148" t="inlineStr">
        <is>
          <t>DC B4</t>
        </is>
      </c>
      <c r="E33" s="148" t="inlineStr">
        <is>
          <t>US</t>
        </is>
      </c>
      <c r="F33" s="148" t="inlineStr">
        <is>
          <t>Bamboo</t>
        </is>
      </c>
      <c r="G33" s="148" t="inlineStr">
        <is>
          <t>Shilucheng</t>
        </is>
      </c>
      <c r="H33" s="148" t="inlineStr">
        <is>
          <t>Poor</t>
        </is>
      </c>
      <c r="I33" s="148" t="inlineStr">
        <is>
          <t>Shilucheng 100% Viscose Derived from Bamboo_ Sheets Queen Size 4pcs</t>
        </is>
      </c>
      <c r="J33" s="148" t="inlineStr">
        <is>
          <t>https://images-na.ssl-images-amazon.com/images/I/71+O+E9PlaL.jpg</t>
        </is>
      </c>
      <c r="K33" s="148" t="inlineStr">
        <is>
          <t>B0HK5V5KL1</t>
        </is>
      </c>
      <c r="L33" s="148" t="inlineStr">
        <is>
          <t>B09PYKYCCF</t>
        </is>
      </c>
      <c r="M33" s="148" t="n">
        <v>79</v>
      </c>
      <c r="N33" s="148" t="n">
        <v>46.66</v>
      </c>
      <c r="O33" s="148" t="n">
        <v>54.9</v>
      </c>
      <c r="P33" s="148">
        <f>IF(AND(ISNUMBER(O33),ISNUMBER(N33),N(N33)&gt;0),O33/N33-1,"")</f>
        <v/>
      </c>
      <c r="Q33" s="148" t="n">
        <v>89.98999999999999</v>
      </c>
      <c r="R33" s="148">
        <f>IF(AND(ISNUMBER(N33),ISNUMBER(Q33),N(Q33)&gt;0),N33/Q33-1,"")</f>
        <v/>
      </c>
      <c r="S33" s="148" t="n">
        <v>26043</v>
      </c>
      <c r="T33" s="148" t="n">
        <v>35</v>
      </c>
      <c r="U33" s="148" t="n">
        <v>4.4</v>
      </c>
      <c r="V33" s="148" t="n">
        <v>6629</v>
      </c>
      <c r="W33" s="148" t="n"/>
      <c r="X33" s="148" t="n"/>
      <c r="Y33" s="148" t="n"/>
      <c r="Z33" s="148" t="n"/>
      <c r="AA33" s="148" t="n"/>
      <c r="AB33" s="148" t="n"/>
      <c r="AC33" s="148" t="inlineStr">
        <is>
          <t>US DC B4</t>
        </is>
      </c>
      <c r="AD33" s="148">
        <f>'US DC B4'!BF156</f>
        <v/>
      </c>
      <c r="AE33" s="148">
        <f>'US DC B4'!BI156</f>
        <v/>
      </c>
      <c r="AF33" s="148" t="inlineStr">
        <is>
          <t>Queen</t>
        </is>
      </c>
      <c r="AG33" s="148" t="inlineStr">
        <is>
          <t>01 - Dark Grey</t>
        </is>
      </c>
      <c r="AH33" s="148">
        <f>AND(E33="CA",OR('CA Dashboard'!$C$4="All",'CA Dashboard'!$C$4=D33),OR('CA Dashboard'!$C$5="All",'CA Dashboard'!$C$5=G33),OR('CA Dashboard'!$C$6="All",'CA Dashboard'!$C$6=H33),OR('CA Dashboard'!$C$7="All",'CA Dashboard'!$C$7=F33),OR('CA Dashboard'!$C$8="All",'CA Dashboard'!$C$8=AJ33))</f>
        <v/>
      </c>
      <c r="AI33" s="148">
        <f>IF(AH33,AI32+1,AI32)</f>
        <v/>
      </c>
      <c r="AJ33" s="148" t="inlineStr">
        <is>
          <t>Direct</t>
        </is>
      </c>
      <c r="AK33" s="148" t="inlineStr">
        <is>
          <t>Same product (sheet set) in the same material family: Bamboo viscose (product page material: Viscose Derived from Bamboo); ours: our listing: viscose from bamboo.</t>
        </is>
      </c>
    </row>
    <row r="34">
      <c r="A34" s="148">
        <f>AND(E34="US",OR('US Dashboard'!$C$4="All",'US Dashboard'!$C$4=D34),OR('US Dashboard'!$C$5="All",'US Dashboard'!$C$5=G34),OR('US Dashboard'!$C$6="All",'US Dashboard'!$C$6=H34),OR('US Dashboard'!$C$7="All",'US Dashboard'!$C$7=F34),OR('US Dashboard'!$C$8="All",'US Dashboard'!$C$8=AJ34))</f>
        <v/>
      </c>
      <c r="B34" s="148">
        <f>IF(A34,B33+1,B33)</f>
        <v/>
      </c>
      <c r="C34" s="148" t="n">
        <v>59</v>
      </c>
      <c r="D34" s="148" t="inlineStr">
        <is>
          <t>DC B4</t>
        </is>
      </c>
      <c r="E34" s="148" t="inlineStr">
        <is>
          <t>US</t>
        </is>
      </c>
      <c r="F34" s="148" t="inlineStr">
        <is>
          <t>Bamboo</t>
        </is>
      </c>
      <c r="G34" s="148" t="inlineStr">
        <is>
          <t>Bamtek</t>
        </is>
      </c>
      <c r="H34" s="148" t="inlineStr">
        <is>
          <t>Poor</t>
        </is>
      </c>
      <c r="I34" s="148" t="inlineStr">
        <is>
          <t>Viscose Bamboo Sheets Queen Size 4PC Set - Cooling Bedding for Hot Sleepers with</t>
        </is>
      </c>
      <c r="J34" s="148" t="inlineStr">
        <is>
          <t>https://m.media-amazon.com/images/I/71zexS-HoPL._AC_SL1500_.jpg</t>
        </is>
      </c>
      <c r="K34" s="148" t="inlineStr">
        <is>
          <t>B0CZHCZQZ3</t>
        </is>
      </c>
      <c r="L34" s="148" t="inlineStr">
        <is>
          <t>B09TQ6ZVKZ</t>
        </is>
      </c>
      <c r="M34" s="148" t="n"/>
      <c r="N34" s="148" t="n">
        <v>94.98999999999999</v>
      </c>
      <c r="O34" s="148" t="n"/>
      <c r="P34" s="148">
        <f>IF(AND(ISNUMBER(O34),ISNUMBER(N34),N(N34)&gt;0),O34/N34-1,"")</f>
        <v/>
      </c>
      <c r="Q34" s="148" t="n">
        <v>89.98999999999999</v>
      </c>
      <c r="R34" s="148">
        <f>IF(AND(ISNUMBER(N34),ISNUMBER(Q34),N(Q34)&gt;0),N34/Q34-1,"")</f>
        <v/>
      </c>
      <c r="S34" s="148" t="n">
        <v>79376</v>
      </c>
      <c r="T34" s="148" t="n">
        <v>18</v>
      </c>
      <c r="U34" s="148" t="n">
        <v>4.4</v>
      </c>
      <c r="V34" s="148" t="n">
        <v>641</v>
      </c>
      <c r="W34" s="148" t="n"/>
      <c r="X34" s="148" t="n"/>
      <c r="Y34" s="148" t="n"/>
      <c r="Z34" s="148" t="n"/>
      <c r="AA34" s="148" t="n"/>
      <c r="AB34" s="148" t="n"/>
      <c r="AC34" s="148" t="inlineStr">
        <is>
          <t>US DC B4</t>
        </is>
      </c>
      <c r="AD34" s="148">
        <f>'US DC B4'!BF157</f>
        <v/>
      </c>
      <c r="AE34" s="148">
        <f>'US DC B4'!BI157</f>
        <v/>
      </c>
      <c r="AF34" s="148" t="inlineStr">
        <is>
          <t>Queen</t>
        </is>
      </c>
      <c r="AG34" s="148" t="inlineStr">
        <is>
          <t>Sage</t>
        </is>
      </c>
      <c r="AH34" s="148">
        <f>AND(E34="CA",OR('CA Dashboard'!$C$4="All",'CA Dashboard'!$C$4=D34),OR('CA Dashboard'!$C$5="All",'CA Dashboard'!$C$5=G34),OR('CA Dashboard'!$C$6="All",'CA Dashboard'!$C$6=H34),OR('CA Dashboard'!$C$7="All",'CA Dashboard'!$C$7=F34),OR('CA Dashboard'!$C$8="All",'CA Dashboard'!$C$8=AJ34))</f>
        <v/>
      </c>
      <c r="AI34" s="148">
        <f>IF(AH34,AI33+1,AI33)</f>
        <v/>
      </c>
      <c r="AJ34" s="148" t="inlineStr">
        <is>
          <t>Direct</t>
        </is>
      </c>
      <c r="AK34" s="148" t="inlineStr">
        <is>
          <t>Same product (sheet set) in the same material family: Bamboo viscose (product page material: Bamboo, Bamboo Viscose); ours: our listing: viscose from bamboo.</t>
        </is>
      </c>
    </row>
    <row r="35">
      <c r="A35" s="148">
        <f>AND(E35="US",OR('US Dashboard'!$C$4="All",'US Dashboard'!$C$4=D35),OR('US Dashboard'!$C$5="All",'US Dashboard'!$C$5=G35),OR('US Dashboard'!$C$6="All",'US Dashboard'!$C$6=H35),OR('US Dashboard'!$C$7="All",'US Dashboard'!$C$7=F35),OR('US Dashboard'!$C$8="All",'US Dashboard'!$C$8=AJ35))</f>
        <v/>
      </c>
      <c r="B35" s="148">
        <f>IF(A35,B34+1,B34)</f>
        <v/>
      </c>
      <c r="C35" s="148" t="n">
        <v>59</v>
      </c>
      <c r="D35" s="148" t="inlineStr">
        <is>
          <t>DC B4</t>
        </is>
      </c>
      <c r="E35" s="148" t="inlineStr">
        <is>
          <t>US</t>
        </is>
      </c>
      <c r="F35" s="148" t="inlineStr">
        <is>
          <t>Bamboo</t>
        </is>
      </c>
      <c r="G35" s="148" t="inlineStr">
        <is>
          <t>JSD</t>
        </is>
      </c>
      <c r="H35" s="148" t="inlineStr">
        <is>
          <t>Poor</t>
        </is>
      </c>
      <c r="I35" s="148" t="inlineStr">
        <is>
          <t>JSD Sage Green 100% Viscose Derived from Bamboo Cooling Sheet Set Queen</t>
        </is>
      </c>
      <c r="J35" s="148" t="inlineStr">
        <is>
          <t>https://images-na.ssl-images-amazon.com/images/I/61imzycbiwL.jpg</t>
        </is>
      </c>
      <c r="K35" s="148" t="inlineStr">
        <is>
          <t>B0DTY15N29</t>
        </is>
      </c>
      <c r="L35" s="148" t="inlineStr">
        <is>
          <t>B0DSZTLBV1</t>
        </is>
      </c>
      <c r="M35" s="148" t="n">
        <v>32</v>
      </c>
      <c r="N35" s="148" t="n">
        <v>56.99</v>
      </c>
      <c r="O35" s="148" t="n"/>
      <c r="P35" s="148">
        <f>IF(AND(ISNUMBER(O35),ISNUMBER(N35),N(N35)&gt;0),O35/N35-1,"")</f>
        <v/>
      </c>
      <c r="Q35" s="148" t="n">
        <v>89.98999999999999</v>
      </c>
      <c r="R35" s="148">
        <f>IF(AND(ISNUMBER(N35),ISNUMBER(Q35),N(Q35)&gt;0),N35/Q35-1,"")</f>
        <v/>
      </c>
      <c r="S35" s="148" t="n">
        <v>76312</v>
      </c>
      <c r="T35" s="148" t="n">
        <v>18</v>
      </c>
      <c r="U35" s="148" t="n">
        <v>4.3</v>
      </c>
      <c r="V35" s="148" t="n">
        <v>281</v>
      </c>
      <c r="W35" s="148" t="n"/>
      <c r="X35" s="148" t="n"/>
      <c r="Y35" s="148" t="n"/>
      <c r="Z35" s="148" t="n"/>
      <c r="AA35" s="148" t="n"/>
      <c r="AB35" s="148" t="n"/>
      <c r="AC35" s="148" t="inlineStr">
        <is>
          <t>US DC B4</t>
        </is>
      </c>
      <c r="AD35" s="148">
        <f>'US DC B4'!BF158</f>
        <v/>
      </c>
      <c r="AE35" s="148">
        <f>'US DC B4'!BI158</f>
        <v/>
      </c>
      <c r="AF35" s="148" t="inlineStr">
        <is>
          <t>Queen</t>
        </is>
      </c>
      <c r="AG35" s="148" t="inlineStr">
        <is>
          <t>Green</t>
        </is>
      </c>
      <c r="AH35" s="148">
        <f>AND(E35="CA",OR('CA Dashboard'!$C$4="All",'CA Dashboard'!$C$4=D35),OR('CA Dashboard'!$C$5="All",'CA Dashboard'!$C$5=G35),OR('CA Dashboard'!$C$6="All",'CA Dashboard'!$C$6=H35),OR('CA Dashboard'!$C$7="All",'CA Dashboard'!$C$7=F35),OR('CA Dashboard'!$C$8="All",'CA Dashboard'!$C$8=AJ35))</f>
        <v/>
      </c>
      <c r="AI35" s="148">
        <f>IF(AH35,AI34+1,AI34)</f>
        <v/>
      </c>
      <c r="AJ35" s="148" t="inlineStr">
        <is>
          <t>Direct</t>
        </is>
      </c>
      <c r="AK35" s="148" t="inlineStr">
        <is>
          <t>Same product (sheet set) in the same material family: Bamboo viscose (title: JSD Sage Green 100% Viscose Derived from Bamboo Cooling Shee); ours: our listing: viscose from bamboo.</t>
        </is>
      </c>
    </row>
    <row r="36">
      <c r="A36" s="148">
        <f>AND(E36="US",OR('US Dashboard'!$C$4="All",'US Dashboard'!$C$4=D36),OR('US Dashboard'!$C$5="All",'US Dashboard'!$C$5=G36),OR('US Dashboard'!$C$6="All",'US Dashboard'!$C$6=H36),OR('US Dashboard'!$C$7="All",'US Dashboard'!$C$7=F36),OR('US Dashboard'!$C$8="All",'US Dashboard'!$C$8=AJ36))</f>
        <v/>
      </c>
      <c r="B36" s="148">
        <f>IF(A36,B35+1,B35)</f>
        <v/>
      </c>
      <c r="C36" s="148" t="n">
        <v>59</v>
      </c>
      <c r="D36" s="148" t="inlineStr">
        <is>
          <t>DC B4</t>
        </is>
      </c>
      <c r="E36" s="148" t="inlineStr">
        <is>
          <t>US</t>
        </is>
      </c>
      <c r="F36" s="148" t="inlineStr">
        <is>
          <t>Bamboo</t>
        </is>
      </c>
      <c r="G36" s="148" t="inlineStr">
        <is>
          <t>Kickoff Home</t>
        </is>
      </c>
      <c r="H36" s="148" t="inlineStr">
        <is>
          <t>Poor</t>
        </is>
      </c>
      <c r="I36" s="148" t="inlineStr">
        <is>
          <t>Bamboo Sheets</t>
        </is>
      </c>
      <c r="J36" s="148" t="inlineStr">
        <is>
          <t>https://images-na.ssl-images-amazon.com/images/I/71zrq2AtnUL.jpg</t>
        </is>
      </c>
      <c r="K36" s="148" t="inlineStr">
        <is>
          <t>B0D4KS4MVX</t>
        </is>
      </c>
      <c r="L36" s="148" t="inlineStr">
        <is>
          <t>B0CHN5ZPFH</t>
        </is>
      </c>
      <c r="M36" s="148" t="n">
        <v>106</v>
      </c>
      <c r="N36" s="148" t="n">
        <v>86.98999999999999</v>
      </c>
      <c r="O36" s="148" t="n">
        <v>84.98999999999999</v>
      </c>
      <c r="P36" s="148">
        <f>IF(AND(ISNUMBER(O36),ISNUMBER(N36),N(N36)&gt;0),O36/N36-1,"")</f>
        <v/>
      </c>
      <c r="Q36" s="148" t="n">
        <v>94.98999999999999</v>
      </c>
      <c r="R36" s="148">
        <f>IF(AND(ISNUMBER(N36),ISNUMBER(Q36),N(Q36)&gt;0),N36/Q36-1,"")</f>
        <v/>
      </c>
      <c r="S36" s="148" t="n">
        <v>23579</v>
      </c>
      <c r="T36" s="148" t="n">
        <v>18</v>
      </c>
      <c r="U36" s="148" t="n">
        <v>4.6</v>
      </c>
      <c r="V36" s="148" t="n">
        <v>688</v>
      </c>
      <c r="W36" s="148" t="n">
        <v>58169</v>
      </c>
      <c r="X36" s="148" t="n">
        <v>0.8765498702057799</v>
      </c>
      <c r="Y36" s="148" t="n">
        <v>330</v>
      </c>
      <c r="Z36" s="148" t="n">
        <v>218</v>
      </c>
      <c r="AA36" s="148" t="n">
        <v>54</v>
      </c>
      <c r="AB36" s="148" t="n"/>
      <c r="AC36" s="148" t="inlineStr">
        <is>
          <t>US DC B4</t>
        </is>
      </c>
      <c r="AD36" s="148">
        <f>'US DC B4'!BF159</f>
        <v/>
      </c>
      <c r="AE36" s="148">
        <f>'US DC B4'!BI159</f>
        <v/>
      </c>
      <c r="AF36" s="148" t="inlineStr">
        <is>
          <t>King</t>
        </is>
      </c>
      <c r="AG36" s="148" t="inlineStr">
        <is>
          <t>Sage Green</t>
        </is>
      </c>
      <c r="AH36" s="148">
        <f>AND(E36="CA",OR('CA Dashboard'!$C$4="All",'CA Dashboard'!$C$4=D36),OR('CA Dashboard'!$C$5="All",'CA Dashboard'!$C$5=G36),OR('CA Dashboard'!$C$6="All",'CA Dashboard'!$C$6=H36),OR('CA Dashboard'!$C$7="All",'CA Dashboard'!$C$7=F36),OR('CA Dashboard'!$C$8="All",'CA Dashboard'!$C$8=AJ36))</f>
        <v/>
      </c>
      <c r="AI36" s="148">
        <f>IF(AH36,AI35+1,AI35)</f>
        <v/>
      </c>
      <c r="AJ36" s="148" t="inlineStr">
        <is>
          <t>Direct</t>
        </is>
      </c>
      <c r="AK36" s="148" t="inlineStr">
        <is>
          <t>Same product (sheet set) in the same material family: Bamboo viscose (product page material: Viscose from Bamboo); ours: our listing: viscose from bamboo.</t>
        </is>
      </c>
    </row>
    <row r="37">
      <c r="A37" s="148">
        <f>AND(E37="US",OR('US Dashboard'!$C$4="All",'US Dashboard'!$C$4=D37),OR('US Dashboard'!$C$5="All",'US Dashboard'!$C$5=G37),OR('US Dashboard'!$C$6="All",'US Dashboard'!$C$6=H37),OR('US Dashboard'!$C$7="All",'US Dashboard'!$C$7=F37),OR('US Dashboard'!$C$8="All",'US Dashboard'!$C$8=AJ37))</f>
        <v/>
      </c>
      <c r="B37" s="148">
        <f>IF(A37,B36+1,B36)</f>
        <v/>
      </c>
      <c r="C37" s="148" t="n">
        <v>59</v>
      </c>
      <c r="D37" s="148" t="inlineStr">
        <is>
          <t>DC B4</t>
        </is>
      </c>
      <c r="E37" s="148" t="inlineStr">
        <is>
          <t>US</t>
        </is>
      </c>
      <c r="F37" s="148" t="inlineStr">
        <is>
          <t>Bamboo</t>
        </is>
      </c>
      <c r="G37" s="148" t="inlineStr">
        <is>
          <t>LB Luxury Bamboo Market</t>
        </is>
      </c>
      <c r="H37" s="148" t="inlineStr">
        <is>
          <t>Poor</t>
        </is>
      </c>
      <c r="I37" s="148" t="inlineStr">
        <is>
          <t>Bamboo Sheets</t>
        </is>
      </c>
      <c r="J37" s="148" t="inlineStr">
        <is>
          <t>https://m.media-amazon.com/images/I/81xjJeiirqL._AC_SL1500_.jpg</t>
        </is>
      </c>
      <c r="K37" s="148" t="inlineStr">
        <is>
          <t>B0D1HWHDL2</t>
        </is>
      </c>
      <c r="L37" s="148" t="inlineStr">
        <is>
          <t>B0CH7N9WVC</t>
        </is>
      </c>
      <c r="M37" s="148" t="n"/>
      <c r="N37" s="148" t="n">
        <v>129.94</v>
      </c>
      <c r="O37" s="148" t="n"/>
      <c r="P37" s="148">
        <f>IF(AND(ISNUMBER(O37),ISNUMBER(N37),N(N37)&gt;0),O37/N37-1,"")</f>
        <v/>
      </c>
      <c r="Q37" s="148" t="n">
        <v>89.98999999999999</v>
      </c>
      <c r="R37" s="148">
        <f>IF(AND(ISNUMBER(N37),ISNUMBER(Q37),N(Q37)&gt;0),N37/Q37-1,"")</f>
        <v/>
      </c>
      <c r="S37" s="148" t="n">
        <v>47800</v>
      </c>
      <c r="T37" s="148" t="n">
        <v>18</v>
      </c>
      <c r="U37" s="148" t="n">
        <v>4.5</v>
      </c>
      <c r="V37" s="148" t="n">
        <v>517</v>
      </c>
      <c r="W37" s="148" t="n"/>
      <c r="X37" s="148" t="n"/>
      <c r="Y37" s="148" t="n"/>
      <c r="Z37" s="148" t="n"/>
      <c r="AA37" s="148" t="n"/>
      <c r="AB37" s="148" t="n"/>
      <c r="AC37" s="148" t="inlineStr">
        <is>
          <t>US DC B4</t>
        </is>
      </c>
      <c r="AD37" s="148">
        <f>'US DC B4'!BF160</f>
        <v/>
      </c>
      <c r="AE37" s="148">
        <f>'US DC B4'!BI160</f>
        <v/>
      </c>
      <c r="AF37" s="148" t="inlineStr">
        <is>
          <t>Queen</t>
        </is>
      </c>
      <c r="AG37" s="148" t="inlineStr">
        <is>
          <t>Dune</t>
        </is>
      </c>
      <c r="AH37" s="148">
        <f>AND(E37="CA",OR('CA Dashboard'!$C$4="All",'CA Dashboard'!$C$4=D37),OR('CA Dashboard'!$C$5="All",'CA Dashboard'!$C$5=G37),OR('CA Dashboard'!$C$6="All",'CA Dashboard'!$C$6=H37),OR('CA Dashboard'!$C$7="All",'CA Dashboard'!$C$7=F37),OR('CA Dashboard'!$C$8="All",'CA Dashboard'!$C$8=AJ37))</f>
        <v/>
      </c>
      <c r="AI37" s="148">
        <f>IF(AH37,AI36+1,AI36)</f>
        <v/>
      </c>
      <c r="AJ37" s="148" t="inlineStr">
        <is>
          <t>Direct</t>
        </is>
      </c>
      <c r="AK37" s="148" t="inlineStr">
        <is>
          <t>Same product (sheet set) in the same material family: Bamboo viscose (product page material: Organically Grown Bamboo Viscose); ours: our listing: viscose from bamboo.</t>
        </is>
      </c>
    </row>
    <row r="38">
      <c r="A38" s="148">
        <f>AND(E38="US",OR('US Dashboard'!$C$4="All",'US Dashboard'!$C$4=D38),OR('US Dashboard'!$C$5="All",'US Dashboard'!$C$5=G38),OR('US Dashboard'!$C$6="All",'US Dashboard'!$C$6=H38),OR('US Dashboard'!$C$7="All",'US Dashboard'!$C$7=F38),OR('US Dashboard'!$C$8="All",'US Dashboard'!$C$8=AJ38))</f>
        <v/>
      </c>
      <c r="B38" s="148">
        <f>IF(A38,B37+1,B37)</f>
        <v/>
      </c>
      <c r="C38" s="148" t="n">
        <v>59</v>
      </c>
      <c r="D38" s="148" t="inlineStr">
        <is>
          <t>DC B4</t>
        </is>
      </c>
      <c r="E38" s="148" t="inlineStr">
        <is>
          <t>US</t>
        </is>
      </c>
      <c r="F38" s="148" t="inlineStr">
        <is>
          <t>Bamboo</t>
        </is>
      </c>
      <c r="G38" s="148" t="inlineStr">
        <is>
          <t>Shilucheng</t>
        </is>
      </c>
      <c r="H38" s="148" t="inlineStr">
        <is>
          <t>Poor</t>
        </is>
      </c>
      <c r="I38" s="148" t="inlineStr">
        <is>
          <t>Shilucheng 100% Viscose Derived from Bamboo_Sheets, Extra Deep Pocket</t>
        </is>
      </c>
      <c r="J38" s="148" t="inlineStr">
        <is>
          <t>https://images-na.ssl-images-amazon.com/images/I/71NxE1i+4jL.jpg</t>
        </is>
      </c>
      <c r="K38" s="148" t="inlineStr">
        <is>
          <t>B0HJVD7X1R</t>
        </is>
      </c>
      <c r="L38" s="148" t="inlineStr">
        <is>
          <t>B0F2TBWTZR</t>
        </is>
      </c>
      <c r="M38" s="148" t="n">
        <v>32</v>
      </c>
      <c r="N38" s="148" t="n">
        <v>69.98999999999999</v>
      </c>
      <c r="O38" s="148" t="n">
        <v>84.98999999999999</v>
      </c>
      <c r="P38" s="148">
        <f>IF(AND(ISNUMBER(O38),ISNUMBER(N38),N(N38)&gt;0),O38/N38-1,"")</f>
        <v/>
      </c>
      <c r="Q38" s="148" t="n">
        <v>94.98999999999999</v>
      </c>
      <c r="R38" s="148">
        <f>IF(AND(ISNUMBER(N38),ISNUMBER(Q38),N(Q38)&gt;0),N38/Q38-1,"")</f>
        <v/>
      </c>
      <c r="S38" s="148" t="n">
        <v>39194</v>
      </c>
      <c r="T38" s="148" t="n">
        <v>18</v>
      </c>
      <c r="U38" s="148" t="n">
        <v>4.5</v>
      </c>
      <c r="V38" s="148" t="n">
        <v>1639</v>
      </c>
      <c r="W38" s="148" t="n"/>
      <c r="X38" s="148" t="n"/>
      <c r="Y38" s="148" t="n"/>
      <c r="Z38" s="148" t="n"/>
      <c r="AA38" s="148" t="n"/>
      <c r="AB38" s="148" t="n"/>
      <c r="AC38" s="148" t="inlineStr">
        <is>
          <t>US DC B4</t>
        </is>
      </c>
      <c r="AD38" s="148">
        <f>'US DC B4'!BF161</f>
        <v/>
      </c>
      <c r="AE38" s="148">
        <f>'US DC B4'!BI161</f>
        <v/>
      </c>
      <c r="AF38" s="148" t="inlineStr">
        <is>
          <t>King</t>
        </is>
      </c>
      <c r="AG38" s="148" t="inlineStr">
        <is>
          <t>Dark Grey</t>
        </is>
      </c>
      <c r="AH38" s="148">
        <f>AND(E38="CA",OR('CA Dashboard'!$C$4="All",'CA Dashboard'!$C$4=D38),OR('CA Dashboard'!$C$5="All",'CA Dashboard'!$C$5=G38),OR('CA Dashboard'!$C$6="All",'CA Dashboard'!$C$6=H38),OR('CA Dashboard'!$C$7="All",'CA Dashboard'!$C$7=F38),OR('CA Dashboard'!$C$8="All",'CA Dashboard'!$C$8=AJ38))</f>
        <v/>
      </c>
      <c r="AI38" s="148">
        <f>IF(AH38,AI37+1,AI37)</f>
        <v/>
      </c>
      <c r="AJ38" s="148" t="inlineStr">
        <is>
          <t>Direct</t>
        </is>
      </c>
      <c r="AK38" s="148" t="inlineStr">
        <is>
          <t>Same product (sheet set) in the same material family: Bamboo viscose (product page material: Rayon Derived from Bamboo); ours: our listing: viscose from bamboo.</t>
        </is>
      </c>
    </row>
    <row r="39">
      <c r="A39" s="148">
        <f>AND(E39="US",OR('US Dashboard'!$C$4="All",'US Dashboard'!$C$4=D39),OR('US Dashboard'!$C$5="All",'US Dashboard'!$C$5=G39),OR('US Dashboard'!$C$6="All",'US Dashboard'!$C$6=H39),OR('US Dashboard'!$C$7="All",'US Dashboard'!$C$7=F39),OR('US Dashboard'!$C$8="All",'US Dashboard'!$C$8=AJ39))</f>
        <v/>
      </c>
      <c r="B39" s="148">
        <f>IF(A39,B38+1,B38)</f>
        <v/>
      </c>
      <c r="C39" s="148" t="n">
        <v>59</v>
      </c>
      <c r="D39" s="148" t="inlineStr">
        <is>
          <t>DC B4</t>
        </is>
      </c>
      <c r="E39" s="148" t="inlineStr">
        <is>
          <t>US</t>
        </is>
      </c>
      <c r="F39" s="148" t="inlineStr">
        <is>
          <t>Bamboo</t>
        </is>
      </c>
      <c r="G39" s="148" t="inlineStr">
        <is>
          <t>Bamboo Bay</t>
        </is>
      </c>
      <c r="H39" s="148" t="inlineStr">
        <is>
          <t>Poor</t>
        </is>
      </c>
      <c r="I39" s="148" t="inlineStr">
        <is>
          <t>Bamboo Sheets</t>
        </is>
      </c>
      <c r="J39" s="148" t="inlineStr">
        <is>
          <t>https://m.media-amazon.com/images/I/61YnWQV27EL._AC_SL1024_.jpg</t>
        </is>
      </c>
      <c r="K39" s="148" t="inlineStr">
        <is>
          <t>B0DLF1SWJ5</t>
        </is>
      </c>
      <c r="L39" s="148" t="inlineStr">
        <is>
          <t>B07TBHLZJM</t>
        </is>
      </c>
      <c r="M39" s="148" t="n"/>
      <c r="N39" s="148" t="n">
        <v>79.98</v>
      </c>
      <c r="O39" s="148" t="n"/>
      <c r="P39" s="148">
        <f>IF(AND(ISNUMBER(O39),ISNUMBER(N39),N(N39)&gt;0),O39/N39-1,"")</f>
        <v/>
      </c>
      <c r="Q39" s="148" t="n">
        <v>89.98999999999999</v>
      </c>
      <c r="R39" s="148">
        <f>IF(AND(ISNUMBER(N39),ISNUMBER(Q39),N(Q39)&gt;0),N39/Q39-1,"")</f>
        <v/>
      </c>
      <c r="S39" s="148" t="n">
        <v>131083</v>
      </c>
      <c r="T39" s="148" t="n">
        <v>5</v>
      </c>
      <c r="U39" s="148" t="n">
        <v>4.5</v>
      </c>
      <c r="V39" s="148" t="n">
        <v>2691</v>
      </c>
      <c r="W39" s="148" t="n"/>
      <c r="X39" s="148" t="n"/>
      <c r="Y39" s="148" t="n"/>
      <c r="Z39" s="148" t="n"/>
      <c r="AA39" s="148" t="n"/>
      <c r="AB39" s="148" t="n"/>
      <c r="AC39" s="148" t="inlineStr">
        <is>
          <t>US DC B4</t>
        </is>
      </c>
      <c r="AD39" s="148">
        <f>'US DC B4'!BF162</f>
        <v/>
      </c>
      <c r="AE39" s="148">
        <f>'US DC B4'!BI162</f>
        <v/>
      </c>
      <c r="AF39" s="148" t="inlineStr">
        <is>
          <t>Queen</t>
        </is>
      </c>
      <c r="AG39" s="148" t="inlineStr">
        <is>
          <t>04 - Light Grey</t>
        </is>
      </c>
      <c r="AH39" s="148">
        <f>AND(E39="CA",OR('CA Dashboard'!$C$4="All",'CA Dashboard'!$C$4=D39),OR('CA Dashboard'!$C$5="All",'CA Dashboard'!$C$5=G39),OR('CA Dashboard'!$C$6="All",'CA Dashboard'!$C$6=H39),OR('CA Dashboard'!$C$7="All",'CA Dashboard'!$C$7=F39),OR('CA Dashboard'!$C$8="All",'CA Dashboard'!$C$8=AJ39))</f>
        <v/>
      </c>
      <c r="AI39" s="148">
        <f>IF(AH39,AI38+1,AI38)</f>
        <v/>
      </c>
      <c r="AJ39" s="148" t="inlineStr">
        <is>
          <t>Direct</t>
        </is>
      </c>
      <c r="AK39" s="148" t="inlineStr">
        <is>
          <t>Same product (sheet set) in the same material family: Bamboo viscose (product page material: Viscose Made from Bamboo); ours: our listing: viscose from bamboo.</t>
        </is>
      </c>
    </row>
    <row r="40">
      <c r="A40" s="148">
        <f>AND(E40="US",OR('US Dashboard'!$C$4="All",'US Dashboard'!$C$4=D40),OR('US Dashboard'!$C$5="All",'US Dashboard'!$C$5=G40),OR('US Dashboard'!$C$6="All",'US Dashboard'!$C$6=H40),OR('US Dashboard'!$C$7="All",'US Dashboard'!$C$7=F40),OR('US Dashboard'!$C$8="All",'US Dashboard'!$C$8=AJ40))</f>
        <v/>
      </c>
      <c r="B40" s="148">
        <f>IF(A40,B39+1,B39)</f>
        <v/>
      </c>
      <c r="C40" s="148" t="n">
        <v>59</v>
      </c>
      <c r="D40" s="148" t="inlineStr">
        <is>
          <t>DC B4</t>
        </is>
      </c>
      <c r="E40" s="148" t="inlineStr">
        <is>
          <t>US</t>
        </is>
      </c>
      <c r="F40" s="148" t="inlineStr">
        <is>
          <t>Bamboo</t>
        </is>
      </c>
      <c r="G40" s="148" t="inlineStr">
        <is>
          <t>LBRO2M</t>
        </is>
      </c>
      <c r="H40" s="148" t="inlineStr">
        <is>
          <t>Poor</t>
        </is>
      </c>
      <c r="I40" s="148" t="inlineStr">
        <is>
          <t>LBRO2M Cooling Bed Sheet 100% Viscose Derived from Bamboo Sheet Set Queen Size 6</t>
        </is>
      </c>
      <c r="J40" s="148" t="inlineStr">
        <is>
          <t>https://m.media-amazon.com/images/I/61se+-YHOaL._AC_SL1500_.jpg</t>
        </is>
      </c>
      <c r="K40" s="148" t="inlineStr">
        <is>
          <t>B0F9FK3L6J</t>
        </is>
      </c>
      <c r="L40" s="148" t="inlineStr">
        <is>
          <t>B0F9FK7SMW</t>
        </is>
      </c>
      <c r="M40" s="148" t="n"/>
      <c r="N40" s="148" t="n">
        <v>94.98999999999999</v>
      </c>
      <c r="O40" s="148" t="n"/>
      <c r="P40" s="148">
        <f>IF(AND(ISNUMBER(O40),ISNUMBER(N40),N(N40)&gt;0),O40/N40-1,"")</f>
        <v/>
      </c>
      <c r="Q40" s="148" t="n">
        <v>94.98999999999999</v>
      </c>
      <c r="R40" s="148">
        <f>IF(AND(ISNUMBER(N40),ISNUMBER(Q40),N(Q40)&gt;0),N40/Q40-1,"")</f>
        <v/>
      </c>
      <c r="S40" s="148" t="n">
        <v>1003118</v>
      </c>
      <c r="T40" s="148" t="n">
        <v>5</v>
      </c>
      <c r="U40" s="148" t="n">
        <v>4.4</v>
      </c>
      <c r="V40" s="148" t="n">
        <v>18</v>
      </c>
      <c r="W40" s="148" t="n"/>
      <c r="X40" s="148" t="n"/>
      <c r="Y40" s="148" t="n"/>
      <c r="Z40" s="148" t="n"/>
      <c r="AA40" s="148" t="n"/>
      <c r="AB40" s="148" t="n"/>
      <c r="AC40" s="148" t="inlineStr">
        <is>
          <t>US DC B4</t>
        </is>
      </c>
      <c r="AD40" s="148">
        <f>'US DC B4'!BF163</f>
        <v/>
      </c>
      <c r="AE40" s="148">
        <f>'US DC B4'!BI163</f>
        <v/>
      </c>
      <c r="AF40" s="148" t="inlineStr">
        <is>
          <t>King 6 Pcs</t>
        </is>
      </c>
      <c r="AG40" s="148" t="inlineStr">
        <is>
          <t>White</t>
        </is>
      </c>
      <c r="AH40" s="148">
        <f>AND(E40="CA",OR('CA Dashboard'!$C$4="All",'CA Dashboard'!$C$4=D40),OR('CA Dashboard'!$C$5="All",'CA Dashboard'!$C$5=G40),OR('CA Dashboard'!$C$6="All",'CA Dashboard'!$C$6=H40),OR('CA Dashboard'!$C$7="All",'CA Dashboard'!$C$7=F40),OR('CA Dashboard'!$C$8="All",'CA Dashboard'!$C$8=AJ40))</f>
        <v/>
      </c>
      <c r="AI40" s="148">
        <f>IF(AH40,AI39+1,AI39)</f>
        <v/>
      </c>
      <c r="AJ40" s="148" t="inlineStr">
        <is>
          <t>Direct</t>
        </is>
      </c>
      <c r="AK40" s="148" t="inlineStr">
        <is>
          <t>Same product (sheet set) in the same material family: Bamboo viscose (product page material: Viscose Derived from Bamboo); ours: our listing: viscose from bamboo.</t>
        </is>
      </c>
    </row>
    <row r="41">
      <c r="A41" s="148">
        <f>AND(E41="US",OR('US Dashboard'!$C$4="All",'US Dashboard'!$C$4=D41),OR('US Dashboard'!$C$5="All",'US Dashboard'!$C$5=G41),OR('US Dashboard'!$C$6="All",'US Dashboard'!$C$6=H41),OR('US Dashboard'!$C$7="All",'US Dashboard'!$C$7=F41),OR('US Dashboard'!$C$8="All",'US Dashboard'!$C$8=AJ41))</f>
        <v/>
      </c>
      <c r="B41" s="148">
        <f>IF(A41,B40+1,B40)</f>
        <v/>
      </c>
      <c r="C41" s="148" t="n">
        <v>59</v>
      </c>
      <c r="D41" s="148" t="inlineStr">
        <is>
          <t>DC B4</t>
        </is>
      </c>
      <c r="E41" s="148" t="inlineStr">
        <is>
          <t>US</t>
        </is>
      </c>
      <c r="F41" s="148" t="inlineStr">
        <is>
          <t>Bamboo</t>
        </is>
      </c>
      <c r="G41" s="148" t="inlineStr">
        <is>
          <t>TWK</t>
        </is>
      </c>
      <c r="H41" s="148" t="inlineStr">
        <is>
          <t>Poor</t>
        </is>
      </c>
      <c r="I41" s="148" t="inlineStr">
        <is>
          <t>TWK Luxury Sheet Set, Genuine 100% Viscose Derived from Bamboo, Cooling &amp; Breathable, Silky Soft, Bedding Sheets &amp; Pillowcases (White, King(78 * 80 * 15))</t>
        </is>
      </c>
      <c r="J41" s="148" t="inlineStr">
        <is>
          <t>https://images-na.ssl-images-amazon.com/images/I/71YlZk0Q9-L.jpg</t>
        </is>
      </c>
      <c r="K41" s="148" t="inlineStr">
        <is>
          <t>B0GVP3B7LS</t>
        </is>
      </c>
      <c r="L41" s="148" t="inlineStr">
        <is>
          <t>B0GVP3B7LS</t>
        </is>
      </c>
      <c r="M41" s="148" t="n">
        <v>1</v>
      </c>
      <c r="N41" s="148" t="n">
        <v>46.74</v>
      </c>
      <c r="O41" s="148" t="n"/>
      <c r="P41" s="148">
        <f>IF(AND(ISNUMBER(O41),ISNUMBER(N41),N(N41)&gt;0),O41/N41-1,"")</f>
        <v/>
      </c>
      <c r="Q41" s="148" t="n">
        <v>94.98999999999999</v>
      </c>
      <c r="R41" s="148">
        <f>IF(AND(ISNUMBER(N41),ISNUMBER(Q41),N(Q41)&gt;0),N41/Q41-1,"")</f>
        <v/>
      </c>
      <c r="S41" s="148" t="n">
        <v>2065761</v>
      </c>
      <c r="T41" s="148" t="n">
        <v>5</v>
      </c>
      <c r="U41" s="148" t="n">
        <v>4.5</v>
      </c>
      <c r="V41" s="148" t="n">
        <v>11</v>
      </c>
      <c r="W41" s="148" t="n"/>
      <c r="X41" s="148" t="n"/>
      <c r="Y41" s="148" t="n"/>
      <c r="Z41" s="148" t="n"/>
      <c r="AA41" s="148" t="n"/>
      <c r="AB41" s="148" t="n"/>
      <c r="AC41" s="148" t="inlineStr">
        <is>
          <t>US DC B4</t>
        </is>
      </c>
      <c r="AD41" s="148">
        <f>'US DC B4'!BF164</f>
        <v/>
      </c>
      <c r="AE41" s="148">
        <f>'US DC B4'!BI164</f>
        <v/>
      </c>
      <c r="AF41" s="148" t="inlineStr">
        <is>
          <t>King</t>
        </is>
      </c>
      <c r="AG41" s="148" t="inlineStr">
        <is>
          <t>White</t>
        </is>
      </c>
      <c r="AH41" s="148">
        <f>AND(E41="CA",OR('CA Dashboard'!$C$4="All",'CA Dashboard'!$C$4=D41),OR('CA Dashboard'!$C$5="All",'CA Dashboard'!$C$5=G41),OR('CA Dashboard'!$C$6="All",'CA Dashboard'!$C$6=H41),OR('CA Dashboard'!$C$7="All",'CA Dashboard'!$C$7=F41),OR('CA Dashboard'!$C$8="All",'CA Dashboard'!$C$8=AJ41))</f>
        <v/>
      </c>
      <c r="AI41" s="148">
        <f>IF(AH41,AI40+1,AI40)</f>
        <v/>
      </c>
      <c r="AJ41" s="148" t="inlineStr">
        <is>
          <t>Direct</t>
        </is>
      </c>
      <c r="AK41" s="148" t="inlineStr">
        <is>
          <t>Same product (sheet set) in the same material family: Bamboo viscose (title: TWK Luxury Sheet Set, Genuine 100% Viscose Derived from Bamb); ours: our listing: viscose from bamboo.</t>
        </is>
      </c>
    </row>
    <row r="42">
      <c r="A42" s="148">
        <f>AND(E42="US",OR('US Dashboard'!$C$4="All",'US Dashboard'!$C$4=D42),OR('US Dashboard'!$C$5="All",'US Dashboard'!$C$5=G42),OR('US Dashboard'!$C$6="All",'US Dashboard'!$C$6=H42),OR('US Dashboard'!$C$7="All",'US Dashboard'!$C$7=F42),OR('US Dashboard'!$C$8="All",'US Dashboard'!$C$8=AJ42))</f>
        <v/>
      </c>
      <c r="B42" s="148">
        <f>IF(A42,B41+1,B41)</f>
        <v/>
      </c>
      <c r="C42" s="148" t="n">
        <v>59</v>
      </c>
      <c r="D42" s="148" t="inlineStr">
        <is>
          <t>DC B4</t>
        </is>
      </c>
      <c r="E42" s="148" t="inlineStr">
        <is>
          <t>US</t>
        </is>
      </c>
      <c r="F42" s="148" t="inlineStr">
        <is>
          <t>Bamboo</t>
        </is>
      </c>
      <c r="G42" s="148" t="inlineStr">
        <is>
          <t>TWK</t>
        </is>
      </c>
      <c r="H42" s="148" t="inlineStr">
        <is>
          <t>Poor</t>
        </is>
      </c>
      <c r="I42" s="148" t="inlineStr">
        <is>
          <t>TWK Luxury Sheet Set, Genuine 100% Organic Viscose Derived from Bamboo, Cooling &amp; Breathable, Silky Soft, Bedding Sheets &amp; Pillowcases (Mist Gray, King)</t>
        </is>
      </c>
      <c r="J42" s="148" t="inlineStr">
        <is>
          <t>https://images-na.ssl-images-amazon.com/images/I/71gw0WpuNuL.jpg</t>
        </is>
      </c>
      <c r="K42" s="148" t="inlineStr">
        <is>
          <t>B0DYT2QWLC</t>
        </is>
      </c>
      <c r="L42" s="148" t="inlineStr">
        <is>
          <t>B0DYT2QWLC</t>
        </is>
      </c>
      <c r="M42" s="148" t="n">
        <v>1</v>
      </c>
      <c r="N42" s="148" t="n">
        <v>109.99</v>
      </c>
      <c r="O42" s="148" t="n"/>
      <c r="P42" s="148">
        <f>IF(AND(ISNUMBER(O42),ISNUMBER(N42),N(N42)&gt;0),O42/N42-1,"")</f>
        <v/>
      </c>
      <c r="Q42" s="148" t="n">
        <v>94.98999999999999</v>
      </c>
      <c r="R42" s="148">
        <f>IF(AND(ISNUMBER(N42),ISNUMBER(Q42),N(Q42)&gt;0),N42/Q42-1,"")</f>
        <v/>
      </c>
      <c r="S42" s="148" t="n">
        <v>1506045</v>
      </c>
      <c r="T42" s="148" t="n">
        <v>5</v>
      </c>
      <c r="U42" s="148" t="n">
        <v>4.5</v>
      </c>
      <c r="V42" s="148" t="n">
        <v>39</v>
      </c>
      <c r="W42" s="148" t="n"/>
      <c r="X42" s="148" t="n"/>
      <c r="Y42" s="148" t="n"/>
      <c r="Z42" s="148" t="n"/>
      <c r="AA42" s="148" t="n"/>
      <c r="AB42" s="148" t="n"/>
      <c r="AC42" s="148" t="inlineStr">
        <is>
          <t>US DC B4</t>
        </is>
      </c>
      <c r="AD42" s="148">
        <f>'US DC B4'!BF165</f>
        <v/>
      </c>
      <c r="AE42" s="148">
        <f>'US DC B4'!BI165</f>
        <v/>
      </c>
      <c r="AF42" s="148" t="inlineStr">
        <is>
          <t>King</t>
        </is>
      </c>
      <c r="AG42" s="148" t="inlineStr">
        <is>
          <t>Mist Gray</t>
        </is>
      </c>
      <c r="AH42" s="148">
        <f>AND(E42="CA",OR('CA Dashboard'!$C$4="All",'CA Dashboard'!$C$4=D42),OR('CA Dashboard'!$C$5="All",'CA Dashboard'!$C$5=G42),OR('CA Dashboard'!$C$6="All",'CA Dashboard'!$C$6=H42),OR('CA Dashboard'!$C$7="All",'CA Dashboard'!$C$7=F42),OR('CA Dashboard'!$C$8="All",'CA Dashboard'!$C$8=AJ42))</f>
        <v/>
      </c>
      <c r="AI42" s="148">
        <f>IF(AH42,AI41+1,AI41)</f>
        <v/>
      </c>
      <c r="AJ42" s="148" t="inlineStr">
        <is>
          <t>Direct</t>
        </is>
      </c>
      <c r="AK42" s="148" t="inlineStr">
        <is>
          <t>Same product (sheet set) in the same material family: Bamboo viscose (title: TWK Luxury Sheet Set, Genuine 100% Organic Viscose Derived f); ours: our listing: viscose from bamboo.</t>
        </is>
      </c>
    </row>
    <row r="43">
      <c r="A43" s="148">
        <f>AND(E43="US",OR('US Dashboard'!$C$4="All",'US Dashboard'!$C$4=D43),OR('US Dashboard'!$C$5="All",'US Dashboard'!$C$5=G43),OR('US Dashboard'!$C$6="All",'US Dashboard'!$C$6=H43),OR('US Dashboard'!$C$7="All",'US Dashboard'!$C$7=F43),OR('US Dashboard'!$C$8="All",'US Dashboard'!$C$8=AJ43))</f>
        <v/>
      </c>
      <c r="B43" s="148">
        <f>IF(A43,B42+1,B42)</f>
        <v/>
      </c>
      <c r="C43" s="148" t="n">
        <v>59</v>
      </c>
      <c r="D43" s="148" t="inlineStr">
        <is>
          <t>DC B4</t>
        </is>
      </c>
      <c r="E43" s="148" t="inlineStr">
        <is>
          <t>US</t>
        </is>
      </c>
      <c r="F43" s="148" t="inlineStr">
        <is>
          <t>Bamboo</t>
        </is>
      </c>
      <c r="G43" s="148" t="inlineStr">
        <is>
          <t>TWK</t>
        </is>
      </c>
      <c r="H43" s="148" t="inlineStr">
        <is>
          <t>Poor</t>
        </is>
      </c>
      <c r="I43" s="148" t="inlineStr">
        <is>
          <t>4 Piece Bamboo Sheet Set</t>
        </is>
      </c>
      <c r="J43" s="148" t="inlineStr">
        <is>
          <t>https://m.media-amazon.com/images/I/61cLtklNnOL._AC_SL1486_.jpg</t>
        </is>
      </c>
      <c r="K43" s="148" t="inlineStr">
        <is>
          <t>B0GW7H7RHY</t>
        </is>
      </c>
      <c r="L43" s="148" t="inlineStr">
        <is>
          <t>B0GW7H7RHY</t>
        </is>
      </c>
      <c r="M43" s="148" t="n"/>
      <c r="N43" s="148" t="n">
        <v>109.99</v>
      </c>
      <c r="O43" s="148" t="n"/>
      <c r="P43" s="148">
        <f>IF(AND(ISNUMBER(O43),ISNUMBER(N43),N(N43)&gt;0),O43/N43-1,"")</f>
        <v/>
      </c>
      <c r="Q43" s="148" t="n">
        <v>94.98999999999999</v>
      </c>
      <c r="R43" s="148">
        <f>IF(AND(ISNUMBER(N43),ISNUMBER(Q43),N(Q43)&gt;0),N43/Q43-1,"")</f>
        <v/>
      </c>
      <c r="S43" s="148" t="n">
        <v>4355899</v>
      </c>
      <c r="T43" s="148" t="n">
        <v>5</v>
      </c>
      <c r="U43" s="148" t="n">
        <v>4.5</v>
      </c>
      <c r="V43" s="148" t="n">
        <v>2</v>
      </c>
      <c r="W43" s="148" t="n"/>
      <c r="X43" s="148" t="n"/>
      <c r="Y43" s="148" t="n"/>
      <c r="Z43" s="148" t="n"/>
      <c r="AA43" s="148" t="n"/>
      <c r="AB43" s="148" t="n"/>
      <c r="AC43" s="148" t="inlineStr">
        <is>
          <t>US DC B4</t>
        </is>
      </c>
      <c r="AD43" s="148">
        <f>'US DC B4'!BF166</f>
        <v/>
      </c>
      <c r="AE43" s="148">
        <f>'US DC B4'!BI166</f>
        <v/>
      </c>
      <c r="AF43" s="148" t="inlineStr">
        <is>
          <t>King</t>
        </is>
      </c>
      <c r="AG43" s="148" t="inlineStr">
        <is>
          <t>Sand</t>
        </is>
      </c>
      <c r="AH43" s="148">
        <f>AND(E43="CA",OR('CA Dashboard'!$C$4="All",'CA Dashboard'!$C$4=D43),OR('CA Dashboard'!$C$5="All",'CA Dashboard'!$C$5=G43),OR('CA Dashboard'!$C$6="All",'CA Dashboard'!$C$6=H43),OR('CA Dashboard'!$C$7="All",'CA Dashboard'!$C$7=F43),OR('CA Dashboard'!$C$8="All",'CA Dashboard'!$C$8=AJ43))</f>
        <v/>
      </c>
      <c r="AI43" s="148">
        <f>IF(AH43,AI42+1,AI42)</f>
        <v/>
      </c>
      <c r="AJ43" s="148" t="inlineStr">
        <is>
          <t>Direct</t>
        </is>
      </c>
      <c r="AK43" s="148" t="inlineStr">
        <is>
          <t>Same product (sheet set) in the same material family: Bamboo viscose (product page material: Genuine 100% Organic Viscose Derived from Bamboo); ours: our listing: viscose from bamboo.</t>
        </is>
      </c>
    </row>
    <row r="44">
      <c r="A44" s="148">
        <f>AND(E44="US",OR('US Dashboard'!$C$4="All",'US Dashboard'!$C$4=D44),OR('US Dashboard'!$C$5="All",'US Dashboard'!$C$5=G44),OR('US Dashboard'!$C$6="All",'US Dashboard'!$C$6=H44),OR('US Dashboard'!$C$7="All",'US Dashboard'!$C$7=F44),OR('US Dashboard'!$C$8="All",'US Dashboard'!$C$8=AJ44))</f>
        <v/>
      </c>
      <c r="B44" s="148">
        <f>IF(A44,B43+1,B43)</f>
        <v/>
      </c>
      <c r="C44" s="148" t="n">
        <v>59</v>
      </c>
      <c r="D44" s="148" t="inlineStr">
        <is>
          <t>DC B4</t>
        </is>
      </c>
      <c r="E44" s="148" t="inlineStr">
        <is>
          <t>US</t>
        </is>
      </c>
      <c r="F44" s="148" t="inlineStr">
        <is>
          <t>Bamboo</t>
        </is>
      </c>
      <c r="G44" s="148" t="inlineStr">
        <is>
          <t>Vesta</t>
        </is>
      </c>
      <c r="H44" s="148" t="inlineStr">
        <is>
          <t>Poor</t>
        </is>
      </c>
      <c r="I44" s="148" t="inlineStr">
        <is>
          <t>Vesta Sheet Set – Soft, Breathable &amp; Cooling, 100% Viscose Derived from Bamboo,</t>
        </is>
      </c>
      <c r="J44" s="148" t="inlineStr">
        <is>
          <t>https://m.media-amazon.com/images/I/619JGLN3FDL._AC_SL1080_.jpg</t>
        </is>
      </c>
      <c r="K44" s="148" t="inlineStr">
        <is>
          <t>B0CZRJY68B</t>
        </is>
      </c>
      <c r="L44" s="148" t="inlineStr">
        <is>
          <t>B0DM214YG3</t>
        </is>
      </c>
      <c r="M44" s="148" t="n"/>
      <c r="N44" s="148" t="n">
        <v>174.3</v>
      </c>
      <c r="O44" s="148" t="n"/>
      <c r="P44" s="148">
        <f>IF(AND(ISNUMBER(O44),ISNUMBER(N44),N(N44)&gt;0),O44/N44-1,"")</f>
        <v/>
      </c>
      <c r="Q44" s="148" t="n">
        <v>94.98999999999999</v>
      </c>
      <c r="R44" s="148">
        <f>IF(AND(ISNUMBER(N44),ISNUMBER(Q44),N(Q44)&gt;0),N44/Q44-1,"")</f>
        <v/>
      </c>
      <c r="S44" s="148" t="n">
        <v>591414</v>
      </c>
      <c r="T44" s="148" t="n">
        <v>5</v>
      </c>
      <c r="U44" s="148" t="n">
        <v>4.3</v>
      </c>
      <c r="V44" s="148" t="n">
        <v>35</v>
      </c>
      <c r="W44" s="148" t="n"/>
      <c r="X44" s="148" t="n"/>
      <c r="Y44" s="148" t="n"/>
      <c r="Z44" s="148" t="n"/>
      <c r="AA44" s="148" t="n"/>
      <c r="AB44" s="148" t="n"/>
      <c r="AC44" s="148" t="inlineStr">
        <is>
          <t>US DC B4</t>
        </is>
      </c>
      <c r="AD44" s="148">
        <f>'US DC B4'!BF167</f>
        <v/>
      </c>
      <c r="AE44" s="148">
        <f>'US DC B4'!BI167</f>
        <v/>
      </c>
      <c r="AF44" s="148" t="inlineStr">
        <is>
          <t>King/Cali King</t>
        </is>
      </c>
      <c r="AG44" s="148" t="inlineStr">
        <is>
          <t>Terra Cotta</t>
        </is>
      </c>
      <c r="AH44" s="148">
        <f>AND(E44="CA",OR('CA Dashboard'!$C$4="All",'CA Dashboard'!$C$4=D44),OR('CA Dashboard'!$C$5="All",'CA Dashboard'!$C$5=G44),OR('CA Dashboard'!$C$6="All",'CA Dashboard'!$C$6=H44),OR('CA Dashboard'!$C$7="All",'CA Dashboard'!$C$7=F44),OR('CA Dashboard'!$C$8="All",'CA Dashboard'!$C$8=AJ44))</f>
        <v/>
      </c>
      <c r="AI44" s="148">
        <f>IF(AH44,AI43+1,AI43)</f>
        <v/>
      </c>
      <c r="AJ44" s="148" t="inlineStr">
        <is>
          <t>Direct</t>
        </is>
      </c>
      <c r="AK44" s="148" t="inlineStr">
        <is>
          <t>Same product (sheet set) in the same material family: Bamboo viscose (product page material: viscose from bamboo); ours: our listing: viscose from bamboo.</t>
        </is>
      </c>
    </row>
    <row r="45">
      <c r="A45" s="148">
        <f>AND(E45="US",OR('US Dashboard'!$C$4="All",'US Dashboard'!$C$4=D45),OR('US Dashboard'!$C$5="All",'US Dashboard'!$C$5=G45),OR('US Dashboard'!$C$6="All",'US Dashboard'!$C$6=H45),OR('US Dashboard'!$C$7="All",'US Dashboard'!$C$7=F45),OR('US Dashboard'!$C$8="All",'US Dashboard'!$C$8=AJ45))</f>
        <v/>
      </c>
      <c r="B45" s="148">
        <f>IF(A45,B44+1,B44)</f>
        <v/>
      </c>
      <c r="C45" s="148" t="n">
        <v>59</v>
      </c>
      <c r="D45" s="148" t="inlineStr">
        <is>
          <t>DC B4</t>
        </is>
      </c>
      <c r="E45" s="148" t="inlineStr">
        <is>
          <t>US</t>
        </is>
      </c>
      <c r="F45" s="148" t="inlineStr">
        <is>
          <t>Bamboo</t>
        </is>
      </c>
      <c r="G45" s="148" t="inlineStr">
        <is>
          <t>TWK</t>
        </is>
      </c>
      <c r="H45" s="148" t="inlineStr">
        <is>
          <t>Poor</t>
        </is>
      </c>
      <c r="I45" s="148" t="inlineStr">
        <is>
          <t>TWK Genuine 100% Viscose Derived from Natural Bamboo Bed Sheets Set,Cooling &amp; Silky Soft Bed Sheets,Deep Pocket Up to 18",with a Laundry Bag (White, King)</t>
        </is>
      </c>
      <c r="J45" s="148" t="n"/>
      <c r="K45" s="148" t="n"/>
      <c r="L45" s="148" t="inlineStr">
        <is>
          <t>B0G1N59S1Q</t>
        </is>
      </c>
      <c r="M45" s="148" t="n"/>
      <c r="N45" s="148" t="n">
        <v>109.99</v>
      </c>
      <c r="O45" s="148" t="n"/>
      <c r="P45" s="148">
        <f>IF(AND(ISNUMBER(O45),ISNUMBER(N45),N(N45)&gt;0),O45/N45-1,"")</f>
        <v/>
      </c>
      <c r="Q45" s="148" t="n">
        <v>94.98999999999999</v>
      </c>
      <c r="R45" s="148">
        <f>IF(AND(ISNUMBER(N45),ISNUMBER(Q45),N(Q45)&gt;0),N45/Q45-1,"")</f>
        <v/>
      </c>
      <c r="S45" s="148" t="n"/>
      <c r="T45" s="148" t="n"/>
      <c r="U45" s="148" t="n">
        <v>4.5</v>
      </c>
      <c r="V45" s="148" t="n">
        <v>6</v>
      </c>
      <c r="W45" s="148" t="n"/>
      <c r="X45" s="148" t="n"/>
      <c r="Y45" s="148" t="n"/>
      <c r="Z45" s="148" t="n"/>
      <c r="AA45" s="148" t="n"/>
      <c r="AB45" s="148" t="n"/>
      <c r="AC45" s="148" t="inlineStr">
        <is>
          <t>US DC B4</t>
        </is>
      </c>
      <c r="AD45" s="148">
        <f>'US DC B4'!BF168</f>
        <v/>
      </c>
      <c r="AE45" s="148">
        <f>'US DC B4'!BI168</f>
        <v/>
      </c>
      <c r="AF45" s="148" t="inlineStr">
        <is>
          <t>King</t>
        </is>
      </c>
      <c r="AG45" s="148" t="inlineStr">
        <is>
          <t>White</t>
        </is>
      </c>
      <c r="AH45" s="148">
        <f>AND(E45="CA",OR('CA Dashboard'!$C$4="All",'CA Dashboard'!$C$4=D45),OR('CA Dashboard'!$C$5="All",'CA Dashboard'!$C$5=G45),OR('CA Dashboard'!$C$6="All",'CA Dashboard'!$C$6=H45),OR('CA Dashboard'!$C$7="All",'CA Dashboard'!$C$7=F45),OR('CA Dashboard'!$C$8="All",'CA Dashboard'!$C$8=AJ45))</f>
        <v/>
      </c>
      <c r="AI45" s="148">
        <f>IF(AH45,AI44+1,AI44)</f>
        <v/>
      </c>
      <c r="AJ45" s="148" t="inlineStr">
        <is>
          <t>Direct</t>
        </is>
      </c>
      <c r="AK45" s="148" t="inlineStr">
        <is>
          <t>Same product (sheet set) in the same material family: Bamboo viscose (title: TWK Genuine 100% Viscose Derived from Natural Bamboo Bed She); ours: our listing: viscose from bamboo.</t>
        </is>
      </c>
    </row>
    <row r="46">
      <c r="A46" s="148">
        <f>AND(E46="US",OR('US Dashboard'!$C$4="All",'US Dashboard'!$C$4=D46),OR('US Dashboard'!$C$5="All",'US Dashboard'!$C$5=G46),OR('US Dashboard'!$C$6="All",'US Dashboard'!$C$6=H46),OR('US Dashboard'!$C$7="All",'US Dashboard'!$C$7=F46),OR('US Dashboard'!$C$8="All",'US Dashboard'!$C$8=AJ46))</f>
        <v/>
      </c>
      <c r="B46" s="148">
        <f>IF(A46,B45+1,B45)</f>
        <v/>
      </c>
      <c r="C46" s="148" t="n">
        <v>59</v>
      </c>
      <c r="D46" s="148" t="inlineStr">
        <is>
          <t>DC B4</t>
        </is>
      </c>
      <c r="E46" s="148" t="inlineStr">
        <is>
          <t>US</t>
        </is>
      </c>
      <c r="F46" s="148" t="inlineStr">
        <is>
          <t>Bamboo</t>
        </is>
      </c>
      <c r="G46" s="148" t="inlineStr">
        <is>
          <t>CozyLux</t>
        </is>
      </c>
      <c r="H46" s="148" t="inlineStr">
        <is>
          <t>Untiered</t>
        </is>
      </c>
      <c r="I46" s="148" t="inlineStr">
        <is>
          <t>CozyLux King Size Sheets Set, 100% Rayon Derived from Bamboo, Sateen Weave</t>
        </is>
      </c>
      <c r="J46" s="148" t="inlineStr">
        <is>
          <t>https://images-na.ssl-images-amazon.com/images/I/716Vqhk8VxL.jpg</t>
        </is>
      </c>
      <c r="K46" s="148" t="inlineStr">
        <is>
          <t>B0GC2GQNMT</t>
        </is>
      </c>
      <c r="L46" s="148" t="inlineStr">
        <is>
          <t>B0GC5CJGWC</t>
        </is>
      </c>
      <c r="M46" s="148" t="n">
        <v>18</v>
      </c>
      <c r="N46" s="148" t="n">
        <v>35.99</v>
      </c>
      <c r="O46" s="148" t="n"/>
      <c r="P46" s="148">
        <f>IF(AND(ISNUMBER(O46),ISNUMBER(N46),N(N46)&gt;0),O46/N46-1,"")</f>
        <v/>
      </c>
      <c r="Q46" s="148" t="n">
        <v>94.98999999999999</v>
      </c>
      <c r="R46" s="148">
        <f>IF(AND(ISNUMBER(N46),ISNUMBER(Q46),N(Q46)&gt;0),N46/Q46-1,"")</f>
        <v/>
      </c>
      <c r="S46" s="148" t="n">
        <v>33018</v>
      </c>
      <c r="T46" s="148" t="n">
        <v>185</v>
      </c>
      <c r="U46" s="148" t="n">
        <v>4.6</v>
      </c>
      <c r="V46" s="148" t="n">
        <v>93</v>
      </c>
      <c r="W46" s="148" t="n"/>
      <c r="X46" s="148" t="n"/>
      <c r="Y46" s="148" t="n"/>
      <c r="Z46" s="148" t="n"/>
      <c r="AA46" s="148" t="n"/>
      <c r="AB46" s="148" t="n"/>
      <c r="AC46" s="148" t="inlineStr">
        <is>
          <t>US DC B4</t>
        </is>
      </c>
      <c r="AD46" s="148">
        <f>'US DC B4'!BF169</f>
        <v/>
      </c>
      <c r="AE46" s="148">
        <f>'US DC B4'!BI169</f>
        <v/>
      </c>
      <c r="AF46" s="148" t="inlineStr">
        <is>
          <t>King</t>
        </is>
      </c>
      <c r="AG46" s="148" t="inlineStr">
        <is>
          <t>Ivory</t>
        </is>
      </c>
      <c r="AH46" s="148">
        <f>AND(E46="CA",OR('CA Dashboard'!$C$4="All",'CA Dashboard'!$C$4=D46),OR('CA Dashboard'!$C$5="All",'CA Dashboard'!$C$5=G46),OR('CA Dashboard'!$C$6="All",'CA Dashboard'!$C$6=H46),OR('CA Dashboard'!$C$7="All",'CA Dashboard'!$C$7=F46),OR('CA Dashboard'!$C$8="All",'CA Dashboard'!$C$8=AJ46))</f>
        <v/>
      </c>
      <c r="AI46" s="148">
        <f>IF(AH46,AI45+1,AI45)</f>
        <v/>
      </c>
      <c r="AJ46" s="148" t="inlineStr">
        <is>
          <t>Direct</t>
        </is>
      </c>
      <c r="AK46" s="148" t="inlineStr">
        <is>
          <t>Same product (sheet set) in the same material family: Bamboo viscose (product page material: Rayon); ours: our listing: viscose from bamboo.</t>
        </is>
      </c>
    </row>
    <row r="47">
      <c r="A47" s="148">
        <f>AND(E47="US",OR('US Dashboard'!$C$4="All",'US Dashboard'!$C$4=D47),OR('US Dashboard'!$C$5="All",'US Dashboard'!$C$5=G47),OR('US Dashboard'!$C$6="All",'US Dashboard'!$C$6=H47),OR('US Dashboard'!$C$7="All",'US Dashboard'!$C$7=F47),OR('US Dashboard'!$C$8="All",'US Dashboard'!$C$8=AJ47))</f>
        <v/>
      </c>
      <c r="B47" s="148">
        <f>IF(A47,B46+1,B46)</f>
        <v/>
      </c>
      <c r="C47" s="148" t="n">
        <v>59</v>
      </c>
      <c r="D47" s="148" t="inlineStr">
        <is>
          <t>DC B4</t>
        </is>
      </c>
      <c r="E47" s="148" t="inlineStr">
        <is>
          <t>US</t>
        </is>
      </c>
      <c r="F47" s="148" t="inlineStr">
        <is>
          <t>Bamboo</t>
        </is>
      </c>
      <c r="G47" s="148" t="inlineStr">
        <is>
          <t>CGK Unlimited</t>
        </is>
      </c>
      <c r="H47" s="148" t="inlineStr">
        <is>
          <t>Untiered</t>
        </is>
      </c>
      <c r="I47" s="148" t="inlineStr">
        <is>
          <t>100% Rayon Derived from Bamboo - Bamboo Sheets Queen Size - Black</t>
        </is>
      </c>
      <c r="J47" s="148" t="inlineStr">
        <is>
          <t>https://images-na.ssl-images-amazon.com/images/I/61WgRn96SbL.jpg</t>
        </is>
      </c>
      <c r="K47" s="148" t="inlineStr">
        <is>
          <t>B0F2GR2DKR</t>
        </is>
      </c>
      <c r="L47" s="148" t="inlineStr">
        <is>
          <t>B0D429MCF7</t>
        </is>
      </c>
      <c r="M47" s="148" t="n">
        <v>58</v>
      </c>
      <c r="N47" s="148" t="n">
        <v>49.99</v>
      </c>
      <c r="O47" s="148" t="n"/>
      <c r="P47" s="148">
        <f>IF(AND(ISNUMBER(O47),ISNUMBER(N47),N(N47)&gt;0),O47/N47-1,"")</f>
        <v/>
      </c>
      <c r="Q47" s="148" t="n">
        <v>89.98999999999999</v>
      </c>
      <c r="R47" s="148">
        <f>IF(AND(ISNUMBER(N47),ISNUMBER(Q47),N(Q47)&gt;0),N47/Q47-1,"")</f>
        <v/>
      </c>
      <c r="S47" s="148" t="n">
        <v>2554</v>
      </c>
      <c r="T47" s="148" t="n">
        <v>173</v>
      </c>
      <c r="U47" s="148" t="n">
        <v>4.4</v>
      </c>
      <c r="V47" s="148" t="n">
        <v>1169</v>
      </c>
      <c r="W47" s="148" t="n"/>
      <c r="X47" s="148" t="n"/>
      <c r="Y47" s="148" t="n"/>
      <c r="Z47" s="148" t="n"/>
      <c r="AA47" s="148" t="n"/>
      <c r="AB47" s="148" t="n"/>
      <c r="AC47" s="148" t="inlineStr">
        <is>
          <t>US DC B4</t>
        </is>
      </c>
      <c r="AD47" s="148">
        <f>'US DC B4'!BF170</f>
        <v/>
      </c>
      <c r="AE47" s="148">
        <f>'US DC B4'!BI170</f>
        <v/>
      </c>
      <c r="AF47" s="148" t="inlineStr">
        <is>
          <t>Queen</t>
        </is>
      </c>
      <c r="AG47" s="148" t="inlineStr">
        <is>
          <t>Black</t>
        </is>
      </c>
      <c r="AH47" s="148">
        <f>AND(E47="CA",OR('CA Dashboard'!$C$4="All",'CA Dashboard'!$C$4=D47),OR('CA Dashboard'!$C$5="All",'CA Dashboard'!$C$5=G47),OR('CA Dashboard'!$C$6="All",'CA Dashboard'!$C$6=H47),OR('CA Dashboard'!$C$7="All",'CA Dashboard'!$C$7=F47),OR('CA Dashboard'!$C$8="All",'CA Dashboard'!$C$8=AJ47))</f>
        <v/>
      </c>
      <c r="AI47" s="148">
        <f>IF(AH47,AI46+1,AI46)</f>
        <v/>
      </c>
      <c r="AJ47" s="148" t="inlineStr">
        <is>
          <t>Direct</t>
        </is>
      </c>
      <c r="AK47" s="148" t="inlineStr">
        <is>
          <t>Same product (sheet set) in the same material family: Bamboo viscose (title: 100% Rayon Derived from Bamboo - Bamboo Sheets Queen Size - ); ours: our listing: viscose from bamboo.</t>
        </is>
      </c>
    </row>
    <row r="48">
      <c r="A48" s="148">
        <f>AND(E48="US",OR('US Dashboard'!$C$4="All",'US Dashboard'!$C$4=D48),OR('US Dashboard'!$C$5="All",'US Dashboard'!$C$5=G48),OR('US Dashboard'!$C$6="All",'US Dashboard'!$C$6=H48),OR('US Dashboard'!$C$7="All",'US Dashboard'!$C$7=F48),OR('US Dashboard'!$C$8="All",'US Dashboard'!$C$8=AJ48))</f>
        <v/>
      </c>
      <c r="B48" s="148">
        <f>IF(A48,B47+1,B47)</f>
        <v/>
      </c>
      <c r="C48" s="148" t="n">
        <v>59</v>
      </c>
      <c r="D48" s="148" t="inlineStr">
        <is>
          <t>DC B4</t>
        </is>
      </c>
      <c r="E48" s="148" t="inlineStr">
        <is>
          <t>US</t>
        </is>
      </c>
      <c r="F48" s="148" t="inlineStr">
        <is>
          <t>Bamboo</t>
        </is>
      </c>
      <c r="G48" s="148" t="inlineStr">
        <is>
          <t>Cosy House Collection</t>
        </is>
      </c>
      <c r="H48" s="148" t="inlineStr">
        <is>
          <t>Untiered</t>
        </is>
      </c>
      <c r="I48" s="148" t="inlineStr">
        <is>
          <t>Cosy House Collection 100% Rayon Derived from Bamboo Bed Sheet Set</t>
        </is>
      </c>
      <c r="J48" s="148" t="inlineStr">
        <is>
          <t>https://images-na.ssl-images-amazon.com/images/I/61sz2mcvZmL.jpg</t>
        </is>
      </c>
      <c r="K48" s="148" t="inlineStr">
        <is>
          <t>B0CLBDW265</t>
        </is>
      </c>
      <c r="L48" s="148" t="inlineStr">
        <is>
          <t>B0B4F4NTBL</t>
        </is>
      </c>
      <c r="M48" s="148" t="n">
        <v>77</v>
      </c>
      <c r="N48" s="148" t="n">
        <v>89.95</v>
      </c>
      <c r="O48" s="148" t="n"/>
      <c r="P48" s="148">
        <f>IF(AND(ISNUMBER(O48),ISNUMBER(N48),N(N48)&gt;0),O48/N48-1,"")</f>
        <v/>
      </c>
      <c r="Q48" s="148" t="n">
        <v>94.98999999999999</v>
      </c>
      <c r="R48" s="148">
        <f>IF(AND(ISNUMBER(N48),ISNUMBER(Q48),N(Q48)&gt;0),N48/Q48-1,"")</f>
        <v/>
      </c>
      <c r="S48" s="148" t="n">
        <v>20356</v>
      </c>
      <c r="T48" s="148" t="n">
        <v>35</v>
      </c>
      <c r="U48" s="148" t="n">
        <v>4.3</v>
      </c>
      <c r="V48" s="148" t="n">
        <v>7941</v>
      </c>
      <c r="W48" s="148" t="n"/>
      <c r="X48" s="148" t="n"/>
      <c r="Y48" s="148" t="n"/>
      <c r="Z48" s="148" t="n"/>
      <c r="AA48" s="148" t="n"/>
      <c r="AB48" s="148" t="n"/>
      <c r="AC48" s="148" t="inlineStr">
        <is>
          <t>US DC B4</t>
        </is>
      </c>
      <c r="AD48" s="148">
        <f>'US DC B4'!BF171</f>
        <v/>
      </c>
      <c r="AE48" s="148">
        <f>'US DC B4'!BI171</f>
        <v/>
      </c>
      <c r="AF48" s="148" t="inlineStr">
        <is>
          <t>King</t>
        </is>
      </c>
      <c r="AG48" s="148" t="inlineStr">
        <is>
          <t>White</t>
        </is>
      </c>
      <c r="AH48" s="148">
        <f>AND(E48="CA",OR('CA Dashboard'!$C$4="All",'CA Dashboard'!$C$4=D48),OR('CA Dashboard'!$C$5="All",'CA Dashboard'!$C$5=G48),OR('CA Dashboard'!$C$6="All",'CA Dashboard'!$C$6=H48),OR('CA Dashboard'!$C$7="All",'CA Dashboard'!$C$7=F48),OR('CA Dashboard'!$C$8="All",'CA Dashboard'!$C$8=AJ48))</f>
        <v/>
      </c>
      <c r="AI48" s="148">
        <f>IF(AH48,AI47+1,AI47)</f>
        <v/>
      </c>
      <c r="AJ48" s="148" t="inlineStr">
        <is>
          <t>Direct</t>
        </is>
      </c>
      <c r="AK48" s="148" t="inlineStr">
        <is>
          <t>Same product (sheet set) in the same material family: Bamboo viscose (product page material: Rayon); ours: our listing: viscose from bamboo.</t>
        </is>
      </c>
    </row>
    <row r="49">
      <c r="A49" s="148">
        <f>AND(E49="US",OR('US Dashboard'!$C$4="All",'US Dashboard'!$C$4=D49),OR('US Dashboard'!$C$5="All",'US Dashboard'!$C$5=G49),OR('US Dashboard'!$C$6="All",'US Dashboard'!$C$6=H49),OR('US Dashboard'!$C$7="All",'US Dashboard'!$C$7=F49),OR('US Dashboard'!$C$8="All",'US Dashboard'!$C$8=AJ49))</f>
        <v/>
      </c>
      <c r="B49" s="148">
        <f>IF(A49,B48+1,B48)</f>
        <v/>
      </c>
      <c r="C49" s="148" t="n">
        <v>59</v>
      </c>
      <c r="D49" s="148" t="inlineStr">
        <is>
          <t>DC B4</t>
        </is>
      </c>
      <c r="E49" s="148" t="inlineStr">
        <is>
          <t>US</t>
        </is>
      </c>
      <c r="F49" s="148" t="inlineStr">
        <is>
          <t>Bamboo</t>
        </is>
      </c>
      <c r="G49" s="148" t="inlineStr">
        <is>
          <t>MR&amp;HM</t>
        </is>
      </c>
      <c r="H49" s="148" t="inlineStr">
        <is>
          <t>Untiered</t>
        </is>
      </c>
      <c r="I49" s="148" t="inlineStr">
        <is>
          <t>MR&amp;HM Queen Sheets 4 Pieces, Rayon Derived from Bamboo Blend, Dark Grey</t>
        </is>
      </c>
      <c r="J49" s="148" t="inlineStr">
        <is>
          <t>https://images-na.ssl-images-amazon.com/images/I/71QdkBMIZ3L.jpg</t>
        </is>
      </c>
      <c r="K49" s="148" t="inlineStr">
        <is>
          <t>B0DQDMN3WK</t>
        </is>
      </c>
      <c r="L49" s="148" t="inlineStr">
        <is>
          <t>B0DL5NCTYF</t>
        </is>
      </c>
      <c r="M49" s="148" t="n">
        <v>65</v>
      </c>
      <c r="N49" s="148" t="n">
        <v>36.99</v>
      </c>
      <c r="O49" s="148" t="n"/>
      <c r="P49" s="148">
        <f>IF(AND(ISNUMBER(O49),ISNUMBER(N49),N(N49)&gt;0),O49/N49-1,"")</f>
        <v/>
      </c>
      <c r="Q49" s="148" t="n">
        <v>89.98999999999999</v>
      </c>
      <c r="R49" s="148">
        <f>IF(AND(ISNUMBER(N49),ISNUMBER(Q49),N(Q49)&gt;0),N49/Q49-1,"")</f>
        <v/>
      </c>
      <c r="S49" s="148" t="n">
        <v>30653</v>
      </c>
      <c r="T49" s="148" t="n">
        <v>35</v>
      </c>
      <c r="U49" s="148" t="n">
        <v>4.4</v>
      </c>
      <c r="V49" s="148" t="n">
        <v>616</v>
      </c>
      <c r="W49" s="148" t="n"/>
      <c r="X49" s="148" t="n"/>
      <c r="Y49" s="148" t="n"/>
      <c r="Z49" s="148" t="n"/>
      <c r="AA49" s="148" t="n"/>
      <c r="AB49" s="148" t="n"/>
      <c r="AC49" s="148" t="inlineStr">
        <is>
          <t>US DC B4</t>
        </is>
      </c>
      <c r="AD49" s="148">
        <f>'US DC B4'!BF172</f>
        <v/>
      </c>
      <c r="AE49" s="148">
        <f>'US DC B4'!BI172</f>
        <v/>
      </c>
      <c r="AF49" s="148" t="inlineStr">
        <is>
          <t>Queen</t>
        </is>
      </c>
      <c r="AG49" s="148" t="inlineStr">
        <is>
          <t>Grey</t>
        </is>
      </c>
      <c r="AH49" s="148">
        <f>AND(E49="CA",OR('CA Dashboard'!$C$4="All",'CA Dashboard'!$C$4=D49),OR('CA Dashboard'!$C$5="All",'CA Dashboard'!$C$5=G49),OR('CA Dashboard'!$C$6="All",'CA Dashboard'!$C$6=H49),OR('CA Dashboard'!$C$7="All",'CA Dashboard'!$C$7=F49),OR('CA Dashboard'!$C$8="All",'CA Dashboard'!$C$8=AJ49))</f>
        <v/>
      </c>
      <c r="AI49" s="148">
        <f>IF(AH49,AI48+1,AI48)</f>
        <v/>
      </c>
      <c r="AJ49" s="148" t="inlineStr">
        <is>
          <t>Direct</t>
        </is>
      </c>
      <c r="AK49" s="148" t="inlineStr">
        <is>
          <t>Same product (sheet set) in the same material family: Bamboo viscose (title: MR&amp;HM Queen Sheets 4 Pieces, Rayon Derived from Bamboo Blend); ours: our listing: viscose from bamboo.</t>
        </is>
      </c>
    </row>
    <row r="50">
      <c r="A50" s="148">
        <f>AND(E50="US",OR('US Dashboard'!$C$4="All",'US Dashboard'!$C$4=D50),OR('US Dashboard'!$C$5="All",'US Dashboard'!$C$5=G50),OR('US Dashboard'!$C$6="All",'US Dashboard'!$C$6=H50),OR('US Dashboard'!$C$7="All",'US Dashboard'!$C$7=F50),OR('US Dashboard'!$C$8="All",'US Dashboard'!$C$8=AJ50))</f>
        <v/>
      </c>
      <c r="B50" s="148">
        <f>IF(A50,B49+1,B49)</f>
        <v/>
      </c>
      <c r="C50" s="148" t="n">
        <v>59</v>
      </c>
      <c r="D50" s="148" t="inlineStr">
        <is>
          <t>DC B4</t>
        </is>
      </c>
      <c r="E50" s="148" t="inlineStr">
        <is>
          <t>US</t>
        </is>
      </c>
      <c r="F50" s="148" t="inlineStr">
        <is>
          <t>Bamboo</t>
        </is>
      </c>
      <c r="G50" s="148" t="inlineStr">
        <is>
          <t>KAKIJUMN</t>
        </is>
      </c>
      <c r="H50" s="148" t="inlineStr">
        <is>
          <t>Untiered</t>
        </is>
      </c>
      <c r="I50" s="148" t="inlineStr">
        <is>
          <t>KAKIJUMN 6 Piece King Sheets Set, Rayon Derived from Bamboo Blend</t>
        </is>
      </c>
      <c r="J50" s="148" t="inlineStr">
        <is>
          <t>https://m.media-amazon.com/images/I/7172f86VS1L._AC_SL1500_.jpg</t>
        </is>
      </c>
      <c r="K50" s="148" t="inlineStr">
        <is>
          <t>B0HFVC6529</t>
        </is>
      </c>
      <c r="L50" s="148" t="inlineStr">
        <is>
          <t>B0H1MNZ16Z</t>
        </is>
      </c>
      <c r="M50" s="148" t="n"/>
      <c r="N50" s="148" t="n">
        <v>38.39</v>
      </c>
      <c r="O50" s="148" t="n">
        <v>47.99</v>
      </c>
      <c r="P50" s="148">
        <f>IF(AND(ISNUMBER(O50),ISNUMBER(N50),N(N50)&gt;0),O50/N50-1,"")</f>
        <v/>
      </c>
      <c r="Q50" s="148" t="n">
        <v>89.98999999999999</v>
      </c>
      <c r="R50" s="148">
        <f>IF(AND(ISNUMBER(N50),ISNUMBER(Q50),N(Q50)&gt;0),N50/Q50-1,"")</f>
        <v/>
      </c>
      <c r="S50" s="148" t="n">
        <v>64915</v>
      </c>
      <c r="T50" s="148" t="n">
        <v>18</v>
      </c>
      <c r="U50" s="148" t="n">
        <v>4</v>
      </c>
      <c r="V50" s="148" t="n">
        <v>71</v>
      </c>
      <c r="W50" s="148" t="n"/>
      <c r="X50" s="148" t="n"/>
      <c r="Y50" s="148" t="n"/>
      <c r="Z50" s="148" t="n"/>
      <c r="AA50" s="148" t="n"/>
      <c r="AB50" s="148" t="n"/>
      <c r="AC50" s="148" t="inlineStr">
        <is>
          <t>US DC B4</t>
        </is>
      </c>
      <c r="AD50" s="148">
        <f>'US DC B4'!BF173</f>
        <v/>
      </c>
      <c r="AE50" s="148">
        <f>'US DC B4'!BI173</f>
        <v/>
      </c>
      <c r="AF50" s="148" t="inlineStr">
        <is>
          <t>Queen</t>
        </is>
      </c>
      <c r="AG50" s="148" t="inlineStr">
        <is>
          <t>Warm Beige</t>
        </is>
      </c>
      <c r="AH50" s="148">
        <f>AND(E50="CA",OR('CA Dashboard'!$C$4="All",'CA Dashboard'!$C$4=D50),OR('CA Dashboard'!$C$5="All",'CA Dashboard'!$C$5=G50),OR('CA Dashboard'!$C$6="All",'CA Dashboard'!$C$6=H50),OR('CA Dashboard'!$C$7="All",'CA Dashboard'!$C$7=F50),OR('CA Dashboard'!$C$8="All",'CA Dashboard'!$C$8=AJ50))</f>
        <v/>
      </c>
      <c r="AI50" s="148">
        <f>IF(AH50,AI49+1,AI49)</f>
        <v/>
      </c>
      <c r="AJ50" s="148" t="inlineStr">
        <is>
          <t>Direct</t>
        </is>
      </c>
      <c r="AK50" s="148" t="inlineStr">
        <is>
          <t>Same product (sheet set) in the same material family: Bamboo viscose (product page material: Rayon Derived from Bamboo); ours: our listing: viscose from bamboo.</t>
        </is>
      </c>
    </row>
    <row r="51">
      <c r="A51" s="148">
        <f>AND(E51="US",OR('US Dashboard'!$C$4="All",'US Dashboard'!$C$4=D51),OR('US Dashboard'!$C$5="All",'US Dashboard'!$C$5=G51),OR('US Dashboard'!$C$6="All",'US Dashboard'!$C$6=H51),OR('US Dashboard'!$C$7="All",'US Dashboard'!$C$7=F51),OR('US Dashboard'!$C$8="All",'US Dashboard'!$C$8=AJ51))</f>
        <v/>
      </c>
      <c r="B51" s="148">
        <f>IF(A51,B50+1,B50)</f>
        <v/>
      </c>
      <c r="C51" s="148" t="n">
        <v>59</v>
      </c>
      <c r="D51" s="148" t="inlineStr">
        <is>
          <t>DC B4</t>
        </is>
      </c>
      <c r="E51" s="148" t="inlineStr">
        <is>
          <t>US</t>
        </is>
      </c>
      <c r="F51" s="148" t="inlineStr">
        <is>
          <t>Bamboo</t>
        </is>
      </c>
      <c r="G51" s="148" t="inlineStr">
        <is>
          <t>Brooklyn Loom</t>
        </is>
      </c>
      <c r="H51" s="148" t="inlineStr">
        <is>
          <t>Untiered</t>
        </is>
      </c>
      <c r="I51" s="148" t="inlineStr">
        <is>
          <t>Brooklyn Loom 300 Thread Count Sateen 100% Rayon from Bamboo Deep Pocket 4 Piece</t>
        </is>
      </c>
      <c r="J51" s="148" t="inlineStr">
        <is>
          <t>https://m.media-amazon.com/images/I/81LmQQkUCeL._AC_SL1500_.jpg</t>
        </is>
      </c>
      <c r="K51" s="148" t="inlineStr">
        <is>
          <t>B0H29TVSQX</t>
        </is>
      </c>
      <c r="L51" s="148" t="inlineStr">
        <is>
          <t>B0FQ8JCH46</t>
        </is>
      </c>
      <c r="M51" s="148" t="n"/>
      <c r="N51" s="148" t="n">
        <v>129.99</v>
      </c>
      <c r="O51" s="148" t="n"/>
      <c r="P51" s="148">
        <f>IF(AND(ISNUMBER(O51),ISNUMBER(N51),N(N51)&gt;0),O51/N51-1,"")</f>
        <v/>
      </c>
      <c r="Q51" s="148" t="n">
        <v>94.98999999999999</v>
      </c>
      <c r="R51" s="148">
        <f>IF(AND(ISNUMBER(N51),ISNUMBER(Q51),N(Q51)&gt;0),N51/Q51-1,"")</f>
        <v/>
      </c>
      <c r="S51" s="148" t="n">
        <v>1216102</v>
      </c>
      <c r="T51" s="148" t="n">
        <v>5</v>
      </c>
      <c r="U51" s="148" t="n">
        <v>4.5</v>
      </c>
      <c r="V51" s="148" t="n">
        <v>13</v>
      </c>
      <c r="W51" s="148" t="n"/>
      <c r="X51" s="148" t="n"/>
      <c r="Y51" s="148" t="n"/>
      <c r="Z51" s="148" t="n"/>
      <c r="AA51" s="148" t="n"/>
      <c r="AB51" s="148" t="n"/>
      <c r="AC51" s="148" t="inlineStr">
        <is>
          <t>US DC B4</t>
        </is>
      </c>
      <c r="AD51" s="148">
        <f>'US DC B4'!BF174</f>
        <v/>
      </c>
      <c r="AE51" s="148">
        <f>'US DC B4'!BI174</f>
        <v/>
      </c>
      <c r="AF51" s="148" t="inlineStr">
        <is>
          <t>King (U.S. Standard)</t>
        </is>
      </c>
      <c r="AG51" s="148" t="inlineStr">
        <is>
          <t>Charcoal</t>
        </is>
      </c>
      <c r="AH51" s="148">
        <f>AND(E51="CA",OR('CA Dashboard'!$C$4="All",'CA Dashboard'!$C$4=D51),OR('CA Dashboard'!$C$5="All",'CA Dashboard'!$C$5=G51),OR('CA Dashboard'!$C$6="All",'CA Dashboard'!$C$6=H51),OR('CA Dashboard'!$C$7="All",'CA Dashboard'!$C$7=F51),OR('CA Dashboard'!$C$8="All",'CA Dashboard'!$C$8=AJ51))</f>
        <v/>
      </c>
      <c r="AI51" s="148">
        <f>IF(AH51,AI50+1,AI50)</f>
        <v/>
      </c>
      <c r="AJ51" s="148" t="inlineStr">
        <is>
          <t>Direct</t>
        </is>
      </c>
      <c r="AK51" s="148" t="inlineStr">
        <is>
          <t>Same product (sheet set) in the same material family: Bamboo viscose (product page material: Bamboo); ours: our listing: viscose from bamboo.</t>
        </is>
      </c>
    </row>
    <row r="52">
      <c r="A52" s="148">
        <f>AND(E52="US",OR('US Dashboard'!$C$4="All",'US Dashboard'!$C$4=D52),OR('US Dashboard'!$C$5="All",'US Dashboard'!$C$5=G52),OR('US Dashboard'!$C$6="All",'US Dashboard'!$C$6=H52),OR('US Dashboard'!$C$7="All",'US Dashboard'!$C$7=F52),OR('US Dashboard'!$C$8="All",'US Dashboard'!$C$8=AJ52))</f>
        <v/>
      </c>
      <c r="B52" s="148">
        <f>IF(A52,B51+1,B51)</f>
        <v/>
      </c>
      <c r="C52" s="148" t="n">
        <v>59</v>
      </c>
      <c r="D52" s="148" t="inlineStr">
        <is>
          <t>DC B4</t>
        </is>
      </c>
      <c r="E52" s="148" t="inlineStr">
        <is>
          <t>US</t>
        </is>
      </c>
      <c r="F52" s="148" t="inlineStr">
        <is>
          <t>Bamboo</t>
        </is>
      </c>
      <c r="G52" s="148" t="inlineStr">
        <is>
          <t>MRIDU</t>
        </is>
      </c>
      <c r="H52" s="148" t="inlineStr">
        <is>
          <t>Untiered</t>
        </is>
      </c>
      <c r="I52" s="148" t="inlineStr">
        <is>
          <t>MRIDU Bamboo Viscose Sheet Set, 4-Piece, Pure White, King</t>
        </is>
      </c>
      <c r="J52" s="148" t="inlineStr">
        <is>
          <t>https://m.media-amazon.com/images/I/51UOEzUD6wL._AC_SL1254_.jpg</t>
        </is>
      </c>
      <c r="K52" s="148" t="inlineStr">
        <is>
          <t>B0GSXPDW9C</t>
        </is>
      </c>
      <c r="L52" s="148" t="inlineStr">
        <is>
          <t>B0GSXRR9DN</t>
        </is>
      </c>
      <c r="M52" s="148" t="n"/>
      <c r="N52" s="148" t="n">
        <v>89.98999999999999</v>
      </c>
      <c r="O52" s="148" t="n"/>
      <c r="P52" s="148">
        <f>IF(AND(ISNUMBER(O52),ISNUMBER(N52),N(N52)&gt;0),O52/N52-1,"")</f>
        <v/>
      </c>
      <c r="Q52" s="148" t="n">
        <v>74.98999999999999</v>
      </c>
      <c r="R52" s="148">
        <f>IF(AND(ISNUMBER(N52),ISNUMBER(Q52),N(Q52)&gt;0),N52/Q52-1,"")</f>
        <v/>
      </c>
      <c r="S52" s="148" t="n">
        <v>1970806</v>
      </c>
      <c r="T52" s="148" t="n">
        <v>5</v>
      </c>
      <c r="U52" s="148" t="n">
        <v>3.9</v>
      </c>
      <c r="V52" s="148" t="n">
        <v>24</v>
      </c>
      <c r="W52" s="148" t="n"/>
      <c r="X52" s="148" t="n"/>
      <c r="Y52" s="148" t="n"/>
      <c r="Z52" s="148" t="n"/>
      <c r="AA52" s="148" t="n"/>
      <c r="AB52" s="148" t="n"/>
      <c r="AC52" s="148" t="inlineStr">
        <is>
          <t>US DC B4</t>
        </is>
      </c>
      <c r="AD52" s="148">
        <f>'US DC B4'!BF175</f>
        <v/>
      </c>
      <c r="AE52" s="148">
        <f>'US DC B4'!BI175</f>
        <v/>
      </c>
      <c r="AF52" s="148" t="inlineStr">
        <is>
          <t>Full</t>
        </is>
      </c>
      <c r="AG52" s="148" t="inlineStr">
        <is>
          <t>Pure White</t>
        </is>
      </c>
      <c r="AH52" s="148">
        <f>AND(E52="CA",OR('CA Dashboard'!$C$4="All",'CA Dashboard'!$C$4=D52),OR('CA Dashboard'!$C$5="All",'CA Dashboard'!$C$5=G52),OR('CA Dashboard'!$C$6="All",'CA Dashboard'!$C$6=H52),OR('CA Dashboard'!$C$7="All",'CA Dashboard'!$C$7=F52),OR('CA Dashboard'!$C$8="All",'CA Dashboard'!$C$8=AJ52))</f>
        <v/>
      </c>
      <c r="AI52" s="148">
        <f>IF(AH52,AI51+1,AI51)</f>
        <v/>
      </c>
      <c r="AJ52" s="148" t="inlineStr">
        <is>
          <t>Direct</t>
        </is>
      </c>
      <c r="AK52" s="148" t="inlineStr">
        <is>
          <t>Same product (sheet set) in the same material family: Bamboo viscose (product page material: Viscose Derived from Bamboo); ours: our listing: viscose from bamboo.</t>
        </is>
      </c>
    </row>
    <row r="53">
      <c r="A53" s="148">
        <f>AND(E53="US",OR('US Dashboard'!$C$4="All",'US Dashboard'!$C$4=D53),OR('US Dashboard'!$C$5="All",'US Dashboard'!$C$5=G53),OR('US Dashboard'!$C$6="All",'US Dashboard'!$C$6=H53),OR('US Dashboard'!$C$7="All",'US Dashboard'!$C$7=F53),OR('US Dashboard'!$C$8="All",'US Dashboard'!$C$8=AJ53))</f>
        <v/>
      </c>
      <c r="B53" s="148">
        <f>IF(A53,B52+1,B52)</f>
        <v/>
      </c>
      <c r="C53" s="148" t="n">
        <v>59</v>
      </c>
      <c r="D53" s="148" t="inlineStr">
        <is>
          <t>DC B4</t>
        </is>
      </c>
      <c r="E53" s="148" t="inlineStr">
        <is>
          <t>US</t>
        </is>
      </c>
      <c r="F53" s="148" t="inlineStr">
        <is>
          <t>Bamboo</t>
        </is>
      </c>
      <c r="G53" s="148" t="inlineStr">
        <is>
          <t>MCO</t>
        </is>
      </c>
      <c r="H53" s="148" t="inlineStr">
        <is>
          <t>Untiered</t>
        </is>
      </c>
      <c r="I53" s="148" t="inlineStr">
        <is>
          <t>MCO 4 Piece Cooling &amp; Breathable Queen Sheet Set, Rayon Derived from Bamboo, 16" Deep Pocket, Hotel Luxury Soft Silky Queen Bedding Set for Hot Sleepers- Forest Green</t>
        </is>
      </c>
      <c r="J53" s="148" t="inlineStr">
        <is>
          <t>https://images-na.ssl-images-amazon.com/images/I/61qpaDyqceL.jpg</t>
        </is>
      </c>
      <c r="K53" s="148" t="n"/>
      <c r="L53" s="148" t="inlineStr">
        <is>
          <t>B0FW51LMYP</t>
        </is>
      </c>
      <c r="M53" s="148" t="n">
        <v>48</v>
      </c>
      <c r="N53" s="148" t="n">
        <v>22.5</v>
      </c>
      <c r="O53" s="148" t="n"/>
      <c r="P53" s="148">
        <f>IF(AND(ISNUMBER(O53),ISNUMBER(N53),N(N53)&gt;0),O53/N53-1,"")</f>
        <v/>
      </c>
      <c r="Q53" s="148" t="n">
        <v>89.98999999999999</v>
      </c>
      <c r="R53" s="148">
        <f>IF(AND(ISNUMBER(N53),ISNUMBER(Q53),N(Q53)&gt;0),N53/Q53-1,"")</f>
        <v/>
      </c>
      <c r="S53" s="148" t="n">
        <v>88098</v>
      </c>
      <c r="T53" s="148" t="n"/>
      <c r="U53" s="148" t="n">
        <v>4</v>
      </c>
      <c r="V53" s="148" t="n">
        <v>482</v>
      </c>
      <c r="W53" s="148" t="n"/>
      <c r="X53" s="148" t="n"/>
      <c r="Y53" s="148" t="n"/>
      <c r="Z53" s="148" t="n"/>
      <c r="AA53" s="148" t="n"/>
      <c r="AB53" s="148" t="n"/>
      <c r="AC53" s="148" t="inlineStr">
        <is>
          <t>US DC B4</t>
        </is>
      </c>
      <c r="AD53" s="148">
        <f>'US DC B4'!BF176</f>
        <v/>
      </c>
      <c r="AE53" s="148">
        <f>'US DC B4'!BI176</f>
        <v/>
      </c>
      <c r="AF53" s="148" t="inlineStr">
        <is>
          <t>Queen</t>
        </is>
      </c>
      <c r="AG53" s="148" t="inlineStr">
        <is>
          <t>Green</t>
        </is>
      </c>
      <c r="AH53" s="148">
        <f>AND(E53="CA",OR('CA Dashboard'!$C$4="All",'CA Dashboard'!$C$4=D53),OR('CA Dashboard'!$C$5="All",'CA Dashboard'!$C$5=G53),OR('CA Dashboard'!$C$6="All",'CA Dashboard'!$C$6=H53),OR('CA Dashboard'!$C$7="All",'CA Dashboard'!$C$7=F53),OR('CA Dashboard'!$C$8="All",'CA Dashboard'!$C$8=AJ53))</f>
        <v/>
      </c>
      <c r="AI53" s="148">
        <f>IF(AH53,AI52+1,AI52)</f>
        <v/>
      </c>
      <c r="AJ53" s="148" t="inlineStr">
        <is>
          <t>Direct</t>
        </is>
      </c>
      <c r="AK53" s="148" t="inlineStr">
        <is>
          <t>Same product (sheet set) in the same material family: Bamboo viscose (title: MCO 4 Piece Cooling &amp; Breathable Queen Sheet Set, Rayon Deri); ours: our listing: viscose from bamboo.</t>
        </is>
      </c>
    </row>
    <row r="54">
      <c r="A54" s="148">
        <f>AND(E54="US",OR('US Dashboard'!$C$4="All",'US Dashboard'!$C$4=D54),OR('US Dashboard'!$C$5="All",'US Dashboard'!$C$5=G54),OR('US Dashboard'!$C$6="All",'US Dashboard'!$C$6=H54),OR('US Dashboard'!$C$7="All",'US Dashboard'!$C$7=F54),OR('US Dashboard'!$C$8="All",'US Dashboard'!$C$8=AJ54))</f>
        <v/>
      </c>
      <c r="B54" s="148">
        <f>IF(A54,B53+1,B53)</f>
        <v/>
      </c>
      <c r="C54" s="148" t="n">
        <v>59</v>
      </c>
      <c r="D54" s="148" t="inlineStr">
        <is>
          <t>DC B4</t>
        </is>
      </c>
      <c r="E54" s="148" t="inlineStr">
        <is>
          <t>US</t>
        </is>
      </c>
      <c r="F54" s="148" t="inlineStr">
        <is>
          <t>Bamboo</t>
        </is>
      </c>
      <c r="G54" s="148" t="inlineStr">
        <is>
          <t>Vipfree</t>
        </is>
      </c>
      <c r="H54" s="148" t="inlineStr">
        <is>
          <t>Untiered</t>
        </is>
      </c>
      <c r="I54" s="148" t="inlineStr">
        <is>
          <t>Vipfree California King Sheet Set, Cooling Rayon 4-Piece Bedding with Deep Pockets, Sand, 300 Thread Count</t>
        </is>
      </c>
      <c r="J54" s="148" t="inlineStr">
        <is>
          <t>https://images-na.ssl-images-amazon.com/images/I/71q7X74N9cL.jpg</t>
        </is>
      </c>
      <c r="K54" s="148" t="n"/>
      <c r="L54" s="148" t="inlineStr">
        <is>
          <t>B0DF7NK85K</t>
        </is>
      </c>
      <c r="M54" s="148" t="n">
        <v>2</v>
      </c>
      <c r="N54" s="148" t="n">
        <v>34.99</v>
      </c>
      <c r="O54" s="148" t="n"/>
      <c r="P54" s="148">
        <f>IF(AND(ISNUMBER(O54),ISNUMBER(N54),N(N54)&gt;0),O54/N54-1,"")</f>
        <v/>
      </c>
      <c r="Q54" s="148" t="n">
        <v>94.98999999999999</v>
      </c>
      <c r="R54" s="148">
        <f>IF(AND(ISNUMBER(N54),ISNUMBER(Q54),N(Q54)&gt;0),N54/Q54-1,"")</f>
        <v/>
      </c>
      <c r="S54" s="148" t="n">
        <v>646670</v>
      </c>
      <c r="T54" s="148" t="n"/>
      <c r="U54" s="148" t="n">
        <v>4.4</v>
      </c>
      <c r="V54" s="148" t="n">
        <v>436</v>
      </c>
      <c r="W54" s="148" t="n"/>
      <c r="X54" s="148" t="n"/>
      <c r="Y54" s="148" t="n"/>
      <c r="Z54" s="148" t="n"/>
      <c r="AA54" s="148" t="n"/>
      <c r="AB54" s="148" t="n"/>
      <c r="AC54" s="148" t="inlineStr">
        <is>
          <t>US DC B4</t>
        </is>
      </c>
      <c r="AD54" s="148">
        <f>'US DC B4'!BF177</f>
        <v/>
      </c>
      <c r="AE54" s="148">
        <f>'US DC B4'!BI177</f>
        <v/>
      </c>
      <c r="AF54" s="148" t="inlineStr">
        <is>
          <t>California King</t>
        </is>
      </c>
      <c r="AG54" s="148" t="inlineStr">
        <is>
          <t>Sand</t>
        </is>
      </c>
      <c r="AH54" s="148">
        <f>AND(E54="CA",OR('CA Dashboard'!$C$4="All",'CA Dashboard'!$C$4=D54),OR('CA Dashboard'!$C$5="All",'CA Dashboard'!$C$5=G54),OR('CA Dashboard'!$C$6="All",'CA Dashboard'!$C$6=H54),OR('CA Dashboard'!$C$7="All",'CA Dashboard'!$C$7=F54),OR('CA Dashboard'!$C$8="All",'CA Dashboard'!$C$8=AJ54))</f>
        <v/>
      </c>
      <c r="AI54" s="148">
        <f>IF(AH54,AI53+1,AI53)</f>
        <v/>
      </c>
      <c r="AJ54" s="148" t="inlineStr">
        <is>
          <t>Direct</t>
        </is>
      </c>
      <c r="AK54" s="148" t="inlineStr">
        <is>
          <t>Same product (sheet set) in the same material family: Bamboo viscose (title: Vipfree California King Sheet Set, Cooling Rayon 4-Piece Bed); ours: our listing: viscose from bamboo.</t>
        </is>
      </c>
    </row>
    <row r="55">
      <c r="A55" s="148">
        <f>AND(E55="US",OR('US Dashboard'!$C$4="All",'US Dashboard'!$C$4=D55),OR('US Dashboard'!$C$5="All",'US Dashboard'!$C$5=G55),OR('US Dashboard'!$C$6="All",'US Dashboard'!$C$6=H55),OR('US Dashboard'!$C$7="All",'US Dashboard'!$C$7=F55),OR('US Dashboard'!$C$8="All",'US Dashboard'!$C$8=AJ55))</f>
        <v/>
      </c>
      <c r="B55" s="148">
        <f>IF(A55,B54+1,B54)</f>
        <v/>
      </c>
      <c r="C55" s="148" t="n">
        <v>59</v>
      </c>
      <c r="D55" s="148" t="inlineStr">
        <is>
          <t>DC B4</t>
        </is>
      </c>
      <c r="E55" s="148" t="inlineStr">
        <is>
          <t>CA</t>
        </is>
      </c>
      <c r="F55" s="148" t="inlineStr">
        <is>
          <t>Bamboo</t>
        </is>
      </c>
      <c r="G55" s="148" t="inlineStr">
        <is>
          <t>Bedsure</t>
        </is>
      </c>
      <c r="H55" s="148" t="inlineStr">
        <is>
          <t>Untiered</t>
        </is>
      </c>
      <c r="I55" s="148" t="inlineStr">
        <is>
          <t>Bedsure Sheet Queen Size - 4 Piece 100% Bamboo Rayon Sheet Set Dark Grey</t>
        </is>
      </c>
      <c r="J55" s="148" t="inlineStr">
        <is>
          <t>https://m.media-amazon.com/images/I/81BJgcF3cZL.jpg</t>
        </is>
      </c>
      <c r="K55" s="148" t="inlineStr">
        <is>
          <t>B086R38NZ6</t>
        </is>
      </c>
      <c r="L55" s="148" t="inlineStr">
        <is>
          <t>B07YKCZHGK</t>
        </is>
      </c>
      <c r="M55" s="148" t="n">
        <v>61</v>
      </c>
      <c r="N55" s="148" t="n">
        <v>94.98999999999999</v>
      </c>
      <c r="O55" s="148" t="n"/>
      <c r="P55" s="148">
        <f>IF(AND(ISNUMBER(O55),ISNUMBER(N55),N(N55)&gt;0),O55/N55-1,"")</f>
        <v/>
      </c>
      <c r="Q55" s="148" t="n">
        <v>99.98999999999999</v>
      </c>
      <c r="R55" s="148">
        <f>IF(AND(ISNUMBER(N55),ISNUMBER(Q55),N(Q55)&gt;0),N55/Q55-1,"")</f>
        <v/>
      </c>
      <c r="S55" s="148" t="n">
        <v>996</v>
      </c>
      <c r="T55" s="148" t="n"/>
      <c r="U55" s="148" t="n">
        <v>4.3</v>
      </c>
      <c r="V55" s="148" t="n">
        <v>60808</v>
      </c>
      <c r="W55" s="148" t="n"/>
      <c r="X55" s="148" t="n"/>
      <c r="Y55" s="148" t="n"/>
      <c r="Z55" s="148" t="n"/>
      <c r="AA55" s="148" t="n"/>
      <c r="AB55" s="148" t="n"/>
      <c r="AC55" s="148" t="inlineStr">
        <is>
          <t>CA DC B4</t>
        </is>
      </c>
      <c r="AD55" s="148">
        <f>'CA DC B4'!BF124</f>
        <v/>
      </c>
      <c r="AE55" s="148">
        <f>'CA DC B4'!BI124</f>
        <v/>
      </c>
      <c r="AF55" s="148" t="inlineStr">
        <is>
          <t>Queen</t>
        </is>
      </c>
      <c r="AG55" s="148" t="inlineStr">
        <is>
          <t>01 - Dark Grey</t>
        </is>
      </c>
      <c r="AH55" s="148">
        <f>AND(E55="CA",OR('CA Dashboard'!$C$4="All",'CA Dashboard'!$C$4=D55),OR('CA Dashboard'!$C$5="All",'CA Dashboard'!$C$5=G55),OR('CA Dashboard'!$C$6="All",'CA Dashboard'!$C$6=H55),OR('CA Dashboard'!$C$7="All",'CA Dashboard'!$C$7=F55),OR('CA Dashboard'!$C$8="All",'CA Dashboard'!$C$8=AJ55))</f>
        <v/>
      </c>
      <c r="AI55" s="148">
        <f>IF(AH55,AI54+1,AI54)</f>
        <v/>
      </c>
      <c r="AJ55" s="148" t="inlineStr">
        <is>
          <t>Direct</t>
        </is>
      </c>
      <c r="AK55" s="148" t="inlineStr">
        <is>
          <t>Same product (sheet set) in the same material family: Bamboo viscose (title: Bedsure Sheet Queen Size - 4 Piece 100% Bamboo Rayon Sheet S); ours: our listing: viscose from bamboo.</t>
        </is>
      </c>
    </row>
    <row r="56">
      <c r="A56" s="148">
        <f>AND(E56="US",OR('US Dashboard'!$C$4="All",'US Dashboard'!$C$4=D56),OR('US Dashboard'!$C$5="All",'US Dashboard'!$C$5=G56),OR('US Dashboard'!$C$6="All",'US Dashboard'!$C$6=H56),OR('US Dashboard'!$C$7="All",'US Dashboard'!$C$7=F56),OR('US Dashboard'!$C$8="All",'US Dashboard'!$C$8=AJ56))</f>
        <v/>
      </c>
      <c r="B56" s="148">
        <f>IF(A56,B55+1,B55)</f>
        <v/>
      </c>
      <c r="C56" s="148" t="n">
        <v>59</v>
      </c>
      <c r="D56" s="148" t="inlineStr">
        <is>
          <t>DC B4</t>
        </is>
      </c>
      <c r="E56" s="148" t="inlineStr">
        <is>
          <t>CA</t>
        </is>
      </c>
      <c r="F56" s="148" t="inlineStr">
        <is>
          <t>Bamboo</t>
        </is>
      </c>
      <c r="G56" s="148" t="inlineStr">
        <is>
          <t>BAMPURE</t>
        </is>
      </c>
      <c r="H56" s="148" t="inlineStr">
        <is>
          <t>Untiered</t>
        </is>
      </c>
      <c r="I56" s="148" t="inlineStr">
        <is>
          <t>BAMPURE 100% Organic Bamboo Sheets Queen 4PC - Cooling Sheets Set</t>
        </is>
      </c>
      <c r="J56" s="148" t="inlineStr">
        <is>
          <t>https://m.media-amazon.com/images/I/71AsFyQ2clL.jpg</t>
        </is>
      </c>
      <c r="K56" s="148" t="inlineStr">
        <is>
          <t>B0HHZYV9G4</t>
        </is>
      </c>
      <c r="L56" s="148" t="inlineStr">
        <is>
          <t>B07X8FPWJH</t>
        </is>
      </c>
      <c r="M56" s="148" t="n">
        <v>25</v>
      </c>
      <c r="N56" s="148" t="n">
        <v>83.69</v>
      </c>
      <c r="O56" s="148" t="n"/>
      <c r="P56" s="148">
        <f>IF(AND(ISNUMBER(O56),ISNUMBER(N56),N(N56)&gt;0),O56/N56-1,"")</f>
        <v/>
      </c>
      <c r="Q56" s="148" t="n">
        <v>99.98999999999999</v>
      </c>
      <c r="R56" s="148">
        <f>IF(AND(ISNUMBER(N56),ISNUMBER(Q56),N(Q56)&gt;0),N56/Q56-1,"")</f>
        <v/>
      </c>
      <c r="S56" s="148" t="n">
        <v>724</v>
      </c>
      <c r="T56" s="148" t="n"/>
      <c r="U56" s="148" t="n">
        <v>4.3</v>
      </c>
      <c r="V56" s="148" t="n">
        <v>7346</v>
      </c>
      <c r="W56" s="148" t="n"/>
      <c r="X56" s="148" t="n"/>
      <c r="Y56" s="148" t="n"/>
      <c r="Z56" s="148" t="n"/>
      <c r="AA56" s="148" t="n"/>
      <c r="AB56" s="148" t="n"/>
      <c r="AC56" s="148" t="inlineStr">
        <is>
          <t>CA DC B4</t>
        </is>
      </c>
      <c r="AD56" s="148">
        <f>'CA DC B4'!BF125</f>
        <v/>
      </c>
      <c r="AE56" s="148">
        <f>'CA DC B4'!BI125</f>
        <v/>
      </c>
      <c r="AF56" s="148" t="inlineStr">
        <is>
          <t>Queen</t>
        </is>
      </c>
      <c r="AG56" s="148" t="inlineStr">
        <is>
          <t>Stone Gray</t>
        </is>
      </c>
      <c r="AH56" s="148">
        <f>AND(E56="CA",OR('CA Dashboard'!$C$4="All",'CA Dashboard'!$C$4=D56),OR('CA Dashboard'!$C$5="All",'CA Dashboard'!$C$5=G56),OR('CA Dashboard'!$C$6="All",'CA Dashboard'!$C$6=H56),OR('CA Dashboard'!$C$7="All",'CA Dashboard'!$C$7=F56),OR('CA Dashboard'!$C$8="All",'CA Dashboard'!$C$8=AJ56))</f>
        <v/>
      </c>
      <c r="AI56" s="148">
        <f>IF(AH56,AI55+1,AI55)</f>
        <v/>
      </c>
      <c r="AJ56" s="148" t="inlineStr">
        <is>
          <t>Direct</t>
        </is>
      </c>
      <c r="AK56" s="148" t="inlineStr">
        <is>
          <t>Same product (sheet set) in the same material family: Bamboo viscose (title: BAMPURE 100% Organic Bamboo Sheets Queen 4PC - Cooling Sheet); ours: our listing: viscose from bamboo.</t>
        </is>
      </c>
    </row>
    <row r="57">
      <c r="A57" s="148">
        <f>AND(E57="US",OR('US Dashboard'!$C$4="All",'US Dashboard'!$C$4=D57),OR('US Dashboard'!$C$5="All",'US Dashboard'!$C$5=G57),OR('US Dashboard'!$C$6="All",'US Dashboard'!$C$6=H57),OR('US Dashboard'!$C$7="All",'US Dashboard'!$C$7=F57),OR('US Dashboard'!$C$8="All",'US Dashboard'!$C$8=AJ57))</f>
        <v/>
      </c>
      <c r="B57" s="148">
        <f>IF(A57,B56+1,B56)</f>
        <v/>
      </c>
      <c r="C57" s="148" t="n">
        <v>59</v>
      </c>
      <c r="D57" s="148" t="inlineStr">
        <is>
          <t>DC B4</t>
        </is>
      </c>
      <c r="E57" s="148" t="inlineStr">
        <is>
          <t>CA</t>
        </is>
      </c>
      <c r="F57" s="148" t="inlineStr">
        <is>
          <t>Bamboo</t>
        </is>
      </c>
      <c r="G57" s="148" t="inlineStr">
        <is>
          <t>Sasttie</t>
        </is>
      </c>
      <c r="H57" s="148" t="inlineStr">
        <is>
          <t>Untiered</t>
        </is>
      </c>
      <c r="I57" s="148" t="inlineStr">
        <is>
          <t>Sasttie White Silky-Soft Bamboo Sheets Queen Size 4-Piece, 100% Rayon Made from Bamboo 300TC, Cooling Sheet for Hot Sleepers, 16" Deep Pocket, Secure Corner Straps, Head Tag, Washable &amp; Breathable</t>
        </is>
      </c>
      <c r="J57" s="148" t="inlineStr">
        <is>
          <t>https://m.media-amazon.com/images/I/612X5uLV3GL.jpg</t>
        </is>
      </c>
      <c r="K57" s="148" t="inlineStr">
        <is>
          <t>B0H9R791B2</t>
        </is>
      </c>
      <c r="L57" s="148" t="inlineStr">
        <is>
          <t>B0H9QD7RD5</t>
        </is>
      </c>
      <c r="M57" s="148" t="n">
        <v>38</v>
      </c>
      <c r="N57" s="148" t="n">
        <v>49.99</v>
      </c>
      <c r="O57" s="148" t="n"/>
      <c r="P57" s="148">
        <f>IF(AND(ISNUMBER(O57),ISNUMBER(N57),N(N57)&gt;0),O57/N57-1,"")</f>
        <v/>
      </c>
      <c r="Q57" s="148" t="n">
        <v>99.98999999999999</v>
      </c>
      <c r="R57" s="148">
        <f>IF(AND(ISNUMBER(N57),ISNUMBER(Q57),N(Q57)&gt;0),N57/Q57-1,"")</f>
        <v/>
      </c>
      <c r="S57" s="148" t="n">
        <v>7761</v>
      </c>
      <c r="T57" s="148" t="n"/>
      <c r="U57" s="148" t="n">
        <v>4.5</v>
      </c>
      <c r="V57" s="148" t="n">
        <v>19</v>
      </c>
      <c r="W57" s="148" t="n"/>
      <c r="X57" s="148" t="n"/>
      <c r="Y57" s="148" t="n"/>
      <c r="Z57" s="148" t="n"/>
      <c r="AA57" s="148" t="n"/>
      <c r="AB57" s="148" t="n"/>
      <c r="AC57" s="148" t="inlineStr">
        <is>
          <t>CA DC B4</t>
        </is>
      </c>
      <c r="AD57" s="148">
        <f>'CA DC B4'!BF126</f>
        <v/>
      </c>
      <c r="AE57" s="148">
        <f>'CA DC B4'!BI126</f>
        <v/>
      </c>
      <c r="AF57" s="148" t="inlineStr">
        <is>
          <t>Queen</t>
        </is>
      </c>
      <c r="AG57" s="148" t="inlineStr">
        <is>
          <t>White</t>
        </is>
      </c>
      <c r="AH57" s="148">
        <f>AND(E57="CA",OR('CA Dashboard'!$C$4="All",'CA Dashboard'!$C$4=D57),OR('CA Dashboard'!$C$5="All",'CA Dashboard'!$C$5=G57),OR('CA Dashboard'!$C$6="All",'CA Dashboard'!$C$6=H57),OR('CA Dashboard'!$C$7="All",'CA Dashboard'!$C$7=F57),OR('CA Dashboard'!$C$8="All",'CA Dashboard'!$C$8=AJ57))</f>
        <v/>
      </c>
      <c r="AI57" s="148">
        <f>IF(AH57,AI56+1,AI56)</f>
        <v/>
      </c>
      <c r="AJ57" s="148" t="inlineStr">
        <is>
          <t>Direct</t>
        </is>
      </c>
      <c r="AK57" s="148" t="inlineStr">
        <is>
          <t>Same product (sheet set) in the same material family: Bamboo viscose (title: Sasttie White Silky-Soft Bamboo Sheets Queen Size 4-Piece, 1); ours: our listing: viscose from bamboo.</t>
        </is>
      </c>
    </row>
    <row r="58">
      <c r="A58" s="148">
        <f>AND(E58="US",OR('US Dashboard'!$C$4="All",'US Dashboard'!$C$4=D58),OR('US Dashboard'!$C$5="All",'US Dashboard'!$C$5=G58),OR('US Dashboard'!$C$6="All",'US Dashboard'!$C$6=H58),OR('US Dashboard'!$C$7="All",'US Dashboard'!$C$7=F58),OR('US Dashboard'!$C$8="All",'US Dashboard'!$C$8=AJ58))</f>
        <v/>
      </c>
      <c r="B58" s="148">
        <f>IF(A58,B57+1,B57)</f>
        <v/>
      </c>
      <c r="C58" s="148" t="n">
        <v>59</v>
      </c>
      <c r="D58" s="148" t="inlineStr">
        <is>
          <t>DC B4</t>
        </is>
      </c>
      <c r="E58" s="148" t="inlineStr">
        <is>
          <t>CA</t>
        </is>
      </c>
      <c r="F58" s="148" t="inlineStr">
        <is>
          <t>Bamboo</t>
        </is>
      </c>
      <c r="G58" s="148" t="inlineStr">
        <is>
          <t>Andency</t>
        </is>
      </c>
      <c r="H58" s="148" t="inlineStr">
        <is>
          <t>Untiered</t>
        </is>
      </c>
      <c r="I58" s="148" t="inlineStr">
        <is>
          <t>Andency Bamboo Cooling Olive Sheets Set, 4pcs Queen Sheets for Hot Sleepers</t>
        </is>
      </c>
      <c r="J58" s="148" t="inlineStr">
        <is>
          <t>https://m.media-amazon.com/images/I/61iXhiLg79L.jpg</t>
        </is>
      </c>
      <c r="K58" s="148" t="inlineStr">
        <is>
          <t>B0CMV6MR96</t>
        </is>
      </c>
      <c r="L58" s="148" t="inlineStr">
        <is>
          <t>B0CWK92XQD</t>
        </is>
      </c>
      <c r="M58" s="148" t="n">
        <v>48</v>
      </c>
      <c r="N58" s="148" t="n">
        <v>69.98999999999999</v>
      </c>
      <c r="O58" s="148" t="n"/>
      <c r="P58" s="148">
        <f>IF(AND(ISNUMBER(O58),ISNUMBER(N58),N(N58)&gt;0),O58/N58-1,"")</f>
        <v/>
      </c>
      <c r="Q58" s="148" t="n">
        <v>99.98999999999999</v>
      </c>
      <c r="R58" s="148">
        <f>IF(AND(ISNUMBER(N58),ISNUMBER(Q58),N(Q58)&gt;0),N58/Q58-1,"")</f>
        <v/>
      </c>
      <c r="S58" s="148" t="n">
        <v>10681</v>
      </c>
      <c r="T58" s="148" t="n"/>
      <c r="U58" s="148" t="n">
        <v>4.4</v>
      </c>
      <c r="V58" s="148" t="n">
        <v>736</v>
      </c>
      <c r="W58" s="148" t="n"/>
      <c r="X58" s="148" t="n"/>
      <c r="Y58" s="148" t="n"/>
      <c r="Z58" s="148" t="n"/>
      <c r="AA58" s="148" t="n"/>
      <c r="AB58" s="148" t="n"/>
      <c r="AC58" s="148" t="inlineStr">
        <is>
          <t>CA DC B4</t>
        </is>
      </c>
      <c r="AD58" s="148">
        <f>'CA DC B4'!BF127</f>
        <v/>
      </c>
      <c r="AE58" s="148">
        <f>'CA DC B4'!BI127</f>
        <v/>
      </c>
      <c r="AF58" s="148" t="inlineStr">
        <is>
          <t>Queen</t>
        </is>
      </c>
      <c r="AG58" s="148" t="inlineStr">
        <is>
          <t>Olive Green</t>
        </is>
      </c>
      <c r="AH58" s="148">
        <f>AND(E58="CA",OR('CA Dashboard'!$C$4="All",'CA Dashboard'!$C$4=D58),OR('CA Dashboard'!$C$5="All",'CA Dashboard'!$C$5=G58),OR('CA Dashboard'!$C$6="All",'CA Dashboard'!$C$6=H58),OR('CA Dashboard'!$C$7="All",'CA Dashboard'!$C$7=F58),OR('CA Dashboard'!$C$8="All",'CA Dashboard'!$C$8=AJ58))</f>
        <v/>
      </c>
      <c r="AI58" s="148">
        <f>IF(AH58,AI57+1,AI57)</f>
        <v/>
      </c>
      <c r="AJ58" s="148" t="inlineStr">
        <is>
          <t>Direct</t>
        </is>
      </c>
      <c r="AK58" s="148" t="inlineStr">
        <is>
          <t>Same product (sheet set) in the same material family: Bamboo viscose (title: Andency Bamboo Cooling Olive Sheets Set, 4pcs Queen Sheets f); ours: our listing: viscose from bamboo.</t>
        </is>
      </c>
    </row>
    <row r="59">
      <c r="A59" s="148">
        <f>AND(E59="US",OR('US Dashboard'!$C$4="All",'US Dashboard'!$C$4=D59),OR('US Dashboard'!$C$5="All",'US Dashboard'!$C$5=G59),OR('US Dashboard'!$C$6="All",'US Dashboard'!$C$6=H59),OR('US Dashboard'!$C$7="All",'US Dashboard'!$C$7=F59),OR('US Dashboard'!$C$8="All",'US Dashboard'!$C$8=AJ59))</f>
        <v/>
      </c>
      <c r="B59" s="148">
        <f>IF(A59,B58+1,B58)</f>
        <v/>
      </c>
      <c r="C59" s="148" t="n">
        <v>59</v>
      </c>
      <c r="D59" s="148" t="inlineStr">
        <is>
          <t>DC B4</t>
        </is>
      </c>
      <c r="E59" s="148" t="inlineStr">
        <is>
          <t>CA</t>
        </is>
      </c>
      <c r="F59" s="148" t="inlineStr">
        <is>
          <t>Bamboo</t>
        </is>
      </c>
      <c r="G59" s="148" t="inlineStr">
        <is>
          <t>ACCURATEX</t>
        </is>
      </c>
      <c r="H59" s="148" t="inlineStr">
        <is>
          <t>Untiered</t>
        </is>
      </c>
      <c r="I59" s="148" t="inlineStr">
        <is>
          <t>ACCURATEX Bamboo Cooling Sheets for Hot Sleepers, Queen Size, Grey</t>
        </is>
      </c>
      <c r="J59" s="148" t="inlineStr">
        <is>
          <t>https://m.media-amazon.com/images/I/81Oi9KYdBWL.jpg</t>
        </is>
      </c>
      <c r="K59" s="148" t="inlineStr">
        <is>
          <t>B0DK51QCDN</t>
        </is>
      </c>
      <c r="L59" s="148" t="inlineStr">
        <is>
          <t>B0BKLHTWGS</t>
        </is>
      </c>
      <c r="M59" s="148" t="n">
        <v>51</v>
      </c>
      <c r="N59" s="148" t="n">
        <v>94.98999999999999</v>
      </c>
      <c r="O59" s="148" t="n"/>
      <c r="P59" s="148">
        <f>IF(AND(ISNUMBER(O59),ISNUMBER(N59),N(N59)&gt;0),O59/N59-1,"")</f>
        <v/>
      </c>
      <c r="Q59" s="148" t="n">
        <v>99.98999999999999</v>
      </c>
      <c r="R59" s="148">
        <f>IF(AND(ISNUMBER(N59),ISNUMBER(Q59),N(Q59)&gt;0),N59/Q59-1,"")</f>
        <v/>
      </c>
      <c r="S59" s="148" t="n">
        <v>14889</v>
      </c>
      <c r="T59" s="148" t="n"/>
      <c r="U59" s="148" t="n">
        <v>4.3</v>
      </c>
      <c r="V59" s="148" t="n">
        <v>1019</v>
      </c>
      <c r="W59" s="148" t="n"/>
      <c r="X59" s="148" t="n"/>
      <c r="Y59" s="148" t="n"/>
      <c r="Z59" s="148" t="n"/>
      <c r="AA59" s="148" t="n"/>
      <c r="AB59" s="148" t="n"/>
      <c r="AC59" s="148" t="inlineStr">
        <is>
          <t>CA DC B4</t>
        </is>
      </c>
      <c r="AD59" s="148">
        <f>'CA DC B4'!BF128</f>
        <v/>
      </c>
      <c r="AE59" s="148">
        <f>'CA DC B4'!BI128</f>
        <v/>
      </c>
      <c r="AF59" s="148" t="inlineStr">
        <is>
          <t>Queen</t>
        </is>
      </c>
      <c r="AG59" s="148" t="inlineStr">
        <is>
          <t>Grey</t>
        </is>
      </c>
      <c r="AH59" s="148">
        <f>AND(E59="CA",OR('CA Dashboard'!$C$4="All",'CA Dashboard'!$C$4=D59),OR('CA Dashboard'!$C$5="All",'CA Dashboard'!$C$5=G59),OR('CA Dashboard'!$C$6="All",'CA Dashboard'!$C$6=H59),OR('CA Dashboard'!$C$7="All",'CA Dashboard'!$C$7=F59),OR('CA Dashboard'!$C$8="All",'CA Dashboard'!$C$8=AJ59))</f>
        <v/>
      </c>
      <c r="AI59" s="148">
        <f>IF(AH59,AI58+1,AI58)</f>
        <v/>
      </c>
      <c r="AJ59" s="148" t="inlineStr">
        <is>
          <t>Direct</t>
        </is>
      </c>
      <c r="AK59" s="148" t="inlineStr">
        <is>
          <t>Same product (sheet set) in the same material family: Bamboo viscose (title: ACCURATEX Bamboo Cooling Sheets for Hot Sleepers, Queen Size); ours: our listing: viscose from bamboo.</t>
        </is>
      </c>
    </row>
    <row r="60">
      <c r="A60" s="148">
        <f>AND(E60="US",OR('US Dashboard'!$C$4="All",'US Dashboard'!$C$4=D60),OR('US Dashboard'!$C$5="All",'US Dashboard'!$C$5=G60),OR('US Dashboard'!$C$6="All",'US Dashboard'!$C$6=H60),OR('US Dashboard'!$C$7="All",'US Dashboard'!$C$7=F60),OR('US Dashboard'!$C$8="All",'US Dashboard'!$C$8=AJ60))</f>
        <v/>
      </c>
      <c r="B60" s="148">
        <f>IF(A60,B59+1,B59)</f>
        <v/>
      </c>
      <c r="C60" s="148" t="n">
        <v>59</v>
      </c>
      <c r="D60" s="148" t="inlineStr">
        <is>
          <t>DC B4</t>
        </is>
      </c>
      <c r="E60" s="148" t="inlineStr">
        <is>
          <t>CA</t>
        </is>
      </c>
      <c r="F60" s="148" t="inlineStr">
        <is>
          <t>Bamboo</t>
        </is>
      </c>
      <c r="G60" s="148" t="inlineStr">
        <is>
          <t>KRIMANO</t>
        </is>
      </c>
      <c r="H60" s="148" t="inlineStr">
        <is>
          <t>Untiered</t>
        </is>
      </c>
      <c r="I60" s="148" t="inlineStr">
        <is>
          <t>Bamboo Viscose Sheet Set Queen Size, Cooling Sheets Bed Set 4pcs</t>
        </is>
      </c>
      <c r="J60" s="148" t="inlineStr">
        <is>
          <t>https://m.media-amazon.com/images/I/61-LBYlR5KL.jpg</t>
        </is>
      </c>
      <c r="K60" s="148" t="inlineStr">
        <is>
          <t>B0FXVJLRTW</t>
        </is>
      </c>
      <c r="L60" s="148" t="inlineStr">
        <is>
          <t>B0FT7LV7PP</t>
        </is>
      </c>
      <c r="M60" s="148" t="n">
        <v>47</v>
      </c>
      <c r="N60" s="148" t="n">
        <v>97.98999999999999</v>
      </c>
      <c r="O60" s="148" t="n"/>
      <c r="P60" s="148">
        <f>IF(AND(ISNUMBER(O60),ISNUMBER(N60),N(N60)&gt;0),O60/N60-1,"")</f>
        <v/>
      </c>
      <c r="Q60" s="148" t="n">
        <v>99.98999999999999</v>
      </c>
      <c r="R60" s="148">
        <f>IF(AND(ISNUMBER(N60),ISNUMBER(Q60),N(Q60)&gt;0),N60/Q60-1,"")</f>
        <v/>
      </c>
      <c r="S60" s="148" t="n">
        <v>32819</v>
      </c>
      <c r="T60" s="148" t="n"/>
      <c r="U60" s="148" t="n">
        <v>4.4</v>
      </c>
      <c r="V60" s="148" t="n">
        <v>765</v>
      </c>
      <c r="W60" s="148" t="n"/>
      <c r="X60" s="148" t="n"/>
      <c r="Y60" s="148" t="n"/>
      <c r="Z60" s="148" t="n"/>
      <c r="AA60" s="148" t="n"/>
      <c r="AB60" s="148" t="n"/>
      <c r="AC60" s="148" t="inlineStr">
        <is>
          <t>CA DC B4</t>
        </is>
      </c>
      <c r="AD60" s="148">
        <f>'CA DC B4'!BF129</f>
        <v/>
      </c>
      <c r="AE60" s="148">
        <f>'CA DC B4'!BI129</f>
        <v/>
      </c>
      <c r="AF60" s="148" t="inlineStr">
        <is>
          <t>Queen</t>
        </is>
      </c>
      <c r="AG60" s="148" t="inlineStr">
        <is>
          <t>1.navy Blue</t>
        </is>
      </c>
      <c r="AH60" s="148">
        <f>AND(E60="CA",OR('CA Dashboard'!$C$4="All",'CA Dashboard'!$C$4=D60),OR('CA Dashboard'!$C$5="All",'CA Dashboard'!$C$5=G60),OR('CA Dashboard'!$C$6="All",'CA Dashboard'!$C$6=H60),OR('CA Dashboard'!$C$7="All",'CA Dashboard'!$C$7=F60),OR('CA Dashboard'!$C$8="All",'CA Dashboard'!$C$8=AJ60))</f>
        <v/>
      </c>
      <c r="AI60" s="148">
        <f>IF(AH60,AI59+1,AI59)</f>
        <v/>
      </c>
      <c r="AJ60" s="148" t="inlineStr">
        <is>
          <t>Direct</t>
        </is>
      </c>
      <c r="AK60" s="148" t="inlineStr">
        <is>
          <t>Same product (sheet set) in the same material family: Bamboo viscose (title: Bamboo Viscose Sheet Set Queen Size, Cooling Sheets Bed Set ); ours: our listing: viscose from bamboo.</t>
        </is>
      </c>
    </row>
    <row r="61">
      <c r="A61" s="148">
        <f>AND(E61="US",OR('US Dashboard'!$C$4="All",'US Dashboard'!$C$4=D61),OR('US Dashboard'!$C$5="All",'US Dashboard'!$C$5=G61),OR('US Dashboard'!$C$6="All",'US Dashboard'!$C$6=H61),OR('US Dashboard'!$C$7="All",'US Dashboard'!$C$7=F61),OR('US Dashboard'!$C$8="All",'US Dashboard'!$C$8=AJ61))</f>
        <v/>
      </c>
      <c r="B61" s="148">
        <f>IF(A61,B60+1,B60)</f>
        <v/>
      </c>
      <c r="C61" s="148" t="n">
        <v>59</v>
      </c>
      <c r="D61" s="148" t="inlineStr">
        <is>
          <t>DC B4</t>
        </is>
      </c>
      <c r="E61" s="148" t="inlineStr">
        <is>
          <t>CA</t>
        </is>
      </c>
      <c r="F61" s="148" t="inlineStr">
        <is>
          <t>Bamboo</t>
        </is>
      </c>
      <c r="G61" s="148" t="inlineStr">
        <is>
          <t>MCO</t>
        </is>
      </c>
      <c r="H61" s="148" t="inlineStr">
        <is>
          <t>Untiered</t>
        </is>
      </c>
      <c r="I61" s="148" t="inlineStr">
        <is>
          <t>100% Bamboo King Size Sheets Set, Cooling&amp;Breathable-Light Blue</t>
        </is>
      </c>
      <c r="J61" s="148" t="inlineStr">
        <is>
          <t>https://m.media-amazon.com/images/I/71UaTjhX+fL.jpg</t>
        </is>
      </c>
      <c r="K61" s="148" t="inlineStr">
        <is>
          <t>B0CDCNVNPR</t>
        </is>
      </c>
      <c r="L61" s="148" t="inlineStr">
        <is>
          <t>B0C8CXS58F</t>
        </is>
      </c>
      <c r="M61" s="148" t="n">
        <v>3</v>
      </c>
      <c r="N61" s="148" t="n">
        <v>38.99</v>
      </c>
      <c r="O61" s="148" t="n"/>
      <c r="P61" s="148">
        <f>IF(AND(ISNUMBER(O61),ISNUMBER(N61),N(N61)&gt;0),O61/N61-1,"")</f>
        <v/>
      </c>
      <c r="Q61" s="148" t="n">
        <v>99.98999999999999</v>
      </c>
      <c r="R61" s="148">
        <f>IF(AND(ISNUMBER(N61),ISNUMBER(Q61),N(Q61)&gt;0),N61/Q61-1,"")</f>
        <v/>
      </c>
      <c r="S61" s="148" t="n">
        <v>67260</v>
      </c>
      <c r="T61" s="148" t="n"/>
      <c r="U61" s="148" t="n">
        <v>3.9</v>
      </c>
      <c r="V61" s="148" t="n">
        <v>255</v>
      </c>
      <c r="W61" s="148" t="n"/>
      <c r="X61" s="148" t="n"/>
      <c r="Y61" s="148" t="n"/>
      <c r="Z61" s="148" t="n"/>
      <c r="AA61" s="148" t="n"/>
      <c r="AB61" s="148" t="n"/>
      <c r="AC61" s="148" t="inlineStr">
        <is>
          <t>CA DC B4</t>
        </is>
      </c>
      <c r="AD61" s="148">
        <f>'CA DC B4'!BF130</f>
        <v/>
      </c>
      <c r="AE61" s="148">
        <f>'CA DC B4'!BI130</f>
        <v/>
      </c>
      <c r="AF61" s="148" t="inlineStr">
        <is>
          <t>King</t>
        </is>
      </c>
      <c r="AG61" s="148" t="inlineStr">
        <is>
          <t>Light Blue</t>
        </is>
      </c>
      <c r="AH61" s="148">
        <f>AND(E61="CA",OR('CA Dashboard'!$C$4="All",'CA Dashboard'!$C$4=D61),OR('CA Dashboard'!$C$5="All",'CA Dashboard'!$C$5=G61),OR('CA Dashboard'!$C$6="All",'CA Dashboard'!$C$6=H61),OR('CA Dashboard'!$C$7="All",'CA Dashboard'!$C$7=F61),OR('CA Dashboard'!$C$8="All",'CA Dashboard'!$C$8=AJ61))</f>
        <v/>
      </c>
      <c r="AI61" s="148">
        <f>IF(AH61,AI60+1,AI60)</f>
        <v/>
      </c>
      <c r="AJ61" s="148" t="inlineStr">
        <is>
          <t>Direct</t>
        </is>
      </c>
      <c r="AK61" s="148" t="inlineStr">
        <is>
          <t>Same product (sheet set) in the same material family: Bamboo viscose (title: 100% Bamboo King Size Sheets Set, Cooling&amp;Breathable-Light B); ours: our listing: viscose from bamboo.</t>
        </is>
      </c>
    </row>
    <row r="62">
      <c r="A62" s="148">
        <f>AND(E62="US",OR('US Dashboard'!$C$4="All",'US Dashboard'!$C$4=D62),OR('US Dashboard'!$C$5="All",'US Dashboard'!$C$5=G62),OR('US Dashboard'!$C$6="All",'US Dashboard'!$C$6=H62),OR('US Dashboard'!$C$7="All",'US Dashboard'!$C$7=F62),OR('US Dashboard'!$C$8="All",'US Dashboard'!$C$8=AJ62))</f>
        <v/>
      </c>
      <c r="B62" s="148">
        <f>IF(A62,B61+1,B61)</f>
        <v/>
      </c>
      <c r="C62" s="148" t="n">
        <v>59</v>
      </c>
      <c r="D62" s="148" t="inlineStr">
        <is>
          <t>DC B4</t>
        </is>
      </c>
      <c r="E62" s="148" t="inlineStr">
        <is>
          <t>CA</t>
        </is>
      </c>
      <c r="F62" s="148" t="inlineStr">
        <is>
          <t>Bamboo</t>
        </is>
      </c>
      <c r="G62" s="148" t="inlineStr">
        <is>
          <t>KRIMANO</t>
        </is>
      </c>
      <c r="H62" s="148" t="inlineStr">
        <is>
          <t>Untiered</t>
        </is>
      </c>
      <c r="I62" s="148" t="inlineStr">
        <is>
          <t>Queen Size Sheet Set, Viscose Bamboo Sheets 4-Piece, 100% Viscose Derived from Bamboo, Hotel Luxury Silky &amp; Cooling for Hot Sleepers, Deep Pocket Up to 17", Taupe</t>
        </is>
      </c>
      <c r="J62" s="148" t="inlineStr">
        <is>
          <t>https://m.media-amazon.com/images/I/7132udf75EL.jpg</t>
        </is>
      </c>
      <c r="K62" s="148" t="inlineStr">
        <is>
          <t>B0H4LQ1XJH</t>
        </is>
      </c>
      <c r="L62" s="148" t="inlineStr">
        <is>
          <t>B0H4LHZTBY</t>
        </is>
      </c>
      <c r="M62" s="148" t="n">
        <v>12</v>
      </c>
      <c r="N62" s="148" t="n">
        <v>85.48999999999999</v>
      </c>
      <c r="O62" s="148" t="n"/>
      <c r="P62" s="148">
        <f>IF(AND(ISNUMBER(O62),ISNUMBER(N62),N(N62)&gt;0),O62/N62-1,"")</f>
        <v/>
      </c>
      <c r="Q62" s="148" t="n">
        <v>99.98999999999999</v>
      </c>
      <c r="R62" s="148">
        <f>IF(AND(ISNUMBER(N62),ISNUMBER(Q62),N(Q62)&gt;0),N62/Q62-1,"")</f>
        <v/>
      </c>
      <c r="S62" s="148" t="n">
        <v>39816</v>
      </c>
      <c r="T62" s="148" t="n"/>
      <c r="U62" s="148" t="n">
        <v>4.5</v>
      </c>
      <c r="V62" s="148" t="n">
        <v>23</v>
      </c>
      <c r="W62" s="148" t="n"/>
      <c r="X62" s="148" t="n"/>
      <c r="Y62" s="148" t="n"/>
      <c r="Z62" s="148" t="n"/>
      <c r="AA62" s="148" t="n"/>
      <c r="AB62" s="148" t="n"/>
      <c r="AC62" s="148" t="inlineStr">
        <is>
          <t>CA DC B4</t>
        </is>
      </c>
      <c r="AD62" s="148">
        <f>'CA DC B4'!BF131</f>
        <v/>
      </c>
      <c r="AE62" s="148">
        <f>'CA DC B4'!BI131</f>
        <v/>
      </c>
      <c r="AF62" s="148" t="inlineStr">
        <is>
          <t>Queen</t>
        </is>
      </c>
      <c r="AG62" s="148" t="inlineStr">
        <is>
          <t>3. Premium Taupe</t>
        </is>
      </c>
      <c r="AH62" s="148">
        <f>AND(E62="CA",OR('CA Dashboard'!$C$4="All",'CA Dashboard'!$C$4=D62),OR('CA Dashboard'!$C$5="All",'CA Dashboard'!$C$5=G62),OR('CA Dashboard'!$C$6="All",'CA Dashboard'!$C$6=H62),OR('CA Dashboard'!$C$7="All",'CA Dashboard'!$C$7=F62),OR('CA Dashboard'!$C$8="All",'CA Dashboard'!$C$8=AJ62))</f>
        <v/>
      </c>
      <c r="AI62" s="148">
        <f>IF(AH62,AI61+1,AI61)</f>
        <v/>
      </c>
      <c r="AJ62" s="148" t="inlineStr">
        <is>
          <t>Direct</t>
        </is>
      </c>
      <c r="AK62" s="148" t="inlineStr">
        <is>
          <t>Same product (sheet set) in the same material family: Bamboo viscose (title: Queen Size Sheet Set, Viscose Bamboo Sheets 4-Piece, 100% Vi); ours: our listing: viscose from bamboo.</t>
        </is>
      </c>
    </row>
    <row r="63">
      <c r="A63" s="148">
        <f>AND(E63="US",OR('US Dashboard'!$C$4="All",'US Dashboard'!$C$4=D63),OR('US Dashboard'!$C$5="All",'US Dashboard'!$C$5=G63),OR('US Dashboard'!$C$6="All",'US Dashboard'!$C$6=H63),OR('US Dashboard'!$C$7="All",'US Dashboard'!$C$7=F63),OR('US Dashboard'!$C$8="All",'US Dashboard'!$C$8=AJ63))</f>
        <v/>
      </c>
      <c r="B63" s="148">
        <f>IF(A63,B62+1,B62)</f>
        <v/>
      </c>
      <c r="C63" s="148" t="n">
        <v>59</v>
      </c>
      <c r="D63" s="148" t="inlineStr">
        <is>
          <t>DC B4</t>
        </is>
      </c>
      <c r="E63" s="148" t="inlineStr">
        <is>
          <t>CA</t>
        </is>
      </c>
      <c r="F63" s="148" t="inlineStr">
        <is>
          <t>Bamboo</t>
        </is>
      </c>
      <c r="G63" s="148" t="inlineStr">
        <is>
          <t>Bambaw</t>
        </is>
      </c>
      <c r="H63" s="148" t="inlineStr">
        <is>
          <t>Untiered</t>
        </is>
      </c>
      <c r="I63" s="148" t="inlineStr">
        <is>
          <t>Bambaw 100% Viscose Derived from Bamboo Sheets Queen Size Set – 4pcs Cooling Sheet Set, Super Soft Sheets Queen Size, Luxury Bed Sheets, Deep Pocket Fits Up to 16'' Mattresses (Charcoal)</t>
        </is>
      </c>
      <c r="J63" s="148" t="inlineStr">
        <is>
          <t>https://m.media-amazon.com/images/I/81svKInu7aL.jpg</t>
        </is>
      </c>
      <c r="K63" s="148" t="inlineStr">
        <is>
          <t>B07K6SYX8L</t>
        </is>
      </c>
      <c r="L63" s="148" t="inlineStr">
        <is>
          <t>B0DR99Q37Y</t>
        </is>
      </c>
      <c r="M63" s="148" t="n">
        <v>112</v>
      </c>
      <c r="N63" s="148" t="n">
        <v>139.95</v>
      </c>
      <c r="O63" s="148" t="n"/>
      <c r="P63" s="148">
        <f>IF(AND(ISNUMBER(O63),ISNUMBER(N63),N(N63)&gt;0),O63/N63-1,"")</f>
        <v/>
      </c>
      <c r="Q63" s="148" t="n">
        <v>99.98999999999999</v>
      </c>
      <c r="R63" s="148">
        <f>IF(AND(ISNUMBER(N63),ISNUMBER(Q63),N(Q63)&gt;0),N63/Q63-1,"")</f>
        <v/>
      </c>
      <c r="S63" s="148" t="n">
        <v>5024</v>
      </c>
      <c r="T63" s="148" t="n"/>
      <c r="U63" s="148" t="n">
        <v>4.3</v>
      </c>
      <c r="V63" s="148" t="n">
        <v>3030</v>
      </c>
      <c r="W63" s="148" t="n"/>
      <c r="X63" s="148" t="n"/>
      <c r="Y63" s="148" t="n"/>
      <c r="Z63" s="148" t="n"/>
      <c r="AA63" s="148" t="n"/>
      <c r="AB63" s="148" t="n"/>
      <c r="AC63" s="148" t="inlineStr">
        <is>
          <t>CA DC B4</t>
        </is>
      </c>
      <c r="AD63" s="148">
        <f>'CA DC B4'!BF132</f>
        <v/>
      </c>
      <c r="AE63" s="148">
        <f>'CA DC B4'!BI132</f>
        <v/>
      </c>
      <c r="AF63" s="148" t="inlineStr">
        <is>
          <t>Queen</t>
        </is>
      </c>
      <c r="AG63" s="148" t="inlineStr">
        <is>
          <t>Charcoal</t>
        </is>
      </c>
      <c r="AH63" s="148">
        <f>AND(E63="CA",OR('CA Dashboard'!$C$4="All",'CA Dashboard'!$C$4=D63),OR('CA Dashboard'!$C$5="All",'CA Dashboard'!$C$5=G63),OR('CA Dashboard'!$C$6="All",'CA Dashboard'!$C$6=H63),OR('CA Dashboard'!$C$7="All",'CA Dashboard'!$C$7=F63),OR('CA Dashboard'!$C$8="All",'CA Dashboard'!$C$8=AJ63))</f>
        <v/>
      </c>
      <c r="AI63" s="148">
        <f>IF(AH63,AI62+1,AI62)</f>
        <v/>
      </c>
      <c r="AJ63" s="148" t="inlineStr">
        <is>
          <t>Direct</t>
        </is>
      </c>
      <c r="AK63" s="148" t="inlineStr">
        <is>
          <t>Same product (sheet set) in the same material family: Bamboo viscose (title: Bambaw 100% Viscose Derived from Bamboo Sheets Queen Size Se); ours: our listing: viscose from bamboo.</t>
        </is>
      </c>
    </row>
    <row r="64">
      <c r="A64" s="148">
        <f>AND(E64="US",OR('US Dashboard'!$C$4="All",'US Dashboard'!$C$4=D64),OR('US Dashboard'!$C$5="All",'US Dashboard'!$C$5=G64),OR('US Dashboard'!$C$6="All",'US Dashboard'!$C$6=H64),OR('US Dashboard'!$C$7="All",'US Dashboard'!$C$7=F64),OR('US Dashboard'!$C$8="All",'US Dashboard'!$C$8=AJ64))</f>
        <v/>
      </c>
      <c r="B64" s="148">
        <f>IF(A64,B63+1,B63)</f>
        <v/>
      </c>
      <c r="C64" s="148" t="n">
        <v>59</v>
      </c>
      <c r="D64" s="148" t="inlineStr">
        <is>
          <t>DC B4</t>
        </is>
      </c>
      <c r="E64" s="148" t="inlineStr">
        <is>
          <t>CA</t>
        </is>
      </c>
      <c r="F64" s="148" t="inlineStr">
        <is>
          <t>Bamboo</t>
        </is>
      </c>
      <c r="G64" s="148" t="inlineStr">
        <is>
          <t>GOKOTTA</t>
        </is>
      </c>
      <c r="H64" s="148" t="inlineStr">
        <is>
          <t>Untiered</t>
        </is>
      </c>
      <c r="I64" s="148" t="inlineStr">
        <is>
          <t>Gökotta Queen Bed Sheets 4 Piece, 100% FSC® Certified Bamboo, Cooling</t>
        </is>
      </c>
      <c r="J64" s="148" t="inlineStr">
        <is>
          <t>https://m.media-amazon.com/images/I/819Dj6rLeGL.jpg</t>
        </is>
      </c>
      <c r="K64" s="148" t="inlineStr">
        <is>
          <t>B09WY1GFH8</t>
        </is>
      </c>
      <c r="L64" s="148" t="inlineStr">
        <is>
          <t>B08F3HFQ6X</t>
        </is>
      </c>
      <c r="M64" s="148" t="n">
        <v>101</v>
      </c>
      <c r="N64" s="148" t="n">
        <v>139.99</v>
      </c>
      <c r="O64" s="148" t="n"/>
      <c r="P64" s="148">
        <f>IF(AND(ISNUMBER(O64),ISNUMBER(N64),N(N64)&gt;0),O64/N64-1,"")</f>
        <v/>
      </c>
      <c r="Q64" s="148" t="n">
        <v>99.98999999999999</v>
      </c>
      <c r="R64" s="148">
        <f>IF(AND(ISNUMBER(N64),ISNUMBER(Q64),N(Q64)&gt;0),N64/Q64-1,"")</f>
        <v/>
      </c>
      <c r="S64" s="148" t="n">
        <v>4180</v>
      </c>
      <c r="T64" s="148" t="n"/>
      <c r="U64" s="148" t="n">
        <v>4.4</v>
      </c>
      <c r="V64" s="148" t="n">
        <v>2698</v>
      </c>
      <c r="W64" s="148" t="n"/>
      <c r="X64" s="148" t="n"/>
      <c r="Y64" s="148" t="n"/>
      <c r="Z64" s="148" t="n"/>
      <c r="AA64" s="148" t="n"/>
      <c r="AB64" s="148" t="n"/>
      <c r="AC64" s="148" t="inlineStr">
        <is>
          <t>CA DC B4</t>
        </is>
      </c>
      <c r="AD64" s="148">
        <f>'CA DC B4'!BF133</f>
        <v/>
      </c>
      <c r="AE64" s="148">
        <f>'CA DC B4'!BI133</f>
        <v/>
      </c>
      <c r="AF64" s="148" t="inlineStr">
        <is>
          <t>Queen</t>
        </is>
      </c>
      <c r="AG64" s="148" t="inlineStr">
        <is>
          <t>01 Cream White</t>
        </is>
      </c>
      <c r="AH64" s="148">
        <f>AND(E64="CA",OR('CA Dashboard'!$C$4="All",'CA Dashboard'!$C$4=D64),OR('CA Dashboard'!$C$5="All",'CA Dashboard'!$C$5=G64),OR('CA Dashboard'!$C$6="All",'CA Dashboard'!$C$6=H64),OR('CA Dashboard'!$C$7="All",'CA Dashboard'!$C$7=F64),OR('CA Dashboard'!$C$8="All",'CA Dashboard'!$C$8=AJ64))</f>
        <v/>
      </c>
      <c r="AI64" s="148">
        <f>IF(AH64,AI63+1,AI63)</f>
        <v/>
      </c>
      <c r="AJ64" s="148" t="inlineStr">
        <is>
          <t>Direct</t>
        </is>
      </c>
      <c r="AK64" s="148" t="inlineStr">
        <is>
          <t>Same product (sheet set) in the same material family: Bamboo viscose (title: Gökotta Queen Bed Sheets 4 Piece, 100% FSC® Certified Bamboo); ours: our listing: viscose from bamboo.</t>
        </is>
      </c>
    </row>
    <row r="65">
      <c r="A65" s="148">
        <f>AND(E65="US",OR('US Dashboard'!$C$4="All",'US Dashboard'!$C$4=D65),OR('US Dashboard'!$C$5="All",'US Dashboard'!$C$5=G65),OR('US Dashboard'!$C$6="All",'US Dashboard'!$C$6=H65),OR('US Dashboard'!$C$7="All",'US Dashboard'!$C$7=F65),OR('US Dashboard'!$C$8="All",'US Dashboard'!$C$8=AJ65))</f>
        <v/>
      </c>
      <c r="B65" s="148">
        <f>IF(A65,B64+1,B64)</f>
        <v/>
      </c>
      <c r="C65" s="148" t="n">
        <v>59</v>
      </c>
      <c r="D65" s="148" t="inlineStr">
        <is>
          <t>DC B4</t>
        </is>
      </c>
      <c r="E65" s="148" t="inlineStr">
        <is>
          <t>CA</t>
        </is>
      </c>
      <c r="F65" s="148" t="inlineStr">
        <is>
          <t>Bamboo</t>
        </is>
      </c>
      <c r="G65" s="148" t="inlineStr">
        <is>
          <t>Viviland</t>
        </is>
      </c>
      <c r="H65" s="148" t="inlineStr">
        <is>
          <t>Untiered</t>
        </is>
      </c>
      <c r="I65" s="148" t="inlineStr">
        <is>
          <t>Viviland Cooling Queen Sheets, 100% Viscose Derived Bamboo, Sage Green</t>
        </is>
      </c>
      <c r="J65" s="148" t="inlineStr">
        <is>
          <t>https://m.media-amazon.com/images/I/71wGI7mFbBL.jpg</t>
        </is>
      </c>
      <c r="K65" s="148" t="inlineStr">
        <is>
          <t>B0F24WLDTG</t>
        </is>
      </c>
      <c r="L65" s="148" t="inlineStr">
        <is>
          <t>B0H8S57BK7</t>
        </is>
      </c>
      <c r="M65" s="148" t="n">
        <v>52</v>
      </c>
      <c r="N65" s="148" t="n">
        <v>68.39</v>
      </c>
      <c r="O65" s="148" t="n"/>
      <c r="P65" s="148">
        <f>IF(AND(ISNUMBER(O65),ISNUMBER(N65),N(N65)&gt;0),O65/N65-1,"")</f>
        <v/>
      </c>
      <c r="Q65" s="148" t="n">
        <v>99.98999999999999</v>
      </c>
      <c r="R65" s="148">
        <f>IF(AND(ISNUMBER(N65),ISNUMBER(Q65),N(Q65)&gt;0),N65/Q65-1,"")</f>
        <v/>
      </c>
      <c r="S65" s="148" t="n">
        <v>12341</v>
      </c>
      <c r="T65" s="148" t="n"/>
      <c r="U65" s="148" t="n">
        <v>4.4</v>
      </c>
      <c r="V65" s="148" t="n">
        <v>146</v>
      </c>
      <c r="W65" s="148" t="n"/>
      <c r="X65" s="148" t="n"/>
      <c r="Y65" s="148" t="n"/>
      <c r="Z65" s="148" t="n"/>
      <c r="AA65" s="148" t="n"/>
      <c r="AB65" s="148" t="n"/>
      <c r="AC65" s="148" t="inlineStr">
        <is>
          <t>CA DC B4</t>
        </is>
      </c>
      <c r="AD65" s="148">
        <f>'CA DC B4'!BF134</f>
        <v/>
      </c>
      <c r="AE65" s="148">
        <f>'CA DC B4'!BI134</f>
        <v/>
      </c>
      <c r="AF65" s="148" t="inlineStr">
        <is>
          <t>Queen</t>
        </is>
      </c>
      <c r="AG65" s="148" t="inlineStr">
        <is>
          <t>Sage Green</t>
        </is>
      </c>
      <c r="AH65" s="148">
        <f>AND(E65="CA",OR('CA Dashboard'!$C$4="All",'CA Dashboard'!$C$4=D65),OR('CA Dashboard'!$C$5="All",'CA Dashboard'!$C$5=G65),OR('CA Dashboard'!$C$6="All",'CA Dashboard'!$C$6=H65),OR('CA Dashboard'!$C$7="All",'CA Dashboard'!$C$7=F65),OR('CA Dashboard'!$C$8="All",'CA Dashboard'!$C$8=AJ65))</f>
        <v/>
      </c>
      <c r="AI65" s="148">
        <f>IF(AH65,AI64+1,AI64)</f>
        <v/>
      </c>
      <c r="AJ65" s="148" t="inlineStr">
        <is>
          <t>Direct</t>
        </is>
      </c>
      <c r="AK65" s="148" t="inlineStr">
        <is>
          <t>Same product (sheet set) in the same material family: Bamboo viscose (title: Viviland Cooling Queen Sheets, 100% Viscose Derived Bamboo); ours: our listing: viscose from bamboo.</t>
        </is>
      </c>
    </row>
    <row r="66">
      <c r="A66" s="148">
        <f>AND(E66="US",OR('US Dashboard'!$C$4="All",'US Dashboard'!$C$4=D66),OR('US Dashboard'!$C$5="All",'US Dashboard'!$C$5=G66),OR('US Dashboard'!$C$6="All",'US Dashboard'!$C$6=H66),OR('US Dashboard'!$C$7="All",'US Dashboard'!$C$7=F66),OR('US Dashboard'!$C$8="All",'US Dashboard'!$C$8=AJ66))</f>
        <v/>
      </c>
      <c r="B66" s="148">
        <f>IF(A66,B65+1,B65)</f>
        <v/>
      </c>
      <c r="C66" s="148" t="n">
        <v>59</v>
      </c>
      <c r="D66" s="148" t="inlineStr">
        <is>
          <t>DC B4</t>
        </is>
      </c>
      <c r="E66" s="148" t="inlineStr">
        <is>
          <t>CA</t>
        </is>
      </c>
      <c r="F66" s="148" t="inlineStr">
        <is>
          <t>Bamboo</t>
        </is>
      </c>
      <c r="G66" s="148" t="inlineStr">
        <is>
          <t>BAMPURE</t>
        </is>
      </c>
      <c r="H66" s="148" t="inlineStr">
        <is>
          <t>Untiered</t>
        </is>
      </c>
      <c r="I66" s="148" t="inlineStr">
        <is>
          <t>BAMPURE 100% Organic Bamboo Sheets Queen 4PC - Cooling Sheets Set</t>
        </is>
      </c>
      <c r="J66" s="148" t="inlineStr">
        <is>
          <t>https://m.media-amazon.com/images/I/717ErtYBKJL.jpg</t>
        </is>
      </c>
      <c r="K66" s="148" t="n"/>
      <c r="L66" s="148" t="inlineStr">
        <is>
          <t>B0DPLJ4BN4</t>
        </is>
      </c>
      <c r="M66" s="148" t="n"/>
      <c r="N66" s="148" t="n">
        <v>74.98999999999999</v>
      </c>
      <c r="O66" s="148" t="n"/>
      <c r="P66" s="148">
        <f>IF(AND(ISNUMBER(O66),ISNUMBER(N66),N(N66)&gt;0),O66/N66-1,"")</f>
        <v/>
      </c>
      <c r="Q66" s="148" t="n">
        <v>99.98999999999999</v>
      </c>
      <c r="R66" s="148">
        <f>IF(AND(ISNUMBER(N66),ISNUMBER(Q66),N(Q66)&gt;0),N66/Q66-1,"")</f>
        <v/>
      </c>
      <c r="S66" s="148" t="n">
        <v>110902</v>
      </c>
      <c r="T66" s="148" t="n"/>
      <c r="U66" s="148" t="n">
        <v>3.3</v>
      </c>
      <c r="V66" s="148" t="n">
        <v>18</v>
      </c>
      <c r="W66" s="148" t="n"/>
      <c r="X66" s="148" t="n"/>
      <c r="Y66" s="148" t="n"/>
      <c r="Z66" s="148" t="n"/>
      <c r="AA66" s="148" t="n"/>
      <c r="AB66" s="148" t="n"/>
      <c r="AC66" s="148" t="inlineStr">
        <is>
          <t>CA DC B4</t>
        </is>
      </c>
      <c r="AD66" s="148">
        <f>'CA DC B4'!BF135</f>
        <v/>
      </c>
      <c r="AE66" s="148">
        <f>'CA DC B4'!BI135</f>
        <v/>
      </c>
      <c r="AF66" s="148" t="inlineStr">
        <is>
          <t>Queen</t>
        </is>
      </c>
      <c r="AG66" s="148" t="inlineStr">
        <is>
          <t>Navy</t>
        </is>
      </c>
      <c r="AH66" s="148">
        <f>AND(E66="CA",OR('CA Dashboard'!$C$4="All",'CA Dashboard'!$C$4=D66),OR('CA Dashboard'!$C$5="All",'CA Dashboard'!$C$5=G66),OR('CA Dashboard'!$C$6="All",'CA Dashboard'!$C$6=H66),OR('CA Dashboard'!$C$7="All",'CA Dashboard'!$C$7=F66),OR('CA Dashboard'!$C$8="All",'CA Dashboard'!$C$8=AJ66))</f>
        <v/>
      </c>
      <c r="AI66" s="148">
        <f>IF(AH66,AI65+1,AI65)</f>
        <v/>
      </c>
      <c r="AJ66" s="148" t="inlineStr">
        <is>
          <t>Direct</t>
        </is>
      </c>
      <c r="AK66" s="148" t="inlineStr">
        <is>
          <t>Same product (sheet set) in the same material family: Bamboo viscose (title: BAMPURE 100% Organic Bamboo Sheets Queen 4PC - Cooling Sheet); ours: our listing: viscose from bamboo.</t>
        </is>
      </c>
    </row>
    <row r="67">
      <c r="A67" s="148">
        <f>AND(E67="US",OR('US Dashboard'!$C$4="All",'US Dashboard'!$C$4=D67),OR('US Dashboard'!$C$5="All",'US Dashboard'!$C$5=G67),OR('US Dashboard'!$C$6="All",'US Dashboard'!$C$6=H67),OR('US Dashboard'!$C$7="All",'US Dashboard'!$C$7=F67),OR('US Dashboard'!$C$8="All",'US Dashboard'!$C$8=AJ67))</f>
        <v/>
      </c>
      <c r="B67" s="148">
        <f>IF(A67,B66+1,B66)</f>
        <v/>
      </c>
      <c r="C67" s="148" t="n">
        <v>59</v>
      </c>
      <c r="D67" s="148" t="inlineStr">
        <is>
          <t>DC B4</t>
        </is>
      </c>
      <c r="E67" s="148" t="inlineStr">
        <is>
          <t>CA</t>
        </is>
      </c>
      <c r="F67" s="148" t="inlineStr">
        <is>
          <t>Bamboo</t>
        </is>
      </c>
      <c r="G67" s="148" t="inlineStr">
        <is>
          <t>YASMENG</t>
        </is>
      </c>
      <c r="H67" s="148" t="inlineStr">
        <is>
          <t>Untiered</t>
        </is>
      </c>
      <c r="I67" s="148" t="inlineStr">
        <is>
          <t>100% Bamboo Rayon Cooling Sheets Queen Set Black Silky Soft Bedding</t>
        </is>
      </c>
      <c r="J67" s="148" t="inlineStr">
        <is>
          <t>https://m.media-amazon.com/images/I/81cBDD-c36L.jpg</t>
        </is>
      </c>
      <c r="K67" s="148" t="n"/>
      <c r="L67" s="148" t="inlineStr">
        <is>
          <t>B0FXWJD1B1</t>
        </is>
      </c>
      <c r="M67" s="148" t="n"/>
      <c r="N67" s="148" t="n">
        <v>44.99</v>
      </c>
      <c r="O67" s="148" t="n"/>
      <c r="P67" s="148">
        <f>IF(AND(ISNUMBER(O67),ISNUMBER(N67),N(N67)&gt;0),O67/N67-1,"")</f>
        <v/>
      </c>
      <c r="Q67" s="148" t="n">
        <v>99.98999999999999</v>
      </c>
      <c r="R67" s="148">
        <f>IF(AND(ISNUMBER(N67),ISNUMBER(Q67),N(Q67)&gt;0),N67/Q67-1,"")</f>
        <v/>
      </c>
      <c r="S67" s="148" t="n">
        <v>153053</v>
      </c>
      <c r="T67" s="148" t="n"/>
      <c r="U67" s="148" t="n">
        <v>1</v>
      </c>
      <c r="V67" s="148" t="n">
        <v>1</v>
      </c>
      <c r="W67" s="148" t="n"/>
      <c r="X67" s="148" t="n"/>
      <c r="Y67" s="148" t="n"/>
      <c r="Z67" s="148" t="n"/>
      <c r="AA67" s="148" t="n"/>
      <c r="AB67" s="148" t="n"/>
      <c r="AC67" s="148" t="inlineStr">
        <is>
          <t>CA DC B4</t>
        </is>
      </c>
      <c r="AD67" s="148">
        <f>'CA DC B4'!BF136</f>
        <v/>
      </c>
      <c r="AE67" s="148">
        <f>'CA DC B4'!BI136</f>
        <v/>
      </c>
      <c r="AF67" s="148" t="inlineStr">
        <is>
          <t>Queen</t>
        </is>
      </c>
      <c r="AG67" s="148" t="inlineStr">
        <is>
          <t>Black</t>
        </is>
      </c>
      <c r="AH67" s="148">
        <f>AND(E67="CA",OR('CA Dashboard'!$C$4="All",'CA Dashboard'!$C$4=D67),OR('CA Dashboard'!$C$5="All",'CA Dashboard'!$C$5=G67),OR('CA Dashboard'!$C$6="All",'CA Dashboard'!$C$6=H67),OR('CA Dashboard'!$C$7="All",'CA Dashboard'!$C$7=F67),OR('CA Dashboard'!$C$8="All",'CA Dashboard'!$C$8=AJ67))</f>
        <v/>
      </c>
      <c r="AI67" s="148">
        <f>IF(AH67,AI66+1,AI66)</f>
        <v/>
      </c>
      <c r="AJ67" s="148" t="inlineStr">
        <is>
          <t>Direct</t>
        </is>
      </c>
      <c r="AK67" s="148" t="inlineStr">
        <is>
          <t>Same product (sheet set) in the same material family: Bamboo viscose (title: 100% Bamboo Rayon Cooling Sheets Queen Set Black Silky Soft ); ours: our listing: viscose from bamboo.</t>
        </is>
      </c>
    </row>
    <row r="68">
      <c r="A68" s="148">
        <f>AND(E68="US",OR('US Dashboard'!$C$4="All",'US Dashboard'!$C$4=D68),OR('US Dashboard'!$C$5="All",'US Dashboard'!$C$5=G68),OR('US Dashboard'!$C$6="All",'US Dashboard'!$C$6=H68),OR('US Dashboard'!$C$7="All",'US Dashboard'!$C$7=F68),OR('US Dashboard'!$C$8="All",'US Dashboard'!$C$8=AJ68))</f>
        <v/>
      </c>
      <c r="B68" s="148">
        <f>IF(A68,B67+1,B67)</f>
        <v/>
      </c>
      <c r="C68" s="148" t="n">
        <v>59</v>
      </c>
      <c r="D68" s="148" t="inlineStr">
        <is>
          <t>DC B4</t>
        </is>
      </c>
      <c r="E68" s="148" t="inlineStr">
        <is>
          <t>CA</t>
        </is>
      </c>
      <c r="F68" s="148" t="inlineStr">
        <is>
          <t>Bamboo</t>
        </is>
      </c>
      <c r="G68" s="148" t="inlineStr">
        <is>
          <t>Sweave</t>
        </is>
      </c>
      <c r="H68" s="148" t="inlineStr">
        <is>
          <t>Untiered</t>
        </is>
      </c>
      <c r="I68" s="148" t="inlineStr">
        <is>
          <t>100% Organically Rayon Derived from Bamboo Sheets Queen, 4Pcs Set, Ivory</t>
        </is>
      </c>
      <c r="J68" s="148" t="inlineStr">
        <is>
          <t>https://m.media-amazon.com/images/I/717dwVGXtTL.jpg</t>
        </is>
      </c>
      <c r="K68" s="148" t="inlineStr">
        <is>
          <t>B091Z7KM7B</t>
        </is>
      </c>
      <c r="L68" s="148" t="inlineStr">
        <is>
          <t>B0CNRQXKYR</t>
        </is>
      </c>
      <c r="M68" s="148" t="n">
        <v>15</v>
      </c>
      <c r="N68" s="148" t="n">
        <v>71.98999999999999</v>
      </c>
      <c r="O68" s="148" t="n"/>
      <c r="P68" s="148">
        <f>IF(AND(ISNUMBER(O68),ISNUMBER(N68),N(N68)&gt;0),O68/N68-1,"")</f>
        <v/>
      </c>
      <c r="Q68" s="148" t="n">
        <v>99.98999999999999</v>
      </c>
      <c r="R68" s="148">
        <f>IF(AND(ISNUMBER(N68),ISNUMBER(Q68),N(Q68)&gt;0),N68/Q68-1,"")</f>
        <v/>
      </c>
      <c r="S68" s="148" t="n">
        <v>46605</v>
      </c>
      <c r="T68" s="148" t="n"/>
      <c r="U68" s="148" t="n">
        <v>4</v>
      </c>
      <c r="V68" s="148" t="n">
        <v>25</v>
      </c>
      <c r="W68" s="148" t="n"/>
      <c r="X68" s="148" t="n"/>
      <c r="Y68" s="148" t="n"/>
      <c r="Z68" s="148" t="n"/>
      <c r="AA68" s="148" t="n"/>
      <c r="AB68" s="148" t="n"/>
      <c r="AC68" s="148" t="inlineStr">
        <is>
          <t>CA DC B4</t>
        </is>
      </c>
      <c r="AD68" s="148">
        <f>'CA DC B4'!BF137</f>
        <v/>
      </c>
      <c r="AE68" s="148">
        <f>'CA DC B4'!BI137</f>
        <v/>
      </c>
      <c r="AF68" s="148" t="inlineStr">
        <is>
          <t>Queen</t>
        </is>
      </c>
      <c r="AG68" s="148" t="inlineStr">
        <is>
          <t>Ivory (100% Organic Viscose Made from Bamboo)</t>
        </is>
      </c>
      <c r="AH68" s="148">
        <f>AND(E68="CA",OR('CA Dashboard'!$C$4="All",'CA Dashboard'!$C$4=D68),OR('CA Dashboard'!$C$5="All",'CA Dashboard'!$C$5=G68),OR('CA Dashboard'!$C$6="All",'CA Dashboard'!$C$6=H68),OR('CA Dashboard'!$C$7="All",'CA Dashboard'!$C$7=F68),OR('CA Dashboard'!$C$8="All",'CA Dashboard'!$C$8=AJ68))</f>
        <v/>
      </c>
      <c r="AI68" s="148">
        <f>IF(AH68,AI67+1,AI67)</f>
        <v/>
      </c>
      <c r="AJ68" s="148" t="inlineStr">
        <is>
          <t>Direct</t>
        </is>
      </c>
      <c r="AK68" s="148" t="inlineStr">
        <is>
          <t>Same product (sheet set) in the same material family: Bamboo viscose (title: 100% Organically Rayon Derived from Bamboo Sheets Queen, 4Pc); ours: our listing: viscose from bamboo.</t>
        </is>
      </c>
    </row>
    <row r="69">
      <c r="A69" s="148">
        <f>AND(E69="US",OR('US Dashboard'!$C$4="All",'US Dashboard'!$C$4=D69),OR('US Dashboard'!$C$5="All",'US Dashboard'!$C$5=G69),OR('US Dashboard'!$C$6="All",'US Dashboard'!$C$6=H69),OR('US Dashboard'!$C$7="All",'US Dashboard'!$C$7=F69),OR('US Dashboard'!$C$8="All",'US Dashboard'!$C$8=AJ69))</f>
        <v/>
      </c>
      <c r="B69" s="148">
        <f>IF(A69,B68+1,B68)</f>
        <v/>
      </c>
      <c r="C69" s="148" t="n">
        <v>59</v>
      </c>
      <c r="D69" s="148" t="inlineStr">
        <is>
          <t>DC B4</t>
        </is>
      </c>
      <c r="E69" s="148" t="inlineStr">
        <is>
          <t>CA</t>
        </is>
      </c>
      <c r="F69" s="148" t="inlineStr">
        <is>
          <t>Bamboo</t>
        </is>
      </c>
      <c r="G69" s="148" t="inlineStr">
        <is>
          <t>CAROMIO</t>
        </is>
      </c>
      <c r="H69" s="148" t="inlineStr">
        <is>
          <t>Untiered</t>
        </is>
      </c>
      <c r="I69" s="148" t="inlineStr">
        <is>
          <t>CAROMIO Sheets Set Queen Size Rayon Derived from Bamboo, Cooling Bed Sheets</t>
        </is>
      </c>
      <c r="J69" s="148" t="inlineStr">
        <is>
          <t>https://m.media-amazon.com/images/I/71XnPNu62FL.jpg</t>
        </is>
      </c>
      <c r="K69" s="148" t="inlineStr">
        <is>
          <t>B095L9VFG4</t>
        </is>
      </c>
      <c r="L69" s="148" t="inlineStr">
        <is>
          <t>B08XK2ZFTL</t>
        </is>
      </c>
      <c r="M69" s="148" t="n">
        <v>29</v>
      </c>
      <c r="N69" s="148" t="n">
        <v>69.98999999999999</v>
      </c>
      <c r="O69" s="148" t="n"/>
      <c r="P69" s="148">
        <f>IF(AND(ISNUMBER(O69),ISNUMBER(N69),N(N69)&gt;0),O69/N69-1,"")</f>
        <v/>
      </c>
      <c r="Q69" s="148" t="n">
        <v>99.98999999999999</v>
      </c>
      <c r="R69" s="148">
        <f>IF(AND(ISNUMBER(N69),ISNUMBER(Q69),N(Q69)&gt;0),N69/Q69-1,"")</f>
        <v/>
      </c>
      <c r="S69" s="148" t="n">
        <v>70805</v>
      </c>
      <c r="T69" s="148" t="n"/>
      <c r="U69" s="148" t="n">
        <v>4.2</v>
      </c>
      <c r="V69" s="148" t="n">
        <v>1050</v>
      </c>
      <c r="W69" s="148" t="n"/>
      <c r="X69" s="148" t="n"/>
      <c r="Y69" s="148" t="n"/>
      <c r="Z69" s="148" t="n"/>
      <c r="AA69" s="148" t="n"/>
      <c r="AB69" s="148" t="n"/>
      <c r="AC69" s="148" t="inlineStr">
        <is>
          <t>CA DC B4</t>
        </is>
      </c>
      <c r="AD69" s="148">
        <f>'CA DC B4'!BF138</f>
        <v/>
      </c>
      <c r="AE69" s="148">
        <f>'CA DC B4'!BI138</f>
        <v/>
      </c>
      <c r="AF69" s="148" t="inlineStr">
        <is>
          <t>Queen</t>
        </is>
      </c>
      <c r="AG69" s="148" t="inlineStr">
        <is>
          <t>White</t>
        </is>
      </c>
      <c r="AH69" s="148">
        <f>AND(E69="CA",OR('CA Dashboard'!$C$4="All",'CA Dashboard'!$C$4=D69),OR('CA Dashboard'!$C$5="All",'CA Dashboard'!$C$5=G69),OR('CA Dashboard'!$C$6="All",'CA Dashboard'!$C$6=H69),OR('CA Dashboard'!$C$7="All",'CA Dashboard'!$C$7=F69),OR('CA Dashboard'!$C$8="All",'CA Dashboard'!$C$8=AJ69))</f>
        <v/>
      </c>
      <c r="AI69" s="148">
        <f>IF(AH69,AI68+1,AI68)</f>
        <v/>
      </c>
      <c r="AJ69" s="148" t="inlineStr">
        <is>
          <t>Direct</t>
        </is>
      </c>
      <c r="AK69" s="148" t="inlineStr">
        <is>
          <t>Same product (sheet set) in the same material family: Bamboo viscose (title: CAROMIO Sheets Set Queen Size Rayon Derived from Bamboo, Coo); ours: our listing: viscose from bamboo.</t>
        </is>
      </c>
    </row>
    <row r="70">
      <c r="A70" s="148">
        <f>AND(E70="US",OR('US Dashboard'!$C$4="All",'US Dashboard'!$C$4=D70),OR('US Dashboard'!$C$5="All",'US Dashboard'!$C$5=G70),OR('US Dashboard'!$C$6="All",'US Dashboard'!$C$6=H70),OR('US Dashboard'!$C$7="All",'US Dashboard'!$C$7=F70),OR('US Dashboard'!$C$8="All",'US Dashboard'!$C$8=AJ70))</f>
        <v/>
      </c>
      <c r="B70" s="148">
        <f>IF(A70,B69+1,B69)</f>
        <v/>
      </c>
      <c r="C70" s="148" t="n">
        <v>59</v>
      </c>
      <c r="D70" s="148" t="inlineStr">
        <is>
          <t>DC B4</t>
        </is>
      </c>
      <c r="E70" s="148" t="inlineStr">
        <is>
          <t>US</t>
        </is>
      </c>
      <c r="F70" s="148" t="inlineStr">
        <is>
          <t>Bamboo</t>
        </is>
      </c>
      <c r="G70" s="148" t="inlineStr">
        <is>
          <t>ACCURATEX</t>
        </is>
      </c>
      <c r="H70" s="148" t="inlineStr">
        <is>
          <t>Poor</t>
        </is>
      </c>
      <c r="I70" s="148" t="inlineStr">
        <is>
          <t>ACCURATEX Cooling Sheets for Hot Sleepers, King Size, Grey</t>
        </is>
      </c>
      <c r="J70" s="148" t="inlineStr">
        <is>
          <t>https://images-na.ssl-images-amazon.com/images/I/81fSDKgL-SL.jpg</t>
        </is>
      </c>
      <c r="K70" s="148" t="inlineStr">
        <is>
          <t>B0GMGSMLQ1</t>
        </is>
      </c>
      <c r="L70" s="148" t="inlineStr">
        <is>
          <t>B09PYB9C45</t>
        </is>
      </c>
      <c r="M70" s="148" t="n">
        <v>51</v>
      </c>
      <c r="N70" s="148" t="n">
        <v>69.98999999999999</v>
      </c>
      <c r="O70" s="148" t="n"/>
      <c r="P70" s="148">
        <f>IF(AND(ISNUMBER(O70),ISNUMBER(N70),N(N70)&gt;0),O70/N70-1,"")</f>
        <v/>
      </c>
      <c r="Q70" s="148" t="n">
        <v>94.98999999999999</v>
      </c>
      <c r="R70" s="148">
        <f>IF(AND(ISNUMBER(N70),ISNUMBER(Q70),N(Q70)&gt;0),N70/Q70-1,"")</f>
        <v/>
      </c>
      <c r="S70" s="148" t="n">
        <v>33423</v>
      </c>
      <c r="T70" s="148" t="n">
        <v>35</v>
      </c>
      <c r="U70" s="148" t="n">
        <v>4.4</v>
      </c>
      <c r="V70" s="148" t="n">
        <v>1040</v>
      </c>
      <c r="W70" s="148" t="n"/>
      <c r="X70" s="148" t="n"/>
      <c r="Y70" s="148" t="n"/>
      <c r="Z70" s="148" t="n"/>
      <c r="AA70" s="148" t="n"/>
      <c r="AB70" s="148" t="n"/>
      <c r="AC70" s="148" t="inlineStr">
        <is>
          <t>US DC B4</t>
        </is>
      </c>
      <c r="AD70" s="148">
        <f>'US DC B4'!BF178</f>
        <v/>
      </c>
      <c r="AE70" s="148">
        <f>'US DC B4'!BI178</f>
        <v/>
      </c>
      <c r="AF70" s="148" t="inlineStr">
        <is>
          <t>King</t>
        </is>
      </c>
      <c r="AG70" s="148" t="inlineStr">
        <is>
          <t>Grey</t>
        </is>
      </c>
      <c r="AH70" s="148">
        <f>AND(E70="CA",OR('CA Dashboard'!$C$4="All",'CA Dashboard'!$C$4=D70),OR('CA Dashboard'!$C$5="All",'CA Dashboard'!$C$5=G70),OR('CA Dashboard'!$C$6="All",'CA Dashboard'!$C$6=H70),OR('CA Dashboard'!$C$7="All",'CA Dashboard'!$C$7=F70),OR('CA Dashboard'!$C$8="All",'CA Dashboard'!$C$8=AJ70))</f>
        <v/>
      </c>
      <c r="AI70" s="148">
        <f>IF(AH70,AI69+1,AI69)</f>
        <v/>
      </c>
      <c r="AJ70" s="148" t="inlineStr">
        <is>
          <t>Material not verified</t>
        </is>
      </c>
      <c r="AK70" s="148" t="inlineStr">
        <is>
          <t>Sheet set like ours, but the material is not stated (material not stated on the page or in the title); verify before treating as direct.</t>
        </is>
      </c>
    </row>
    <row r="71">
      <c r="A71" s="148">
        <f>AND(E71="US",OR('US Dashboard'!$C$4="All",'US Dashboard'!$C$4=D71),OR('US Dashboard'!$C$5="All",'US Dashboard'!$C$5=G71),OR('US Dashboard'!$C$6="All",'US Dashboard'!$C$6=H71),OR('US Dashboard'!$C$7="All",'US Dashboard'!$C$7=F71),OR('US Dashboard'!$C$8="All",'US Dashboard'!$C$8=AJ71))</f>
        <v/>
      </c>
      <c r="B71" s="148">
        <f>IF(A71,B70+1,B70)</f>
        <v/>
      </c>
      <c r="C71" s="148" t="n">
        <v>59</v>
      </c>
      <c r="D71" s="148" t="inlineStr">
        <is>
          <t>DC B4</t>
        </is>
      </c>
      <c r="E71" s="148" t="inlineStr">
        <is>
          <t>US</t>
        </is>
      </c>
      <c r="F71" s="148" t="inlineStr">
        <is>
          <t>Bamboo</t>
        </is>
      </c>
      <c r="G71" s="148" t="inlineStr">
        <is>
          <t>Shilucheng</t>
        </is>
      </c>
      <c r="H71" s="148" t="inlineStr">
        <is>
          <t>Untiered</t>
        </is>
      </c>
      <c r="I71" s="148" t="inlineStr">
        <is>
          <t>Shilucheng 4 Piece Queen Sheet Sets, Cooling Sheets, Dark Grey</t>
        </is>
      </c>
      <c r="J71" s="148" t="inlineStr">
        <is>
          <t>https://images-na.ssl-images-amazon.com/images/I/81fpVjndH2L.jpg</t>
        </is>
      </c>
      <c r="K71" s="148" t="inlineStr">
        <is>
          <t>B0HJSVWNRS</t>
        </is>
      </c>
      <c r="L71" s="148" t="inlineStr">
        <is>
          <t>B0FWY1TGFK</t>
        </is>
      </c>
      <c r="M71" s="148" t="n">
        <v>49</v>
      </c>
      <c r="N71" s="148" t="n">
        <v>34.99</v>
      </c>
      <c r="O71" s="148" t="n"/>
      <c r="P71" s="148">
        <f>IF(AND(ISNUMBER(O71),ISNUMBER(N71),N(N71)&gt;0),O71/N71-1,"")</f>
        <v/>
      </c>
      <c r="Q71" s="148" t="n">
        <v>89.98999999999999</v>
      </c>
      <c r="R71" s="148">
        <f>IF(AND(ISNUMBER(N71),ISNUMBER(Q71),N(Q71)&gt;0),N71/Q71-1,"")</f>
        <v/>
      </c>
      <c r="S71" s="148" t="n">
        <v>5396</v>
      </c>
      <c r="T71" s="148" t="n">
        <v>173</v>
      </c>
      <c r="U71" s="148" t="n">
        <v>4.3</v>
      </c>
      <c r="V71" s="148" t="n">
        <v>24352</v>
      </c>
      <c r="W71" s="148" t="n">
        <v>135323</v>
      </c>
      <c r="X71" s="148" t="n">
        <v>0.7652350080917514</v>
      </c>
      <c r="Y71" s="148" t="n">
        <v>214</v>
      </c>
      <c r="Z71" s="148" t="n">
        <v>439</v>
      </c>
      <c r="AA71" s="148" t="n">
        <v>384</v>
      </c>
      <c r="AB71" s="148" t="n"/>
      <c r="AC71" s="148" t="inlineStr">
        <is>
          <t>US DC B4</t>
        </is>
      </c>
      <c r="AD71" s="148">
        <f>'US DC B4'!BF179</f>
        <v/>
      </c>
      <c r="AE71" s="148">
        <f>'US DC B4'!BI179</f>
        <v/>
      </c>
      <c r="AF71" s="148" t="inlineStr">
        <is>
          <t>Queen</t>
        </is>
      </c>
      <c r="AG71" s="148" t="inlineStr">
        <is>
          <t>Grey</t>
        </is>
      </c>
      <c r="AH71" s="148">
        <f>AND(E71="CA",OR('CA Dashboard'!$C$4="All",'CA Dashboard'!$C$4=D71),OR('CA Dashboard'!$C$5="All",'CA Dashboard'!$C$5=G71),OR('CA Dashboard'!$C$6="All",'CA Dashboard'!$C$6=H71),OR('CA Dashboard'!$C$7="All",'CA Dashboard'!$C$7=F71),OR('CA Dashboard'!$C$8="All",'CA Dashboard'!$C$8=AJ71))</f>
        <v/>
      </c>
      <c r="AI71" s="148">
        <f>IF(AH71,AI70+1,AI70)</f>
        <v/>
      </c>
      <c r="AJ71" s="148" t="inlineStr">
        <is>
          <t>Material not verified</t>
        </is>
      </c>
      <c r="AK71" s="148" t="inlineStr">
        <is>
          <t>Sheet set like ours, but the material is not stated (material not stated on the page or in the title); verify before treating as direct.</t>
        </is>
      </c>
    </row>
    <row r="72">
      <c r="A72" s="148">
        <f>AND(E72="US",OR('US Dashboard'!$C$4="All",'US Dashboard'!$C$4=D72),OR('US Dashboard'!$C$5="All",'US Dashboard'!$C$5=G72),OR('US Dashboard'!$C$6="All",'US Dashboard'!$C$6=H72),OR('US Dashboard'!$C$7="All",'US Dashboard'!$C$7=F72),OR('US Dashboard'!$C$8="All",'US Dashboard'!$C$8=AJ72))</f>
        <v/>
      </c>
      <c r="B72" s="148">
        <f>IF(A72,B71+1,B71)</f>
        <v/>
      </c>
      <c r="C72" s="148" t="n">
        <v>59</v>
      </c>
      <c r="D72" s="148" t="inlineStr">
        <is>
          <t>DC B4</t>
        </is>
      </c>
      <c r="E72" s="148" t="inlineStr">
        <is>
          <t>US</t>
        </is>
      </c>
      <c r="F72" s="148" t="inlineStr">
        <is>
          <t>Bamboo</t>
        </is>
      </c>
      <c r="G72" s="148" t="inlineStr">
        <is>
          <t>Shilucheng</t>
        </is>
      </c>
      <c r="H72" s="148" t="inlineStr">
        <is>
          <t>Untiered</t>
        </is>
      </c>
      <c r="I72" s="148" t="inlineStr">
        <is>
          <t>Shilucheng 4 Piece King Sheet Sets, Cooling Sheets, Dark Grey</t>
        </is>
      </c>
      <c r="J72" s="148" t="inlineStr">
        <is>
          <t>https://images-na.ssl-images-amazon.com/images/I/81fpVjndH2L.jpg</t>
        </is>
      </c>
      <c r="K72" s="148" t="inlineStr">
        <is>
          <t>B098JT1RF2</t>
        </is>
      </c>
      <c r="L72" s="148" t="inlineStr">
        <is>
          <t>B098JT1RF2</t>
        </is>
      </c>
      <c r="M72" s="148" t="n">
        <v>100</v>
      </c>
      <c r="N72" s="148" t="n">
        <v>37.9</v>
      </c>
      <c r="O72" s="148" t="n"/>
      <c r="P72" s="148">
        <f>IF(AND(ISNUMBER(O72),ISNUMBER(N72),N(N72)&gt;0),O72/N72-1,"")</f>
        <v/>
      </c>
      <c r="Q72" s="148" t="n">
        <v>94.98999999999999</v>
      </c>
      <c r="R72" s="148">
        <f>IF(AND(ISNUMBER(N72),ISNUMBER(Q72),N(Q72)&gt;0),N72/Q72-1,"")</f>
        <v/>
      </c>
      <c r="S72" s="148" t="n">
        <v>9187</v>
      </c>
      <c r="T72" s="148" t="n">
        <v>18</v>
      </c>
      <c r="U72" s="148" t="n">
        <v>4.3</v>
      </c>
      <c r="V72" s="148" t="n">
        <v>24333</v>
      </c>
      <c r="W72" s="148" t="n">
        <v>23320</v>
      </c>
      <c r="X72" s="148" t="n">
        <v>0.6141093996569467</v>
      </c>
      <c r="Y72" s="148" t="n">
        <v>255</v>
      </c>
      <c r="Z72" s="148" t="n">
        <v>264</v>
      </c>
      <c r="AA72" s="148" t="n">
        <v>186</v>
      </c>
      <c r="AB72" s="148" t="n"/>
      <c r="AC72" s="148" t="inlineStr">
        <is>
          <t>US DC B4</t>
        </is>
      </c>
      <c r="AD72" s="148">
        <f>'US DC B4'!BF180</f>
        <v/>
      </c>
      <c r="AE72" s="148">
        <f>'US DC B4'!BI180</f>
        <v/>
      </c>
      <c r="AF72" s="148" t="inlineStr">
        <is>
          <t>King</t>
        </is>
      </c>
      <c r="AG72" s="148" t="inlineStr">
        <is>
          <t>Grey</t>
        </is>
      </c>
      <c r="AH72" s="148">
        <f>AND(E72="CA",OR('CA Dashboard'!$C$4="All",'CA Dashboard'!$C$4=D72),OR('CA Dashboard'!$C$5="All",'CA Dashboard'!$C$5=G72),OR('CA Dashboard'!$C$6="All",'CA Dashboard'!$C$6=H72),OR('CA Dashboard'!$C$7="All",'CA Dashboard'!$C$7=F72),OR('CA Dashboard'!$C$8="All",'CA Dashboard'!$C$8=AJ72))</f>
        <v/>
      </c>
      <c r="AI72" s="148">
        <f>IF(AH72,AI71+1,AI71)</f>
        <v/>
      </c>
      <c r="AJ72" s="148" t="inlineStr">
        <is>
          <t>Material not verified</t>
        </is>
      </c>
      <c r="AK72" s="148" t="inlineStr">
        <is>
          <t>Sheet set like ours, but the material is not stated (material not stated on the page or in the title); verify before treating as direct.</t>
        </is>
      </c>
    </row>
    <row r="73">
      <c r="A73" s="148">
        <f>AND(E73="US",OR('US Dashboard'!$C$4="All",'US Dashboard'!$C$4=D73),OR('US Dashboard'!$C$5="All",'US Dashboard'!$C$5=G73),OR('US Dashboard'!$C$6="All",'US Dashboard'!$C$6=H73),OR('US Dashboard'!$C$7="All",'US Dashboard'!$C$7=F73),OR('US Dashboard'!$C$8="All",'US Dashboard'!$C$8=AJ73))</f>
        <v/>
      </c>
      <c r="B73" s="148">
        <f>IF(A73,B72+1,B72)</f>
        <v/>
      </c>
      <c r="C73" s="148" t="n">
        <v>59</v>
      </c>
      <c r="D73" s="148" t="inlineStr">
        <is>
          <t>DC B4</t>
        </is>
      </c>
      <c r="E73" s="148" t="inlineStr">
        <is>
          <t>US</t>
        </is>
      </c>
      <c r="F73" s="148" t="inlineStr">
        <is>
          <t>Bamboo</t>
        </is>
      </c>
      <c r="G73" s="148" t="inlineStr">
        <is>
          <t>Pillcase</t>
        </is>
      </c>
      <c r="H73" s="148" t="inlineStr">
        <is>
          <t>Beatable</t>
        </is>
      </c>
      <c r="I73" s="148" t="inlineStr">
        <is>
          <t>100% Real Bamboo Viscose &amp; Lyocell Tencel Sheets Set Queen Size | Breathable &amp; C</t>
        </is>
      </c>
      <c r="J73" s="148" t="inlineStr">
        <is>
          <t>https://m.media-amazon.com/images/I/71vDRpdS5DL._AC_SL1500_.jpg</t>
        </is>
      </c>
      <c r="K73" s="148" t="inlineStr">
        <is>
          <t>B0H1GGHHVN</t>
        </is>
      </c>
      <c r="L73" s="148" t="inlineStr">
        <is>
          <t>B0HFZQRXXQ</t>
        </is>
      </c>
      <c r="M73" s="148" t="n">
        <v>20</v>
      </c>
      <c r="N73" s="148" t="n">
        <v>79</v>
      </c>
      <c r="O73" s="148" t="n">
        <v>109</v>
      </c>
      <c r="P73" s="148">
        <f>IF(AND(ISNUMBER(O73),ISNUMBER(N73),N(N73)&gt;0),O73/N73-1,"")</f>
        <v/>
      </c>
      <c r="Q73" s="148" t="n">
        <v>89.98999999999999</v>
      </c>
      <c r="R73" s="148">
        <f>IF(AND(ISNUMBER(N73),ISNUMBER(Q73),N(Q73)&gt;0),N73/Q73-1,"")</f>
        <v/>
      </c>
      <c r="S73" s="148" t="n">
        <v>28003</v>
      </c>
      <c r="T73" s="148" t="n">
        <v>35</v>
      </c>
      <c r="U73" s="148" t="n">
        <v>4.8</v>
      </c>
      <c r="V73" s="148" t="n">
        <v>279</v>
      </c>
      <c r="W73" s="148" t="n">
        <v>216953</v>
      </c>
      <c r="X73" s="148" t="n">
        <v>0.9703615419007803</v>
      </c>
      <c r="Y73" s="148" t="n">
        <v>181</v>
      </c>
      <c r="Z73" s="148" t="n">
        <v>516</v>
      </c>
      <c r="AA73" s="148" t="n">
        <v>11</v>
      </c>
      <c r="AB73" s="148" t="n"/>
      <c r="AC73" s="148" t="inlineStr">
        <is>
          <t>US DC B4</t>
        </is>
      </c>
      <c r="AD73" s="148">
        <f>'US DC B4'!BF181</f>
        <v/>
      </c>
      <c r="AE73" s="148">
        <f>'US DC B4'!BI181</f>
        <v/>
      </c>
      <c r="AF73" s="148" t="inlineStr">
        <is>
          <t>Queen</t>
        </is>
      </c>
      <c r="AG73" s="148" t="inlineStr">
        <is>
          <t>French Blue</t>
        </is>
      </c>
      <c r="AH73" s="148">
        <f>AND(E73="CA",OR('CA Dashboard'!$C$4="All",'CA Dashboard'!$C$4=D73),OR('CA Dashboard'!$C$5="All",'CA Dashboard'!$C$5=G73),OR('CA Dashboard'!$C$6="All",'CA Dashboard'!$C$6=H73),OR('CA Dashboard'!$C$7="All",'CA Dashboard'!$C$7=F73),OR('CA Dashboard'!$C$8="All",'CA Dashboard'!$C$8=AJ73))</f>
        <v/>
      </c>
      <c r="AI73" s="148">
        <f>IF(AH73,AI72+1,AI72)</f>
        <v/>
      </c>
      <c r="AJ73" s="148" t="inlineStr">
        <is>
          <t>Alternative material</t>
        </is>
      </c>
      <c r="AK73" s="148" t="inlineStr">
        <is>
          <t>Sheet set in Microfiber / polyester (product page material: Microfiber); ours is Bamboo viscose (our listing: viscose from bamboo). Shopper may cross-shop, but not like-for-like.</t>
        </is>
      </c>
    </row>
    <row r="74">
      <c r="A74" s="148">
        <f>AND(E74="US",OR('US Dashboard'!$C$4="All",'US Dashboard'!$C$4=D74),OR('US Dashboard'!$C$5="All",'US Dashboard'!$C$5=G74),OR('US Dashboard'!$C$6="All",'US Dashboard'!$C$6=H74),OR('US Dashboard'!$C$7="All",'US Dashboard'!$C$7=F74),OR('US Dashboard'!$C$8="All",'US Dashboard'!$C$8=AJ74))</f>
        <v/>
      </c>
      <c r="B74" s="148">
        <f>IF(A74,B73+1,B73)</f>
        <v/>
      </c>
      <c r="C74" s="148" t="n">
        <v>59</v>
      </c>
      <c r="D74" s="148" t="inlineStr">
        <is>
          <t>DC B4</t>
        </is>
      </c>
      <c r="E74" s="148" t="inlineStr">
        <is>
          <t>US</t>
        </is>
      </c>
      <c r="F74" s="148" t="inlineStr">
        <is>
          <t>Bamboo</t>
        </is>
      </c>
      <c r="G74" s="148" t="inlineStr">
        <is>
          <t>Pillcase</t>
        </is>
      </c>
      <c r="H74" s="148" t="inlineStr">
        <is>
          <t>Beatable</t>
        </is>
      </c>
      <c r="I74" s="148" t="inlineStr">
        <is>
          <t>100% Real Bamboo Viscose &amp; Lyocell Tencel Sheets Set Queen Size | Breathable &amp; C</t>
        </is>
      </c>
      <c r="J74" s="148" t="inlineStr">
        <is>
          <t>https://m.media-amazon.com/images/I/71F9T6wfwRL._AC_SL1500_.jpg</t>
        </is>
      </c>
      <c r="K74" s="148" t="inlineStr">
        <is>
          <t>B0HK71WHZW</t>
        </is>
      </c>
      <c r="L74" s="148" t="inlineStr">
        <is>
          <t>B0H1BWY4MD</t>
        </is>
      </c>
      <c r="M74" s="148" t="n">
        <v>22</v>
      </c>
      <c r="N74" s="148" t="n">
        <v>79</v>
      </c>
      <c r="O74" s="148" t="n"/>
      <c r="P74" s="148">
        <f>IF(AND(ISNUMBER(O74),ISNUMBER(N74),N(N74)&gt;0),O74/N74-1,"")</f>
        <v/>
      </c>
      <c r="Q74" s="148" t="n">
        <v>89.98999999999999</v>
      </c>
      <c r="R74" s="148">
        <f>IF(AND(ISNUMBER(N74),ISNUMBER(Q74),N(Q74)&gt;0),N74/Q74-1,"")</f>
        <v/>
      </c>
      <c r="S74" s="148" t="n">
        <v>38116</v>
      </c>
      <c r="T74" s="148" t="n">
        <v>18</v>
      </c>
      <c r="U74" s="148" t="n">
        <v>4.9</v>
      </c>
      <c r="V74" s="148" t="n">
        <v>201</v>
      </c>
      <c r="W74" s="148" t="n">
        <v>116001</v>
      </c>
      <c r="X74" s="148" t="n">
        <v>0.8987684407893036</v>
      </c>
      <c r="Y74" s="148" t="n">
        <v>241</v>
      </c>
      <c r="Z74" s="148" t="n">
        <v>361</v>
      </c>
      <c r="AA74" s="148" t="n">
        <v>48</v>
      </c>
      <c r="AB74" s="148" t="n"/>
      <c r="AC74" s="148" t="inlineStr">
        <is>
          <t>US DC B4</t>
        </is>
      </c>
      <c r="AD74" s="148">
        <f>'US DC B4'!BF182</f>
        <v/>
      </c>
      <c r="AE74" s="148">
        <f>'US DC B4'!BI182</f>
        <v/>
      </c>
      <c r="AF74" s="148" t="inlineStr">
        <is>
          <t>Queen</t>
        </is>
      </c>
      <c r="AG74" s="148" t="inlineStr">
        <is>
          <t>Charcoal</t>
        </is>
      </c>
      <c r="AH74" s="148">
        <f>AND(E74="CA",OR('CA Dashboard'!$C$4="All",'CA Dashboard'!$C$4=D74),OR('CA Dashboard'!$C$5="All",'CA Dashboard'!$C$5=G74),OR('CA Dashboard'!$C$6="All",'CA Dashboard'!$C$6=H74),OR('CA Dashboard'!$C$7="All",'CA Dashboard'!$C$7=F74),OR('CA Dashboard'!$C$8="All",'CA Dashboard'!$C$8=AJ74))</f>
        <v/>
      </c>
      <c r="AI74" s="148">
        <f>IF(AH74,AI73+1,AI73)</f>
        <v/>
      </c>
      <c r="AJ74" s="148" t="inlineStr">
        <is>
          <t>Alternative material</t>
        </is>
      </c>
      <c r="AK74" s="148" t="inlineStr">
        <is>
          <t>Sheet set in Microfiber / polyester (product page material: Microfiber); ours is Bamboo viscose (our listing: viscose from bamboo). Shopper may cross-shop, but not like-for-like.</t>
        </is>
      </c>
    </row>
    <row r="75">
      <c r="A75" s="148">
        <f>AND(E75="US",OR('US Dashboard'!$C$4="All",'US Dashboard'!$C$4=D75),OR('US Dashboard'!$C$5="All",'US Dashboard'!$C$5=G75),OR('US Dashboard'!$C$6="All",'US Dashboard'!$C$6=H75),OR('US Dashboard'!$C$7="All",'US Dashboard'!$C$7=F75),OR('US Dashboard'!$C$8="All",'US Dashboard'!$C$8=AJ75))</f>
        <v/>
      </c>
      <c r="B75" s="148">
        <f>IF(A75,B74+1,B74)</f>
        <v/>
      </c>
      <c r="C75" s="148" t="n">
        <v>59</v>
      </c>
      <c r="D75" s="148" t="inlineStr">
        <is>
          <t>DC B4</t>
        </is>
      </c>
      <c r="E75" s="148" t="inlineStr">
        <is>
          <t>US</t>
        </is>
      </c>
      <c r="F75" s="148" t="inlineStr">
        <is>
          <t>Bamboo</t>
        </is>
      </c>
      <c r="G75" s="148" t="inlineStr">
        <is>
          <t>Pillcase</t>
        </is>
      </c>
      <c r="H75" s="148" t="inlineStr">
        <is>
          <t>Beatable</t>
        </is>
      </c>
      <c r="I75" s="148" t="inlineStr">
        <is>
          <t>Cooling Hotel Bedding Sheet Set - 4pcs Bamboo Viscose &amp; Tencel Blend, Moisture-W</t>
        </is>
      </c>
      <c r="J75" s="148" t="inlineStr">
        <is>
          <t>https://m.media-amazon.com/images/I/61mi8zwd8GL._AC_SL1500_.jpg</t>
        </is>
      </c>
      <c r="K75" s="148" t="inlineStr">
        <is>
          <t>B0HJYG8V9Q</t>
        </is>
      </c>
      <c r="L75" s="148" t="inlineStr">
        <is>
          <t>B0HJYG8V9Q</t>
        </is>
      </c>
      <c r="M75" s="148" t="n">
        <v>1</v>
      </c>
      <c r="N75" s="148" t="n">
        <v>79.98999999999999</v>
      </c>
      <c r="O75" s="148" t="n"/>
      <c r="P75" s="148">
        <f>IF(AND(ISNUMBER(O75),ISNUMBER(N75),N(N75)&gt;0),O75/N75-1,"")</f>
        <v/>
      </c>
      <c r="Q75" s="148" t="n">
        <v>94.98999999999999</v>
      </c>
      <c r="R75" s="148">
        <f>IF(AND(ISNUMBER(N75),ISNUMBER(Q75),N(Q75)&gt;0),N75/Q75-1,"")</f>
        <v/>
      </c>
      <c r="S75" s="148" t="n">
        <v>762451</v>
      </c>
      <c r="T75" s="148" t="n">
        <v>5</v>
      </c>
      <c r="U75" s="148" t="n">
        <v>4</v>
      </c>
      <c r="V75" s="148" t="n"/>
      <c r="W75" s="148" t="n">
        <v>57075</v>
      </c>
      <c r="X75" s="148" t="n">
        <v>0.9991762628120894</v>
      </c>
      <c r="Y75" s="148" t="n">
        <v>61</v>
      </c>
      <c r="Z75" s="148" t="n">
        <v>27</v>
      </c>
      <c r="AA75" s="148" t="n">
        <v>0</v>
      </c>
      <c r="AB75" s="148" t="n"/>
      <c r="AC75" s="148" t="inlineStr">
        <is>
          <t>US DC B4</t>
        </is>
      </c>
      <c r="AD75" s="148">
        <f>'US DC B4'!BF183</f>
        <v/>
      </c>
      <c r="AE75" s="148">
        <f>'US DC B4'!BI183</f>
        <v/>
      </c>
      <c r="AF75" s="148" t="inlineStr">
        <is>
          <t>King</t>
        </is>
      </c>
      <c r="AG75" s="148" t="inlineStr">
        <is>
          <t>Pearl White</t>
        </is>
      </c>
      <c r="AH75" s="148">
        <f>AND(E75="CA",OR('CA Dashboard'!$C$4="All",'CA Dashboard'!$C$4=D75),OR('CA Dashboard'!$C$5="All",'CA Dashboard'!$C$5=G75),OR('CA Dashboard'!$C$6="All",'CA Dashboard'!$C$6=H75),OR('CA Dashboard'!$C$7="All",'CA Dashboard'!$C$7=F75),OR('CA Dashboard'!$C$8="All",'CA Dashboard'!$C$8=AJ75))</f>
        <v/>
      </c>
      <c r="AI75" s="148">
        <f>IF(AH75,AI74+1,AI74)</f>
        <v/>
      </c>
      <c r="AJ75" s="148" t="inlineStr">
        <is>
          <t>Alternative material</t>
        </is>
      </c>
      <c r="AK75" s="148" t="inlineStr">
        <is>
          <t>Sheet set in Microfiber / polyester (product page material: Microfiber); ours is Bamboo viscose (our listing: viscose from bamboo). Shopper may cross-shop, but not like-for-like.</t>
        </is>
      </c>
    </row>
    <row r="76">
      <c r="A76" s="148">
        <f>AND(E76="US",OR('US Dashboard'!$C$4="All",'US Dashboard'!$C$4=D76),OR('US Dashboard'!$C$5="All",'US Dashboard'!$C$5=G76),OR('US Dashboard'!$C$6="All",'US Dashboard'!$C$6=H76),OR('US Dashboard'!$C$7="All",'US Dashboard'!$C$7=F76),OR('US Dashboard'!$C$8="All",'US Dashboard'!$C$8=AJ76))</f>
        <v/>
      </c>
      <c r="B76" s="148">
        <f>IF(A76,B75+1,B75)</f>
        <v/>
      </c>
      <c r="C76" s="148" t="n">
        <v>59</v>
      </c>
      <c r="D76" s="148" t="inlineStr">
        <is>
          <t>DC B4</t>
        </is>
      </c>
      <c r="E76" s="148" t="inlineStr">
        <is>
          <t>US</t>
        </is>
      </c>
      <c r="F76" s="148" t="inlineStr">
        <is>
          <t>Bamboo</t>
        </is>
      </c>
      <c r="G76" s="148" t="inlineStr">
        <is>
          <t>Pillcase</t>
        </is>
      </c>
      <c r="H76" s="148" t="inlineStr">
        <is>
          <t>Beatable</t>
        </is>
      </c>
      <c r="I76" s="148" t="inlineStr">
        <is>
          <t>Pillcase Luxury Organic Tencel &amp; Viscose from Bamboo Cooling Sheet Set,Silky Soft Lyocell Sheets with Deep Pocket, Hypoallergenic &amp; Breathable Bedding with Pillowcases (White, King)</t>
        </is>
      </c>
      <c r="J76" s="148" t="inlineStr">
        <is>
          <t>https://images-na.ssl-images-amazon.com/images/I/619BLF7gvdL.jpg</t>
        </is>
      </c>
      <c r="K76" s="148" t="n"/>
      <c r="L76" s="148" t="inlineStr">
        <is>
          <t>B0GZ243WW5</t>
        </is>
      </c>
      <c r="M76" s="148" t="n">
        <v>1</v>
      </c>
      <c r="N76" s="148" t="n">
        <v>99</v>
      </c>
      <c r="O76" s="148" t="n"/>
      <c r="P76" s="148">
        <f>IF(AND(ISNUMBER(O76),ISNUMBER(N76),N(N76)&gt;0),O76/N76-1,"")</f>
        <v/>
      </c>
      <c r="Q76" s="148" t="n">
        <v>94.98999999999999</v>
      </c>
      <c r="R76" s="148">
        <f>IF(AND(ISNUMBER(N76),ISNUMBER(Q76),N(Q76)&gt;0),N76/Q76-1,"")</f>
        <v/>
      </c>
      <c r="S76" s="148" t="n">
        <v>3440303</v>
      </c>
      <c r="T76" s="148" t="n"/>
      <c r="U76" s="148" t="n">
        <v>4.9</v>
      </c>
      <c r="V76" s="148" t="n">
        <v>201</v>
      </c>
      <c r="W76" s="148" t="n"/>
      <c r="X76" s="148" t="n"/>
      <c r="Y76" s="148" t="n"/>
      <c r="Z76" s="148" t="n"/>
      <c r="AA76" s="148" t="n"/>
      <c r="AB76" s="148" t="n"/>
      <c r="AC76" s="148" t="inlineStr">
        <is>
          <t>US DC B4</t>
        </is>
      </c>
      <c r="AD76" s="148">
        <f>'US DC B4'!BF184</f>
        <v/>
      </c>
      <c r="AE76" s="148">
        <f>'US DC B4'!BI184</f>
        <v/>
      </c>
      <c r="AF76" s="148" t="inlineStr">
        <is>
          <t>King</t>
        </is>
      </c>
      <c r="AG76" s="148" t="inlineStr">
        <is>
          <t>White</t>
        </is>
      </c>
      <c r="AH76" s="148">
        <f>AND(E76="CA",OR('CA Dashboard'!$C$4="All",'CA Dashboard'!$C$4=D76),OR('CA Dashboard'!$C$5="All",'CA Dashboard'!$C$5=G76),OR('CA Dashboard'!$C$6="All",'CA Dashboard'!$C$6=H76),OR('CA Dashboard'!$C$7="All",'CA Dashboard'!$C$7=F76),OR('CA Dashboard'!$C$8="All",'CA Dashboard'!$C$8=AJ76))</f>
        <v/>
      </c>
      <c r="AI76" s="148">
        <f>IF(AH76,AI75+1,AI75)</f>
        <v/>
      </c>
      <c r="AJ76" s="148" t="inlineStr">
        <is>
          <t>Alternative material</t>
        </is>
      </c>
      <c r="AK76" s="148" t="inlineStr">
        <is>
          <t>Sheet set in Lyocell / eucalyptus (title: Pillcase Luxury Organic Tencel &amp; Viscose from Bamboo Cooling); ours is Bamboo viscose (our listing: viscose from bamboo). Shopper may cross-shop, but not like-for-like.</t>
        </is>
      </c>
    </row>
    <row r="77">
      <c r="A77" s="148">
        <f>AND(E77="US",OR('US Dashboard'!$C$4="All",'US Dashboard'!$C$4=D77),OR('US Dashboard'!$C$5="All",'US Dashboard'!$C$5=G77),OR('US Dashboard'!$C$6="All",'US Dashboard'!$C$6=H77),OR('US Dashboard'!$C$7="All",'US Dashboard'!$C$7=F77),OR('US Dashboard'!$C$8="All",'US Dashboard'!$C$8=AJ77))</f>
        <v/>
      </c>
      <c r="B77" s="148">
        <f>IF(A77,B76+1,B76)</f>
        <v/>
      </c>
      <c r="C77" s="148" t="n">
        <v>59</v>
      </c>
      <c r="D77" s="148" t="inlineStr">
        <is>
          <t>DC B4</t>
        </is>
      </c>
      <c r="E77" s="148" t="inlineStr">
        <is>
          <t>US</t>
        </is>
      </c>
      <c r="F77" s="148" t="inlineStr">
        <is>
          <t>Bamboo</t>
        </is>
      </c>
      <c r="G77" s="148" t="inlineStr">
        <is>
          <t>Amazon Basics</t>
        </is>
      </c>
      <c r="H77" s="148" t="inlineStr">
        <is>
          <t>Untiered</t>
        </is>
      </c>
      <c r="I77" s="148" t="inlineStr">
        <is>
          <t>Amazon Basics Bamboo Viscose Sheet Set, 4-Piece, Queen, White</t>
        </is>
      </c>
      <c r="J77" s="148" t="inlineStr">
        <is>
          <t>https://m.media-amazon.com/images/I/71GPOg6dRqL._AC_SL1500_.jpg</t>
        </is>
      </c>
      <c r="K77" s="148" t="inlineStr">
        <is>
          <t>B0GFHP5V9H</t>
        </is>
      </c>
      <c r="L77" s="148" t="inlineStr">
        <is>
          <t>B0GFHGS4DP</t>
        </is>
      </c>
      <c r="M77" s="148" t="n"/>
      <c r="N77" s="148" t="n">
        <v>29.99</v>
      </c>
      <c r="O77" s="148" t="n"/>
      <c r="P77" s="148">
        <f>IF(AND(ISNUMBER(O77),ISNUMBER(N77),N(N77)&gt;0),O77/N77-1,"")</f>
        <v/>
      </c>
      <c r="Q77" s="148" t="n">
        <v>89.98999999999999</v>
      </c>
      <c r="R77" s="148">
        <f>IF(AND(ISNUMBER(N77),ISNUMBER(Q77),N(Q77)&gt;0),N77/Q77-1,"")</f>
        <v/>
      </c>
      <c r="S77" s="148" t="n">
        <v>21965</v>
      </c>
      <c r="T77" s="148" t="n">
        <v>173</v>
      </c>
      <c r="U77" s="148" t="n">
        <v>4</v>
      </c>
      <c r="V77" s="148" t="n">
        <v>36</v>
      </c>
      <c r="W77" s="148" t="n"/>
      <c r="X77" s="148" t="n"/>
      <c r="Y77" s="148" t="n"/>
      <c r="Z77" s="148" t="n"/>
      <c r="AA77" s="148" t="n"/>
      <c r="AB77" s="148" t="n"/>
      <c r="AC77" s="148" t="inlineStr">
        <is>
          <t>US DC B4</t>
        </is>
      </c>
      <c r="AD77" s="148">
        <f>'US DC B4'!BF185</f>
        <v/>
      </c>
      <c r="AE77" s="148">
        <f>'US DC B4'!BI185</f>
        <v/>
      </c>
      <c r="AF77" s="148" t="inlineStr">
        <is>
          <t>Queen</t>
        </is>
      </c>
      <c r="AG77" s="148" t="inlineStr">
        <is>
          <t>White</t>
        </is>
      </c>
      <c r="AH77" s="148">
        <f>AND(E77="CA",OR('CA Dashboard'!$C$4="All",'CA Dashboard'!$C$4=D77),OR('CA Dashboard'!$C$5="All",'CA Dashboard'!$C$5=G77),OR('CA Dashboard'!$C$6="All",'CA Dashboard'!$C$6=H77),OR('CA Dashboard'!$C$7="All",'CA Dashboard'!$C$7=F77),OR('CA Dashboard'!$C$8="All",'CA Dashboard'!$C$8=AJ77))</f>
        <v/>
      </c>
      <c r="AI77" s="148">
        <f>IF(AH77,AI76+1,AI76)</f>
        <v/>
      </c>
      <c r="AJ77" s="148" t="inlineStr">
        <is>
          <t>Alternative material</t>
        </is>
      </c>
      <c r="AK77" s="148" t="inlineStr">
        <is>
          <t>Sheet set in Microfiber / polyester (product page material: Polyester Blend); ours is Bamboo viscose (our listing: viscose from bamboo). Shopper may cross-shop, but not like-for-like.</t>
        </is>
      </c>
    </row>
    <row r="78">
      <c r="A78" s="148">
        <f>AND(E78="US",OR('US Dashboard'!$C$4="All",'US Dashboard'!$C$4=D78),OR('US Dashboard'!$C$5="All",'US Dashboard'!$C$5=G78),OR('US Dashboard'!$C$6="All",'US Dashboard'!$C$6=H78),OR('US Dashboard'!$C$7="All",'US Dashboard'!$C$7=F78),OR('US Dashboard'!$C$8="All",'US Dashboard'!$C$8=AJ78))</f>
        <v/>
      </c>
      <c r="B78" s="148">
        <f>IF(A78,B77+1,B77)</f>
        <v/>
      </c>
      <c r="C78" s="148" t="n">
        <v>30</v>
      </c>
      <c r="D78" s="148" t="inlineStr">
        <is>
          <t>DC B6</t>
        </is>
      </c>
      <c r="E78" s="148" t="inlineStr">
        <is>
          <t>US</t>
        </is>
      </c>
      <c r="F78" s="148" t="inlineStr">
        <is>
          <t>Bamboo</t>
        </is>
      </c>
      <c r="G78" s="148" t="inlineStr">
        <is>
          <t>Bedsure</t>
        </is>
      </c>
      <c r="H78" s="148" t="inlineStr">
        <is>
          <t>Aspirational</t>
        </is>
      </c>
      <c r="I78" s="148" t="inlineStr">
        <is>
          <t>Bedsure PureWoven 100% Rayon Derived from Bamboo, Queen Sheets, 4 Pieces</t>
        </is>
      </c>
      <c r="J78" s="148" t="inlineStr">
        <is>
          <t>https://images-na.ssl-images-amazon.com/images/I/81L2xb5ly6L.jpg</t>
        </is>
      </c>
      <c r="K78" s="148" t="inlineStr">
        <is>
          <t>B0BZ8T5BJ6</t>
        </is>
      </c>
      <c r="L78" s="148" t="inlineStr">
        <is>
          <t>B07YK8VTJV</t>
        </is>
      </c>
      <c r="M78" s="148" t="n">
        <v>131</v>
      </c>
      <c r="N78" s="148" t="n">
        <v>62.99</v>
      </c>
      <c r="O78" s="148" t="n">
        <v>69.98999999999999</v>
      </c>
      <c r="P78" s="148">
        <f>IF(AND(ISNUMBER(O78),ISNUMBER(N78),N(N78)&gt;0),O78/N78-1,"")</f>
        <v/>
      </c>
      <c r="Q78" s="148" t="n">
        <v>94.98999999999999</v>
      </c>
      <c r="R78" s="148">
        <f>IF(AND(ISNUMBER(N78),ISNUMBER(Q78),N(Q78)&gt;0),N78/Q78-1,"")</f>
        <v/>
      </c>
      <c r="S78" s="148" t="n">
        <v>256</v>
      </c>
      <c r="T78" s="148" t="n">
        <v>809</v>
      </c>
      <c r="U78" s="148" t="n">
        <v>4.4</v>
      </c>
      <c r="V78" s="148" t="n">
        <v>65061</v>
      </c>
      <c r="W78" s="148" t="n">
        <v>2166046</v>
      </c>
      <c r="X78" s="148" t="n">
        <v>0.5902383405984899</v>
      </c>
      <c r="Y78" s="148" t="n">
        <v>174</v>
      </c>
      <c r="Z78" s="148" t="n">
        <v>1559</v>
      </c>
      <c r="AA78" s="148" t="n">
        <v>2778</v>
      </c>
      <c r="AB78" s="148" t="n">
        <v>1.066623404715553</v>
      </c>
      <c r="AC78" s="148" t="inlineStr">
        <is>
          <t>US DC B6</t>
        </is>
      </c>
      <c r="AD78" s="148">
        <f>'US DC B6'!BF130</f>
        <v/>
      </c>
      <c r="AE78" s="148">
        <f>'US DC B6'!BI130</f>
        <v/>
      </c>
      <c r="AF78" s="148" t="inlineStr">
        <is>
          <t>Queen</t>
        </is>
      </c>
      <c r="AG78" s="148" t="inlineStr">
        <is>
          <t>02 - White</t>
        </is>
      </c>
      <c r="AH78" s="148">
        <f>AND(E78="CA",OR('CA Dashboard'!$C$4="All",'CA Dashboard'!$C$4=D78),OR('CA Dashboard'!$C$5="All",'CA Dashboard'!$C$5=G78),OR('CA Dashboard'!$C$6="All",'CA Dashboard'!$C$6=H78),OR('CA Dashboard'!$C$7="All",'CA Dashboard'!$C$7=F78),OR('CA Dashboard'!$C$8="All",'CA Dashboard'!$C$8=AJ78))</f>
        <v/>
      </c>
      <c r="AI78" s="148">
        <f>IF(AH78,AI77+1,AI77)</f>
        <v/>
      </c>
      <c r="AJ78" s="148" t="inlineStr">
        <is>
          <t>Direct</t>
        </is>
      </c>
      <c r="AK78" s="148" t="inlineStr">
        <is>
          <t>Same product (sheet set) in the same material family: Bamboo viscose (product page material: Rayon Derived from Bamboo); ours: our listing: viscose from bamboo.</t>
        </is>
      </c>
    </row>
    <row r="79">
      <c r="A79" s="148">
        <f>AND(E79="US",OR('US Dashboard'!$C$4="All",'US Dashboard'!$C$4=D79),OR('US Dashboard'!$C$5="All",'US Dashboard'!$C$5=G79),OR('US Dashboard'!$C$6="All",'US Dashboard'!$C$6=H79),OR('US Dashboard'!$C$7="All",'US Dashboard'!$C$7=F79),OR('US Dashboard'!$C$8="All",'US Dashboard'!$C$8=AJ79))</f>
        <v/>
      </c>
      <c r="B79" s="148">
        <f>IF(A79,B78+1,B78)</f>
        <v/>
      </c>
      <c r="C79" s="148" t="n">
        <v>30</v>
      </c>
      <c r="D79" s="148" t="inlineStr">
        <is>
          <t>DC B6</t>
        </is>
      </c>
      <c r="E79" s="148" t="inlineStr">
        <is>
          <t>US</t>
        </is>
      </c>
      <c r="F79" s="148" t="inlineStr">
        <is>
          <t>Bamboo</t>
        </is>
      </c>
      <c r="G79" s="148" t="inlineStr">
        <is>
          <t>Pure Bamboo</t>
        </is>
      </c>
      <c r="H79" s="148" t="inlineStr">
        <is>
          <t>Aspirational</t>
        </is>
      </c>
      <c r="I79" s="148" t="inlineStr">
        <is>
          <t>Pure Bamboo King Sheets, Genuine 100% Organic Viscose Derived from Bamboo Bed Sheet Set, Luxuriously Soft &amp; Cooling, Double Stitching, 2 Year Quality Promise (King, Ivory)</t>
        </is>
      </c>
      <c r="J79" s="148" t="inlineStr">
        <is>
          <t>https://images-na.ssl-images-amazon.com/images/I/91dfner9BkL.jpg</t>
        </is>
      </c>
      <c r="K79" s="148" t="inlineStr">
        <is>
          <t>B0CZQ52MTQ</t>
        </is>
      </c>
      <c r="L79" s="148" t="inlineStr">
        <is>
          <t>B07DZTQ4JC</t>
        </is>
      </c>
      <c r="M79" s="148" t="n">
        <v>181</v>
      </c>
      <c r="N79" s="148" t="n">
        <v>109.99</v>
      </c>
      <c r="O79" s="148" t="n"/>
      <c r="P79" s="148">
        <f>IF(AND(ISNUMBER(O79),ISNUMBER(N79),N(N79)&gt;0),O79/N79-1,"")</f>
        <v/>
      </c>
      <c r="Q79" s="148" t="n">
        <v>99.98999999999999</v>
      </c>
      <c r="R79" s="148">
        <f>IF(AND(ISNUMBER(N79),ISNUMBER(Q79),N(Q79)&gt;0),N79/Q79-1,"")</f>
        <v/>
      </c>
      <c r="S79" s="148" t="n">
        <v>304</v>
      </c>
      <c r="T79" s="148" t="n">
        <v>809</v>
      </c>
      <c r="U79" s="148" t="n">
        <v>4.5</v>
      </c>
      <c r="V79" s="148" t="n">
        <v>21927</v>
      </c>
      <c r="W79" s="148" t="n">
        <v>2565055</v>
      </c>
      <c r="X79" s="148" t="n">
        <v>0.4648594811807159</v>
      </c>
      <c r="Y79" s="148" t="n">
        <v>155</v>
      </c>
      <c r="Z79" s="148" t="n">
        <v>1506</v>
      </c>
      <c r="AA79" s="148" t="n">
        <v>3237</v>
      </c>
      <c r="AB79" s="148" t="n">
        <v>1.180104147961932</v>
      </c>
      <c r="AC79" s="148" t="inlineStr">
        <is>
          <t>US DC B6</t>
        </is>
      </c>
      <c r="AD79" s="148">
        <f>'US DC B6'!BF131</f>
        <v/>
      </c>
      <c r="AE79" s="148">
        <f>'US DC B6'!BI131</f>
        <v/>
      </c>
      <c r="AF79" s="148" t="inlineStr">
        <is>
          <t>King</t>
        </is>
      </c>
      <c r="AG79" s="148" t="inlineStr">
        <is>
          <t>Ivory</t>
        </is>
      </c>
      <c r="AH79" s="148">
        <f>AND(E79="CA",OR('CA Dashboard'!$C$4="All",'CA Dashboard'!$C$4=D79),OR('CA Dashboard'!$C$5="All",'CA Dashboard'!$C$5=G79),OR('CA Dashboard'!$C$6="All",'CA Dashboard'!$C$6=H79),OR('CA Dashboard'!$C$7="All",'CA Dashboard'!$C$7=F79),OR('CA Dashboard'!$C$8="All",'CA Dashboard'!$C$8=AJ79))</f>
        <v/>
      </c>
      <c r="AI79" s="148">
        <f>IF(AH79,AI78+1,AI78)</f>
        <v/>
      </c>
      <c r="AJ79" s="148" t="inlineStr">
        <is>
          <t>Direct</t>
        </is>
      </c>
      <c r="AK79" s="148" t="inlineStr">
        <is>
          <t>Same product (sheet set) in the same material family: Bamboo viscose (title: Pure Bamboo King Sheets, Genuine 100% Organic Viscose Derive); ours: our listing: viscose from bamboo.</t>
        </is>
      </c>
    </row>
    <row r="80">
      <c r="A80" s="148">
        <f>AND(E80="US",OR('US Dashboard'!$C$4="All",'US Dashboard'!$C$4=D80),OR('US Dashboard'!$C$5="All",'US Dashboard'!$C$5=G80),OR('US Dashboard'!$C$6="All",'US Dashboard'!$C$6=H80),OR('US Dashboard'!$C$7="All",'US Dashboard'!$C$7=F80),OR('US Dashboard'!$C$8="All",'US Dashboard'!$C$8=AJ80))</f>
        <v/>
      </c>
      <c r="B80" s="148">
        <f>IF(A80,B79+1,B79)</f>
        <v/>
      </c>
      <c r="C80" s="148" t="n">
        <v>30</v>
      </c>
      <c r="D80" s="148" t="inlineStr">
        <is>
          <t>DC B6</t>
        </is>
      </c>
      <c r="E80" s="148" t="inlineStr">
        <is>
          <t>US</t>
        </is>
      </c>
      <c r="F80" s="148" t="inlineStr">
        <is>
          <t>Bamboo</t>
        </is>
      </c>
      <c r="G80" s="148" t="inlineStr">
        <is>
          <t>Hotel Sheets Direct</t>
        </is>
      </c>
      <c r="H80" s="148" t="inlineStr">
        <is>
          <t>Aspirational</t>
        </is>
      </c>
      <c r="I80" s="148" t="inlineStr">
        <is>
          <t>Hotel Sheets Direct 4 Piece Bed Sheet Set Queen Size, 100% Viscose Derived from Bamboo Sheets Set with 2 Pillowcases, Cooling &amp; Breathable Luxury Bedding, Moisture-Wicking &amp; Silky Soft Texture, White</t>
        </is>
      </c>
      <c r="J80" s="148" t="inlineStr">
        <is>
          <t>https://images-na.ssl-images-amazon.com/images/I/71oEhkRYQ+L.jpg</t>
        </is>
      </c>
      <c r="K80" s="148" t="inlineStr">
        <is>
          <t>B0G5N99X9R</t>
        </is>
      </c>
      <c r="L80" s="148" t="inlineStr">
        <is>
          <t>B01N9L2O9P</t>
        </is>
      </c>
      <c r="M80" s="148" t="n">
        <v>61</v>
      </c>
      <c r="N80" s="148" t="n">
        <v>79.98999999999999</v>
      </c>
      <c r="O80" s="148" t="n"/>
      <c r="P80" s="148">
        <f>IF(AND(ISNUMBER(O80),ISNUMBER(N80),N(N80)&gt;0),O80/N80-1,"")</f>
        <v/>
      </c>
      <c r="Q80" s="148" t="n">
        <v>94.98999999999999</v>
      </c>
      <c r="R80" s="148">
        <f>IF(AND(ISNUMBER(N80),ISNUMBER(Q80),N(Q80)&gt;0),N80/Q80-1,"")</f>
        <v/>
      </c>
      <c r="S80" s="148" t="n">
        <v>2984</v>
      </c>
      <c r="T80" s="148" t="n">
        <v>347</v>
      </c>
      <c r="U80" s="148" t="n">
        <v>4.4</v>
      </c>
      <c r="V80" s="148" t="n">
        <v>37179</v>
      </c>
      <c r="W80" s="148" t="n">
        <v>451969</v>
      </c>
      <c r="X80" s="148" t="n">
        <v>0.6071584272372669</v>
      </c>
      <c r="Y80" s="148" t="n">
        <v>614</v>
      </c>
      <c r="Z80" s="148" t="n">
        <v>775</v>
      </c>
      <c r="AA80" s="148" t="n">
        <v>616</v>
      </c>
      <c r="AB80" s="148" t="n">
        <v>1.799620493358634</v>
      </c>
      <c r="AC80" s="148" t="inlineStr">
        <is>
          <t>US DC B6</t>
        </is>
      </c>
      <c r="AD80" s="148">
        <f>'US DC B6'!BF132</f>
        <v/>
      </c>
      <c r="AE80" s="148">
        <f>'US DC B6'!BI132</f>
        <v/>
      </c>
      <c r="AF80" s="148" t="inlineStr">
        <is>
          <t>Queen</t>
        </is>
      </c>
      <c r="AG80" s="148" t="inlineStr">
        <is>
          <t>White</t>
        </is>
      </c>
      <c r="AH80" s="148">
        <f>AND(E80="CA",OR('CA Dashboard'!$C$4="All",'CA Dashboard'!$C$4=D80),OR('CA Dashboard'!$C$5="All",'CA Dashboard'!$C$5=G80),OR('CA Dashboard'!$C$6="All",'CA Dashboard'!$C$6=H80),OR('CA Dashboard'!$C$7="All",'CA Dashboard'!$C$7=F80),OR('CA Dashboard'!$C$8="All",'CA Dashboard'!$C$8=AJ80))</f>
        <v/>
      </c>
      <c r="AI80" s="148">
        <f>IF(AH80,AI79+1,AI79)</f>
        <v/>
      </c>
      <c r="AJ80" s="148" t="inlineStr">
        <is>
          <t>Direct</t>
        </is>
      </c>
      <c r="AK80" s="148" t="inlineStr">
        <is>
          <t>Same product (sheet set) in the same material family: Bamboo viscose (title: Hotel Sheets Direct 4 Piece Bed Sheet Set Queen Size, 100% V); ours: our listing: viscose from bamboo.</t>
        </is>
      </c>
    </row>
    <row r="81">
      <c r="A81" s="148">
        <f>AND(E81="US",OR('US Dashboard'!$C$4="All",'US Dashboard'!$C$4=D81),OR('US Dashboard'!$C$5="All",'US Dashboard'!$C$5=G81),OR('US Dashboard'!$C$6="All",'US Dashboard'!$C$6=H81),OR('US Dashboard'!$C$7="All",'US Dashboard'!$C$7=F81),OR('US Dashboard'!$C$8="All",'US Dashboard'!$C$8=AJ81))</f>
        <v/>
      </c>
      <c r="B81" s="148">
        <f>IF(A81,B80+1,B80)</f>
        <v/>
      </c>
      <c r="C81" s="148" t="n">
        <v>30</v>
      </c>
      <c r="D81" s="148" t="inlineStr">
        <is>
          <t>DC B6</t>
        </is>
      </c>
      <c r="E81" s="148" t="inlineStr">
        <is>
          <t>US</t>
        </is>
      </c>
      <c r="F81" s="148" t="inlineStr">
        <is>
          <t>Bamboo</t>
        </is>
      </c>
      <c r="G81" s="148" t="inlineStr">
        <is>
          <t>Love's cabin</t>
        </is>
      </c>
      <c r="H81" s="148" t="inlineStr">
        <is>
          <t>Beatable</t>
        </is>
      </c>
      <c r="I81" s="148" t="inlineStr">
        <is>
          <t>Love's cabin 4 Piece Queen Sheet Set, 100% Rayon Derived from Bamboo, Cooling &amp; Breathable, Soft Silky Deep Pocket up to 16", Hotel Luxury Bedding for Hot Sleepers, Beige</t>
        </is>
      </c>
      <c r="J81" s="148" t="inlineStr">
        <is>
          <t>https://images-na.ssl-images-amazon.com/images/I/71AudKmD2JL.jpg</t>
        </is>
      </c>
      <c r="K81" s="148" t="inlineStr">
        <is>
          <t>B0DN1GGFL7</t>
        </is>
      </c>
      <c r="L81" s="148" t="inlineStr">
        <is>
          <t>B0DN1DVKH5</t>
        </is>
      </c>
      <c r="M81" s="148" t="n">
        <v>176</v>
      </c>
      <c r="N81" s="148" t="n">
        <v>37.99</v>
      </c>
      <c r="O81" s="148" t="n">
        <v>44.99</v>
      </c>
      <c r="P81" s="148">
        <f>IF(AND(ISNUMBER(O81),ISNUMBER(N81),N(N81)&gt;0),O81/N81-1,"")</f>
        <v/>
      </c>
      <c r="Q81" s="148" t="n">
        <v>94.98999999999999</v>
      </c>
      <c r="R81" s="148">
        <f>IF(AND(ISNUMBER(N81),ISNUMBER(Q81),N(Q81)&gt;0),N81/Q81-1,"")</f>
        <v/>
      </c>
      <c r="S81" s="148" t="n">
        <v>501</v>
      </c>
      <c r="T81" s="148" t="n">
        <v>924</v>
      </c>
      <c r="U81" s="148" t="n">
        <v>4.4</v>
      </c>
      <c r="V81" s="148" t="n">
        <v>1900</v>
      </c>
      <c r="W81" s="148" t="n">
        <v>906346</v>
      </c>
      <c r="X81" s="148" t="n">
        <v>0.9184238707954808</v>
      </c>
      <c r="Y81" s="148" t="n">
        <v>267</v>
      </c>
      <c r="Z81" s="148" t="n">
        <v>1198</v>
      </c>
      <c r="AA81" s="148" t="n">
        <v>844</v>
      </c>
      <c r="AB81" s="148" t="n">
        <v>0.8953669259384511</v>
      </c>
      <c r="AC81" s="148" t="inlineStr">
        <is>
          <t>US DC B6</t>
        </is>
      </c>
      <c r="AD81" s="148">
        <f>'US DC B6'!BF133</f>
        <v/>
      </c>
      <c r="AE81" s="148">
        <f>'US DC B6'!BI133</f>
        <v/>
      </c>
      <c r="AF81" s="148" t="inlineStr">
        <is>
          <t>Queen</t>
        </is>
      </c>
      <c r="AG81" s="148" t="inlineStr">
        <is>
          <t>Beige</t>
        </is>
      </c>
      <c r="AH81" s="148">
        <f>AND(E81="CA",OR('CA Dashboard'!$C$4="All",'CA Dashboard'!$C$4=D81),OR('CA Dashboard'!$C$5="All",'CA Dashboard'!$C$5=G81),OR('CA Dashboard'!$C$6="All",'CA Dashboard'!$C$6=H81),OR('CA Dashboard'!$C$7="All",'CA Dashboard'!$C$7=F81),OR('CA Dashboard'!$C$8="All",'CA Dashboard'!$C$8=AJ81))</f>
        <v/>
      </c>
      <c r="AI81" s="148">
        <f>IF(AH81,AI80+1,AI80)</f>
        <v/>
      </c>
      <c r="AJ81" s="148" t="inlineStr">
        <is>
          <t>Direct</t>
        </is>
      </c>
      <c r="AK81" s="148" t="inlineStr">
        <is>
          <t>Same product (sheet set) in the same material family: Bamboo viscose (title: Love's cabin 4 Piece Queen Sheet Set, 100% Rayon Derived fro); ours: our listing: viscose from bamboo.</t>
        </is>
      </c>
    </row>
    <row r="82">
      <c r="A82" s="148">
        <f>AND(E82="US",OR('US Dashboard'!$C$4="All",'US Dashboard'!$C$4=D82),OR('US Dashboard'!$C$5="All",'US Dashboard'!$C$5=G82),OR('US Dashboard'!$C$6="All",'US Dashboard'!$C$6=H82),OR('US Dashboard'!$C$7="All",'US Dashboard'!$C$7=F82),OR('US Dashboard'!$C$8="All",'US Dashboard'!$C$8=AJ82))</f>
        <v/>
      </c>
      <c r="B82" s="148">
        <f>IF(A82,B81+1,B81)</f>
        <v/>
      </c>
      <c r="C82" s="148" t="n">
        <v>30</v>
      </c>
      <c r="D82" s="148" t="inlineStr">
        <is>
          <t>DC B6</t>
        </is>
      </c>
      <c r="E82" s="148" t="inlineStr">
        <is>
          <t>US</t>
        </is>
      </c>
      <c r="F82" s="148" t="inlineStr">
        <is>
          <t>Bamboo</t>
        </is>
      </c>
      <c r="G82" s="148" t="inlineStr">
        <is>
          <t>KRIMANO</t>
        </is>
      </c>
      <c r="H82" s="148" t="inlineStr">
        <is>
          <t>Beatable</t>
        </is>
      </c>
      <c r="I82" s="148" t="inlineStr">
        <is>
          <t>KRIMANO Bamboo Viscose Sheet Set King Size, Cooling Sheets Bed Set</t>
        </is>
      </c>
      <c r="J82" s="148" t="inlineStr">
        <is>
          <t>https://images-na.ssl-images-amazon.com/images/I/61-LBYlR5KL.jpg</t>
        </is>
      </c>
      <c r="K82" s="148" t="inlineStr">
        <is>
          <t>B0FT7L9RSX</t>
        </is>
      </c>
      <c r="L82" s="148" t="inlineStr">
        <is>
          <t>B0FT7LZ2CD</t>
        </is>
      </c>
      <c r="M82" s="148" t="n">
        <v>43</v>
      </c>
      <c r="N82" s="148" t="n">
        <v>79.98999999999999</v>
      </c>
      <c r="O82" s="148" t="n"/>
      <c r="P82" s="148">
        <f>IF(AND(ISNUMBER(O82),ISNUMBER(N82),N(N82)&gt;0),O82/N82-1,"")</f>
        <v/>
      </c>
      <c r="Q82" s="148" t="n">
        <v>99.98999999999999</v>
      </c>
      <c r="R82" s="148">
        <f>IF(AND(ISNUMBER(N82),ISNUMBER(Q82),N(Q82)&gt;0),N82/Q82-1,"")</f>
        <v/>
      </c>
      <c r="S82" s="148" t="n">
        <v>5664</v>
      </c>
      <c r="T82" s="148" t="n">
        <v>185</v>
      </c>
      <c r="U82" s="148" t="n">
        <v>4.5</v>
      </c>
      <c r="V82" s="148" t="n">
        <v>263</v>
      </c>
      <c r="W82" s="148" t="n">
        <v>334819</v>
      </c>
      <c r="X82" s="148" t="n">
        <v>0.6137371774003271</v>
      </c>
      <c r="Y82" s="148" t="n">
        <v>430</v>
      </c>
      <c r="Z82" s="148" t="n">
        <v>737</v>
      </c>
      <c r="AA82" s="148" t="n">
        <v>238</v>
      </c>
      <c r="AB82" s="148" t="n">
        <v>1.312468450277638</v>
      </c>
      <c r="AC82" s="148" t="inlineStr">
        <is>
          <t>US DC B6</t>
        </is>
      </c>
      <c r="AD82" s="148">
        <f>'US DC B6'!BF134</f>
        <v/>
      </c>
      <c r="AE82" s="148">
        <f>'US DC B6'!BI134</f>
        <v/>
      </c>
      <c r="AF82" s="148" t="inlineStr">
        <is>
          <t>King</t>
        </is>
      </c>
      <c r="AG82" s="148" t="inlineStr">
        <is>
          <t>1.navy Blue</t>
        </is>
      </c>
      <c r="AH82" s="148">
        <f>AND(E82="CA",OR('CA Dashboard'!$C$4="All",'CA Dashboard'!$C$4=D82),OR('CA Dashboard'!$C$5="All",'CA Dashboard'!$C$5=G82),OR('CA Dashboard'!$C$6="All",'CA Dashboard'!$C$6=H82),OR('CA Dashboard'!$C$7="All",'CA Dashboard'!$C$7=F82),OR('CA Dashboard'!$C$8="All",'CA Dashboard'!$C$8=AJ82))</f>
        <v/>
      </c>
      <c r="AI82" s="148">
        <f>IF(AH82,AI81+1,AI81)</f>
        <v/>
      </c>
      <c r="AJ82" s="148" t="inlineStr">
        <is>
          <t>Direct</t>
        </is>
      </c>
      <c r="AK82" s="148" t="inlineStr">
        <is>
          <t>Same product (sheet set) in the same material family: Bamboo viscose (product page material: Viscose Derived from Bamboo); ours: our listing: viscose from bamboo.</t>
        </is>
      </c>
    </row>
    <row r="83">
      <c r="A83" s="148">
        <f>AND(E83="US",OR('US Dashboard'!$C$4="All",'US Dashboard'!$C$4=D83),OR('US Dashboard'!$C$5="All",'US Dashboard'!$C$5=G83),OR('US Dashboard'!$C$6="All",'US Dashboard'!$C$6=H83),OR('US Dashboard'!$C$7="All",'US Dashboard'!$C$7=F83),OR('US Dashboard'!$C$8="All",'US Dashboard'!$C$8=AJ83))</f>
        <v/>
      </c>
      <c r="B83" s="148">
        <f>IF(A83,B82+1,B82)</f>
        <v/>
      </c>
      <c r="C83" s="148" t="n">
        <v>30</v>
      </c>
      <c r="D83" s="148" t="inlineStr">
        <is>
          <t>DC B6</t>
        </is>
      </c>
      <c r="E83" s="148" t="inlineStr">
        <is>
          <t>US</t>
        </is>
      </c>
      <c r="F83" s="148" t="inlineStr">
        <is>
          <t>Bamboo</t>
        </is>
      </c>
      <c r="G83" s="148" t="inlineStr">
        <is>
          <t>TRUE BAMBOO</t>
        </is>
      </c>
      <c r="H83" s="148" t="inlineStr">
        <is>
          <t>Beatable</t>
        </is>
      </c>
      <c r="I83" s="148" t="inlineStr">
        <is>
          <t>TRUE BAMBOO Sheets Set King Size - Silky Soft &amp; Cooling - Dark Gray</t>
        </is>
      </c>
      <c r="J83" s="148" t="inlineStr">
        <is>
          <t>https://m.media-amazon.com/images/I/81V9M033qOL._AC_SL1500_.jpg</t>
        </is>
      </c>
      <c r="K83" s="148" t="inlineStr">
        <is>
          <t>B0HHQ97HBL</t>
        </is>
      </c>
      <c r="L83" s="148" t="inlineStr">
        <is>
          <t>B0HD7R5L1D</t>
        </is>
      </c>
      <c r="M83" s="148" t="n">
        <v>30</v>
      </c>
      <c r="N83" s="148" t="n">
        <v>79.98999999999999</v>
      </c>
      <c r="O83" s="148" t="n">
        <v>129.99</v>
      </c>
      <c r="P83" s="148">
        <f>IF(AND(ISNUMBER(O83),ISNUMBER(N83),N(N83)&gt;0),O83/N83-1,"")</f>
        <v/>
      </c>
      <c r="Q83" s="148" t="n">
        <v>94.98999999999999</v>
      </c>
      <c r="R83" s="148">
        <f>IF(AND(ISNUMBER(N83),ISNUMBER(Q83),N(Q83)&gt;0),N83/Q83-1,"")</f>
        <v/>
      </c>
      <c r="S83" s="148" t="n">
        <v>5934</v>
      </c>
      <c r="T83" s="148" t="n">
        <v>185</v>
      </c>
      <c r="U83" s="148" t="n">
        <v>4.6</v>
      </c>
      <c r="V83" s="148" t="n">
        <v>167</v>
      </c>
      <c r="W83" s="148" t="n">
        <v>557658</v>
      </c>
      <c r="X83" s="148" t="n">
        <v>0.518044597943542</v>
      </c>
      <c r="Y83" s="148" t="n">
        <v>383</v>
      </c>
      <c r="Z83" s="148" t="n">
        <v>713</v>
      </c>
      <c r="AA83" s="148" t="n">
        <v>532</v>
      </c>
      <c r="AB83" s="148" t="n"/>
      <c r="AC83" s="148" t="inlineStr">
        <is>
          <t>US DC B6</t>
        </is>
      </c>
      <c r="AD83" s="148">
        <f>'US DC B6'!BF135</f>
        <v/>
      </c>
      <c r="AE83" s="148">
        <f>'US DC B6'!BI135</f>
        <v/>
      </c>
      <c r="AF83" s="148" t="inlineStr">
        <is>
          <t>Queen</t>
        </is>
      </c>
      <c r="AG83" s="148" t="inlineStr">
        <is>
          <t>Dark Gray</t>
        </is>
      </c>
      <c r="AH83" s="148">
        <f>AND(E83="CA",OR('CA Dashboard'!$C$4="All",'CA Dashboard'!$C$4=D83),OR('CA Dashboard'!$C$5="All",'CA Dashboard'!$C$5=G83),OR('CA Dashboard'!$C$6="All",'CA Dashboard'!$C$6=H83),OR('CA Dashboard'!$C$7="All",'CA Dashboard'!$C$7=F83),OR('CA Dashboard'!$C$8="All",'CA Dashboard'!$C$8=AJ83))</f>
        <v/>
      </c>
      <c r="AI83" s="148">
        <f>IF(AH83,AI82+1,AI82)</f>
        <v/>
      </c>
      <c r="AJ83" s="148" t="inlineStr">
        <is>
          <t>Direct</t>
        </is>
      </c>
      <c r="AK83" s="148" t="inlineStr">
        <is>
          <t>Same product (sheet set) in the same material family: Bamboo viscose (product page material: Rayon); ours: our listing: viscose from bamboo.</t>
        </is>
      </c>
    </row>
    <row r="84">
      <c r="A84" s="148">
        <f>AND(E84="US",OR('US Dashboard'!$C$4="All",'US Dashboard'!$C$4=D84),OR('US Dashboard'!$C$5="All",'US Dashboard'!$C$5=G84),OR('US Dashboard'!$C$6="All",'US Dashboard'!$C$6=H84),OR('US Dashboard'!$C$7="All",'US Dashboard'!$C$7=F84),OR('US Dashboard'!$C$8="All",'US Dashboard'!$C$8=AJ84))</f>
        <v/>
      </c>
      <c r="B84" s="148">
        <f>IF(A84,B83+1,B83)</f>
        <v/>
      </c>
      <c r="C84" s="148" t="n">
        <v>30</v>
      </c>
      <c r="D84" s="148" t="inlineStr">
        <is>
          <t>DC B6</t>
        </is>
      </c>
      <c r="E84" s="148" t="inlineStr">
        <is>
          <t>US</t>
        </is>
      </c>
      <c r="F84" s="148" t="inlineStr">
        <is>
          <t>Bamboo</t>
        </is>
      </c>
      <c r="G84" s="148" t="inlineStr">
        <is>
          <t>Bambaw</t>
        </is>
      </c>
      <c r="H84" s="148" t="inlineStr">
        <is>
          <t>Beatable</t>
        </is>
      </c>
      <c r="I84" s="148" t="inlineStr">
        <is>
          <t>Bambaw 100% Viscose Derived from Bamboo Sheets Queen Size Set – 4pcs Cooling Sheet Set, Super Soft Sheets Queen Size, Luxury Bed Sheets, Deep Pocket Fits Up to 16'' Mattresses (Charcoal)</t>
        </is>
      </c>
      <c r="J84" s="148" t="inlineStr">
        <is>
          <t>https://images-na.ssl-images-amazon.com/images/I/81svKInu7aL.jpg</t>
        </is>
      </c>
      <c r="K84" s="148" t="inlineStr">
        <is>
          <t>B07K6SYX8L</t>
        </is>
      </c>
      <c r="L84" s="148" t="inlineStr">
        <is>
          <t>B0DR99Q37Y</t>
        </is>
      </c>
      <c r="M84" s="148" t="n">
        <v>104</v>
      </c>
      <c r="N84" s="148" t="n">
        <v>89.98999999999999</v>
      </c>
      <c r="O84" s="148" t="n"/>
      <c r="P84" s="148">
        <f>IF(AND(ISNUMBER(O84),ISNUMBER(N84),N(N84)&gt;0),O84/N84-1,"")</f>
        <v/>
      </c>
      <c r="Q84" s="148" t="n">
        <v>94.98999999999999</v>
      </c>
      <c r="R84" s="148">
        <f>IF(AND(ISNUMBER(N84),ISNUMBER(Q84),N(Q84)&gt;0),N84/Q84-1,"")</f>
        <v/>
      </c>
      <c r="S84" s="148" t="n">
        <v>6971</v>
      </c>
      <c r="T84" s="148" t="n">
        <v>104</v>
      </c>
      <c r="U84" s="148" t="n">
        <v>4.3</v>
      </c>
      <c r="V84" s="148" t="n">
        <v>2766</v>
      </c>
      <c r="W84" s="148" t="n">
        <v>407949</v>
      </c>
      <c r="X84" s="148" t="n">
        <v>0.5037485506766772</v>
      </c>
      <c r="Y84" s="148" t="n">
        <v>414</v>
      </c>
      <c r="Z84" s="148" t="n">
        <v>680</v>
      </c>
      <c r="AA84" s="148" t="n">
        <v>352</v>
      </c>
      <c r="AB84" s="148" t="n">
        <v>1.374474053295933</v>
      </c>
      <c r="AC84" s="148" t="inlineStr">
        <is>
          <t>US DC B6</t>
        </is>
      </c>
      <c r="AD84" s="148">
        <f>'US DC B6'!BF136</f>
        <v/>
      </c>
      <c r="AE84" s="148">
        <f>'US DC B6'!BI136</f>
        <v/>
      </c>
      <c r="AF84" s="148" t="inlineStr">
        <is>
          <t>Queen</t>
        </is>
      </c>
      <c r="AG84" s="148" t="inlineStr">
        <is>
          <t>Charcoal</t>
        </is>
      </c>
      <c r="AH84" s="148">
        <f>AND(E84="CA",OR('CA Dashboard'!$C$4="All",'CA Dashboard'!$C$4=D84),OR('CA Dashboard'!$C$5="All",'CA Dashboard'!$C$5=G84),OR('CA Dashboard'!$C$6="All",'CA Dashboard'!$C$6=H84),OR('CA Dashboard'!$C$7="All",'CA Dashboard'!$C$7=F84),OR('CA Dashboard'!$C$8="All",'CA Dashboard'!$C$8=AJ84))</f>
        <v/>
      </c>
      <c r="AI84" s="148">
        <f>IF(AH84,AI83+1,AI83)</f>
        <v/>
      </c>
      <c r="AJ84" s="148" t="inlineStr">
        <is>
          <t>Direct</t>
        </is>
      </c>
      <c r="AK84" s="148" t="inlineStr">
        <is>
          <t>Same product (sheet set) in the same material family: Bamboo viscose (title: Bambaw 100% Viscose Derived from Bamboo Sheets Queen Size Se); ours: our listing: viscose from bamboo.</t>
        </is>
      </c>
    </row>
    <row r="85">
      <c r="A85" s="148">
        <f>AND(E85="US",OR('US Dashboard'!$C$4="All",'US Dashboard'!$C$4=D85),OR('US Dashboard'!$C$5="All",'US Dashboard'!$C$5=G85),OR('US Dashboard'!$C$6="All",'US Dashboard'!$C$6=H85),OR('US Dashboard'!$C$7="All",'US Dashboard'!$C$7=F85),OR('US Dashboard'!$C$8="All",'US Dashboard'!$C$8=AJ85))</f>
        <v/>
      </c>
      <c r="B85" s="148">
        <f>IF(A85,B84+1,B84)</f>
        <v/>
      </c>
      <c r="C85" s="148" t="n">
        <v>30</v>
      </c>
      <c r="D85" s="148" t="inlineStr">
        <is>
          <t>DC B6</t>
        </is>
      </c>
      <c r="E85" s="148" t="inlineStr">
        <is>
          <t>US</t>
        </is>
      </c>
      <c r="F85" s="148" t="inlineStr">
        <is>
          <t>Bamboo</t>
        </is>
      </c>
      <c r="G85" s="148" t="inlineStr">
        <is>
          <t>Bedsure</t>
        </is>
      </c>
      <c r="H85" s="148" t="inlineStr">
        <is>
          <t>Beatable</t>
        </is>
      </c>
      <c r="I85" s="148" t="inlineStr">
        <is>
          <t>Bedsure PureWoven Organically Grown Bamboo Viscose Queen Sheet Set, 4PCS</t>
        </is>
      </c>
      <c r="J85" s="148" t="inlineStr">
        <is>
          <t>https://images-na.ssl-images-amazon.com/images/I/81suQgVR0GL.jpg</t>
        </is>
      </c>
      <c r="K85" s="148" t="inlineStr">
        <is>
          <t>B0FB8XS4D1</t>
        </is>
      </c>
      <c r="L85" s="148" t="inlineStr">
        <is>
          <t>B0FB8XR43Q</t>
        </is>
      </c>
      <c r="M85" s="148" t="n">
        <v>39</v>
      </c>
      <c r="N85" s="148" t="n">
        <v>89.98999999999999</v>
      </c>
      <c r="O85" s="148" t="n">
        <v>119.99</v>
      </c>
      <c r="P85" s="148">
        <f>IF(AND(ISNUMBER(O85),ISNUMBER(N85),N(N85)&gt;0),O85/N85-1,"")</f>
        <v/>
      </c>
      <c r="Q85" s="148" t="n">
        <v>94.98999999999999</v>
      </c>
      <c r="R85" s="148">
        <f>IF(AND(ISNUMBER(N85),ISNUMBER(Q85),N(Q85)&gt;0),N85/Q85-1,"")</f>
        <v/>
      </c>
      <c r="S85" s="148" t="n">
        <v>8938</v>
      </c>
      <c r="T85" s="148" t="n">
        <v>104</v>
      </c>
      <c r="U85" s="148" t="n">
        <v>4.5</v>
      </c>
      <c r="V85" s="148" t="n">
        <v>588</v>
      </c>
      <c r="W85" s="148" t="n">
        <v>840292</v>
      </c>
      <c r="X85" s="148" t="n">
        <v>0.1404099194089678</v>
      </c>
      <c r="Y85" s="148" t="n">
        <v>269</v>
      </c>
      <c r="Z85" s="148" t="n">
        <v>1174</v>
      </c>
      <c r="AA85" s="148" t="n">
        <v>1856</v>
      </c>
      <c r="AB85" s="148" t="n">
        <v>1.764832022873481</v>
      </c>
      <c r="AC85" s="148" t="inlineStr">
        <is>
          <t>US DC B6</t>
        </is>
      </c>
      <c r="AD85" s="148">
        <f>'US DC B6'!BF137</f>
        <v/>
      </c>
      <c r="AE85" s="148">
        <f>'US DC B6'!BI137</f>
        <v/>
      </c>
      <c r="AF85" s="148" t="inlineStr">
        <is>
          <t>Queen</t>
        </is>
      </c>
      <c r="AG85" s="148" t="inlineStr">
        <is>
          <t>01 - White</t>
        </is>
      </c>
      <c r="AH85" s="148">
        <f>AND(E85="CA",OR('CA Dashboard'!$C$4="All",'CA Dashboard'!$C$4=D85),OR('CA Dashboard'!$C$5="All",'CA Dashboard'!$C$5=G85),OR('CA Dashboard'!$C$6="All",'CA Dashboard'!$C$6=H85),OR('CA Dashboard'!$C$7="All",'CA Dashboard'!$C$7=F85),OR('CA Dashboard'!$C$8="All",'CA Dashboard'!$C$8=AJ85))</f>
        <v/>
      </c>
      <c r="AI85" s="148">
        <f>IF(AH85,AI84+1,AI84)</f>
        <v/>
      </c>
      <c r="AJ85" s="148" t="inlineStr">
        <is>
          <t>Direct</t>
        </is>
      </c>
      <c r="AK85" s="148" t="inlineStr">
        <is>
          <t>Same product (sheet set) in the same material family: Bamboo viscose (product page material: Viscose Derived from Bamboo); ours: our listing: viscose from bamboo.</t>
        </is>
      </c>
    </row>
    <row r="86">
      <c r="A86" s="148">
        <f>AND(E86="US",OR('US Dashboard'!$C$4="All",'US Dashboard'!$C$4=D86),OR('US Dashboard'!$C$5="All",'US Dashboard'!$C$5=G86),OR('US Dashboard'!$C$6="All",'US Dashboard'!$C$6=H86),OR('US Dashboard'!$C$7="All",'US Dashboard'!$C$7=F86),OR('US Dashboard'!$C$8="All",'US Dashboard'!$C$8=AJ86))</f>
        <v/>
      </c>
      <c r="B86" s="148">
        <f>IF(A86,B85+1,B85)</f>
        <v/>
      </c>
      <c r="C86" s="148" t="n">
        <v>30</v>
      </c>
      <c r="D86" s="148" t="inlineStr">
        <is>
          <t>DC B6</t>
        </is>
      </c>
      <c r="E86" s="148" t="inlineStr">
        <is>
          <t>US</t>
        </is>
      </c>
      <c r="F86" s="148" t="inlineStr">
        <is>
          <t>Bamboo</t>
        </is>
      </c>
      <c r="G86" s="148" t="inlineStr">
        <is>
          <t>SONORO KATE</t>
        </is>
      </c>
      <c r="H86" s="148" t="inlineStr">
        <is>
          <t>Beatable</t>
        </is>
      </c>
      <c r="I86" s="148" t="inlineStr">
        <is>
          <t>Bamboo Sheets</t>
        </is>
      </c>
      <c r="J86" s="148" t="inlineStr">
        <is>
          <t>https://images-na.ssl-images-amazon.com/images/I/71sqxa1EquL.jpg</t>
        </is>
      </c>
      <c r="K86" s="148" t="inlineStr">
        <is>
          <t>B0F4852T9V</t>
        </is>
      </c>
      <c r="L86" s="148" t="inlineStr">
        <is>
          <t>B0F4873G4H</t>
        </is>
      </c>
      <c r="M86" s="148" t="n">
        <v>33</v>
      </c>
      <c r="N86" s="148" t="n">
        <v>79.98999999999999</v>
      </c>
      <c r="O86" s="148" t="n"/>
      <c r="P86" s="148">
        <f>IF(AND(ISNUMBER(O86),ISNUMBER(N86),N(N86)&gt;0),O86/N86-1,"")</f>
        <v/>
      </c>
      <c r="Q86" s="148" t="n">
        <v>99.98999999999999</v>
      </c>
      <c r="R86" s="148">
        <f>IF(AND(ISNUMBER(N86),ISNUMBER(Q86),N(Q86)&gt;0),N86/Q86-1,"")</f>
        <v/>
      </c>
      <c r="S86" s="148" t="n">
        <v>7961</v>
      </c>
      <c r="T86" s="148" t="n">
        <v>104</v>
      </c>
      <c r="U86" s="148" t="n">
        <v>4.5</v>
      </c>
      <c r="V86" s="148" t="n">
        <v>3776</v>
      </c>
      <c r="W86" s="148" t="n">
        <v>185157</v>
      </c>
      <c r="X86" s="148" t="n">
        <v>0.9776013545261586</v>
      </c>
      <c r="Y86" s="148" t="n">
        <v>331</v>
      </c>
      <c r="Z86" s="148" t="n">
        <v>521</v>
      </c>
      <c r="AA86" s="148" t="n">
        <v>71</v>
      </c>
      <c r="AB86" s="148" t="n">
        <v>1.314808539478143</v>
      </c>
      <c r="AC86" s="148" t="inlineStr">
        <is>
          <t>US DC B6</t>
        </is>
      </c>
      <c r="AD86" s="148">
        <f>'US DC B6'!BF138</f>
        <v/>
      </c>
      <c r="AE86" s="148">
        <f>'US DC B6'!BI138</f>
        <v/>
      </c>
      <c r="AF86" s="148" t="inlineStr">
        <is>
          <t>King</t>
        </is>
      </c>
      <c r="AG86" s="148" t="inlineStr">
        <is>
          <t>Dark Grey</t>
        </is>
      </c>
      <c r="AH86" s="148">
        <f>AND(E86="CA",OR('CA Dashboard'!$C$4="All",'CA Dashboard'!$C$4=D86),OR('CA Dashboard'!$C$5="All",'CA Dashboard'!$C$5=G86),OR('CA Dashboard'!$C$6="All",'CA Dashboard'!$C$6=H86),OR('CA Dashboard'!$C$7="All",'CA Dashboard'!$C$7=F86),OR('CA Dashboard'!$C$8="All",'CA Dashboard'!$C$8=AJ86))</f>
        <v/>
      </c>
      <c r="AI86" s="148">
        <f>IF(AH86,AI85+1,AI85)</f>
        <v/>
      </c>
      <c r="AJ86" s="148" t="inlineStr">
        <is>
          <t>Direct</t>
        </is>
      </c>
      <c r="AK86" s="148" t="inlineStr">
        <is>
          <t>Same product (sheet set) in the same material family: Bamboo viscose (product page material: Viscose Derived From Bamboo); ours: our listing: viscose from bamboo.</t>
        </is>
      </c>
    </row>
    <row r="87">
      <c r="A87" s="148">
        <f>AND(E87="US",OR('US Dashboard'!$C$4="All",'US Dashboard'!$C$4=D87),OR('US Dashboard'!$C$5="All",'US Dashboard'!$C$5=G87),OR('US Dashboard'!$C$6="All",'US Dashboard'!$C$6=H87),OR('US Dashboard'!$C$7="All",'US Dashboard'!$C$7=F87),OR('US Dashboard'!$C$8="All",'US Dashboard'!$C$8=AJ87))</f>
        <v/>
      </c>
      <c r="B87" s="148">
        <f>IF(A87,B86+1,B86)</f>
        <v/>
      </c>
      <c r="C87" s="148" t="n">
        <v>30</v>
      </c>
      <c r="D87" s="148" t="inlineStr">
        <is>
          <t>DC B6</t>
        </is>
      </c>
      <c r="E87" s="148" t="inlineStr">
        <is>
          <t>US</t>
        </is>
      </c>
      <c r="F87" s="148" t="inlineStr">
        <is>
          <t>Bamboo</t>
        </is>
      </c>
      <c r="G87" s="148" t="inlineStr">
        <is>
          <t>BC BELLA COTERIE</t>
        </is>
      </c>
      <c r="H87" s="148" t="inlineStr">
        <is>
          <t>Beatable</t>
        </is>
      </c>
      <c r="I87" s="148" t="inlineStr">
        <is>
          <t>Bella Coterie Luxury Bamboo Viscose King Size Sheet Set</t>
        </is>
      </c>
      <c r="J87" s="148" t="inlineStr">
        <is>
          <t>https://images-na.ssl-images-amazon.com/images/I/71Pl57-j67L.jpg</t>
        </is>
      </c>
      <c r="K87" s="148" t="inlineStr">
        <is>
          <t>B0H29V113N</t>
        </is>
      </c>
      <c r="L87" s="148" t="inlineStr">
        <is>
          <t>B08L86VLZB</t>
        </is>
      </c>
      <c r="M87" s="148" t="n">
        <v>258</v>
      </c>
      <c r="N87" s="148" t="n">
        <v>154.99</v>
      </c>
      <c r="O87" s="148" t="n"/>
      <c r="P87" s="148">
        <f>IF(AND(ISNUMBER(O87),ISNUMBER(N87),N(N87)&gt;0),O87/N87-1,"")</f>
        <v/>
      </c>
      <c r="Q87" s="148" t="n">
        <v>99.98999999999999</v>
      </c>
      <c r="R87" s="148">
        <f>IF(AND(ISNUMBER(N87),ISNUMBER(Q87),N(Q87)&gt;0),N87/Q87-1,"")</f>
        <v/>
      </c>
      <c r="S87" s="148" t="n">
        <v>1358</v>
      </c>
      <c r="T87" s="148" t="n">
        <v>92</v>
      </c>
      <c r="U87" s="148" t="n">
        <v>4.4</v>
      </c>
      <c r="V87" s="148" t="n">
        <v>5871</v>
      </c>
      <c r="W87" s="148" t="n">
        <v>591713</v>
      </c>
      <c r="X87" s="148" t="n">
        <v>0.3622702587234016</v>
      </c>
      <c r="Y87" s="148" t="n">
        <v>514</v>
      </c>
      <c r="Z87" s="148" t="n">
        <v>1033</v>
      </c>
      <c r="AA87" s="148" t="n">
        <v>1851</v>
      </c>
      <c r="AB87" s="148" t="n">
        <v>1.778087279480037</v>
      </c>
      <c r="AC87" s="148" t="inlineStr">
        <is>
          <t>US DC B6</t>
        </is>
      </c>
      <c r="AD87" s="148">
        <f>'US DC B6'!BF139</f>
        <v/>
      </c>
      <c r="AE87" s="148">
        <f>'US DC B6'!BI139</f>
        <v/>
      </c>
      <c r="AF87" s="148" t="inlineStr">
        <is>
          <t>King - 2 Pillowcases</t>
        </is>
      </c>
      <c r="AG87" s="148" t="inlineStr">
        <is>
          <t>01 - White</t>
        </is>
      </c>
      <c r="AH87" s="148">
        <f>AND(E87="CA",OR('CA Dashboard'!$C$4="All",'CA Dashboard'!$C$4=D87),OR('CA Dashboard'!$C$5="All",'CA Dashboard'!$C$5=G87),OR('CA Dashboard'!$C$6="All",'CA Dashboard'!$C$6=H87),OR('CA Dashboard'!$C$7="All",'CA Dashboard'!$C$7=F87),OR('CA Dashboard'!$C$8="All",'CA Dashboard'!$C$8=AJ87))</f>
        <v/>
      </c>
      <c r="AI87" s="148">
        <f>IF(AH87,AI86+1,AI86)</f>
        <v/>
      </c>
      <c r="AJ87" s="148" t="inlineStr">
        <is>
          <t>Direct</t>
        </is>
      </c>
      <c r="AK87" s="148" t="inlineStr">
        <is>
          <t>Same product (sheet set) in the same material family: Bamboo viscose (product page material: Organically Grown | Viscose Made From Bamboo); ours: our listing: viscose from bamboo.</t>
        </is>
      </c>
    </row>
    <row r="88">
      <c r="A88" s="148">
        <f>AND(E88="US",OR('US Dashboard'!$C$4="All",'US Dashboard'!$C$4=D88),OR('US Dashboard'!$C$5="All",'US Dashboard'!$C$5=G88),OR('US Dashboard'!$C$6="All",'US Dashboard'!$C$6=H88),OR('US Dashboard'!$C$7="All",'US Dashboard'!$C$7=F88),OR('US Dashboard'!$C$8="All",'US Dashboard'!$C$8=AJ88))</f>
        <v/>
      </c>
      <c r="B88" s="148">
        <f>IF(A88,B87+1,B87)</f>
        <v/>
      </c>
      <c r="C88" s="148" t="n">
        <v>30</v>
      </c>
      <c r="D88" s="148" t="inlineStr">
        <is>
          <t>DC B6</t>
        </is>
      </c>
      <c r="E88" s="148" t="inlineStr">
        <is>
          <t>US</t>
        </is>
      </c>
      <c r="F88" s="148" t="inlineStr">
        <is>
          <t>Bamboo</t>
        </is>
      </c>
      <c r="G88" s="148" t="inlineStr">
        <is>
          <t>BAMPURE</t>
        </is>
      </c>
      <c r="H88" s="148" t="inlineStr">
        <is>
          <t>Beatable</t>
        </is>
      </c>
      <c r="I88" s="148" t="inlineStr">
        <is>
          <t>BAMPURE 100% Rayon from Bamboo Sheets King Size - 4pc Cooling King Sheets</t>
        </is>
      </c>
      <c r="J88" s="148" t="inlineStr">
        <is>
          <t>https://images-na.ssl-images-amazon.com/images/I/61fbapIObwL.jpg</t>
        </is>
      </c>
      <c r="K88" s="148" t="inlineStr">
        <is>
          <t>B0HC778XB4</t>
        </is>
      </c>
      <c r="L88" s="148" t="inlineStr">
        <is>
          <t>B07XFP6BY2</t>
        </is>
      </c>
      <c r="M88" s="148" t="n">
        <v>40</v>
      </c>
      <c r="N88" s="148" t="n">
        <v>67.98</v>
      </c>
      <c r="O88" s="148" t="n">
        <v>99.98999999999999</v>
      </c>
      <c r="P88" s="148">
        <f>IF(AND(ISNUMBER(O88),ISNUMBER(N88),N(N88)&gt;0),O88/N88-1,"")</f>
        <v/>
      </c>
      <c r="Q88" s="148" t="n">
        <v>99.98999999999999</v>
      </c>
      <c r="R88" s="148">
        <f>IF(AND(ISNUMBER(N88),ISNUMBER(Q88),N(Q88)&gt;0),N88/Q88-1,"")</f>
        <v/>
      </c>
      <c r="S88" s="148" t="n">
        <v>14479</v>
      </c>
      <c r="T88" s="148" t="n">
        <v>81</v>
      </c>
      <c r="U88" s="148" t="n">
        <v>4.4</v>
      </c>
      <c r="V88" s="148" t="n">
        <v>4095</v>
      </c>
      <c r="W88" s="148" t="n">
        <v>67699</v>
      </c>
      <c r="X88" s="148" t="n">
        <v>0.8589487052984534</v>
      </c>
      <c r="Y88" s="148" t="n">
        <v>661</v>
      </c>
      <c r="Z88" s="148" t="n">
        <v>167</v>
      </c>
      <c r="AA88" s="148" t="n">
        <v>162</v>
      </c>
      <c r="AB88" s="148" t="n">
        <v>1.016706443914081</v>
      </c>
      <c r="AC88" s="148" t="inlineStr">
        <is>
          <t>US DC B6</t>
        </is>
      </c>
      <c r="AD88" s="148">
        <f>'US DC B6'!BF140</f>
        <v/>
      </c>
      <c r="AE88" s="148">
        <f>'US DC B6'!BI140</f>
        <v/>
      </c>
      <c r="AF88" s="148" t="inlineStr">
        <is>
          <t>King</t>
        </is>
      </c>
      <c r="AG88" s="148" t="inlineStr">
        <is>
          <t>White</t>
        </is>
      </c>
      <c r="AH88" s="148">
        <f>AND(E88="CA",OR('CA Dashboard'!$C$4="All",'CA Dashboard'!$C$4=D88),OR('CA Dashboard'!$C$5="All",'CA Dashboard'!$C$5=G88),OR('CA Dashboard'!$C$6="All",'CA Dashboard'!$C$6=H88),OR('CA Dashboard'!$C$7="All",'CA Dashboard'!$C$7=F88),OR('CA Dashboard'!$C$8="All",'CA Dashboard'!$C$8=AJ88))</f>
        <v/>
      </c>
      <c r="AI88" s="148">
        <f>IF(AH88,AI87+1,AI87)</f>
        <v/>
      </c>
      <c r="AJ88" s="148" t="inlineStr">
        <is>
          <t>Direct</t>
        </is>
      </c>
      <c r="AK88" s="148" t="inlineStr">
        <is>
          <t>Same product (sheet set) in the same material family: Bamboo viscose (product page material: Viscose Derived from Bamboo); ours: our listing: viscose from bamboo.</t>
        </is>
      </c>
    </row>
    <row r="89">
      <c r="A89" s="148">
        <f>AND(E89="US",OR('US Dashboard'!$C$4="All",'US Dashboard'!$C$4=D89),OR('US Dashboard'!$C$5="All",'US Dashboard'!$C$5=G89),OR('US Dashboard'!$C$6="All",'US Dashboard'!$C$6=H89),OR('US Dashboard'!$C$7="All",'US Dashboard'!$C$7=F89),OR('US Dashboard'!$C$8="All",'US Dashboard'!$C$8=AJ89))</f>
        <v/>
      </c>
      <c r="B89" s="148">
        <f>IF(A89,B88+1,B88)</f>
        <v/>
      </c>
      <c r="C89" s="148" t="n">
        <v>30</v>
      </c>
      <c r="D89" s="148" t="inlineStr">
        <is>
          <t>DC B6</t>
        </is>
      </c>
      <c r="E89" s="148" t="inlineStr">
        <is>
          <t>US</t>
        </is>
      </c>
      <c r="F89" s="148" t="inlineStr">
        <is>
          <t>Bamboo</t>
        </is>
      </c>
      <c r="G89" s="148" t="inlineStr">
        <is>
          <t>BEDELITE</t>
        </is>
      </c>
      <c r="H89" s="148" t="inlineStr">
        <is>
          <t>Beatable</t>
        </is>
      </c>
      <c r="I89" s="148" t="inlineStr">
        <is>
          <t>BEDELITE Bamboo Viscose Sheet Set, Queen Size, 4 Pieces, White</t>
        </is>
      </c>
      <c r="J89" s="148" t="inlineStr">
        <is>
          <t>https://m.media-amazon.com/images/I/71F+539t2YL._AC_SL1500_.jpg</t>
        </is>
      </c>
      <c r="K89" s="148" t="inlineStr">
        <is>
          <t>B0GT98GVQN</t>
        </is>
      </c>
      <c r="L89" s="148" t="inlineStr">
        <is>
          <t>B0GT8Z4X5D</t>
        </is>
      </c>
      <c r="M89" s="148" t="n">
        <v>8</v>
      </c>
      <c r="N89" s="148" t="n">
        <v>84.98</v>
      </c>
      <c r="O89" s="148" t="n">
        <v>99.89</v>
      </c>
      <c r="P89" s="148">
        <f>IF(AND(ISNUMBER(O89),ISNUMBER(N89),N(N89)&gt;0),O89/N89-1,"")</f>
        <v/>
      </c>
      <c r="Q89" s="148" t="n">
        <v>94.98999999999999</v>
      </c>
      <c r="R89" s="148">
        <f>IF(AND(ISNUMBER(N89),ISNUMBER(Q89),N(Q89)&gt;0),N89/Q89-1,"")</f>
        <v/>
      </c>
      <c r="S89" s="148" t="n">
        <v>65907</v>
      </c>
      <c r="T89" s="148" t="n">
        <v>81</v>
      </c>
      <c r="U89" s="148" t="n">
        <v>4.5</v>
      </c>
      <c r="V89" s="148" t="n">
        <v>113</v>
      </c>
      <c r="W89" s="148" t="n">
        <v>212120</v>
      </c>
      <c r="X89" s="148" t="n">
        <v>0.1115827267584386</v>
      </c>
      <c r="Y89" s="148" t="n">
        <v>383</v>
      </c>
      <c r="Z89" s="148" t="n">
        <v>428</v>
      </c>
      <c r="AA89" s="148" t="n">
        <v>854</v>
      </c>
      <c r="AB89" s="148" t="n">
        <v>0.8073654390934845</v>
      </c>
      <c r="AC89" s="148" t="inlineStr">
        <is>
          <t>US DC B6</t>
        </is>
      </c>
      <c r="AD89" s="148">
        <f>'US DC B6'!BF141</f>
        <v/>
      </c>
      <c r="AE89" s="148">
        <f>'US DC B6'!BI141</f>
        <v/>
      </c>
      <c r="AF89" s="148" t="inlineStr">
        <is>
          <t>Queen</t>
        </is>
      </c>
      <c r="AG89" s="148" t="inlineStr">
        <is>
          <t>White</t>
        </is>
      </c>
      <c r="AH89" s="148">
        <f>AND(E89="CA",OR('CA Dashboard'!$C$4="All",'CA Dashboard'!$C$4=D89),OR('CA Dashboard'!$C$5="All",'CA Dashboard'!$C$5=G89),OR('CA Dashboard'!$C$6="All",'CA Dashboard'!$C$6=H89),OR('CA Dashboard'!$C$7="All",'CA Dashboard'!$C$7=F89),OR('CA Dashboard'!$C$8="All",'CA Dashboard'!$C$8=AJ89))</f>
        <v/>
      </c>
      <c r="AI89" s="148">
        <f>IF(AH89,AI88+1,AI88)</f>
        <v/>
      </c>
      <c r="AJ89" s="148" t="inlineStr">
        <is>
          <t>Direct</t>
        </is>
      </c>
      <c r="AK89" s="148" t="inlineStr">
        <is>
          <t>Same product (sheet set) in the same material family: Bamboo viscose (product page material: Viscose Derived from Bamboo); ours: our listing: viscose from bamboo.</t>
        </is>
      </c>
    </row>
    <row r="90">
      <c r="A90" s="148">
        <f>AND(E90="US",OR('US Dashboard'!$C$4="All",'US Dashboard'!$C$4=D90),OR('US Dashboard'!$C$5="All",'US Dashboard'!$C$5=G90),OR('US Dashboard'!$C$6="All",'US Dashboard'!$C$6=H90),OR('US Dashboard'!$C$7="All",'US Dashboard'!$C$7=F90),OR('US Dashboard'!$C$8="All",'US Dashboard'!$C$8=AJ90))</f>
        <v/>
      </c>
      <c r="B90" s="148">
        <f>IF(A90,B89+1,B89)</f>
        <v/>
      </c>
      <c r="C90" s="148" t="n">
        <v>30</v>
      </c>
      <c r="D90" s="148" t="inlineStr">
        <is>
          <t>DC B6</t>
        </is>
      </c>
      <c r="E90" s="148" t="inlineStr">
        <is>
          <t>US</t>
        </is>
      </c>
      <c r="F90" s="148" t="inlineStr">
        <is>
          <t>Bamboo</t>
        </is>
      </c>
      <c r="G90" s="148" t="inlineStr">
        <is>
          <t>SONORO KATE</t>
        </is>
      </c>
      <c r="H90" s="148" t="inlineStr">
        <is>
          <t>Beatable</t>
        </is>
      </c>
      <c r="I90" s="148" t="inlineStr">
        <is>
          <t>SONORO KATE 100% Viscose Derived from Bamboo_Sheets Queen Size,4PC</t>
        </is>
      </c>
      <c r="J90" s="148" t="inlineStr">
        <is>
          <t>https://images-na.ssl-images-amazon.com/images/I/71HeTCWM4hL.jpg</t>
        </is>
      </c>
      <c r="K90" s="148" t="inlineStr">
        <is>
          <t>B0F29FQLFD</t>
        </is>
      </c>
      <c r="L90" s="148" t="inlineStr">
        <is>
          <t>B0F29F1JM5</t>
        </is>
      </c>
      <c r="M90" s="148" t="n">
        <v>42</v>
      </c>
      <c r="N90" s="148" t="n">
        <v>59.99</v>
      </c>
      <c r="O90" s="148" t="n"/>
      <c r="P90" s="148">
        <f>IF(AND(ISNUMBER(O90),ISNUMBER(N90),N(N90)&gt;0),O90/N90-1,"")</f>
        <v/>
      </c>
      <c r="Q90" s="148" t="n">
        <v>94.98999999999999</v>
      </c>
      <c r="R90" s="148">
        <f>IF(AND(ISNUMBER(N90),ISNUMBER(Q90),N(Q90)&gt;0),N90/Q90-1,"")</f>
        <v/>
      </c>
      <c r="S90" s="148" t="n">
        <v>23979</v>
      </c>
      <c r="T90" s="148" t="n">
        <v>81</v>
      </c>
      <c r="U90" s="148" t="n">
        <v>4.5</v>
      </c>
      <c r="V90" s="148" t="n">
        <v>3911</v>
      </c>
      <c r="W90" s="148" t="n">
        <v>114504</v>
      </c>
      <c r="X90" s="148" t="n">
        <v>0.8792897182631171</v>
      </c>
      <c r="Y90" s="148" t="n">
        <v>324</v>
      </c>
      <c r="Z90" s="148" t="n">
        <v>347</v>
      </c>
      <c r="AA90" s="148" t="n">
        <v>59</v>
      </c>
      <c r="AB90" s="148" t="n">
        <v>1.095271210013908</v>
      </c>
      <c r="AC90" s="148" t="inlineStr">
        <is>
          <t>US DC B6</t>
        </is>
      </c>
      <c r="AD90" s="148">
        <f>'US DC B6'!BF142</f>
        <v/>
      </c>
      <c r="AE90" s="148">
        <f>'US DC B6'!BI142</f>
        <v/>
      </c>
      <c r="AF90" s="148" t="inlineStr">
        <is>
          <t>Queen</t>
        </is>
      </c>
      <c r="AG90" s="148" t="inlineStr">
        <is>
          <t>Dark Grey</t>
        </is>
      </c>
      <c r="AH90" s="148">
        <f>AND(E90="CA",OR('CA Dashboard'!$C$4="All",'CA Dashboard'!$C$4=D90),OR('CA Dashboard'!$C$5="All",'CA Dashboard'!$C$5=G90),OR('CA Dashboard'!$C$6="All",'CA Dashboard'!$C$6=H90),OR('CA Dashboard'!$C$7="All",'CA Dashboard'!$C$7=F90),OR('CA Dashboard'!$C$8="All",'CA Dashboard'!$C$8=AJ90))</f>
        <v/>
      </c>
      <c r="AI90" s="148">
        <f>IF(AH90,AI89+1,AI89)</f>
        <v/>
      </c>
      <c r="AJ90" s="148" t="inlineStr">
        <is>
          <t>Direct</t>
        </is>
      </c>
      <c r="AK90" s="148" t="inlineStr">
        <is>
          <t>Same product (sheet set) in the same material family: Bamboo viscose (product page material: Viscose Derived From Bamboo); ours: our listing: viscose from bamboo.</t>
        </is>
      </c>
    </row>
    <row r="91">
      <c r="A91" s="148">
        <f>AND(E91="US",OR('US Dashboard'!$C$4="All",'US Dashboard'!$C$4=D91),OR('US Dashboard'!$C$5="All",'US Dashboard'!$C$5=G91),OR('US Dashboard'!$C$6="All",'US Dashboard'!$C$6=H91),OR('US Dashboard'!$C$7="All",'US Dashboard'!$C$7=F91),OR('US Dashboard'!$C$8="All",'US Dashboard'!$C$8=AJ91))</f>
        <v/>
      </c>
      <c r="B91" s="148">
        <f>IF(A91,B90+1,B90)</f>
        <v/>
      </c>
      <c r="C91" s="148" t="n">
        <v>30</v>
      </c>
      <c r="D91" s="148" t="inlineStr">
        <is>
          <t>DC B6</t>
        </is>
      </c>
      <c r="E91" s="148" t="inlineStr">
        <is>
          <t>US</t>
        </is>
      </c>
      <c r="F91" s="148" t="inlineStr">
        <is>
          <t>Bamboo</t>
        </is>
      </c>
      <c r="G91" s="148" t="inlineStr">
        <is>
          <t>Davmabcjy</t>
        </is>
      </c>
      <c r="H91" s="148" t="inlineStr">
        <is>
          <t>Beatable</t>
        </is>
      </c>
      <c r="I91" s="148" t="inlineStr">
        <is>
          <t>100% Organically Grown Bamboo Viscose King Sheet Set with Pockets on Side</t>
        </is>
      </c>
      <c r="J91" s="148" t="inlineStr">
        <is>
          <t>https://m.media-amazon.com/images/I/71fKTruZ7YL._AC_SL1500_.jpg</t>
        </is>
      </c>
      <c r="K91" s="148" t="inlineStr">
        <is>
          <t>B0HJZNMQ5G</t>
        </is>
      </c>
      <c r="L91" s="148" t="inlineStr">
        <is>
          <t>B0GXJYQR7H</t>
        </is>
      </c>
      <c r="M91" s="148" t="n">
        <v>7</v>
      </c>
      <c r="N91" s="148" t="n">
        <v>59.99</v>
      </c>
      <c r="O91" s="148" t="n"/>
      <c r="P91" s="148">
        <f>IF(AND(ISNUMBER(O91),ISNUMBER(N91),N(N91)&gt;0),O91/N91-1,"")</f>
        <v/>
      </c>
      <c r="Q91" s="148" t="n">
        <v>99.98999999999999</v>
      </c>
      <c r="R91" s="148">
        <f>IF(AND(ISNUMBER(N91),ISNUMBER(Q91),N(Q91)&gt;0),N91/Q91-1,"")</f>
        <v/>
      </c>
      <c r="S91" s="148" t="n">
        <v>205508</v>
      </c>
      <c r="T91" s="148" t="n">
        <v>35</v>
      </c>
      <c r="U91" s="148" t="n">
        <v>4.2</v>
      </c>
      <c r="V91" s="148" t="n">
        <v>81</v>
      </c>
      <c r="W91" s="148" t="n">
        <v>75425</v>
      </c>
      <c r="X91" s="148" t="n">
        <v>0.8470417779250914</v>
      </c>
      <c r="Y91" s="148" t="n">
        <v>332</v>
      </c>
      <c r="Z91" s="148" t="n">
        <v>367</v>
      </c>
      <c r="AA91" s="148" t="n">
        <v>285</v>
      </c>
      <c r="AB91" s="148" t="n"/>
      <c r="AC91" s="148" t="inlineStr">
        <is>
          <t>US DC B6</t>
        </is>
      </c>
      <c r="AD91" s="148">
        <f>'US DC B6'!BF143</f>
        <v/>
      </c>
      <c r="AE91" s="148">
        <f>'US DC B6'!BI143</f>
        <v/>
      </c>
      <c r="AF91" s="148" t="inlineStr">
        <is>
          <t>King (Deep Fits 16" )</t>
        </is>
      </c>
      <c r="AG91" s="148" t="inlineStr">
        <is>
          <t>Dark Grey-side Pockets</t>
        </is>
      </c>
      <c r="AH91" s="148">
        <f>AND(E91="CA",OR('CA Dashboard'!$C$4="All",'CA Dashboard'!$C$4=D91),OR('CA Dashboard'!$C$5="All",'CA Dashboard'!$C$5=G91),OR('CA Dashboard'!$C$6="All",'CA Dashboard'!$C$6=H91),OR('CA Dashboard'!$C$7="All",'CA Dashboard'!$C$7=F91),OR('CA Dashboard'!$C$8="All",'CA Dashboard'!$C$8=AJ91))</f>
        <v/>
      </c>
      <c r="AI91" s="148">
        <f>IF(AH91,AI90+1,AI90)</f>
        <v/>
      </c>
      <c r="AJ91" s="148" t="inlineStr">
        <is>
          <t>Direct</t>
        </is>
      </c>
      <c r="AK91" s="148" t="inlineStr">
        <is>
          <t>Same product (sheet set) in the same material family: Bamboo viscose (product page material: Rayon Derived from Bamboo); ours: our listing: viscose from bamboo.</t>
        </is>
      </c>
    </row>
    <row r="92">
      <c r="A92" s="148">
        <f>AND(E92="US",OR('US Dashboard'!$C$4="All",'US Dashboard'!$C$4=D92),OR('US Dashboard'!$C$5="All",'US Dashboard'!$C$5=G92),OR('US Dashboard'!$C$6="All",'US Dashboard'!$C$6=H92),OR('US Dashboard'!$C$7="All",'US Dashboard'!$C$7=F92),OR('US Dashboard'!$C$8="All",'US Dashboard'!$C$8=AJ92))</f>
        <v/>
      </c>
      <c r="B92" s="148">
        <f>IF(A92,B91+1,B91)</f>
        <v/>
      </c>
      <c r="C92" s="148" t="n">
        <v>30</v>
      </c>
      <c r="D92" s="148" t="inlineStr">
        <is>
          <t>DC B6</t>
        </is>
      </c>
      <c r="E92" s="148" t="inlineStr">
        <is>
          <t>US</t>
        </is>
      </c>
      <c r="F92" s="148" t="inlineStr">
        <is>
          <t>Bamboo</t>
        </is>
      </c>
      <c r="G92" s="148" t="inlineStr">
        <is>
          <t>DOZ by SIJO</t>
        </is>
      </c>
      <c r="H92" s="148" t="inlineStr">
        <is>
          <t>Beatable</t>
        </is>
      </c>
      <c r="I92" s="148" t="inlineStr">
        <is>
          <t>Bamboo Sheets</t>
        </is>
      </c>
      <c r="J92" s="148" t="inlineStr">
        <is>
          <t>https://images-na.ssl-images-amazon.com/images/I/710aWpCd4AL.jpg</t>
        </is>
      </c>
      <c r="K92" s="148" t="inlineStr">
        <is>
          <t>B0DCZGYVZ9</t>
        </is>
      </c>
      <c r="L92" s="148" t="inlineStr">
        <is>
          <t>B0F24TRXCZ</t>
        </is>
      </c>
      <c r="M92" s="148" t="n">
        <v>131</v>
      </c>
      <c r="N92" s="148" t="n">
        <v>55</v>
      </c>
      <c r="O92" s="148" t="n"/>
      <c r="P92" s="148">
        <f>IF(AND(ISNUMBER(O92),ISNUMBER(N92),N(N92)&gt;0),O92/N92-1,"")</f>
        <v/>
      </c>
      <c r="Q92" s="148" t="n">
        <v>94.98999999999999</v>
      </c>
      <c r="R92" s="148">
        <f>IF(AND(ISNUMBER(N92),ISNUMBER(Q92),N(Q92)&gt;0),N92/Q92-1,"")</f>
        <v/>
      </c>
      <c r="S92" s="148" t="n">
        <v>4051</v>
      </c>
      <c r="T92" s="148" t="n">
        <v>35</v>
      </c>
      <c r="U92" s="148" t="n">
        <v>4.4</v>
      </c>
      <c r="V92" s="148" t="n">
        <v>1909</v>
      </c>
      <c r="W92" s="148" t="n">
        <v>171534</v>
      </c>
      <c r="X92" s="148" t="n">
        <v>0.5544749851341424</v>
      </c>
      <c r="Y92" s="148" t="n">
        <v>462</v>
      </c>
      <c r="Z92" s="148" t="n">
        <v>649</v>
      </c>
      <c r="AA92" s="148" t="n">
        <v>549</v>
      </c>
      <c r="AB92" s="148" t="n"/>
      <c r="AC92" s="148" t="inlineStr">
        <is>
          <t>US DC B6</t>
        </is>
      </c>
      <c r="AD92" s="148">
        <f>'US DC B6'!BF144</f>
        <v/>
      </c>
      <c r="AE92" s="148">
        <f>'US DC B6'!BI144</f>
        <v/>
      </c>
      <c r="AF92" s="148" t="inlineStr">
        <is>
          <t>Queen</t>
        </is>
      </c>
      <c r="AG92" s="148" t="inlineStr">
        <is>
          <t>Olive</t>
        </is>
      </c>
      <c r="AH92" s="148">
        <f>AND(E92="CA",OR('CA Dashboard'!$C$4="All",'CA Dashboard'!$C$4=D92),OR('CA Dashboard'!$C$5="All",'CA Dashboard'!$C$5=G92),OR('CA Dashboard'!$C$6="All",'CA Dashboard'!$C$6=H92),OR('CA Dashboard'!$C$7="All",'CA Dashboard'!$C$7=F92),OR('CA Dashboard'!$C$8="All",'CA Dashboard'!$C$8=AJ92))</f>
        <v/>
      </c>
      <c r="AI92" s="148">
        <f>IF(AH92,AI91+1,AI91)</f>
        <v/>
      </c>
      <c r="AJ92" s="148" t="inlineStr">
        <is>
          <t>Direct</t>
        </is>
      </c>
      <c r="AK92" s="148" t="inlineStr">
        <is>
          <t>Same product (sheet set) in the same material family: Bamboo viscose (product page material: Rayon); ours: our listing: viscose from bamboo.</t>
        </is>
      </c>
    </row>
    <row r="93">
      <c r="A93" s="148">
        <f>AND(E93="US",OR('US Dashboard'!$C$4="All",'US Dashboard'!$C$4=D93),OR('US Dashboard'!$C$5="All",'US Dashboard'!$C$5=G93),OR('US Dashboard'!$C$6="All",'US Dashboard'!$C$6=H93),OR('US Dashboard'!$C$7="All",'US Dashboard'!$C$7=F93),OR('US Dashboard'!$C$8="All",'US Dashboard'!$C$8=AJ93))</f>
        <v/>
      </c>
      <c r="B93" s="148">
        <f>IF(A93,B92+1,B92)</f>
        <v/>
      </c>
      <c r="C93" s="148" t="n">
        <v>30</v>
      </c>
      <c r="D93" s="148" t="inlineStr">
        <is>
          <t>DC B6</t>
        </is>
      </c>
      <c r="E93" s="148" t="inlineStr">
        <is>
          <t>US</t>
        </is>
      </c>
      <c r="F93" s="148" t="inlineStr">
        <is>
          <t>Bamboo</t>
        </is>
      </c>
      <c r="G93" s="148" t="inlineStr">
        <is>
          <t>GOKOTTA</t>
        </is>
      </c>
      <c r="H93" s="148" t="inlineStr">
        <is>
          <t>Beatable</t>
        </is>
      </c>
      <c r="I93" s="148" t="inlineStr">
        <is>
          <t>GOKOTTA King Bamboo Rayon Sheets Set, Silky Soft Cooling Sheets Stay Put</t>
        </is>
      </c>
      <c r="J93" s="148" t="inlineStr">
        <is>
          <t>https://images-na.ssl-images-amazon.com/images/I/81EdgN1LRmL.jpg</t>
        </is>
      </c>
      <c r="K93" s="148" t="inlineStr">
        <is>
          <t>B09WV7RN1V</t>
        </is>
      </c>
      <c r="L93" s="148" t="inlineStr">
        <is>
          <t>B0BR53P7DY</t>
        </is>
      </c>
      <c r="M93" s="148" t="n">
        <v>99</v>
      </c>
      <c r="N93" s="148" t="n">
        <v>109</v>
      </c>
      <c r="O93" s="148" t="n"/>
      <c r="P93" s="148">
        <f>IF(AND(ISNUMBER(O93),ISNUMBER(N93),N(N93)&gt;0),O93/N93-1,"")</f>
        <v/>
      </c>
      <c r="Q93" s="148" t="n">
        <v>99.98999999999999</v>
      </c>
      <c r="R93" s="148">
        <f>IF(AND(ISNUMBER(N93),ISNUMBER(Q93),N(Q93)&gt;0),N93/Q93-1,"")</f>
        <v/>
      </c>
      <c r="S93" s="148" t="n">
        <v>16154</v>
      </c>
      <c r="T93" s="148" t="n">
        <v>35</v>
      </c>
      <c r="U93" s="148" t="n">
        <v>4.4</v>
      </c>
      <c r="V93" s="148" t="n">
        <v>3371</v>
      </c>
      <c r="W93" s="148" t="n">
        <v>76017</v>
      </c>
      <c r="X93" s="148" t="n">
        <v>0.8206756843863878</v>
      </c>
      <c r="Y93" s="148" t="n">
        <v>491</v>
      </c>
      <c r="Z93" s="148" t="n">
        <v>167</v>
      </c>
      <c r="AA93" s="148" t="n">
        <v>218</v>
      </c>
      <c r="AB93" s="148" t="n"/>
      <c r="AC93" s="148" t="inlineStr">
        <is>
          <t>US DC B6</t>
        </is>
      </c>
      <c r="AD93" s="148">
        <f>'US DC B6'!BF145</f>
        <v/>
      </c>
      <c r="AE93" s="148">
        <f>'US DC B6'!BI145</f>
        <v/>
      </c>
      <c r="AF93" s="148" t="inlineStr">
        <is>
          <t>King - 4 PCS</t>
        </is>
      </c>
      <c r="AG93" s="148" t="inlineStr">
        <is>
          <t>00 Bright White</t>
        </is>
      </c>
      <c r="AH93" s="148">
        <f>AND(E93="CA",OR('CA Dashboard'!$C$4="All",'CA Dashboard'!$C$4=D93),OR('CA Dashboard'!$C$5="All",'CA Dashboard'!$C$5=G93),OR('CA Dashboard'!$C$6="All",'CA Dashboard'!$C$6=H93),OR('CA Dashboard'!$C$7="All",'CA Dashboard'!$C$7=F93),OR('CA Dashboard'!$C$8="All",'CA Dashboard'!$C$8=AJ93))</f>
        <v/>
      </c>
      <c r="AI93" s="148">
        <f>IF(AH93,AI92+1,AI92)</f>
        <v/>
      </c>
      <c r="AJ93" s="148" t="inlineStr">
        <is>
          <t>Direct</t>
        </is>
      </c>
      <c r="AK93" s="148" t="inlineStr">
        <is>
          <t>Same product (sheet set) in the same material family: Bamboo viscose (product page material: Bamboo Rayon); ours: our listing: viscose from bamboo.</t>
        </is>
      </c>
    </row>
    <row r="94">
      <c r="A94" s="148">
        <f>AND(E94="US",OR('US Dashboard'!$C$4="All",'US Dashboard'!$C$4=D94),OR('US Dashboard'!$C$5="All",'US Dashboard'!$C$5=G94),OR('US Dashboard'!$C$6="All",'US Dashboard'!$C$6=H94),OR('US Dashboard'!$C$7="All",'US Dashboard'!$C$7=F94),OR('US Dashboard'!$C$8="All",'US Dashboard'!$C$8=AJ94))</f>
        <v/>
      </c>
      <c r="B94" s="148">
        <f>IF(A94,B93+1,B93)</f>
        <v/>
      </c>
      <c r="C94" s="148" t="n">
        <v>30</v>
      </c>
      <c r="D94" s="148" t="inlineStr">
        <is>
          <t>DC B6</t>
        </is>
      </c>
      <c r="E94" s="148" t="inlineStr">
        <is>
          <t>US</t>
        </is>
      </c>
      <c r="F94" s="148" t="inlineStr">
        <is>
          <t>Bamboo</t>
        </is>
      </c>
      <c r="G94" s="148" t="inlineStr">
        <is>
          <t>KARISSA MAE</t>
        </is>
      </c>
      <c r="H94" s="148" t="inlineStr">
        <is>
          <t>Beatable</t>
        </is>
      </c>
      <c r="I94" s="148" t="inlineStr">
        <is>
          <t>Cooling Sheets</t>
        </is>
      </c>
      <c r="J94" s="148" t="inlineStr">
        <is>
          <t>https://images-na.ssl-images-amazon.com/images/I/71rcYip7GcL.jpg</t>
        </is>
      </c>
      <c r="K94" s="148" t="inlineStr">
        <is>
          <t>B0GT172Y8L</t>
        </is>
      </c>
      <c r="L94" s="148" t="inlineStr">
        <is>
          <t>B0G1CSCQTB</t>
        </is>
      </c>
      <c r="M94" s="148" t="n">
        <v>138</v>
      </c>
      <c r="N94" s="148" t="n">
        <v>119.99</v>
      </c>
      <c r="O94" s="148" t="n"/>
      <c r="P94" s="148">
        <f>IF(AND(ISNUMBER(O94),ISNUMBER(N94),N(N94)&gt;0),O94/N94-1,"")</f>
        <v/>
      </c>
      <c r="Q94" s="148" t="n">
        <v>99.98999999999999</v>
      </c>
      <c r="R94" s="148">
        <f>IF(AND(ISNUMBER(N94),ISNUMBER(Q94),N(Q94)&gt;0),N94/Q94-1,"")</f>
        <v/>
      </c>
      <c r="S94" s="148" t="n">
        <v>15914</v>
      </c>
      <c r="T94" s="148" t="n">
        <v>35</v>
      </c>
      <c r="U94" s="148" t="n">
        <v>4.3</v>
      </c>
      <c r="V94" s="148" t="n">
        <v>474</v>
      </c>
      <c r="W94" s="148" t="n">
        <v>243610</v>
      </c>
      <c r="X94" s="148" t="n">
        <v>0.1385290000410493</v>
      </c>
      <c r="Y94" s="148" t="n">
        <v>772</v>
      </c>
      <c r="Z94" s="148" t="n">
        <v>551</v>
      </c>
      <c r="AA94" s="148" t="n">
        <v>1255</v>
      </c>
      <c r="AB94" s="148" t="n">
        <v>2.102564102564103</v>
      </c>
      <c r="AC94" s="148" t="inlineStr">
        <is>
          <t>US DC B6</t>
        </is>
      </c>
      <c r="AD94" s="148">
        <f>'US DC B6'!BF146</f>
        <v/>
      </c>
      <c r="AE94" s="148">
        <f>'US DC B6'!BI146</f>
        <v/>
      </c>
      <c r="AF94" s="148" t="inlineStr">
        <is>
          <t>King - 2 Pillowcases</t>
        </is>
      </c>
      <c r="AG94" s="148" t="inlineStr">
        <is>
          <t>10 - Mocha</t>
        </is>
      </c>
      <c r="AH94" s="148">
        <f>AND(E94="CA",OR('CA Dashboard'!$C$4="All",'CA Dashboard'!$C$4=D94),OR('CA Dashboard'!$C$5="All",'CA Dashboard'!$C$5=G94),OR('CA Dashboard'!$C$6="All",'CA Dashboard'!$C$6=H94),OR('CA Dashboard'!$C$7="All",'CA Dashboard'!$C$7=F94),OR('CA Dashboard'!$C$8="All",'CA Dashboard'!$C$8=AJ94))</f>
        <v/>
      </c>
      <c r="AI94" s="148">
        <f>IF(AH94,AI93+1,AI93)</f>
        <v/>
      </c>
      <c r="AJ94" s="148" t="inlineStr">
        <is>
          <t>Direct</t>
        </is>
      </c>
      <c r="AK94" s="148" t="inlineStr">
        <is>
          <t>Same product (sheet set) in the same material family: Bamboo viscose (product page material: Organically Grown Bamboo Viscose); ours: our listing: viscose from bamboo.</t>
        </is>
      </c>
    </row>
    <row r="95">
      <c r="A95" s="148">
        <f>AND(E95="US",OR('US Dashboard'!$C$4="All",'US Dashboard'!$C$4=D95),OR('US Dashboard'!$C$5="All",'US Dashboard'!$C$5=G95),OR('US Dashboard'!$C$6="All",'US Dashboard'!$C$6=H95),OR('US Dashboard'!$C$7="All",'US Dashboard'!$C$7=F95),OR('US Dashboard'!$C$8="All",'US Dashboard'!$C$8=AJ95))</f>
        <v/>
      </c>
      <c r="B95" s="148">
        <f>IF(A95,B94+1,B94)</f>
        <v/>
      </c>
      <c r="C95" s="148" t="n">
        <v>30</v>
      </c>
      <c r="D95" s="148" t="inlineStr">
        <is>
          <t>DC B6</t>
        </is>
      </c>
      <c r="E95" s="148" t="inlineStr">
        <is>
          <t>US</t>
        </is>
      </c>
      <c r="F95" s="148" t="inlineStr">
        <is>
          <t>Bamboo</t>
        </is>
      </c>
      <c r="G95" s="148" t="inlineStr">
        <is>
          <t>Bamboo Bay</t>
        </is>
      </c>
      <c r="H95" s="148" t="inlineStr">
        <is>
          <t>Beatable</t>
        </is>
      </c>
      <c r="I95" s="148" t="inlineStr">
        <is>
          <t>Bamboo Bay 4 Piece Queen Size Sheet Set, 100% Viscose Made from Bamboo, Breathab</t>
        </is>
      </c>
      <c r="J95" s="148" t="inlineStr">
        <is>
          <t>https://m.media-amazon.com/images/I/71sMGbbi-RL._AC_SL1500_.jpg</t>
        </is>
      </c>
      <c r="K95" s="148" t="inlineStr">
        <is>
          <t>B0DLD8982V</t>
        </is>
      </c>
      <c r="L95" s="148" t="inlineStr">
        <is>
          <t>B08M9QK14J</t>
        </is>
      </c>
      <c r="M95" s="148" t="n">
        <v>20</v>
      </c>
      <c r="N95" s="148" t="n">
        <v>89.98</v>
      </c>
      <c r="O95" s="148" t="n"/>
      <c r="P95" s="148">
        <f>IF(AND(ISNUMBER(O95),ISNUMBER(N95),N(N95)&gt;0),O95/N95-1,"")</f>
        <v/>
      </c>
      <c r="Q95" s="148" t="n">
        <v>94.98999999999999</v>
      </c>
      <c r="R95" s="148">
        <f>IF(AND(ISNUMBER(N95),ISNUMBER(Q95),N(Q95)&gt;0),N95/Q95-1,"")</f>
        <v/>
      </c>
      <c r="S95" s="148" t="n">
        <v>263209</v>
      </c>
      <c r="T95" s="148" t="n">
        <v>18</v>
      </c>
      <c r="U95" s="148" t="n">
        <v>4.4</v>
      </c>
      <c r="V95" s="148" t="n">
        <v>739</v>
      </c>
      <c r="W95" s="148" t="n">
        <v>67928</v>
      </c>
      <c r="X95" s="148" t="n">
        <v>0.313496176834295</v>
      </c>
      <c r="Y95" s="148" t="n">
        <v>376</v>
      </c>
      <c r="Z95" s="148" t="n">
        <v>135</v>
      </c>
      <c r="AA95" s="148" t="n">
        <v>253</v>
      </c>
      <c r="AB95" s="148" t="n">
        <v>0.7336182336182336</v>
      </c>
      <c r="AC95" s="148" t="inlineStr">
        <is>
          <t>US DC B6</t>
        </is>
      </c>
      <c r="AD95" s="148">
        <f>'US DC B6'!BF147</f>
        <v/>
      </c>
      <c r="AE95" s="148">
        <f>'US DC B6'!BI147</f>
        <v/>
      </c>
      <c r="AF95" s="148" t="inlineStr">
        <is>
          <t>Queen</t>
        </is>
      </c>
      <c r="AG95" s="148" t="inlineStr">
        <is>
          <t>01 - White</t>
        </is>
      </c>
      <c r="AH95" s="148">
        <f>AND(E95="CA",OR('CA Dashboard'!$C$4="All",'CA Dashboard'!$C$4=D95),OR('CA Dashboard'!$C$5="All",'CA Dashboard'!$C$5=G95),OR('CA Dashboard'!$C$6="All",'CA Dashboard'!$C$6=H95),OR('CA Dashboard'!$C$7="All",'CA Dashboard'!$C$7=F95),OR('CA Dashboard'!$C$8="All",'CA Dashboard'!$C$8=AJ95))</f>
        <v/>
      </c>
      <c r="AI95" s="148">
        <f>IF(AH95,AI94+1,AI94)</f>
        <v/>
      </c>
      <c r="AJ95" s="148" t="inlineStr">
        <is>
          <t>Direct</t>
        </is>
      </c>
      <c r="AK95" s="148" t="inlineStr">
        <is>
          <t>Same product (sheet set) in the same material family: Bamboo viscose (product page material: Viscose Made from Bamboo); ours: our listing: viscose from bamboo.</t>
        </is>
      </c>
    </row>
    <row r="96">
      <c r="A96" s="148">
        <f>AND(E96="US",OR('US Dashboard'!$C$4="All",'US Dashboard'!$C$4=D96),OR('US Dashboard'!$C$5="All",'US Dashboard'!$C$5=G96),OR('US Dashboard'!$C$6="All",'US Dashboard'!$C$6=H96),OR('US Dashboard'!$C$7="All",'US Dashboard'!$C$7=F96),OR('US Dashboard'!$C$8="All",'US Dashboard'!$C$8=AJ96))</f>
        <v/>
      </c>
      <c r="B96" s="148">
        <f>IF(A96,B95+1,B95)</f>
        <v/>
      </c>
      <c r="C96" s="148" t="n">
        <v>30</v>
      </c>
      <c r="D96" s="148" t="inlineStr">
        <is>
          <t>DC B6</t>
        </is>
      </c>
      <c r="E96" s="148" t="inlineStr">
        <is>
          <t>US</t>
        </is>
      </c>
      <c r="F96" s="148" t="inlineStr">
        <is>
          <t>Bamboo</t>
        </is>
      </c>
      <c r="G96" s="148" t="inlineStr">
        <is>
          <t>California Design Den</t>
        </is>
      </c>
      <c r="H96" s="148" t="inlineStr">
        <is>
          <t>Beatable</t>
        </is>
      </c>
      <c r="I96" s="148" t="inlineStr">
        <is>
          <t>California Design Den 100% Viscose from Bamboo Sheets Queen, Dark Olive</t>
        </is>
      </c>
      <c r="J96" s="148" t="inlineStr">
        <is>
          <t>https://m.media-amazon.com/images/I/71MnWA4xzHL._AC_SL1500_.jpg</t>
        </is>
      </c>
      <c r="K96" s="148" t="inlineStr">
        <is>
          <t>B0HFBJPD56</t>
        </is>
      </c>
      <c r="L96" s="148" t="inlineStr">
        <is>
          <t>B0GWHPJ9SD</t>
        </is>
      </c>
      <c r="M96" s="148" t="n">
        <v>81</v>
      </c>
      <c r="N96" s="148" t="n">
        <v>89.98999999999999</v>
      </c>
      <c r="O96" s="148" t="n"/>
      <c r="P96" s="148">
        <f>IF(AND(ISNUMBER(O96),ISNUMBER(N96),N(N96)&gt;0),O96/N96-1,"")</f>
        <v/>
      </c>
      <c r="Q96" s="148" t="n">
        <v>94.98999999999999</v>
      </c>
      <c r="R96" s="148">
        <f>IF(AND(ISNUMBER(N96),ISNUMBER(Q96),N(Q96)&gt;0),N96/Q96-1,"")</f>
        <v/>
      </c>
      <c r="S96" s="148" t="n">
        <v>21237</v>
      </c>
      <c r="T96" s="148" t="n">
        <v>18</v>
      </c>
      <c r="U96" s="148" t="n">
        <v>4.6</v>
      </c>
      <c r="V96" s="148" t="n">
        <v>76</v>
      </c>
      <c r="W96" s="148" t="n">
        <v>103642</v>
      </c>
      <c r="X96" s="148" t="n">
        <v>0.8956907055054905</v>
      </c>
      <c r="Y96" s="148" t="n">
        <v>433</v>
      </c>
      <c r="Z96" s="148" t="n">
        <v>458</v>
      </c>
      <c r="AA96" s="148" t="n">
        <v>186</v>
      </c>
      <c r="AB96" s="148" t="n"/>
      <c r="AC96" s="148" t="inlineStr">
        <is>
          <t>US DC B6</t>
        </is>
      </c>
      <c r="AD96" s="148">
        <f>'US DC B6'!BF148</f>
        <v/>
      </c>
      <c r="AE96" s="148">
        <f>'US DC B6'!BI148</f>
        <v/>
      </c>
      <c r="AF96" s="148" t="inlineStr">
        <is>
          <t>Queen</t>
        </is>
      </c>
      <c r="AG96" s="148" t="inlineStr">
        <is>
          <t>Bright White</t>
        </is>
      </c>
      <c r="AH96" s="148">
        <f>AND(E96="CA",OR('CA Dashboard'!$C$4="All",'CA Dashboard'!$C$4=D96),OR('CA Dashboard'!$C$5="All",'CA Dashboard'!$C$5=G96),OR('CA Dashboard'!$C$6="All",'CA Dashboard'!$C$6=H96),OR('CA Dashboard'!$C$7="All",'CA Dashboard'!$C$7=F96),OR('CA Dashboard'!$C$8="All",'CA Dashboard'!$C$8=AJ96))</f>
        <v/>
      </c>
      <c r="AI96" s="148">
        <f>IF(AH96,AI95+1,AI95)</f>
        <v/>
      </c>
      <c r="AJ96" s="148" t="inlineStr">
        <is>
          <t>Direct</t>
        </is>
      </c>
      <c r="AK96" s="148" t="inlineStr">
        <is>
          <t>Same product (sheet set) in the same material family: Bamboo viscose (product page material: Viscose Derived from Bamboo); ours: our listing: viscose from bamboo.</t>
        </is>
      </c>
    </row>
    <row r="97">
      <c r="A97" s="148">
        <f>AND(E97="US",OR('US Dashboard'!$C$4="All",'US Dashboard'!$C$4=D97),OR('US Dashboard'!$C$5="All",'US Dashboard'!$C$5=G97),OR('US Dashboard'!$C$6="All",'US Dashboard'!$C$6=H97),OR('US Dashboard'!$C$7="All",'US Dashboard'!$C$7=F97),OR('US Dashboard'!$C$8="All",'US Dashboard'!$C$8=AJ97))</f>
        <v/>
      </c>
      <c r="B97" s="148">
        <f>IF(A97,B96+1,B96)</f>
        <v/>
      </c>
      <c r="C97" s="148" t="n">
        <v>30</v>
      </c>
      <c r="D97" s="148" t="inlineStr">
        <is>
          <t>DC B6</t>
        </is>
      </c>
      <c r="E97" s="148" t="inlineStr">
        <is>
          <t>US</t>
        </is>
      </c>
      <c r="F97" s="148" t="inlineStr">
        <is>
          <t>Bamboo</t>
        </is>
      </c>
      <c r="G97" s="148" t="inlineStr">
        <is>
          <t>TWK</t>
        </is>
      </c>
      <c r="H97" s="148" t="inlineStr">
        <is>
          <t>Beatable</t>
        </is>
      </c>
      <c r="I97" s="148" t="inlineStr">
        <is>
          <t>TWK Real 100% Viscose Derived from Bamboo Sheets Set Queen Size, Cooling &amp; Silky</t>
        </is>
      </c>
      <c r="J97" s="148" t="inlineStr">
        <is>
          <t>https://images-na.ssl-images-amazon.com/images/I/71X+0TBtodL.jpg</t>
        </is>
      </c>
      <c r="K97" s="148" t="inlineStr">
        <is>
          <t>B0HHQG3RSW</t>
        </is>
      </c>
      <c r="L97" s="148" t="inlineStr">
        <is>
          <t>B0G1N8QS55</t>
        </is>
      </c>
      <c r="M97" s="148" t="n">
        <v>13</v>
      </c>
      <c r="N97" s="148" t="n">
        <v>65</v>
      </c>
      <c r="O97" s="148" t="n">
        <v>79</v>
      </c>
      <c r="P97" s="148">
        <f>IF(AND(ISNUMBER(O97),ISNUMBER(N97),N(N97)&gt;0),O97/N97-1,"")</f>
        <v/>
      </c>
      <c r="Q97" s="148" t="n">
        <v>94.98999999999999</v>
      </c>
      <c r="R97" s="148">
        <f>IF(AND(ISNUMBER(N97),ISNUMBER(Q97),N(Q97)&gt;0),N97/Q97-1,"")</f>
        <v/>
      </c>
      <c r="S97" s="148" t="n">
        <v>196488</v>
      </c>
      <c r="T97" s="148" t="n">
        <v>18</v>
      </c>
      <c r="U97" s="148" t="n">
        <v>4.9</v>
      </c>
      <c r="V97" s="148" t="n">
        <v>121</v>
      </c>
      <c r="W97" s="148" t="n">
        <v>82471</v>
      </c>
      <c r="X97" s="148" t="n">
        <v>0.8861114561482216</v>
      </c>
      <c r="Y97" s="148" t="n">
        <v>388</v>
      </c>
      <c r="Z97" s="148" t="n">
        <v>263</v>
      </c>
      <c r="AA97" s="148" t="n">
        <v>27</v>
      </c>
      <c r="AB97" s="148" t="n"/>
      <c r="AC97" s="148" t="inlineStr">
        <is>
          <t>US DC B6</t>
        </is>
      </c>
      <c r="AD97" s="148">
        <f>'US DC B6'!BF149</f>
        <v/>
      </c>
      <c r="AE97" s="148">
        <f>'US DC B6'!BI149</f>
        <v/>
      </c>
      <c r="AF97" s="148" t="inlineStr">
        <is>
          <t>Queen</t>
        </is>
      </c>
      <c r="AG97" s="148" t="inlineStr">
        <is>
          <t>Sand</t>
        </is>
      </c>
      <c r="AH97" s="148">
        <f>AND(E97="CA",OR('CA Dashboard'!$C$4="All",'CA Dashboard'!$C$4=D97),OR('CA Dashboard'!$C$5="All",'CA Dashboard'!$C$5=G97),OR('CA Dashboard'!$C$6="All",'CA Dashboard'!$C$6=H97),OR('CA Dashboard'!$C$7="All",'CA Dashboard'!$C$7=F97),OR('CA Dashboard'!$C$8="All",'CA Dashboard'!$C$8=AJ97))</f>
        <v/>
      </c>
      <c r="AI97" s="148">
        <f>IF(AH97,AI96+1,AI96)</f>
        <v/>
      </c>
      <c r="AJ97" s="148" t="inlineStr">
        <is>
          <t>Direct</t>
        </is>
      </c>
      <c r="AK97" s="148" t="inlineStr">
        <is>
          <t>Same product (sheet set) in the same material family: Bamboo viscose (product page material: Genuine 100% Viscose Derived from Bamboo); ours: our listing: viscose from bamboo.</t>
        </is>
      </c>
    </row>
    <row r="98">
      <c r="A98" s="148">
        <f>AND(E98="US",OR('US Dashboard'!$C$4="All",'US Dashboard'!$C$4=D98),OR('US Dashboard'!$C$5="All",'US Dashboard'!$C$5=G98),OR('US Dashboard'!$C$6="All",'US Dashboard'!$C$6=H98),OR('US Dashboard'!$C$7="All",'US Dashboard'!$C$7=F98),OR('US Dashboard'!$C$8="All",'US Dashboard'!$C$8=AJ98))</f>
        <v/>
      </c>
      <c r="B98" s="148">
        <f>IF(A98,B97+1,B97)</f>
        <v/>
      </c>
      <c r="C98" s="148" t="n">
        <v>30</v>
      </c>
      <c r="D98" s="148" t="inlineStr">
        <is>
          <t>DC B6</t>
        </is>
      </c>
      <c r="E98" s="148" t="inlineStr">
        <is>
          <t>US</t>
        </is>
      </c>
      <c r="F98" s="148" t="inlineStr">
        <is>
          <t>Bamboo</t>
        </is>
      </c>
      <c r="G98" s="148" t="inlineStr">
        <is>
          <t>BAMPURE</t>
        </is>
      </c>
      <c r="H98" s="148" t="inlineStr">
        <is>
          <t>Beatable</t>
        </is>
      </c>
      <c r="I98" s="148" t="inlineStr">
        <is>
          <t>Bamboo Sheets</t>
        </is>
      </c>
      <c r="J98" s="148" t="inlineStr">
        <is>
          <t>https://m.media-amazon.com/images/I/61A6QLdfwQL._AC_SL1500_.jpg</t>
        </is>
      </c>
      <c r="K98" s="148" t="inlineStr">
        <is>
          <t>B07XC2KVM7</t>
        </is>
      </c>
      <c r="L98" s="148" t="inlineStr">
        <is>
          <t>B07XC2KVM7</t>
        </is>
      </c>
      <c r="M98" s="148" t="n"/>
      <c r="N98" s="148" t="n">
        <v>37.99</v>
      </c>
      <c r="O98" s="148" t="n"/>
      <c r="P98" s="148">
        <f>IF(AND(ISNUMBER(O98),ISNUMBER(N98),N(N98)&gt;0),O98/N98-1,"")</f>
        <v/>
      </c>
      <c r="Q98" s="148" t="n">
        <v>69.98999999999999</v>
      </c>
      <c r="R98" s="148">
        <f>IF(AND(ISNUMBER(N98),ISNUMBER(Q98),N(Q98)&gt;0),N98/Q98-1,"")</f>
        <v/>
      </c>
      <c r="S98" s="148" t="n">
        <v>2541068</v>
      </c>
      <c r="T98" s="148" t="n">
        <v>5</v>
      </c>
      <c r="U98" s="148" t="n">
        <v>4.4</v>
      </c>
      <c r="V98" s="148" t="n">
        <v>30</v>
      </c>
      <c r="W98" s="148" t="n"/>
      <c r="X98" s="148" t="n"/>
      <c r="Y98" s="148" t="n"/>
      <c r="Z98" s="148" t="n"/>
      <c r="AA98" s="148" t="n"/>
      <c r="AB98" s="148" t="n"/>
      <c r="AC98" s="148" t="inlineStr">
        <is>
          <t>US DC B6</t>
        </is>
      </c>
      <c r="AD98" s="148">
        <f>'US DC B6'!BF150</f>
        <v/>
      </c>
      <c r="AE98" s="148">
        <f>'US DC B6'!BI150</f>
        <v/>
      </c>
      <c r="AF98" s="148" t="inlineStr">
        <is>
          <t>Twin - 3 Pieces Set</t>
        </is>
      </c>
      <c r="AG98" s="148" t="inlineStr">
        <is>
          <t>White</t>
        </is>
      </c>
      <c r="AH98" s="148">
        <f>AND(E98="CA",OR('CA Dashboard'!$C$4="All",'CA Dashboard'!$C$4=D98),OR('CA Dashboard'!$C$5="All",'CA Dashboard'!$C$5=G98),OR('CA Dashboard'!$C$6="All",'CA Dashboard'!$C$6=H98),OR('CA Dashboard'!$C$7="All",'CA Dashboard'!$C$7=F98),OR('CA Dashboard'!$C$8="All",'CA Dashboard'!$C$8=AJ98))</f>
        <v/>
      </c>
      <c r="AI98" s="148">
        <f>IF(AH98,AI97+1,AI97)</f>
        <v/>
      </c>
      <c r="AJ98" s="148" t="inlineStr">
        <is>
          <t>Direct</t>
        </is>
      </c>
      <c r="AK98" s="148" t="inlineStr">
        <is>
          <t>Same product (sheet set) in the same material family: Bamboo viscose (product page material: Viscose derived from Bamboo); ours: our listing: viscose from bamboo.</t>
        </is>
      </c>
    </row>
    <row r="99">
      <c r="A99" s="148">
        <f>AND(E99="US",OR('US Dashboard'!$C$4="All",'US Dashboard'!$C$4=D99),OR('US Dashboard'!$C$5="All",'US Dashboard'!$C$5=G99),OR('US Dashboard'!$C$6="All",'US Dashboard'!$C$6=H99),OR('US Dashboard'!$C$7="All",'US Dashboard'!$C$7=F99),OR('US Dashboard'!$C$8="All",'US Dashboard'!$C$8=AJ99))</f>
        <v/>
      </c>
      <c r="B99" s="148">
        <f>IF(A99,B98+1,B98)</f>
        <v/>
      </c>
      <c r="C99" s="148" t="n">
        <v>30</v>
      </c>
      <c r="D99" s="148" t="inlineStr">
        <is>
          <t>DC B6</t>
        </is>
      </c>
      <c r="E99" s="148" t="inlineStr">
        <is>
          <t>US</t>
        </is>
      </c>
      <c r="F99" s="148" t="inlineStr">
        <is>
          <t>Bamboo</t>
        </is>
      </c>
      <c r="G99" s="148" t="inlineStr">
        <is>
          <t>BC BELLA COTERIE</t>
        </is>
      </c>
      <c r="H99" s="148" t="inlineStr">
        <is>
          <t>Beatable</t>
        </is>
      </c>
      <c r="I99" s="148" t="inlineStr">
        <is>
          <t>4 Piece Bamboo Sheet Set</t>
        </is>
      </c>
      <c r="J99" s="148" t="inlineStr">
        <is>
          <t>https://m.media-amazon.com/images/I/81BvQVXWCLL._AC_SL1500_.jpg</t>
        </is>
      </c>
      <c r="K99" s="148" t="inlineStr">
        <is>
          <t>B0H29V113N</t>
        </is>
      </c>
      <c r="L99" s="148" t="inlineStr">
        <is>
          <t>B0G674ZDTV</t>
        </is>
      </c>
      <c r="M99" s="148" t="n"/>
      <c r="N99" s="148" t="n">
        <v>159.99</v>
      </c>
      <c r="O99" s="148" t="n"/>
      <c r="P99" s="148">
        <f>IF(AND(ISNUMBER(O99),ISNUMBER(N99),N(N99)&gt;0),O99/N99-1,"")</f>
        <v/>
      </c>
      <c r="Q99" s="148" t="n">
        <v>94.98999999999999</v>
      </c>
      <c r="R99" s="148">
        <f>IF(AND(ISNUMBER(N99),ISNUMBER(Q99),N(Q99)&gt;0),N99/Q99-1,"")</f>
        <v/>
      </c>
      <c r="S99" s="148" t="n">
        <v>1577</v>
      </c>
      <c r="T99" s="148" t="n">
        <v>5</v>
      </c>
      <c r="U99" s="148" t="n">
        <v>4.4</v>
      </c>
      <c r="V99" s="148" t="n">
        <v>5652</v>
      </c>
      <c r="W99" s="148" t="n"/>
      <c r="X99" s="148" t="n"/>
      <c r="Y99" s="148" t="n"/>
      <c r="Z99" s="148" t="n"/>
      <c r="AA99" s="148" t="n"/>
      <c r="AB99" s="148" t="n"/>
      <c r="AC99" s="148" t="inlineStr">
        <is>
          <t>US DC B6</t>
        </is>
      </c>
      <c r="AD99" s="148">
        <f>'US DC B6'!BF151</f>
        <v/>
      </c>
      <c r="AE99" s="148">
        <f>'US DC B6'!BI151</f>
        <v/>
      </c>
      <c r="AF99" s="148" t="inlineStr">
        <is>
          <t>Queen - 2 Pillowcases</t>
        </is>
      </c>
      <c r="AG99" s="148" t="inlineStr">
        <is>
          <t>22 - Striped Dune</t>
        </is>
      </c>
      <c r="AH99" s="148">
        <f>AND(E99="CA",OR('CA Dashboard'!$C$4="All",'CA Dashboard'!$C$4=D99),OR('CA Dashboard'!$C$5="All",'CA Dashboard'!$C$5=G99),OR('CA Dashboard'!$C$6="All",'CA Dashboard'!$C$6=H99),OR('CA Dashboard'!$C$7="All",'CA Dashboard'!$C$7=F99),OR('CA Dashboard'!$C$8="All",'CA Dashboard'!$C$8=AJ99))</f>
        <v/>
      </c>
      <c r="AI99" s="148">
        <f>IF(AH99,AI98+1,AI98)</f>
        <v/>
      </c>
      <c r="AJ99" s="148" t="inlineStr">
        <is>
          <t>Direct</t>
        </is>
      </c>
      <c r="AK99" s="148" t="inlineStr">
        <is>
          <t>Same product (sheet set) in the same material family: Bamboo viscose (product page material: Organically Grown | Viscose Made From Bamboo); ours: our listing: viscose from bamboo.</t>
        </is>
      </c>
    </row>
    <row r="100">
      <c r="A100" s="148">
        <f>AND(E100="US",OR('US Dashboard'!$C$4="All",'US Dashboard'!$C$4=D100),OR('US Dashboard'!$C$5="All",'US Dashboard'!$C$5=G100),OR('US Dashboard'!$C$6="All",'US Dashboard'!$C$6=H100),OR('US Dashboard'!$C$7="All",'US Dashboard'!$C$7=F100),OR('US Dashboard'!$C$8="All",'US Dashboard'!$C$8=AJ100))</f>
        <v/>
      </c>
      <c r="B100" s="148">
        <f>IF(A100,B99+1,B99)</f>
        <v/>
      </c>
      <c r="C100" s="148" t="n">
        <v>30</v>
      </c>
      <c r="D100" s="148" t="inlineStr">
        <is>
          <t>DC B6</t>
        </is>
      </c>
      <c r="E100" s="148" t="inlineStr">
        <is>
          <t>US</t>
        </is>
      </c>
      <c r="F100" s="148" t="inlineStr">
        <is>
          <t>Bamboo</t>
        </is>
      </c>
      <c r="G100" s="148" t="inlineStr">
        <is>
          <t>Tafts</t>
        </is>
      </c>
      <c r="H100" s="148" t="inlineStr">
        <is>
          <t>Beatable</t>
        </is>
      </c>
      <c r="I100" s="148" t="inlineStr">
        <is>
          <t>Bamboo Sheets Queen Size, 100% Pure Viscose derived from Bamboo Bed Sheet Set, L</t>
        </is>
      </c>
      <c r="J100" s="148" t="inlineStr">
        <is>
          <t>https://m.media-amazon.com/images/I/71-mwiI1N+L._AC_SL1500_.jpg</t>
        </is>
      </c>
      <c r="K100" s="148" t="inlineStr">
        <is>
          <t>B0D34K3FB9</t>
        </is>
      </c>
      <c r="L100" s="148" t="inlineStr">
        <is>
          <t>B07YSVNCVT</t>
        </is>
      </c>
      <c r="M100" s="148" t="n">
        <v>23</v>
      </c>
      <c r="N100" s="148" t="n">
        <v>104.99</v>
      </c>
      <c r="O100" s="148" t="n"/>
      <c r="P100" s="148">
        <f>IF(AND(ISNUMBER(O100),ISNUMBER(N100),N(N100)&gt;0),O100/N100-1,"")</f>
        <v/>
      </c>
      <c r="Q100" s="148" t="n">
        <v>94.98999999999999</v>
      </c>
      <c r="R100" s="148">
        <f>IF(AND(ISNUMBER(N100),ISNUMBER(Q100),N(Q100)&gt;0),N100/Q100-1,"")</f>
        <v/>
      </c>
      <c r="S100" s="148" t="n">
        <v>184749</v>
      </c>
      <c r="T100" s="148" t="n">
        <v>5</v>
      </c>
      <c r="U100" s="148" t="n">
        <v>4.5</v>
      </c>
      <c r="V100" s="148" t="n">
        <v>3184</v>
      </c>
      <c r="W100" s="148" t="n">
        <v>11787</v>
      </c>
      <c r="X100" s="148" t="n">
        <v>0.9613189955035204</v>
      </c>
      <c r="Y100" s="148" t="n">
        <v>180</v>
      </c>
      <c r="Z100" s="148" t="n">
        <v>26</v>
      </c>
      <c r="AA100" s="148" t="n">
        <v>13</v>
      </c>
      <c r="AB100" s="148" t="n"/>
      <c r="AC100" s="148" t="inlineStr">
        <is>
          <t>US DC B6</t>
        </is>
      </c>
      <c r="AD100" s="148">
        <f>'US DC B6'!BF152</f>
        <v/>
      </c>
      <c r="AE100" s="148">
        <f>'US DC B6'!BI152</f>
        <v/>
      </c>
      <c r="AF100" s="148" t="inlineStr">
        <is>
          <t>Queen</t>
        </is>
      </c>
      <c r="AG100" s="148" t="inlineStr">
        <is>
          <t>Nude Beige</t>
        </is>
      </c>
      <c r="AH100" s="148">
        <f>AND(E100="CA",OR('CA Dashboard'!$C$4="All",'CA Dashboard'!$C$4=D100),OR('CA Dashboard'!$C$5="All",'CA Dashboard'!$C$5=G100),OR('CA Dashboard'!$C$6="All",'CA Dashboard'!$C$6=H100),OR('CA Dashboard'!$C$7="All",'CA Dashboard'!$C$7=F100),OR('CA Dashboard'!$C$8="All",'CA Dashboard'!$C$8=AJ100))</f>
        <v/>
      </c>
      <c r="AI100" s="148">
        <f>IF(AH100,AI99+1,AI99)</f>
        <v/>
      </c>
      <c r="AJ100" s="148" t="inlineStr">
        <is>
          <t>Direct</t>
        </is>
      </c>
      <c r="AK100" s="148" t="inlineStr">
        <is>
          <t>Same product (sheet set) in the same material family: Bamboo viscose (product page material: Viscose derived from Bamboo); ours: our listing: viscose from bamboo.</t>
        </is>
      </c>
    </row>
    <row r="101">
      <c r="A101" s="148">
        <f>AND(E101="US",OR('US Dashboard'!$C$4="All",'US Dashboard'!$C$4=D101),OR('US Dashboard'!$C$5="All",'US Dashboard'!$C$5=G101),OR('US Dashboard'!$C$6="All",'US Dashboard'!$C$6=H101),OR('US Dashboard'!$C$7="All",'US Dashboard'!$C$7=F101),OR('US Dashboard'!$C$8="All",'US Dashboard'!$C$8=AJ101))</f>
        <v/>
      </c>
      <c r="B101" s="148">
        <f>IF(A101,B100+1,B100)</f>
        <v/>
      </c>
      <c r="C101" s="148" t="n">
        <v>30</v>
      </c>
      <c r="D101" s="148" t="inlineStr">
        <is>
          <t>DC B6</t>
        </is>
      </c>
      <c r="E101" s="148" t="inlineStr">
        <is>
          <t>US</t>
        </is>
      </c>
      <c r="F101" s="148" t="inlineStr">
        <is>
          <t>Bamboo</t>
        </is>
      </c>
      <c r="G101" s="148" t="inlineStr">
        <is>
          <t>TWK</t>
        </is>
      </c>
      <c r="H101" s="148" t="inlineStr">
        <is>
          <t>Beatable</t>
        </is>
      </c>
      <c r="I101" s="148" t="inlineStr">
        <is>
          <t>TWK Real 100% Viscose Derived from Bamboo Sheets Set Queen Size, Cooling &amp; Silky</t>
        </is>
      </c>
      <c r="J101" s="148" t="inlineStr">
        <is>
          <t>https://m.media-amazon.com/images/I/71QUqgRttAL._AC_SL1500_.jpg</t>
        </is>
      </c>
      <c r="K101" s="148" t="inlineStr">
        <is>
          <t>B0HHQG3RSW</t>
        </is>
      </c>
      <c r="L101" s="148" t="inlineStr">
        <is>
          <t>B0HHRR4XGX</t>
        </is>
      </c>
      <c r="M101" s="148" t="n">
        <v>1</v>
      </c>
      <c r="N101" s="148" t="n">
        <v>105</v>
      </c>
      <c r="O101" s="148" t="n"/>
      <c r="P101" s="148">
        <f>IF(AND(ISNUMBER(O101),ISNUMBER(N101),N(N101)&gt;0),O101/N101-1,"")</f>
        <v/>
      </c>
      <c r="Q101" s="148" t="n">
        <v>94.98999999999999</v>
      </c>
      <c r="R101" s="148">
        <f>IF(AND(ISNUMBER(N101),ISNUMBER(Q101),N(Q101)&gt;0),N101/Q101-1,"")</f>
        <v/>
      </c>
      <c r="S101" s="148" t="n"/>
      <c r="T101" s="148" t="n">
        <v>5</v>
      </c>
      <c r="U101" s="148" t="n">
        <v>4.5</v>
      </c>
      <c r="V101" s="148" t="n"/>
      <c r="W101" s="148" t="n">
        <v>30066</v>
      </c>
      <c r="X101" s="148" t="n">
        <v>1</v>
      </c>
      <c r="Y101" s="148" t="n">
        <v>64</v>
      </c>
      <c r="Z101" s="148" t="n">
        <v>8</v>
      </c>
      <c r="AA101" s="148" t="n">
        <v>0</v>
      </c>
      <c r="AB101" s="148" t="n"/>
      <c r="AC101" s="148" t="inlineStr">
        <is>
          <t>US DC B6</t>
        </is>
      </c>
      <c r="AD101" s="148">
        <f>'US DC B6'!BF153</f>
        <v/>
      </c>
      <c r="AE101" s="148">
        <f>'US DC B6'!BI153</f>
        <v/>
      </c>
      <c r="AF101" s="148" t="inlineStr">
        <is>
          <t>Queen</t>
        </is>
      </c>
      <c r="AG101" s="148" t="inlineStr">
        <is>
          <t>White</t>
        </is>
      </c>
      <c r="AH101" s="148">
        <f>AND(E101="CA",OR('CA Dashboard'!$C$4="All",'CA Dashboard'!$C$4=D101),OR('CA Dashboard'!$C$5="All",'CA Dashboard'!$C$5=G101),OR('CA Dashboard'!$C$6="All",'CA Dashboard'!$C$6=H101),OR('CA Dashboard'!$C$7="All",'CA Dashboard'!$C$7=F101),OR('CA Dashboard'!$C$8="All",'CA Dashboard'!$C$8=AJ101))</f>
        <v/>
      </c>
      <c r="AI101" s="148">
        <f>IF(AH101,AI100+1,AI100)</f>
        <v/>
      </c>
      <c r="AJ101" s="148" t="inlineStr">
        <is>
          <t>Direct</t>
        </is>
      </c>
      <c r="AK101" s="148" t="inlineStr">
        <is>
          <t>Same product (sheet set) in the same material family: Bamboo viscose (product page material: Genuine 100% Viscose Derived from Bamboo); ours: our listing: viscose from bamboo.</t>
        </is>
      </c>
    </row>
    <row r="102">
      <c r="A102" s="148">
        <f>AND(E102="US",OR('US Dashboard'!$C$4="All",'US Dashboard'!$C$4=D102),OR('US Dashboard'!$C$5="All",'US Dashboard'!$C$5=G102),OR('US Dashboard'!$C$6="All",'US Dashboard'!$C$6=H102),OR('US Dashboard'!$C$7="All",'US Dashboard'!$C$7=F102),OR('US Dashboard'!$C$8="All",'US Dashboard'!$C$8=AJ102))</f>
        <v/>
      </c>
      <c r="B102" s="148">
        <f>IF(A102,B101+1,B101)</f>
        <v/>
      </c>
      <c r="C102" s="148" t="n">
        <v>30</v>
      </c>
      <c r="D102" s="148" t="inlineStr">
        <is>
          <t>DC B6</t>
        </is>
      </c>
      <c r="E102" s="148" t="inlineStr">
        <is>
          <t>US</t>
        </is>
      </c>
      <c r="F102" s="148" t="inlineStr">
        <is>
          <t>Bamboo</t>
        </is>
      </c>
      <c r="G102" s="148" t="inlineStr">
        <is>
          <t>TOSMO</t>
        </is>
      </c>
      <c r="H102" s="148" t="inlineStr">
        <is>
          <t>Beatable</t>
        </is>
      </c>
      <c r="I102" s="148" t="inlineStr">
        <is>
          <t>TOSMO Luxury Cooling Sheet Set - 100% Viscose from Bamboo, 4-Piece Bedding Set (King Size) - 18” Extra Deep Pockets, Oeko-Tex Certified, Silky Soft and Breathable, Classic White</t>
        </is>
      </c>
      <c r="J102" s="148" t="n"/>
      <c r="K102" s="148" t="n"/>
      <c r="L102" s="148" t="inlineStr">
        <is>
          <t>B0DWXNH24Z</t>
        </is>
      </c>
      <c r="M102" s="148" t="n"/>
      <c r="N102" s="148" t="n">
        <v>129</v>
      </c>
      <c r="O102" s="148" t="n"/>
      <c r="P102" s="148">
        <f>IF(AND(ISNUMBER(O102),ISNUMBER(N102),N(N102)&gt;0),O102/N102-1,"")</f>
        <v/>
      </c>
      <c r="Q102" s="148" t="n">
        <v>99.98999999999999</v>
      </c>
      <c r="R102" s="148">
        <f>IF(AND(ISNUMBER(N102),ISNUMBER(Q102),N(Q102)&gt;0),N102/Q102-1,"")</f>
        <v/>
      </c>
      <c r="S102" s="148" t="n">
        <v>543947</v>
      </c>
      <c r="T102" s="148" t="n"/>
      <c r="U102" s="148" t="n">
        <v>4.4</v>
      </c>
      <c r="V102" s="148" t="n">
        <v>53</v>
      </c>
      <c r="W102" s="148" t="n"/>
      <c r="X102" s="148" t="n"/>
      <c r="Y102" s="148" t="n"/>
      <c r="Z102" s="148" t="n"/>
      <c r="AA102" s="148" t="n"/>
      <c r="AB102" s="148" t="n"/>
      <c r="AC102" s="148" t="inlineStr">
        <is>
          <t>US DC B6</t>
        </is>
      </c>
      <c r="AD102" s="148">
        <f>'US DC B6'!BF154</f>
        <v/>
      </c>
      <c r="AE102" s="148">
        <f>'US DC B6'!BI154</f>
        <v/>
      </c>
      <c r="AF102" s="148" t="inlineStr">
        <is>
          <t>King</t>
        </is>
      </c>
      <c r="AG102" s="148" t="inlineStr">
        <is>
          <t>White</t>
        </is>
      </c>
      <c r="AH102" s="148">
        <f>AND(E102="CA",OR('CA Dashboard'!$C$4="All",'CA Dashboard'!$C$4=D102),OR('CA Dashboard'!$C$5="All",'CA Dashboard'!$C$5=G102),OR('CA Dashboard'!$C$6="All",'CA Dashboard'!$C$6=H102),OR('CA Dashboard'!$C$7="All",'CA Dashboard'!$C$7=F102),OR('CA Dashboard'!$C$8="All",'CA Dashboard'!$C$8=AJ102))</f>
        <v/>
      </c>
      <c r="AI102" s="148">
        <f>IF(AH102,AI101+1,AI101)</f>
        <v/>
      </c>
      <c r="AJ102" s="148" t="inlineStr">
        <is>
          <t>Direct</t>
        </is>
      </c>
      <c r="AK102" s="148" t="inlineStr">
        <is>
          <t>Same product (sheet set) in the same material family: Bamboo viscose (title: TOSMO Luxury Cooling Sheet Set - 100% Viscose from Bamboo, 4); ours: our listing: viscose from bamboo.</t>
        </is>
      </c>
    </row>
    <row r="103">
      <c r="A103" s="148">
        <f>AND(E103="US",OR('US Dashboard'!$C$4="All",'US Dashboard'!$C$4=D103),OR('US Dashboard'!$C$5="All",'US Dashboard'!$C$5=G103),OR('US Dashboard'!$C$6="All",'US Dashboard'!$C$6=H103),OR('US Dashboard'!$C$7="All",'US Dashboard'!$C$7=F103),OR('US Dashboard'!$C$8="All",'US Dashboard'!$C$8=AJ103))</f>
        <v/>
      </c>
      <c r="B103" s="148">
        <f>IF(A103,B102+1,B102)</f>
        <v/>
      </c>
      <c r="C103" s="148" t="n">
        <v>30</v>
      </c>
      <c r="D103" s="148" t="inlineStr">
        <is>
          <t>DC B6</t>
        </is>
      </c>
      <c r="E103" s="148" t="inlineStr">
        <is>
          <t>US</t>
        </is>
      </c>
      <c r="F103" s="148" t="inlineStr">
        <is>
          <t>Bamboo</t>
        </is>
      </c>
      <c r="G103" s="148" t="inlineStr">
        <is>
          <t>BAMPURE</t>
        </is>
      </c>
      <c r="H103" s="148" t="inlineStr">
        <is>
          <t>Beatable</t>
        </is>
      </c>
      <c r="I103" s="148" t="inlineStr">
        <is>
          <t>BAMPURE 100% Rayon from Bamboo Sheets Queen Size - 4pc Cooling Sheets Queen</t>
        </is>
      </c>
      <c r="J103" s="148" t="inlineStr">
        <is>
          <t>https://images-na.ssl-images-amazon.com/images/I/61fbapIObwL.jpg</t>
        </is>
      </c>
      <c r="K103" s="148" t="n"/>
      <c r="L103" s="148" t="inlineStr">
        <is>
          <t>B07XBJY2JR</t>
        </is>
      </c>
      <c r="M103" s="148" t="n">
        <v>40</v>
      </c>
      <c r="N103" s="148" t="n">
        <v>72.23</v>
      </c>
      <c r="O103" s="148" t="n"/>
      <c r="P103" s="148">
        <f>IF(AND(ISNUMBER(O103),ISNUMBER(N103),N(N103)&gt;0),O103/N103-1,"")</f>
        <v/>
      </c>
      <c r="Q103" s="148" t="n">
        <v>94.98999999999999</v>
      </c>
      <c r="R103" s="148">
        <f>IF(AND(ISNUMBER(N103),ISNUMBER(Q103),N(Q103)&gt;0),N103/Q103-1,"")</f>
        <v/>
      </c>
      <c r="S103" s="148" t="n">
        <v>14474</v>
      </c>
      <c r="T103" s="148" t="n"/>
      <c r="U103" s="148" t="n">
        <v>4.4</v>
      </c>
      <c r="V103" s="148" t="n">
        <v>4320</v>
      </c>
      <c r="W103" s="148" t="n"/>
      <c r="X103" s="148" t="n"/>
      <c r="Y103" s="148" t="n"/>
      <c r="Z103" s="148" t="n"/>
      <c r="AA103" s="148" t="n"/>
      <c r="AB103" s="148" t="n"/>
      <c r="AC103" s="148" t="inlineStr">
        <is>
          <t>US DC B6</t>
        </is>
      </c>
      <c r="AD103" s="148">
        <f>'US DC B6'!BF155</f>
        <v/>
      </c>
      <c r="AE103" s="148">
        <f>'US DC B6'!BI155</f>
        <v/>
      </c>
      <c r="AF103" s="148" t="inlineStr">
        <is>
          <t>Queen</t>
        </is>
      </c>
      <c r="AG103" s="148" t="n"/>
      <c r="AH103" s="148">
        <f>AND(E103="CA",OR('CA Dashboard'!$C$4="All",'CA Dashboard'!$C$4=D103),OR('CA Dashboard'!$C$5="All",'CA Dashboard'!$C$5=G103),OR('CA Dashboard'!$C$6="All",'CA Dashboard'!$C$6=H103),OR('CA Dashboard'!$C$7="All",'CA Dashboard'!$C$7=F103),OR('CA Dashboard'!$C$8="All",'CA Dashboard'!$C$8=AJ103))</f>
        <v/>
      </c>
      <c r="AI103" s="148">
        <f>IF(AH103,AI102+1,AI102)</f>
        <v/>
      </c>
      <c r="AJ103" s="148" t="inlineStr">
        <is>
          <t>Direct</t>
        </is>
      </c>
      <c r="AK103" s="148" t="inlineStr">
        <is>
          <t>Same product (sheet set) in the same material family: Bamboo viscose (title: BAMPURE 100% Rayon from Bamboo Sheets Queen Size - 4pc Cooli); ours: our listing: viscose from bamboo.</t>
        </is>
      </c>
    </row>
    <row r="104">
      <c r="A104" s="148">
        <f>AND(E104="US",OR('US Dashboard'!$C$4="All",'US Dashboard'!$C$4=D104),OR('US Dashboard'!$C$5="All",'US Dashboard'!$C$5=G104),OR('US Dashboard'!$C$6="All",'US Dashboard'!$C$6=H104),OR('US Dashboard'!$C$7="All",'US Dashboard'!$C$7=F104),OR('US Dashboard'!$C$8="All",'US Dashboard'!$C$8=AJ104))</f>
        <v/>
      </c>
      <c r="B104" s="148">
        <f>IF(A104,B103+1,B103)</f>
        <v/>
      </c>
      <c r="C104" s="148" t="n">
        <v>30</v>
      </c>
      <c r="D104" s="148" t="inlineStr">
        <is>
          <t>DC B6</t>
        </is>
      </c>
      <c r="E104" s="148" t="inlineStr">
        <is>
          <t>US</t>
        </is>
      </c>
      <c r="F104" s="148" t="inlineStr">
        <is>
          <t>Bamboo</t>
        </is>
      </c>
      <c r="G104" s="148" t="inlineStr">
        <is>
          <t>AiAngu</t>
        </is>
      </c>
      <c r="H104" s="148" t="inlineStr">
        <is>
          <t>Poor</t>
        </is>
      </c>
      <c r="I104" s="148" t="inlineStr">
        <is>
          <t>Bamboo Sheets</t>
        </is>
      </c>
      <c r="J104" s="148" t="inlineStr">
        <is>
          <t>https://m.media-amazon.com/images/I/71m+WEzQwhL._AC_SL1500_.jpg</t>
        </is>
      </c>
      <c r="K104" s="148" t="inlineStr">
        <is>
          <t>B0GX135KCN</t>
        </is>
      </c>
      <c r="L104" s="148" t="inlineStr">
        <is>
          <t>B0GX15Y7TT</t>
        </is>
      </c>
      <c r="M104" s="148" t="n"/>
      <c r="N104" s="148" t="n">
        <v>74.98999999999999</v>
      </c>
      <c r="O104" s="148" t="n">
        <v>79.98999999999999</v>
      </c>
      <c r="P104" s="148">
        <f>IF(AND(ISNUMBER(O104),ISNUMBER(N104),N(N104)&gt;0),O104/N104-1,"")</f>
        <v/>
      </c>
      <c r="Q104" s="148" t="n">
        <v>94.98999999999999</v>
      </c>
      <c r="R104" s="148">
        <f>IF(AND(ISNUMBER(N104),ISNUMBER(Q104),N(Q104)&gt;0),N104/Q104-1,"")</f>
        <v/>
      </c>
      <c r="S104" s="148" t="n">
        <v>39296</v>
      </c>
      <c r="T104" s="148" t="n">
        <v>81</v>
      </c>
      <c r="U104" s="148" t="n">
        <v>4.6</v>
      </c>
      <c r="V104" s="148" t="n">
        <v>121</v>
      </c>
      <c r="W104" s="148" t="n"/>
      <c r="X104" s="148" t="n"/>
      <c r="Y104" s="148" t="n"/>
      <c r="Z104" s="148" t="n"/>
      <c r="AA104" s="148" t="n"/>
      <c r="AB104" s="148" t="n"/>
      <c r="AC104" s="148" t="inlineStr">
        <is>
          <t>US DC B6</t>
        </is>
      </c>
      <c r="AD104" s="148">
        <f>'US DC B6'!BF156</f>
        <v/>
      </c>
      <c r="AE104" s="148">
        <f>'US DC B6'!BI156</f>
        <v/>
      </c>
      <c r="AF104" s="148" t="inlineStr">
        <is>
          <t>Queen</t>
        </is>
      </c>
      <c r="AG104" s="148" t="inlineStr">
        <is>
          <t>Dark Grey</t>
        </is>
      </c>
      <c r="AH104" s="148">
        <f>AND(E104="CA",OR('CA Dashboard'!$C$4="All",'CA Dashboard'!$C$4=D104),OR('CA Dashboard'!$C$5="All",'CA Dashboard'!$C$5=G104),OR('CA Dashboard'!$C$6="All",'CA Dashboard'!$C$6=H104),OR('CA Dashboard'!$C$7="All",'CA Dashboard'!$C$7=F104),OR('CA Dashboard'!$C$8="All",'CA Dashboard'!$C$8=AJ104))</f>
        <v/>
      </c>
      <c r="AI104" s="148">
        <f>IF(AH104,AI103+1,AI103)</f>
        <v/>
      </c>
      <c r="AJ104" s="148" t="inlineStr">
        <is>
          <t>Direct</t>
        </is>
      </c>
      <c r="AK104" s="148" t="inlineStr">
        <is>
          <t>Same product (sheet set) in the same material family: Bamboo viscose (product page material: Rayon Derived from Bamboo); ours: our listing: viscose from bamboo.</t>
        </is>
      </c>
    </row>
    <row r="105">
      <c r="A105" s="148">
        <f>AND(E105="US",OR('US Dashboard'!$C$4="All",'US Dashboard'!$C$4=D105),OR('US Dashboard'!$C$5="All",'US Dashboard'!$C$5=G105),OR('US Dashboard'!$C$6="All",'US Dashboard'!$C$6=H105),OR('US Dashboard'!$C$7="All",'US Dashboard'!$C$7=F105),OR('US Dashboard'!$C$8="All",'US Dashboard'!$C$8=AJ105))</f>
        <v/>
      </c>
      <c r="B105" s="148">
        <f>IF(A105,B104+1,B104)</f>
        <v/>
      </c>
      <c r="C105" s="148" t="n">
        <v>30</v>
      </c>
      <c r="D105" s="148" t="inlineStr">
        <is>
          <t>DC B6</t>
        </is>
      </c>
      <c r="E105" s="148" t="inlineStr">
        <is>
          <t>US</t>
        </is>
      </c>
      <c r="F105" s="148" t="inlineStr">
        <is>
          <t>Bamboo</t>
        </is>
      </c>
      <c r="G105" s="148" t="inlineStr">
        <is>
          <t>Cariloha</t>
        </is>
      </c>
      <c r="H105" s="148" t="inlineStr">
        <is>
          <t>Poor</t>
        </is>
      </c>
      <c r="I105" s="148" t="inlineStr">
        <is>
          <t>Cariloha Aloha Soft Bamboo Viscose Sheet Set - Natural - Queen</t>
        </is>
      </c>
      <c r="J105" s="148" t="inlineStr">
        <is>
          <t>https://images-na.ssl-images-amazon.com/images/I/71Kvq1YdGJL.jpg</t>
        </is>
      </c>
      <c r="K105" s="148" t="inlineStr">
        <is>
          <t>B0F89K7BXJ</t>
        </is>
      </c>
      <c r="L105" s="148" t="inlineStr">
        <is>
          <t>B0DJV1K332</t>
        </is>
      </c>
      <c r="M105" s="148" t="n">
        <v>35</v>
      </c>
      <c r="N105" s="148" t="n">
        <v>107.1</v>
      </c>
      <c r="O105" s="148" t="n"/>
      <c r="P105" s="148">
        <f>IF(AND(ISNUMBER(O105),ISNUMBER(N105),N(N105)&gt;0),O105/N105-1,"")</f>
        <v/>
      </c>
      <c r="Q105" s="148" t="n">
        <v>94.98999999999999</v>
      </c>
      <c r="R105" s="148">
        <f>IF(AND(ISNUMBER(N105),ISNUMBER(Q105),N(Q105)&gt;0),N105/Q105-1,"")</f>
        <v/>
      </c>
      <c r="S105" s="148" t="n">
        <v>15882</v>
      </c>
      <c r="T105" s="148" t="n">
        <v>81</v>
      </c>
      <c r="U105" s="148" t="n">
        <v>4.4</v>
      </c>
      <c r="V105" s="148" t="n">
        <v>426</v>
      </c>
      <c r="W105" s="148" t="n"/>
      <c r="X105" s="148" t="n"/>
      <c r="Y105" s="148" t="n"/>
      <c r="Z105" s="148" t="n"/>
      <c r="AA105" s="148" t="n"/>
      <c r="AB105" s="148" t="n"/>
      <c r="AC105" s="148" t="inlineStr">
        <is>
          <t>US DC B6</t>
        </is>
      </c>
      <c r="AD105" s="148">
        <f>'US DC B6'!BF157</f>
        <v/>
      </c>
      <c r="AE105" s="148">
        <f>'US DC B6'!BI157</f>
        <v/>
      </c>
      <c r="AF105" s="148" t="inlineStr">
        <is>
          <t>Queen</t>
        </is>
      </c>
      <c r="AG105" s="148" t="inlineStr">
        <is>
          <t>Natural</t>
        </is>
      </c>
      <c r="AH105" s="148">
        <f>AND(E105="CA",OR('CA Dashboard'!$C$4="All",'CA Dashboard'!$C$4=D105),OR('CA Dashboard'!$C$5="All",'CA Dashboard'!$C$5=G105),OR('CA Dashboard'!$C$6="All",'CA Dashboard'!$C$6=H105),OR('CA Dashboard'!$C$7="All",'CA Dashboard'!$C$7=F105),OR('CA Dashboard'!$C$8="All",'CA Dashboard'!$C$8=AJ105))</f>
        <v/>
      </c>
      <c r="AI105" s="148">
        <f>IF(AH105,AI104+1,AI104)</f>
        <v/>
      </c>
      <c r="AJ105" s="148" t="inlineStr">
        <is>
          <t>Direct</t>
        </is>
      </c>
      <c r="AK105" s="148" t="inlineStr">
        <is>
          <t>Same product (sheet set) in the same material family: Bamboo viscose (product page material: Viscose derived from Bamboo); ours: our listing: viscose from bamboo.</t>
        </is>
      </c>
    </row>
    <row r="106">
      <c r="A106" s="148">
        <f>AND(E106="US",OR('US Dashboard'!$C$4="All",'US Dashboard'!$C$4=D106),OR('US Dashboard'!$C$5="All",'US Dashboard'!$C$5=G106),OR('US Dashboard'!$C$6="All",'US Dashboard'!$C$6=H106),OR('US Dashboard'!$C$7="All",'US Dashboard'!$C$7=F106),OR('US Dashboard'!$C$8="All",'US Dashboard'!$C$8=AJ106))</f>
        <v/>
      </c>
      <c r="B106" s="148">
        <f>IF(A106,B105+1,B105)</f>
        <v/>
      </c>
      <c r="C106" s="148" t="n">
        <v>30</v>
      </c>
      <c r="D106" s="148" t="inlineStr">
        <is>
          <t>DC B6</t>
        </is>
      </c>
      <c r="E106" s="148" t="inlineStr">
        <is>
          <t>US</t>
        </is>
      </c>
      <c r="F106" s="148" t="inlineStr">
        <is>
          <t>Bamboo</t>
        </is>
      </c>
      <c r="G106" s="148" t="inlineStr">
        <is>
          <t>Cozy Earth</t>
        </is>
      </c>
      <c r="H106" s="148" t="inlineStr">
        <is>
          <t>Poor</t>
        </is>
      </c>
      <c r="I106" s="148" t="inlineStr">
        <is>
          <t>Cozy Earth Luxury Bed Sheet Set, 100% Viscose from Bamboo Fabric</t>
        </is>
      </c>
      <c r="J106" s="148" t="inlineStr">
        <is>
          <t>https://images-na.ssl-images-amazon.com/images/I/61NbNWE+BJL.jpg</t>
        </is>
      </c>
      <c r="K106" s="148" t="inlineStr">
        <is>
          <t>B0DSQ9V4ML</t>
        </is>
      </c>
      <c r="L106" s="148" t="inlineStr">
        <is>
          <t>B0F22JR4S8</t>
        </is>
      </c>
      <c r="M106" s="148" t="n">
        <v>54</v>
      </c>
      <c r="N106" s="148" t="n">
        <v>328</v>
      </c>
      <c r="O106" s="148" t="n"/>
      <c r="P106" s="148">
        <f>IF(AND(ISNUMBER(O106),ISNUMBER(N106),N(N106)&gt;0),O106/N106-1,"")</f>
        <v/>
      </c>
      <c r="Q106" s="148" t="n">
        <v>99.98999999999999</v>
      </c>
      <c r="R106" s="148">
        <f>IF(AND(ISNUMBER(N106),ISNUMBER(Q106),N(Q106)&gt;0),N106/Q106-1,"")</f>
        <v/>
      </c>
      <c r="S106" s="148" t="n">
        <v>45709</v>
      </c>
      <c r="T106" s="148" t="n">
        <v>35</v>
      </c>
      <c r="U106" s="148" t="n">
        <v>3.9</v>
      </c>
      <c r="V106" s="148" t="n">
        <v>425</v>
      </c>
      <c r="W106" s="148" t="n"/>
      <c r="X106" s="148" t="n"/>
      <c r="Y106" s="148" t="n"/>
      <c r="Z106" s="148" t="n"/>
      <c r="AA106" s="148" t="n"/>
      <c r="AB106" s="148" t="n"/>
      <c r="AC106" s="148" t="inlineStr">
        <is>
          <t>US DC B6</t>
        </is>
      </c>
      <c r="AD106" s="148">
        <f>'US DC B6'!BF158</f>
        <v/>
      </c>
      <c r="AE106" s="148">
        <f>'US DC B6'!BI158</f>
        <v/>
      </c>
      <c r="AF106" s="148" t="inlineStr">
        <is>
          <t>King</t>
        </is>
      </c>
      <c r="AG106" s="148" t="inlineStr">
        <is>
          <t>White</t>
        </is>
      </c>
      <c r="AH106" s="148">
        <f>AND(E106="CA",OR('CA Dashboard'!$C$4="All",'CA Dashboard'!$C$4=D106),OR('CA Dashboard'!$C$5="All",'CA Dashboard'!$C$5=G106),OR('CA Dashboard'!$C$6="All",'CA Dashboard'!$C$6=H106),OR('CA Dashboard'!$C$7="All",'CA Dashboard'!$C$7=F106),OR('CA Dashboard'!$C$8="All",'CA Dashboard'!$C$8=AJ106))</f>
        <v/>
      </c>
      <c r="AI106" s="148">
        <f>IF(AH106,AI105+1,AI105)</f>
        <v/>
      </c>
      <c r="AJ106" s="148" t="inlineStr">
        <is>
          <t>Direct</t>
        </is>
      </c>
      <c r="AK106" s="148" t="inlineStr">
        <is>
          <t>Same product (sheet set) in the same material family: Bamboo viscose (product page material: Viscose from Bamboo); ours: our listing: viscose from bamboo.</t>
        </is>
      </c>
    </row>
    <row r="107">
      <c r="A107" s="148">
        <f>AND(E107="US",OR('US Dashboard'!$C$4="All",'US Dashboard'!$C$4=D107),OR('US Dashboard'!$C$5="All",'US Dashboard'!$C$5=G107),OR('US Dashboard'!$C$6="All",'US Dashboard'!$C$6=H107),OR('US Dashboard'!$C$7="All",'US Dashboard'!$C$7=F107),OR('US Dashboard'!$C$8="All",'US Dashboard'!$C$8=AJ107))</f>
        <v/>
      </c>
      <c r="B107" s="148">
        <f>IF(A107,B106+1,B106)</f>
        <v/>
      </c>
      <c r="C107" s="148" t="n">
        <v>30</v>
      </c>
      <c r="D107" s="148" t="inlineStr">
        <is>
          <t>DC B6</t>
        </is>
      </c>
      <c r="E107" s="148" t="inlineStr">
        <is>
          <t>US</t>
        </is>
      </c>
      <c r="F107" s="148" t="inlineStr">
        <is>
          <t>Bamboo</t>
        </is>
      </c>
      <c r="G107" s="148" t="inlineStr">
        <is>
          <t>DREAMCARE</t>
        </is>
      </c>
      <c r="H107" s="148" t="inlineStr">
        <is>
          <t>Poor</t>
        </is>
      </c>
      <c r="I107" s="148" t="inlineStr">
        <is>
          <t>DREAMCARE 100% Rayon Bamboo Sheets King Size - 4pc Cooling Sheets King Size</t>
        </is>
      </c>
      <c r="J107" s="148" t="inlineStr">
        <is>
          <t>https://images-na.ssl-images-amazon.com/images/I/61iqSV9TaLL.jpg</t>
        </is>
      </c>
      <c r="K107" s="148" t="inlineStr">
        <is>
          <t>B0DVZFLVMG</t>
        </is>
      </c>
      <c r="L107" s="148" t="inlineStr">
        <is>
          <t>B0CF2MND41</t>
        </is>
      </c>
      <c r="M107" s="148" t="n">
        <v>30</v>
      </c>
      <c r="N107" s="148" t="n">
        <v>46.74</v>
      </c>
      <c r="O107" s="148" t="n">
        <v>59.99</v>
      </c>
      <c r="P107" s="148">
        <f>IF(AND(ISNUMBER(O107),ISNUMBER(N107),N(N107)&gt;0),O107/N107-1,"")</f>
        <v/>
      </c>
      <c r="Q107" s="148" t="n">
        <v>99.98999999999999</v>
      </c>
      <c r="R107" s="148">
        <f>IF(AND(ISNUMBER(N107),ISNUMBER(Q107),N(Q107)&gt;0),N107/Q107-1,"")</f>
        <v/>
      </c>
      <c r="S107" s="148" t="n">
        <v>37217</v>
      </c>
      <c r="T107" s="148" t="n">
        <v>35</v>
      </c>
      <c r="U107" s="148" t="n">
        <v>4.5</v>
      </c>
      <c r="V107" s="148" t="n">
        <v>2261</v>
      </c>
      <c r="W107" s="148" t="n"/>
      <c r="X107" s="148" t="n"/>
      <c r="Y107" s="148" t="n"/>
      <c r="Z107" s="148" t="n"/>
      <c r="AA107" s="148" t="n"/>
      <c r="AB107" s="148" t="n"/>
      <c r="AC107" s="148" t="inlineStr">
        <is>
          <t>US DC B6</t>
        </is>
      </c>
      <c r="AD107" s="148">
        <f>'US DC B6'!BF159</f>
        <v/>
      </c>
      <c r="AE107" s="148">
        <f>'US DC B6'!BI159</f>
        <v/>
      </c>
      <c r="AF107" s="148" t="inlineStr">
        <is>
          <t>King</t>
        </is>
      </c>
      <c r="AG107" s="148" t="inlineStr">
        <is>
          <t>5 - Gray</t>
        </is>
      </c>
      <c r="AH107" s="148">
        <f>AND(E107="CA",OR('CA Dashboard'!$C$4="All",'CA Dashboard'!$C$4=D107),OR('CA Dashboard'!$C$5="All",'CA Dashboard'!$C$5=G107),OR('CA Dashboard'!$C$6="All",'CA Dashboard'!$C$6=H107),OR('CA Dashboard'!$C$7="All",'CA Dashboard'!$C$7=F107),OR('CA Dashboard'!$C$8="All",'CA Dashboard'!$C$8=AJ107))</f>
        <v/>
      </c>
      <c r="AI107" s="148">
        <f>IF(AH107,AI106+1,AI106)</f>
        <v/>
      </c>
      <c r="AJ107" s="148" t="inlineStr">
        <is>
          <t>Direct</t>
        </is>
      </c>
      <c r="AK107" s="148" t="inlineStr">
        <is>
          <t>Same product (sheet set) in the same material family: Bamboo viscose (product page material: Viscose derived from Bamboo); ours: our listing: viscose from bamboo.</t>
        </is>
      </c>
    </row>
    <row r="108">
      <c r="A108" s="148">
        <f>AND(E108="US",OR('US Dashboard'!$C$4="All",'US Dashboard'!$C$4=D108),OR('US Dashboard'!$C$5="All",'US Dashboard'!$C$5=G108),OR('US Dashboard'!$C$6="All",'US Dashboard'!$C$6=H108),OR('US Dashboard'!$C$7="All",'US Dashboard'!$C$7=F108),OR('US Dashboard'!$C$8="All",'US Dashboard'!$C$8=AJ108))</f>
        <v/>
      </c>
      <c r="B108" s="148">
        <f>IF(A108,B107+1,B107)</f>
        <v/>
      </c>
      <c r="C108" s="148" t="n">
        <v>30</v>
      </c>
      <c r="D108" s="148" t="inlineStr">
        <is>
          <t>DC B6</t>
        </is>
      </c>
      <c r="E108" s="148" t="inlineStr">
        <is>
          <t>US</t>
        </is>
      </c>
      <c r="F108" s="148" t="inlineStr">
        <is>
          <t>Bamboo</t>
        </is>
      </c>
      <c r="G108" s="148" t="inlineStr">
        <is>
          <t>HOT SLEEPER SHEETS</t>
        </is>
      </c>
      <c r="H108" s="148" t="inlineStr">
        <is>
          <t>Poor</t>
        </is>
      </c>
      <c r="I108" s="148" t="inlineStr">
        <is>
          <t>Cooling Sheets Set Queen Size, Viscose Derived from Bamboo for Hot Sleepers | Deep Pocket Up to 16 Inch | Silky Soft &amp; Breathable Bedding - 4PC (Queen, Navy)</t>
        </is>
      </c>
      <c r="J108" s="148" t="inlineStr">
        <is>
          <t>https://images-na.ssl-images-amazon.com/images/I/81noqNc+ZjL.jpg</t>
        </is>
      </c>
      <c r="K108" s="148" t="inlineStr">
        <is>
          <t>B0DM3GDCTR</t>
        </is>
      </c>
      <c r="L108" s="148" t="inlineStr">
        <is>
          <t>B0D3XQM7DL</t>
        </is>
      </c>
      <c r="M108" s="148" t="n">
        <v>74</v>
      </c>
      <c r="N108" s="148" t="n">
        <v>51.29</v>
      </c>
      <c r="O108" s="148" t="n">
        <v>62.99</v>
      </c>
      <c r="P108" s="148">
        <f>IF(AND(ISNUMBER(O108),ISNUMBER(N108),N(N108)&gt;0),O108/N108-1,"")</f>
        <v/>
      </c>
      <c r="Q108" s="148" t="n">
        <v>94.98999999999999</v>
      </c>
      <c r="R108" s="148">
        <f>IF(AND(ISNUMBER(N108),ISNUMBER(Q108),N(Q108)&gt;0),N108/Q108-1,"")</f>
        <v/>
      </c>
      <c r="S108" s="148" t="n">
        <v>33959</v>
      </c>
      <c r="T108" s="148" t="n">
        <v>35</v>
      </c>
      <c r="U108" s="148" t="n">
        <v>4.4</v>
      </c>
      <c r="V108" s="148" t="n">
        <v>674</v>
      </c>
      <c r="W108" s="148" t="n"/>
      <c r="X108" s="148" t="n"/>
      <c r="Y108" s="148" t="n"/>
      <c r="Z108" s="148" t="n"/>
      <c r="AA108" s="148" t="n"/>
      <c r="AB108" s="148" t="n"/>
      <c r="AC108" s="148" t="inlineStr">
        <is>
          <t>US DC B6</t>
        </is>
      </c>
      <c r="AD108" s="148">
        <f>'US DC B6'!BF160</f>
        <v/>
      </c>
      <c r="AE108" s="148">
        <f>'US DC B6'!BI160</f>
        <v/>
      </c>
      <c r="AF108" s="148" t="inlineStr">
        <is>
          <t>Queen</t>
        </is>
      </c>
      <c r="AG108" s="148" t="inlineStr">
        <is>
          <t>Navy</t>
        </is>
      </c>
      <c r="AH108" s="148">
        <f>AND(E108="CA",OR('CA Dashboard'!$C$4="All",'CA Dashboard'!$C$4=D108),OR('CA Dashboard'!$C$5="All",'CA Dashboard'!$C$5=G108),OR('CA Dashboard'!$C$6="All",'CA Dashboard'!$C$6=H108),OR('CA Dashboard'!$C$7="All",'CA Dashboard'!$C$7=F108),OR('CA Dashboard'!$C$8="All",'CA Dashboard'!$C$8=AJ108))</f>
        <v/>
      </c>
      <c r="AI108" s="148">
        <f>IF(AH108,AI107+1,AI107)</f>
        <v/>
      </c>
      <c r="AJ108" s="148" t="inlineStr">
        <is>
          <t>Direct</t>
        </is>
      </c>
      <c r="AK108" s="148" t="inlineStr">
        <is>
          <t>Same product (sheet set) in the same material family: Bamboo viscose (title: Cooling Sheets Set Queen Size, Viscose Derived from Bamboo f); ours: our listing: viscose from bamboo.</t>
        </is>
      </c>
    </row>
    <row r="109">
      <c r="A109" s="148">
        <f>AND(E109="US",OR('US Dashboard'!$C$4="All",'US Dashboard'!$C$4=D109),OR('US Dashboard'!$C$5="All",'US Dashboard'!$C$5=G109),OR('US Dashboard'!$C$6="All",'US Dashboard'!$C$6=H109),OR('US Dashboard'!$C$7="All",'US Dashboard'!$C$7=F109),OR('US Dashboard'!$C$8="All",'US Dashboard'!$C$8=AJ109))</f>
        <v/>
      </c>
      <c r="B109" s="148">
        <f>IF(A109,B108+1,B108)</f>
        <v/>
      </c>
      <c r="C109" s="148" t="n">
        <v>30</v>
      </c>
      <c r="D109" s="148" t="inlineStr">
        <is>
          <t>DC B6</t>
        </is>
      </c>
      <c r="E109" s="148" t="inlineStr">
        <is>
          <t>US</t>
        </is>
      </c>
      <c r="F109" s="148" t="inlineStr">
        <is>
          <t>Bamboo</t>
        </is>
      </c>
      <c r="G109" s="148" t="inlineStr">
        <is>
          <t>Shilucheng</t>
        </is>
      </c>
      <c r="H109" s="148" t="inlineStr">
        <is>
          <t>Poor</t>
        </is>
      </c>
      <c r="I109" s="148" t="inlineStr">
        <is>
          <t>Shilucheng 100% Viscose Derived from Bamboo_ Sheets Queen Size 4pcs</t>
        </is>
      </c>
      <c r="J109" s="148" t="inlineStr">
        <is>
          <t>https://images-na.ssl-images-amazon.com/images/I/71+O+E9PlaL.jpg</t>
        </is>
      </c>
      <c r="K109" s="148" t="inlineStr">
        <is>
          <t>B0HK5V5KL1</t>
        </is>
      </c>
      <c r="L109" s="148" t="inlineStr">
        <is>
          <t>B09PYKYCCF</t>
        </is>
      </c>
      <c r="M109" s="148" t="n">
        <v>79</v>
      </c>
      <c r="N109" s="148" t="n">
        <v>46.66</v>
      </c>
      <c r="O109" s="148" t="n">
        <v>54.9</v>
      </c>
      <c r="P109" s="148">
        <f>IF(AND(ISNUMBER(O109),ISNUMBER(N109),N(N109)&gt;0),O109/N109-1,"")</f>
        <v/>
      </c>
      <c r="Q109" s="148" t="n">
        <v>94.98999999999999</v>
      </c>
      <c r="R109" s="148">
        <f>IF(AND(ISNUMBER(N109),ISNUMBER(Q109),N(Q109)&gt;0),N109/Q109-1,"")</f>
        <v/>
      </c>
      <c r="S109" s="148" t="n">
        <v>26043</v>
      </c>
      <c r="T109" s="148" t="n">
        <v>35</v>
      </c>
      <c r="U109" s="148" t="n">
        <v>4.4</v>
      </c>
      <c r="V109" s="148" t="n">
        <v>6629</v>
      </c>
      <c r="W109" s="148" t="n"/>
      <c r="X109" s="148" t="n"/>
      <c r="Y109" s="148" t="n"/>
      <c r="Z109" s="148" t="n"/>
      <c r="AA109" s="148" t="n"/>
      <c r="AB109" s="148" t="n"/>
      <c r="AC109" s="148" t="inlineStr">
        <is>
          <t>US DC B6</t>
        </is>
      </c>
      <c r="AD109" s="148">
        <f>'US DC B6'!BF161</f>
        <v/>
      </c>
      <c r="AE109" s="148">
        <f>'US DC B6'!BI161</f>
        <v/>
      </c>
      <c r="AF109" s="148" t="inlineStr">
        <is>
          <t>Queen</t>
        </is>
      </c>
      <c r="AG109" s="148" t="inlineStr">
        <is>
          <t>01 - Dark Grey</t>
        </is>
      </c>
      <c r="AH109" s="148">
        <f>AND(E109="CA",OR('CA Dashboard'!$C$4="All",'CA Dashboard'!$C$4=D109),OR('CA Dashboard'!$C$5="All",'CA Dashboard'!$C$5=G109),OR('CA Dashboard'!$C$6="All",'CA Dashboard'!$C$6=H109),OR('CA Dashboard'!$C$7="All",'CA Dashboard'!$C$7=F109),OR('CA Dashboard'!$C$8="All",'CA Dashboard'!$C$8=AJ109))</f>
        <v/>
      </c>
      <c r="AI109" s="148">
        <f>IF(AH109,AI108+1,AI108)</f>
        <v/>
      </c>
      <c r="AJ109" s="148" t="inlineStr">
        <is>
          <t>Direct</t>
        </is>
      </c>
      <c r="AK109" s="148" t="inlineStr">
        <is>
          <t>Same product (sheet set) in the same material family: Bamboo viscose (product page material: Viscose Derived from Bamboo); ours: our listing: viscose from bamboo.</t>
        </is>
      </c>
    </row>
    <row r="110">
      <c r="A110" s="148">
        <f>AND(E110="US",OR('US Dashboard'!$C$4="All",'US Dashboard'!$C$4=D110),OR('US Dashboard'!$C$5="All",'US Dashboard'!$C$5=G110),OR('US Dashboard'!$C$6="All",'US Dashboard'!$C$6=H110),OR('US Dashboard'!$C$7="All",'US Dashboard'!$C$7=F110),OR('US Dashboard'!$C$8="All",'US Dashboard'!$C$8=AJ110))</f>
        <v/>
      </c>
      <c r="B110" s="148">
        <f>IF(A110,B109+1,B109)</f>
        <v/>
      </c>
      <c r="C110" s="148" t="n">
        <v>30</v>
      </c>
      <c r="D110" s="148" t="inlineStr">
        <is>
          <t>DC B6</t>
        </is>
      </c>
      <c r="E110" s="148" t="inlineStr">
        <is>
          <t>US</t>
        </is>
      </c>
      <c r="F110" s="148" t="inlineStr">
        <is>
          <t>Bamboo</t>
        </is>
      </c>
      <c r="G110" s="148" t="inlineStr">
        <is>
          <t>Bamtek</t>
        </is>
      </c>
      <c r="H110" s="148" t="inlineStr">
        <is>
          <t>Poor</t>
        </is>
      </c>
      <c r="I110" s="148" t="inlineStr">
        <is>
          <t>Viscose Bamboo Sheets Queen Size 4PC Set - Cooling Bedding for Hot Sleepers with</t>
        </is>
      </c>
      <c r="J110" s="148" t="inlineStr">
        <is>
          <t>https://m.media-amazon.com/images/I/71zexS-HoPL._AC_SL1500_.jpg</t>
        </is>
      </c>
      <c r="K110" s="148" t="inlineStr">
        <is>
          <t>B0CZHCZQZ3</t>
        </is>
      </c>
      <c r="L110" s="148" t="inlineStr">
        <is>
          <t>B09TQ6ZVKZ</t>
        </is>
      </c>
      <c r="M110" s="148" t="n"/>
      <c r="N110" s="148" t="n">
        <v>94.98999999999999</v>
      </c>
      <c r="O110" s="148" t="n"/>
      <c r="P110" s="148">
        <f>IF(AND(ISNUMBER(O110),ISNUMBER(N110),N(N110)&gt;0),O110/N110-1,"")</f>
        <v/>
      </c>
      <c r="Q110" s="148" t="n">
        <v>94.98999999999999</v>
      </c>
      <c r="R110" s="148">
        <f>IF(AND(ISNUMBER(N110),ISNUMBER(Q110),N(Q110)&gt;0),N110/Q110-1,"")</f>
        <v/>
      </c>
      <c r="S110" s="148" t="n">
        <v>79376</v>
      </c>
      <c r="T110" s="148" t="n">
        <v>18</v>
      </c>
      <c r="U110" s="148" t="n">
        <v>4.4</v>
      </c>
      <c r="V110" s="148" t="n">
        <v>641</v>
      </c>
      <c r="W110" s="148" t="n"/>
      <c r="X110" s="148" t="n"/>
      <c r="Y110" s="148" t="n"/>
      <c r="Z110" s="148" t="n"/>
      <c r="AA110" s="148" t="n"/>
      <c r="AB110" s="148" t="n"/>
      <c r="AC110" s="148" t="inlineStr">
        <is>
          <t>US DC B6</t>
        </is>
      </c>
      <c r="AD110" s="148">
        <f>'US DC B6'!BF162</f>
        <v/>
      </c>
      <c r="AE110" s="148">
        <f>'US DC B6'!BI162</f>
        <v/>
      </c>
      <c r="AF110" s="148" t="inlineStr">
        <is>
          <t>Queen</t>
        </is>
      </c>
      <c r="AG110" s="148" t="inlineStr">
        <is>
          <t>Sage</t>
        </is>
      </c>
      <c r="AH110" s="148">
        <f>AND(E110="CA",OR('CA Dashboard'!$C$4="All",'CA Dashboard'!$C$4=D110),OR('CA Dashboard'!$C$5="All",'CA Dashboard'!$C$5=G110),OR('CA Dashboard'!$C$6="All",'CA Dashboard'!$C$6=H110),OR('CA Dashboard'!$C$7="All",'CA Dashboard'!$C$7=F110),OR('CA Dashboard'!$C$8="All",'CA Dashboard'!$C$8=AJ110))</f>
        <v/>
      </c>
      <c r="AI110" s="148">
        <f>IF(AH110,AI109+1,AI109)</f>
        <v/>
      </c>
      <c r="AJ110" s="148" t="inlineStr">
        <is>
          <t>Direct</t>
        </is>
      </c>
      <c r="AK110" s="148" t="inlineStr">
        <is>
          <t>Same product (sheet set) in the same material family: Bamboo viscose (product page material: Bamboo, Bamboo Viscose); ours: our listing: viscose from bamboo.</t>
        </is>
      </c>
    </row>
    <row r="111">
      <c r="A111" s="148">
        <f>AND(E111="US",OR('US Dashboard'!$C$4="All",'US Dashboard'!$C$4=D111),OR('US Dashboard'!$C$5="All",'US Dashboard'!$C$5=G111),OR('US Dashboard'!$C$6="All",'US Dashboard'!$C$6=H111),OR('US Dashboard'!$C$7="All",'US Dashboard'!$C$7=F111),OR('US Dashboard'!$C$8="All",'US Dashboard'!$C$8=AJ111))</f>
        <v/>
      </c>
      <c r="B111" s="148">
        <f>IF(A111,B110+1,B110)</f>
        <v/>
      </c>
      <c r="C111" s="148" t="n">
        <v>30</v>
      </c>
      <c r="D111" s="148" t="inlineStr">
        <is>
          <t>DC B6</t>
        </is>
      </c>
      <c r="E111" s="148" t="inlineStr">
        <is>
          <t>US</t>
        </is>
      </c>
      <c r="F111" s="148" t="inlineStr">
        <is>
          <t>Bamboo</t>
        </is>
      </c>
      <c r="G111" s="148" t="inlineStr">
        <is>
          <t>JSD</t>
        </is>
      </c>
      <c r="H111" s="148" t="inlineStr">
        <is>
          <t>Poor</t>
        </is>
      </c>
      <c r="I111" s="148" t="inlineStr">
        <is>
          <t>JSD Sage Green 100% Viscose Derived from Bamboo Cooling Sheet Set Queen</t>
        </is>
      </c>
      <c r="J111" s="148" t="inlineStr">
        <is>
          <t>https://images-na.ssl-images-amazon.com/images/I/61imzycbiwL.jpg</t>
        </is>
      </c>
      <c r="K111" s="148" t="inlineStr">
        <is>
          <t>B0DTY15N29</t>
        </is>
      </c>
      <c r="L111" s="148" t="inlineStr">
        <is>
          <t>B0DSZTLBV1</t>
        </is>
      </c>
      <c r="M111" s="148" t="n">
        <v>32</v>
      </c>
      <c r="N111" s="148" t="n">
        <v>56.99</v>
      </c>
      <c r="O111" s="148" t="n"/>
      <c r="P111" s="148">
        <f>IF(AND(ISNUMBER(O111),ISNUMBER(N111),N(N111)&gt;0),O111/N111-1,"")</f>
        <v/>
      </c>
      <c r="Q111" s="148" t="n">
        <v>94.98999999999999</v>
      </c>
      <c r="R111" s="148">
        <f>IF(AND(ISNUMBER(N111),ISNUMBER(Q111),N(Q111)&gt;0),N111/Q111-1,"")</f>
        <v/>
      </c>
      <c r="S111" s="148" t="n">
        <v>76312</v>
      </c>
      <c r="T111" s="148" t="n">
        <v>18</v>
      </c>
      <c r="U111" s="148" t="n">
        <v>4.3</v>
      </c>
      <c r="V111" s="148" t="n">
        <v>281</v>
      </c>
      <c r="W111" s="148" t="n"/>
      <c r="X111" s="148" t="n"/>
      <c r="Y111" s="148" t="n"/>
      <c r="Z111" s="148" t="n"/>
      <c r="AA111" s="148" t="n"/>
      <c r="AB111" s="148" t="n"/>
      <c r="AC111" s="148" t="inlineStr">
        <is>
          <t>US DC B6</t>
        </is>
      </c>
      <c r="AD111" s="148">
        <f>'US DC B6'!BF163</f>
        <v/>
      </c>
      <c r="AE111" s="148">
        <f>'US DC B6'!BI163</f>
        <v/>
      </c>
      <c r="AF111" s="148" t="inlineStr">
        <is>
          <t>Queen</t>
        </is>
      </c>
      <c r="AG111" s="148" t="inlineStr">
        <is>
          <t>Green</t>
        </is>
      </c>
      <c r="AH111" s="148">
        <f>AND(E111="CA",OR('CA Dashboard'!$C$4="All",'CA Dashboard'!$C$4=D111),OR('CA Dashboard'!$C$5="All",'CA Dashboard'!$C$5=G111),OR('CA Dashboard'!$C$6="All",'CA Dashboard'!$C$6=H111),OR('CA Dashboard'!$C$7="All",'CA Dashboard'!$C$7=F111),OR('CA Dashboard'!$C$8="All",'CA Dashboard'!$C$8=AJ111))</f>
        <v/>
      </c>
      <c r="AI111" s="148">
        <f>IF(AH111,AI110+1,AI110)</f>
        <v/>
      </c>
      <c r="AJ111" s="148" t="inlineStr">
        <is>
          <t>Direct</t>
        </is>
      </c>
      <c r="AK111" s="148" t="inlineStr">
        <is>
          <t>Same product (sheet set) in the same material family: Bamboo viscose (title: JSD Sage Green 100% Viscose Derived from Bamboo Cooling Shee); ours: our listing: viscose from bamboo.</t>
        </is>
      </c>
    </row>
    <row r="112">
      <c r="A112" s="148">
        <f>AND(E112="US",OR('US Dashboard'!$C$4="All",'US Dashboard'!$C$4=D112),OR('US Dashboard'!$C$5="All",'US Dashboard'!$C$5=G112),OR('US Dashboard'!$C$6="All",'US Dashboard'!$C$6=H112),OR('US Dashboard'!$C$7="All",'US Dashboard'!$C$7=F112),OR('US Dashboard'!$C$8="All",'US Dashboard'!$C$8=AJ112))</f>
        <v/>
      </c>
      <c r="B112" s="148">
        <f>IF(A112,B111+1,B111)</f>
        <v/>
      </c>
      <c r="C112" s="148" t="n">
        <v>30</v>
      </c>
      <c r="D112" s="148" t="inlineStr">
        <is>
          <t>DC B6</t>
        </is>
      </c>
      <c r="E112" s="148" t="inlineStr">
        <is>
          <t>US</t>
        </is>
      </c>
      <c r="F112" s="148" t="inlineStr">
        <is>
          <t>Bamboo</t>
        </is>
      </c>
      <c r="G112" s="148" t="inlineStr">
        <is>
          <t>Kickoff Home</t>
        </is>
      </c>
      <c r="H112" s="148" t="inlineStr">
        <is>
          <t>Poor</t>
        </is>
      </c>
      <c r="I112" s="148" t="inlineStr">
        <is>
          <t>Bamboo Sheets</t>
        </is>
      </c>
      <c r="J112" s="148" t="inlineStr">
        <is>
          <t>https://images-na.ssl-images-amazon.com/images/I/71zrq2AtnUL.jpg</t>
        </is>
      </c>
      <c r="K112" s="148" t="inlineStr">
        <is>
          <t>B0D4KS4MVX</t>
        </is>
      </c>
      <c r="L112" s="148" t="inlineStr">
        <is>
          <t>B0CHN5ZPFH</t>
        </is>
      </c>
      <c r="M112" s="148" t="n">
        <v>106</v>
      </c>
      <c r="N112" s="148" t="n">
        <v>86.98999999999999</v>
      </c>
      <c r="O112" s="148" t="n">
        <v>84.98999999999999</v>
      </c>
      <c r="P112" s="148">
        <f>IF(AND(ISNUMBER(O112),ISNUMBER(N112),N(N112)&gt;0),O112/N112-1,"")</f>
        <v/>
      </c>
      <c r="Q112" s="148" t="n">
        <v>99.98999999999999</v>
      </c>
      <c r="R112" s="148">
        <f>IF(AND(ISNUMBER(N112),ISNUMBER(Q112),N(Q112)&gt;0),N112/Q112-1,"")</f>
        <v/>
      </c>
      <c r="S112" s="148" t="n">
        <v>23579</v>
      </c>
      <c r="T112" s="148" t="n">
        <v>18</v>
      </c>
      <c r="U112" s="148" t="n">
        <v>4.6</v>
      </c>
      <c r="V112" s="148" t="n">
        <v>688</v>
      </c>
      <c r="W112" s="148" t="n">
        <v>58169</v>
      </c>
      <c r="X112" s="148" t="n">
        <v>0.8765498702057799</v>
      </c>
      <c r="Y112" s="148" t="n">
        <v>395</v>
      </c>
      <c r="Z112" s="148" t="n">
        <v>185</v>
      </c>
      <c r="AA112" s="148" t="n">
        <v>45</v>
      </c>
      <c r="AB112" s="148" t="n"/>
      <c r="AC112" s="148" t="inlineStr">
        <is>
          <t>US DC B6</t>
        </is>
      </c>
      <c r="AD112" s="148">
        <f>'US DC B6'!BF164</f>
        <v/>
      </c>
      <c r="AE112" s="148">
        <f>'US DC B6'!BI164</f>
        <v/>
      </c>
      <c r="AF112" s="148" t="inlineStr">
        <is>
          <t>King</t>
        </is>
      </c>
      <c r="AG112" s="148" t="inlineStr">
        <is>
          <t>Sage Green</t>
        </is>
      </c>
      <c r="AH112" s="148">
        <f>AND(E112="CA",OR('CA Dashboard'!$C$4="All",'CA Dashboard'!$C$4=D112),OR('CA Dashboard'!$C$5="All",'CA Dashboard'!$C$5=G112),OR('CA Dashboard'!$C$6="All",'CA Dashboard'!$C$6=H112),OR('CA Dashboard'!$C$7="All",'CA Dashboard'!$C$7=F112),OR('CA Dashboard'!$C$8="All",'CA Dashboard'!$C$8=AJ112))</f>
        <v/>
      </c>
      <c r="AI112" s="148">
        <f>IF(AH112,AI111+1,AI111)</f>
        <v/>
      </c>
      <c r="AJ112" s="148" t="inlineStr">
        <is>
          <t>Direct</t>
        </is>
      </c>
      <c r="AK112" s="148" t="inlineStr">
        <is>
          <t>Same product (sheet set) in the same material family: Bamboo viscose (product page material: Viscose from Bamboo); ours: our listing: viscose from bamboo.</t>
        </is>
      </c>
    </row>
    <row r="113">
      <c r="A113" s="148">
        <f>AND(E113="US",OR('US Dashboard'!$C$4="All",'US Dashboard'!$C$4=D113),OR('US Dashboard'!$C$5="All",'US Dashboard'!$C$5=G113),OR('US Dashboard'!$C$6="All",'US Dashboard'!$C$6=H113),OR('US Dashboard'!$C$7="All",'US Dashboard'!$C$7=F113),OR('US Dashboard'!$C$8="All",'US Dashboard'!$C$8=AJ113))</f>
        <v/>
      </c>
      <c r="B113" s="148">
        <f>IF(A113,B112+1,B112)</f>
        <v/>
      </c>
      <c r="C113" s="148" t="n">
        <v>30</v>
      </c>
      <c r="D113" s="148" t="inlineStr">
        <is>
          <t>DC B6</t>
        </is>
      </c>
      <c r="E113" s="148" t="inlineStr">
        <is>
          <t>US</t>
        </is>
      </c>
      <c r="F113" s="148" t="inlineStr">
        <is>
          <t>Bamboo</t>
        </is>
      </c>
      <c r="G113" s="148" t="inlineStr">
        <is>
          <t>LB Luxury Bamboo Market</t>
        </is>
      </c>
      <c r="H113" s="148" t="inlineStr">
        <is>
          <t>Poor</t>
        </is>
      </c>
      <c r="I113" s="148" t="inlineStr">
        <is>
          <t>Bamboo Sheets</t>
        </is>
      </c>
      <c r="J113" s="148" t="inlineStr">
        <is>
          <t>https://m.media-amazon.com/images/I/81xjJeiirqL._AC_SL1500_.jpg</t>
        </is>
      </c>
      <c r="K113" s="148" t="inlineStr">
        <is>
          <t>B0D1HWHDL2</t>
        </is>
      </c>
      <c r="L113" s="148" t="inlineStr">
        <is>
          <t>B0CH7N9WVC</t>
        </is>
      </c>
      <c r="M113" s="148" t="n"/>
      <c r="N113" s="148" t="n">
        <v>129.94</v>
      </c>
      <c r="O113" s="148" t="n"/>
      <c r="P113" s="148">
        <f>IF(AND(ISNUMBER(O113),ISNUMBER(N113),N(N113)&gt;0),O113/N113-1,"")</f>
        <v/>
      </c>
      <c r="Q113" s="148" t="n">
        <v>94.98999999999999</v>
      </c>
      <c r="R113" s="148">
        <f>IF(AND(ISNUMBER(N113),ISNUMBER(Q113),N(Q113)&gt;0),N113/Q113-1,"")</f>
        <v/>
      </c>
      <c r="S113" s="148" t="n">
        <v>47800</v>
      </c>
      <c r="T113" s="148" t="n">
        <v>18</v>
      </c>
      <c r="U113" s="148" t="n">
        <v>4.5</v>
      </c>
      <c r="V113" s="148" t="n">
        <v>517</v>
      </c>
      <c r="W113" s="148" t="n"/>
      <c r="X113" s="148" t="n"/>
      <c r="Y113" s="148" t="n"/>
      <c r="Z113" s="148" t="n"/>
      <c r="AA113" s="148" t="n"/>
      <c r="AB113" s="148" t="n"/>
      <c r="AC113" s="148" t="inlineStr">
        <is>
          <t>US DC B6</t>
        </is>
      </c>
      <c r="AD113" s="148">
        <f>'US DC B6'!BF165</f>
        <v/>
      </c>
      <c r="AE113" s="148">
        <f>'US DC B6'!BI165</f>
        <v/>
      </c>
      <c r="AF113" s="148" t="inlineStr">
        <is>
          <t>Queen</t>
        </is>
      </c>
      <c r="AG113" s="148" t="inlineStr">
        <is>
          <t>Dune</t>
        </is>
      </c>
      <c r="AH113" s="148">
        <f>AND(E113="CA",OR('CA Dashboard'!$C$4="All",'CA Dashboard'!$C$4=D113),OR('CA Dashboard'!$C$5="All",'CA Dashboard'!$C$5=G113),OR('CA Dashboard'!$C$6="All",'CA Dashboard'!$C$6=H113),OR('CA Dashboard'!$C$7="All",'CA Dashboard'!$C$7=F113),OR('CA Dashboard'!$C$8="All",'CA Dashboard'!$C$8=AJ113))</f>
        <v/>
      </c>
      <c r="AI113" s="148">
        <f>IF(AH113,AI112+1,AI112)</f>
        <v/>
      </c>
      <c r="AJ113" s="148" t="inlineStr">
        <is>
          <t>Direct</t>
        </is>
      </c>
      <c r="AK113" s="148" t="inlineStr">
        <is>
          <t>Same product (sheet set) in the same material family: Bamboo viscose (product page material: Organically Grown Bamboo Viscose); ours: our listing: viscose from bamboo.</t>
        </is>
      </c>
    </row>
    <row r="114">
      <c r="A114" s="148">
        <f>AND(E114="US",OR('US Dashboard'!$C$4="All",'US Dashboard'!$C$4=D114),OR('US Dashboard'!$C$5="All",'US Dashboard'!$C$5=G114),OR('US Dashboard'!$C$6="All",'US Dashboard'!$C$6=H114),OR('US Dashboard'!$C$7="All",'US Dashboard'!$C$7=F114),OR('US Dashboard'!$C$8="All",'US Dashboard'!$C$8=AJ114))</f>
        <v/>
      </c>
      <c r="B114" s="148">
        <f>IF(A114,B113+1,B113)</f>
        <v/>
      </c>
      <c r="C114" s="148" t="n">
        <v>30</v>
      </c>
      <c r="D114" s="148" t="inlineStr">
        <is>
          <t>DC B6</t>
        </is>
      </c>
      <c r="E114" s="148" t="inlineStr">
        <is>
          <t>US</t>
        </is>
      </c>
      <c r="F114" s="148" t="inlineStr">
        <is>
          <t>Bamboo</t>
        </is>
      </c>
      <c r="G114" s="148" t="inlineStr">
        <is>
          <t>Shilucheng</t>
        </is>
      </c>
      <c r="H114" s="148" t="inlineStr">
        <is>
          <t>Poor</t>
        </is>
      </c>
      <c r="I114" s="148" t="inlineStr">
        <is>
          <t>Shilucheng 100% Viscose Derived from Bamboo_Sheets, Extra Deep Pocket</t>
        </is>
      </c>
      <c r="J114" s="148" t="inlineStr">
        <is>
          <t>https://images-na.ssl-images-amazon.com/images/I/71NxE1i+4jL.jpg</t>
        </is>
      </c>
      <c r="K114" s="148" t="inlineStr">
        <is>
          <t>B0HJVD7X1R</t>
        </is>
      </c>
      <c r="L114" s="148" t="inlineStr">
        <is>
          <t>B0F2TBWTZR</t>
        </is>
      </c>
      <c r="M114" s="148" t="n">
        <v>32</v>
      </c>
      <c r="N114" s="148" t="n">
        <v>69.98999999999999</v>
      </c>
      <c r="O114" s="148" t="n">
        <v>84.98999999999999</v>
      </c>
      <c r="P114" s="148">
        <f>IF(AND(ISNUMBER(O114),ISNUMBER(N114),N(N114)&gt;0),O114/N114-1,"")</f>
        <v/>
      </c>
      <c r="Q114" s="148" t="n">
        <v>99.98999999999999</v>
      </c>
      <c r="R114" s="148">
        <f>IF(AND(ISNUMBER(N114),ISNUMBER(Q114),N(Q114)&gt;0),N114/Q114-1,"")</f>
        <v/>
      </c>
      <c r="S114" s="148" t="n">
        <v>39194</v>
      </c>
      <c r="T114" s="148" t="n">
        <v>18</v>
      </c>
      <c r="U114" s="148" t="n">
        <v>4.5</v>
      </c>
      <c r="V114" s="148" t="n">
        <v>1639</v>
      </c>
      <c r="W114" s="148" t="n"/>
      <c r="X114" s="148" t="n"/>
      <c r="Y114" s="148" t="n"/>
      <c r="Z114" s="148" t="n"/>
      <c r="AA114" s="148" t="n"/>
      <c r="AB114" s="148" t="n"/>
      <c r="AC114" s="148" t="inlineStr">
        <is>
          <t>US DC B6</t>
        </is>
      </c>
      <c r="AD114" s="148">
        <f>'US DC B6'!BF166</f>
        <v/>
      </c>
      <c r="AE114" s="148">
        <f>'US DC B6'!BI166</f>
        <v/>
      </c>
      <c r="AF114" s="148" t="inlineStr">
        <is>
          <t>King</t>
        </is>
      </c>
      <c r="AG114" s="148" t="inlineStr">
        <is>
          <t>Dark Grey</t>
        </is>
      </c>
      <c r="AH114" s="148">
        <f>AND(E114="CA",OR('CA Dashboard'!$C$4="All",'CA Dashboard'!$C$4=D114),OR('CA Dashboard'!$C$5="All",'CA Dashboard'!$C$5=G114),OR('CA Dashboard'!$C$6="All",'CA Dashboard'!$C$6=H114),OR('CA Dashboard'!$C$7="All",'CA Dashboard'!$C$7=F114),OR('CA Dashboard'!$C$8="All",'CA Dashboard'!$C$8=AJ114))</f>
        <v/>
      </c>
      <c r="AI114" s="148">
        <f>IF(AH114,AI113+1,AI113)</f>
        <v/>
      </c>
      <c r="AJ114" s="148" t="inlineStr">
        <is>
          <t>Direct</t>
        </is>
      </c>
      <c r="AK114" s="148" t="inlineStr">
        <is>
          <t>Same product (sheet set) in the same material family: Bamboo viscose (product page material: Rayon Derived from Bamboo); ours: our listing: viscose from bamboo.</t>
        </is>
      </c>
    </row>
    <row r="115">
      <c r="A115" s="148">
        <f>AND(E115="US",OR('US Dashboard'!$C$4="All",'US Dashboard'!$C$4=D115),OR('US Dashboard'!$C$5="All",'US Dashboard'!$C$5=G115),OR('US Dashboard'!$C$6="All",'US Dashboard'!$C$6=H115),OR('US Dashboard'!$C$7="All",'US Dashboard'!$C$7=F115),OR('US Dashboard'!$C$8="All",'US Dashboard'!$C$8=AJ115))</f>
        <v/>
      </c>
      <c r="B115" s="148">
        <f>IF(A115,B114+1,B114)</f>
        <v/>
      </c>
      <c r="C115" s="148" t="n">
        <v>30</v>
      </c>
      <c r="D115" s="148" t="inlineStr">
        <is>
          <t>DC B6</t>
        </is>
      </c>
      <c r="E115" s="148" t="inlineStr">
        <is>
          <t>US</t>
        </is>
      </c>
      <c r="F115" s="148" t="inlineStr">
        <is>
          <t>Bamboo</t>
        </is>
      </c>
      <c r="G115" s="148" t="inlineStr">
        <is>
          <t>Bamboo Bay</t>
        </is>
      </c>
      <c r="H115" s="148" t="inlineStr">
        <is>
          <t>Poor</t>
        </is>
      </c>
      <c r="I115" s="148" t="inlineStr">
        <is>
          <t>Bamboo Sheets</t>
        </is>
      </c>
      <c r="J115" s="148" t="inlineStr">
        <is>
          <t>https://m.media-amazon.com/images/I/61YnWQV27EL._AC_SL1024_.jpg</t>
        </is>
      </c>
      <c r="K115" s="148" t="inlineStr">
        <is>
          <t>B0DLF1SWJ5</t>
        </is>
      </c>
      <c r="L115" s="148" t="inlineStr">
        <is>
          <t>B07TBHLZJM</t>
        </is>
      </c>
      <c r="M115" s="148" t="n"/>
      <c r="N115" s="148" t="n">
        <v>79.98</v>
      </c>
      <c r="O115" s="148" t="n"/>
      <c r="P115" s="148">
        <f>IF(AND(ISNUMBER(O115),ISNUMBER(N115),N(N115)&gt;0),O115/N115-1,"")</f>
        <v/>
      </c>
      <c r="Q115" s="148" t="n">
        <v>94.98999999999999</v>
      </c>
      <c r="R115" s="148">
        <f>IF(AND(ISNUMBER(N115),ISNUMBER(Q115),N(Q115)&gt;0),N115/Q115-1,"")</f>
        <v/>
      </c>
      <c r="S115" s="148" t="n">
        <v>131083</v>
      </c>
      <c r="T115" s="148" t="n">
        <v>5</v>
      </c>
      <c r="U115" s="148" t="n">
        <v>4.5</v>
      </c>
      <c r="V115" s="148" t="n">
        <v>2691</v>
      </c>
      <c r="W115" s="148" t="n"/>
      <c r="X115" s="148" t="n"/>
      <c r="Y115" s="148" t="n"/>
      <c r="Z115" s="148" t="n"/>
      <c r="AA115" s="148" t="n"/>
      <c r="AB115" s="148" t="n"/>
      <c r="AC115" s="148" t="inlineStr">
        <is>
          <t>US DC B6</t>
        </is>
      </c>
      <c r="AD115" s="148">
        <f>'US DC B6'!BF167</f>
        <v/>
      </c>
      <c r="AE115" s="148">
        <f>'US DC B6'!BI167</f>
        <v/>
      </c>
      <c r="AF115" s="148" t="inlineStr">
        <is>
          <t>Queen</t>
        </is>
      </c>
      <c r="AG115" s="148" t="inlineStr">
        <is>
          <t>04 - Light Grey</t>
        </is>
      </c>
      <c r="AH115" s="148">
        <f>AND(E115="CA",OR('CA Dashboard'!$C$4="All",'CA Dashboard'!$C$4=D115),OR('CA Dashboard'!$C$5="All",'CA Dashboard'!$C$5=G115),OR('CA Dashboard'!$C$6="All",'CA Dashboard'!$C$6=H115),OR('CA Dashboard'!$C$7="All",'CA Dashboard'!$C$7=F115),OR('CA Dashboard'!$C$8="All",'CA Dashboard'!$C$8=AJ115))</f>
        <v/>
      </c>
      <c r="AI115" s="148">
        <f>IF(AH115,AI114+1,AI114)</f>
        <v/>
      </c>
      <c r="AJ115" s="148" t="inlineStr">
        <is>
          <t>Direct</t>
        </is>
      </c>
      <c r="AK115" s="148" t="inlineStr">
        <is>
          <t>Same product (sheet set) in the same material family: Bamboo viscose (product page material: Viscose Made from Bamboo); ours: our listing: viscose from bamboo.</t>
        </is>
      </c>
    </row>
    <row r="116">
      <c r="A116" s="148">
        <f>AND(E116="US",OR('US Dashboard'!$C$4="All",'US Dashboard'!$C$4=D116),OR('US Dashboard'!$C$5="All",'US Dashboard'!$C$5=G116),OR('US Dashboard'!$C$6="All",'US Dashboard'!$C$6=H116),OR('US Dashboard'!$C$7="All",'US Dashboard'!$C$7=F116),OR('US Dashboard'!$C$8="All",'US Dashboard'!$C$8=AJ116))</f>
        <v/>
      </c>
      <c r="B116" s="148">
        <f>IF(A116,B115+1,B115)</f>
        <v/>
      </c>
      <c r="C116" s="148" t="n">
        <v>30</v>
      </c>
      <c r="D116" s="148" t="inlineStr">
        <is>
          <t>DC B6</t>
        </is>
      </c>
      <c r="E116" s="148" t="inlineStr">
        <is>
          <t>US</t>
        </is>
      </c>
      <c r="F116" s="148" t="inlineStr">
        <is>
          <t>Bamboo</t>
        </is>
      </c>
      <c r="G116" s="148" t="inlineStr">
        <is>
          <t>LBRO2M</t>
        </is>
      </c>
      <c r="H116" s="148" t="inlineStr">
        <is>
          <t>Poor</t>
        </is>
      </c>
      <c r="I116" s="148" t="inlineStr">
        <is>
          <t>LBRO2M Cooling Bed Sheet 100% Viscose Derived from Bamboo Sheet Set Queen Size 6</t>
        </is>
      </c>
      <c r="J116" s="148" t="inlineStr">
        <is>
          <t>https://m.media-amazon.com/images/I/61se+-YHOaL._AC_SL1500_.jpg</t>
        </is>
      </c>
      <c r="K116" s="148" t="inlineStr">
        <is>
          <t>B0F9FK3L6J</t>
        </is>
      </c>
      <c r="L116" s="148" t="inlineStr">
        <is>
          <t>B0F9FK7SMW</t>
        </is>
      </c>
      <c r="M116" s="148" t="n"/>
      <c r="N116" s="148" t="n">
        <v>94.98999999999999</v>
      </c>
      <c r="O116" s="148" t="n"/>
      <c r="P116" s="148">
        <f>IF(AND(ISNUMBER(O116),ISNUMBER(N116),N(N116)&gt;0),O116/N116-1,"")</f>
        <v/>
      </c>
      <c r="Q116" s="148" t="n">
        <v>99.98999999999999</v>
      </c>
      <c r="R116" s="148">
        <f>IF(AND(ISNUMBER(N116),ISNUMBER(Q116),N(Q116)&gt;0),N116/Q116-1,"")</f>
        <v/>
      </c>
      <c r="S116" s="148" t="n">
        <v>1003118</v>
      </c>
      <c r="T116" s="148" t="n">
        <v>5</v>
      </c>
      <c r="U116" s="148" t="n">
        <v>4.4</v>
      </c>
      <c r="V116" s="148" t="n">
        <v>18</v>
      </c>
      <c r="W116" s="148" t="n"/>
      <c r="X116" s="148" t="n"/>
      <c r="Y116" s="148" t="n"/>
      <c r="Z116" s="148" t="n"/>
      <c r="AA116" s="148" t="n"/>
      <c r="AB116" s="148" t="n"/>
      <c r="AC116" s="148" t="inlineStr">
        <is>
          <t>US DC B6</t>
        </is>
      </c>
      <c r="AD116" s="148">
        <f>'US DC B6'!BF168</f>
        <v/>
      </c>
      <c r="AE116" s="148">
        <f>'US DC B6'!BI168</f>
        <v/>
      </c>
      <c r="AF116" s="148" t="inlineStr">
        <is>
          <t>King 6 Pcs</t>
        </is>
      </c>
      <c r="AG116" s="148" t="inlineStr">
        <is>
          <t>White</t>
        </is>
      </c>
      <c r="AH116" s="148">
        <f>AND(E116="CA",OR('CA Dashboard'!$C$4="All",'CA Dashboard'!$C$4=D116),OR('CA Dashboard'!$C$5="All",'CA Dashboard'!$C$5=G116),OR('CA Dashboard'!$C$6="All",'CA Dashboard'!$C$6=H116),OR('CA Dashboard'!$C$7="All",'CA Dashboard'!$C$7=F116),OR('CA Dashboard'!$C$8="All",'CA Dashboard'!$C$8=AJ116))</f>
        <v/>
      </c>
      <c r="AI116" s="148">
        <f>IF(AH116,AI115+1,AI115)</f>
        <v/>
      </c>
      <c r="AJ116" s="148" t="inlineStr">
        <is>
          <t>Direct</t>
        </is>
      </c>
      <c r="AK116" s="148" t="inlineStr">
        <is>
          <t>Same product (sheet set) in the same material family: Bamboo viscose (product page material: Viscose Derived from Bamboo); ours: our listing: viscose from bamboo.</t>
        </is>
      </c>
    </row>
    <row r="117">
      <c r="A117" s="148">
        <f>AND(E117="US",OR('US Dashboard'!$C$4="All",'US Dashboard'!$C$4=D117),OR('US Dashboard'!$C$5="All",'US Dashboard'!$C$5=G117),OR('US Dashboard'!$C$6="All",'US Dashboard'!$C$6=H117),OR('US Dashboard'!$C$7="All",'US Dashboard'!$C$7=F117),OR('US Dashboard'!$C$8="All",'US Dashboard'!$C$8=AJ117))</f>
        <v/>
      </c>
      <c r="B117" s="148">
        <f>IF(A117,B116+1,B116)</f>
        <v/>
      </c>
      <c r="C117" s="148" t="n">
        <v>30</v>
      </c>
      <c r="D117" s="148" t="inlineStr">
        <is>
          <t>DC B6</t>
        </is>
      </c>
      <c r="E117" s="148" t="inlineStr">
        <is>
          <t>US</t>
        </is>
      </c>
      <c r="F117" s="148" t="inlineStr">
        <is>
          <t>Bamboo</t>
        </is>
      </c>
      <c r="G117" s="148" t="inlineStr">
        <is>
          <t>TWK</t>
        </is>
      </c>
      <c r="H117" s="148" t="inlineStr">
        <is>
          <t>Poor</t>
        </is>
      </c>
      <c r="I117" s="148" t="inlineStr">
        <is>
          <t>TWK Luxury Sheet Set, Genuine 100% Viscose Derived from Bamboo, Cooling &amp; Breathable, Silky Soft, Bedding Sheets &amp; Pillowcases (White, King(78 * 80 * 15))</t>
        </is>
      </c>
      <c r="J117" s="148" t="inlineStr">
        <is>
          <t>https://images-na.ssl-images-amazon.com/images/I/71YlZk0Q9-L.jpg</t>
        </is>
      </c>
      <c r="K117" s="148" t="inlineStr">
        <is>
          <t>B0GVP3B7LS</t>
        </is>
      </c>
      <c r="L117" s="148" t="inlineStr">
        <is>
          <t>B0GVP3B7LS</t>
        </is>
      </c>
      <c r="M117" s="148" t="n">
        <v>1</v>
      </c>
      <c r="N117" s="148" t="n">
        <v>46.74</v>
      </c>
      <c r="O117" s="148" t="n"/>
      <c r="P117" s="148">
        <f>IF(AND(ISNUMBER(O117),ISNUMBER(N117),N(N117)&gt;0),O117/N117-1,"")</f>
        <v/>
      </c>
      <c r="Q117" s="148" t="n">
        <v>99.98999999999999</v>
      </c>
      <c r="R117" s="148">
        <f>IF(AND(ISNUMBER(N117),ISNUMBER(Q117),N(Q117)&gt;0),N117/Q117-1,"")</f>
        <v/>
      </c>
      <c r="S117" s="148" t="n">
        <v>2065761</v>
      </c>
      <c r="T117" s="148" t="n">
        <v>5</v>
      </c>
      <c r="U117" s="148" t="n">
        <v>4.5</v>
      </c>
      <c r="V117" s="148" t="n">
        <v>11</v>
      </c>
      <c r="W117" s="148" t="n"/>
      <c r="X117" s="148" t="n"/>
      <c r="Y117" s="148" t="n"/>
      <c r="Z117" s="148" t="n"/>
      <c r="AA117" s="148" t="n"/>
      <c r="AB117" s="148" t="n"/>
      <c r="AC117" s="148" t="inlineStr">
        <is>
          <t>US DC B6</t>
        </is>
      </c>
      <c r="AD117" s="148">
        <f>'US DC B6'!BF169</f>
        <v/>
      </c>
      <c r="AE117" s="148">
        <f>'US DC B6'!BI169</f>
        <v/>
      </c>
      <c r="AF117" s="148" t="inlineStr">
        <is>
          <t>King</t>
        </is>
      </c>
      <c r="AG117" s="148" t="inlineStr">
        <is>
          <t>White</t>
        </is>
      </c>
      <c r="AH117" s="148">
        <f>AND(E117="CA",OR('CA Dashboard'!$C$4="All",'CA Dashboard'!$C$4=D117),OR('CA Dashboard'!$C$5="All",'CA Dashboard'!$C$5=G117),OR('CA Dashboard'!$C$6="All",'CA Dashboard'!$C$6=H117),OR('CA Dashboard'!$C$7="All",'CA Dashboard'!$C$7=F117),OR('CA Dashboard'!$C$8="All",'CA Dashboard'!$C$8=AJ117))</f>
        <v/>
      </c>
      <c r="AI117" s="148">
        <f>IF(AH117,AI116+1,AI116)</f>
        <v/>
      </c>
      <c r="AJ117" s="148" t="inlineStr">
        <is>
          <t>Direct</t>
        </is>
      </c>
      <c r="AK117" s="148" t="inlineStr">
        <is>
          <t>Same product (sheet set) in the same material family: Bamboo viscose (title: TWK Luxury Sheet Set, Genuine 100% Viscose Derived from Bamb); ours: our listing: viscose from bamboo.</t>
        </is>
      </c>
    </row>
    <row r="118">
      <c r="A118" s="148">
        <f>AND(E118="US",OR('US Dashboard'!$C$4="All",'US Dashboard'!$C$4=D118),OR('US Dashboard'!$C$5="All",'US Dashboard'!$C$5=G118),OR('US Dashboard'!$C$6="All",'US Dashboard'!$C$6=H118),OR('US Dashboard'!$C$7="All",'US Dashboard'!$C$7=F118),OR('US Dashboard'!$C$8="All",'US Dashboard'!$C$8=AJ118))</f>
        <v/>
      </c>
      <c r="B118" s="148">
        <f>IF(A118,B117+1,B117)</f>
        <v/>
      </c>
      <c r="C118" s="148" t="n">
        <v>30</v>
      </c>
      <c r="D118" s="148" t="inlineStr">
        <is>
          <t>DC B6</t>
        </is>
      </c>
      <c r="E118" s="148" t="inlineStr">
        <is>
          <t>US</t>
        </is>
      </c>
      <c r="F118" s="148" t="inlineStr">
        <is>
          <t>Bamboo</t>
        </is>
      </c>
      <c r="G118" s="148" t="inlineStr">
        <is>
          <t>TWK</t>
        </is>
      </c>
      <c r="H118" s="148" t="inlineStr">
        <is>
          <t>Poor</t>
        </is>
      </c>
      <c r="I118" s="148" t="inlineStr">
        <is>
          <t>4 Piece Bamboo Sheet Set</t>
        </is>
      </c>
      <c r="J118" s="148" t="inlineStr">
        <is>
          <t>https://m.media-amazon.com/images/I/61cLtklNnOL._AC_SL1486_.jpg</t>
        </is>
      </c>
      <c r="K118" s="148" t="inlineStr">
        <is>
          <t>B0GW7H7RHY</t>
        </is>
      </c>
      <c r="L118" s="148" t="inlineStr">
        <is>
          <t>B0GW7H7RHY</t>
        </is>
      </c>
      <c r="M118" s="148" t="n"/>
      <c r="N118" s="148" t="n">
        <v>109.99</v>
      </c>
      <c r="O118" s="148" t="n"/>
      <c r="P118" s="148">
        <f>IF(AND(ISNUMBER(O118),ISNUMBER(N118),N(N118)&gt;0),O118/N118-1,"")</f>
        <v/>
      </c>
      <c r="Q118" s="148" t="n">
        <v>99.98999999999999</v>
      </c>
      <c r="R118" s="148">
        <f>IF(AND(ISNUMBER(N118),ISNUMBER(Q118),N(Q118)&gt;0),N118/Q118-1,"")</f>
        <v/>
      </c>
      <c r="S118" s="148" t="n">
        <v>4355899</v>
      </c>
      <c r="T118" s="148" t="n">
        <v>5</v>
      </c>
      <c r="U118" s="148" t="n">
        <v>4.5</v>
      </c>
      <c r="V118" s="148" t="n">
        <v>2</v>
      </c>
      <c r="W118" s="148" t="n"/>
      <c r="X118" s="148" t="n"/>
      <c r="Y118" s="148" t="n"/>
      <c r="Z118" s="148" t="n"/>
      <c r="AA118" s="148" t="n"/>
      <c r="AB118" s="148" t="n"/>
      <c r="AC118" s="148" t="inlineStr">
        <is>
          <t>US DC B6</t>
        </is>
      </c>
      <c r="AD118" s="148">
        <f>'US DC B6'!BF170</f>
        <v/>
      </c>
      <c r="AE118" s="148">
        <f>'US DC B6'!BI170</f>
        <v/>
      </c>
      <c r="AF118" s="148" t="inlineStr">
        <is>
          <t>King</t>
        </is>
      </c>
      <c r="AG118" s="148" t="inlineStr">
        <is>
          <t>Sand</t>
        </is>
      </c>
      <c r="AH118" s="148">
        <f>AND(E118="CA",OR('CA Dashboard'!$C$4="All",'CA Dashboard'!$C$4=D118),OR('CA Dashboard'!$C$5="All",'CA Dashboard'!$C$5=G118),OR('CA Dashboard'!$C$6="All",'CA Dashboard'!$C$6=H118),OR('CA Dashboard'!$C$7="All",'CA Dashboard'!$C$7=F118),OR('CA Dashboard'!$C$8="All",'CA Dashboard'!$C$8=AJ118))</f>
        <v/>
      </c>
      <c r="AI118" s="148">
        <f>IF(AH118,AI117+1,AI117)</f>
        <v/>
      </c>
      <c r="AJ118" s="148" t="inlineStr">
        <is>
          <t>Direct</t>
        </is>
      </c>
      <c r="AK118" s="148" t="inlineStr">
        <is>
          <t>Same product (sheet set) in the same material family: Bamboo viscose (product page material: Genuine 100% Organic Viscose Derived from Bamboo); ours: our listing: viscose from bamboo.</t>
        </is>
      </c>
    </row>
    <row r="119">
      <c r="A119" s="148">
        <f>AND(E119="US",OR('US Dashboard'!$C$4="All",'US Dashboard'!$C$4=D119),OR('US Dashboard'!$C$5="All",'US Dashboard'!$C$5=G119),OR('US Dashboard'!$C$6="All",'US Dashboard'!$C$6=H119),OR('US Dashboard'!$C$7="All",'US Dashboard'!$C$7=F119),OR('US Dashboard'!$C$8="All",'US Dashboard'!$C$8=AJ119))</f>
        <v/>
      </c>
      <c r="B119" s="148">
        <f>IF(A119,B118+1,B118)</f>
        <v/>
      </c>
      <c r="C119" s="148" t="n">
        <v>30</v>
      </c>
      <c r="D119" s="148" t="inlineStr">
        <is>
          <t>DC B6</t>
        </is>
      </c>
      <c r="E119" s="148" t="inlineStr">
        <is>
          <t>US</t>
        </is>
      </c>
      <c r="F119" s="148" t="inlineStr">
        <is>
          <t>Bamboo</t>
        </is>
      </c>
      <c r="G119" s="148" t="inlineStr">
        <is>
          <t>TWK</t>
        </is>
      </c>
      <c r="H119" s="148" t="inlineStr">
        <is>
          <t>Poor</t>
        </is>
      </c>
      <c r="I119" s="148" t="inlineStr">
        <is>
          <t>TWK Luxury Sheet Set, Genuine 100% Organic Viscose Derived from Bamboo, Cooling &amp; Breathable, Silky Soft, Bedding Sheets &amp; Pillowcases (Mist Gray, King)</t>
        </is>
      </c>
      <c r="J119" s="148" t="inlineStr">
        <is>
          <t>https://images-na.ssl-images-amazon.com/images/I/71gw0WpuNuL.jpg</t>
        </is>
      </c>
      <c r="K119" s="148" t="inlineStr">
        <is>
          <t>B0DYT2QWLC</t>
        </is>
      </c>
      <c r="L119" s="148" t="inlineStr">
        <is>
          <t>B0DYT2QWLC</t>
        </is>
      </c>
      <c r="M119" s="148" t="n">
        <v>1</v>
      </c>
      <c r="N119" s="148" t="n">
        <v>109.99</v>
      </c>
      <c r="O119" s="148" t="n"/>
      <c r="P119" s="148">
        <f>IF(AND(ISNUMBER(O119),ISNUMBER(N119),N(N119)&gt;0),O119/N119-1,"")</f>
        <v/>
      </c>
      <c r="Q119" s="148" t="n">
        <v>99.98999999999999</v>
      </c>
      <c r="R119" s="148">
        <f>IF(AND(ISNUMBER(N119),ISNUMBER(Q119),N(Q119)&gt;0),N119/Q119-1,"")</f>
        <v/>
      </c>
      <c r="S119" s="148" t="n">
        <v>1506045</v>
      </c>
      <c r="T119" s="148" t="n">
        <v>5</v>
      </c>
      <c r="U119" s="148" t="n">
        <v>4.5</v>
      </c>
      <c r="V119" s="148" t="n">
        <v>39</v>
      </c>
      <c r="W119" s="148" t="n"/>
      <c r="X119" s="148" t="n"/>
      <c r="Y119" s="148" t="n"/>
      <c r="Z119" s="148" t="n"/>
      <c r="AA119" s="148" t="n"/>
      <c r="AB119" s="148" t="n"/>
      <c r="AC119" s="148" t="inlineStr">
        <is>
          <t>US DC B6</t>
        </is>
      </c>
      <c r="AD119" s="148">
        <f>'US DC B6'!BF171</f>
        <v/>
      </c>
      <c r="AE119" s="148">
        <f>'US DC B6'!BI171</f>
        <v/>
      </c>
      <c r="AF119" s="148" t="inlineStr">
        <is>
          <t>King</t>
        </is>
      </c>
      <c r="AG119" s="148" t="inlineStr">
        <is>
          <t>Mist Gray</t>
        </is>
      </c>
      <c r="AH119" s="148">
        <f>AND(E119="CA",OR('CA Dashboard'!$C$4="All",'CA Dashboard'!$C$4=D119),OR('CA Dashboard'!$C$5="All",'CA Dashboard'!$C$5=G119),OR('CA Dashboard'!$C$6="All",'CA Dashboard'!$C$6=H119),OR('CA Dashboard'!$C$7="All",'CA Dashboard'!$C$7=F119),OR('CA Dashboard'!$C$8="All",'CA Dashboard'!$C$8=AJ119))</f>
        <v/>
      </c>
      <c r="AI119" s="148">
        <f>IF(AH119,AI118+1,AI118)</f>
        <v/>
      </c>
      <c r="AJ119" s="148" t="inlineStr">
        <is>
          <t>Direct</t>
        </is>
      </c>
      <c r="AK119" s="148" t="inlineStr">
        <is>
          <t>Same product (sheet set) in the same material family: Bamboo viscose (title: TWK Luxury Sheet Set, Genuine 100% Organic Viscose Derived f); ours: our listing: viscose from bamboo.</t>
        </is>
      </c>
    </row>
    <row r="120">
      <c r="A120" s="148">
        <f>AND(E120="US",OR('US Dashboard'!$C$4="All",'US Dashboard'!$C$4=D120),OR('US Dashboard'!$C$5="All",'US Dashboard'!$C$5=G120),OR('US Dashboard'!$C$6="All",'US Dashboard'!$C$6=H120),OR('US Dashboard'!$C$7="All",'US Dashboard'!$C$7=F120),OR('US Dashboard'!$C$8="All",'US Dashboard'!$C$8=AJ120))</f>
        <v/>
      </c>
      <c r="B120" s="148">
        <f>IF(A120,B119+1,B119)</f>
        <v/>
      </c>
      <c r="C120" s="148" t="n">
        <v>30</v>
      </c>
      <c r="D120" s="148" t="inlineStr">
        <is>
          <t>DC B6</t>
        </is>
      </c>
      <c r="E120" s="148" t="inlineStr">
        <is>
          <t>US</t>
        </is>
      </c>
      <c r="F120" s="148" t="inlineStr">
        <is>
          <t>Bamboo</t>
        </is>
      </c>
      <c r="G120" s="148" t="inlineStr">
        <is>
          <t>Vesta</t>
        </is>
      </c>
      <c r="H120" s="148" t="inlineStr">
        <is>
          <t>Poor</t>
        </is>
      </c>
      <c r="I120" s="148" t="inlineStr">
        <is>
          <t>Vesta Sheet Set – Soft, Breathable &amp; Cooling, 100% Viscose Derived from Bamboo,</t>
        </is>
      </c>
      <c r="J120" s="148" t="inlineStr">
        <is>
          <t>https://m.media-amazon.com/images/I/619JGLN3FDL._AC_SL1080_.jpg</t>
        </is>
      </c>
      <c r="K120" s="148" t="inlineStr">
        <is>
          <t>B0CZRJY68B</t>
        </is>
      </c>
      <c r="L120" s="148" t="inlineStr">
        <is>
          <t>B0DM214YG3</t>
        </is>
      </c>
      <c r="M120" s="148" t="n"/>
      <c r="N120" s="148" t="n">
        <v>174.3</v>
      </c>
      <c r="O120" s="148" t="n"/>
      <c r="P120" s="148">
        <f>IF(AND(ISNUMBER(O120),ISNUMBER(N120),N(N120)&gt;0),O120/N120-1,"")</f>
        <v/>
      </c>
      <c r="Q120" s="148" t="n">
        <v>99.98999999999999</v>
      </c>
      <c r="R120" s="148">
        <f>IF(AND(ISNUMBER(N120),ISNUMBER(Q120),N(Q120)&gt;0),N120/Q120-1,"")</f>
        <v/>
      </c>
      <c r="S120" s="148" t="n">
        <v>591414</v>
      </c>
      <c r="T120" s="148" t="n">
        <v>5</v>
      </c>
      <c r="U120" s="148" t="n">
        <v>4.3</v>
      </c>
      <c r="V120" s="148" t="n">
        <v>35</v>
      </c>
      <c r="W120" s="148" t="n"/>
      <c r="X120" s="148" t="n"/>
      <c r="Y120" s="148" t="n"/>
      <c r="Z120" s="148" t="n"/>
      <c r="AA120" s="148" t="n"/>
      <c r="AB120" s="148" t="n"/>
      <c r="AC120" s="148" t="inlineStr">
        <is>
          <t>US DC B6</t>
        </is>
      </c>
      <c r="AD120" s="148">
        <f>'US DC B6'!BF172</f>
        <v/>
      </c>
      <c r="AE120" s="148">
        <f>'US DC B6'!BI172</f>
        <v/>
      </c>
      <c r="AF120" s="148" t="inlineStr">
        <is>
          <t>King/Cali King</t>
        </is>
      </c>
      <c r="AG120" s="148" t="inlineStr">
        <is>
          <t>Terra Cotta</t>
        </is>
      </c>
      <c r="AH120" s="148">
        <f>AND(E120="CA",OR('CA Dashboard'!$C$4="All",'CA Dashboard'!$C$4=D120),OR('CA Dashboard'!$C$5="All",'CA Dashboard'!$C$5=G120),OR('CA Dashboard'!$C$6="All",'CA Dashboard'!$C$6=H120),OR('CA Dashboard'!$C$7="All",'CA Dashboard'!$C$7=F120),OR('CA Dashboard'!$C$8="All",'CA Dashboard'!$C$8=AJ120))</f>
        <v/>
      </c>
      <c r="AI120" s="148">
        <f>IF(AH120,AI119+1,AI119)</f>
        <v/>
      </c>
      <c r="AJ120" s="148" t="inlineStr">
        <is>
          <t>Direct</t>
        </is>
      </c>
      <c r="AK120" s="148" t="inlineStr">
        <is>
          <t>Same product (sheet set) in the same material family: Bamboo viscose (product page material: viscose from bamboo); ours: our listing: viscose from bamboo.</t>
        </is>
      </c>
    </row>
    <row r="121">
      <c r="A121" s="148">
        <f>AND(E121="US",OR('US Dashboard'!$C$4="All",'US Dashboard'!$C$4=D121),OR('US Dashboard'!$C$5="All",'US Dashboard'!$C$5=G121),OR('US Dashboard'!$C$6="All",'US Dashboard'!$C$6=H121),OR('US Dashboard'!$C$7="All",'US Dashboard'!$C$7=F121),OR('US Dashboard'!$C$8="All",'US Dashboard'!$C$8=AJ121))</f>
        <v/>
      </c>
      <c r="B121" s="148">
        <f>IF(A121,B120+1,B120)</f>
        <v/>
      </c>
      <c r="C121" s="148" t="n">
        <v>30</v>
      </c>
      <c r="D121" s="148" t="inlineStr">
        <is>
          <t>DC B6</t>
        </is>
      </c>
      <c r="E121" s="148" t="inlineStr">
        <is>
          <t>US</t>
        </is>
      </c>
      <c r="F121" s="148" t="inlineStr">
        <is>
          <t>Bamboo</t>
        </is>
      </c>
      <c r="G121" s="148" t="inlineStr">
        <is>
          <t>TWK</t>
        </is>
      </c>
      <c r="H121" s="148" t="inlineStr">
        <is>
          <t>Poor</t>
        </is>
      </c>
      <c r="I121" s="148" t="inlineStr">
        <is>
          <t>TWK Genuine 100% Viscose Derived from Natural Bamboo Bed Sheets Set,Cooling &amp; Silky Soft Bed Sheets,Deep Pocket Up to 18",with a Laundry Bag (White, King)</t>
        </is>
      </c>
      <c r="J121" s="148" t="n"/>
      <c r="K121" s="148" t="n"/>
      <c r="L121" s="148" t="inlineStr">
        <is>
          <t>B0G1N59S1Q</t>
        </is>
      </c>
      <c r="M121" s="148" t="n"/>
      <c r="N121" s="148" t="n">
        <v>109.99</v>
      </c>
      <c r="O121" s="148" t="n"/>
      <c r="P121" s="148">
        <f>IF(AND(ISNUMBER(O121),ISNUMBER(N121),N(N121)&gt;0),O121/N121-1,"")</f>
        <v/>
      </c>
      <c r="Q121" s="148" t="n">
        <v>99.98999999999999</v>
      </c>
      <c r="R121" s="148">
        <f>IF(AND(ISNUMBER(N121),ISNUMBER(Q121),N(Q121)&gt;0),N121/Q121-1,"")</f>
        <v/>
      </c>
      <c r="S121" s="148" t="n"/>
      <c r="T121" s="148" t="n"/>
      <c r="U121" s="148" t="n">
        <v>4.5</v>
      </c>
      <c r="V121" s="148" t="n">
        <v>6</v>
      </c>
      <c r="W121" s="148" t="n"/>
      <c r="X121" s="148" t="n"/>
      <c r="Y121" s="148" t="n"/>
      <c r="Z121" s="148" t="n"/>
      <c r="AA121" s="148" t="n"/>
      <c r="AB121" s="148" t="n"/>
      <c r="AC121" s="148" t="inlineStr">
        <is>
          <t>US DC B6</t>
        </is>
      </c>
      <c r="AD121" s="148">
        <f>'US DC B6'!BF173</f>
        <v/>
      </c>
      <c r="AE121" s="148">
        <f>'US DC B6'!BI173</f>
        <v/>
      </c>
      <c r="AF121" s="148" t="inlineStr">
        <is>
          <t>King</t>
        </is>
      </c>
      <c r="AG121" s="148" t="inlineStr">
        <is>
          <t>White</t>
        </is>
      </c>
      <c r="AH121" s="148">
        <f>AND(E121="CA",OR('CA Dashboard'!$C$4="All",'CA Dashboard'!$C$4=D121),OR('CA Dashboard'!$C$5="All",'CA Dashboard'!$C$5=G121),OR('CA Dashboard'!$C$6="All",'CA Dashboard'!$C$6=H121),OR('CA Dashboard'!$C$7="All",'CA Dashboard'!$C$7=F121),OR('CA Dashboard'!$C$8="All",'CA Dashboard'!$C$8=AJ121))</f>
        <v/>
      </c>
      <c r="AI121" s="148">
        <f>IF(AH121,AI120+1,AI120)</f>
        <v/>
      </c>
      <c r="AJ121" s="148" t="inlineStr">
        <is>
          <t>Direct</t>
        </is>
      </c>
      <c r="AK121" s="148" t="inlineStr">
        <is>
          <t>Same product (sheet set) in the same material family: Bamboo viscose (title: TWK Genuine 100% Viscose Derived from Natural Bamboo Bed She); ours: our listing: viscose from bamboo.</t>
        </is>
      </c>
    </row>
    <row r="122">
      <c r="A122" s="148">
        <f>AND(E122="US",OR('US Dashboard'!$C$4="All",'US Dashboard'!$C$4=D122),OR('US Dashboard'!$C$5="All",'US Dashboard'!$C$5=G122),OR('US Dashboard'!$C$6="All",'US Dashboard'!$C$6=H122),OR('US Dashboard'!$C$7="All",'US Dashboard'!$C$7=F122),OR('US Dashboard'!$C$8="All",'US Dashboard'!$C$8=AJ122))</f>
        <v/>
      </c>
      <c r="B122" s="148">
        <f>IF(A122,B121+1,B121)</f>
        <v/>
      </c>
      <c r="C122" s="148" t="n">
        <v>30</v>
      </c>
      <c r="D122" s="148" t="inlineStr">
        <is>
          <t>DC B6</t>
        </is>
      </c>
      <c r="E122" s="148" t="inlineStr">
        <is>
          <t>US</t>
        </is>
      </c>
      <c r="F122" s="148" t="inlineStr">
        <is>
          <t>Bamboo</t>
        </is>
      </c>
      <c r="G122" s="148" t="inlineStr">
        <is>
          <t>CozyLux</t>
        </is>
      </c>
      <c r="H122" s="148" t="inlineStr">
        <is>
          <t>Untiered</t>
        </is>
      </c>
      <c r="I122" s="148" t="inlineStr">
        <is>
          <t>CozyLux King Size Sheets Set, 100% Rayon Derived from Bamboo, Sateen Weave</t>
        </is>
      </c>
      <c r="J122" s="148" t="inlineStr">
        <is>
          <t>https://images-na.ssl-images-amazon.com/images/I/716Vqhk8VxL.jpg</t>
        </is>
      </c>
      <c r="K122" s="148" t="inlineStr">
        <is>
          <t>B0GC2GQNMT</t>
        </is>
      </c>
      <c r="L122" s="148" t="inlineStr">
        <is>
          <t>B0GC5CJGWC</t>
        </is>
      </c>
      <c r="M122" s="148" t="n">
        <v>18</v>
      </c>
      <c r="N122" s="148" t="n">
        <v>35.99</v>
      </c>
      <c r="O122" s="148" t="n"/>
      <c r="P122" s="148">
        <f>IF(AND(ISNUMBER(O122),ISNUMBER(N122),N(N122)&gt;0),O122/N122-1,"")</f>
        <v/>
      </c>
      <c r="Q122" s="148" t="n">
        <v>99.98999999999999</v>
      </c>
      <c r="R122" s="148">
        <f>IF(AND(ISNUMBER(N122),ISNUMBER(Q122),N(Q122)&gt;0),N122/Q122-1,"")</f>
        <v/>
      </c>
      <c r="S122" s="148" t="n">
        <v>33018</v>
      </c>
      <c r="T122" s="148" t="n">
        <v>185</v>
      </c>
      <c r="U122" s="148" t="n">
        <v>4.6</v>
      </c>
      <c r="V122" s="148" t="n">
        <v>93</v>
      </c>
      <c r="W122" s="148" t="n"/>
      <c r="X122" s="148" t="n"/>
      <c r="Y122" s="148" t="n"/>
      <c r="Z122" s="148" t="n"/>
      <c r="AA122" s="148" t="n"/>
      <c r="AB122" s="148" t="n"/>
      <c r="AC122" s="148" t="inlineStr">
        <is>
          <t>US DC B6</t>
        </is>
      </c>
      <c r="AD122" s="148">
        <f>'US DC B6'!BF174</f>
        <v/>
      </c>
      <c r="AE122" s="148">
        <f>'US DC B6'!BI174</f>
        <v/>
      </c>
      <c r="AF122" s="148" t="inlineStr">
        <is>
          <t>King</t>
        </is>
      </c>
      <c r="AG122" s="148" t="inlineStr">
        <is>
          <t>Ivory</t>
        </is>
      </c>
      <c r="AH122" s="148">
        <f>AND(E122="CA",OR('CA Dashboard'!$C$4="All",'CA Dashboard'!$C$4=D122),OR('CA Dashboard'!$C$5="All",'CA Dashboard'!$C$5=G122),OR('CA Dashboard'!$C$6="All",'CA Dashboard'!$C$6=H122),OR('CA Dashboard'!$C$7="All",'CA Dashboard'!$C$7=F122),OR('CA Dashboard'!$C$8="All",'CA Dashboard'!$C$8=AJ122))</f>
        <v/>
      </c>
      <c r="AI122" s="148">
        <f>IF(AH122,AI121+1,AI121)</f>
        <v/>
      </c>
      <c r="AJ122" s="148" t="inlineStr">
        <is>
          <t>Direct</t>
        </is>
      </c>
      <c r="AK122" s="148" t="inlineStr">
        <is>
          <t>Same product (sheet set) in the same material family: Bamboo viscose (product page material: Rayon); ours: our listing: viscose from bamboo.</t>
        </is>
      </c>
    </row>
    <row r="123">
      <c r="A123" s="148">
        <f>AND(E123="US",OR('US Dashboard'!$C$4="All",'US Dashboard'!$C$4=D123),OR('US Dashboard'!$C$5="All",'US Dashboard'!$C$5=G123),OR('US Dashboard'!$C$6="All",'US Dashboard'!$C$6=H123),OR('US Dashboard'!$C$7="All",'US Dashboard'!$C$7=F123),OR('US Dashboard'!$C$8="All",'US Dashboard'!$C$8=AJ123))</f>
        <v/>
      </c>
      <c r="B123" s="148">
        <f>IF(A123,B122+1,B122)</f>
        <v/>
      </c>
      <c r="C123" s="148" t="n">
        <v>30</v>
      </c>
      <c r="D123" s="148" t="inlineStr">
        <is>
          <t>DC B6</t>
        </is>
      </c>
      <c r="E123" s="148" t="inlineStr">
        <is>
          <t>US</t>
        </is>
      </c>
      <c r="F123" s="148" t="inlineStr">
        <is>
          <t>Bamboo</t>
        </is>
      </c>
      <c r="G123" s="148" t="inlineStr">
        <is>
          <t>CGK Unlimited</t>
        </is>
      </c>
      <c r="H123" s="148" t="inlineStr">
        <is>
          <t>Untiered</t>
        </is>
      </c>
      <c r="I123" s="148" t="inlineStr">
        <is>
          <t>100% Rayon Derived from Bamboo - Bamboo Sheets Queen Size - Black</t>
        </is>
      </c>
      <c r="J123" s="148" t="inlineStr">
        <is>
          <t>https://images-na.ssl-images-amazon.com/images/I/61WgRn96SbL.jpg</t>
        </is>
      </c>
      <c r="K123" s="148" t="inlineStr">
        <is>
          <t>B0F2GR2DKR</t>
        </is>
      </c>
      <c r="L123" s="148" t="inlineStr">
        <is>
          <t>B0D429MCF7</t>
        </is>
      </c>
      <c r="M123" s="148" t="n">
        <v>58</v>
      </c>
      <c r="N123" s="148" t="n">
        <v>49.99</v>
      </c>
      <c r="O123" s="148" t="n"/>
      <c r="P123" s="148">
        <f>IF(AND(ISNUMBER(O123),ISNUMBER(N123),N(N123)&gt;0),O123/N123-1,"")</f>
        <v/>
      </c>
      <c r="Q123" s="148" t="n">
        <v>94.98999999999999</v>
      </c>
      <c r="R123" s="148">
        <f>IF(AND(ISNUMBER(N123),ISNUMBER(Q123),N(Q123)&gt;0),N123/Q123-1,"")</f>
        <v/>
      </c>
      <c r="S123" s="148" t="n">
        <v>2554</v>
      </c>
      <c r="T123" s="148" t="n">
        <v>173</v>
      </c>
      <c r="U123" s="148" t="n">
        <v>4.4</v>
      </c>
      <c r="V123" s="148" t="n">
        <v>1169</v>
      </c>
      <c r="W123" s="148" t="n"/>
      <c r="X123" s="148" t="n"/>
      <c r="Y123" s="148" t="n"/>
      <c r="Z123" s="148" t="n"/>
      <c r="AA123" s="148" t="n"/>
      <c r="AB123" s="148" t="n"/>
      <c r="AC123" s="148" t="inlineStr">
        <is>
          <t>US DC B6</t>
        </is>
      </c>
      <c r="AD123" s="148">
        <f>'US DC B6'!BF175</f>
        <v/>
      </c>
      <c r="AE123" s="148">
        <f>'US DC B6'!BI175</f>
        <v/>
      </c>
      <c r="AF123" s="148" t="inlineStr">
        <is>
          <t>Queen</t>
        </is>
      </c>
      <c r="AG123" s="148" t="inlineStr">
        <is>
          <t>Black</t>
        </is>
      </c>
      <c r="AH123" s="148">
        <f>AND(E123="CA",OR('CA Dashboard'!$C$4="All",'CA Dashboard'!$C$4=D123),OR('CA Dashboard'!$C$5="All",'CA Dashboard'!$C$5=G123),OR('CA Dashboard'!$C$6="All",'CA Dashboard'!$C$6=H123),OR('CA Dashboard'!$C$7="All",'CA Dashboard'!$C$7=F123),OR('CA Dashboard'!$C$8="All",'CA Dashboard'!$C$8=AJ123))</f>
        <v/>
      </c>
      <c r="AI123" s="148">
        <f>IF(AH123,AI122+1,AI122)</f>
        <v/>
      </c>
      <c r="AJ123" s="148" t="inlineStr">
        <is>
          <t>Direct</t>
        </is>
      </c>
      <c r="AK123" s="148" t="inlineStr">
        <is>
          <t>Same product (sheet set) in the same material family: Bamboo viscose (title: 100% Rayon Derived from Bamboo - Bamboo Sheets Queen Size - ); ours: our listing: viscose from bamboo.</t>
        </is>
      </c>
    </row>
    <row r="124">
      <c r="A124" s="148">
        <f>AND(E124="US",OR('US Dashboard'!$C$4="All",'US Dashboard'!$C$4=D124),OR('US Dashboard'!$C$5="All",'US Dashboard'!$C$5=G124),OR('US Dashboard'!$C$6="All",'US Dashboard'!$C$6=H124),OR('US Dashboard'!$C$7="All",'US Dashboard'!$C$7=F124),OR('US Dashboard'!$C$8="All",'US Dashboard'!$C$8=AJ124))</f>
        <v/>
      </c>
      <c r="B124" s="148">
        <f>IF(A124,B123+1,B123)</f>
        <v/>
      </c>
      <c r="C124" s="148" t="n">
        <v>30</v>
      </c>
      <c r="D124" s="148" t="inlineStr">
        <is>
          <t>DC B6</t>
        </is>
      </c>
      <c r="E124" s="148" t="inlineStr">
        <is>
          <t>US</t>
        </is>
      </c>
      <c r="F124" s="148" t="inlineStr">
        <is>
          <t>Bamboo</t>
        </is>
      </c>
      <c r="G124" s="148" t="inlineStr">
        <is>
          <t>MR&amp;HM</t>
        </is>
      </c>
      <c r="H124" s="148" t="inlineStr">
        <is>
          <t>Untiered</t>
        </is>
      </c>
      <c r="I124" s="148" t="inlineStr">
        <is>
          <t>MR&amp;HM Queen Sheets 4 Pieces, Rayon Derived from Bamboo Blend, Dark Grey</t>
        </is>
      </c>
      <c r="J124" s="148" t="inlineStr">
        <is>
          <t>https://images-na.ssl-images-amazon.com/images/I/71QdkBMIZ3L.jpg</t>
        </is>
      </c>
      <c r="K124" s="148" t="inlineStr">
        <is>
          <t>B0DQDMN3WK</t>
        </is>
      </c>
      <c r="L124" s="148" t="inlineStr">
        <is>
          <t>B0DL5NCTYF</t>
        </is>
      </c>
      <c r="M124" s="148" t="n">
        <v>65</v>
      </c>
      <c r="N124" s="148" t="n">
        <v>36.99</v>
      </c>
      <c r="O124" s="148" t="n"/>
      <c r="P124" s="148">
        <f>IF(AND(ISNUMBER(O124),ISNUMBER(N124),N(N124)&gt;0),O124/N124-1,"")</f>
        <v/>
      </c>
      <c r="Q124" s="148" t="n">
        <v>94.98999999999999</v>
      </c>
      <c r="R124" s="148">
        <f>IF(AND(ISNUMBER(N124),ISNUMBER(Q124),N(Q124)&gt;0),N124/Q124-1,"")</f>
        <v/>
      </c>
      <c r="S124" s="148" t="n">
        <v>30653</v>
      </c>
      <c r="T124" s="148" t="n">
        <v>35</v>
      </c>
      <c r="U124" s="148" t="n">
        <v>4.4</v>
      </c>
      <c r="V124" s="148" t="n">
        <v>616</v>
      </c>
      <c r="W124" s="148" t="n"/>
      <c r="X124" s="148" t="n"/>
      <c r="Y124" s="148" t="n"/>
      <c r="Z124" s="148" t="n"/>
      <c r="AA124" s="148" t="n"/>
      <c r="AB124" s="148" t="n"/>
      <c r="AC124" s="148" t="inlineStr">
        <is>
          <t>US DC B6</t>
        </is>
      </c>
      <c r="AD124" s="148">
        <f>'US DC B6'!BF176</f>
        <v/>
      </c>
      <c r="AE124" s="148">
        <f>'US DC B6'!BI176</f>
        <v/>
      </c>
      <c r="AF124" s="148" t="inlineStr">
        <is>
          <t>Queen</t>
        </is>
      </c>
      <c r="AG124" s="148" t="inlineStr">
        <is>
          <t>Grey</t>
        </is>
      </c>
      <c r="AH124" s="148">
        <f>AND(E124="CA",OR('CA Dashboard'!$C$4="All",'CA Dashboard'!$C$4=D124),OR('CA Dashboard'!$C$5="All",'CA Dashboard'!$C$5=G124),OR('CA Dashboard'!$C$6="All",'CA Dashboard'!$C$6=H124),OR('CA Dashboard'!$C$7="All",'CA Dashboard'!$C$7=F124),OR('CA Dashboard'!$C$8="All",'CA Dashboard'!$C$8=AJ124))</f>
        <v/>
      </c>
      <c r="AI124" s="148">
        <f>IF(AH124,AI123+1,AI123)</f>
        <v/>
      </c>
      <c r="AJ124" s="148" t="inlineStr">
        <is>
          <t>Direct</t>
        </is>
      </c>
      <c r="AK124" s="148" t="inlineStr">
        <is>
          <t>Same product (sheet set) in the same material family: Bamboo viscose (title: MR&amp;HM Queen Sheets 4 Pieces, Rayon Derived from Bamboo Blend); ours: our listing: viscose from bamboo.</t>
        </is>
      </c>
    </row>
    <row r="125">
      <c r="A125" s="148">
        <f>AND(E125="US",OR('US Dashboard'!$C$4="All",'US Dashboard'!$C$4=D125),OR('US Dashboard'!$C$5="All",'US Dashboard'!$C$5=G125),OR('US Dashboard'!$C$6="All",'US Dashboard'!$C$6=H125),OR('US Dashboard'!$C$7="All",'US Dashboard'!$C$7=F125),OR('US Dashboard'!$C$8="All",'US Dashboard'!$C$8=AJ125))</f>
        <v/>
      </c>
      <c r="B125" s="148">
        <f>IF(A125,B124+1,B124)</f>
        <v/>
      </c>
      <c r="C125" s="148" t="n">
        <v>30</v>
      </c>
      <c r="D125" s="148" t="inlineStr">
        <is>
          <t>DC B6</t>
        </is>
      </c>
      <c r="E125" s="148" t="inlineStr">
        <is>
          <t>US</t>
        </is>
      </c>
      <c r="F125" s="148" t="inlineStr">
        <is>
          <t>Bamboo</t>
        </is>
      </c>
      <c r="G125" s="148" t="inlineStr">
        <is>
          <t>Cosy House Collection</t>
        </is>
      </c>
      <c r="H125" s="148" t="inlineStr">
        <is>
          <t>Untiered</t>
        </is>
      </c>
      <c r="I125" s="148" t="inlineStr">
        <is>
          <t>Cosy House Collection 100% Rayon Derived from Bamboo Bed Sheet Set</t>
        </is>
      </c>
      <c r="J125" s="148" t="inlineStr">
        <is>
          <t>https://images-na.ssl-images-amazon.com/images/I/61sz2mcvZmL.jpg</t>
        </is>
      </c>
      <c r="K125" s="148" t="inlineStr">
        <is>
          <t>B0CLBDW265</t>
        </is>
      </c>
      <c r="L125" s="148" t="inlineStr">
        <is>
          <t>B0B4F4NTBL</t>
        </is>
      </c>
      <c r="M125" s="148" t="n">
        <v>77</v>
      </c>
      <c r="N125" s="148" t="n">
        <v>89.95</v>
      </c>
      <c r="O125" s="148" t="n"/>
      <c r="P125" s="148">
        <f>IF(AND(ISNUMBER(O125),ISNUMBER(N125),N(N125)&gt;0),O125/N125-1,"")</f>
        <v/>
      </c>
      <c r="Q125" s="148" t="n">
        <v>99.98999999999999</v>
      </c>
      <c r="R125" s="148">
        <f>IF(AND(ISNUMBER(N125),ISNUMBER(Q125),N(Q125)&gt;0),N125/Q125-1,"")</f>
        <v/>
      </c>
      <c r="S125" s="148" t="n">
        <v>20356</v>
      </c>
      <c r="T125" s="148" t="n">
        <v>35</v>
      </c>
      <c r="U125" s="148" t="n">
        <v>4.3</v>
      </c>
      <c r="V125" s="148" t="n">
        <v>7941</v>
      </c>
      <c r="W125" s="148" t="n"/>
      <c r="X125" s="148" t="n"/>
      <c r="Y125" s="148" t="n"/>
      <c r="Z125" s="148" t="n"/>
      <c r="AA125" s="148" t="n"/>
      <c r="AB125" s="148" t="n"/>
      <c r="AC125" s="148" t="inlineStr">
        <is>
          <t>US DC B6</t>
        </is>
      </c>
      <c r="AD125" s="148">
        <f>'US DC B6'!BF177</f>
        <v/>
      </c>
      <c r="AE125" s="148">
        <f>'US DC B6'!BI177</f>
        <v/>
      </c>
      <c r="AF125" s="148" t="inlineStr">
        <is>
          <t>King</t>
        </is>
      </c>
      <c r="AG125" s="148" t="inlineStr">
        <is>
          <t>White</t>
        </is>
      </c>
      <c r="AH125" s="148">
        <f>AND(E125="CA",OR('CA Dashboard'!$C$4="All",'CA Dashboard'!$C$4=D125),OR('CA Dashboard'!$C$5="All",'CA Dashboard'!$C$5=G125),OR('CA Dashboard'!$C$6="All",'CA Dashboard'!$C$6=H125),OR('CA Dashboard'!$C$7="All",'CA Dashboard'!$C$7=F125),OR('CA Dashboard'!$C$8="All",'CA Dashboard'!$C$8=AJ125))</f>
        <v/>
      </c>
      <c r="AI125" s="148">
        <f>IF(AH125,AI124+1,AI124)</f>
        <v/>
      </c>
      <c r="AJ125" s="148" t="inlineStr">
        <is>
          <t>Direct</t>
        </is>
      </c>
      <c r="AK125" s="148" t="inlineStr">
        <is>
          <t>Same product (sheet set) in the same material family: Bamboo viscose (product page material: Rayon); ours: our listing: viscose from bamboo.</t>
        </is>
      </c>
    </row>
    <row r="126">
      <c r="A126" s="148">
        <f>AND(E126="US",OR('US Dashboard'!$C$4="All",'US Dashboard'!$C$4=D126),OR('US Dashboard'!$C$5="All",'US Dashboard'!$C$5=G126),OR('US Dashboard'!$C$6="All",'US Dashboard'!$C$6=H126),OR('US Dashboard'!$C$7="All",'US Dashboard'!$C$7=F126),OR('US Dashboard'!$C$8="All",'US Dashboard'!$C$8=AJ126))</f>
        <v/>
      </c>
      <c r="B126" s="148">
        <f>IF(A126,B125+1,B125)</f>
        <v/>
      </c>
      <c r="C126" s="148" t="n">
        <v>30</v>
      </c>
      <c r="D126" s="148" t="inlineStr">
        <is>
          <t>DC B6</t>
        </is>
      </c>
      <c r="E126" s="148" t="inlineStr">
        <is>
          <t>US</t>
        </is>
      </c>
      <c r="F126" s="148" t="inlineStr">
        <is>
          <t>Bamboo</t>
        </is>
      </c>
      <c r="G126" s="148" t="inlineStr">
        <is>
          <t>KAKIJUMN</t>
        </is>
      </c>
      <c r="H126" s="148" t="inlineStr">
        <is>
          <t>Untiered</t>
        </is>
      </c>
      <c r="I126" s="148" t="inlineStr">
        <is>
          <t>KAKIJUMN 6 Piece King Sheets Set, Rayon Derived from Bamboo Blend</t>
        </is>
      </c>
      <c r="J126" s="148" t="inlineStr">
        <is>
          <t>https://m.media-amazon.com/images/I/7172f86VS1L._AC_SL1500_.jpg</t>
        </is>
      </c>
      <c r="K126" s="148" t="inlineStr">
        <is>
          <t>B0HFVC6529</t>
        </is>
      </c>
      <c r="L126" s="148" t="inlineStr">
        <is>
          <t>B0H1MNZ16Z</t>
        </is>
      </c>
      <c r="M126" s="148" t="n"/>
      <c r="N126" s="148" t="n">
        <v>38.39</v>
      </c>
      <c r="O126" s="148" t="n">
        <v>47.99</v>
      </c>
      <c r="P126" s="148">
        <f>IF(AND(ISNUMBER(O126),ISNUMBER(N126),N(N126)&gt;0),O126/N126-1,"")</f>
        <v/>
      </c>
      <c r="Q126" s="148" t="n">
        <v>94.98999999999999</v>
      </c>
      <c r="R126" s="148">
        <f>IF(AND(ISNUMBER(N126),ISNUMBER(Q126),N(Q126)&gt;0),N126/Q126-1,"")</f>
        <v/>
      </c>
      <c r="S126" s="148" t="n">
        <v>64915</v>
      </c>
      <c r="T126" s="148" t="n">
        <v>18</v>
      </c>
      <c r="U126" s="148" t="n">
        <v>4</v>
      </c>
      <c r="V126" s="148" t="n">
        <v>71</v>
      </c>
      <c r="W126" s="148" t="n"/>
      <c r="X126" s="148" t="n"/>
      <c r="Y126" s="148" t="n"/>
      <c r="Z126" s="148" t="n"/>
      <c r="AA126" s="148" t="n"/>
      <c r="AB126" s="148" t="n"/>
      <c r="AC126" s="148" t="inlineStr">
        <is>
          <t>US DC B6</t>
        </is>
      </c>
      <c r="AD126" s="148">
        <f>'US DC B6'!BF178</f>
        <v/>
      </c>
      <c r="AE126" s="148">
        <f>'US DC B6'!BI178</f>
        <v/>
      </c>
      <c r="AF126" s="148" t="inlineStr">
        <is>
          <t>Queen</t>
        </is>
      </c>
      <c r="AG126" s="148" t="inlineStr">
        <is>
          <t>Warm Beige</t>
        </is>
      </c>
      <c r="AH126" s="148">
        <f>AND(E126="CA",OR('CA Dashboard'!$C$4="All",'CA Dashboard'!$C$4=D126),OR('CA Dashboard'!$C$5="All",'CA Dashboard'!$C$5=G126),OR('CA Dashboard'!$C$6="All",'CA Dashboard'!$C$6=H126),OR('CA Dashboard'!$C$7="All",'CA Dashboard'!$C$7=F126),OR('CA Dashboard'!$C$8="All",'CA Dashboard'!$C$8=AJ126))</f>
        <v/>
      </c>
      <c r="AI126" s="148">
        <f>IF(AH126,AI125+1,AI125)</f>
        <v/>
      </c>
      <c r="AJ126" s="148" t="inlineStr">
        <is>
          <t>Direct</t>
        </is>
      </c>
      <c r="AK126" s="148" t="inlineStr">
        <is>
          <t>Same product (sheet set) in the same material family: Bamboo viscose (product page material: Rayon Derived from Bamboo); ours: our listing: viscose from bamboo.</t>
        </is>
      </c>
    </row>
    <row r="127">
      <c r="A127" s="148">
        <f>AND(E127="US",OR('US Dashboard'!$C$4="All",'US Dashboard'!$C$4=D127),OR('US Dashboard'!$C$5="All",'US Dashboard'!$C$5=G127),OR('US Dashboard'!$C$6="All",'US Dashboard'!$C$6=H127),OR('US Dashboard'!$C$7="All",'US Dashboard'!$C$7=F127),OR('US Dashboard'!$C$8="All",'US Dashboard'!$C$8=AJ127))</f>
        <v/>
      </c>
      <c r="B127" s="148">
        <f>IF(A127,B126+1,B126)</f>
        <v/>
      </c>
      <c r="C127" s="148" t="n">
        <v>30</v>
      </c>
      <c r="D127" s="148" t="inlineStr">
        <is>
          <t>DC B6</t>
        </is>
      </c>
      <c r="E127" s="148" t="inlineStr">
        <is>
          <t>US</t>
        </is>
      </c>
      <c r="F127" s="148" t="inlineStr">
        <is>
          <t>Bamboo</t>
        </is>
      </c>
      <c r="G127" s="148" t="inlineStr">
        <is>
          <t>MRIDU</t>
        </is>
      </c>
      <c r="H127" s="148" t="inlineStr">
        <is>
          <t>Untiered</t>
        </is>
      </c>
      <c r="I127" s="148" t="inlineStr">
        <is>
          <t>MRIDU Bamboo Viscose Sheet Set, 4-Piece, Pure White, King</t>
        </is>
      </c>
      <c r="J127" s="148" t="inlineStr">
        <is>
          <t>https://m.media-amazon.com/images/I/51UOEzUD6wL._AC_SL1254_.jpg</t>
        </is>
      </c>
      <c r="K127" s="148" t="inlineStr">
        <is>
          <t>B0GSXPDW9C</t>
        </is>
      </c>
      <c r="L127" s="148" t="inlineStr">
        <is>
          <t>B0GSXRR9DN</t>
        </is>
      </c>
      <c r="M127" s="148" t="n"/>
      <c r="N127" s="148" t="n">
        <v>89.98999999999999</v>
      </c>
      <c r="O127" s="148" t="n"/>
      <c r="P127" s="148">
        <f>IF(AND(ISNUMBER(O127),ISNUMBER(N127),N(N127)&gt;0),O127/N127-1,"")</f>
        <v/>
      </c>
      <c r="Q127" s="148" t="n">
        <v>79.98999999999999</v>
      </c>
      <c r="R127" s="148">
        <f>IF(AND(ISNUMBER(N127),ISNUMBER(Q127),N(Q127)&gt;0),N127/Q127-1,"")</f>
        <v/>
      </c>
      <c r="S127" s="148" t="n">
        <v>1970806</v>
      </c>
      <c r="T127" s="148" t="n">
        <v>5</v>
      </c>
      <c r="U127" s="148" t="n">
        <v>3.9</v>
      </c>
      <c r="V127" s="148" t="n">
        <v>24</v>
      </c>
      <c r="W127" s="148" t="n"/>
      <c r="X127" s="148" t="n"/>
      <c r="Y127" s="148" t="n"/>
      <c r="Z127" s="148" t="n"/>
      <c r="AA127" s="148" t="n"/>
      <c r="AB127" s="148" t="n"/>
      <c r="AC127" s="148" t="inlineStr">
        <is>
          <t>US DC B6</t>
        </is>
      </c>
      <c r="AD127" s="148">
        <f>'US DC B6'!BF179</f>
        <v/>
      </c>
      <c r="AE127" s="148">
        <f>'US DC B6'!BI179</f>
        <v/>
      </c>
      <c r="AF127" s="148" t="inlineStr">
        <is>
          <t>Full</t>
        </is>
      </c>
      <c r="AG127" s="148" t="inlineStr">
        <is>
          <t>Pure White</t>
        </is>
      </c>
      <c r="AH127" s="148">
        <f>AND(E127="CA",OR('CA Dashboard'!$C$4="All",'CA Dashboard'!$C$4=D127),OR('CA Dashboard'!$C$5="All",'CA Dashboard'!$C$5=G127),OR('CA Dashboard'!$C$6="All",'CA Dashboard'!$C$6=H127),OR('CA Dashboard'!$C$7="All",'CA Dashboard'!$C$7=F127),OR('CA Dashboard'!$C$8="All",'CA Dashboard'!$C$8=AJ127))</f>
        <v/>
      </c>
      <c r="AI127" s="148">
        <f>IF(AH127,AI126+1,AI126)</f>
        <v/>
      </c>
      <c r="AJ127" s="148" t="inlineStr">
        <is>
          <t>Direct</t>
        </is>
      </c>
      <c r="AK127" s="148" t="inlineStr">
        <is>
          <t>Same product (sheet set) in the same material family: Bamboo viscose (product page material: Viscose Derived from Bamboo); ours: our listing: viscose from bamboo.</t>
        </is>
      </c>
    </row>
    <row r="128">
      <c r="A128" s="148">
        <f>AND(E128="US",OR('US Dashboard'!$C$4="All",'US Dashboard'!$C$4=D128),OR('US Dashboard'!$C$5="All",'US Dashboard'!$C$5=G128),OR('US Dashboard'!$C$6="All",'US Dashboard'!$C$6=H128),OR('US Dashboard'!$C$7="All",'US Dashboard'!$C$7=F128),OR('US Dashboard'!$C$8="All",'US Dashboard'!$C$8=AJ128))</f>
        <v/>
      </c>
      <c r="B128" s="148">
        <f>IF(A128,B127+1,B127)</f>
        <v/>
      </c>
      <c r="C128" s="148" t="n">
        <v>30</v>
      </c>
      <c r="D128" s="148" t="inlineStr">
        <is>
          <t>DC B6</t>
        </is>
      </c>
      <c r="E128" s="148" t="inlineStr">
        <is>
          <t>US</t>
        </is>
      </c>
      <c r="F128" s="148" t="inlineStr">
        <is>
          <t>Bamboo</t>
        </is>
      </c>
      <c r="G128" s="148" t="inlineStr">
        <is>
          <t>Brooklyn Loom</t>
        </is>
      </c>
      <c r="H128" s="148" t="inlineStr">
        <is>
          <t>Untiered</t>
        </is>
      </c>
      <c r="I128" s="148" t="inlineStr">
        <is>
          <t>Brooklyn Loom 300 Thread Count Sateen 100% Rayon from Bamboo Deep Pocket 4 Piece</t>
        </is>
      </c>
      <c r="J128" s="148" t="inlineStr">
        <is>
          <t>https://m.media-amazon.com/images/I/81LmQQkUCeL._AC_SL1500_.jpg</t>
        </is>
      </c>
      <c r="K128" s="148" t="inlineStr">
        <is>
          <t>B0H29TVSQX</t>
        </is>
      </c>
      <c r="L128" s="148" t="inlineStr">
        <is>
          <t>B0FQ8JCH46</t>
        </is>
      </c>
      <c r="M128" s="148" t="n"/>
      <c r="N128" s="148" t="n">
        <v>129.99</v>
      </c>
      <c r="O128" s="148" t="n"/>
      <c r="P128" s="148">
        <f>IF(AND(ISNUMBER(O128),ISNUMBER(N128),N(N128)&gt;0),O128/N128-1,"")</f>
        <v/>
      </c>
      <c r="Q128" s="148" t="n">
        <v>99.98999999999999</v>
      </c>
      <c r="R128" s="148">
        <f>IF(AND(ISNUMBER(N128),ISNUMBER(Q128),N(Q128)&gt;0),N128/Q128-1,"")</f>
        <v/>
      </c>
      <c r="S128" s="148" t="n">
        <v>1216102</v>
      </c>
      <c r="T128" s="148" t="n">
        <v>5</v>
      </c>
      <c r="U128" s="148" t="n">
        <v>4.5</v>
      </c>
      <c r="V128" s="148" t="n">
        <v>13</v>
      </c>
      <c r="W128" s="148" t="n"/>
      <c r="X128" s="148" t="n"/>
      <c r="Y128" s="148" t="n"/>
      <c r="Z128" s="148" t="n"/>
      <c r="AA128" s="148" t="n"/>
      <c r="AB128" s="148" t="n"/>
      <c r="AC128" s="148" t="inlineStr">
        <is>
          <t>US DC B6</t>
        </is>
      </c>
      <c r="AD128" s="148">
        <f>'US DC B6'!BF180</f>
        <v/>
      </c>
      <c r="AE128" s="148">
        <f>'US DC B6'!BI180</f>
        <v/>
      </c>
      <c r="AF128" s="148" t="inlineStr">
        <is>
          <t>King (U.S. Standard)</t>
        </is>
      </c>
      <c r="AG128" s="148" t="inlineStr">
        <is>
          <t>Charcoal</t>
        </is>
      </c>
      <c r="AH128" s="148">
        <f>AND(E128="CA",OR('CA Dashboard'!$C$4="All",'CA Dashboard'!$C$4=D128),OR('CA Dashboard'!$C$5="All",'CA Dashboard'!$C$5=G128),OR('CA Dashboard'!$C$6="All",'CA Dashboard'!$C$6=H128),OR('CA Dashboard'!$C$7="All",'CA Dashboard'!$C$7=F128),OR('CA Dashboard'!$C$8="All",'CA Dashboard'!$C$8=AJ128))</f>
        <v/>
      </c>
      <c r="AI128" s="148">
        <f>IF(AH128,AI127+1,AI127)</f>
        <v/>
      </c>
      <c r="AJ128" s="148" t="inlineStr">
        <is>
          <t>Direct</t>
        </is>
      </c>
      <c r="AK128" s="148" t="inlineStr">
        <is>
          <t>Same product (sheet set) in the same material family: Bamboo viscose (product page material: Bamboo); ours: our listing: viscose from bamboo.</t>
        </is>
      </c>
    </row>
    <row r="129">
      <c r="A129" s="148">
        <f>AND(E129="US",OR('US Dashboard'!$C$4="All",'US Dashboard'!$C$4=D129),OR('US Dashboard'!$C$5="All",'US Dashboard'!$C$5=G129),OR('US Dashboard'!$C$6="All",'US Dashboard'!$C$6=H129),OR('US Dashboard'!$C$7="All",'US Dashboard'!$C$7=F129),OR('US Dashboard'!$C$8="All",'US Dashboard'!$C$8=AJ129))</f>
        <v/>
      </c>
      <c r="B129" s="148">
        <f>IF(A129,B128+1,B128)</f>
        <v/>
      </c>
      <c r="C129" s="148" t="n">
        <v>30</v>
      </c>
      <c r="D129" s="148" t="inlineStr">
        <is>
          <t>DC B6</t>
        </is>
      </c>
      <c r="E129" s="148" t="inlineStr">
        <is>
          <t>US</t>
        </is>
      </c>
      <c r="F129" s="148" t="inlineStr">
        <is>
          <t>Bamboo</t>
        </is>
      </c>
      <c r="G129" s="148" t="inlineStr">
        <is>
          <t>MCO</t>
        </is>
      </c>
      <c r="H129" s="148" t="inlineStr">
        <is>
          <t>Untiered</t>
        </is>
      </c>
      <c r="I129" s="148" t="inlineStr">
        <is>
          <t>MCO 4 Piece Cooling &amp; Breathable Queen Sheet Set, Rayon Derived from Bamboo, 16" Deep Pocket, Hotel Luxury Soft Silky Queen Bedding Set for Hot Sleepers- Forest Green</t>
        </is>
      </c>
      <c r="J129" s="148" t="inlineStr">
        <is>
          <t>https://images-na.ssl-images-amazon.com/images/I/61qpaDyqceL.jpg</t>
        </is>
      </c>
      <c r="K129" s="148" t="n"/>
      <c r="L129" s="148" t="inlineStr">
        <is>
          <t>B0FW51LMYP</t>
        </is>
      </c>
      <c r="M129" s="148" t="n">
        <v>48</v>
      </c>
      <c r="N129" s="148" t="n">
        <v>22.5</v>
      </c>
      <c r="O129" s="148" t="n"/>
      <c r="P129" s="148">
        <f>IF(AND(ISNUMBER(O129),ISNUMBER(N129),N(N129)&gt;0),O129/N129-1,"")</f>
        <v/>
      </c>
      <c r="Q129" s="148" t="n">
        <v>94.98999999999999</v>
      </c>
      <c r="R129" s="148">
        <f>IF(AND(ISNUMBER(N129),ISNUMBER(Q129),N(Q129)&gt;0),N129/Q129-1,"")</f>
        <v/>
      </c>
      <c r="S129" s="148" t="n">
        <v>88098</v>
      </c>
      <c r="T129" s="148" t="n"/>
      <c r="U129" s="148" t="n">
        <v>4</v>
      </c>
      <c r="V129" s="148" t="n">
        <v>482</v>
      </c>
      <c r="W129" s="148" t="n"/>
      <c r="X129" s="148" t="n"/>
      <c r="Y129" s="148" t="n"/>
      <c r="Z129" s="148" t="n"/>
      <c r="AA129" s="148" t="n"/>
      <c r="AB129" s="148" t="n"/>
      <c r="AC129" s="148" t="inlineStr">
        <is>
          <t>US DC B6</t>
        </is>
      </c>
      <c r="AD129" s="148">
        <f>'US DC B6'!BF181</f>
        <v/>
      </c>
      <c r="AE129" s="148">
        <f>'US DC B6'!BI181</f>
        <v/>
      </c>
      <c r="AF129" s="148" t="inlineStr">
        <is>
          <t>Queen</t>
        </is>
      </c>
      <c r="AG129" s="148" t="inlineStr">
        <is>
          <t>Green</t>
        </is>
      </c>
      <c r="AH129" s="148">
        <f>AND(E129="CA",OR('CA Dashboard'!$C$4="All",'CA Dashboard'!$C$4=D129),OR('CA Dashboard'!$C$5="All",'CA Dashboard'!$C$5=G129),OR('CA Dashboard'!$C$6="All",'CA Dashboard'!$C$6=H129),OR('CA Dashboard'!$C$7="All",'CA Dashboard'!$C$7=F129),OR('CA Dashboard'!$C$8="All",'CA Dashboard'!$C$8=AJ129))</f>
        <v/>
      </c>
      <c r="AI129" s="148">
        <f>IF(AH129,AI128+1,AI128)</f>
        <v/>
      </c>
      <c r="AJ129" s="148" t="inlineStr">
        <is>
          <t>Direct</t>
        </is>
      </c>
      <c r="AK129" s="148" t="inlineStr">
        <is>
          <t>Same product (sheet set) in the same material family: Bamboo viscose (title: MCO 4 Piece Cooling &amp; Breathable Queen Sheet Set, Rayon Deri); ours: our listing: viscose from bamboo.</t>
        </is>
      </c>
    </row>
    <row r="130">
      <c r="A130" s="148">
        <f>AND(E130="US",OR('US Dashboard'!$C$4="All",'US Dashboard'!$C$4=D130),OR('US Dashboard'!$C$5="All",'US Dashboard'!$C$5=G130),OR('US Dashboard'!$C$6="All",'US Dashboard'!$C$6=H130),OR('US Dashboard'!$C$7="All",'US Dashboard'!$C$7=F130),OR('US Dashboard'!$C$8="All",'US Dashboard'!$C$8=AJ130))</f>
        <v/>
      </c>
      <c r="B130" s="148">
        <f>IF(A130,B129+1,B129)</f>
        <v/>
      </c>
      <c r="C130" s="148" t="n">
        <v>30</v>
      </c>
      <c r="D130" s="148" t="inlineStr">
        <is>
          <t>DC B6</t>
        </is>
      </c>
      <c r="E130" s="148" t="inlineStr">
        <is>
          <t>US</t>
        </is>
      </c>
      <c r="F130" s="148" t="inlineStr">
        <is>
          <t>Bamboo</t>
        </is>
      </c>
      <c r="G130" s="148" t="inlineStr">
        <is>
          <t>Vipfree</t>
        </is>
      </c>
      <c r="H130" s="148" t="inlineStr">
        <is>
          <t>Untiered</t>
        </is>
      </c>
      <c r="I130" s="148" t="inlineStr">
        <is>
          <t>Vipfree California King Sheet Set, Cooling Rayon 4-Piece Bedding with Deep Pockets, Sand, 300 Thread Count</t>
        </is>
      </c>
      <c r="J130" s="148" t="inlineStr">
        <is>
          <t>https://images-na.ssl-images-amazon.com/images/I/71q7X74N9cL.jpg</t>
        </is>
      </c>
      <c r="K130" s="148" t="n"/>
      <c r="L130" s="148" t="inlineStr">
        <is>
          <t>B0DF7NK85K</t>
        </is>
      </c>
      <c r="M130" s="148" t="n">
        <v>2</v>
      </c>
      <c r="N130" s="148" t="n">
        <v>34.99</v>
      </c>
      <c r="O130" s="148" t="n"/>
      <c r="P130" s="148">
        <f>IF(AND(ISNUMBER(O130),ISNUMBER(N130),N(N130)&gt;0),O130/N130-1,"")</f>
        <v/>
      </c>
      <c r="Q130" s="148" t="n">
        <v>99.98999999999999</v>
      </c>
      <c r="R130" s="148">
        <f>IF(AND(ISNUMBER(N130),ISNUMBER(Q130),N(Q130)&gt;0),N130/Q130-1,"")</f>
        <v/>
      </c>
      <c r="S130" s="148" t="n">
        <v>646670</v>
      </c>
      <c r="T130" s="148" t="n"/>
      <c r="U130" s="148" t="n">
        <v>4.4</v>
      </c>
      <c r="V130" s="148" t="n">
        <v>436</v>
      </c>
      <c r="W130" s="148" t="n"/>
      <c r="X130" s="148" t="n"/>
      <c r="Y130" s="148" t="n"/>
      <c r="Z130" s="148" t="n"/>
      <c r="AA130" s="148" t="n"/>
      <c r="AB130" s="148" t="n"/>
      <c r="AC130" s="148" t="inlineStr">
        <is>
          <t>US DC B6</t>
        </is>
      </c>
      <c r="AD130" s="148">
        <f>'US DC B6'!BF182</f>
        <v/>
      </c>
      <c r="AE130" s="148">
        <f>'US DC B6'!BI182</f>
        <v/>
      </c>
      <c r="AF130" s="148" t="inlineStr">
        <is>
          <t>California King</t>
        </is>
      </c>
      <c r="AG130" s="148" t="inlineStr">
        <is>
          <t>Sand</t>
        </is>
      </c>
      <c r="AH130" s="148">
        <f>AND(E130="CA",OR('CA Dashboard'!$C$4="All",'CA Dashboard'!$C$4=D130),OR('CA Dashboard'!$C$5="All",'CA Dashboard'!$C$5=G130),OR('CA Dashboard'!$C$6="All",'CA Dashboard'!$C$6=H130),OR('CA Dashboard'!$C$7="All",'CA Dashboard'!$C$7=F130),OR('CA Dashboard'!$C$8="All",'CA Dashboard'!$C$8=AJ130))</f>
        <v/>
      </c>
      <c r="AI130" s="148">
        <f>IF(AH130,AI129+1,AI129)</f>
        <v/>
      </c>
      <c r="AJ130" s="148" t="inlineStr">
        <is>
          <t>Direct</t>
        </is>
      </c>
      <c r="AK130" s="148" t="inlineStr">
        <is>
          <t>Same product (sheet set) in the same material family: Bamboo viscose (title: Vipfree California King Sheet Set, Cooling Rayon 4-Piece Bed); ours: our listing: viscose from bamboo.</t>
        </is>
      </c>
    </row>
    <row r="131">
      <c r="A131" s="148">
        <f>AND(E131="US",OR('US Dashboard'!$C$4="All",'US Dashboard'!$C$4=D131),OR('US Dashboard'!$C$5="All",'US Dashboard'!$C$5=G131),OR('US Dashboard'!$C$6="All",'US Dashboard'!$C$6=H131),OR('US Dashboard'!$C$7="All",'US Dashboard'!$C$7=F131),OR('US Dashboard'!$C$8="All",'US Dashboard'!$C$8=AJ131))</f>
        <v/>
      </c>
      <c r="B131" s="148">
        <f>IF(A131,B130+1,B130)</f>
        <v/>
      </c>
      <c r="C131" s="148" t="n">
        <v>30</v>
      </c>
      <c r="D131" s="148" t="inlineStr">
        <is>
          <t>DC B6</t>
        </is>
      </c>
      <c r="E131" s="148" t="inlineStr">
        <is>
          <t>CA</t>
        </is>
      </c>
      <c r="F131" s="148" t="inlineStr">
        <is>
          <t>Bamboo</t>
        </is>
      </c>
      <c r="G131" s="148" t="inlineStr">
        <is>
          <t>GOKOTTA</t>
        </is>
      </c>
      <c r="H131" s="148" t="inlineStr">
        <is>
          <t>Untiered</t>
        </is>
      </c>
      <c r="I131" s="148" t="inlineStr">
        <is>
          <t>Gökotta Queen Bed Sheets 6 Piece, 100% FSC® Certified Bamboo, Cooling</t>
        </is>
      </c>
      <c r="J131" s="148" t="inlineStr">
        <is>
          <t>https://m.media-amazon.com/images/I/81cMXuF9sWL.jpg</t>
        </is>
      </c>
      <c r="K131" s="148" t="inlineStr">
        <is>
          <t>B09WY1GFH8</t>
        </is>
      </c>
      <c r="L131" s="148" t="inlineStr">
        <is>
          <t>B0BYMKZ5ZC</t>
        </is>
      </c>
      <c r="M131" s="148" t="n">
        <v>101</v>
      </c>
      <c r="N131" s="148" t="n">
        <v>159.99</v>
      </c>
      <c r="O131" s="148" t="n"/>
      <c r="P131" s="148">
        <f>IF(AND(ISNUMBER(O131),ISNUMBER(N131),N(N131)&gt;0),O131/N131-1,"")</f>
        <v/>
      </c>
      <c r="Q131" s="148" t="n">
        <v>99.98999999999999</v>
      </c>
      <c r="R131" s="148">
        <f>IF(AND(ISNUMBER(N131),ISNUMBER(Q131),N(Q131)&gt;0),N131/Q131-1,"")</f>
        <v/>
      </c>
      <c r="S131" s="148" t="n">
        <v>4180</v>
      </c>
      <c r="T131" s="148" t="n"/>
      <c r="U131" s="148" t="n">
        <v>4.4</v>
      </c>
      <c r="V131" s="148" t="n">
        <v>2698</v>
      </c>
      <c r="W131" s="148" t="n"/>
      <c r="X131" s="148" t="n"/>
      <c r="Y131" s="148" t="n"/>
      <c r="Z131" s="148" t="n"/>
      <c r="AA131" s="148" t="n"/>
      <c r="AB131" s="148" t="n"/>
      <c r="AC131" s="148" t="inlineStr">
        <is>
          <t>CA DC B6</t>
        </is>
      </c>
      <c r="AD131" s="148">
        <f>'CA DC B6'!BF123</f>
        <v/>
      </c>
      <c r="AE131" s="148">
        <f>'CA DC B6'!BI123</f>
        <v/>
      </c>
      <c r="AF131" s="148" t="inlineStr">
        <is>
          <t>Queen</t>
        </is>
      </c>
      <c r="AG131" s="148" t="inlineStr">
        <is>
          <t>05 Dark Grey</t>
        </is>
      </c>
      <c r="AH131" s="148">
        <f>AND(E131="CA",OR('CA Dashboard'!$C$4="All",'CA Dashboard'!$C$4=D131),OR('CA Dashboard'!$C$5="All",'CA Dashboard'!$C$5=G131),OR('CA Dashboard'!$C$6="All",'CA Dashboard'!$C$6=H131),OR('CA Dashboard'!$C$7="All",'CA Dashboard'!$C$7=F131),OR('CA Dashboard'!$C$8="All",'CA Dashboard'!$C$8=AJ131))</f>
        <v/>
      </c>
      <c r="AI131" s="148">
        <f>IF(AH131,AI130+1,AI130)</f>
        <v/>
      </c>
      <c r="AJ131" s="148" t="inlineStr">
        <is>
          <t>Direct</t>
        </is>
      </c>
      <c r="AK131" s="148" t="inlineStr">
        <is>
          <t>Same product (sheet set) in the same material family: Bamboo viscose (title: Gökotta Queen Bed Sheets 6 Piece, 100% FSC® Certified Bamboo); ours: our listing: viscose from bamboo.</t>
        </is>
      </c>
    </row>
    <row r="132">
      <c r="A132" s="148">
        <f>AND(E132="US",OR('US Dashboard'!$C$4="All",'US Dashboard'!$C$4=D132),OR('US Dashboard'!$C$5="All",'US Dashboard'!$C$5=G132),OR('US Dashboard'!$C$6="All",'US Dashboard'!$C$6=H132),OR('US Dashboard'!$C$7="All",'US Dashboard'!$C$7=F132),OR('US Dashboard'!$C$8="All",'US Dashboard'!$C$8=AJ132))</f>
        <v/>
      </c>
      <c r="B132" s="148">
        <f>IF(A132,B131+1,B131)</f>
        <v/>
      </c>
      <c r="C132" s="148" t="n">
        <v>30</v>
      </c>
      <c r="D132" s="148" t="inlineStr">
        <is>
          <t>DC B6</t>
        </is>
      </c>
      <c r="E132" s="148" t="inlineStr">
        <is>
          <t>CA</t>
        </is>
      </c>
      <c r="F132" s="148" t="inlineStr">
        <is>
          <t>Bamboo</t>
        </is>
      </c>
      <c r="G132" s="148" t="inlineStr">
        <is>
          <t>Love's cabin</t>
        </is>
      </c>
      <c r="H132" s="148" t="inlineStr">
        <is>
          <t>Untiered</t>
        </is>
      </c>
      <c r="I132" s="148" t="inlineStr">
        <is>
          <t>Love's cabin 100% Rayon Derived from Bamboo, Queen Sheets, 6 Pieces, White</t>
        </is>
      </c>
      <c r="J132" s="148" t="inlineStr">
        <is>
          <t>https://m.media-amazon.com/images/I/71JCKgmoACL.jpg</t>
        </is>
      </c>
      <c r="K132" s="148" t="inlineStr">
        <is>
          <t>B0DWH7649Z</t>
        </is>
      </c>
      <c r="L132" s="148" t="inlineStr">
        <is>
          <t>B0GGGRH6PC</t>
        </is>
      </c>
      <c r="M132" s="148" t="n">
        <v>154</v>
      </c>
      <c r="N132" s="148" t="n">
        <v>90.36</v>
      </c>
      <c r="O132" s="148" t="n"/>
      <c r="P132" s="148">
        <f>IF(AND(ISNUMBER(O132),ISNUMBER(N132),N(N132)&gt;0),O132/N132-1,"")</f>
        <v/>
      </c>
      <c r="Q132" s="148" t="n">
        <v>99.98999999999999</v>
      </c>
      <c r="R132" s="148">
        <f>IF(AND(ISNUMBER(N132),ISNUMBER(Q132),N(Q132)&gt;0),N132/Q132-1,"")</f>
        <v/>
      </c>
      <c r="S132" s="148" t="n">
        <v>190314</v>
      </c>
      <c r="T132" s="148" t="n"/>
      <c r="U132" s="148" t="n">
        <v>4.4</v>
      </c>
      <c r="V132" s="148" t="n">
        <v>1854</v>
      </c>
      <c r="W132" s="148" t="n"/>
      <c r="X132" s="148" t="n"/>
      <c r="Y132" s="148" t="n"/>
      <c r="Z132" s="148" t="n"/>
      <c r="AA132" s="148" t="n"/>
      <c r="AB132" s="148" t="n"/>
      <c r="AC132" s="148" t="inlineStr">
        <is>
          <t>CA DC B6</t>
        </is>
      </c>
      <c r="AD132" s="148">
        <f>'CA DC B6'!BF124</f>
        <v/>
      </c>
      <c r="AE132" s="148">
        <f>'CA DC B6'!BI124</f>
        <v/>
      </c>
      <c r="AF132" s="148" t="inlineStr">
        <is>
          <t>Queen</t>
        </is>
      </c>
      <c r="AG132" s="148" t="inlineStr">
        <is>
          <t>01-white</t>
        </is>
      </c>
      <c r="AH132" s="148">
        <f>AND(E132="CA",OR('CA Dashboard'!$C$4="All",'CA Dashboard'!$C$4=D132),OR('CA Dashboard'!$C$5="All",'CA Dashboard'!$C$5=G132),OR('CA Dashboard'!$C$6="All",'CA Dashboard'!$C$6=H132),OR('CA Dashboard'!$C$7="All",'CA Dashboard'!$C$7=F132),OR('CA Dashboard'!$C$8="All",'CA Dashboard'!$C$8=AJ132))</f>
        <v/>
      </c>
      <c r="AI132" s="148">
        <f>IF(AH132,AI131+1,AI131)</f>
        <v/>
      </c>
      <c r="AJ132" s="148" t="inlineStr">
        <is>
          <t>Direct</t>
        </is>
      </c>
      <c r="AK132" s="148" t="inlineStr">
        <is>
          <t>Same product (sheet set) in the same material family: Bamboo viscose (title: Love's cabin 100% Rayon Derived from Bamboo, Queen Sheets, 6); ours: our listing: viscose from bamboo.</t>
        </is>
      </c>
    </row>
    <row r="133">
      <c r="A133" s="148">
        <f>AND(E133="US",OR('US Dashboard'!$C$4="All",'US Dashboard'!$C$4=D133),OR('US Dashboard'!$C$5="All",'US Dashboard'!$C$5=G133),OR('US Dashboard'!$C$6="All",'US Dashboard'!$C$6=H133),OR('US Dashboard'!$C$7="All",'US Dashboard'!$C$7=F133),OR('US Dashboard'!$C$8="All",'US Dashboard'!$C$8=AJ133))</f>
        <v/>
      </c>
      <c r="B133" s="148">
        <f>IF(A133,B132+1,B132)</f>
        <v/>
      </c>
      <c r="C133" s="148" t="n">
        <v>30</v>
      </c>
      <c r="D133" s="148" t="inlineStr">
        <is>
          <t>DC B6</t>
        </is>
      </c>
      <c r="E133" s="148" t="inlineStr">
        <is>
          <t>CA</t>
        </is>
      </c>
      <c r="F133" s="148" t="inlineStr">
        <is>
          <t>Bamboo</t>
        </is>
      </c>
      <c r="G133" s="148" t="inlineStr">
        <is>
          <t>Bamboo Bay</t>
        </is>
      </c>
      <c r="H133" s="148" t="inlineStr">
        <is>
          <t>Untiered</t>
        </is>
      </c>
      <c r="I133" s="148" t="inlineStr">
        <is>
          <t>Bamboo Bay Luxury Bamboo Sheets Queen Size - 6 Piece Ultra Soft Cooling Sheets for Hot Sleepers - 100% Organic Bamboo Queen Sheet Set Fits Up to 16" Deep Pocket - Eco Friendly - Queen - Light Blue</t>
        </is>
      </c>
      <c r="J133" s="148" t="inlineStr">
        <is>
          <t>https://m.media-amazon.com/images/I/61eXrcqZqhL.jpg</t>
        </is>
      </c>
      <c r="K133" s="148" t="inlineStr">
        <is>
          <t>B06Y46YNR8</t>
        </is>
      </c>
      <c r="L133" s="148" t="inlineStr">
        <is>
          <t>B08G4PP8H1</t>
        </is>
      </c>
      <c r="M133" s="148" t="n">
        <v>45</v>
      </c>
      <c r="N133" s="148" t="n"/>
      <c r="O133" s="148" t="n"/>
      <c r="P133" s="148">
        <f>IF(AND(ISNUMBER(O133),ISNUMBER(N133),N(N133)&gt;0),O133/N133-1,"")</f>
        <v/>
      </c>
      <c r="Q133" s="148" t="n">
        <v>99.98999999999999</v>
      </c>
      <c r="R133" s="148">
        <f>IF(AND(ISNUMBER(N133),ISNUMBER(Q133),N(Q133)&gt;0),N133/Q133-1,"")</f>
        <v/>
      </c>
      <c r="S133" s="148" t="n">
        <v>43757</v>
      </c>
      <c r="T133" s="148" t="n"/>
      <c r="U133" s="148" t="n">
        <v>4.4</v>
      </c>
      <c r="V133" s="148" t="n">
        <v>2826</v>
      </c>
      <c r="W133" s="148" t="n"/>
      <c r="X133" s="148" t="n"/>
      <c r="Y133" s="148" t="n"/>
      <c r="Z133" s="148" t="n"/>
      <c r="AA133" s="148" t="n"/>
      <c r="AB133" s="148" t="n"/>
      <c r="AC133" s="148" t="inlineStr">
        <is>
          <t>CA DC B6</t>
        </is>
      </c>
      <c r="AD133" s="148">
        <f>'CA DC B6'!BF125</f>
        <v/>
      </c>
      <c r="AE133" s="148">
        <f>'CA DC B6'!BI125</f>
        <v/>
      </c>
      <c r="AF133" s="148" t="inlineStr">
        <is>
          <t>Queen</t>
        </is>
      </c>
      <c r="AG133" s="148" t="inlineStr">
        <is>
          <t>Light Blue</t>
        </is>
      </c>
      <c r="AH133" s="148">
        <f>AND(E133="CA",OR('CA Dashboard'!$C$4="All",'CA Dashboard'!$C$4=D133),OR('CA Dashboard'!$C$5="All",'CA Dashboard'!$C$5=G133),OR('CA Dashboard'!$C$6="All",'CA Dashboard'!$C$6=H133),OR('CA Dashboard'!$C$7="All",'CA Dashboard'!$C$7=F133),OR('CA Dashboard'!$C$8="All",'CA Dashboard'!$C$8=AJ133))</f>
        <v/>
      </c>
      <c r="AI133" s="148">
        <f>IF(AH133,AI132+1,AI132)</f>
        <v/>
      </c>
      <c r="AJ133" s="148" t="inlineStr">
        <is>
          <t>Direct</t>
        </is>
      </c>
      <c r="AK133" s="148" t="inlineStr">
        <is>
          <t>Same product (sheet set) in the same material family: Bamboo viscose (title: Bamboo Bay Luxury Bamboo Sheets Queen Size - 6 Piece Ultra S); ours: our listing: viscose from bamboo.</t>
        </is>
      </c>
    </row>
    <row r="134">
      <c r="A134" s="148">
        <f>AND(E134="US",OR('US Dashboard'!$C$4="All",'US Dashboard'!$C$4=D134),OR('US Dashboard'!$C$5="All",'US Dashboard'!$C$5=G134),OR('US Dashboard'!$C$6="All",'US Dashboard'!$C$6=H134),OR('US Dashboard'!$C$7="All",'US Dashboard'!$C$7=F134),OR('US Dashboard'!$C$8="All",'US Dashboard'!$C$8=AJ134))</f>
        <v/>
      </c>
      <c r="B134" s="148">
        <f>IF(A134,B133+1,B133)</f>
        <v/>
      </c>
      <c r="C134" s="148" t="n">
        <v>30</v>
      </c>
      <c r="D134" s="148" t="inlineStr">
        <is>
          <t>DC B6</t>
        </is>
      </c>
      <c r="E134" s="148" t="inlineStr">
        <is>
          <t>CA</t>
        </is>
      </c>
      <c r="F134" s="148" t="inlineStr">
        <is>
          <t>Bamboo</t>
        </is>
      </c>
      <c r="G134" s="148" t="inlineStr">
        <is>
          <t>GOKOTTA</t>
        </is>
      </c>
      <c r="H134" s="148" t="inlineStr">
        <is>
          <t>Untiered</t>
        </is>
      </c>
      <c r="I134" s="148" t="inlineStr">
        <is>
          <t>Queen Bed Sheets 6 Piece Set by Gökotta, 24" Extra Deep Pocket Fitted Sheets with Elastic Corner Straps, 150 GSM Thicker Luxury Soft Sheets, 100% Rayon Derived from Bamboo, Blue</t>
        </is>
      </c>
      <c r="J134" s="148" t="inlineStr">
        <is>
          <t>https://m.media-amazon.com/images/I/61I0uIu6eFL.jpg</t>
        </is>
      </c>
      <c r="K134" s="148" t="inlineStr">
        <is>
          <t>B0CLQ1F333</t>
        </is>
      </c>
      <c r="L134" s="148" t="inlineStr">
        <is>
          <t>B0CCRKZ8G2</t>
        </is>
      </c>
      <c r="M134" s="148" t="n">
        <v>4</v>
      </c>
      <c r="N134" s="148" t="n">
        <v>174.99</v>
      </c>
      <c r="O134" s="148" t="n"/>
      <c r="P134" s="148">
        <f>IF(AND(ISNUMBER(O134),ISNUMBER(N134),N(N134)&gt;0),O134/N134-1,"")</f>
        <v/>
      </c>
      <c r="Q134" s="148" t="n">
        <v>99.98999999999999</v>
      </c>
      <c r="R134" s="148">
        <f>IF(AND(ISNUMBER(N134),ISNUMBER(Q134),N(Q134)&gt;0),N134/Q134-1,"")</f>
        <v/>
      </c>
      <c r="S134" s="148" t="n">
        <v>160491</v>
      </c>
      <c r="T134" s="148" t="n"/>
      <c r="U134" s="148" t="n">
        <v>4.5</v>
      </c>
      <c r="V134" s="148" t="n">
        <v>323</v>
      </c>
      <c r="W134" s="148" t="n"/>
      <c r="X134" s="148" t="n"/>
      <c r="Y134" s="148" t="n"/>
      <c r="Z134" s="148" t="n"/>
      <c r="AA134" s="148" t="n"/>
      <c r="AB134" s="148" t="n"/>
      <c r="AC134" s="148" t="inlineStr">
        <is>
          <t>CA DC B6</t>
        </is>
      </c>
      <c r="AD134" s="148">
        <f>'CA DC B6'!BF126</f>
        <v/>
      </c>
      <c r="AE134" s="148">
        <f>'CA DC B6'!BI126</f>
        <v/>
      </c>
      <c r="AF134" s="148" t="inlineStr">
        <is>
          <t>Queen</t>
        </is>
      </c>
      <c r="AG134" s="148" t="inlineStr">
        <is>
          <t>03 Blue</t>
        </is>
      </c>
      <c r="AH134" s="148">
        <f>AND(E134="CA",OR('CA Dashboard'!$C$4="All",'CA Dashboard'!$C$4=D134),OR('CA Dashboard'!$C$5="All",'CA Dashboard'!$C$5=G134),OR('CA Dashboard'!$C$6="All",'CA Dashboard'!$C$6=H134),OR('CA Dashboard'!$C$7="All",'CA Dashboard'!$C$7=F134),OR('CA Dashboard'!$C$8="All",'CA Dashboard'!$C$8=AJ134))</f>
        <v/>
      </c>
      <c r="AI134" s="148">
        <f>IF(AH134,AI133+1,AI133)</f>
        <v/>
      </c>
      <c r="AJ134" s="148" t="inlineStr">
        <is>
          <t>Direct</t>
        </is>
      </c>
      <c r="AK134" s="148" t="inlineStr">
        <is>
          <t>Same product (sheet set) in the same material family: Bamboo viscose (title: Queen Bed Sheets 6 Piece Set by Gökotta, 24" Extra Deep Pock); ours: our listing: viscose from bamboo.</t>
        </is>
      </c>
    </row>
    <row r="135">
      <c r="A135" s="148">
        <f>AND(E135="US",OR('US Dashboard'!$C$4="All",'US Dashboard'!$C$4=D135),OR('US Dashboard'!$C$5="All",'US Dashboard'!$C$5=G135),OR('US Dashboard'!$C$6="All",'US Dashboard'!$C$6=H135),OR('US Dashboard'!$C$7="All",'US Dashboard'!$C$7=F135),OR('US Dashboard'!$C$8="All",'US Dashboard'!$C$8=AJ135))</f>
        <v/>
      </c>
      <c r="B135" s="148">
        <f>IF(A135,B134+1,B134)</f>
        <v/>
      </c>
      <c r="C135" s="148" t="n">
        <v>30</v>
      </c>
      <c r="D135" s="148" t="inlineStr">
        <is>
          <t>DC B6</t>
        </is>
      </c>
      <c r="E135" s="148" t="inlineStr">
        <is>
          <t>CA</t>
        </is>
      </c>
      <c r="F135" s="148" t="inlineStr">
        <is>
          <t>Bamboo</t>
        </is>
      </c>
      <c r="G135" s="148" t="inlineStr">
        <is>
          <t>Bambaw</t>
        </is>
      </c>
      <c r="H135" s="148" t="inlineStr">
        <is>
          <t>Untiered</t>
        </is>
      </c>
      <c r="I135" s="148" t="inlineStr">
        <is>
          <t>Bambaw 100% Viscose Derived from Bamboo Sheets Queen Size Set – 6pcs Cooling Queen Sheet Set, Deep Pocket Fits Up to 16'' with Elastic Corner Straps, Queen Soft Sheets (Charcoal)</t>
        </is>
      </c>
      <c r="J135" s="148" t="inlineStr">
        <is>
          <t>https://m.media-amazon.com/images/I/81kw-1bG0-L.jpg</t>
        </is>
      </c>
      <c r="K135" s="148" t="inlineStr">
        <is>
          <t>B07K6SYX8L</t>
        </is>
      </c>
      <c r="L135" s="148" t="inlineStr">
        <is>
          <t>B0DR9BMSW2</t>
        </is>
      </c>
      <c r="M135" s="148" t="n">
        <v>112</v>
      </c>
      <c r="N135" s="148" t="n">
        <v>159.95</v>
      </c>
      <c r="O135" s="148" t="n"/>
      <c r="P135" s="148">
        <f>IF(AND(ISNUMBER(O135),ISNUMBER(N135),N(N135)&gt;0),O135/N135-1,"")</f>
        <v/>
      </c>
      <c r="Q135" s="148" t="n">
        <v>99.98999999999999</v>
      </c>
      <c r="R135" s="148">
        <f>IF(AND(ISNUMBER(N135),ISNUMBER(Q135),N(Q135)&gt;0),N135/Q135-1,"")</f>
        <v/>
      </c>
      <c r="S135" s="148" t="n">
        <v>5024</v>
      </c>
      <c r="T135" s="148" t="n"/>
      <c r="U135" s="148" t="n">
        <v>4.3</v>
      </c>
      <c r="V135" s="148" t="n">
        <v>3030</v>
      </c>
      <c r="W135" s="148" t="n"/>
      <c r="X135" s="148" t="n"/>
      <c r="Y135" s="148" t="n"/>
      <c r="Z135" s="148" t="n"/>
      <c r="AA135" s="148" t="n"/>
      <c r="AB135" s="148" t="n"/>
      <c r="AC135" s="148" t="inlineStr">
        <is>
          <t>CA DC B6</t>
        </is>
      </c>
      <c r="AD135" s="148">
        <f>'CA DC B6'!BF127</f>
        <v/>
      </c>
      <c r="AE135" s="148">
        <f>'CA DC B6'!BI127</f>
        <v/>
      </c>
      <c r="AF135" s="148" t="inlineStr">
        <is>
          <t>Queen</t>
        </is>
      </c>
      <c r="AG135" s="148" t="inlineStr">
        <is>
          <t>Charcoal</t>
        </is>
      </c>
      <c r="AH135" s="148">
        <f>AND(E135="CA",OR('CA Dashboard'!$C$4="All",'CA Dashboard'!$C$4=D135),OR('CA Dashboard'!$C$5="All",'CA Dashboard'!$C$5=G135),OR('CA Dashboard'!$C$6="All",'CA Dashboard'!$C$6=H135),OR('CA Dashboard'!$C$7="All",'CA Dashboard'!$C$7=F135),OR('CA Dashboard'!$C$8="All",'CA Dashboard'!$C$8=AJ135))</f>
        <v/>
      </c>
      <c r="AI135" s="148">
        <f>IF(AH135,AI134+1,AI134)</f>
        <v/>
      </c>
      <c r="AJ135" s="148" t="inlineStr">
        <is>
          <t>Direct</t>
        </is>
      </c>
      <c r="AK135" s="148" t="inlineStr">
        <is>
          <t>Same product (sheet set) in the same material family: Bamboo viscose (title: Bambaw 100% Viscose Derived from Bamboo Sheets Queen Size Se); ours: our listing: viscose from bamboo.</t>
        </is>
      </c>
    </row>
    <row r="136">
      <c r="A136" s="148">
        <f>AND(E136="US",OR('US Dashboard'!$C$4="All",'US Dashboard'!$C$4=D136),OR('US Dashboard'!$C$5="All",'US Dashboard'!$C$5=G136),OR('US Dashboard'!$C$6="All",'US Dashboard'!$C$6=H136),OR('US Dashboard'!$C$7="All",'US Dashboard'!$C$7=F136),OR('US Dashboard'!$C$8="All",'US Dashboard'!$C$8=AJ136))</f>
        <v/>
      </c>
      <c r="B136" s="148">
        <f>IF(A136,B135+1,B135)</f>
        <v/>
      </c>
      <c r="C136" s="148" t="n">
        <v>30</v>
      </c>
      <c r="D136" s="148" t="inlineStr">
        <is>
          <t>DC B6</t>
        </is>
      </c>
      <c r="E136" s="148" t="inlineStr">
        <is>
          <t>CA</t>
        </is>
      </c>
      <c r="F136" s="148" t="inlineStr">
        <is>
          <t>Bamboo</t>
        </is>
      </c>
      <c r="G136" s="148" t="inlineStr">
        <is>
          <t>Bamboo Bay</t>
        </is>
      </c>
      <c r="H136" s="148" t="inlineStr">
        <is>
          <t>Untiered</t>
        </is>
      </c>
      <c r="I136" s="148" t="inlineStr">
        <is>
          <t>Bamboo Bay Luxury Bamboo Sheets Queen Size - 6 Piece Ultra Soft Cooling Sheets for Hot Sleepers - 100% Organic Bamboo Queen Sheet Set Fits Up to 16" Deep Pocket - Eco Friendly - Queen - White</t>
        </is>
      </c>
      <c r="J136" s="148" t="inlineStr">
        <is>
          <t>https://m.media-amazon.com/images/I/71DKiQ4ilnL.jpg</t>
        </is>
      </c>
      <c r="K136" s="148" t="n"/>
      <c r="L136" s="148" t="inlineStr">
        <is>
          <t>B0777SFXZK</t>
        </is>
      </c>
      <c r="M136" s="148" t="n"/>
      <c r="N136" s="148" t="n">
        <v>112.35</v>
      </c>
      <c r="O136" s="148" t="n"/>
      <c r="P136" s="148">
        <f>IF(AND(ISNUMBER(O136),ISNUMBER(N136),N(N136)&gt;0),O136/N136-1,"")</f>
        <v/>
      </c>
      <c r="Q136" s="148" t="n">
        <v>99.98999999999999</v>
      </c>
      <c r="R136" s="148">
        <f>IF(AND(ISNUMBER(N136),ISNUMBER(Q136),N(Q136)&gt;0),N136/Q136-1,"")</f>
        <v/>
      </c>
      <c r="S136" s="148" t="n">
        <v>2581598</v>
      </c>
      <c r="T136" s="148" t="n"/>
      <c r="U136" s="148" t="n">
        <v>4.6</v>
      </c>
      <c r="V136" s="148" t="n">
        <v>222</v>
      </c>
      <c r="W136" s="148" t="n"/>
      <c r="X136" s="148" t="n"/>
      <c r="Y136" s="148" t="n"/>
      <c r="Z136" s="148" t="n"/>
      <c r="AA136" s="148" t="n"/>
      <c r="AB136" s="148" t="n"/>
      <c r="AC136" s="148" t="inlineStr">
        <is>
          <t>CA DC B6</t>
        </is>
      </c>
      <c r="AD136" s="148">
        <f>'CA DC B6'!BF128</f>
        <v/>
      </c>
      <c r="AE136" s="148">
        <f>'CA DC B6'!BI128</f>
        <v/>
      </c>
      <c r="AF136" s="148" t="inlineStr">
        <is>
          <t>Queen</t>
        </is>
      </c>
      <c r="AG136" s="148" t="inlineStr">
        <is>
          <t>White</t>
        </is>
      </c>
      <c r="AH136" s="148">
        <f>AND(E136="CA",OR('CA Dashboard'!$C$4="All",'CA Dashboard'!$C$4=D136),OR('CA Dashboard'!$C$5="All",'CA Dashboard'!$C$5=G136),OR('CA Dashboard'!$C$6="All",'CA Dashboard'!$C$6=H136),OR('CA Dashboard'!$C$7="All",'CA Dashboard'!$C$7=F136),OR('CA Dashboard'!$C$8="All",'CA Dashboard'!$C$8=AJ136))</f>
        <v/>
      </c>
      <c r="AI136" s="148">
        <f>IF(AH136,AI135+1,AI135)</f>
        <v/>
      </c>
      <c r="AJ136" s="148" t="inlineStr">
        <is>
          <t>Direct</t>
        </is>
      </c>
      <c r="AK136" s="148" t="inlineStr">
        <is>
          <t>Same product (sheet set) in the same material family: Bamboo viscose (title: Bamboo Bay Luxury Bamboo Sheets Queen Size - 6 Piece Ultra S); ours: our listing: viscose from bamboo.</t>
        </is>
      </c>
    </row>
    <row r="137">
      <c r="A137" s="148">
        <f>AND(E137="US",OR('US Dashboard'!$C$4="All",'US Dashboard'!$C$4=D137),OR('US Dashboard'!$C$5="All",'US Dashboard'!$C$5=G137),OR('US Dashboard'!$C$6="All",'US Dashboard'!$C$6=H137),OR('US Dashboard'!$C$7="All",'US Dashboard'!$C$7=F137),OR('US Dashboard'!$C$8="All",'US Dashboard'!$C$8=AJ137))</f>
        <v/>
      </c>
      <c r="B137" s="148">
        <f>IF(A137,B136+1,B136)</f>
        <v/>
      </c>
      <c r="C137" s="148" t="n">
        <v>30</v>
      </c>
      <c r="D137" s="148" t="inlineStr">
        <is>
          <t>DC B6</t>
        </is>
      </c>
      <c r="E137" s="148" t="inlineStr">
        <is>
          <t>CA</t>
        </is>
      </c>
      <c r="F137" s="148" t="inlineStr">
        <is>
          <t>Bamboo</t>
        </is>
      </c>
      <c r="G137" s="148" t="inlineStr">
        <is>
          <t>BC BELLA COTERIE</t>
        </is>
      </c>
      <c r="H137" s="148" t="inlineStr">
        <is>
          <t>Untiered</t>
        </is>
      </c>
      <c r="I137" s="148" t="inlineStr">
        <is>
          <t>Bella Coterie 6 Piece Luxury Bamboo Viscose Queen Sheet Set</t>
        </is>
      </c>
      <c r="J137" s="148" t="inlineStr">
        <is>
          <t>https://m.media-amazon.com/images/I/71uagjboyTL.jpg</t>
        </is>
      </c>
      <c r="K137" s="148" t="inlineStr">
        <is>
          <t>B08P97YSMW</t>
        </is>
      </c>
      <c r="L137" s="148" t="inlineStr">
        <is>
          <t>B0GTWJ29LG</t>
        </is>
      </c>
      <c r="M137" s="148" t="n">
        <v>233</v>
      </c>
      <c r="N137" s="148" t="n"/>
      <c r="O137" s="148" t="n"/>
      <c r="P137" s="148">
        <f>IF(AND(ISNUMBER(O137),ISNUMBER(N137),N(N137)&gt;0),O137/N137-1,"")</f>
        <v/>
      </c>
      <c r="Q137" s="148" t="n">
        <v>99.98999999999999</v>
      </c>
      <c r="R137" s="148">
        <f>IF(AND(ISNUMBER(N137),ISNUMBER(Q137),N(Q137)&gt;0),N137/Q137-1,"")</f>
        <v/>
      </c>
      <c r="S137" s="148" t="n">
        <v>297691</v>
      </c>
      <c r="T137" s="148" t="n"/>
      <c r="U137" s="148" t="n">
        <v>4.4</v>
      </c>
      <c r="V137" s="148" t="n">
        <v>6192</v>
      </c>
      <c r="W137" s="148" t="n"/>
      <c r="X137" s="148" t="n"/>
      <c r="Y137" s="148" t="n"/>
      <c r="Z137" s="148" t="n"/>
      <c r="AA137" s="148" t="n"/>
      <c r="AB137" s="148" t="n"/>
      <c r="AC137" s="148" t="inlineStr">
        <is>
          <t>CA DC B6</t>
        </is>
      </c>
      <c r="AD137" s="148">
        <f>'CA DC B6'!BF129</f>
        <v/>
      </c>
      <c r="AE137" s="148">
        <f>'CA DC B6'!BI129</f>
        <v/>
      </c>
      <c r="AF137" s="148" t="inlineStr">
        <is>
          <t>Queen</t>
        </is>
      </c>
      <c r="AG137" s="148" t="inlineStr">
        <is>
          <t>19 - Lemonade</t>
        </is>
      </c>
      <c r="AH137" s="148">
        <f>AND(E137="CA",OR('CA Dashboard'!$C$4="All",'CA Dashboard'!$C$4=D137),OR('CA Dashboard'!$C$5="All",'CA Dashboard'!$C$5=G137),OR('CA Dashboard'!$C$6="All",'CA Dashboard'!$C$6=H137),OR('CA Dashboard'!$C$7="All",'CA Dashboard'!$C$7=F137),OR('CA Dashboard'!$C$8="All",'CA Dashboard'!$C$8=AJ137))</f>
        <v/>
      </c>
      <c r="AI137" s="148">
        <f>IF(AH137,AI136+1,AI136)</f>
        <v/>
      </c>
      <c r="AJ137" s="148" t="inlineStr">
        <is>
          <t>Direct</t>
        </is>
      </c>
      <c r="AK137" s="148" t="inlineStr">
        <is>
          <t>Same product (sheet set) in the same material family: Bamboo viscose (title: Bella Coterie 6 Piece Luxury Bamboo Viscose Queen Sheet Set); ours: our listing: viscose from bamboo.</t>
        </is>
      </c>
    </row>
    <row r="138">
      <c r="A138" s="148">
        <f>AND(E138="US",OR('US Dashboard'!$C$4="All",'US Dashboard'!$C$4=D138),OR('US Dashboard'!$C$5="All",'US Dashboard'!$C$5=G138),OR('US Dashboard'!$C$6="All",'US Dashboard'!$C$6=H138),OR('US Dashboard'!$C$7="All",'US Dashboard'!$C$7=F138),OR('US Dashboard'!$C$8="All",'US Dashboard'!$C$8=AJ138))</f>
        <v/>
      </c>
      <c r="B138" s="148">
        <f>IF(A138,B137+1,B137)</f>
        <v/>
      </c>
      <c r="C138" s="148" t="n">
        <v>30</v>
      </c>
      <c r="D138" s="148" t="inlineStr">
        <is>
          <t>DC B6</t>
        </is>
      </c>
      <c r="E138" s="148" t="inlineStr">
        <is>
          <t>CA</t>
        </is>
      </c>
      <c r="F138" s="148" t="inlineStr">
        <is>
          <t>Bamboo</t>
        </is>
      </c>
      <c r="G138" s="148" t="inlineStr">
        <is>
          <t>Bamboo Bay</t>
        </is>
      </c>
      <c r="H138" s="148" t="inlineStr">
        <is>
          <t>Untiered</t>
        </is>
      </c>
      <c r="I138" s="148" t="inlineStr">
        <is>
          <t>Bamboo Bay Luxury Bamboo Sheets Queen Size - 6 Piece Ultra Soft Cooling Sheets for Hot Sleepers - 100% Organic Bamboo Queen Sheet Set Fits Up to 16" Deep Pocket - Eco Friendly - Queen - Ivory</t>
        </is>
      </c>
      <c r="J138" s="148" t="inlineStr">
        <is>
          <t>https://m.media-amazon.com/images/I/610q+H2k3BL.jpg</t>
        </is>
      </c>
      <c r="K138" s="148" t="n"/>
      <c r="L138" s="148" t="inlineStr">
        <is>
          <t>B07PS657BP</t>
        </is>
      </c>
      <c r="M138" s="148" t="n"/>
      <c r="N138" s="148" t="n">
        <v>159.99</v>
      </c>
      <c r="O138" s="148" t="n"/>
      <c r="P138" s="148">
        <f>IF(AND(ISNUMBER(O138),ISNUMBER(N138),N(N138)&gt;0),O138/N138-1,"")</f>
        <v/>
      </c>
      <c r="Q138" s="148" t="n">
        <v>99.98999999999999</v>
      </c>
      <c r="R138" s="148">
        <f>IF(AND(ISNUMBER(N138),ISNUMBER(Q138),N(Q138)&gt;0),N138/Q138-1,"")</f>
        <v/>
      </c>
      <c r="S138" s="148" t="n"/>
      <c r="T138" s="148" t="n"/>
      <c r="U138" s="148" t="n">
        <v>4.4</v>
      </c>
      <c r="V138" s="148" t="n">
        <v>107</v>
      </c>
      <c r="W138" s="148" t="n"/>
      <c r="X138" s="148" t="n"/>
      <c r="Y138" s="148" t="n"/>
      <c r="Z138" s="148" t="n"/>
      <c r="AA138" s="148" t="n"/>
      <c r="AB138" s="148" t="n"/>
      <c r="AC138" s="148" t="inlineStr">
        <is>
          <t>CA DC B6</t>
        </is>
      </c>
      <c r="AD138" s="148">
        <f>'CA DC B6'!BF130</f>
        <v/>
      </c>
      <c r="AE138" s="148">
        <f>'CA DC B6'!BI130</f>
        <v/>
      </c>
      <c r="AF138" s="148" t="inlineStr">
        <is>
          <t>Queen</t>
        </is>
      </c>
      <c r="AG138" s="148" t="inlineStr">
        <is>
          <t>Ivory</t>
        </is>
      </c>
      <c r="AH138" s="148">
        <f>AND(E138="CA",OR('CA Dashboard'!$C$4="All",'CA Dashboard'!$C$4=D138),OR('CA Dashboard'!$C$5="All",'CA Dashboard'!$C$5=G138),OR('CA Dashboard'!$C$6="All",'CA Dashboard'!$C$6=H138),OR('CA Dashboard'!$C$7="All",'CA Dashboard'!$C$7=F138),OR('CA Dashboard'!$C$8="All",'CA Dashboard'!$C$8=AJ138))</f>
        <v/>
      </c>
      <c r="AI138" s="148">
        <f>IF(AH138,AI137+1,AI137)</f>
        <v/>
      </c>
      <c r="AJ138" s="148" t="inlineStr">
        <is>
          <t>Direct</t>
        </is>
      </c>
      <c r="AK138" s="148" t="inlineStr">
        <is>
          <t>Same product (sheet set) in the same material family: Bamboo viscose (title: Bamboo Bay Luxury Bamboo Sheets Queen Size - 6 Piece Ultra S); ours: our listing: viscose from bamboo.</t>
        </is>
      </c>
    </row>
    <row r="139">
      <c r="A139" s="148">
        <f>AND(E139="US",OR('US Dashboard'!$C$4="All",'US Dashboard'!$C$4=D139),OR('US Dashboard'!$C$5="All",'US Dashboard'!$C$5=G139),OR('US Dashboard'!$C$6="All",'US Dashboard'!$C$6=H139),OR('US Dashboard'!$C$7="All",'US Dashboard'!$C$7=F139),OR('US Dashboard'!$C$8="All",'US Dashboard'!$C$8=AJ139))</f>
        <v/>
      </c>
      <c r="B139" s="148">
        <f>IF(A139,B138+1,B138)</f>
        <v/>
      </c>
      <c r="C139" s="148" t="n">
        <v>30</v>
      </c>
      <c r="D139" s="148" t="inlineStr">
        <is>
          <t>DC B6</t>
        </is>
      </c>
      <c r="E139" s="148" t="inlineStr">
        <is>
          <t>US</t>
        </is>
      </c>
      <c r="F139" s="148" t="inlineStr">
        <is>
          <t>Bamboo</t>
        </is>
      </c>
      <c r="G139" s="148" t="inlineStr">
        <is>
          <t>ACCURATEX</t>
        </is>
      </c>
      <c r="H139" s="148" t="inlineStr">
        <is>
          <t>Poor</t>
        </is>
      </c>
      <c r="I139" s="148" t="inlineStr">
        <is>
          <t>ACCURATEX Cooling Sheets for Hot Sleepers, King Size, Grey</t>
        </is>
      </c>
      <c r="J139" s="148" t="inlineStr">
        <is>
          <t>https://images-na.ssl-images-amazon.com/images/I/81fSDKgL-SL.jpg</t>
        </is>
      </c>
      <c r="K139" s="148" t="inlineStr">
        <is>
          <t>B0GMGSMLQ1</t>
        </is>
      </c>
      <c r="L139" s="148" t="inlineStr">
        <is>
          <t>B09PYB9C45</t>
        </is>
      </c>
      <c r="M139" s="148" t="n">
        <v>51</v>
      </c>
      <c r="N139" s="148" t="n">
        <v>69.98999999999999</v>
      </c>
      <c r="O139" s="148" t="n"/>
      <c r="P139" s="148">
        <f>IF(AND(ISNUMBER(O139),ISNUMBER(N139),N(N139)&gt;0),O139/N139-1,"")</f>
        <v/>
      </c>
      <c r="Q139" s="148" t="n">
        <v>99.98999999999999</v>
      </c>
      <c r="R139" s="148">
        <f>IF(AND(ISNUMBER(N139),ISNUMBER(Q139),N(Q139)&gt;0),N139/Q139-1,"")</f>
        <v/>
      </c>
      <c r="S139" s="148" t="n">
        <v>33423</v>
      </c>
      <c r="T139" s="148" t="n">
        <v>35</v>
      </c>
      <c r="U139" s="148" t="n">
        <v>4.4</v>
      </c>
      <c r="V139" s="148" t="n">
        <v>1040</v>
      </c>
      <c r="W139" s="148" t="n"/>
      <c r="X139" s="148" t="n"/>
      <c r="Y139" s="148" t="n"/>
      <c r="Z139" s="148" t="n"/>
      <c r="AA139" s="148" t="n"/>
      <c r="AB139" s="148" t="n"/>
      <c r="AC139" s="148" t="inlineStr">
        <is>
          <t>US DC B6</t>
        </is>
      </c>
      <c r="AD139" s="148">
        <f>'US DC B6'!BF183</f>
        <v/>
      </c>
      <c r="AE139" s="148">
        <f>'US DC B6'!BI183</f>
        <v/>
      </c>
      <c r="AF139" s="148" t="inlineStr">
        <is>
          <t>King</t>
        </is>
      </c>
      <c r="AG139" s="148" t="inlineStr">
        <is>
          <t>Grey</t>
        </is>
      </c>
      <c r="AH139" s="148">
        <f>AND(E139="CA",OR('CA Dashboard'!$C$4="All",'CA Dashboard'!$C$4=D139),OR('CA Dashboard'!$C$5="All",'CA Dashboard'!$C$5=G139),OR('CA Dashboard'!$C$6="All",'CA Dashboard'!$C$6=H139),OR('CA Dashboard'!$C$7="All",'CA Dashboard'!$C$7=F139),OR('CA Dashboard'!$C$8="All",'CA Dashboard'!$C$8=AJ139))</f>
        <v/>
      </c>
      <c r="AI139" s="148">
        <f>IF(AH139,AI138+1,AI138)</f>
        <v/>
      </c>
      <c r="AJ139" s="148" t="inlineStr">
        <is>
          <t>Material not verified</t>
        </is>
      </c>
      <c r="AK139" s="148" t="inlineStr">
        <is>
          <t>Sheet set like ours, but the material is not stated (material not stated on the page or in the title); verify before treating as direct.</t>
        </is>
      </c>
    </row>
    <row r="140">
      <c r="A140" s="148">
        <f>AND(E140="US",OR('US Dashboard'!$C$4="All",'US Dashboard'!$C$4=D140),OR('US Dashboard'!$C$5="All",'US Dashboard'!$C$5=G140),OR('US Dashboard'!$C$6="All",'US Dashboard'!$C$6=H140),OR('US Dashboard'!$C$7="All",'US Dashboard'!$C$7=F140),OR('US Dashboard'!$C$8="All",'US Dashboard'!$C$8=AJ140))</f>
        <v/>
      </c>
      <c r="B140" s="148">
        <f>IF(A140,B139+1,B139)</f>
        <v/>
      </c>
      <c r="C140" s="148" t="n">
        <v>30</v>
      </c>
      <c r="D140" s="148" t="inlineStr">
        <is>
          <t>DC B6</t>
        </is>
      </c>
      <c r="E140" s="148" t="inlineStr">
        <is>
          <t>US</t>
        </is>
      </c>
      <c r="F140" s="148" t="inlineStr">
        <is>
          <t>Bamboo</t>
        </is>
      </c>
      <c r="G140" s="148" t="inlineStr">
        <is>
          <t>Shilucheng</t>
        </is>
      </c>
      <c r="H140" s="148" t="inlineStr">
        <is>
          <t>Untiered</t>
        </is>
      </c>
      <c r="I140" s="148" t="inlineStr">
        <is>
          <t>Shilucheng 4 Piece Queen Sheet Sets, Cooling Sheets, Dark Grey</t>
        </is>
      </c>
      <c r="J140" s="148" t="inlineStr">
        <is>
          <t>https://images-na.ssl-images-amazon.com/images/I/81fpVjndH2L.jpg</t>
        </is>
      </c>
      <c r="K140" s="148" t="inlineStr">
        <is>
          <t>B0HJSVWNRS</t>
        </is>
      </c>
      <c r="L140" s="148" t="inlineStr">
        <is>
          <t>B0FWY1TGFK</t>
        </is>
      </c>
      <c r="M140" s="148" t="n">
        <v>49</v>
      </c>
      <c r="N140" s="148" t="n">
        <v>34.99</v>
      </c>
      <c r="O140" s="148" t="n"/>
      <c r="P140" s="148">
        <f>IF(AND(ISNUMBER(O140),ISNUMBER(N140),N(N140)&gt;0),O140/N140-1,"")</f>
        <v/>
      </c>
      <c r="Q140" s="148" t="n">
        <v>94.98999999999999</v>
      </c>
      <c r="R140" s="148">
        <f>IF(AND(ISNUMBER(N140),ISNUMBER(Q140),N(Q140)&gt;0),N140/Q140-1,"")</f>
        <v/>
      </c>
      <c r="S140" s="148" t="n">
        <v>5396</v>
      </c>
      <c r="T140" s="148" t="n">
        <v>173</v>
      </c>
      <c r="U140" s="148" t="n">
        <v>4.3</v>
      </c>
      <c r="V140" s="148" t="n">
        <v>24352</v>
      </c>
      <c r="W140" s="148" t="n">
        <v>135323</v>
      </c>
      <c r="X140" s="148" t="n">
        <v>0.7652350080917514</v>
      </c>
      <c r="Y140" s="148" t="n">
        <v>321</v>
      </c>
      <c r="Z140" s="148" t="n">
        <v>415</v>
      </c>
      <c r="AA140" s="148" t="n">
        <v>346</v>
      </c>
      <c r="AB140" s="148" t="n"/>
      <c r="AC140" s="148" t="inlineStr">
        <is>
          <t>US DC B6</t>
        </is>
      </c>
      <c r="AD140" s="148">
        <f>'US DC B6'!BF184</f>
        <v/>
      </c>
      <c r="AE140" s="148">
        <f>'US DC B6'!BI184</f>
        <v/>
      </c>
      <c r="AF140" s="148" t="inlineStr">
        <is>
          <t>Queen</t>
        </is>
      </c>
      <c r="AG140" s="148" t="inlineStr">
        <is>
          <t>Grey</t>
        </is>
      </c>
      <c r="AH140" s="148">
        <f>AND(E140="CA",OR('CA Dashboard'!$C$4="All",'CA Dashboard'!$C$4=D140),OR('CA Dashboard'!$C$5="All",'CA Dashboard'!$C$5=G140),OR('CA Dashboard'!$C$6="All",'CA Dashboard'!$C$6=H140),OR('CA Dashboard'!$C$7="All",'CA Dashboard'!$C$7=F140),OR('CA Dashboard'!$C$8="All",'CA Dashboard'!$C$8=AJ140))</f>
        <v/>
      </c>
      <c r="AI140" s="148">
        <f>IF(AH140,AI139+1,AI139)</f>
        <v/>
      </c>
      <c r="AJ140" s="148" t="inlineStr">
        <is>
          <t>Material not verified</t>
        </is>
      </c>
      <c r="AK140" s="148" t="inlineStr">
        <is>
          <t>Sheet set like ours, but the material is not stated (material not stated on the page or in the title); verify before treating as direct.</t>
        </is>
      </c>
    </row>
    <row r="141">
      <c r="A141" s="148">
        <f>AND(E141="US",OR('US Dashboard'!$C$4="All",'US Dashboard'!$C$4=D141),OR('US Dashboard'!$C$5="All",'US Dashboard'!$C$5=G141),OR('US Dashboard'!$C$6="All",'US Dashboard'!$C$6=H141),OR('US Dashboard'!$C$7="All",'US Dashboard'!$C$7=F141),OR('US Dashboard'!$C$8="All",'US Dashboard'!$C$8=AJ141))</f>
        <v/>
      </c>
      <c r="B141" s="148">
        <f>IF(A141,B140+1,B140)</f>
        <v/>
      </c>
      <c r="C141" s="148" t="n">
        <v>30</v>
      </c>
      <c r="D141" s="148" t="inlineStr">
        <is>
          <t>DC B6</t>
        </is>
      </c>
      <c r="E141" s="148" t="inlineStr">
        <is>
          <t>US</t>
        </is>
      </c>
      <c r="F141" s="148" t="inlineStr">
        <is>
          <t>Bamboo</t>
        </is>
      </c>
      <c r="G141" s="148" t="inlineStr">
        <is>
          <t>Shilucheng</t>
        </is>
      </c>
      <c r="H141" s="148" t="inlineStr">
        <is>
          <t>Untiered</t>
        </is>
      </c>
      <c r="I141" s="148" t="inlineStr">
        <is>
          <t>Shilucheng 4 Piece King Sheet Sets, Cooling Sheets, Dark Grey</t>
        </is>
      </c>
      <c r="J141" s="148" t="inlineStr">
        <is>
          <t>https://images-na.ssl-images-amazon.com/images/I/81fpVjndH2L.jpg</t>
        </is>
      </c>
      <c r="K141" s="148" t="inlineStr">
        <is>
          <t>B098JT1RF2</t>
        </is>
      </c>
      <c r="L141" s="148" t="inlineStr">
        <is>
          <t>B098JT1RF2</t>
        </is>
      </c>
      <c r="M141" s="148" t="n">
        <v>100</v>
      </c>
      <c r="N141" s="148" t="n">
        <v>37.9</v>
      </c>
      <c r="O141" s="148" t="n"/>
      <c r="P141" s="148">
        <f>IF(AND(ISNUMBER(O141),ISNUMBER(N141),N(N141)&gt;0),O141/N141-1,"")</f>
        <v/>
      </c>
      <c r="Q141" s="148" t="n">
        <v>99.98999999999999</v>
      </c>
      <c r="R141" s="148">
        <f>IF(AND(ISNUMBER(N141),ISNUMBER(Q141),N(Q141)&gt;0),N141/Q141-1,"")</f>
        <v/>
      </c>
      <c r="S141" s="148" t="n">
        <v>9187</v>
      </c>
      <c r="T141" s="148" t="n">
        <v>18</v>
      </c>
      <c r="U141" s="148" t="n">
        <v>4.3</v>
      </c>
      <c r="V141" s="148" t="n">
        <v>24333</v>
      </c>
      <c r="W141" s="148" t="n">
        <v>23320</v>
      </c>
      <c r="X141" s="148" t="n">
        <v>0.6141093996569467</v>
      </c>
      <c r="Y141" s="148" t="n">
        <v>368</v>
      </c>
      <c r="Z141" s="148" t="n">
        <v>208</v>
      </c>
      <c r="AA141" s="148" t="n">
        <v>176</v>
      </c>
      <c r="AB141" s="148" t="n"/>
      <c r="AC141" s="148" t="inlineStr">
        <is>
          <t>US DC B6</t>
        </is>
      </c>
      <c r="AD141" s="148">
        <f>'US DC B6'!BF185</f>
        <v/>
      </c>
      <c r="AE141" s="148">
        <f>'US DC B6'!BI185</f>
        <v/>
      </c>
      <c r="AF141" s="148" t="inlineStr">
        <is>
          <t>King</t>
        </is>
      </c>
      <c r="AG141" s="148" t="inlineStr">
        <is>
          <t>Grey</t>
        </is>
      </c>
      <c r="AH141" s="148">
        <f>AND(E141="CA",OR('CA Dashboard'!$C$4="All",'CA Dashboard'!$C$4=D141),OR('CA Dashboard'!$C$5="All",'CA Dashboard'!$C$5=G141),OR('CA Dashboard'!$C$6="All",'CA Dashboard'!$C$6=H141),OR('CA Dashboard'!$C$7="All",'CA Dashboard'!$C$7=F141),OR('CA Dashboard'!$C$8="All",'CA Dashboard'!$C$8=AJ141))</f>
        <v/>
      </c>
      <c r="AI141" s="148">
        <f>IF(AH141,AI140+1,AI140)</f>
        <v/>
      </c>
      <c r="AJ141" s="148" t="inlineStr">
        <is>
          <t>Material not verified</t>
        </is>
      </c>
      <c r="AK141" s="148" t="inlineStr">
        <is>
          <t>Sheet set like ours, but the material is not stated (material not stated on the page or in the title); verify before treating as direct.</t>
        </is>
      </c>
    </row>
    <row r="142">
      <c r="A142" s="148">
        <f>AND(E142="US",OR('US Dashboard'!$C$4="All",'US Dashboard'!$C$4=D142),OR('US Dashboard'!$C$5="All",'US Dashboard'!$C$5=G142),OR('US Dashboard'!$C$6="All",'US Dashboard'!$C$6=H142),OR('US Dashboard'!$C$7="All",'US Dashboard'!$C$7=F142),OR('US Dashboard'!$C$8="All",'US Dashboard'!$C$8=AJ142))</f>
        <v/>
      </c>
      <c r="B142" s="148">
        <f>IF(A142,B141+1,B141)</f>
        <v/>
      </c>
      <c r="C142" s="148" t="n">
        <v>30</v>
      </c>
      <c r="D142" s="148" t="inlineStr">
        <is>
          <t>DC B6</t>
        </is>
      </c>
      <c r="E142" s="148" t="inlineStr">
        <is>
          <t>US</t>
        </is>
      </c>
      <c r="F142" s="148" t="inlineStr">
        <is>
          <t>Bamboo</t>
        </is>
      </c>
      <c r="G142" s="148" t="inlineStr">
        <is>
          <t>Pillcase</t>
        </is>
      </c>
      <c r="H142" s="148" t="inlineStr">
        <is>
          <t>Beatable</t>
        </is>
      </c>
      <c r="I142" s="148" t="inlineStr">
        <is>
          <t>100% Real Bamboo Viscose &amp; Lyocell Tencel Sheets Set Queen Size | Breathable &amp; C</t>
        </is>
      </c>
      <c r="J142" s="148" t="inlineStr">
        <is>
          <t>https://m.media-amazon.com/images/I/71vDRpdS5DL._AC_SL1500_.jpg</t>
        </is>
      </c>
      <c r="K142" s="148" t="inlineStr">
        <is>
          <t>B0H1GGHHVN</t>
        </is>
      </c>
      <c r="L142" s="148" t="inlineStr">
        <is>
          <t>B0HFZQRXXQ</t>
        </is>
      </c>
      <c r="M142" s="148" t="n">
        <v>20</v>
      </c>
      <c r="N142" s="148" t="n">
        <v>79</v>
      </c>
      <c r="O142" s="148" t="n">
        <v>109</v>
      </c>
      <c r="P142" s="148">
        <f>IF(AND(ISNUMBER(O142),ISNUMBER(N142),N(N142)&gt;0),O142/N142-1,"")</f>
        <v/>
      </c>
      <c r="Q142" s="148" t="n">
        <v>94.98999999999999</v>
      </c>
      <c r="R142" s="148">
        <f>IF(AND(ISNUMBER(N142),ISNUMBER(Q142),N(Q142)&gt;0),N142/Q142-1,"")</f>
        <v/>
      </c>
      <c r="S142" s="148" t="n">
        <v>28003</v>
      </c>
      <c r="T142" s="148" t="n">
        <v>35</v>
      </c>
      <c r="U142" s="148" t="n">
        <v>4.8</v>
      </c>
      <c r="V142" s="148" t="n">
        <v>279</v>
      </c>
      <c r="W142" s="148" t="n">
        <v>216953</v>
      </c>
      <c r="X142" s="148" t="n">
        <v>0.9703615419007803</v>
      </c>
      <c r="Y142" s="148" t="n">
        <v>316</v>
      </c>
      <c r="Z142" s="148" t="n">
        <v>488</v>
      </c>
      <c r="AA142" s="148" t="n">
        <v>8</v>
      </c>
      <c r="AB142" s="148" t="n"/>
      <c r="AC142" s="148" t="inlineStr">
        <is>
          <t>US DC B6</t>
        </is>
      </c>
      <c r="AD142" s="148">
        <f>'US DC B6'!BF186</f>
        <v/>
      </c>
      <c r="AE142" s="148">
        <f>'US DC B6'!BI186</f>
        <v/>
      </c>
      <c r="AF142" s="148" t="inlineStr">
        <is>
          <t>Queen</t>
        </is>
      </c>
      <c r="AG142" s="148" t="inlineStr">
        <is>
          <t>French Blue</t>
        </is>
      </c>
      <c r="AH142" s="148">
        <f>AND(E142="CA",OR('CA Dashboard'!$C$4="All",'CA Dashboard'!$C$4=D142),OR('CA Dashboard'!$C$5="All",'CA Dashboard'!$C$5=G142),OR('CA Dashboard'!$C$6="All",'CA Dashboard'!$C$6=H142),OR('CA Dashboard'!$C$7="All",'CA Dashboard'!$C$7=F142),OR('CA Dashboard'!$C$8="All",'CA Dashboard'!$C$8=AJ142))</f>
        <v/>
      </c>
      <c r="AI142" s="148">
        <f>IF(AH142,AI141+1,AI141)</f>
        <v/>
      </c>
      <c r="AJ142" s="148" t="inlineStr">
        <is>
          <t>Alternative material</t>
        </is>
      </c>
      <c r="AK142" s="148" t="inlineStr">
        <is>
          <t>Sheet set in Microfiber / polyester (product page material: Microfiber); ours is Bamboo viscose (our listing: viscose from bamboo). Shopper may cross-shop, but not like-for-like.</t>
        </is>
      </c>
    </row>
    <row r="143">
      <c r="A143" s="148">
        <f>AND(E143="US",OR('US Dashboard'!$C$4="All",'US Dashboard'!$C$4=D143),OR('US Dashboard'!$C$5="All",'US Dashboard'!$C$5=G143),OR('US Dashboard'!$C$6="All",'US Dashboard'!$C$6=H143),OR('US Dashboard'!$C$7="All",'US Dashboard'!$C$7=F143),OR('US Dashboard'!$C$8="All",'US Dashboard'!$C$8=AJ143))</f>
        <v/>
      </c>
      <c r="B143" s="148">
        <f>IF(A143,B142+1,B142)</f>
        <v/>
      </c>
      <c r="C143" s="148" t="n">
        <v>30</v>
      </c>
      <c r="D143" s="148" t="inlineStr">
        <is>
          <t>DC B6</t>
        </is>
      </c>
      <c r="E143" s="148" t="inlineStr">
        <is>
          <t>US</t>
        </is>
      </c>
      <c r="F143" s="148" t="inlineStr">
        <is>
          <t>Bamboo</t>
        </is>
      </c>
      <c r="G143" s="148" t="inlineStr">
        <is>
          <t>Pillcase</t>
        </is>
      </c>
      <c r="H143" s="148" t="inlineStr">
        <is>
          <t>Beatable</t>
        </is>
      </c>
      <c r="I143" s="148" t="inlineStr">
        <is>
          <t>100% Real Bamboo Viscose &amp; Lyocell Tencel Sheets Set Queen Size | Breathable &amp; C</t>
        </is>
      </c>
      <c r="J143" s="148" t="inlineStr">
        <is>
          <t>https://m.media-amazon.com/images/I/71F9T6wfwRL._AC_SL1500_.jpg</t>
        </is>
      </c>
      <c r="K143" s="148" t="inlineStr">
        <is>
          <t>B0HK71WHZW</t>
        </is>
      </c>
      <c r="L143" s="148" t="inlineStr">
        <is>
          <t>B0H1BWY4MD</t>
        </is>
      </c>
      <c r="M143" s="148" t="n">
        <v>22</v>
      </c>
      <c r="N143" s="148" t="n">
        <v>79</v>
      </c>
      <c r="O143" s="148" t="n"/>
      <c r="P143" s="148">
        <f>IF(AND(ISNUMBER(O143),ISNUMBER(N143),N(N143)&gt;0),O143/N143-1,"")</f>
        <v/>
      </c>
      <c r="Q143" s="148" t="n">
        <v>94.98999999999999</v>
      </c>
      <c r="R143" s="148">
        <f>IF(AND(ISNUMBER(N143),ISNUMBER(Q143),N(Q143)&gt;0),N143/Q143-1,"")</f>
        <v/>
      </c>
      <c r="S143" s="148" t="n">
        <v>38116</v>
      </c>
      <c r="T143" s="148" t="n">
        <v>18</v>
      </c>
      <c r="U143" s="148" t="n">
        <v>4.9</v>
      </c>
      <c r="V143" s="148" t="n">
        <v>201</v>
      </c>
      <c r="W143" s="148" t="n">
        <v>116001</v>
      </c>
      <c r="X143" s="148" t="n">
        <v>0.8987684407893036</v>
      </c>
      <c r="Y143" s="148" t="n">
        <v>365</v>
      </c>
      <c r="Z143" s="148" t="n">
        <v>310</v>
      </c>
      <c r="AA143" s="148" t="n">
        <v>39</v>
      </c>
      <c r="AB143" s="148" t="n"/>
      <c r="AC143" s="148" t="inlineStr">
        <is>
          <t>US DC B6</t>
        </is>
      </c>
      <c r="AD143" s="148">
        <f>'US DC B6'!BF187</f>
        <v/>
      </c>
      <c r="AE143" s="148">
        <f>'US DC B6'!BI187</f>
        <v/>
      </c>
      <c r="AF143" s="148" t="inlineStr">
        <is>
          <t>Queen</t>
        </is>
      </c>
      <c r="AG143" s="148" t="inlineStr">
        <is>
          <t>Charcoal</t>
        </is>
      </c>
      <c r="AH143" s="148">
        <f>AND(E143="CA",OR('CA Dashboard'!$C$4="All",'CA Dashboard'!$C$4=D143),OR('CA Dashboard'!$C$5="All",'CA Dashboard'!$C$5=G143),OR('CA Dashboard'!$C$6="All",'CA Dashboard'!$C$6=H143),OR('CA Dashboard'!$C$7="All",'CA Dashboard'!$C$7=F143),OR('CA Dashboard'!$C$8="All",'CA Dashboard'!$C$8=AJ143))</f>
        <v/>
      </c>
      <c r="AI143" s="148">
        <f>IF(AH143,AI142+1,AI142)</f>
        <v/>
      </c>
      <c r="AJ143" s="148" t="inlineStr">
        <is>
          <t>Alternative material</t>
        </is>
      </c>
      <c r="AK143" s="148" t="inlineStr">
        <is>
          <t>Sheet set in Microfiber / polyester (product page material: Microfiber); ours is Bamboo viscose (our listing: viscose from bamboo). Shopper may cross-shop, but not like-for-like.</t>
        </is>
      </c>
    </row>
    <row r="144">
      <c r="A144" s="148">
        <f>AND(E144="US",OR('US Dashboard'!$C$4="All",'US Dashboard'!$C$4=D144),OR('US Dashboard'!$C$5="All",'US Dashboard'!$C$5=G144),OR('US Dashboard'!$C$6="All",'US Dashboard'!$C$6=H144),OR('US Dashboard'!$C$7="All",'US Dashboard'!$C$7=F144),OR('US Dashboard'!$C$8="All",'US Dashboard'!$C$8=AJ144))</f>
        <v/>
      </c>
      <c r="B144" s="148">
        <f>IF(A144,B143+1,B143)</f>
        <v/>
      </c>
      <c r="C144" s="148" t="n">
        <v>30</v>
      </c>
      <c r="D144" s="148" t="inlineStr">
        <is>
          <t>DC B6</t>
        </is>
      </c>
      <c r="E144" s="148" t="inlineStr">
        <is>
          <t>US</t>
        </is>
      </c>
      <c r="F144" s="148" t="inlineStr">
        <is>
          <t>Bamboo</t>
        </is>
      </c>
      <c r="G144" s="148" t="inlineStr">
        <is>
          <t>Pillcase</t>
        </is>
      </c>
      <c r="H144" s="148" t="inlineStr">
        <is>
          <t>Beatable</t>
        </is>
      </c>
      <c r="I144" s="148" t="inlineStr">
        <is>
          <t>Cooling Hotel Bedding Sheet Set - 4pcs Bamboo Viscose &amp; Tencel Blend, Moisture-W</t>
        </is>
      </c>
      <c r="J144" s="148" t="inlineStr">
        <is>
          <t>https://m.media-amazon.com/images/I/61mi8zwd8GL._AC_SL1500_.jpg</t>
        </is>
      </c>
      <c r="K144" s="148" t="inlineStr">
        <is>
          <t>B0HJYG8V9Q</t>
        </is>
      </c>
      <c r="L144" s="148" t="inlineStr">
        <is>
          <t>B0HJYG8V9Q</t>
        </is>
      </c>
      <c r="M144" s="148" t="n"/>
      <c r="N144" s="148" t="n">
        <v>79.98999999999999</v>
      </c>
      <c r="O144" s="148" t="n"/>
      <c r="P144" s="148">
        <f>IF(AND(ISNUMBER(O144),ISNUMBER(N144),N(N144)&gt;0),O144/N144-1,"")</f>
        <v/>
      </c>
      <c r="Q144" s="148" t="n">
        <v>99.98999999999999</v>
      </c>
      <c r="R144" s="148">
        <f>IF(AND(ISNUMBER(N144),ISNUMBER(Q144),N(Q144)&gt;0),N144/Q144-1,"")</f>
        <v/>
      </c>
      <c r="S144" s="148" t="n">
        <v>762451</v>
      </c>
      <c r="T144" s="148" t="n">
        <v>5</v>
      </c>
      <c r="U144" s="148" t="n">
        <v>4</v>
      </c>
      <c r="V144" s="148" t="n"/>
      <c r="W144" s="148" t="n">
        <v>57075</v>
      </c>
      <c r="X144" s="148" t="n"/>
      <c r="Y144" s="148" t="n"/>
      <c r="Z144" s="148" t="n"/>
      <c r="AA144" s="148" t="n"/>
      <c r="AB144" s="148" t="n"/>
      <c r="AC144" s="148" t="inlineStr">
        <is>
          <t>US DC B6</t>
        </is>
      </c>
      <c r="AD144" s="148">
        <f>'US DC B6'!BF188</f>
        <v/>
      </c>
      <c r="AE144" s="148">
        <f>'US DC B6'!BI188</f>
        <v/>
      </c>
      <c r="AF144" s="148" t="inlineStr">
        <is>
          <t>King</t>
        </is>
      </c>
      <c r="AG144" s="148" t="inlineStr">
        <is>
          <t>Pearl White</t>
        </is>
      </c>
      <c r="AH144" s="148">
        <f>AND(E144="CA",OR('CA Dashboard'!$C$4="All",'CA Dashboard'!$C$4=D144),OR('CA Dashboard'!$C$5="All",'CA Dashboard'!$C$5=G144),OR('CA Dashboard'!$C$6="All",'CA Dashboard'!$C$6=H144),OR('CA Dashboard'!$C$7="All",'CA Dashboard'!$C$7=F144),OR('CA Dashboard'!$C$8="All",'CA Dashboard'!$C$8=AJ144))</f>
        <v/>
      </c>
      <c r="AI144" s="148">
        <f>IF(AH144,AI143+1,AI143)</f>
        <v/>
      </c>
      <c r="AJ144" s="148" t="inlineStr">
        <is>
          <t>Alternative material</t>
        </is>
      </c>
      <c r="AK144" s="148" t="inlineStr">
        <is>
          <t>Sheet set in Microfiber / polyester (product page material: Microfiber); ours is Bamboo viscose (our listing: viscose from bamboo). Shopper may cross-shop, but not like-for-like.</t>
        </is>
      </c>
    </row>
    <row r="145">
      <c r="A145" s="148">
        <f>AND(E145="US",OR('US Dashboard'!$C$4="All",'US Dashboard'!$C$4=D145),OR('US Dashboard'!$C$5="All",'US Dashboard'!$C$5=G145),OR('US Dashboard'!$C$6="All",'US Dashboard'!$C$6=H145),OR('US Dashboard'!$C$7="All",'US Dashboard'!$C$7=F145),OR('US Dashboard'!$C$8="All",'US Dashboard'!$C$8=AJ145))</f>
        <v/>
      </c>
      <c r="B145" s="148">
        <f>IF(A145,B144+1,B144)</f>
        <v/>
      </c>
      <c r="C145" s="148" t="n">
        <v>30</v>
      </c>
      <c r="D145" s="148" t="inlineStr">
        <is>
          <t>DC B6</t>
        </is>
      </c>
      <c r="E145" s="148" t="inlineStr">
        <is>
          <t>US</t>
        </is>
      </c>
      <c r="F145" s="148" t="inlineStr">
        <is>
          <t>Bamboo</t>
        </is>
      </c>
      <c r="G145" s="148" t="inlineStr">
        <is>
          <t>Pillcase</t>
        </is>
      </c>
      <c r="H145" s="148" t="inlineStr">
        <is>
          <t>Beatable</t>
        </is>
      </c>
      <c r="I145" s="148" t="inlineStr">
        <is>
          <t>Pillcase Luxury Organic Tencel &amp; Viscose from Bamboo Cooling Sheet Set,Silky Soft Lyocell Sheets with Deep Pocket, Hypoallergenic &amp; Breathable Bedding with Pillowcases (White, King)</t>
        </is>
      </c>
      <c r="J145" s="148" t="inlineStr">
        <is>
          <t>https://images-na.ssl-images-amazon.com/images/I/619BLF7gvdL.jpg</t>
        </is>
      </c>
      <c r="K145" s="148" t="n"/>
      <c r="L145" s="148" t="inlineStr">
        <is>
          <t>B0GZ243WW5</t>
        </is>
      </c>
      <c r="M145" s="148" t="n">
        <v>1</v>
      </c>
      <c r="N145" s="148" t="n">
        <v>99</v>
      </c>
      <c r="O145" s="148" t="n"/>
      <c r="P145" s="148">
        <f>IF(AND(ISNUMBER(O145),ISNUMBER(N145),N(N145)&gt;0),O145/N145-1,"")</f>
        <v/>
      </c>
      <c r="Q145" s="148" t="n">
        <v>99.98999999999999</v>
      </c>
      <c r="R145" s="148">
        <f>IF(AND(ISNUMBER(N145),ISNUMBER(Q145),N(Q145)&gt;0),N145/Q145-1,"")</f>
        <v/>
      </c>
      <c r="S145" s="148" t="n">
        <v>3440303</v>
      </c>
      <c r="T145" s="148" t="n"/>
      <c r="U145" s="148" t="n">
        <v>4.9</v>
      </c>
      <c r="V145" s="148" t="n">
        <v>201</v>
      </c>
      <c r="W145" s="148" t="n"/>
      <c r="X145" s="148" t="n"/>
      <c r="Y145" s="148" t="n"/>
      <c r="Z145" s="148" t="n"/>
      <c r="AA145" s="148" t="n"/>
      <c r="AB145" s="148" t="n"/>
      <c r="AC145" s="148" t="inlineStr">
        <is>
          <t>US DC B6</t>
        </is>
      </c>
      <c r="AD145" s="148">
        <f>'US DC B6'!BF189</f>
        <v/>
      </c>
      <c r="AE145" s="148">
        <f>'US DC B6'!BI189</f>
        <v/>
      </c>
      <c r="AF145" s="148" t="inlineStr">
        <is>
          <t>King</t>
        </is>
      </c>
      <c r="AG145" s="148" t="inlineStr">
        <is>
          <t>White</t>
        </is>
      </c>
      <c r="AH145" s="148">
        <f>AND(E145="CA",OR('CA Dashboard'!$C$4="All",'CA Dashboard'!$C$4=D145),OR('CA Dashboard'!$C$5="All",'CA Dashboard'!$C$5=G145),OR('CA Dashboard'!$C$6="All",'CA Dashboard'!$C$6=H145),OR('CA Dashboard'!$C$7="All",'CA Dashboard'!$C$7=F145),OR('CA Dashboard'!$C$8="All",'CA Dashboard'!$C$8=AJ145))</f>
        <v/>
      </c>
      <c r="AI145" s="148">
        <f>IF(AH145,AI144+1,AI144)</f>
        <v/>
      </c>
      <c r="AJ145" s="148" t="inlineStr">
        <is>
          <t>Alternative material</t>
        </is>
      </c>
      <c r="AK145" s="148" t="inlineStr">
        <is>
          <t>Sheet set in Lyocell / eucalyptus (title: Pillcase Luxury Organic Tencel &amp; Viscose from Bamboo Cooling); ours is Bamboo viscose (our listing: viscose from bamboo). Shopper may cross-shop, but not like-for-like.</t>
        </is>
      </c>
    </row>
    <row r="146">
      <c r="A146" s="148">
        <f>AND(E146="US",OR('US Dashboard'!$C$4="All",'US Dashboard'!$C$4=D146),OR('US Dashboard'!$C$5="All",'US Dashboard'!$C$5=G146),OR('US Dashboard'!$C$6="All",'US Dashboard'!$C$6=H146),OR('US Dashboard'!$C$7="All",'US Dashboard'!$C$7=F146),OR('US Dashboard'!$C$8="All",'US Dashboard'!$C$8=AJ146))</f>
        <v/>
      </c>
      <c r="B146" s="148">
        <f>IF(A146,B145+1,B145)</f>
        <v/>
      </c>
      <c r="C146" s="148" t="n">
        <v>30</v>
      </c>
      <c r="D146" s="148" t="inlineStr">
        <is>
          <t>DC B6</t>
        </is>
      </c>
      <c r="E146" s="148" t="inlineStr">
        <is>
          <t>US</t>
        </is>
      </c>
      <c r="F146" s="148" t="inlineStr">
        <is>
          <t>Bamboo</t>
        </is>
      </c>
      <c r="G146" s="148" t="inlineStr">
        <is>
          <t>Amazon Basics</t>
        </is>
      </c>
      <c r="H146" s="148" t="inlineStr">
        <is>
          <t>Untiered</t>
        </is>
      </c>
      <c r="I146" s="148" t="inlineStr">
        <is>
          <t>Amazon Basics Bamboo Viscose Sheet Set, 4-Piece, Queen, White</t>
        </is>
      </c>
      <c r="J146" s="148" t="inlineStr">
        <is>
          <t>https://m.media-amazon.com/images/I/71GPOg6dRqL._AC_SL1500_.jpg</t>
        </is>
      </c>
      <c r="K146" s="148" t="inlineStr">
        <is>
          <t>B0GFHP5V9H</t>
        </is>
      </c>
      <c r="L146" s="148" t="inlineStr">
        <is>
          <t>B0GFHGS4DP</t>
        </is>
      </c>
      <c r="M146" s="148" t="n"/>
      <c r="N146" s="148" t="n">
        <v>29.99</v>
      </c>
      <c r="O146" s="148" t="n"/>
      <c r="P146" s="148">
        <f>IF(AND(ISNUMBER(O146),ISNUMBER(N146),N(N146)&gt;0),O146/N146-1,"")</f>
        <v/>
      </c>
      <c r="Q146" s="148" t="n">
        <v>94.98999999999999</v>
      </c>
      <c r="R146" s="148">
        <f>IF(AND(ISNUMBER(N146),ISNUMBER(Q146),N(Q146)&gt;0),N146/Q146-1,"")</f>
        <v/>
      </c>
      <c r="S146" s="148" t="n">
        <v>21965</v>
      </c>
      <c r="T146" s="148" t="n">
        <v>173</v>
      </c>
      <c r="U146" s="148" t="n">
        <v>4</v>
      </c>
      <c r="V146" s="148" t="n">
        <v>36</v>
      </c>
      <c r="W146" s="148" t="n"/>
      <c r="X146" s="148" t="n"/>
      <c r="Y146" s="148" t="n"/>
      <c r="Z146" s="148" t="n"/>
      <c r="AA146" s="148" t="n"/>
      <c r="AB146" s="148" t="n"/>
      <c r="AC146" s="148" t="inlineStr">
        <is>
          <t>US DC B6</t>
        </is>
      </c>
      <c r="AD146" s="148">
        <f>'US DC B6'!BF190</f>
        <v/>
      </c>
      <c r="AE146" s="148">
        <f>'US DC B6'!BI190</f>
        <v/>
      </c>
      <c r="AF146" s="148" t="inlineStr">
        <is>
          <t>Queen</t>
        </is>
      </c>
      <c r="AG146" s="148" t="inlineStr">
        <is>
          <t>White</t>
        </is>
      </c>
      <c r="AH146" s="148">
        <f>AND(E146="CA",OR('CA Dashboard'!$C$4="All",'CA Dashboard'!$C$4=D146),OR('CA Dashboard'!$C$5="All",'CA Dashboard'!$C$5=G146),OR('CA Dashboard'!$C$6="All",'CA Dashboard'!$C$6=H146),OR('CA Dashboard'!$C$7="All",'CA Dashboard'!$C$7=F146),OR('CA Dashboard'!$C$8="All",'CA Dashboard'!$C$8=AJ146))</f>
        <v/>
      </c>
      <c r="AI146" s="148">
        <f>IF(AH146,AI145+1,AI145)</f>
        <v/>
      </c>
      <c r="AJ146" s="148" t="inlineStr">
        <is>
          <t>Alternative material</t>
        </is>
      </c>
      <c r="AK146" s="148" t="inlineStr">
        <is>
          <t>Sheet set in Microfiber / polyester (product page material: Polyester Blend); ours is Bamboo viscose (our listing: viscose from bamboo). Shopper may cross-shop, but not like-for-like.</t>
        </is>
      </c>
    </row>
    <row r="147">
      <c r="A147" s="148">
        <f>AND(E147="US",OR('US Dashboard'!$C$4="All",'US Dashboard'!$C$4=D147),OR('US Dashboard'!$C$5="All",'US Dashboard'!$C$5=G147),OR('US Dashboard'!$C$6="All",'US Dashboard'!$C$6=H147),OR('US Dashboard'!$C$7="All",'US Dashboard'!$C$7=F147),OR('US Dashboard'!$C$8="All",'US Dashboard'!$C$8=AJ147))</f>
        <v/>
      </c>
      <c r="B147" s="148">
        <f>IF(A147,B146+1,B146)</f>
        <v/>
      </c>
      <c r="C147" s="148" t="n">
        <v>32</v>
      </c>
      <c r="D147" s="148" t="inlineStr">
        <is>
          <t>SL B6</t>
        </is>
      </c>
      <c r="E147" s="148" t="inlineStr">
        <is>
          <t>US</t>
        </is>
      </c>
      <c r="F147" s="148" t="inlineStr">
        <is>
          <t>Bamboo</t>
        </is>
      </c>
      <c r="G147" s="148" t="inlineStr">
        <is>
          <t>Pure Bamboo</t>
        </is>
      </c>
      <c r="H147" s="148" t="inlineStr">
        <is>
          <t>Aspirational</t>
        </is>
      </c>
      <c r="I147" s="148" t="inlineStr">
        <is>
          <t>Pure Bamboo King Sheets, Genuine 100% Organic Viscose Derived from Bamboo Bed Sheet Set, Luxuriously Soft &amp; Cooling, Double Stitching, 2 Year Quality Promise (King, Ivory)</t>
        </is>
      </c>
      <c r="J147" s="148" t="inlineStr">
        <is>
          <t>https://images-na.ssl-images-amazon.com/images/I/91dfner9BkL.jpg</t>
        </is>
      </c>
      <c r="K147" s="148" t="inlineStr">
        <is>
          <t>B0CZQ52MTQ</t>
        </is>
      </c>
      <c r="L147" s="148" t="inlineStr">
        <is>
          <t>B07DZTQ4JC</t>
        </is>
      </c>
      <c r="M147" s="148" t="n">
        <v>181</v>
      </c>
      <c r="N147" s="148" t="n">
        <v>109.99</v>
      </c>
      <c r="O147" s="148" t="n"/>
      <c r="P147" s="148">
        <f>IF(AND(ISNUMBER(O147),ISNUMBER(N147),N(N147)&gt;0),O147/N147-1,"")</f>
        <v/>
      </c>
      <c r="Q147" s="148" t="n">
        <v>69.98999999999999</v>
      </c>
      <c r="R147" s="148">
        <f>IF(AND(ISNUMBER(N147),ISNUMBER(Q147),N(Q147)&gt;0),N147/Q147-1,"")</f>
        <v/>
      </c>
      <c r="S147" s="148" t="n">
        <v>304</v>
      </c>
      <c r="T147" s="148" t="n">
        <v>809</v>
      </c>
      <c r="U147" s="148" t="n">
        <v>4.5</v>
      </c>
      <c r="V147" s="148" t="n">
        <v>21927</v>
      </c>
      <c r="W147" s="148" t="n">
        <v>2565055</v>
      </c>
      <c r="X147" s="148" t="n">
        <v>0.4648594811807159</v>
      </c>
      <c r="Y147" s="148" t="n">
        <v>14</v>
      </c>
      <c r="Z147" s="148" t="n">
        <v>407</v>
      </c>
      <c r="AA147" s="148" t="n">
        <v>3784</v>
      </c>
      <c r="AB147" s="148" t="n">
        <v>1.180104147961932</v>
      </c>
      <c r="AC147" s="148" t="inlineStr">
        <is>
          <t>US SL B6</t>
        </is>
      </c>
      <c r="AD147" s="148">
        <f>'US SL B6'!BF126</f>
        <v/>
      </c>
      <c r="AE147" s="148">
        <f>'US SL B6'!BI126</f>
        <v/>
      </c>
      <c r="AF147" s="148" t="inlineStr">
        <is>
          <t>King</t>
        </is>
      </c>
      <c r="AG147" s="148" t="inlineStr">
        <is>
          <t>Ivory</t>
        </is>
      </c>
      <c r="AH147" s="148">
        <f>AND(E147="CA",OR('CA Dashboard'!$C$4="All",'CA Dashboard'!$C$4=D147),OR('CA Dashboard'!$C$5="All",'CA Dashboard'!$C$5=G147),OR('CA Dashboard'!$C$6="All",'CA Dashboard'!$C$6=H147),OR('CA Dashboard'!$C$7="All",'CA Dashboard'!$C$7=F147),OR('CA Dashboard'!$C$8="All",'CA Dashboard'!$C$8=AJ147))</f>
        <v/>
      </c>
      <c r="AI147" s="148">
        <f>IF(AH147,AI146+1,AI146)</f>
        <v/>
      </c>
      <c r="AJ147" s="148" t="inlineStr">
        <is>
          <t>Direct</t>
        </is>
      </c>
      <c r="AK147" s="148" t="inlineStr">
        <is>
          <t>Same product (sheet set) in the same material family: Bamboo viscose (title: Pure Bamboo King Sheets, Genuine 100% Organic Viscose Derive); ours: our listing: viscose from bamboo.</t>
        </is>
      </c>
    </row>
    <row r="148">
      <c r="A148" s="148">
        <f>AND(E148="US",OR('US Dashboard'!$C$4="All",'US Dashboard'!$C$4=D148),OR('US Dashboard'!$C$5="All",'US Dashboard'!$C$5=G148),OR('US Dashboard'!$C$6="All",'US Dashboard'!$C$6=H148),OR('US Dashboard'!$C$7="All",'US Dashboard'!$C$7=F148),OR('US Dashboard'!$C$8="All",'US Dashboard'!$C$8=AJ148))</f>
        <v/>
      </c>
      <c r="B148" s="148">
        <f>IF(A148,B147+1,B147)</f>
        <v/>
      </c>
      <c r="C148" s="148" t="n">
        <v>32</v>
      </c>
      <c r="D148" s="148" t="inlineStr">
        <is>
          <t>SL B6</t>
        </is>
      </c>
      <c r="E148" s="148" t="inlineStr">
        <is>
          <t>US</t>
        </is>
      </c>
      <c r="F148" s="148" t="inlineStr">
        <is>
          <t>Bamboo</t>
        </is>
      </c>
      <c r="G148" s="148" t="inlineStr">
        <is>
          <t>Hotel Sheets Direct</t>
        </is>
      </c>
      <c r="H148" s="148" t="inlineStr">
        <is>
          <t>Aspirational</t>
        </is>
      </c>
      <c r="I148" s="148" t="inlineStr">
        <is>
          <t>Hotel Sheets Direct 4 Piece Bed Sheet Set Queen Size, 100% Viscose Derived from Bamboo Sheets Set with 2 Pillowcases, Cooling &amp; Breathable Luxury Bedding, Moisture-Wicking &amp; Silky Soft Texture, White</t>
        </is>
      </c>
      <c r="J148" s="148" t="inlineStr">
        <is>
          <t>https://images-na.ssl-images-amazon.com/images/I/71oEhkRYQ+L.jpg</t>
        </is>
      </c>
      <c r="K148" s="148" t="inlineStr">
        <is>
          <t>B0G5N99X9R</t>
        </is>
      </c>
      <c r="L148" s="148" t="inlineStr">
        <is>
          <t>B01N9L2O9P</t>
        </is>
      </c>
      <c r="M148" s="148" t="n">
        <v>61</v>
      </c>
      <c r="N148" s="148" t="n">
        <v>79.98999999999999</v>
      </c>
      <c r="O148" s="148" t="n"/>
      <c r="P148" s="148">
        <f>IF(AND(ISNUMBER(O148),ISNUMBER(N148),N(N148)&gt;0),O148/N148-1,"")</f>
        <v/>
      </c>
      <c r="Q148" s="148" t="n">
        <v>68.48999999999999</v>
      </c>
      <c r="R148" s="148">
        <f>IF(AND(ISNUMBER(N148),ISNUMBER(Q148),N(Q148)&gt;0),N148/Q148-1,"")</f>
        <v/>
      </c>
      <c r="S148" s="148" t="n">
        <v>2984</v>
      </c>
      <c r="T148" s="148" t="n">
        <v>347</v>
      </c>
      <c r="U148" s="148" t="n">
        <v>4.4</v>
      </c>
      <c r="V148" s="148" t="n">
        <v>37179</v>
      </c>
      <c r="W148" s="148" t="n">
        <v>451969</v>
      </c>
      <c r="X148" s="148" t="n">
        <v>0.6071584272372669</v>
      </c>
      <c r="Y148" s="148" t="n">
        <v>27</v>
      </c>
      <c r="Z148" s="148" t="n">
        <v>355</v>
      </c>
      <c r="AA148" s="148" t="n">
        <v>948</v>
      </c>
      <c r="AB148" s="148" t="n">
        <v>1.799620493358634</v>
      </c>
      <c r="AC148" s="148" t="inlineStr">
        <is>
          <t>US SL B6</t>
        </is>
      </c>
      <c r="AD148" s="148">
        <f>'US SL B6'!BF127</f>
        <v/>
      </c>
      <c r="AE148" s="148">
        <f>'US SL B6'!BI127</f>
        <v/>
      </c>
      <c r="AF148" s="148" t="inlineStr">
        <is>
          <t>Queen</t>
        </is>
      </c>
      <c r="AG148" s="148" t="inlineStr">
        <is>
          <t>White</t>
        </is>
      </c>
      <c r="AH148" s="148">
        <f>AND(E148="CA",OR('CA Dashboard'!$C$4="All",'CA Dashboard'!$C$4=D148),OR('CA Dashboard'!$C$5="All",'CA Dashboard'!$C$5=G148),OR('CA Dashboard'!$C$6="All",'CA Dashboard'!$C$6=H148),OR('CA Dashboard'!$C$7="All",'CA Dashboard'!$C$7=F148),OR('CA Dashboard'!$C$8="All",'CA Dashboard'!$C$8=AJ148))</f>
        <v/>
      </c>
      <c r="AI148" s="148">
        <f>IF(AH148,AI147+1,AI147)</f>
        <v/>
      </c>
      <c r="AJ148" s="148" t="inlineStr">
        <is>
          <t>Direct</t>
        </is>
      </c>
      <c r="AK148" s="148" t="inlineStr">
        <is>
          <t>Same product (sheet set) in the same material family: Bamboo viscose (title: Hotel Sheets Direct 4 Piece Bed Sheet Set Queen Size, 100% V); ours: our listing: viscose from bamboo.</t>
        </is>
      </c>
    </row>
    <row r="149">
      <c r="A149" s="148">
        <f>AND(E149="US",OR('US Dashboard'!$C$4="All",'US Dashboard'!$C$4=D149),OR('US Dashboard'!$C$5="All",'US Dashboard'!$C$5=G149),OR('US Dashboard'!$C$6="All",'US Dashboard'!$C$6=H149),OR('US Dashboard'!$C$7="All",'US Dashboard'!$C$7=F149),OR('US Dashboard'!$C$8="All",'US Dashboard'!$C$8=AJ149))</f>
        <v/>
      </c>
      <c r="B149" s="148">
        <f>IF(A149,B148+1,B148)</f>
        <v/>
      </c>
      <c r="C149" s="148" t="n">
        <v>32</v>
      </c>
      <c r="D149" s="148" t="inlineStr">
        <is>
          <t>SL B6</t>
        </is>
      </c>
      <c r="E149" s="148" t="inlineStr">
        <is>
          <t>US</t>
        </is>
      </c>
      <c r="F149" s="148" t="inlineStr">
        <is>
          <t>Bamboo</t>
        </is>
      </c>
      <c r="G149" s="148" t="inlineStr">
        <is>
          <t>BAMPURE</t>
        </is>
      </c>
      <c r="H149" s="148" t="inlineStr">
        <is>
          <t>Aspirational</t>
        </is>
      </c>
      <c r="I149" s="148" t="inlineStr">
        <is>
          <t>Bamboo Sheets</t>
        </is>
      </c>
      <c r="J149" s="148" t="inlineStr">
        <is>
          <t>https://m.media-amazon.com/images/I/61A6QLdfwQL._AC_SL1500_.jpg</t>
        </is>
      </c>
      <c r="K149" s="148" t="inlineStr">
        <is>
          <t>B07XC2KVM7</t>
        </is>
      </c>
      <c r="L149" s="148" t="inlineStr">
        <is>
          <t>B07XC2KVM7</t>
        </is>
      </c>
      <c r="M149" s="148" t="n"/>
      <c r="N149" s="148" t="n">
        <v>37.99</v>
      </c>
      <c r="O149" s="148" t="n"/>
      <c r="P149" s="148">
        <f>IF(AND(ISNUMBER(O149),ISNUMBER(N149),N(N149)&gt;0),O149/N149-1,"")</f>
        <v/>
      </c>
      <c r="Q149" s="148" t="n">
        <v>54.99</v>
      </c>
      <c r="R149" s="148">
        <f>IF(AND(ISNUMBER(N149),ISNUMBER(Q149),N(Q149)&gt;0),N149/Q149-1,"")</f>
        <v/>
      </c>
      <c r="S149" s="148" t="n">
        <v>2541068</v>
      </c>
      <c r="T149" s="148" t="n">
        <v>5</v>
      </c>
      <c r="U149" s="148" t="n">
        <v>4.4</v>
      </c>
      <c r="V149" s="148" t="n">
        <v>30</v>
      </c>
      <c r="W149" s="148" t="n"/>
      <c r="X149" s="148" t="n"/>
      <c r="Y149" s="148" t="n"/>
      <c r="Z149" s="148" t="n"/>
      <c r="AA149" s="148" t="n"/>
      <c r="AB149" s="148" t="n"/>
      <c r="AC149" s="148" t="inlineStr">
        <is>
          <t>US SL B6</t>
        </is>
      </c>
      <c r="AD149" s="148">
        <f>'US SL B6'!BF128</f>
        <v/>
      </c>
      <c r="AE149" s="148">
        <f>'US SL B6'!BI128</f>
        <v/>
      </c>
      <c r="AF149" s="148" t="inlineStr">
        <is>
          <t>Twin - 3 Pieces Set</t>
        </is>
      </c>
      <c r="AG149" s="148" t="inlineStr">
        <is>
          <t>White</t>
        </is>
      </c>
      <c r="AH149" s="148">
        <f>AND(E149="CA",OR('CA Dashboard'!$C$4="All",'CA Dashboard'!$C$4=D149),OR('CA Dashboard'!$C$5="All",'CA Dashboard'!$C$5=G149),OR('CA Dashboard'!$C$6="All",'CA Dashboard'!$C$6=H149),OR('CA Dashboard'!$C$7="All",'CA Dashboard'!$C$7=F149),OR('CA Dashboard'!$C$8="All",'CA Dashboard'!$C$8=AJ149))</f>
        <v/>
      </c>
      <c r="AI149" s="148">
        <f>IF(AH149,AI148+1,AI148)</f>
        <v/>
      </c>
      <c r="AJ149" s="148" t="inlineStr">
        <is>
          <t>Direct</t>
        </is>
      </c>
      <c r="AK149" s="148" t="inlineStr">
        <is>
          <t>Same product (sheet set) in the same material family: Bamboo viscose (product page material: Viscose derived from Bamboo); ours: our listing: viscose from bamboo.</t>
        </is>
      </c>
    </row>
    <row r="150">
      <c r="A150" s="148">
        <f>AND(E150="US",OR('US Dashboard'!$C$4="All",'US Dashboard'!$C$4=D150),OR('US Dashboard'!$C$5="All",'US Dashboard'!$C$5=G150),OR('US Dashboard'!$C$6="All",'US Dashboard'!$C$6=H150),OR('US Dashboard'!$C$7="All",'US Dashboard'!$C$7=F150),OR('US Dashboard'!$C$8="All",'US Dashboard'!$C$8=AJ150))</f>
        <v/>
      </c>
      <c r="B150" s="148">
        <f>IF(A150,B149+1,B149)</f>
        <v/>
      </c>
      <c r="C150" s="148" t="n">
        <v>32</v>
      </c>
      <c r="D150" s="148" t="inlineStr">
        <is>
          <t>SL B6</t>
        </is>
      </c>
      <c r="E150" s="148" t="inlineStr">
        <is>
          <t>US</t>
        </is>
      </c>
      <c r="F150" s="148" t="inlineStr">
        <is>
          <t>Bamboo</t>
        </is>
      </c>
      <c r="G150" s="148" t="inlineStr">
        <is>
          <t>BC BELLA COTERIE</t>
        </is>
      </c>
      <c r="H150" s="148" t="inlineStr">
        <is>
          <t>Aspirational</t>
        </is>
      </c>
      <c r="I150" s="148" t="inlineStr">
        <is>
          <t>4 Piece Bamboo Sheet Set</t>
        </is>
      </c>
      <c r="J150" s="148" t="inlineStr">
        <is>
          <t>https://m.media-amazon.com/images/I/81BvQVXWCLL._AC_SL1500_.jpg</t>
        </is>
      </c>
      <c r="K150" s="148" t="inlineStr">
        <is>
          <t>B0H29V113N</t>
        </is>
      </c>
      <c r="L150" s="148" t="inlineStr">
        <is>
          <t>B0G674ZDTV</t>
        </is>
      </c>
      <c r="M150" s="148" t="n"/>
      <c r="N150" s="148" t="n">
        <v>159.99</v>
      </c>
      <c r="O150" s="148" t="n"/>
      <c r="P150" s="148">
        <f>IF(AND(ISNUMBER(O150),ISNUMBER(N150),N(N150)&gt;0),O150/N150-1,"")</f>
        <v/>
      </c>
      <c r="Q150" s="148" t="n">
        <v>68.48999999999999</v>
      </c>
      <c r="R150" s="148">
        <f>IF(AND(ISNUMBER(N150),ISNUMBER(Q150),N(Q150)&gt;0),N150/Q150-1,"")</f>
        <v/>
      </c>
      <c r="S150" s="148" t="n">
        <v>1577</v>
      </c>
      <c r="T150" s="148" t="n">
        <v>5</v>
      </c>
      <c r="U150" s="148" t="n">
        <v>4.4</v>
      </c>
      <c r="V150" s="148" t="n">
        <v>5652</v>
      </c>
      <c r="W150" s="148" t="n"/>
      <c r="X150" s="148" t="n"/>
      <c r="Y150" s="148" t="n"/>
      <c r="Z150" s="148" t="n"/>
      <c r="AA150" s="148" t="n"/>
      <c r="AB150" s="148" t="n"/>
      <c r="AC150" s="148" t="inlineStr">
        <is>
          <t>US SL B6</t>
        </is>
      </c>
      <c r="AD150" s="148">
        <f>'US SL B6'!BF129</f>
        <v/>
      </c>
      <c r="AE150" s="148">
        <f>'US SL B6'!BI129</f>
        <v/>
      </c>
      <c r="AF150" s="148" t="inlineStr">
        <is>
          <t>Queen - 2 Pillowcases</t>
        </is>
      </c>
      <c r="AG150" s="148" t="inlineStr">
        <is>
          <t>22 - Striped Dune</t>
        </is>
      </c>
      <c r="AH150" s="148">
        <f>AND(E150="CA",OR('CA Dashboard'!$C$4="All",'CA Dashboard'!$C$4=D150),OR('CA Dashboard'!$C$5="All",'CA Dashboard'!$C$5=G150),OR('CA Dashboard'!$C$6="All",'CA Dashboard'!$C$6=H150),OR('CA Dashboard'!$C$7="All",'CA Dashboard'!$C$7=F150),OR('CA Dashboard'!$C$8="All",'CA Dashboard'!$C$8=AJ150))</f>
        <v/>
      </c>
      <c r="AI150" s="148">
        <f>IF(AH150,AI149+1,AI149)</f>
        <v/>
      </c>
      <c r="AJ150" s="148" t="inlineStr">
        <is>
          <t>Direct</t>
        </is>
      </c>
      <c r="AK150" s="148" t="inlineStr">
        <is>
          <t>Same product (sheet set) in the same material family: Bamboo viscose (product page material: Organically Grown | Viscose Made From Bamboo); ours: our listing: viscose from bamboo.</t>
        </is>
      </c>
    </row>
    <row r="151">
      <c r="A151" s="148">
        <f>AND(E151="US",OR('US Dashboard'!$C$4="All",'US Dashboard'!$C$4=D151),OR('US Dashboard'!$C$5="All",'US Dashboard'!$C$5=G151),OR('US Dashboard'!$C$6="All",'US Dashboard'!$C$6=H151),OR('US Dashboard'!$C$7="All",'US Dashboard'!$C$7=F151),OR('US Dashboard'!$C$8="All",'US Dashboard'!$C$8=AJ151))</f>
        <v/>
      </c>
      <c r="B151" s="148">
        <f>IF(A151,B150+1,B150)</f>
        <v/>
      </c>
      <c r="C151" s="148" t="n">
        <v>32</v>
      </c>
      <c r="D151" s="148" t="inlineStr">
        <is>
          <t>SL B6</t>
        </is>
      </c>
      <c r="E151" s="148" t="inlineStr">
        <is>
          <t>US</t>
        </is>
      </c>
      <c r="F151" s="148" t="inlineStr">
        <is>
          <t>Bamboo</t>
        </is>
      </c>
      <c r="G151" s="148" t="inlineStr">
        <is>
          <t>KRIMANO</t>
        </is>
      </c>
      <c r="H151" s="148" t="inlineStr">
        <is>
          <t>Beatable</t>
        </is>
      </c>
      <c r="I151" s="148" t="inlineStr">
        <is>
          <t>KRIMANO Bamboo Viscose Sheet Set King Size, Cooling Sheets Bed Set</t>
        </is>
      </c>
      <c r="J151" s="148" t="inlineStr">
        <is>
          <t>https://images-na.ssl-images-amazon.com/images/I/61-LBYlR5KL.jpg</t>
        </is>
      </c>
      <c r="K151" s="148" t="inlineStr">
        <is>
          <t>B0FT7L9RSX</t>
        </is>
      </c>
      <c r="L151" s="148" t="inlineStr">
        <is>
          <t>B0FT7LZ2CD</t>
        </is>
      </c>
      <c r="M151" s="148" t="n">
        <v>43</v>
      </c>
      <c r="N151" s="148" t="n">
        <v>79.98999999999999</v>
      </c>
      <c r="O151" s="148" t="n"/>
      <c r="P151" s="148">
        <f>IF(AND(ISNUMBER(O151),ISNUMBER(N151),N(N151)&gt;0),O151/N151-1,"")</f>
        <v/>
      </c>
      <c r="Q151" s="148" t="n">
        <v>69.98999999999999</v>
      </c>
      <c r="R151" s="148">
        <f>IF(AND(ISNUMBER(N151),ISNUMBER(Q151),N(Q151)&gt;0),N151/Q151-1,"")</f>
        <v/>
      </c>
      <c r="S151" s="148" t="n">
        <v>5664</v>
      </c>
      <c r="T151" s="148" t="n">
        <v>185</v>
      </c>
      <c r="U151" s="148" t="n">
        <v>4.5</v>
      </c>
      <c r="V151" s="148" t="n">
        <v>263</v>
      </c>
      <c r="W151" s="148" t="n">
        <v>334819</v>
      </c>
      <c r="X151" s="148" t="n">
        <v>0.6137371774003271</v>
      </c>
      <c r="Y151" s="148" t="n">
        <v>16</v>
      </c>
      <c r="Z151" s="148" t="n">
        <v>323</v>
      </c>
      <c r="AA151" s="148" t="n">
        <v>491</v>
      </c>
      <c r="AB151" s="148" t="n">
        <v>1.312468450277638</v>
      </c>
      <c r="AC151" s="148" t="inlineStr">
        <is>
          <t>US SL B6</t>
        </is>
      </c>
      <c r="AD151" s="148">
        <f>'US SL B6'!BF130</f>
        <v/>
      </c>
      <c r="AE151" s="148">
        <f>'US SL B6'!BI130</f>
        <v/>
      </c>
      <c r="AF151" s="148" t="inlineStr">
        <is>
          <t>King</t>
        </is>
      </c>
      <c r="AG151" s="148" t="inlineStr">
        <is>
          <t>1.navy Blue</t>
        </is>
      </c>
      <c r="AH151" s="148">
        <f>AND(E151="CA",OR('CA Dashboard'!$C$4="All",'CA Dashboard'!$C$4=D151),OR('CA Dashboard'!$C$5="All",'CA Dashboard'!$C$5=G151),OR('CA Dashboard'!$C$6="All",'CA Dashboard'!$C$6=H151),OR('CA Dashboard'!$C$7="All",'CA Dashboard'!$C$7=F151),OR('CA Dashboard'!$C$8="All",'CA Dashboard'!$C$8=AJ151))</f>
        <v/>
      </c>
      <c r="AI151" s="148">
        <f>IF(AH151,AI150+1,AI150)</f>
        <v/>
      </c>
      <c r="AJ151" s="148" t="inlineStr">
        <is>
          <t>Direct</t>
        </is>
      </c>
      <c r="AK151" s="148" t="inlineStr">
        <is>
          <t>Same product (sheet set) in the same material family: Bamboo viscose (product page material: Viscose Derived from Bamboo); ours: our listing: viscose from bamboo.</t>
        </is>
      </c>
    </row>
    <row r="152">
      <c r="A152" s="148">
        <f>AND(E152="US",OR('US Dashboard'!$C$4="All",'US Dashboard'!$C$4=D152),OR('US Dashboard'!$C$5="All",'US Dashboard'!$C$5=G152),OR('US Dashboard'!$C$6="All",'US Dashboard'!$C$6=H152),OR('US Dashboard'!$C$7="All",'US Dashboard'!$C$7=F152),OR('US Dashboard'!$C$8="All",'US Dashboard'!$C$8=AJ152))</f>
        <v/>
      </c>
      <c r="B152" s="148">
        <f>IF(A152,B151+1,B151)</f>
        <v/>
      </c>
      <c r="C152" s="148" t="n">
        <v>32</v>
      </c>
      <c r="D152" s="148" t="inlineStr">
        <is>
          <t>SL B6</t>
        </is>
      </c>
      <c r="E152" s="148" t="inlineStr">
        <is>
          <t>US</t>
        </is>
      </c>
      <c r="F152" s="148" t="inlineStr">
        <is>
          <t>Bamboo</t>
        </is>
      </c>
      <c r="G152" s="148" t="inlineStr">
        <is>
          <t>Bambaw</t>
        </is>
      </c>
      <c r="H152" s="148" t="inlineStr">
        <is>
          <t>Beatable</t>
        </is>
      </c>
      <c r="I152" s="148" t="inlineStr">
        <is>
          <t>Bambaw 100% Viscose Derived from Bamboo Sheets Queen Size Set – 4pcs Cooling Sheet Set, Super Soft Sheets Queen Size, Luxury Bed Sheets, Deep Pocket Fits Up to 16'' Mattresses (Charcoal)</t>
        </is>
      </c>
      <c r="J152" s="148" t="inlineStr">
        <is>
          <t>https://images-na.ssl-images-amazon.com/images/I/81svKInu7aL.jpg</t>
        </is>
      </c>
      <c r="K152" s="148" t="inlineStr">
        <is>
          <t>B07K6SYX8L</t>
        </is>
      </c>
      <c r="L152" s="148" t="inlineStr">
        <is>
          <t>B0DR99Q37Y</t>
        </is>
      </c>
      <c r="M152" s="148" t="n">
        <v>104</v>
      </c>
      <c r="N152" s="148" t="n">
        <v>89.98999999999999</v>
      </c>
      <c r="O152" s="148" t="n"/>
      <c r="P152" s="148">
        <f>IF(AND(ISNUMBER(O152),ISNUMBER(N152),N(N152)&gt;0),O152/N152-1,"")</f>
        <v/>
      </c>
      <c r="Q152" s="148" t="n">
        <v>68.48999999999999</v>
      </c>
      <c r="R152" s="148">
        <f>IF(AND(ISNUMBER(N152),ISNUMBER(Q152),N(Q152)&gt;0),N152/Q152-1,"")</f>
        <v/>
      </c>
      <c r="S152" s="148" t="n">
        <v>6971</v>
      </c>
      <c r="T152" s="148" t="n">
        <v>104</v>
      </c>
      <c r="U152" s="148" t="n">
        <v>4.3</v>
      </c>
      <c r="V152" s="148" t="n">
        <v>2766</v>
      </c>
      <c r="W152" s="148" t="n">
        <v>407949</v>
      </c>
      <c r="X152" s="148" t="n">
        <v>0.5037485506766772</v>
      </c>
      <c r="Y152" s="148" t="n">
        <v>25</v>
      </c>
      <c r="Z152" s="148" t="n">
        <v>350</v>
      </c>
      <c r="AA152" s="148" t="n">
        <v>594</v>
      </c>
      <c r="AB152" s="148" t="n">
        <v>1.374474053295933</v>
      </c>
      <c r="AC152" s="148" t="inlineStr">
        <is>
          <t>US SL B6</t>
        </is>
      </c>
      <c r="AD152" s="148">
        <f>'US SL B6'!BF131</f>
        <v/>
      </c>
      <c r="AE152" s="148">
        <f>'US SL B6'!BI131</f>
        <v/>
      </c>
      <c r="AF152" s="148" t="inlineStr">
        <is>
          <t>Queen</t>
        </is>
      </c>
      <c r="AG152" s="148" t="inlineStr">
        <is>
          <t>Charcoal</t>
        </is>
      </c>
      <c r="AH152" s="148">
        <f>AND(E152="CA",OR('CA Dashboard'!$C$4="All",'CA Dashboard'!$C$4=D152),OR('CA Dashboard'!$C$5="All",'CA Dashboard'!$C$5=G152),OR('CA Dashboard'!$C$6="All",'CA Dashboard'!$C$6=H152),OR('CA Dashboard'!$C$7="All",'CA Dashboard'!$C$7=F152),OR('CA Dashboard'!$C$8="All",'CA Dashboard'!$C$8=AJ152))</f>
        <v/>
      </c>
      <c r="AI152" s="148">
        <f>IF(AH152,AI151+1,AI151)</f>
        <v/>
      </c>
      <c r="AJ152" s="148" t="inlineStr">
        <is>
          <t>Direct</t>
        </is>
      </c>
      <c r="AK152" s="148" t="inlineStr">
        <is>
          <t>Same product (sheet set) in the same material family: Bamboo viscose (title: Bambaw 100% Viscose Derived from Bamboo Sheets Queen Size Se); ours: our listing: viscose from bamboo.</t>
        </is>
      </c>
    </row>
    <row r="153">
      <c r="A153" s="148">
        <f>AND(E153="US",OR('US Dashboard'!$C$4="All",'US Dashboard'!$C$4=D153),OR('US Dashboard'!$C$5="All",'US Dashboard'!$C$5=G153),OR('US Dashboard'!$C$6="All",'US Dashboard'!$C$6=H153),OR('US Dashboard'!$C$7="All",'US Dashboard'!$C$7=F153),OR('US Dashboard'!$C$8="All",'US Dashboard'!$C$8=AJ153))</f>
        <v/>
      </c>
      <c r="B153" s="148">
        <f>IF(A153,B152+1,B152)</f>
        <v/>
      </c>
      <c r="C153" s="148" t="n">
        <v>32</v>
      </c>
      <c r="D153" s="148" t="inlineStr">
        <is>
          <t>SL B6</t>
        </is>
      </c>
      <c r="E153" s="148" t="inlineStr">
        <is>
          <t>US</t>
        </is>
      </c>
      <c r="F153" s="148" t="inlineStr">
        <is>
          <t>Bamboo</t>
        </is>
      </c>
      <c r="G153" s="148" t="inlineStr">
        <is>
          <t>Bedsure</t>
        </is>
      </c>
      <c r="H153" s="148" t="inlineStr">
        <is>
          <t>Beatable</t>
        </is>
      </c>
      <c r="I153" s="148" t="inlineStr">
        <is>
          <t>Bedsure PureWoven Organically Grown Bamboo Viscose Queen Sheet Set, 4PCS</t>
        </is>
      </c>
      <c r="J153" s="148" t="inlineStr">
        <is>
          <t>https://images-na.ssl-images-amazon.com/images/I/81suQgVR0GL.jpg</t>
        </is>
      </c>
      <c r="K153" s="148" t="inlineStr">
        <is>
          <t>B0FB8XS4D1</t>
        </is>
      </c>
      <c r="L153" s="148" t="inlineStr">
        <is>
          <t>B0FB8XR43Q</t>
        </is>
      </c>
      <c r="M153" s="148" t="n">
        <v>39</v>
      </c>
      <c r="N153" s="148" t="n">
        <v>89.98999999999999</v>
      </c>
      <c r="O153" s="148" t="n">
        <v>119.99</v>
      </c>
      <c r="P153" s="148">
        <f>IF(AND(ISNUMBER(O153),ISNUMBER(N153),N(N153)&gt;0),O153/N153-1,"")</f>
        <v/>
      </c>
      <c r="Q153" s="148" t="n">
        <v>68.48999999999999</v>
      </c>
      <c r="R153" s="148">
        <f>IF(AND(ISNUMBER(N153),ISNUMBER(Q153),N(Q153)&gt;0),N153/Q153-1,"")</f>
        <v/>
      </c>
      <c r="S153" s="148" t="n">
        <v>8938</v>
      </c>
      <c r="T153" s="148" t="n">
        <v>104</v>
      </c>
      <c r="U153" s="148" t="n">
        <v>4.5</v>
      </c>
      <c r="V153" s="148" t="n">
        <v>588</v>
      </c>
      <c r="W153" s="148" t="n">
        <v>840292</v>
      </c>
      <c r="X153" s="148" t="n">
        <v>0.1404099194089678</v>
      </c>
      <c r="Y153" s="148" t="n">
        <v>21</v>
      </c>
      <c r="Z153" s="148" t="n">
        <v>375</v>
      </c>
      <c r="AA153" s="148" t="n">
        <v>2450</v>
      </c>
      <c r="AB153" s="148" t="n">
        <v>1.764832022873481</v>
      </c>
      <c r="AC153" s="148" t="inlineStr">
        <is>
          <t>US SL B6</t>
        </is>
      </c>
      <c r="AD153" s="148">
        <f>'US SL B6'!BF132</f>
        <v/>
      </c>
      <c r="AE153" s="148">
        <f>'US SL B6'!BI132</f>
        <v/>
      </c>
      <c r="AF153" s="148" t="inlineStr">
        <is>
          <t>Queen</t>
        </is>
      </c>
      <c r="AG153" s="148" t="inlineStr">
        <is>
          <t>01 - White</t>
        </is>
      </c>
      <c r="AH153" s="148">
        <f>AND(E153="CA",OR('CA Dashboard'!$C$4="All",'CA Dashboard'!$C$4=D153),OR('CA Dashboard'!$C$5="All",'CA Dashboard'!$C$5=G153),OR('CA Dashboard'!$C$6="All",'CA Dashboard'!$C$6=H153),OR('CA Dashboard'!$C$7="All",'CA Dashboard'!$C$7=F153),OR('CA Dashboard'!$C$8="All",'CA Dashboard'!$C$8=AJ153))</f>
        <v/>
      </c>
      <c r="AI153" s="148">
        <f>IF(AH153,AI152+1,AI152)</f>
        <v/>
      </c>
      <c r="AJ153" s="148" t="inlineStr">
        <is>
          <t>Direct</t>
        </is>
      </c>
      <c r="AK153" s="148" t="inlineStr">
        <is>
          <t>Same product (sheet set) in the same material family: Bamboo viscose (product page material: Viscose Derived from Bamboo); ours: our listing: viscose from bamboo.</t>
        </is>
      </c>
    </row>
    <row r="154">
      <c r="A154" s="148">
        <f>AND(E154="US",OR('US Dashboard'!$C$4="All",'US Dashboard'!$C$4=D154),OR('US Dashboard'!$C$5="All",'US Dashboard'!$C$5=G154),OR('US Dashboard'!$C$6="All",'US Dashboard'!$C$6=H154),OR('US Dashboard'!$C$7="All",'US Dashboard'!$C$7=F154),OR('US Dashboard'!$C$8="All",'US Dashboard'!$C$8=AJ154))</f>
        <v/>
      </c>
      <c r="B154" s="148">
        <f>IF(A154,B153+1,B153)</f>
        <v/>
      </c>
      <c r="C154" s="148" t="n">
        <v>32</v>
      </c>
      <c r="D154" s="148" t="inlineStr">
        <is>
          <t>SL B6</t>
        </is>
      </c>
      <c r="E154" s="148" t="inlineStr">
        <is>
          <t>US</t>
        </is>
      </c>
      <c r="F154" s="148" t="inlineStr">
        <is>
          <t>Bamboo</t>
        </is>
      </c>
      <c r="G154" s="148" t="inlineStr">
        <is>
          <t>SONORO KATE</t>
        </is>
      </c>
      <c r="H154" s="148" t="inlineStr">
        <is>
          <t>Beatable</t>
        </is>
      </c>
      <c r="I154" s="148" t="inlineStr">
        <is>
          <t>Bamboo Sheets</t>
        </is>
      </c>
      <c r="J154" s="148" t="inlineStr">
        <is>
          <t>https://images-na.ssl-images-amazon.com/images/I/71sqxa1EquL.jpg</t>
        </is>
      </c>
      <c r="K154" s="148" t="inlineStr">
        <is>
          <t>B0F4852T9V</t>
        </is>
      </c>
      <c r="L154" s="148" t="inlineStr">
        <is>
          <t>B0F4873G4H</t>
        </is>
      </c>
      <c r="M154" s="148" t="n">
        <v>33</v>
      </c>
      <c r="N154" s="148" t="n">
        <v>79.98999999999999</v>
      </c>
      <c r="O154" s="148" t="n"/>
      <c r="P154" s="148">
        <f>IF(AND(ISNUMBER(O154),ISNUMBER(N154),N(N154)&gt;0),O154/N154-1,"")</f>
        <v/>
      </c>
      <c r="Q154" s="148" t="n">
        <v>69.98999999999999</v>
      </c>
      <c r="R154" s="148">
        <f>IF(AND(ISNUMBER(N154),ISNUMBER(Q154),N(Q154)&gt;0),N154/Q154-1,"")</f>
        <v/>
      </c>
      <c r="S154" s="148" t="n">
        <v>7961</v>
      </c>
      <c r="T154" s="148" t="n">
        <v>104</v>
      </c>
      <c r="U154" s="148" t="n">
        <v>4.5</v>
      </c>
      <c r="V154" s="148" t="n">
        <v>3776</v>
      </c>
      <c r="W154" s="148" t="n">
        <v>185157</v>
      </c>
      <c r="X154" s="148" t="n">
        <v>0.9776013545261586</v>
      </c>
      <c r="Y154" s="148" t="n">
        <v>22</v>
      </c>
      <c r="Z154" s="148" t="n">
        <v>293</v>
      </c>
      <c r="AA154" s="148" t="n">
        <v>123</v>
      </c>
      <c r="AB154" s="148" t="n">
        <v>1.314808539478143</v>
      </c>
      <c r="AC154" s="148" t="inlineStr">
        <is>
          <t>US SL B6</t>
        </is>
      </c>
      <c r="AD154" s="148">
        <f>'US SL B6'!BF133</f>
        <v/>
      </c>
      <c r="AE154" s="148">
        <f>'US SL B6'!BI133</f>
        <v/>
      </c>
      <c r="AF154" s="148" t="inlineStr">
        <is>
          <t>King</t>
        </is>
      </c>
      <c r="AG154" s="148" t="inlineStr">
        <is>
          <t>Dark Grey</t>
        </is>
      </c>
      <c r="AH154" s="148">
        <f>AND(E154="CA",OR('CA Dashboard'!$C$4="All",'CA Dashboard'!$C$4=D154),OR('CA Dashboard'!$C$5="All",'CA Dashboard'!$C$5=G154),OR('CA Dashboard'!$C$6="All",'CA Dashboard'!$C$6=H154),OR('CA Dashboard'!$C$7="All",'CA Dashboard'!$C$7=F154),OR('CA Dashboard'!$C$8="All",'CA Dashboard'!$C$8=AJ154))</f>
        <v/>
      </c>
      <c r="AI154" s="148">
        <f>IF(AH154,AI153+1,AI153)</f>
        <v/>
      </c>
      <c r="AJ154" s="148" t="inlineStr">
        <is>
          <t>Direct</t>
        </is>
      </c>
      <c r="AK154" s="148" t="inlineStr">
        <is>
          <t>Same product (sheet set) in the same material family: Bamboo viscose (product page material: Viscose Derived From Bamboo); ours: our listing: viscose from bamboo.</t>
        </is>
      </c>
    </row>
    <row r="155">
      <c r="A155" s="148">
        <f>AND(E155="US",OR('US Dashboard'!$C$4="All",'US Dashboard'!$C$4=D155),OR('US Dashboard'!$C$5="All",'US Dashboard'!$C$5=G155),OR('US Dashboard'!$C$6="All",'US Dashboard'!$C$6=H155),OR('US Dashboard'!$C$7="All",'US Dashboard'!$C$7=F155),OR('US Dashboard'!$C$8="All",'US Dashboard'!$C$8=AJ155))</f>
        <v/>
      </c>
      <c r="B155" s="148">
        <f>IF(A155,B154+1,B154)</f>
        <v/>
      </c>
      <c r="C155" s="148" t="n">
        <v>32</v>
      </c>
      <c r="D155" s="148" t="inlineStr">
        <is>
          <t>SL B6</t>
        </is>
      </c>
      <c r="E155" s="148" t="inlineStr">
        <is>
          <t>US</t>
        </is>
      </c>
      <c r="F155" s="148" t="inlineStr">
        <is>
          <t>Bamboo</t>
        </is>
      </c>
      <c r="G155" s="148" t="inlineStr">
        <is>
          <t>BC BELLA COTERIE</t>
        </is>
      </c>
      <c r="H155" s="148" t="inlineStr">
        <is>
          <t>Beatable</t>
        </is>
      </c>
      <c r="I155" s="148" t="inlineStr">
        <is>
          <t>Bella Coterie Luxury Bamboo Viscose King Size Sheet Set</t>
        </is>
      </c>
      <c r="J155" s="148" t="inlineStr">
        <is>
          <t>https://images-na.ssl-images-amazon.com/images/I/71Pl57-j67L.jpg</t>
        </is>
      </c>
      <c r="K155" s="148" t="inlineStr">
        <is>
          <t>B0H29V113N</t>
        </is>
      </c>
      <c r="L155" s="148" t="inlineStr">
        <is>
          <t>B08L86VLZB</t>
        </is>
      </c>
      <c r="M155" s="148" t="n">
        <v>258</v>
      </c>
      <c r="N155" s="148" t="n">
        <v>154.99</v>
      </c>
      <c r="O155" s="148" t="n"/>
      <c r="P155" s="148">
        <f>IF(AND(ISNUMBER(O155),ISNUMBER(N155),N(N155)&gt;0),O155/N155-1,"")</f>
        <v/>
      </c>
      <c r="Q155" s="148" t="n">
        <v>69.98999999999999</v>
      </c>
      <c r="R155" s="148">
        <f>IF(AND(ISNUMBER(N155),ISNUMBER(Q155),N(Q155)&gt;0),N155/Q155-1,"")</f>
        <v/>
      </c>
      <c r="S155" s="148" t="n">
        <v>1358</v>
      </c>
      <c r="T155" s="148" t="n">
        <v>92</v>
      </c>
      <c r="U155" s="148" t="n">
        <v>4.4</v>
      </c>
      <c r="V155" s="148" t="n">
        <v>5871</v>
      </c>
      <c r="W155" s="148" t="n">
        <v>591713</v>
      </c>
      <c r="X155" s="148" t="n">
        <v>0.3622702587234016</v>
      </c>
      <c r="Y155" s="148" t="n">
        <v>21</v>
      </c>
      <c r="Z155" s="148" t="n">
        <v>390</v>
      </c>
      <c r="AA155" s="148" t="n">
        <v>2437</v>
      </c>
      <c r="AB155" s="148" t="n">
        <v>1.778087279480037</v>
      </c>
      <c r="AC155" s="148" t="inlineStr">
        <is>
          <t>US SL B6</t>
        </is>
      </c>
      <c r="AD155" s="148">
        <f>'US SL B6'!BF134</f>
        <v/>
      </c>
      <c r="AE155" s="148">
        <f>'US SL B6'!BI134</f>
        <v/>
      </c>
      <c r="AF155" s="148" t="inlineStr">
        <is>
          <t>King - 2 Pillowcases</t>
        </is>
      </c>
      <c r="AG155" s="148" t="inlineStr">
        <is>
          <t>01 - White</t>
        </is>
      </c>
      <c r="AH155" s="148">
        <f>AND(E155="CA",OR('CA Dashboard'!$C$4="All",'CA Dashboard'!$C$4=D155),OR('CA Dashboard'!$C$5="All",'CA Dashboard'!$C$5=G155),OR('CA Dashboard'!$C$6="All",'CA Dashboard'!$C$6=H155),OR('CA Dashboard'!$C$7="All",'CA Dashboard'!$C$7=F155),OR('CA Dashboard'!$C$8="All",'CA Dashboard'!$C$8=AJ155))</f>
        <v/>
      </c>
      <c r="AI155" s="148">
        <f>IF(AH155,AI154+1,AI154)</f>
        <v/>
      </c>
      <c r="AJ155" s="148" t="inlineStr">
        <is>
          <t>Direct</t>
        </is>
      </c>
      <c r="AK155" s="148" t="inlineStr">
        <is>
          <t>Same product (sheet set) in the same material family: Bamboo viscose (product page material: Organically Grown | Viscose Made From Bamboo); ours: our listing: viscose from bamboo.</t>
        </is>
      </c>
    </row>
    <row r="156">
      <c r="A156" s="148">
        <f>AND(E156="US",OR('US Dashboard'!$C$4="All",'US Dashboard'!$C$4=D156),OR('US Dashboard'!$C$5="All",'US Dashboard'!$C$5=G156),OR('US Dashboard'!$C$6="All",'US Dashboard'!$C$6=H156),OR('US Dashboard'!$C$7="All",'US Dashboard'!$C$7=F156),OR('US Dashboard'!$C$8="All",'US Dashboard'!$C$8=AJ156))</f>
        <v/>
      </c>
      <c r="B156" s="148">
        <f>IF(A156,B155+1,B155)</f>
        <v/>
      </c>
      <c r="C156" s="148" t="n">
        <v>32</v>
      </c>
      <c r="D156" s="148" t="inlineStr">
        <is>
          <t>SL B6</t>
        </is>
      </c>
      <c r="E156" s="148" t="inlineStr">
        <is>
          <t>US</t>
        </is>
      </c>
      <c r="F156" s="148" t="inlineStr">
        <is>
          <t>Bamboo</t>
        </is>
      </c>
      <c r="G156" s="148" t="inlineStr">
        <is>
          <t>BAMPURE</t>
        </is>
      </c>
      <c r="H156" s="148" t="inlineStr">
        <is>
          <t>Beatable</t>
        </is>
      </c>
      <c r="I156" s="148" t="inlineStr">
        <is>
          <t>BAMPURE 100% Rayon from Bamboo Sheets King Size - 4pc Cooling King Sheets</t>
        </is>
      </c>
      <c r="J156" s="148" t="inlineStr">
        <is>
          <t>https://images-na.ssl-images-amazon.com/images/I/61fbapIObwL.jpg</t>
        </is>
      </c>
      <c r="K156" s="148" t="inlineStr">
        <is>
          <t>B0HC778XB4</t>
        </is>
      </c>
      <c r="L156" s="148" t="inlineStr">
        <is>
          <t>B07XFP6BY2</t>
        </is>
      </c>
      <c r="M156" s="148" t="n">
        <v>40</v>
      </c>
      <c r="N156" s="148" t="n">
        <v>67.98</v>
      </c>
      <c r="O156" s="148" t="n">
        <v>99.98999999999999</v>
      </c>
      <c r="P156" s="148">
        <f>IF(AND(ISNUMBER(O156),ISNUMBER(N156),N(N156)&gt;0),O156/N156-1,"")</f>
        <v/>
      </c>
      <c r="Q156" s="148" t="n">
        <v>69.98999999999999</v>
      </c>
      <c r="R156" s="148">
        <f>IF(AND(ISNUMBER(N156),ISNUMBER(Q156),N(Q156)&gt;0),N156/Q156-1,"")</f>
        <v/>
      </c>
      <c r="S156" s="148" t="n">
        <v>14479</v>
      </c>
      <c r="T156" s="148" t="n">
        <v>81</v>
      </c>
      <c r="U156" s="148" t="n">
        <v>4.4</v>
      </c>
      <c r="V156" s="148" t="n">
        <v>4095</v>
      </c>
      <c r="W156" s="148" t="n">
        <v>67699</v>
      </c>
      <c r="X156" s="148" t="n">
        <v>0.8589487052984534</v>
      </c>
      <c r="Y156" s="148" t="n">
        <v>55</v>
      </c>
      <c r="Z156" s="148" t="n">
        <v>265</v>
      </c>
      <c r="AA156" s="148" t="n">
        <v>294</v>
      </c>
      <c r="AB156" s="148" t="n">
        <v>1.016706443914081</v>
      </c>
      <c r="AC156" s="148" t="inlineStr">
        <is>
          <t>US SL B6</t>
        </is>
      </c>
      <c r="AD156" s="148">
        <f>'US SL B6'!BF135</f>
        <v/>
      </c>
      <c r="AE156" s="148">
        <f>'US SL B6'!BI135</f>
        <v/>
      </c>
      <c r="AF156" s="148" t="inlineStr">
        <is>
          <t>King</t>
        </is>
      </c>
      <c r="AG156" s="148" t="inlineStr">
        <is>
          <t>White</t>
        </is>
      </c>
      <c r="AH156" s="148">
        <f>AND(E156="CA",OR('CA Dashboard'!$C$4="All",'CA Dashboard'!$C$4=D156),OR('CA Dashboard'!$C$5="All",'CA Dashboard'!$C$5=G156),OR('CA Dashboard'!$C$6="All",'CA Dashboard'!$C$6=H156),OR('CA Dashboard'!$C$7="All",'CA Dashboard'!$C$7=F156),OR('CA Dashboard'!$C$8="All",'CA Dashboard'!$C$8=AJ156))</f>
        <v/>
      </c>
      <c r="AI156" s="148">
        <f>IF(AH156,AI155+1,AI155)</f>
        <v/>
      </c>
      <c r="AJ156" s="148" t="inlineStr">
        <is>
          <t>Direct</t>
        </is>
      </c>
      <c r="AK156" s="148" t="inlineStr">
        <is>
          <t>Same product (sheet set) in the same material family: Bamboo viscose (product page material: Viscose Derived from Bamboo); ours: our listing: viscose from bamboo.</t>
        </is>
      </c>
    </row>
    <row r="157">
      <c r="A157" s="148">
        <f>AND(E157="US",OR('US Dashboard'!$C$4="All",'US Dashboard'!$C$4=D157),OR('US Dashboard'!$C$5="All",'US Dashboard'!$C$5=G157),OR('US Dashboard'!$C$6="All",'US Dashboard'!$C$6=H157),OR('US Dashboard'!$C$7="All",'US Dashboard'!$C$7=F157),OR('US Dashboard'!$C$8="All",'US Dashboard'!$C$8=AJ157))</f>
        <v/>
      </c>
      <c r="B157" s="148">
        <f>IF(A157,B156+1,B156)</f>
        <v/>
      </c>
      <c r="C157" s="148" t="n">
        <v>32</v>
      </c>
      <c r="D157" s="148" t="inlineStr">
        <is>
          <t>SL B6</t>
        </is>
      </c>
      <c r="E157" s="148" t="inlineStr">
        <is>
          <t>US</t>
        </is>
      </c>
      <c r="F157" s="148" t="inlineStr">
        <is>
          <t>Bamboo</t>
        </is>
      </c>
      <c r="G157" s="148" t="inlineStr">
        <is>
          <t>SONORO KATE</t>
        </is>
      </c>
      <c r="H157" s="148" t="inlineStr">
        <is>
          <t>Beatable</t>
        </is>
      </c>
      <c r="I157" s="148" t="inlineStr">
        <is>
          <t>SONORO KATE 100% Viscose Derived from Bamboo_Sheets Queen Size,4PC</t>
        </is>
      </c>
      <c r="J157" s="148" t="inlineStr">
        <is>
          <t>https://images-na.ssl-images-amazon.com/images/I/71HeTCWM4hL.jpg</t>
        </is>
      </c>
      <c r="K157" s="148" t="inlineStr">
        <is>
          <t>B0F29FQLFD</t>
        </is>
      </c>
      <c r="L157" s="148" t="inlineStr">
        <is>
          <t>B0F29F1JM5</t>
        </is>
      </c>
      <c r="M157" s="148" t="n">
        <v>42</v>
      </c>
      <c r="N157" s="148" t="n">
        <v>59.99</v>
      </c>
      <c r="O157" s="148" t="n"/>
      <c r="P157" s="148">
        <f>IF(AND(ISNUMBER(O157),ISNUMBER(N157),N(N157)&gt;0),O157/N157-1,"")</f>
        <v/>
      </c>
      <c r="Q157" s="148" t="n">
        <v>68.48999999999999</v>
      </c>
      <c r="R157" s="148">
        <f>IF(AND(ISNUMBER(N157),ISNUMBER(Q157),N(Q157)&gt;0),N157/Q157-1,"")</f>
        <v/>
      </c>
      <c r="S157" s="148" t="n">
        <v>23979</v>
      </c>
      <c r="T157" s="148" t="n">
        <v>81</v>
      </c>
      <c r="U157" s="148" t="n">
        <v>4.5</v>
      </c>
      <c r="V157" s="148" t="n">
        <v>3911</v>
      </c>
      <c r="W157" s="148" t="n">
        <v>114504</v>
      </c>
      <c r="X157" s="148" t="n">
        <v>0.8792897182631171</v>
      </c>
      <c r="Y157" s="148" t="n">
        <v>22</v>
      </c>
      <c r="Z157" s="148" t="n">
        <v>286</v>
      </c>
      <c r="AA157" s="148" t="n">
        <v>88</v>
      </c>
      <c r="AB157" s="148" t="n">
        <v>1.095271210013908</v>
      </c>
      <c r="AC157" s="148" t="inlineStr">
        <is>
          <t>US SL B6</t>
        </is>
      </c>
      <c r="AD157" s="148">
        <f>'US SL B6'!BF136</f>
        <v/>
      </c>
      <c r="AE157" s="148">
        <f>'US SL B6'!BI136</f>
        <v/>
      </c>
      <c r="AF157" s="148" t="inlineStr">
        <is>
          <t>Queen</t>
        </is>
      </c>
      <c r="AG157" s="148" t="inlineStr">
        <is>
          <t>Dark Grey</t>
        </is>
      </c>
      <c r="AH157" s="148">
        <f>AND(E157="CA",OR('CA Dashboard'!$C$4="All",'CA Dashboard'!$C$4=D157),OR('CA Dashboard'!$C$5="All",'CA Dashboard'!$C$5=G157),OR('CA Dashboard'!$C$6="All",'CA Dashboard'!$C$6=H157),OR('CA Dashboard'!$C$7="All",'CA Dashboard'!$C$7=F157),OR('CA Dashboard'!$C$8="All",'CA Dashboard'!$C$8=AJ157))</f>
        <v/>
      </c>
      <c r="AI157" s="148">
        <f>IF(AH157,AI156+1,AI156)</f>
        <v/>
      </c>
      <c r="AJ157" s="148" t="inlineStr">
        <is>
          <t>Direct</t>
        </is>
      </c>
      <c r="AK157" s="148" t="inlineStr">
        <is>
          <t>Same product (sheet set) in the same material family: Bamboo viscose (product page material: Viscose Derived From Bamboo); ours: our listing: viscose from bamboo.</t>
        </is>
      </c>
    </row>
    <row r="158">
      <c r="A158" s="148">
        <f>AND(E158="US",OR('US Dashboard'!$C$4="All",'US Dashboard'!$C$4=D158),OR('US Dashboard'!$C$5="All",'US Dashboard'!$C$5=G158),OR('US Dashboard'!$C$6="All",'US Dashboard'!$C$6=H158),OR('US Dashboard'!$C$7="All",'US Dashboard'!$C$7=F158),OR('US Dashboard'!$C$8="All",'US Dashboard'!$C$8=AJ158))</f>
        <v/>
      </c>
      <c r="B158" s="148">
        <f>IF(A158,B157+1,B157)</f>
        <v/>
      </c>
      <c r="C158" s="148" t="n">
        <v>32</v>
      </c>
      <c r="D158" s="148" t="inlineStr">
        <is>
          <t>SL B6</t>
        </is>
      </c>
      <c r="E158" s="148" t="inlineStr">
        <is>
          <t>US</t>
        </is>
      </c>
      <c r="F158" s="148" t="inlineStr">
        <is>
          <t>Bamboo</t>
        </is>
      </c>
      <c r="G158" s="148" t="inlineStr">
        <is>
          <t>DOZ by SIJO</t>
        </is>
      </c>
      <c r="H158" s="148" t="inlineStr">
        <is>
          <t>Beatable</t>
        </is>
      </c>
      <c r="I158" s="148" t="inlineStr">
        <is>
          <t>Bamboo Sheets</t>
        </is>
      </c>
      <c r="J158" s="148" t="inlineStr">
        <is>
          <t>https://images-na.ssl-images-amazon.com/images/I/710aWpCd4AL.jpg</t>
        </is>
      </c>
      <c r="K158" s="148" t="inlineStr">
        <is>
          <t>B0DCZGYVZ9</t>
        </is>
      </c>
      <c r="L158" s="148" t="inlineStr">
        <is>
          <t>B0F24TRXCZ</t>
        </is>
      </c>
      <c r="M158" s="148" t="n">
        <v>131</v>
      </c>
      <c r="N158" s="148" t="n">
        <v>55</v>
      </c>
      <c r="O158" s="148" t="n"/>
      <c r="P158" s="148">
        <f>IF(AND(ISNUMBER(O158),ISNUMBER(N158),N(N158)&gt;0),O158/N158-1,"")</f>
        <v/>
      </c>
      <c r="Q158" s="148" t="n">
        <v>68.48999999999999</v>
      </c>
      <c r="R158" s="148">
        <f>IF(AND(ISNUMBER(N158),ISNUMBER(Q158),N(Q158)&gt;0),N158/Q158-1,"")</f>
        <v/>
      </c>
      <c r="S158" s="148" t="n">
        <v>4051</v>
      </c>
      <c r="T158" s="148" t="n">
        <v>35</v>
      </c>
      <c r="U158" s="148" t="n">
        <v>4.4</v>
      </c>
      <c r="V158" s="148" t="n">
        <v>1909</v>
      </c>
      <c r="W158" s="148" t="n">
        <v>171534</v>
      </c>
      <c r="X158" s="148" t="n">
        <v>0.5544749851341424</v>
      </c>
      <c r="Y158" s="148" t="n">
        <v>33</v>
      </c>
      <c r="Z158" s="148" t="n">
        <v>341</v>
      </c>
      <c r="AA158" s="148" t="n">
        <v>820</v>
      </c>
      <c r="AB158" s="148" t="n"/>
      <c r="AC158" s="148" t="inlineStr">
        <is>
          <t>US SL B6</t>
        </is>
      </c>
      <c r="AD158" s="148">
        <f>'US SL B6'!BF137</f>
        <v/>
      </c>
      <c r="AE158" s="148">
        <f>'US SL B6'!BI137</f>
        <v/>
      </c>
      <c r="AF158" s="148" t="inlineStr">
        <is>
          <t>Queen</t>
        </is>
      </c>
      <c r="AG158" s="148" t="inlineStr">
        <is>
          <t>Olive</t>
        </is>
      </c>
      <c r="AH158" s="148">
        <f>AND(E158="CA",OR('CA Dashboard'!$C$4="All",'CA Dashboard'!$C$4=D158),OR('CA Dashboard'!$C$5="All",'CA Dashboard'!$C$5=G158),OR('CA Dashboard'!$C$6="All",'CA Dashboard'!$C$6=H158),OR('CA Dashboard'!$C$7="All",'CA Dashboard'!$C$7=F158),OR('CA Dashboard'!$C$8="All",'CA Dashboard'!$C$8=AJ158))</f>
        <v/>
      </c>
      <c r="AI158" s="148">
        <f>IF(AH158,AI157+1,AI157)</f>
        <v/>
      </c>
      <c r="AJ158" s="148" t="inlineStr">
        <is>
          <t>Direct</t>
        </is>
      </c>
      <c r="AK158" s="148" t="inlineStr">
        <is>
          <t>Same product (sheet set) in the same material family: Bamboo viscose (product page material: Rayon); ours: our listing: viscose from bamboo.</t>
        </is>
      </c>
    </row>
    <row r="159">
      <c r="A159" s="148">
        <f>AND(E159="US",OR('US Dashboard'!$C$4="All",'US Dashboard'!$C$4=D159),OR('US Dashboard'!$C$5="All",'US Dashboard'!$C$5=G159),OR('US Dashboard'!$C$6="All",'US Dashboard'!$C$6=H159),OR('US Dashboard'!$C$7="All",'US Dashboard'!$C$7=F159),OR('US Dashboard'!$C$8="All",'US Dashboard'!$C$8=AJ159))</f>
        <v/>
      </c>
      <c r="B159" s="148">
        <f>IF(A159,B158+1,B158)</f>
        <v/>
      </c>
      <c r="C159" s="148" t="n">
        <v>32</v>
      </c>
      <c r="D159" s="148" t="inlineStr">
        <is>
          <t>SL B6</t>
        </is>
      </c>
      <c r="E159" s="148" t="inlineStr">
        <is>
          <t>US</t>
        </is>
      </c>
      <c r="F159" s="148" t="inlineStr">
        <is>
          <t>Bamboo</t>
        </is>
      </c>
      <c r="G159" s="148" t="inlineStr">
        <is>
          <t>AiAngu</t>
        </is>
      </c>
      <c r="H159" s="148" t="inlineStr">
        <is>
          <t>Poor</t>
        </is>
      </c>
      <c r="I159" s="148" t="inlineStr">
        <is>
          <t>Bamboo Sheets</t>
        </is>
      </c>
      <c r="J159" s="148" t="inlineStr">
        <is>
          <t>https://m.media-amazon.com/images/I/71m+WEzQwhL._AC_SL1500_.jpg</t>
        </is>
      </c>
      <c r="K159" s="148" t="inlineStr">
        <is>
          <t>B0GX135KCN</t>
        </is>
      </c>
      <c r="L159" s="148" t="inlineStr">
        <is>
          <t>B0GX15Y7TT</t>
        </is>
      </c>
      <c r="M159" s="148" t="n"/>
      <c r="N159" s="148" t="n">
        <v>74.98999999999999</v>
      </c>
      <c r="O159" s="148" t="n">
        <v>79.98999999999999</v>
      </c>
      <c r="P159" s="148">
        <f>IF(AND(ISNUMBER(O159),ISNUMBER(N159),N(N159)&gt;0),O159/N159-1,"")</f>
        <v/>
      </c>
      <c r="Q159" s="148" t="n">
        <v>68.48999999999999</v>
      </c>
      <c r="R159" s="148">
        <f>IF(AND(ISNUMBER(N159),ISNUMBER(Q159),N(Q159)&gt;0),N159/Q159-1,"")</f>
        <v/>
      </c>
      <c r="S159" s="148" t="n">
        <v>39296</v>
      </c>
      <c r="T159" s="148" t="n">
        <v>81</v>
      </c>
      <c r="U159" s="148" t="n">
        <v>4.6</v>
      </c>
      <c r="V159" s="148" t="n">
        <v>121</v>
      </c>
      <c r="W159" s="148" t="n"/>
      <c r="X159" s="148" t="n"/>
      <c r="Y159" s="148" t="n"/>
      <c r="Z159" s="148" t="n"/>
      <c r="AA159" s="148" t="n"/>
      <c r="AB159" s="148" t="n"/>
      <c r="AC159" s="148" t="inlineStr">
        <is>
          <t>US SL B6</t>
        </is>
      </c>
      <c r="AD159" s="148">
        <f>'US SL B6'!BF138</f>
        <v/>
      </c>
      <c r="AE159" s="148">
        <f>'US SL B6'!BI138</f>
        <v/>
      </c>
      <c r="AF159" s="148" t="inlineStr">
        <is>
          <t>Queen</t>
        </is>
      </c>
      <c r="AG159" s="148" t="inlineStr">
        <is>
          <t>Dark Grey</t>
        </is>
      </c>
      <c r="AH159" s="148">
        <f>AND(E159="CA",OR('CA Dashboard'!$C$4="All",'CA Dashboard'!$C$4=D159),OR('CA Dashboard'!$C$5="All",'CA Dashboard'!$C$5=G159),OR('CA Dashboard'!$C$6="All",'CA Dashboard'!$C$6=H159),OR('CA Dashboard'!$C$7="All",'CA Dashboard'!$C$7=F159),OR('CA Dashboard'!$C$8="All",'CA Dashboard'!$C$8=AJ159))</f>
        <v/>
      </c>
      <c r="AI159" s="148">
        <f>IF(AH159,AI158+1,AI158)</f>
        <v/>
      </c>
      <c r="AJ159" s="148" t="inlineStr">
        <is>
          <t>Direct</t>
        </is>
      </c>
      <c r="AK159" s="148" t="inlineStr">
        <is>
          <t>Same product (sheet set) in the same material family: Bamboo viscose (product page material: Rayon Derived from Bamboo); ours: our listing: viscose from bamboo.</t>
        </is>
      </c>
    </row>
    <row r="160">
      <c r="A160" s="148">
        <f>AND(E160="US",OR('US Dashboard'!$C$4="All",'US Dashboard'!$C$4=D160),OR('US Dashboard'!$C$5="All",'US Dashboard'!$C$5=G160),OR('US Dashboard'!$C$6="All",'US Dashboard'!$C$6=H160),OR('US Dashboard'!$C$7="All",'US Dashboard'!$C$7=F160),OR('US Dashboard'!$C$8="All",'US Dashboard'!$C$8=AJ160))</f>
        <v/>
      </c>
      <c r="B160" s="148">
        <f>IF(A160,B159+1,B159)</f>
        <v/>
      </c>
      <c r="C160" s="148" t="n">
        <v>32</v>
      </c>
      <c r="D160" s="148" t="inlineStr">
        <is>
          <t>SL B6</t>
        </is>
      </c>
      <c r="E160" s="148" t="inlineStr">
        <is>
          <t>US</t>
        </is>
      </c>
      <c r="F160" s="148" t="inlineStr">
        <is>
          <t>Bamboo</t>
        </is>
      </c>
      <c r="G160" s="148" t="inlineStr">
        <is>
          <t>Cariloha</t>
        </is>
      </c>
      <c r="H160" s="148" t="inlineStr">
        <is>
          <t>Poor</t>
        </is>
      </c>
      <c r="I160" s="148" t="inlineStr">
        <is>
          <t>Cariloha Aloha Soft Bamboo Viscose Sheet Set - Natural - Queen</t>
        </is>
      </c>
      <c r="J160" s="148" t="inlineStr">
        <is>
          <t>https://images-na.ssl-images-amazon.com/images/I/71Kvq1YdGJL.jpg</t>
        </is>
      </c>
      <c r="K160" s="148" t="inlineStr">
        <is>
          <t>B0F89K7BXJ</t>
        </is>
      </c>
      <c r="L160" s="148" t="inlineStr">
        <is>
          <t>B0DJV1K332</t>
        </is>
      </c>
      <c r="M160" s="148" t="n">
        <v>35</v>
      </c>
      <c r="N160" s="148" t="n">
        <v>107.1</v>
      </c>
      <c r="O160" s="148" t="n"/>
      <c r="P160" s="148">
        <f>IF(AND(ISNUMBER(O160),ISNUMBER(N160),N(N160)&gt;0),O160/N160-1,"")</f>
        <v/>
      </c>
      <c r="Q160" s="148" t="n">
        <v>68.48999999999999</v>
      </c>
      <c r="R160" s="148">
        <f>IF(AND(ISNUMBER(N160),ISNUMBER(Q160),N(Q160)&gt;0),N160/Q160-1,"")</f>
        <v/>
      </c>
      <c r="S160" s="148" t="n">
        <v>15882</v>
      </c>
      <c r="T160" s="148" t="n">
        <v>81</v>
      </c>
      <c r="U160" s="148" t="n">
        <v>4.4</v>
      </c>
      <c r="V160" s="148" t="n">
        <v>426</v>
      </c>
      <c r="W160" s="148" t="n"/>
      <c r="X160" s="148" t="n"/>
      <c r="Y160" s="148" t="n"/>
      <c r="Z160" s="148" t="n"/>
      <c r="AA160" s="148" t="n"/>
      <c r="AB160" s="148" t="n"/>
      <c r="AC160" s="148" t="inlineStr">
        <is>
          <t>US SL B6</t>
        </is>
      </c>
      <c r="AD160" s="148">
        <f>'US SL B6'!BF139</f>
        <v/>
      </c>
      <c r="AE160" s="148">
        <f>'US SL B6'!BI139</f>
        <v/>
      </c>
      <c r="AF160" s="148" t="inlineStr">
        <is>
          <t>Queen</t>
        </is>
      </c>
      <c r="AG160" s="148" t="inlineStr">
        <is>
          <t>Natural</t>
        </is>
      </c>
      <c r="AH160" s="148">
        <f>AND(E160="CA",OR('CA Dashboard'!$C$4="All",'CA Dashboard'!$C$4=D160),OR('CA Dashboard'!$C$5="All",'CA Dashboard'!$C$5=G160),OR('CA Dashboard'!$C$6="All",'CA Dashboard'!$C$6=H160),OR('CA Dashboard'!$C$7="All",'CA Dashboard'!$C$7=F160),OR('CA Dashboard'!$C$8="All",'CA Dashboard'!$C$8=AJ160))</f>
        <v/>
      </c>
      <c r="AI160" s="148">
        <f>IF(AH160,AI159+1,AI159)</f>
        <v/>
      </c>
      <c r="AJ160" s="148" t="inlineStr">
        <is>
          <t>Direct</t>
        </is>
      </c>
      <c r="AK160" s="148" t="inlineStr">
        <is>
          <t>Same product (sheet set) in the same material family: Bamboo viscose (product page material: Viscose derived from Bamboo); ours: our listing: viscose from bamboo.</t>
        </is>
      </c>
    </row>
    <row r="161">
      <c r="A161" s="148">
        <f>AND(E161="US",OR('US Dashboard'!$C$4="All",'US Dashboard'!$C$4=D161),OR('US Dashboard'!$C$5="All",'US Dashboard'!$C$5=G161),OR('US Dashboard'!$C$6="All",'US Dashboard'!$C$6=H161),OR('US Dashboard'!$C$7="All",'US Dashboard'!$C$7=F161),OR('US Dashboard'!$C$8="All",'US Dashboard'!$C$8=AJ161))</f>
        <v/>
      </c>
      <c r="B161" s="148">
        <f>IF(A161,B160+1,B160)</f>
        <v/>
      </c>
      <c r="C161" s="148" t="n">
        <v>32</v>
      </c>
      <c r="D161" s="148" t="inlineStr">
        <is>
          <t>SL B6</t>
        </is>
      </c>
      <c r="E161" s="148" t="inlineStr">
        <is>
          <t>US</t>
        </is>
      </c>
      <c r="F161" s="148" t="inlineStr">
        <is>
          <t>Bamboo</t>
        </is>
      </c>
      <c r="G161" s="148" t="inlineStr">
        <is>
          <t>Cozy Earth</t>
        </is>
      </c>
      <c r="H161" s="148" t="inlineStr">
        <is>
          <t>Poor</t>
        </is>
      </c>
      <c r="I161" s="148" t="inlineStr">
        <is>
          <t>Cozy Earth Luxury Bed Sheet Set, 100% Viscose from Bamboo Fabric</t>
        </is>
      </c>
      <c r="J161" s="148" t="inlineStr">
        <is>
          <t>https://images-na.ssl-images-amazon.com/images/I/61NbNWE+BJL.jpg</t>
        </is>
      </c>
      <c r="K161" s="148" t="inlineStr">
        <is>
          <t>B0DSQ9V4ML</t>
        </is>
      </c>
      <c r="L161" s="148" t="inlineStr">
        <is>
          <t>B0F22JR4S8</t>
        </is>
      </c>
      <c r="M161" s="148" t="n">
        <v>54</v>
      </c>
      <c r="N161" s="148" t="n">
        <v>328</v>
      </c>
      <c r="O161" s="148" t="n"/>
      <c r="P161" s="148">
        <f>IF(AND(ISNUMBER(O161),ISNUMBER(N161),N(N161)&gt;0),O161/N161-1,"")</f>
        <v/>
      </c>
      <c r="Q161" s="148" t="n">
        <v>69.98999999999999</v>
      </c>
      <c r="R161" s="148">
        <f>IF(AND(ISNUMBER(N161),ISNUMBER(Q161),N(Q161)&gt;0),N161/Q161-1,"")</f>
        <v/>
      </c>
      <c r="S161" s="148" t="n">
        <v>45709</v>
      </c>
      <c r="T161" s="148" t="n">
        <v>35</v>
      </c>
      <c r="U161" s="148" t="n">
        <v>3.9</v>
      </c>
      <c r="V161" s="148" t="n">
        <v>425</v>
      </c>
      <c r="W161" s="148" t="n"/>
      <c r="X161" s="148" t="n"/>
      <c r="Y161" s="148" t="n"/>
      <c r="Z161" s="148" t="n"/>
      <c r="AA161" s="148" t="n"/>
      <c r="AB161" s="148" t="n"/>
      <c r="AC161" s="148" t="inlineStr">
        <is>
          <t>US SL B6</t>
        </is>
      </c>
      <c r="AD161" s="148">
        <f>'US SL B6'!BF140</f>
        <v/>
      </c>
      <c r="AE161" s="148">
        <f>'US SL B6'!BI140</f>
        <v/>
      </c>
      <c r="AF161" s="148" t="inlineStr">
        <is>
          <t>King</t>
        </is>
      </c>
      <c r="AG161" s="148" t="inlineStr">
        <is>
          <t>White</t>
        </is>
      </c>
      <c r="AH161" s="148">
        <f>AND(E161="CA",OR('CA Dashboard'!$C$4="All",'CA Dashboard'!$C$4=D161),OR('CA Dashboard'!$C$5="All",'CA Dashboard'!$C$5=G161),OR('CA Dashboard'!$C$6="All",'CA Dashboard'!$C$6=H161),OR('CA Dashboard'!$C$7="All",'CA Dashboard'!$C$7=F161),OR('CA Dashboard'!$C$8="All",'CA Dashboard'!$C$8=AJ161))</f>
        <v/>
      </c>
      <c r="AI161" s="148">
        <f>IF(AH161,AI160+1,AI160)</f>
        <v/>
      </c>
      <c r="AJ161" s="148" t="inlineStr">
        <is>
          <t>Direct</t>
        </is>
      </c>
      <c r="AK161" s="148" t="inlineStr">
        <is>
          <t>Same product (sheet set) in the same material family: Bamboo viscose (product page material: Viscose from Bamboo); ours: our listing: viscose from bamboo.</t>
        </is>
      </c>
    </row>
    <row r="162">
      <c r="A162" s="148">
        <f>AND(E162="US",OR('US Dashboard'!$C$4="All",'US Dashboard'!$C$4=D162),OR('US Dashboard'!$C$5="All",'US Dashboard'!$C$5=G162),OR('US Dashboard'!$C$6="All",'US Dashboard'!$C$6=H162),OR('US Dashboard'!$C$7="All",'US Dashboard'!$C$7=F162),OR('US Dashboard'!$C$8="All",'US Dashboard'!$C$8=AJ162))</f>
        <v/>
      </c>
      <c r="B162" s="148">
        <f>IF(A162,B161+1,B161)</f>
        <v/>
      </c>
      <c r="C162" s="148" t="n">
        <v>32</v>
      </c>
      <c r="D162" s="148" t="inlineStr">
        <is>
          <t>SL B6</t>
        </is>
      </c>
      <c r="E162" s="148" t="inlineStr">
        <is>
          <t>US</t>
        </is>
      </c>
      <c r="F162" s="148" t="inlineStr">
        <is>
          <t>Bamboo</t>
        </is>
      </c>
      <c r="G162" s="148" t="inlineStr">
        <is>
          <t>DREAMCARE</t>
        </is>
      </c>
      <c r="H162" s="148" t="inlineStr">
        <is>
          <t>Poor</t>
        </is>
      </c>
      <c r="I162" s="148" t="inlineStr">
        <is>
          <t>DREAMCARE 100% Rayon Bamboo Sheets King Size - 4pc Cooling Sheets King Size</t>
        </is>
      </c>
      <c r="J162" s="148" t="inlineStr">
        <is>
          <t>https://images-na.ssl-images-amazon.com/images/I/61iqSV9TaLL.jpg</t>
        </is>
      </c>
      <c r="K162" s="148" t="inlineStr">
        <is>
          <t>B0DVZFLVMG</t>
        </is>
      </c>
      <c r="L162" s="148" t="inlineStr">
        <is>
          <t>B0CF2MND41</t>
        </is>
      </c>
      <c r="M162" s="148" t="n">
        <v>30</v>
      </c>
      <c r="N162" s="148" t="n">
        <v>46.74</v>
      </c>
      <c r="O162" s="148" t="n">
        <v>59.99</v>
      </c>
      <c r="P162" s="148">
        <f>IF(AND(ISNUMBER(O162),ISNUMBER(N162),N(N162)&gt;0),O162/N162-1,"")</f>
        <v/>
      </c>
      <c r="Q162" s="148" t="n">
        <v>69.98999999999999</v>
      </c>
      <c r="R162" s="148">
        <f>IF(AND(ISNUMBER(N162),ISNUMBER(Q162),N(Q162)&gt;0),N162/Q162-1,"")</f>
        <v/>
      </c>
      <c r="S162" s="148" t="n">
        <v>37217</v>
      </c>
      <c r="T162" s="148" t="n">
        <v>35</v>
      </c>
      <c r="U162" s="148" t="n">
        <v>4.5</v>
      </c>
      <c r="V162" s="148" t="n">
        <v>2261</v>
      </c>
      <c r="W162" s="148" t="n"/>
      <c r="X162" s="148" t="n"/>
      <c r="Y162" s="148" t="n"/>
      <c r="Z162" s="148" t="n"/>
      <c r="AA162" s="148" t="n"/>
      <c r="AB162" s="148" t="n"/>
      <c r="AC162" s="148" t="inlineStr">
        <is>
          <t>US SL B6</t>
        </is>
      </c>
      <c r="AD162" s="148">
        <f>'US SL B6'!BF141</f>
        <v/>
      </c>
      <c r="AE162" s="148">
        <f>'US SL B6'!BI141</f>
        <v/>
      </c>
      <c r="AF162" s="148" t="inlineStr">
        <is>
          <t>King</t>
        </is>
      </c>
      <c r="AG162" s="148" t="inlineStr">
        <is>
          <t>5 - Gray</t>
        </is>
      </c>
      <c r="AH162" s="148">
        <f>AND(E162="CA",OR('CA Dashboard'!$C$4="All",'CA Dashboard'!$C$4=D162),OR('CA Dashboard'!$C$5="All",'CA Dashboard'!$C$5=G162),OR('CA Dashboard'!$C$6="All",'CA Dashboard'!$C$6=H162),OR('CA Dashboard'!$C$7="All",'CA Dashboard'!$C$7=F162),OR('CA Dashboard'!$C$8="All",'CA Dashboard'!$C$8=AJ162))</f>
        <v/>
      </c>
      <c r="AI162" s="148">
        <f>IF(AH162,AI161+1,AI161)</f>
        <v/>
      </c>
      <c r="AJ162" s="148" t="inlineStr">
        <is>
          <t>Direct</t>
        </is>
      </c>
      <c r="AK162" s="148" t="inlineStr">
        <is>
          <t>Same product (sheet set) in the same material family: Bamboo viscose (product page material: Viscose derived from Bamboo); ours: our listing: viscose from bamboo.</t>
        </is>
      </c>
    </row>
    <row r="163">
      <c r="A163" s="148">
        <f>AND(E163="US",OR('US Dashboard'!$C$4="All",'US Dashboard'!$C$4=D163),OR('US Dashboard'!$C$5="All",'US Dashboard'!$C$5=G163),OR('US Dashboard'!$C$6="All",'US Dashboard'!$C$6=H163),OR('US Dashboard'!$C$7="All",'US Dashboard'!$C$7=F163),OR('US Dashboard'!$C$8="All",'US Dashboard'!$C$8=AJ163))</f>
        <v/>
      </c>
      <c r="B163" s="148">
        <f>IF(A163,B162+1,B162)</f>
        <v/>
      </c>
      <c r="C163" s="148" t="n">
        <v>32</v>
      </c>
      <c r="D163" s="148" t="inlineStr">
        <is>
          <t>SL B6</t>
        </is>
      </c>
      <c r="E163" s="148" t="inlineStr">
        <is>
          <t>US</t>
        </is>
      </c>
      <c r="F163" s="148" t="inlineStr">
        <is>
          <t>Bamboo</t>
        </is>
      </c>
      <c r="G163" s="148" t="inlineStr">
        <is>
          <t>HOT SLEEPER SHEETS</t>
        </is>
      </c>
      <c r="H163" s="148" t="inlineStr">
        <is>
          <t>Poor</t>
        </is>
      </c>
      <c r="I163" s="148" t="inlineStr">
        <is>
          <t>Cooling Sheets Set Queen Size, Viscose Derived from Bamboo for Hot Sleepers | Deep Pocket Up to 16 Inch | Silky Soft &amp; Breathable Bedding - 4PC (Queen, Navy)</t>
        </is>
      </c>
      <c r="J163" s="148" t="inlineStr">
        <is>
          <t>https://images-na.ssl-images-amazon.com/images/I/81noqNc+ZjL.jpg</t>
        </is>
      </c>
      <c r="K163" s="148" t="inlineStr">
        <is>
          <t>B0DM3GDCTR</t>
        </is>
      </c>
      <c r="L163" s="148" t="inlineStr">
        <is>
          <t>B0D3XQM7DL</t>
        </is>
      </c>
      <c r="M163" s="148" t="n">
        <v>74</v>
      </c>
      <c r="N163" s="148" t="n">
        <v>51.29</v>
      </c>
      <c r="O163" s="148" t="n">
        <v>62.99</v>
      </c>
      <c r="P163" s="148">
        <f>IF(AND(ISNUMBER(O163),ISNUMBER(N163),N(N163)&gt;0),O163/N163-1,"")</f>
        <v/>
      </c>
      <c r="Q163" s="148" t="n">
        <v>68.48999999999999</v>
      </c>
      <c r="R163" s="148">
        <f>IF(AND(ISNUMBER(N163),ISNUMBER(Q163),N(Q163)&gt;0),N163/Q163-1,"")</f>
        <v/>
      </c>
      <c r="S163" s="148" t="n">
        <v>33959</v>
      </c>
      <c r="T163" s="148" t="n">
        <v>35</v>
      </c>
      <c r="U163" s="148" t="n">
        <v>4.4</v>
      </c>
      <c r="V163" s="148" t="n">
        <v>674</v>
      </c>
      <c r="W163" s="148" t="n"/>
      <c r="X163" s="148" t="n"/>
      <c r="Y163" s="148" t="n"/>
      <c r="Z163" s="148" t="n"/>
      <c r="AA163" s="148" t="n"/>
      <c r="AB163" s="148" t="n"/>
      <c r="AC163" s="148" t="inlineStr">
        <is>
          <t>US SL B6</t>
        </is>
      </c>
      <c r="AD163" s="148">
        <f>'US SL B6'!BF142</f>
        <v/>
      </c>
      <c r="AE163" s="148">
        <f>'US SL B6'!BI142</f>
        <v/>
      </c>
      <c r="AF163" s="148" t="inlineStr">
        <is>
          <t>Queen</t>
        </is>
      </c>
      <c r="AG163" s="148" t="inlineStr">
        <is>
          <t>Navy</t>
        </is>
      </c>
      <c r="AH163" s="148">
        <f>AND(E163="CA",OR('CA Dashboard'!$C$4="All",'CA Dashboard'!$C$4=D163),OR('CA Dashboard'!$C$5="All",'CA Dashboard'!$C$5=G163),OR('CA Dashboard'!$C$6="All",'CA Dashboard'!$C$6=H163),OR('CA Dashboard'!$C$7="All",'CA Dashboard'!$C$7=F163),OR('CA Dashboard'!$C$8="All",'CA Dashboard'!$C$8=AJ163))</f>
        <v/>
      </c>
      <c r="AI163" s="148">
        <f>IF(AH163,AI162+1,AI162)</f>
        <v/>
      </c>
      <c r="AJ163" s="148" t="inlineStr">
        <is>
          <t>Direct</t>
        </is>
      </c>
      <c r="AK163" s="148" t="inlineStr">
        <is>
          <t>Same product (sheet set) in the same material family: Bamboo viscose (title: Cooling Sheets Set Queen Size, Viscose Derived from Bamboo f); ours: our listing: viscose from bamboo.</t>
        </is>
      </c>
    </row>
    <row r="164">
      <c r="A164" s="148">
        <f>AND(E164="US",OR('US Dashboard'!$C$4="All",'US Dashboard'!$C$4=D164),OR('US Dashboard'!$C$5="All",'US Dashboard'!$C$5=G164),OR('US Dashboard'!$C$6="All",'US Dashboard'!$C$6=H164),OR('US Dashboard'!$C$7="All",'US Dashboard'!$C$7=F164),OR('US Dashboard'!$C$8="All",'US Dashboard'!$C$8=AJ164))</f>
        <v/>
      </c>
      <c r="B164" s="148">
        <f>IF(A164,B163+1,B163)</f>
        <v/>
      </c>
      <c r="C164" s="148" t="n">
        <v>32</v>
      </c>
      <c r="D164" s="148" t="inlineStr">
        <is>
          <t>SL B6</t>
        </is>
      </c>
      <c r="E164" s="148" t="inlineStr">
        <is>
          <t>US</t>
        </is>
      </c>
      <c r="F164" s="148" t="inlineStr">
        <is>
          <t>Bamboo</t>
        </is>
      </c>
      <c r="G164" s="148" t="inlineStr">
        <is>
          <t>Shilucheng</t>
        </is>
      </c>
      <c r="H164" s="148" t="inlineStr">
        <is>
          <t>Poor</t>
        </is>
      </c>
      <c r="I164" s="148" t="inlineStr">
        <is>
          <t>Shilucheng 100% Viscose Derived from Bamboo_ Sheets Queen Size 4pcs</t>
        </is>
      </c>
      <c r="J164" s="148" t="inlineStr">
        <is>
          <t>https://images-na.ssl-images-amazon.com/images/I/71+O+E9PlaL.jpg</t>
        </is>
      </c>
      <c r="K164" s="148" t="inlineStr">
        <is>
          <t>B0HK5V5KL1</t>
        </is>
      </c>
      <c r="L164" s="148" t="inlineStr">
        <is>
          <t>B09PYKYCCF</t>
        </is>
      </c>
      <c r="M164" s="148" t="n">
        <v>79</v>
      </c>
      <c r="N164" s="148" t="n">
        <v>46.66</v>
      </c>
      <c r="O164" s="148" t="n">
        <v>54.9</v>
      </c>
      <c r="P164" s="148">
        <f>IF(AND(ISNUMBER(O164),ISNUMBER(N164),N(N164)&gt;0),O164/N164-1,"")</f>
        <v/>
      </c>
      <c r="Q164" s="148" t="n">
        <v>68.48999999999999</v>
      </c>
      <c r="R164" s="148">
        <f>IF(AND(ISNUMBER(N164),ISNUMBER(Q164),N(Q164)&gt;0),N164/Q164-1,"")</f>
        <v/>
      </c>
      <c r="S164" s="148" t="n">
        <v>26043</v>
      </c>
      <c r="T164" s="148" t="n">
        <v>35</v>
      </c>
      <c r="U164" s="148" t="n">
        <v>4.4</v>
      </c>
      <c r="V164" s="148" t="n">
        <v>6629</v>
      </c>
      <c r="W164" s="148" t="n"/>
      <c r="X164" s="148" t="n"/>
      <c r="Y164" s="148" t="n"/>
      <c r="Z164" s="148" t="n"/>
      <c r="AA164" s="148" t="n"/>
      <c r="AB164" s="148" t="n"/>
      <c r="AC164" s="148" t="inlineStr">
        <is>
          <t>US SL B6</t>
        </is>
      </c>
      <c r="AD164" s="148">
        <f>'US SL B6'!BF143</f>
        <v/>
      </c>
      <c r="AE164" s="148">
        <f>'US SL B6'!BI143</f>
        <v/>
      </c>
      <c r="AF164" s="148" t="inlineStr">
        <is>
          <t>Queen</t>
        </is>
      </c>
      <c r="AG164" s="148" t="inlineStr">
        <is>
          <t>01 - Dark Grey</t>
        </is>
      </c>
      <c r="AH164" s="148">
        <f>AND(E164="CA",OR('CA Dashboard'!$C$4="All",'CA Dashboard'!$C$4=D164),OR('CA Dashboard'!$C$5="All",'CA Dashboard'!$C$5=G164),OR('CA Dashboard'!$C$6="All",'CA Dashboard'!$C$6=H164),OR('CA Dashboard'!$C$7="All",'CA Dashboard'!$C$7=F164),OR('CA Dashboard'!$C$8="All",'CA Dashboard'!$C$8=AJ164))</f>
        <v/>
      </c>
      <c r="AI164" s="148">
        <f>IF(AH164,AI163+1,AI163)</f>
        <v/>
      </c>
      <c r="AJ164" s="148" t="inlineStr">
        <is>
          <t>Direct</t>
        </is>
      </c>
      <c r="AK164" s="148" t="inlineStr">
        <is>
          <t>Same product (sheet set) in the same material family: Bamboo viscose (product page material: Viscose Derived from Bamboo); ours: our listing: viscose from bamboo.</t>
        </is>
      </c>
    </row>
    <row r="165">
      <c r="A165" s="148">
        <f>AND(E165="US",OR('US Dashboard'!$C$4="All",'US Dashboard'!$C$4=D165),OR('US Dashboard'!$C$5="All",'US Dashboard'!$C$5=G165),OR('US Dashboard'!$C$6="All",'US Dashboard'!$C$6=H165),OR('US Dashboard'!$C$7="All",'US Dashboard'!$C$7=F165),OR('US Dashboard'!$C$8="All",'US Dashboard'!$C$8=AJ165))</f>
        <v/>
      </c>
      <c r="B165" s="148">
        <f>IF(A165,B164+1,B164)</f>
        <v/>
      </c>
      <c r="C165" s="148" t="n">
        <v>32</v>
      </c>
      <c r="D165" s="148" t="inlineStr">
        <is>
          <t>SL B6</t>
        </is>
      </c>
      <c r="E165" s="148" t="inlineStr">
        <is>
          <t>US</t>
        </is>
      </c>
      <c r="F165" s="148" t="inlineStr">
        <is>
          <t>Bamboo</t>
        </is>
      </c>
      <c r="G165" s="148" t="inlineStr">
        <is>
          <t>Bamtek</t>
        </is>
      </c>
      <c r="H165" s="148" t="inlineStr">
        <is>
          <t>Poor</t>
        </is>
      </c>
      <c r="I165" s="148" t="inlineStr">
        <is>
          <t>Viscose Bamboo Sheets Queen Size 4PC Set - Cooling Bedding for Hot Sleepers with</t>
        </is>
      </c>
      <c r="J165" s="148" t="inlineStr">
        <is>
          <t>https://m.media-amazon.com/images/I/71zexS-HoPL._AC_SL1500_.jpg</t>
        </is>
      </c>
      <c r="K165" s="148" t="inlineStr">
        <is>
          <t>B0CZHCZQZ3</t>
        </is>
      </c>
      <c r="L165" s="148" t="inlineStr">
        <is>
          <t>B09TQ6ZVKZ</t>
        </is>
      </c>
      <c r="M165" s="148" t="n"/>
      <c r="N165" s="148" t="n">
        <v>94.98999999999999</v>
      </c>
      <c r="O165" s="148" t="n"/>
      <c r="P165" s="148">
        <f>IF(AND(ISNUMBER(O165),ISNUMBER(N165),N(N165)&gt;0),O165/N165-1,"")</f>
        <v/>
      </c>
      <c r="Q165" s="148" t="n">
        <v>68.48999999999999</v>
      </c>
      <c r="R165" s="148">
        <f>IF(AND(ISNUMBER(N165),ISNUMBER(Q165),N(Q165)&gt;0),N165/Q165-1,"")</f>
        <v/>
      </c>
      <c r="S165" s="148" t="n">
        <v>79376</v>
      </c>
      <c r="T165" s="148" t="n">
        <v>18</v>
      </c>
      <c r="U165" s="148" t="n">
        <v>4.4</v>
      </c>
      <c r="V165" s="148" t="n">
        <v>641</v>
      </c>
      <c r="W165" s="148" t="n"/>
      <c r="X165" s="148" t="n"/>
      <c r="Y165" s="148" t="n"/>
      <c r="Z165" s="148" t="n"/>
      <c r="AA165" s="148" t="n"/>
      <c r="AB165" s="148" t="n"/>
      <c r="AC165" s="148" t="inlineStr">
        <is>
          <t>US SL B6</t>
        </is>
      </c>
      <c r="AD165" s="148">
        <f>'US SL B6'!BF144</f>
        <v/>
      </c>
      <c r="AE165" s="148">
        <f>'US SL B6'!BI144</f>
        <v/>
      </c>
      <c r="AF165" s="148" t="inlineStr">
        <is>
          <t>Queen</t>
        </is>
      </c>
      <c r="AG165" s="148" t="inlineStr">
        <is>
          <t>Sage</t>
        </is>
      </c>
      <c r="AH165" s="148">
        <f>AND(E165="CA",OR('CA Dashboard'!$C$4="All",'CA Dashboard'!$C$4=D165),OR('CA Dashboard'!$C$5="All",'CA Dashboard'!$C$5=G165),OR('CA Dashboard'!$C$6="All",'CA Dashboard'!$C$6=H165),OR('CA Dashboard'!$C$7="All",'CA Dashboard'!$C$7=F165),OR('CA Dashboard'!$C$8="All",'CA Dashboard'!$C$8=AJ165))</f>
        <v/>
      </c>
      <c r="AI165" s="148">
        <f>IF(AH165,AI164+1,AI164)</f>
        <v/>
      </c>
      <c r="AJ165" s="148" t="inlineStr">
        <is>
          <t>Direct</t>
        </is>
      </c>
      <c r="AK165" s="148" t="inlineStr">
        <is>
          <t>Same product (sheet set) in the same material family: Bamboo viscose (product page material: Bamboo, Bamboo Viscose); ours: our listing: viscose from bamboo.</t>
        </is>
      </c>
    </row>
    <row r="166">
      <c r="A166" s="148">
        <f>AND(E166="US",OR('US Dashboard'!$C$4="All",'US Dashboard'!$C$4=D166),OR('US Dashboard'!$C$5="All",'US Dashboard'!$C$5=G166),OR('US Dashboard'!$C$6="All",'US Dashboard'!$C$6=H166),OR('US Dashboard'!$C$7="All",'US Dashboard'!$C$7=F166),OR('US Dashboard'!$C$8="All",'US Dashboard'!$C$8=AJ166))</f>
        <v/>
      </c>
      <c r="B166" s="148">
        <f>IF(A166,B165+1,B165)</f>
        <v/>
      </c>
      <c r="C166" s="148" t="n">
        <v>32</v>
      </c>
      <c r="D166" s="148" t="inlineStr">
        <is>
          <t>SL B6</t>
        </is>
      </c>
      <c r="E166" s="148" t="inlineStr">
        <is>
          <t>US</t>
        </is>
      </c>
      <c r="F166" s="148" t="inlineStr">
        <is>
          <t>Bamboo</t>
        </is>
      </c>
      <c r="G166" s="148" t="inlineStr">
        <is>
          <t>JSD</t>
        </is>
      </c>
      <c r="H166" s="148" t="inlineStr">
        <is>
          <t>Poor</t>
        </is>
      </c>
      <c r="I166" s="148" t="inlineStr">
        <is>
          <t>JSD Sage Green 100% Viscose Derived from Bamboo Cooling Sheet Set Queen</t>
        </is>
      </c>
      <c r="J166" s="148" t="inlineStr">
        <is>
          <t>https://images-na.ssl-images-amazon.com/images/I/61imzycbiwL.jpg</t>
        </is>
      </c>
      <c r="K166" s="148" t="inlineStr">
        <is>
          <t>B0DTY15N29</t>
        </is>
      </c>
      <c r="L166" s="148" t="inlineStr">
        <is>
          <t>B0DSZTLBV1</t>
        </is>
      </c>
      <c r="M166" s="148" t="n">
        <v>32</v>
      </c>
      <c r="N166" s="148" t="n">
        <v>56.99</v>
      </c>
      <c r="O166" s="148" t="n"/>
      <c r="P166" s="148">
        <f>IF(AND(ISNUMBER(O166),ISNUMBER(N166),N(N166)&gt;0),O166/N166-1,"")</f>
        <v/>
      </c>
      <c r="Q166" s="148" t="n">
        <v>68.48999999999999</v>
      </c>
      <c r="R166" s="148">
        <f>IF(AND(ISNUMBER(N166),ISNUMBER(Q166),N(Q166)&gt;0),N166/Q166-1,"")</f>
        <v/>
      </c>
      <c r="S166" s="148" t="n">
        <v>76312</v>
      </c>
      <c r="T166" s="148" t="n">
        <v>18</v>
      </c>
      <c r="U166" s="148" t="n">
        <v>4.3</v>
      </c>
      <c r="V166" s="148" t="n">
        <v>281</v>
      </c>
      <c r="W166" s="148" t="n"/>
      <c r="X166" s="148" t="n"/>
      <c r="Y166" s="148" t="n"/>
      <c r="Z166" s="148" t="n"/>
      <c r="AA166" s="148" t="n"/>
      <c r="AB166" s="148" t="n"/>
      <c r="AC166" s="148" t="inlineStr">
        <is>
          <t>US SL B6</t>
        </is>
      </c>
      <c r="AD166" s="148">
        <f>'US SL B6'!BF145</f>
        <v/>
      </c>
      <c r="AE166" s="148">
        <f>'US SL B6'!BI145</f>
        <v/>
      </c>
      <c r="AF166" s="148" t="inlineStr">
        <is>
          <t>Queen</t>
        </is>
      </c>
      <c r="AG166" s="148" t="inlineStr">
        <is>
          <t>Green</t>
        </is>
      </c>
      <c r="AH166" s="148">
        <f>AND(E166="CA",OR('CA Dashboard'!$C$4="All",'CA Dashboard'!$C$4=D166),OR('CA Dashboard'!$C$5="All",'CA Dashboard'!$C$5=G166),OR('CA Dashboard'!$C$6="All",'CA Dashboard'!$C$6=H166),OR('CA Dashboard'!$C$7="All",'CA Dashboard'!$C$7=F166),OR('CA Dashboard'!$C$8="All",'CA Dashboard'!$C$8=AJ166))</f>
        <v/>
      </c>
      <c r="AI166" s="148">
        <f>IF(AH166,AI165+1,AI165)</f>
        <v/>
      </c>
      <c r="AJ166" s="148" t="inlineStr">
        <is>
          <t>Direct</t>
        </is>
      </c>
      <c r="AK166" s="148" t="inlineStr">
        <is>
          <t>Same product (sheet set) in the same material family: Bamboo viscose (title: JSD Sage Green 100% Viscose Derived from Bamboo Cooling Shee); ours: our listing: viscose from bamboo.</t>
        </is>
      </c>
    </row>
    <row r="167">
      <c r="A167" s="148">
        <f>AND(E167="US",OR('US Dashboard'!$C$4="All",'US Dashboard'!$C$4=D167),OR('US Dashboard'!$C$5="All",'US Dashboard'!$C$5=G167),OR('US Dashboard'!$C$6="All",'US Dashboard'!$C$6=H167),OR('US Dashboard'!$C$7="All",'US Dashboard'!$C$7=F167),OR('US Dashboard'!$C$8="All",'US Dashboard'!$C$8=AJ167))</f>
        <v/>
      </c>
      <c r="B167" s="148">
        <f>IF(A167,B166+1,B166)</f>
        <v/>
      </c>
      <c r="C167" s="148" t="n">
        <v>32</v>
      </c>
      <c r="D167" s="148" t="inlineStr">
        <is>
          <t>SL B6</t>
        </is>
      </c>
      <c r="E167" s="148" t="inlineStr">
        <is>
          <t>US</t>
        </is>
      </c>
      <c r="F167" s="148" t="inlineStr">
        <is>
          <t>Bamboo</t>
        </is>
      </c>
      <c r="G167" s="148" t="inlineStr">
        <is>
          <t>Kickoff Home</t>
        </is>
      </c>
      <c r="H167" s="148" t="inlineStr">
        <is>
          <t>Poor</t>
        </is>
      </c>
      <c r="I167" s="148" t="inlineStr">
        <is>
          <t>Bamboo Sheets</t>
        </is>
      </c>
      <c r="J167" s="148" t="inlineStr">
        <is>
          <t>https://images-na.ssl-images-amazon.com/images/I/71zrq2AtnUL.jpg</t>
        </is>
      </c>
      <c r="K167" s="148" t="inlineStr">
        <is>
          <t>B0D4KS4MVX</t>
        </is>
      </c>
      <c r="L167" s="148" t="inlineStr">
        <is>
          <t>B0CHN5ZPFH</t>
        </is>
      </c>
      <c r="M167" s="148" t="n">
        <v>106</v>
      </c>
      <c r="N167" s="148" t="n">
        <v>86.98999999999999</v>
      </c>
      <c r="O167" s="148" t="n">
        <v>84.98999999999999</v>
      </c>
      <c r="P167" s="148">
        <f>IF(AND(ISNUMBER(O167),ISNUMBER(N167),N(N167)&gt;0),O167/N167-1,"")</f>
        <v/>
      </c>
      <c r="Q167" s="148" t="n">
        <v>69.98999999999999</v>
      </c>
      <c r="R167" s="148">
        <f>IF(AND(ISNUMBER(N167),ISNUMBER(Q167),N(Q167)&gt;0),N167/Q167-1,"")</f>
        <v/>
      </c>
      <c r="S167" s="148" t="n">
        <v>23579</v>
      </c>
      <c r="T167" s="148" t="n">
        <v>18</v>
      </c>
      <c r="U167" s="148" t="n">
        <v>4.6</v>
      </c>
      <c r="V167" s="148" t="n">
        <v>688</v>
      </c>
      <c r="W167" s="148" t="n">
        <v>58169</v>
      </c>
      <c r="X167" s="148" t="n">
        <v>0.8765498702057799</v>
      </c>
      <c r="Y167" s="148" t="n">
        <v>54</v>
      </c>
      <c r="Z167" s="148" t="n">
        <v>236</v>
      </c>
      <c r="AA167" s="148" t="n">
        <v>117</v>
      </c>
      <c r="AB167" s="148" t="n"/>
      <c r="AC167" s="148" t="inlineStr">
        <is>
          <t>US SL B6</t>
        </is>
      </c>
      <c r="AD167" s="148">
        <f>'US SL B6'!BF146</f>
        <v/>
      </c>
      <c r="AE167" s="148">
        <f>'US SL B6'!BI146</f>
        <v/>
      </c>
      <c r="AF167" s="148" t="inlineStr">
        <is>
          <t>King</t>
        </is>
      </c>
      <c r="AG167" s="148" t="inlineStr">
        <is>
          <t>Sage Green</t>
        </is>
      </c>
      <c r="AH167" s="148">
        <f>AND(E167="CA",OR('CA Dashboard'!$C$4="All",'CA Dashboard'!$C$4=D167),OR('CA Dashboard'!$C$5="All",'CA Dashboard'!$C$5=G167),OR('CA Dashboard'!$C$6="All",'CA Dashboard'!$C$6=H167),OR('CA Dashboard'!$C$7="All",'CA Dashboard'!$C$7=F167),OR('CA Dashboard'!$C$8="All",'CA Dashboard'!$C$8=AJ167))</f>
        <v/>
      </c>
      <c r="AI167" s="148">
        <f>IF(AH167,AI166+1,AI166)</f>
        <v/>
      </c>
      <c r="AJ167" s="148" t="inlineStr">
        <is>
          <t>Direct</t>
        </is>
      </c>
      <c r="AK167" s="148" t="inlineStr">
        <is>
          <t>Same product (sheet set) in the same material family: Bamboo viscose (product page material: Viscose from Bamboo); ours: our listing: viscose from bamboo.</t>
        </is>
      </c>
    </row>
    <row r="168">
      <c r="A168" s="148">
        <f>AND(E168="US",OR('US Dashboard'!$C$4="All",'US Dashboard'!$C$4=D168),OR('US Dashboard'!$C$5="All",'US Dashboard'!$C$5=G168),OR('US Dashboard'!$C$6="All",'US Dashboard'!$C$6=H168),OR('US Dashboard'!$C$7="All",'US Dashboard'!$C$7=F168),OR('US Dashboard'!$C$8="All",'US Dashboard'!$C$8=AJ168))</f>
        <v/>
      </c>
      <c r="B168" s="148">
        <f>IF(A168,B167+1,B167)</f>
        <v/>
      </c>
      <c r="C168" s="148" t="n">
        <v>32</v>
      </c>
      <c r="D168" s="148" t="inlineStr">
        <is>
          <t>SL B6</t>
        </is>
      </c>
      <c r="E168" s="148" t="inlineStr">
        <is>
          <t>US</t>
        </is>
      </c>
      <c r="F168" s="148" t="inlineStr">
        <is>
          <t>Bamboo</t>
        </is>
      </c>
      <c r="G168" s="148" t="inlineStr">
        <is>
          <t>LB Luxury Bamboo Market</t>
        </is>
      </c>
      <c r="H168" s="148" t="inlineStr">
        <is>
          <t>Poor</t>
        </is>
      </c>
      <c r="I168" s="148" t="inlineStr">
        <is>
          <t>Bamboo Sheets</t>
        </is>
      </c>
      <c r="J168" s="148" t="inlineStr">
        <is>
          <t>https://m.media-amazon.com/images/I/81xjJeiirqL._AC_SL1500_.jpg</t>
        </is>
      </c>
      <c r="K168" s="148" t="inlineStr">
        <is>
          <t>B0D1HWHDL2</t>
        </is>
      </c>
      <c r="L168" s="148" t="inlineStr">
        <is>
          <t>B0CH7N9WVC</t>
        </is>
      </c>
      <c r="M168" s="148" t="n"/>
      <c r="N168" s="148" t="n">
        <v>129.94</v>
      </c>
      <c r="O168" s="148" t="n"/>
      <c r="P168" s="148">
        <f>IF(AND(ISNUMBER(O168),ISNUMBER(N168),N(N168)&gt;0),O168/N168-1,"")</f>
        <v/>
      </c>
      <c r="Q168" s="148" t="n">
        <v>68.48999999999999</v>
      </c>
      <c r="R168" s="148">
        <f>IF(AND(ISNUMBER(N168),ISNUMBER(Q168),N(Q168)&gt;0),N168/Q168-1,"")</f>
        <v/>
      </c>
      <c r="S168" s="148" t="n">
        <v>47800</v>
      </c>
      <c r="T168" s="148" t="n">
        <v>18</v>
      </c>
      <c r="U168" s="148" t="n">
        <v>4.5</v>
      </c>
      <c r="V168" s="148" t="n">
        <v>517</v>
      </c>
      <c r="W168" s="148" t="n"/>
      <c r="X168" s="148" t="n"/>
      <c r="Y168" s="148" t="n"/>
      <c r="Z168" s="148" t="n"/>
      <c r="AA168" s="148" t="n"/>
      <c r="AB168" s="148" t="n"/>
      <c r="AC168" s="148" t="inlineStr">
        <is>
          <t>US SL B6</t>
        </is>
      </c>
      <c r="AD168" s="148">
        <f>'US SL B6'!BF147</f>
        <v/>
      </c>
      <c r="AE168" s="148">
        <f>'US SL B6'!BI147</f>
        <v/>
      </c>
      <c r="AF168" s="148" t="inlineStr">
        <is>
          <t>Queen</t>
        </is>
      </c>
      <c r="AG168" s="148" t="inlineStr">
        <is>
          <t>Dune</t>
        </is>
      </c>
      <c r="AH168" s="148">
        <f>AND(E168="CA",OR('CA Dashboard'!$C$4="All",'CA Dashboard'!$C$4=D168),OR('CA Dashboard'!$C$5="All",'CA Dashboard'!$C$5=G168),OR('CA Dashboard'!$C$6="All",'CA Dashboard'!$C$6=H168),OR('CA Dashboard'!$C$7="All",'CA Dashboard'!$C$7=F168),OR('CA Dashboard'!$C$8="All",'CA Dashboard'!$C$8=AJ168))</f>
        <v/>
      </c>
      <c r="AI168" s="148">
        <f>IF(AH168,AI167+1,AI167)</f>
        <v/>
      </c>
      <c r="AJ168" s="148" t="inlineStr">
        <is>
          <t>Direct</t>
        </is>
      </c>
      <c r="AK168" s="148" t="inlineStr">
        <is>
          <t>Same product (sheet set) in the same material family: Bamboo viscose (product page material: Organically Grown Bamboo Viscose); ours: our listing: viscose from bamboo.</t>
        </is>
      </c>
    </row>
    <row r="169">
      <c r="A169" s="148">
        <f>AND(E169="US",OR('US Dashboard'!$C$4="All",'US Dashboard'!$C$4=D169),OR('US Dashboard'!$C$5="All",'US Dashboard'!$C$5=G169),OR('US Dashboard'!$C$6="All",'US Dashboard'!$C$6=H169),OR('US Dashboard'!$C$7="All",'US Dashboard'!$C$7=F169),OR('US Dashboard'!$C$8="All",'US Dashboard'!$C$8=AJ169))</f>
        <v/>
      </c>
      <c r="B169" s="148">
        <f>IF(A169,B168+1,B168)</f>
        <v/>
      </c>
      <c r="C169" s="148" t="n">
        <v>32</v>
      </c>
      <c r="D169" s="148" t="inlineStr">
        <is>
          <t>SL B6</t>
        </is>
      </c>
      <c r="E169" s="148" t="inlineStr">
        <is>
          <t>US</t>
        </is>
      </c>
      <c r="F169" s="148" t="inlineStr">
        <is>
          <t>Bamboo</t>
        </is>
      </c>
      <c r="G169" s="148" t="inlineStr">
        <is>
          <t>Shilucheng</t>
        </is>
      </c>
      <c r="H169" s="148" t="inlineStr">
        <is>
          <t>Poor</t>
        </is>
      </c>
      <c r="I169" s="148" t="inlineStr">
        <is>
          <t>Shilucheng 100% Viscose Derived from Bamboo_Sheets, Extra Deep Pocket</t>
        </is>
      </c>
      <c r="J169" s="148" t="inlineStr">
        <is>
          <t>https://images-na.ssl-images-amazon.com/images/I/71NxE1i+4jL.jpg</t>
        </is>
      </c>
      <c r="K169" s="148" t="inlineStr">
        <is>
          <t>B0HJVD7X1R</t>
        </is>
      </c>
      <c r="L169" s="148" t="inlineStr">
        <is>
          <t>B0F2TBWTZR</t>
        </is>
      </c>
      <c r="M169" s="148" t="n">
        <v>32</v>
      </c>
      <c r="N169" s="148" t="n">
        <v>69.98999999999999</v>
      </c>
      <c r="O169" s="148" t="n">
        <v>84.98999999999999</v>
      </c>
      <c r="P169" s="148">
        <f>IF(AND(ISNUMBER(O169),ISNUMBER(N169),N(N169)&gt;0),O169/N169-1,"")</f>
        <v/>
      </c>
      <c r="Q169" s="148" t="n">
        <v>69.98999999999999</v>
      </c>
      <c r="R169" s="148">
        <f>IF(AND(ISNUMBER(N169),ISNUMBER(Q169),N(Q169)&gt;0),N169/Q169-1,"")</f>
        <v/>
      </c>
      <c r="S169" s="148" t="n">
        <v>39194</v>
      </c>
      <c r="T169" s="148" t="n">
        <v>18</v>
      </c>
      <c r="U169" s="148" t="n">
        <v>4.5</v>
      </c>
      <c r="V169" s="148" t="n">
        <v>1639</v>
      </c>
      <c r="W169" s="148" t="n"/>
      <c r="X169" s="148" t="n"/>
      <c r="Y169" s="148" t="n"/>
      <c r="Z169" s="148" t="n"/>
      <c r="AA169" s="148" t="n"/>
      <c r="AB169" s="148" t="n"/>
      <c r="AC169" s="148" t="inlineStr">
        <is>
          <t>US SL B6</t>
        </is>
      </c>
      <c r="AD169" s="148">
        <f>'US SL B6'!BF148</f>
        <v/>
      </c>
      <c r="AE169" s="148">
        <f>'US SL B6'!BI148</f>
        <v/>
      </c>
      <c r="AF169" s="148" t="inlineStr">
        <is>
          <t>King</t>
        </is>
      </c>
      <c r="AG169" s="148" t="inlineStr">
        <is>
          <t>Dark Grey</t>
        </is>
      </c>
      <c r="AH169" s="148">
        <f>AND(E169="CA",OR('CA Dashboard'!$C$4="All",'CA Dashboard'!$C$4=D169),OR('CA Dashboard'!$C$5="All",'CA Dashboard'!$C$5=G169),OR('CA Dashboard'!$C$6="All",'CA Dashboard'!$C$6=H169),OR('CA Dashboard'!$C$7="All",'CA Dashboard'!$C$7=F169),OR('CA Dashboard'!$C$8="All",'CA Dashboard'!$C$8=AJ169))</f>
        <v/>
      </c>
      <c r="AI169" s="148">
        <f>IF(AH169,AI168+1,AI168)</f>
        <v/>
      </c>
      <c r="AJ169" s="148" t="inlineStr">
        <is>
          <t>Direct</t>
        </is>
      </c>
      <c r="AK169" s="148" t="inlineStr">
        <is>
          <t>Same product (sheet set) in the same material family: Bamboo viscose (product page material: Rayon Derived from Bamboo); ours: our listing: viscose from bamboo.</t>
        </is>
      </c>
    </row>
    <row r="170">
      <c r="A170" s="148">
        <f>AND(E170="US",OR('US Dashboard'!$C$4="All",'US Dashboard'!$C$4=D170),OR('US Dashboard'!$C$5="All",'US Dashboard'!$C$5=G170),OR('US Dashboard'!$C$6="All",'US Dashboard'!$C$6=H170),OR('US Dashboard'!$C$7="All",'US Dashboard'!$C$7=F170),OR('US Dashboard'!$C$8="All",'US Dashboard'!$C$8=AJ170))</f>
        <v/>
      </c>
      <c r="B170" s="148">
        <f>IF(A170,B169+1,B169)</f>
        <v/>
      </c>
      <c r="C170" s="148" t="n">
        <v>32</v>
      </c>
      <c r="D170" s="148" t="inlineStr">
        <is>
          <t>SL B6</t>
        </is>
      </c>
      <c r="E170" s="148" t="inlineStr">
        <is>
          <t>US</t>
        </is>
      </c>
      <c r="F170" s="148" t="inlineStr">
        <is>
          <t>Bamboo</t>
        </is>
      </c>
      <c r="G170" s="148" t="inlineStr">
        <is>
          <t>Bamboo Bay</t>
        </is>
      </c>
      <c r="H170" s="148" t="inlineStr">
        <is>
          <t>Poor</t>
        </is>
      </c>
      <c r="I170" s="148" t="inlineStr">
        <is>
          <t>Bamboo Sheets</t>
        </is>
      </c>
      <c r="J170" s="148" t="inlineStr">
        <is>
          <t>https://m.media-amazon.com/images/I/61YnWQV27EL._AC_SL1024_.jpg</t>
        </is>
      </c>
      <c r="K170" s="148" t="inlineStr">
        <is>
          <t>B0DLF1SWJ5</t>
        </is>
      </c>
      <c r="L170" s="148" t="inlineStr">
        <is>
          <t>B07TBHLZJM</t>
        </is>
      </c>
      <c r="M170" s="148" t="n"/>
      <c r="N170" s="148" t="n">
        <v>79.98</v>
      </c>
      <c r="O170" s="148" t="n"/>
      <c r="P170" s="148">
        <f>IF(AND(ISNUMBER(O170),ISNUMBER(N170),N(N170)&gt;0),O170/N170-1,"")</f>
        <v/>
      </c>
      <c r="Q170" s="148" t="n">
        <v>68.48999999999999</v>
      </c>
      <c r="R170" s="148">
        <f>IF(AND(ISNUMBER(N170),ISNUMBER(Q170),N(Q170)&gt;0),N170/Q170-1,"")</f>
        <v/>
      </c>
      <c r="S170" s="148" t="n">
        <v>131083</v>
      </c>
      <c r="T170" s="148" t="n">
        <v>5</v>
      </c>
      <c r="U170" s="148" t="n">
        <v>4.5</v>
      </c>
      <c r="V170" s="148" t="n">
        <v>2691</v>
      </c>
      <c r="W170" s="148" t="n"/>
      <c r="X170" s="148" t="n"/>
      <c r="Y170" s="148" t="n"/>
      <c r="Z170" s="148" t="n"/>
      <c r="AA170" s="148" t="n"/>
      <c r="AB170" s="148" t="n"/>
      <c r="AC170" s="148" t="inlineStr">
        <is>
          <t>US SL B6</t>
        </is>
      </c>
      <c r="AD170" s="148">
        <f>'US SL B6'!BF149</f>
        <v/>
      </c>
      <c r="AE170" s="148">
        <f>'US SL B6'!BI149</f>
        <v/>
      </c>
      <c r="AF170" s="148" t="inlineStr">
        <is>
          <t>Queen</t>
        </is>
      </c>
      <c r="AG170" s="148" t="inlineStr">
        <is>
          <t>04 - Light Grey</t>
        </is>
      </c>
      <c r="AH170" s="148">
        <f>AND(E170="CA",OR('CA Dashboard'!$C$4="All",'CA Dashboard'!$C$4=D170),OR('CA Dashboard'!$C$5="All",'CA Dashboard'!$C$5=G170),OR('CA Dashboard'!$C$6="All",'CA Dashboard'!$C$6=H170),OR('CA Dashboard'!$C$7="All",'CA Dashboard'!$C$7=F170),OR('CA Dashboard'!$C$8="All",'CA Dashboard'!$C$8=AJ170))</f>
        <v/>
      </c>
      <c r="AI170" s="148">
        <f>IF(AH170,AI169+1,AI169)</f>
        <v/>
      </c>
      <c r="AJ170" s="148" t="inlineStr">
        <is>
          <t>Direct</t>
        </is>
      </c>
      <c r="AK170" s="148" t="inlineStr">
        <is>
          <t>Same product (sheet set) in the same material family: Bamboo viscose (product page material: Viscose Made from Bamboo); ours: our listing: viscose from bamboo.</t>
        </is>
      </c>
    </row>
    <row r="171">
      <c r="A171" s="148">
        <f>AND(E171="US",OR('US Dashboard'!$C$4="All",'US Dashboard'!$C$4=D171),OR('US Dashboard'!$C$5="All",'US Dashboard'!$C$5=G171),OR('US Dashboard'!$C$6="All",'US Dashboard'!$C$6=H171),OR('US Dashboard'!$C$7="All",'US Dashboard'!$C$7=F171),OR('US Dashboard'!$C$8="All",'US Dashboard'!$C$8=AJ171))</f>
        <v/>
      </c>
      <c r="B171" s="148">
        <f>IF(A171,B170+1,B170)</f>
        <v/>
      </c>
      <c r="C171" s="148" t="n">
        <v>32</v>
      </c>
      <c r="D171" s="148" t="inlineStr">
        <is>
          <t>SL B6</t>
        </is>
      </c>
      <c r="E171" s="148" t="inlineStr">
        <is>
          <t>US</t>
        </is>
      </c>
      <c r="F171" s="148" t="inlineStr">
        <is>
          <t>Bamboo</t>
        </is>
      </c>
      <c r="G171" s="148" t="inlineStr">
        <is>
          <t>LBRO2M</t>
        </is>
      </c>
      <c r="H171" s="148" t="inlineStr">
        <is>
          <t>Poor</t>
        </is>
      </c>
      <c r="I171" s="148" t="inlineStr">
        <is>
          <t>LBRO2M Cooling Bed Sheet 100% Viscose Derived from Bamboo Sheet Set Queen Size 6</t>
        </is>
      </c>
      <c r="J171" s="148" t="inlineStr">
        <is>
          <t>https://m.media-amazon.com/images/I/61se+-YHOaL._AC_SL1500_.jpg</t>
        </is>
      </c>
      <c r="K171" s="148" t="inlineStr">
        <is>
          <t>B0F9FK3L6J</t>
        </is>
      </c>
      <c r="L171" s="148" t="inlineStr">
        <is>
          <t>B0F9FK7SMW</t>
        </is>
      </c>
      <c r="M171" s="148" t="n"/>
      <c r="N171" s="148" t="n">
        <v>94.98999999999999</v>
      </c>
      <c r="O171" s="148" t="n"/>
      <c r="P171" s="148">
        <f>IF(AND(ISNUMBER(O171),ISNUMBER(N171),N(N171)&gt;0),O171/N171-1,"")</f>
        <v/>
      </c>
      <c r="Q171" s="148" t="n">
        <v>69.98999999999999</v>
      </c>
      <c r="R171" s="148">
        <f>IF(AND(ISNUMBER(N171),ISNUMBER(Q171),N(Q171)&gt;0),N171/Q171-1,"")</f>
        <v/>
      </c>
      <c r="S171" s="148" t="n">
        <v>1003118</v>
      </c>
      <c r="T171" s="148" t="n">
        <v>5</v>
      </c>
      <c r="U171" s="148" t="n">
        <v>4.4</v>
      </c>
      <c r="V171" s="148" t="n">
        <v>18</v>
      </c>
      <c r="W171" s="148" t="n"/>
      <c r="X171" s="148" t="n"/>
      <c r="Y171" s="148" t="n"/>
      <c r="Z171" s="148" t="n"/>
      <c r="AA171" s="148" t="n"/>
      <c r="AB171" s="148" t="n"/>
      <c r="AC171" s="148" t="inlineStr">
        <is>
          <t>US SL B6</t>
        </is>
      </c>
      <c r="AD171" s="148">
        <f>'US SL B6'!BF150</f>
        <v/>
      </c>
      <c r="AE171" s="148">
        <f>'US SL B6'!BI150</f>
        <v/>
      </c>
      <c r="AF171" s="148" t="inlineStr">
        <is>
          <t>King 6 Pcs</t>
        </is>
      </c>
      <c r="AG171" s="148" t="inlineStr">
        <is>
          <t>White</t>
        </is>
      </c>
      <c r="AH171" s="148">
        <f>AND(E171="CA",OR('CA Dashboard'!$C$4="All",'CA Dashboard'!$C$4=D171),OR('CA Dashboard'!$C$5="All",'CA Dashboard'!$C$5=G171),OR('CA Dashboard'!$C$6="All",'CA Dashboard'!$C$6=H171),OR('CA Dashboard'!$C$7="All",'CA Dashboard'!$C$7=F171),OR('CA Dashboard'!$C$8="All",'CA Dashboard'!$C$8=AJ171))</f>
        <v/>
      </c>
      <c r="AI171" s="148">
        <f>IF(AH171,AI170+1,AI170)</f>
        <v/>
      </c>
      <c r="AJ171" s="148" t="inlineStr">
        <is>
          <t>Direct</t>
        </is>
      </c>
      <c r="AK171" s="148" t="inlineStr">
        <is>
          <t>Same product (sheet set) in the same material family: Bamboo viscose (product page material: Viscose Derived from Bamboo); ours: our listing: viscose from bamboo.</t>
        </is>
      </c>
    </row>
    <row r="172">
      <c r="A172" s="148">
        <f>AND(E172="US",OR('US Dashboard'!$C$4="All",'US Dashboard'!$C$4=D172),OR('US Dashboard'!$C$5="All",'US Dashboard'!$C$5=G172),OR('US Dashboard'!$C$6="All",'US Dashboard'!$C$6=H172),OR('US Dashboard'!$C$7="All",'US Dashboard'!$C$7=F172),OR('US Dashboard'!$C$8="All",'US Dashboard'!$C$8=AJ172))</f>
        <v/>
      </c>
      <c r="B172" s="148">
        <f>IF(A172,B171+1,B171)</f>
        <v/>
      </c>
      <c r="C172" s="148" t="n">
        <v>32</v>
      </c>
      <c r="D172" s="148" t="inlineStr">
        <is>
          <t>SL B6</t>
        </is>
      </c>
      <c r="E172" s="148" t="inlineStr">
        <is>
          <t>US</t>
        </is>
      </c>
      <c r="F172" s="148" t="inlineStr">
        <is>
          <t>Bamboo</t>
        </is>
      </c>
      <c r="G172" s="148" t="inlineStr">
        <is>
          <t>TWK</t>
        </is>
      </c>
      <c r="H172" s="148" t="inlineStr">
        <is>
          <t>Poor</t>
        </is>
      </c>
      <c r="I172" s="148" t="inlineStr">
        <is>
          <t>TWK Luxury Sheet Set, Genuine 100% Organic Viscose Derived from Bamboo, Cooling &amp; Breathable, Silky Soft, Bedding Sheets &amp; Pillowcases (Mist Gray, King)</t>
        </is>
      </c>
      <c r="J172" s="148" t="inlineStr">
        <is>
          <t>https://images-na.ssl-images-amazon.com/images/I/71gw0WpuNuL.jpg</t>
        </is>
      </c>
      <c r="K172" s="148" t="inlineStr">
        <is>
          <t>B0DYT2QWLC</t>
        </is>
      </c>
      <c r="L172" s="148" t="inlineStr">
        <is>
          <t>B0DYT2QWLC</t>
        </is>
      </c>
      <c r="M172" s="148" t="n">
        <v>1</v>
      </c>
      <c r="N172" s="148" t="n">
        <v>109.99</v>
      </c>
      <c r="O172" s="148" t="n"/>
      <c r="P172" s="148">
        <f>IF(AND(ISNUMBER(O172),ISNUMBER(N172),N(N172)&gt;0),O172/N172-1,"")</f>
        <v/>
      </c>
      <c r="Q172" s="148" t="n">
        <v>69.98999999999999</v>
      </c>
      <c r="R172" s="148">
        <f>IF(AND(ISNUMBER(N172),ISNUMBER(Q172),N(Q172)&gt;0),N172/Q172-1,"")</f>
        <v/>
      </c>
      <c r="S172" s="148" t="n">
        <v>1506045</v>
      </c>
      <c r="T172" s="148" t="n">
        <v>5</v>
      </c>
      <c r="U172" s="148" t="n">
        <v>4.5</v>
      </c>
      <c r="V172" s="148" t="n">
        <v>39</v>
      </c>
      <c r="W172" s="148" t="n"/>
      <c r="X172" s="148" t="n"/>
      <c r="Y172" s="148" t="n"/>
      <c r="Z172" s="148" t="n"/>
      <c r="AA172" s="148" t="n"/>
      <c r="AB172" s="148" t="n"/>
      <c r="AC172" s="148" t="inlineStr">
        <is>
          <t>US SL B6</t>
        </is>
      </c>
      <c r="AD172" s="148">
        <f>'US SL B6'!BF151</f>
        <v/>
      </c>
      <c r="AE172" s="148">
        <f>'US SL B6'!BI151</f>
        <v/>
      </c>
      <c r="AF172" s="148" t="inlineStr">
        <is>
          <t>King</t>
        </is>
      </c>
      <c r="AG172" s="148" t="inlineStr">
        <is>
          <t>Mist Gray</t>
        </is>
      </c>
      <c r="AH172" s="148">
        <f>AND(E172="CA",OR('CA Dashboard'!$C$4="All",'CA Dashboard'!$C$4=D172),OR('CA Dashboard'!$C$5="All",'CA Dashboard'!$C$5=G172),OR('CA Dashboard'!$C$6="All",'CA Dashboard'!$C$6=H172),OR('CA Dashboard'!$C$7="All",'CA Dashboard'!$C$7=F172),OR('CA Dashboard'!$C$8="All",'CA Dashboard'!$C$8=AJ172))</f>
        <v/>
      </c>
      <c r="AI172" s="148">
        <f>IF(AH172,AI171+1,AI171)</f>
        <v/>
      </c>
      <c r="AJ172" s="148" t="inlineStr">
        <is>
          <t>Direct</t>
        </is>
      </c>
      <c r="AK172" s="148" t="inlineStr">
        <is>
          <t>Same product (sheet set) in the same material family: Bamboo viscose (title: TWK Luxury Sheet Set, Genuine 100% Organic Viscose Derived f); ours: our listing: viscose from bamboo.</t>
        </is>
      </c>
    </row>
    <row r="173">
      <c r="A173" s="148">
        <f>AND(E173="US",OR('US Dashboard'!$C$4="All",'US Dashboard'!$C$4=D173),OR('US Dashboard'!$C$5="All",'US Dashboard'!$C$5=G173),OR('US Dashboard'!$C$6="All",'US Dashboard'!$C$6=H173),OR('US Dashboard'!$C$7="All",'US Dashboard'!$C$7=F173),OR('US Dashboard'!$C$8="All",'US Dashboard'!$C$8=AJ173))</f>
        <v/>
      </c>
      <c r="B173" s="148">
        <f>IF(A173,B172+1,B172)</f>
        <v/>
      </c>
      <c r="C173" s="148" t="n">
        <v>32</v>
      </c>
      <c r="D173" s="148" t="inlineStr">
        <is>
          <t>SL B6</t>
        </is>
      </c>
      <c r="E173" s="148" t="inlineStr">
        <is>
          <t>US</t>
        </is>
      </c>
      <c r="F173" s="148" t="inlineStr">
        <is>
          <t>Bamboo</t>
        </is>
      </c>
      <c r="G173" s="148" t="inlineStr">
        <is>
          <t>TWK</t>
        </is>
      </c>
      <c r="H173" s="148" t="inlineStr">
        <is>
          <t>Poor</t>
        </is>
      </c>
      <c r="I173" s="148" t="inlineStr">
        <is>
          <t>TWK Luxury Sheet Set, Genuine 100% Viscose Derived from Bamboo, Cooling &amp; Breathable, Silky Soft, Bedding Sheets &amp; Pillowcases (White, King(78 * 80 * 15))</t>
        </is>
      </c>
      <c r="J173" s="148" t="inlineStr">
        <is>
          <t>https://images-na.ssl-images-amazon.com/images/I/71YlZk0Q9-L.jpg</t>
        </is>
      </c>
      <c r="K173" s="148" t="inlineStr">
        <is>
          <t>B0GVP3B7LS</t>
        </is>
      </c>
      <c r="L173" s="148" t="inlineStr">
        <is>
          <t>B0GVP3B7LS</t>
        </is>
      </c>
      <c r="M173" s="148" t="n">
        <v>1</v>
      </c>
      <c r="N173" s="148" t="n">
        <v>46.74</v>
      </c>
      <c r="O173" s="148" t="n"/>
      <c r="P173" s="148">
        <f>IF(AND(ISNUMBER(O173),ISNUMBER(N173),N(N173)&gt;0),O173/N173-1,"")</f>
        <v/>
      </c>
      <c r="Q173" s="148" t="n">
        <v>69.98999999999999</v>
      </c>
      <c r="R173" s="148">
        <f>IF(AND(ISNUMBER(N173),ISNUMBER(Q173),N(Q173)&gt;0),N173/Q173-1,"")</f>
        <v/>
      </c>
      <c r="S173" s="148" t="n">
        <v>2065761</v>
      </c>
      <c r="T173" s="148" t="n">
        <v>5</v>
      </c>
      <c r="U173" s="148" t="n">
        <v>4.5</v>
      </c>
      <c r="V173" s="148" t="n">
        <v>11</v>
      </c>
      <c r="W173" s="148" t="n"/>
      <c r="X173" s="148" t="n"/>
      <c r="Y173" s="148" t="n"/>
      <c r="Z173" s="148" t="n"/>
      <c r="AA173" s="148" t="n"/>
      <c r="AB173" s="148" t="n"/>
      <c r="AC173" s="148" t="inlineStr">
        <is>
          <t>US SL B6</t>
        </is>
      </c>
      <c r="AD173" s="148">
        <f>'US SL B6'!BF152</f>
        <v/>
      </c>
      <c r="AE173" s="148">
        <f>'US SL B6'!BI152</f>
        <v/>
      </c>
      <c r="AF173" s="148" t="inlineStr">
        <is>
          <t>King</t>
        </is>
      </c>
      <c r="AG173" s="148" t="inlineStr">
        <is>
          <t>White</t>
        </is>
      </c>
      <c r="AH173" s="148">
        <f>AND(E173="CA",OR('CA Dashboard'!$C$4="All",'CA Dashboard'!$C$4=D173),OR('CA Dashboard'!$C$5="All",'CA Dashboard'!$C$5=G173),OR('CA Dashboard'!$C$6="All",'CA Dashboard'!$C$6=H173),OR('CA Dashboard'!$C$7="All",'CA Dashboard'!$C$7=F173),OR('CA Dashboard'!$C$8="All",'CA Dashboard'!$C$8=AJ173))</f>
        <v/>
      </c>
      <c r="AI173" s="148">
        <f>IF(AH173,AI172+1,AI172)</f>
        <v/>
      </c>
      <c r="AJ173" s="148" t="inlineStr">
        <is>
          <t>Direct</t>
        </is>
      </c>
      <c r="AK173" s="148" t="inlineStr">
        <is>
          <t>Same product (sheet set) in the same material family: Bamboo viscose (title: TWK Luxury Sheet Set, Genuine 100% Viscose Derived from Bamb); ours: our listing: viscose from bamboo.</t>
        </is>
      </c>
    </row>
    <row r="174">
      <c r="A174" s="148">
        <f>AND(E174="US",OR('US Dashboard'!$C$4="All",'US Dashboard'!$C$4=D174),OR('US Dashboard'!$C$5="All",'US Dashboard'!$C$5=G174),OR('US Dashboard'!$C$6="All",'US Dashboard'!$C$6=H174),OR('US Dashboard'!$C$7="All",'US Dashboard'!$C$7=F174),OR('US Dashboard'!$C$8="All",'US Dashboard'!$C$8=AJ174))</f>
        <v/>
      </c>
      <c r="B174" s="148">
        <f>IF(A174,B173+1,B173)</f>
        <v/>
      </c>
      <c r="C174" s="148" t="n">
        <v>32</v>
      </c>
      <c r="D174" s="148" t="inlineStr">
        <is>
          <t>SL B6</t>
        </is>
      </c>
      <c r="E174" s="148" t="inlineStr">
        <is>
          <t>US</t>
        </is>
      </c>
      <c r="F174" s="148" t="inlineStr">
        <is>
          <t>Bamboo</t>
        </is>
      </c>
      <c r="G174" s="148" t="inlineStr">
        <is>
          <t>TWK</t>
        </is>
      </c>
      <c r="H174" s="148" t="inlineStr">
        <is>
          <t>Poor</t>
        </is>
      </c>
      <c r="I174" s="148" t="inlineStr">
        <is>
          <t>4 Piece Bamboo Sheet Set</t>
        </is>
      </c>
      <c r="J174" s="148" t="inlineStr">
        <is>
          <t>https://m.media-amazon.com/images/I/61cLtklNnOL._AC_SL1486_.jpg</t>
        </is>
      </c>
      <c r="K174" s="148" t="inlineStr">
        <is>
          <t>B0GW7H7RHY</t>
        </is>
      </c>
      <c r="L174" s="148" t="inlineStr">
        <is>
          <t>B0GW7H7RHY</t>
        </is>
      </c>
      <c r="M174" s="148" t="n"/>
      <c r="N174" s="148" t="n">
        <v>109.99</v>
      </c>
      <c r="O174" s="148" t="n"/>
      <c r="P174" s="148">
        <f>IF(AND(ISNUMBER(O174),ISNUMBER(N174),N(N174)&gt;0),O174/N174-1,"")</f>
        <v/>
      </c>
      <c r="Q174" s="148" t="n">
        <v>69.98999999999999</v>
      </c>
      <c r="R174" s="148">
        <f>IF(AND(ISNUMBER(N174),ISNUMBER(Q174),N(Q174)&gt;0),N174/Q174-1,"")</f>
        <v/>
      </c>
      <c r="S174" s="148" t="n">
        <v>4355899</v>
      </c>
      <c r="T174" s="148" t="n">
        <v>5</v>
      </c>
      <c r="U174" s="148" t="n">
        <v>4.5</v>
      </c>
      <c r="V174" s="148" t="n">
        <v>2</v>
      </c>
      <c r="W174" s="148" t="n"/>
      <c r="X174" s="148" t="n"/>
      <c r="Y174" s="148" t="n"/>
      <c r="Z174" s="148" t="n"/>
      <c r="AA174" s="148" t="n"/>
      <c r="AB174" s="148" t="n"/>
      <c r="AC174" s="148" t="inlineStr">
        <is>
          <t>US SL B6</t>
        </is>
      </c>
      <c r="AD174" s="148">
        <f>'US SL B6'!BF153</f>
        <v/>
      </c>
      <c r="AE174" s="148">
        <f>'US SL B6'!BI153</f>
        <v/>
      </c>
      <c r="AF174" s="148" t="inlineStr">
        <is>
          <t>King</t>
        </is>
      </c>
      <c r="AG174" s="148" t="inlineStr">
        <is>
          <t>Sand</t>
        </is>
      </c>
      <c r="AH174" s="148">
        <f>AND(E174="CA",OR('CA Dashboard'!$C$4="All",'CA Dashboard'!$C$4=D174),OR('CA Dashboard'!$C$5="All",'CA Dashboard'!$C$5=G174),OR('CA Dashboard'!$C$6="All",'CA Dashboard'!$C$6=H174),OR('CA Dashboard'!$C$7="All",'CA Dashboard'!$C$7=F174),OR('CA Dashboard'!$C$8="All",'CA Dashboard'!$C$8=AJ174))</f>
        <v/>
      </c>
      <c r="AI174" s="148">
        <f>IF(AH174,AI173+1,AI173)</f>
        <v/>
      </c>
      <c r="AJ174" s="148" t="inlineStr">
        <is>
          <t>Direct</t>
        </is>
      </c>
      <c r="AK174" s="148" t="inlineStr">
        <is>
          <t>Same product (sheet set) in the same material family: Bamboo viscose (product page material: Genuine 100% Organic Viscose Derived from Bamboo); ours: our listing: viscose from bamboo.</t>
        </is>
      </c>
    </row>
    <row r="175">
      <c r="A175" s="148">
        <f>AND(E175="US",OR('US Dashboard'!$C$4="All",'US Dashboard'!$C$4=D175),OR('US Dashboard'!$C$5="All",'US Dashboard'!$C$5=G175),OR('US Dashboard'!$C$6="All",'US Dashboard'!$C$6=H175),OR('US Dashboard'!$C$7="All",'US Dashboard'!$C$7=F175),OR('US Dashboard'!$C$8="All",'US Dashboard'!$C$8=AJ175))</f>
        <v/>
      </c>
      <c r="B175" s="148">
        <f>IF(A175,B174+1,B174)</f>
        <v/>
      </c>
      <c r="C175" s="148" t="n">
        <v>32</v>
      </c>
      <c r="D175" s="148" t="inlineStr">
        <is>
          <t>SL B6</t>
        </is>
      </c>
      <c r="E175" s="148" t="inlineStr">
        <is>
          <t>US</t>
        </is>
      </c>
      <c r="F175" s="148" t="inlineStr">
        <is>
          <t>Bamboo</t>
        </is>
      </c>
      <c r="G175" s="148" t="inlineStr">
        <is>
          <t>Vesta</t>
        </is>
      </c>
      <c r="H175" s="148" t="inlineStr">
        <is>
          <t>Poor</t>
        </is>
      </c>
      <c r="I175" s="148" t="inlineStr">
        <is>
          <t>Vesta Sheet Set – Soft, Breathable &amp; Cooling, 100% Viscose Derived from Bamboo,</t>
        </is>
      </c>
      <c r="J175" s="148" t="inlineStr">
        <is>
          <t>https://m.media-amazon.com/images/I/619JGLN3FDL._AC_SL1080_.jpg</t>
        </is>
      </c>
      <c r="K175" s="148" t="inlineStr">
        <is>
          <t>B0CZRJY68B</t>
        </is>
      </c>
      <c r="L175" s="148" t="inlineStr">
        <is>
          <t>B0DM214YG3</t>
        </is>
      </c>
      <c r="M175" s="148" t="n"/>
      <c r="N175" s="148" t="n">
        <v>174.3</v>
      </c>
      <c r="O175" s="148" t="n"/>
      <c r="P175" s="148">
        <f>IF(AND(ISNUMBER(O175),ISNUMBER(N175),N(N175)&gt;0),O175/N175-1,"")</f>
        <v/>
      </c>
      <c r="Q175" s="148" t="n">
        <v>69.98999999999999</v>
      </c>
      <c r="R175" s="148">
        <f>IF(AND(ISNUMBER(N175),ISNUMBER(Q175),N(Q175)&gt;0),N175/Q175-1,"")</f>
        <v/>
      </c>
      <c r="S175" s="148" t="n">
        <v>591414</v>
      </c>
      <c r="T175" s="148" t="n">
        <v>5</v>
      </c>
      <c r="U175" s="148" t="n">
        <v>4.3</v>
      </c>
      <c r="V175" s="148" t="n">
        <v>35</v>
      </c>
      <c r="W175" s="148" t="n"/>
      <c r="X175" s="148" t="n"/>
      <c r="Y175" s="148" t="n"/>
      <c r="Z175" s="148" t="n"/>
      <c r="AA175" s="148" t="n"/>
      <c r="AB175" s="148" t="n"/>
      <c r="AC175" s="148" t="inlineStr">
        <is>
          <t>US SL B6</t>
        </is>
      </c>
      <c r="AD175" s="148">
        <f>'US SL B6'!BF154</f>
        <v/>
      </c>
      <c r="AE175" s="148">
        <f>'US SL B6'!BI154</f>
        <v/>
      </c>
      <c r="AF175" s="148" t="inlineStr">
        <is>
          <t>King/Cali King</t>
        </is>
      </c>
      <c r="AG175" s="148" t="inlineStr">
        <is>
          <t>Terra Cotta</t>
        </is>
      </c>
      <c r="AH175" s="148">
        <f>AND(E175="CA",OR('CA Dashboard'!$C$4="All",'CA Dashboard'!$C$4=D175),OR('CA Dashboard'!$C$5="All",'CA Dashboard'!$C$5=G175),OR('CA Dashboard'!$C$6="All",'CA Dashboard'!$C$6=H175),OR('CA Dashboard'!$C$7="All",'CA Dashboard'!$C$7=F175),OR('CA Dashboard'!$C$8="All",'CA Dashboard'!$C$8=AJ175))</f>
        <v/>
      </c>
      <c r="AI175" s="148">
        <f>IF(AH175,AI174+1,AI174)</f>
        <v/>
      </c>
      <c r="AJ175" s="148" t="inlineStr">
        <is>
          <t>Direct</t>
        </is>
      </c>
      <c r="AK175" s="148" t="inlineStr">
        <is>
          <t>Same product (sheet set) in the same material family: Bamboo viscose (product page material: viscose from bamboo); ours: our listing: viscose from bamboo.</t>
        </is>
      </c>
    </row>
    <row r="176">
      <c r="A176" s="148">
        <f>AND(E176="US",OR('US Dashboard'!$C$4="All",'US Dashboard'!$C$4=D176),OR('US Dashboard'!$C$5="All",'US Dashboard'!$C$5=G176),OR('US Dashboard'!$C$6="All",'US Dashboard'!$C$6=H176),OR('US Dashboard'!$C$7="All",'US Dashboard'!$C$7=F176),OR('US Dashboard'!$C$8="All",'US Dashboard'!$C$8=AJ176))</f>
        <v/>
      </c>
      <c r="B176" s="148">
        <f>IF(A176,B175+1,B175)</f>
        <v/>
      </c>
      <c r="C176" s="148" t="n">
        <v>32</v>
      </c>
      <c r="D176" s="148" t="inlineStr">
        <is>
          <t>SL B6</t>
        </is>
      </c>
      <c r="E176" s="148" t="inlineStr">
        <is>
          <t>US</t>
        </is>
      </c>
      <c r="F176" s="148" t="inlineStr">
        <is>
          <t>Bamboo</t>
        </is>
      </c>
      <c r="G176" s="148" t="inlineStr">
        <is>
          <t>ACCURATEX</t>
        </is>
      </c>
      <c r="H176" s="148" t="inlineStr">
        <is>
          <t>Poor</t>
        </is>
      </c>
      <c r="I176" s="148" t="inlineStr">
        <is>
          <t>ACCURATEX Cooling Sheets for Hot Sleepers, King Size, Grey</t>
        </is>
      </c>
      <c r="J176" s="148" t="inlineStr">
        <is>
          <t>https://images-na.ssl-images-amazon.com/images/I/81fSDKgL-SL.jpg</t>
        </is>
      </c>
      <c r="K176" s="148" t="inlineStr">
        <is>
          <t>B0GMGSMLQ1</t>
        </is>
      </c>
      <c r="L176" s="148" t="inlineStr">
        <is>
          <t>B09PYB9C45</t>
        </is>
      </c>
      <c r="M176" s="148" t="n">
        <v>51</v>
      </c>
      <c r="N176" s="148" t="n">
        <v>69.98999999999999</v>
      </c>
      <c r="O176" s="148" t="n"/>
      <c r="P176" s="148">
        <f>IF(AND(ISNUMBER(O176),ISNUMBER(N176),N(N176)&gt;0),O176/N176-1,"")</f>
        <v/>
      </c>
      <c r="Q176" s="148" t="n">
        <v>69.98999999999999</v>
      </c>
      <c r="R176" s="148">
        <f>IF(AND(ISNUMBER(N176),ISNUMBER(Q176),N(Q176)&gt;0),N176/Q176-1,"")</f>
        <v/>
      </c>
      <c r="S176" s="148" t="n">
        <v>33423</v>
      </c>
      <c r="T176" s="148" t="n">
        <v>35</v>
      </c>
      <c r="U176" s="148" t="n">
        <v>4.4</v>
      </c>
      <c r="V176" s="148" t="n">
        <v>1040</v>
      </c>
      <c r="W176" s="148" t="n"/>
      <c r="X176" s="148" t="n"/>
      <c r="Y176" s="148" t="n"/>
      <c r="Z176" s="148" t="n"/>
      <c r="AA176" s="148" t="n"/>
      <c r="AB176" s="148" t="n"/>
      <c r="AC176" s="148" t="inlineStr">
        <is>
          <t>US SL B6</t>
        </is>
      </c>
      <c r="AD176" s="148">
        <f>'US SL B6'!BF155</f>
        <v/>
      </c>
      <c r="AE176" s="148">
        <f>'US SL B6'!BI155</f>
        <v/>
      </c>
      <c r="AF176" s="148" t="inlineStr">
        <is>
          <t>King</t>
        </is>
      </c>
      <c r="AG176" s="148" t="inlineStr">
        <is>
          <t>Grey</t>
        </is>
      </c>
      <c r="AH176" s="148">
        <f>AND(E176="CA",OR('CA Dashboard'!$C$4="All",'CA Dashboard'!$C$4=D176),OR('CA Dashboard'!$C$5="All",'CA Dashboard'!$C$5=G176),OR('CA Dashboard'!$C$6="All",'CA Dashboard'!$C$6=H176),OR('CA Dashboard'!$C$7="All",'CA Dashboard'!$C$7=F176),OR('CA Dashboard'!$C$8="All",'CA Dashboard'!$C$8=AJ176))</f>
        <v/>
      </c>
      <c r="AI176" s="148">
        <f>IF(AH176,AI175+1,AI175)</f>
        <v/>
      </c>
      <c r="AJ176" s="148" t="inlineStr">
        <is>
          <t>Material not verified</t>
        </is>
      </c>
      <c r="AK176" s="148" t="inlineStr">
        <is>
          <t>Sheet set like ours, but the material is not stated (material not stated on the page or in the title); verify before treating as direct.</t>
        </is>
      </c>
    </row>
    <row r="177">
      <c r="A177" s="148">
        <f>AND(E177="US",OR('US Dashboard'!$C$4="All",'US Dashboard'!$C$4=D177),OR('US Dashboard'!$C$5="All",'US Dashboard'!$C$5=G177),OR('US Dashboard'!$C$6="All",'US Dashboard'!$C$6=H177),OR('US Dashboard'!$C$7="All",'US Dashboard'!$C$7=F177),OR('US Dashboard'!$C$8="All",'US Dashboard'!$C$8=AJ177))</f>
        <v/>
      </c>
      <c r="B177" s="148">
        <f>IF(A177,B176+1,B176)</f>
        <v/>
      </c>
      <c r="C177" s="148" t="n">
        <v>36</v>
      </c>
      <c r="D177" s="148" t="inlineStr">
        <is>
          <t>SL B4</t>
        </is>
      </c>
      <c r="E177" s="148" t="inlineStr">
        <is>
          <t>US</t>
        </is>
      </c>
      <c r="F177" s="148" t="inlineStr">
        <is>
          <t>Bamboo</t>
        </is>
      </c>
      <c r="G177" s="148" t="inlineStr">
        <is>
          <t>Pure Bamboo</t>
        </is>
      </c>
      <c r="H177" s="148" t="inlineStr">
        <is>
          <t>Aspirational</t>
        </is>
      </c>
      <c r="I177" s="148" t="inlineStr">
        <is>
          <t>Pure Bamboo King Sheets, Genuine 100% Organic Viscose Derived from Bamboo Bed Sheet Set, Luxuriously Soft &amp; Cooling, Double Stitching, 2 Year Quality Promise (King, Ivory)</t>
        </is>
      </c>
      <c r="J177" s="148" t="inlineStr">
        <is>
          <t>https://images-na.ssl-images-amazon.com/images/I/91dfner9BkL.jpg</t>
        </is>
      </c>
      <c r="K177" s="148" t="inlineStr">
        <is>
          <t>B0CZQ52MTQ</t>
        </is>
      </c>
      <c r="L177" s="148" t="inlineStr">
        <is>
          <t>B07DZTQ4JC</t>
        </is>
      </c>
      <c r="M177" s="148" t="n">
        <v>181</v>
      </c>
      <c r="N177" s="148" t="n">
        <v>109.99</v>
      </c>
      <c r="O177" s="148" t="n"/>
      <c r="P177" s="148">
        <f>IF(AND(ISNUMBER(O177),ISNUMBER(N177),N(N177)&gt;0),O177/N177-1,"")</f>
        <v/>
      </c>
      <c r="Q177" s="148" t="n">
        <v>54.99</v>
      </c>
      <c r="R177" s="148">
        <f>IF(AND(ISNUMBER(N177),ISNUMBER(Q177),N(Q177)&gt;0),N177/Q177-1,"")</f>
        <v/>
      </c>
      <c r="S177" s="148" t="n">
        <v>304</v>
      </c>
      <c r="T177" s="148" t="n">
        <v>809</v>
      </c>
      <c r="U177" s="148" t="n">
        <v>4.5</v>
      </c>
      <c r="V177" s="148" t="n">
        <v>21927</v>
      </c>
      <c r="W177" s="148" t="n">
        <v>2565055</v>
      </c>
      <c r="X177" s="148" t="n">
        <v>0.4648594811807159</v>
      </c>
      <c r="Y177" s="148" t="n">
        <v>6</v>
      </c>
      <c r="Z177" s="148" t="n">
        <v>470</v>
      </c>
      <c r="AA177" s="148" t="n">
        <v>3769</v>
      </c>
      <c r="AB177" s="148" t="n">
        <v>1.180104147961932</v>
      </c>
      <c r="AC177" s="148" t="inlineStr">
        <is>
          <t>US SL B4</t>
        </is>
      </c>
      <c r="AD177" s="148">
        <f>'US SL B4'!BF122</f>
        <v/>
      </c>
      <c r="AE177" s="148">
        <f>'US SL B4'!BI122</f>
        <v/>
      </c>
      <c r="AF177" s="148" t="inlineStr">
        <is>
          <t>King</t>
        </is>
      </c>
      <c r="AG177" s="148" t="inlineStr">
        <is>
          <t>Ivory</t>
        </is>
      </c>
      <c r="AH177" s="148">
        <f>AND(E177="CA",OR('CA Dashboard'!$C$4="All",'CA Dashboard'!$C$4=D177),OR('CA Dashboard'!$C$5="All",'CA Dashboard'!$C$5=G177),OR('CA Dashboard'!$C$6="All",'CA Dashboard'!$C$6=H177),OR('CA Dashboard'!$C$7="All",'CA Dashboard'!$C$7=F177),OR('CA Dashboard'!$C$8="All",'CA Dashboard'!$C$8=AJ177))</f>
        <v/>
      </c>
      <c r="AI177" s="148">
        <f>IF(AH177,AI176+1,AI176)</f>
        <v/>
      </c>
      <c r="AJ177" s="148" t="inlineStr">
        <is>
          <t>Direct</t>
        </is>
      </c>
      <c r="AK177" s="148" t="inlineStr">
        <is>
          <t>Same product (sheet set) in the same material family: Bamboo viscose (title: Pure Bamboo King Sheets, Genuine 100% Organic Viscose Derive); ours: our listing: viscose from bamboo.</t>
        </is>
      </c>
    </row>
    <row r="178">
      <c r="A178" s="148">
        <f>AND(E178="US",OR('US Dashboard'!$C$4="All",'US Dashboard'!$C$4=D178),OR('US Dashboard'!$C$5="All",'US Dashboard'!$C$5=G178),OR('US Dashboard'!$C$6="All",'US Dashboard'!$C$6=H178),OR('US Dashboard'!$C$7="All",'US Dashboard'!$C$7=F178),OR('US Dashboard'!$C$8="All",'US Dashboard'!$C$8=AJ178))</f>
        <v/>
      </c>
      <c r="B178" s="148">
        <f>IF(A178,B177+1,B177)</f>
        <v/>
      </c>
      <c r="C178" s="148" t="n">
        <v>36</v>
      </c>
      <c r="D178" s="148" t="inlineStr">
        <is>
          <t>SL B4</t>
        </is>
      </c>
      <c r="E178" s="148" t="inlineStr">
        <is>
          <t>US</t>
        </is>
      </c>
      <c r="F178" s="148" t="inlineStr">
        <is>
          <t>Bamboo</t>
        </is>
      </c>
      <c r="G178" s="148" t="inlineStr">
        <is>
          <t>Hotel Sheets Direct</t>
        </is>
      </c>
      <c r="H178" s="148" t="inlineStr">
        <is>
          <t>Aspirational</t>
        </is>
      </c>
      <c r="I178" s="148" t="inlineStr">
        <is>
          <t>Hotel Sheets Direct 4 Piece Bed Sheet Set Queen Size, 100% Viscose Derived from Bamboo Sheets Set with 2 Pillowcases, Cooling &amp; Breathable Luxury Bedding, Moisture-Wicking &amp; Silky Soft Texture, White</t>
        </is>
      </c>
      <c r="J178" s="148" t="inlineStr">
        <is>
          <t>https://images-na.ssl-images-amazon.com/images/I/71oEhkRYQ+L.jpg</t>
        </is>
      </c>
      <c r="K178" s="148" t="inlineStr">
        <is>
          <t>B0G5N99X9R</t>
        </is>
      </c>
      <c r="L178" s="148" t="inlineStr">
        <is>
          <t>B01N9L2O9P</t>
        </is>
      </c>
      <c r="M178" s="148" t="n">
        <v>61</v>
      </c>
      <c r="N178" s="148" t="n">
        <v>79.98999999999999</v>
      </c>
      <c r="O178" s="148" t="n"/>
      <c r="P178" s="148">
        <f>IF(AND(ISNUMBER(O178),ISNUMBER(N178),N(N178)&gt;0),O178/N178-1,"")</f>
        <v/>
      </c>
      <c r="Q178" s="148" t="n">
        <v>54.99</v>
      </c>
      <c r="R178" s="148">
        <f>IF(AND(ISNUMBER(N178),ISNUMBER(Q178),N(Q178)&gt;0),N178/Q178-1,"")</f>
        <v/>
      </c>
      <c r="S178" s="148" t="n">
        <v>2984</v>
      </c>
      <c r="T178" s="148" t="n">
        <v>347</v>
      </c>
      <c r="U178" s="148" t="n">
        <v>4.4</v>
      </c>
      <c r="V178" s="148" t="n">
        <v>37179</v>
      </c>
      <c r="W178" s="148" t="n">
        <v>451969</v>
      </c>
      <c r="X178" s="148" t="n">
        <v>0.6071584272372669</v>
      </c>
      <c r="Y178" s="148" t="n">
        <v>53</v>
      </c>
      <c r="Z178" s="148" t="n">
        <v>387</v>
      </c>
      <c r="AA178" s="148" t="n">
        <v>929</v>
      </c>
      <c r="AB178" s="148" t="n">
        <v>1.799620493358634</v>
      </c>
      <c r="AC178" s="148" t="inlineStr">
        <is>
          <t>US SL B4</t>
        </is>
      </c>
      <c r="AD178" s="148">
        <f>'US SL B4'!BF123</f>
        <v/>
      </c>
      <c r="AE178" s="148">
        <f>'US SL B4'!BI123</f>
        <v/>
      </c>
      <c r="AF178" s="148" t="inlineStr">
        <is>
          <t>Queen</t>
        </is>
      </c>
      <c r="AG178" s="148" t="inlineStr">
        <is>
          <t>White</t>
        </is>
      </c>
      <c r="AH178" s="148">
        <f>AND(E178="CA",OR('CA Dashboard'!$C$4="All",'CA Dashboard'!$C$4=D178),OR('CA Dashboard'!$C$5="All",'CA Dashboard'!$C$5=G178),OR('CA Dashboard'!$C$6="All",'CA Dashboard'!$C$6=H178),OR('CA Dashboard'!$C$7="All",'CA Dashboard'!$C$7=F178),OR('CA Dashboard'!$C$8="All",'CA Dashboard'!$C$8=AJ178))</f>
        <v/>
      </c>
      <c r="AI178" s="148">
        <f>IF(AH178,AI177+1,AI177)</f>
        <v/>
      </c>
      <c r="AJ178" s="148" t="inlineStr">
        <is>
          <t>Direct</t>
        </is>
      </c>
      <c r="AK178" s="148" t="inlineStr">
        <is>
          <t>Same product (sheet set) in the same material family: Bamboo viscose (title: Hotel Sheets Direct 4 Piece Bed Sheet Set Queen Size, 100% V); ours: our listing: viscose from bamboo.</t>
        </is>
      </c>
    </row>
    <row r="179">
      <c r="A179" s="148">
        <f>AND(E179="US",OR('US Dashboard'!$C$4="All",'US Dashboard'!$C$4=D179),OR('US Dashboard'!$C$5="All",'US Dashboard'!$C$5=G179),OR('US Dashboard'!$C$6="All",'US Dashboard'!$C$6=H179),OR('US Dashboard'!$C$7="All",'US Dashboard'!$C$7=F179),OR('US Dashboard'!$C$8="All",'US Dashboard'!$C$8=AJ179))</f>
        <v/>
      </c>
      <c r="B179" s="148">
        <f>IF(A179,B178+1,B178)</f>
        <v/>
      </c>
      <c r="C179" s="148" t="n">
        <v>36</v>
      </c>
      <c r="D179" s="148" t="inlineStr">
        <is>
          <t>SL B4</t>
        </is>
      </c>
      <c r="E179" s="148" t="inlineStr">
        <is>
          <t>US</t>
        </is>
      </c>
      <c r="F179" s="148" t="inlineStr">
        <is>
          <t>Bamboo</t>
        </is>
      </c>
      <c r="G179" s="148" t="inlineStr">
        <is>
          <t>KRIMANO</t>
        </is>
      </c>
      <c r="H179" s="148" t="inlineStr">
        <is>
          <t>Beatable</t>
        </is>
      </c>
      <c r="I179" s="148" t="inlineStr">
        <is>
          <t>KRIMANO Bamboo Viscose Sheet Set King Size, Cooling Sheets Bed Set</t>
        </is>
      </c>
      <c r="J179" s="148" t="inlineStr">
        <is>
          <t>https://images-na.ssl-images-amazon.com/images/I/61-LBYlR5KL.jpg</t>
        </is>
      </c>
      <c r="K179" s="148" t="inlineStr">
        <is>
          <t>B0FT7L9RSX</t>
        </is>
      </c>
      <c r="L179" s="148" t="inlineStr">
        <is>
          <t>B0FT7LZ2CD</t>
        </is>
      </c>
      <c r="M179" s="148" t="n">
        <v>43</v>
      </c>
      <c r="N179" s="148" t="n">
        <v>79.98999999999999</v>
      </c>
      <c r="O179" s="148" t="n"/>
      <c r="P179" s="148">
        <f>IF(AND(ISNUMBER(O179),ISNUMBER(N179),N(N179)&gt;0),O179/N179-1,"")</f>
        <v/>
      </c>
      <c r="Q179" s="148" t="n">
        <v>54.99</v>
      </c>
      <c r="R179" s="148">
        <f>IF(AND(ISNUMBER(N179),ISNUMBER(Q179),N(Q179)&gt;0),N179/Q179-1,"")</f>
        <v/>
      </c>
      <c r="S179" s="148" t="n">
        <v>5664</v>
      </c>
      <c r="T179" s="148" t="n">
        <v>185</v>
      </c>
      <c r="U179" s="148" t="n">
        <v>4.5</v>
      </c>
      <c r="V179" s="148" t="n">
        <v>263</v>
      </c>
      <c r="W179" s="148" t="n">
        <v>334819</v>
      </c>
      <c r="X179" s="148" t="n">
        <v>0.6137371774003271</v>
      </c>
      <c r="Y179" s="148" t="n">
        <v>78</v>
      </c>
      <c r="Z179" s="148" t="n">
        <v>357</v>
      </c>
      <c r="AA179" s="148" t="n">
        <v>485</v>
      </c>
      <c r="AB179" s="148" t="n">
        <v>1.312468450277638</v>
      </c>
      <c r="AC179" s="148" t="inlineStr">
        <is>
          <t>US SL B4</t>
        </is>
      </c>
      <c r="AD179" s="148">
        <f>'US SL B4'!BF124</f>
        <v/>
      </c>
      <c r="AE179" s="148">
        <f>'US SL B4'!BI124</f>
        <v/>
      </c>
      <c r="AF179" s="148" t="inlineStr">
        <is>
          <t>King</t>
        </is>
      </c>
      <c r="AG179" s="148" t="inlineStr">
        <is>
          <t>1.navy Blue</t>
        </is>
      </c>
      <c r="AH179" s="148">
        <f>AND(E179="CA",OR('CA Dashboard'!$C$4="All",'CA Dashboard'!$C$4=D179),OR('CA Dashboard'!$C$5="All",'CA Dashboard'!$C$5=G179),OR('CA Dashboard'!$C$6="All",'CA Dashboard'!$C$6=H179),OR('CA Dashboard'!$C$7="All",'CA Dashboard'!$C$7=F179),OR('CA Dashboard'!$C$8="All",'CA Dashboard'!$C$8=AJ179))</f>
        <v/>
      </c>
      <c r="AI179" s="148">
        <f>IF(AH179,AI178+1,AI178)</f>
        <v/>
      </c>
      <c r="AJ179" s="148" t="inlineStr">
        <is>
          <t>Direct</t>
        </is>
      </c>
      <c r="AK179" s="148" t="inlineStr">
        <is>
          <t>Same product (sheet set) in the same material family: Bamboo viscose (product page material: Viscose Derived from Bamboo); ours: our listing: viscose from bamboo.</t>
        </is>
      </c>
    </row>
    <row r="180">
      <c r="A180" s="148">
        <f>AND(E180="US",OR('US Dashboard'!$C$4="All",'US Dashboard'!$C$4=D180),OR('US Dashboard'!$C$5="All",'US Dashboard'!$C$5=G180),OR('US Dashboard'!$C$6="All",'US Dashboard'!$C$6=H180),OR('US Dashboard'!$C$7="All",'US Dashboard'!$C$7=F180),OR('US Dashboard'!$C$8="All",'US Dashboard'!$C$8=AJ180))</f>
        <v/>
      </c>
      <c r="B180" s="148">
        <f>IF(A180,B179+1,B179)</f>
        <v/>
      </c>
      <c r="C180" s="148" t="n">
        <v>36</v>
      </c>
      <c r="D180" s="148" t="inlineStr">
        <is>
          <t>SL B4</t>
        </is>
      </c>
      <c r="E180" s="148" t="inlineStr">
        <is>
          <t>US</t>
        </is>
      </c>
      <c r="F180" s="148" t="inlineStr">
        <is>
          <t>Bamboo</t>
        </is>
      </c>
      <c r="G180" s="148" t="inlineStr">
        <is>
          <t>Bambaw</t>
        </is>
      </c>
      <c r="H180" s="148" t="inlineStr">
        <is>
          <t>Beatable</t>
        </is>
      </c>
      <c r="I180" s="148" t="inlineStr">
        <is>
          <t>Bambaw 100% Viscose Derived from Bamboo Sheets Queen Size Set – 4pcs Cooling Sheet Set, Super Soft Sheets Queen Size, Luxury Bed Sheets, Deep Pocket Fits Up to 16'' Mattresses (Charcoal)</t>
        </is>
      </c>
      <c r="J180" s="148" t="inlineStr">
        <is>
          <t>https://images-na.ssl-images-amazon.com/images/I/81svKInu7aL.jpg</t>
        </is>
      </c>
      <c r="K180" s="148" t="inlineStr">
        <is>
          <t>B07K6SYX8L</t>
        </is>
      </c>
      <c r="L180" s="148" t="inlineStr">
        <is>
          <t>B0DR99Q37Y</t>
        </is>
      </c>
      <c r="M180" s="148" t="n">
        <v>104</v>
      </c>
      <c r="N180" s="148" t="n">
        <v>89.98999999999999</v>
      </c>
      <c r="O180" s="148" t="n"/>
      <c r="P180" s="148">
        <f>IF(AND(ISNUMBER(O180),ISNUMBER(N180),N(N180)&gt;0),O180/N180-1,"")</f>
        <v/>
      </c>
      <c r="Q180" s="148" t="n">
        <v>54.99</v>
      </c>
      <c r="R180" s="148">
        <f>IF(AND(ISNUMBER(N180),ISNUMBER(Q180),N(Q180)&gt;0),N180/Q180-1,"")</f>
        <v/>
      </c>
      <c r="S180" s="148" t="n">
        <v>6971</v>
      </c>
      <c r="T180" s="148" t="n">
        <v>104</v>
      </c>
      <c r="U180" s="148" t="n">
        <v>4.3</v>
      </c>
      <c r="V180" s="148" t="n">
        <v>2766</v>
      </c>
      <c r="W180" s="148" t="n">
        <v>407949</v>
      </c>
      <c r="X180" s="148" t="n">
        <v>0.5037485506766772</v>
      </c>
      <c r="Y180" s="148" t="n">
        <v>27</v>
      </c>
      <c r="Z180" s="148" t="n">
        <v>398</v>
      </c>
      <c r="AA180" s="148" t="n">
        <v>578</v>
      </c>
      <c r="AB180" s="148" t="n">
        <v>1.374474053295933</v>
      </c>
      <c r="AC180" s="148" t="inlineStr">
        <is>
          <t>US SL B4</t>
        </is>
      </c>
      <c r="AD180" s="148">
        <f>'US SL B4'!BF125</f>
        <v/>
      </c>
      <c r="AE180" s="148">
        <f>'US SL B4'!BI125</f>
        <v/>
      </c>
      <c r="AF180" s="148" t="inlineStr">
        <is>
          <t>Queen</t>
        </is>
      </c>
      <c r="AG180" s="148" t="inlineStr">
        <is>
          <t>Charcoal</t>
        </is>
      </c>
      <c r="AH180" s="148">
        <f>AND(E180="CA",OR('CA Dashboard'!$C$4="All",'CA Dashboard'!$C$4=D180),OR('CA Dashboard'!$C$5="All",'CA Dashboard'!$C$5=G180),OR('CA Dashboard'!$C$6="All",'CA Dashboard'!$C$6=H180),OR('CA Dashboard'!$C$7="All",'CA Dashboard'!$C$7=F180),OR('CA Dashboard'!$C$8="All",'CA Dashboard'!$C$8=AJ180))</f>
        <v/>
      </c>
      <c r="AI180" s="148">
        <f>IF(AH180,AI179+1,AI179)</f>
        <v/>
      </c>
      <c r="AJ180" s="148" t="inlineStr">
        <is>
          <t>Direct</t>
        </is>
      </c>
      <c r="AK180" s="148" t="inlineStr">
        <is>
          <t>Same product (sheet set) in the same material family: Bamboo viscose (title: Bambaw 100% Viscose Derived from Bamboo Sheets Queen Size Se); ours: our listing: viscose from bamboo.</t>
        </is>
      </c>
    </row>
    <row r="181">
      <c r="A181" s="148">
        <f>AND(E181="US",OR('US Dashboard'!$C$4="All",'US Dashboard'!$C$4=D181),OR('US Dashboard'!$C$5="All",'US Dashboard'!$C$5=G181),OR('US Dashboard'!$C$6="All",'US Dashboard'!$C$6=H181),OR('US Dashboard'!$C$7="All",'US Dashboard'!$C$7=F181),OR('US Dashboard'!$C$8="All",'US Dashboard'!$C$8=AJ181))</f>
        <v/>
      </c>
      <c r="B181" s="148">
        <f>IF(A181,B180+1,B180)</f>
        <v/>
      </c>
      <c r="C181" s="148" t="n">
        <v>36</v>
      </c>
      <c r="D181" s="148" t="inlineStr">
        <is>
          <t>SL B4</t>
        </is>
      </c>
      <c r="E181" s="148" t="inlineStr">
        <is>
          <t>US</t>
        </is>
      </c>
      <c r="F181" s="148" t="inlineStr">
        <is>
          <t>Bamboo</t>
        </is>
      </c>
      <c r="G181" s="148" t="inlineStr">
        <is>
          <t>Bedsure</t>
        </is>
      </c>
      <c r="H181" s="148" t="inlineStr">
        <is>
          <t>Beatable</t>
        </is>
      </c>
      <c r="I181" s="148" t="inlineStr">
        <is>
          <t>Bedsure PureWoven Organically Grown Bamboo Viscose Queen Sheet Set, 4PCS</t>
        </is>
      </c>
      <c r="J181" s="148" t="inlineStr">
        <is>
          <t>https://images-na.ssl-images-amazon.com/images/I/81suQgVR0GL.jpg</t>
        </is>
      </c>
      <c r="K181" s="148" t="inlineStr">
        <is>
          <t>B0FB8XS4D1</t>
        </is>
      </c>
      <c r="L181" s="148" t="inlineStr">
        <is>
          <t>B0FB8XR43Q</t>
        </is>
      </c>
      <c r="M181" s="148" t="n">
        <v>39</v>
      </c>
      <c r="N181" s="148" t="n">
        <v>89.98999999999999</v>
      </c>
      <c r="O181" s="148" t="n">
        <v>119.99</v>
      </c>
      <c r="P181" s="148">
        <f>IF(AND(ISNUMBER(O181),ISNUMBER(N181),N(N181)&gt;0),O181/N181-1,"")</f>
        <v/>
      </c>
      <c r="Q181" s="148" t="n">
        <v>54.99</v>
      </c>
      <c r="R181" s="148">
        <f>IF(AND(ISNUMBER(N181),ISNUMBER(Q181),N(Q181)&gt;0),N181/Q181-1,"")</f>
        <v/>
      </c>
      <c r="S181" s="148" t="n">
        <v>8938</v>
      </c>
      <c r="T181" s="148" t="n">
        <v>104</v>
      </c>
      <c r="U181" s="148" t="n">
        <v>4.5</v>
      </c>
      <c r="V181" s="148" t="n">
        <v>588</v>
      </c>
      <c r="W181" s="148" t="n">
        <v>840292</v>
      </c>
      <c r="X181" s="148" t="n">
        <v>0.1404099194089678</v>
      </c>
      <c r="Y181" s="148" t="n">
        <v>20</v>
      </c>
      <c r="Z181" s="148" t="n">
        <v>432</v>
      </c>
      <c r="AA181" s="148" t="n">
        <v>2426</v>
      </c>
      <c r="AB181" s="148" t="n">
        <v>1.764832022873481</v>
      </c>
      <c r="AC181" s="148" t="inlineStr">
        <is>
          <t>US SL B4</t>
        </is>
      </c>
      <c r="AD181" s="148">
        <f>'US SL B4'!BF126</f>
        <v/>
      </c>
      <c r="AE181" s="148">
        <f>'US SL B4'!BI126</f>
        <v/>
      </c>
      <c r="AF181" s="148" t="inlineStr">
        <is>
          <t>Queen</t>
        </is>
      </c>
      <c r="AG181" s="148" t="inlineStr">
        <is>
          <t>01 - White</t>
        </is>
      </c>
      <c r="AH181" s="148">
        <f>AND(E181="CA",OR('CA Dashboard'!$C$4="All",'CA Dashboard'!$C$4=D181),OR('CA Dashboard'!$C$5="All",'CA Dashboard'!$C$5=G181),OR('CA Dashboard'!$C$6="All",'CA Dashboard'!$C$6=H181),OR('CA Dashboard'!$C$7="All",'CA Dashboard'!$C$7=F181),OR('CA Dashboard'!$C$8="All",'CA Dashboard'!$C$8=AJ181))</f>
        <v/>
      </c>
      <c r="AI181" s="148">
        <f>IF(AH181,AI180+1,AI180)</f>
        <v/>
      </c>
      <c r="AJ181" s="148" t="inlineStr">
        <is>
          <t>Direct</t>
        </is>
      </c>
      <c r="AK181" s="148" t="inlineStr">
        <is>
          <t>Same product (sheet set) in the same material family: Bamboo viscose (product page material: Viscose Derived from Bamboo); ours: our listing: viscose from bamboo.</t>
        </is>
      </c>
    </row>
    <row r="182">
      <c r="A182" s="148">
        <f>AND(E182="US",OR('US Dashboard'!$C$4="All",'US Dashboard'!$C$4=D182),OR('US Dashboard'!$C$5="All",'US Dashboard'!$C$5=G182),OR('US Dashboard'!$C$6="All",'US Dashboard'!$C$6=H182),OR('US Dashboard'!$C$7="All",'US Dashboard'!$C$7=F182),OR('US Dashboard'!$C$8="All",'US Dashboard'!$C$8=AJ182))</f>
        <v/>
      </c>
      <c r="B182" s="148">
        <f>IF(A182,B181+1,B181)</f>
        <v/>
      </c>
      <c r="C182" s="148" t="n">
        <v>36</v>
      </c>
      <c r="D182" s="148" t="inlineStr">
        <is>
          <t>SL B4</t>
        </is>
      </c>
      <c r="E182" s="148" t="inlineStr">
        <is>
          <t>US</t>
        </is>
      </c>
      <c r="F182" s="148" t="inlineStr">
        <is>
          <t>Bamboo</t>
        </is>
      </c>
      <c r="G182" s="148" t="inlineStr">
        <is>
          <t>SONORO KATE</t>
        </is>
      </c>
      <c r="H182" s="148" t="inlineStr">
        <is>
          <t>Beatable</t>
        </is>
      </c>
      <c r="I182" s="148" t="inlineStr">
        <is>
          <t>Bamboo Sheets</t>
        </is>
      </c>
      <c r="J182" s="148" t="inlineStr">
        <is>
          <t>https://images-na.ssl-images-amazon.com/images/I/71sqxa1EquL.jpg</t>
        </is>
      </c>
      <c r="K182" s="148" t="inlineStr">
        <is>
          <t>B0F4852T9V</t>
        </is>
      </c>
      <c r="L182" s="148" t="inlineStr">
        <is>
          <t>B0F4873G4H</t>
        </is>
      </c>
      <c r="M182" s="148" t="n">
        <v>33</v>
      </c>
      <c r="N182" s="148" t="n">
        <v>79.98999999999999</v>
      </c>
      <c r="O182" s="148" t="n"/>
      <c r="P182" s="148">
        <f>IF(AND(ISNUMBER(O182),ISNUMBER(N182),N(N182)&gt;0),O182/N182-1,"")</f>
        <v/>
      </c>
      <c r="Q182" s="148" t="n">
        <v>54.99</v>
      </c>
      <c r="R182" s="148">
        <f>IF(AND(ISNUMBER(N182),ISNUMBER(Q182),N(Q182)&gt;0),N182/Q182-1,"")</f>
        <v/>
      </c>
      <c r="S182" s="148" t="n">
        <v>7961</v>
      </c>
      <c r="T182" s="148" t="n">
        <v>104</v>
      </c>
      <c r="U182" s="148" t="n">
        <v>4.5</v>
      </c>
      <c r="V182" s="148" t="n">
        <v>3776</v>
      </c>
      <c r="W182" s="148" t="n">
        <v>185157</v>
      </c>
      <c r="X182" s="148" t="n">
        <v>0.9776013545261586</v>
      </c>
      <c r="Y182" s="148" t="n">
        <v>43</v>
      </c>
      <c r="Z182" s="148" t="n">
        <v>301</v>
      </c>
      <c r="AA182" s="148" t="n">
        <v>120</v>
      </c>
      <c r="AB182" s="148" t="n">
        <v>1.314808539478143</v>
      </c>
      <c r="AC182" s="148" t="inlineStr">
        <is>
          <t>US SL B4</t>
        </is>
      </c>
      <c r="AD182" s="148">
        <f>'US SL B4'!BF127</f>
        <v/>
      </c>
      <c r="AE182" s="148">
        <f>'US SL B4'!BI127</f>
        <v/>
      </c>
      <c r="AF182" s="148" t="inlineStr">
        <is>
          <t>King</t>
        </is>
      </c>
      <c r="AG182" s="148" t="inlineStr">
        <is>
          <t>Dark Grey</t>
        </is>
      </c>
      <c r="AH182" s="148">
        <f>AND(E182="CA",OR('CA Dashboard'!$C$4="All",'CA Dashboard'!$C$4=D182),OR('CA Dashboard'!$C$5="All",'CA Dashboard'!$C$5=G182),OR('CA Dashboard'!$C$6="All",'CA Dashboard'!$C$6=H182),OR('CA Dashboard'!$C$7="All",'CA Dashboard'!$C$7=F182),OR('CA Dashboard'!$C$8="All",'CA Dashboard'!$C$8=AJ182))</f>
        <v/>
      </c>
      <c r="AI182" s="148">
        <f>IF(AH182,AI181+1,AI181)</f>
        <v/>
      </c>
      <c r="AJ182" s="148" t="inlineStr">
        <is>
          <t>Direct</t>
        </is>
      </c>
      <c r="AK182" s="148" t="inlineStr">
        <is>
          <t>Same product (sheet set) in the same material family: Bamboo viscose (product page material: Viscose Derived From Bamboo); ours: our listing: viscose from bamboo.</t>
        </is>
      </c>
    </row>
    <row r="183">
      <c r="A183" s="148">
        <f>AND(E183="US",OR('US Dashboard'!$C$4="All",'US Dashboard'!$C$4=D183),OR('US Dashboard'!$C$5="All",'US Dashboard'!$C$5=G183),OR('US Dashboard'!$C$6="All",'US Dashboard'!$C$6=H183),OR('US Dashboard'!$C$7="All",'US Dashboard'!$C$7=F183),OR('US Dashboard'!$C$8="All",'US Dashboard'!$C$8=AJ183))</f>
        <v/>
      </c>
      <c r="B183" s="148">
        <f>IF(A183,B182+1,B182)</f>
        <v/>
      </c>
      <c r="C183" s="148" t="n">
        <v>36</v>
      </c>
      <c r="D183" s="148" t="inlineStr">
        <is>
          <t>SL B4</t>
        </is>
      </c>
      <c r="E183" s="148" t="inlineStr">
        <is>
          <t>US</t>
        </is>
      </c>
      <c r="F183" s="148" t="inlineStr">
        <is>
          <t>Bamboo</t>
        </is>
      </c>
      <c r="G183" s="148" t="inlineStr">
        <is>
          <t>BC BELLA COTERIE</t>
        </is>
      </c>
      <c r="H183" s="148" t="inlineStr">
        <is>
          <t>Beatable</t>
        </is>
      </c>
      <c r="I183" s="148" t="inlineStr">
        <is>
          <t>Bella Coterie Luxury Bamboo Viscose King Size Sheet Set</t>
        </is>
      </c>
      <c r="J183" s="148" t="inlineStr">
        <is>
          <t>https://images-na.ssl-images-amazon.com/images/I/71Pl57-j67L.jpg</t>
        </is>
      </c>
      <c r="K183" s="148" t="inlineStr">
        <is>
          <t>B0H29V113N</t>
        </is>
      </c>
      <c r="L183" s="148" t="inlineStr">
        <is>
          <t>B08L86VLZB</t>
        </is>
      </c>
      <c r="M183" s="148" t="n">
        <v>258</v>
      </c>
      <c r="N183" s="148" t="n">
        <v>154.99</v>
      </c>
      <c r="O183" s="148" t="n"/>
      <c r="P183" s="148">
        <f>IF(AND(ISNUMBER(O183),ISNUMBER(N183),N(N183)&gt;0),O183/N183-1,"")</f>
        <v/>
      </c>
      <c r="Q183" s="148" t="n">
        <v>54.99</v>
      </c>
      <c r="R183" s="148">
        <f>IF(AND(ISNUMBER(N183),ISNUMBER(Q183),N(Q183)&gt;0),N183/Q183-1,"")</f>
        <v/>
      </c>
      <c r="S183" s="148" t="n">
        <v>1358</v>
      </c>
      <c r="T183" s="148" t="n">
        <v>92</v>
      </c>
      <c r="U183" s="148" t="n">
        <v>4.4</v>
      </c>
      <c r="V183" s="148" t="n">
        <v>5871</v>
      </c>
      <c r="W183" s="148" t="n">
        <v>591713</v>
      </c>
      <c r="X183" s="148" t="n">
        <v>0.3622702587234016</v>
      </c>
      <c r="Y183" s="148" t="n">
        <v>41</v>
      </c>
      <c r="Z183" s="148" t="n">
        <v>420</v>
      </c>
      <c r="AA183" s="148" t="n">
        <v>2425</v>
      </c>
      <c r="AB183" s="148" t="n">
        <v>1.778087279480037</v>
      </c>
      <c r="AC183" s="148" t="inlineStr">
        <is>
          <t>US SL B4</t>
        </is>
      </c>
      <c r="AD183" s="148">
        <f>'US SL B4'!BF128</f>
        <v/>
      </c>
      <c r="AE183" s="148">
        <f>'US SL B4'!BI128</f>
        <v/>
      </c>
      <c r="AF183" s="148" t="inlineStr">
        <is>
          <t>King - 2 Pillowcases</t>
        </is>
      </c>
      <c r="AG183" s="148" t="inlineStr">
        <is>
          <t>01 - White</t>
        </is>
      </c>
      <c r="AH183" s="148">
        <f>AND(E183="CA",OR('CA Dashboard'!$C$4="All",'CA Dashboard'!$C$4=D183),OR('CA Dashboard'!$C$5="All",'CA Dashboard'!$C$5=G183),OR('CA Dashboard'!$C$6="All",'CA Dashboard'!$C$6=H183),OR('CA Dashboard'!$C$7="All",'CA Dashboard'!$C$7=F183),OR('CA Dashboard'!$C$8="All",'CA Dashboard'!$C$8=AJ183))</f>
        <v/>
      </c>
      <c r="AI183" s="148">
        <f>IF(AH183,AI182+1,AI182)</f>
        <v/>
      </c>
      <c r="AJ183" s="148" t="inlineStr">
        <is>
          <t>Direct</t>
        </is>
      </c>
      <c r="AK183" s="148" t="inlineStr">
        <is>
          <t>Same product (sheet set) in the same material family: Bamboo viscose (product page material: Organically Grown | Viscose Made From Bamboo); ours: our listing: viscose from bamboo.</t>
        </is>
      </c>
    </row>
    <row r="184">
      <c r="A184" s="148">
        <f>AND(E184="US",OR('US Dashboard'!$C$4="All",'US Dashboard'!$C$4=D184),OR('US Dashboard'!$C$5="All",'US Dashboard'!$C$5=G184),OR('US Dashboard'!$C$6="All",'US Dashboard'!$C$6=H184),OR('US Dashboard'!$C$7="All",'US Dashboard'!$C$7=F184),OR('US Dashboard'!$C$8="All",'US Dashboard'!$C$8=AJ184))</f>
        <v/>
      </c>
      <c r="B184" s="148">
        <f>IF(A184,B183+1,B183)</f>
        <v/>
      </c>
      <c r="C184" s="148" t="n">
        <v>36</v>
      </c>
      <c r="D184" s="148" t="inlineStr">
        <is>
          <t>SL B4</t>
        </is>
      </c>
      <c r="E184" s="148" t="inlineStr">
        <is>
          <t>US</t>
        </is>
      </c>
      <c r="F184" s="148" t="inlineStr">
        <is>
          <t>Bamboo</t>
        </is>
      </c>
      <c r="G184" s="148" t="inlineStr">
        <is>
          <t>BAMPURE</t>
        </is>
      </c>
      <c r="H184" s="148" t="inlineStr">
        <is>
          <t>Beatable</t>
        </is>
      </c>
      <c r="I184" s="148" t="inlineStr">
        <is>
          <t>BAMPURE 100% Rayon from Bamboo Sheets King Size - 4pc Cooling King Sheets</t>
        </is>
      </c>
      <c r="J184" s="148" t="inlineStr">
        <is>
          <t>https://images-na.ssl-images-amazon.com/images/I/61fbapIObwL.jpg</t>
        </is>
      </c>
      <c r="K184" s="148" t="inlineStr">
        <is>
          <t>B0HC778XB4</t>
        </is>
      </c>
      <c r="L184" s="148" t="inlineStr">
        <is>
          <t>B07XFP6BY2</t>
        </is>
      </c>
      <c r="M184" s="148" t="n">
        <v>40</v>
      </c>
      <c r="N184" s="148" t="n">
        <v>67.98</v>
      </c>
      <c r="O184" s="148" t="n">
        <v>99.98999999999999</v>
      </c>
      <c r="P184" s="148">
        <f>IF(AND(ISNUMBER(O184),ISNUMBER(N184),N(N184)&gt;0),O184/N184-1,"")</f>
        <v/>
      </c>
      <c r="Q184" s="148" t="n">
        <v>54.99</v>
      </c>
      <c r="R184" s="148">
        <f>IF(AND(ISNUMBER(N184),ISNUMBER(Q184),N(Q184)&gt;0),N184/Q184-1,"")</f>
        <v/>
      </c>
      <c r="S184" s="148" t="n">
        <v>14479</v>
      </c>
      <c r="T184" s="148" t="n">
        <v>81</v>
      </c>
      <c r="U184" s="148" t="n">
        <v>4.4</v>
      </c>
      <c r="V184" s="148" t="n">
        <v>4095</v>
      </c>
      <c r="W184" s="148" t="n">
        <v>67699</v>
      </c>
      <c r="X184" s="148" t="n">
        <v>0.8589487052984534</v>
      </c>
      <c r="Y184" s="148" t="n">
        <v>119</v>
      </c>
      <c r="Z184" s="148" t="n">
        <v>231</v>
      </c>
      <c r="AA184" s="148" t="n">
        <v>290</v>
      </c>
      <c r="AB184" s="148" t="n">
        <v>1.016706443914081</v>
      </c>
      <c r="AC184" s="148" t="inlineStr">
        <is>
          <t>US SL B4</t>
        </is>
      </c>
      <c r="AD184" s="148">
        <f>'US SL B4'!BF129</f>
        <v/>
      </c>
      <c r="AE184" s="148">
        <f>'US SL B4'!BI129</f>
        <v/>
      </c>
      <c r="AF184" s="148" t="inlineStr">
        <is>
          <t>King</t>
        </is>
      </c>
      <c r="AG184" s="148" t="inlineStr">
        <is>
          <t>White</t>
        </is>
      </c>
      <c r="AH184" s="148">
        <f>AND(E184="CA",OR('CA Dashboard'!$C$4="All",'CA Dashboard'!$C$4=D184),OR('CA Dashboard'!$C$5="All",'CA Dashboard'!$C$5=G184),OR('CA Dashboard'!$C$6="All",'CA Dashboard'!$C$6=H184),OR('CA Dashboard'!$C$7="All",'CA Dashboard'!$C$7=F184),OR('CA Dashboard'!$C$8="All",'CA Dashboard'!$C$8=AJ184))</f>
        <v/>
      </c>
      <c r="AI184" s="148">
        <f>IF(AH184,AI183+1,AI183)</f>
        <v/>
      </c>
      <c r="AJ184" s="148" t="inlineStr">
        <is>
          <t>Direct</t>
        </is>
      </c>
      <c r="AK184" s="148" t="inlineStr">
        <is>
          <t>Same product (sheet set) in the same material family: Bamboo viscose (product page material: Viscose Derived from Bamboo); ours: our listing: viscose from bamboo.</t>
        </is>
      </c>
    </row>
    <row r="185">
      <c r="A185" s="148">
        <f>AND(E185="US",OR('US Dashboard'!$C$4="All",'US Dashboard'!$C$4=D185),OR('US Dashboard'!$C$5="All",'US Dashboard'!$C$5=G185),OR('US Dashboard'!$C$6="All",'US Dashboard'!$C$6=H185),OR('US Dashboard'!$C$7="All",'US Dashboard'!$C$7=F185),OR('US Dashboard'!$C$8="All",'US Dashboard'!$C$8=AJ185))</f>
        <v/>
      </c>
      <c r="B185" s="148">
        <f>IF(A185,B184+1,B184)</f>
        <v/>
      </c>
      <c r="C185" s="148" t="n">
        <v>36</v>
      </c>
      <c r="D185" s="148" t="inlineStr">
        <is>
          <t>SL B4</t>
        </is>
      </c>
      <c r="E185" s="148" t="inlineStr">
        <is>
          <t>US</t>
        </is>
      </c>
      <c r="F185" s="148" t="inlineStr">
        <is>
          <t>Bamboo</t>
        </is>
      </c>
      <c r="G185" s="148" t="inlineStr">
        <is>
          <t>SONORO KATE</t>
        </is>
      </c>
      <c r="H185" s="148" t="inlineStr">
        <is>
          <t>Beatable</t>
        </is>
      </c>
      <c r="I185" s="148" t="inlineStr">
        <is>
          <t>SONORO KATE 100% Viscose Derived from Bamboo_Sheets Queen Size,4PC</t>
        </is>
      </c>
      <c r="J185" s="148" t="inlineStr">
        <is>
          <t>https://images-na.ssl-images-amazon.com/images/I/71HeTCWM4hL.jpg</t>
        </is>
      </c>
      <c r="K185" s="148" t="inlineStr">
        <is>
          <t>B0F29FQLFD</t>
        </is>
      </c>
      <c r="L185" s="148" t="inlineStr">
        <is>
          <t>B0F29F1JM5</t>
        </is>
      </c>
      <c r="M185" s="148" t="n">
        <v>42</v>
      </c>
      <c r="N185" s="148" t="n">
        <v>59.99</v>
      </c>
      <c r="O185" s="148" t="n"/>
      <c r="P185" s="148">
        <f>IF(AND(ISNUMBER(O185),ISNUMBER(N185),N(N185)&gt;0),O185/N185-1,"")</f>
        <v/>
      </c>
      <c r="Q185" s="148" t="n">
        <v>54.99</v>
      </c>
      <c r="R185" s="148">
        <f>IF(AND(ISNUMBER(N185),ISNUMBER(Q185),N(Q185)&gt;0),N185/Q185-1,"")</f>
        <v/>
      </c>
      <c r="S185" s="148" t="n">
        <v>23979</v>
      </c>
      <c r="T185" s="148" t="n">
        <v>81</v>
      </c>
      <c r="U185" s="148" t="n">
        <v>4.5</v>
      </c>
      <c r="V185" s="148" t="n">
        <v>3911</v>
      </c>
      <c r="W185" s="148" t="n">
        <v>114504</v>
      </c>
      <c r="X185" s="148" t="n">
        <v>0.8792897182631171</v>
      </c>
      <c r="Y185" s="148" t="n">
        <v>45</v>
      </c>
      <c r="Z185" s="148" t="n">
        <v>292</v>
      </c>
      <c r="AA185" s="148" t="n">
        <v>87</v>
      </c>
      <c r="AB185" s="148" t="n">
        <v>1.095271210013908</v>
      </c>
      <c r="AC185" s="148" t="inlineStr">
        <is>
          <t>US SL B4</t>
        </is>
      </c>
      <c r="AD185" s="148">
        <f>'US SL B4'!BF130</f>
        <v/>
      </c>
      <c r="AE185" s="148">
        <f>'US SL B4'!BI130</f>
        <v/>
      </c>
      <c r="AF185" s="148" t="inlineStr">
        <is>
          <t>Queen</t>
        </is>
      </c>
      <c r="AG185" s="148" t="inlineStr">
        <is>
          <t>Dark Grey</t>
        </is>
      </c>
      <c r="AH185" s="148">
        <f>AND(E185="CA",OR('CA Dashboard'!$C$4="All",'CA Dashboard'!$C$4=D185),OR('CA Dashboard'!$C$5="All",'CA Dashboard'!$C$5=G185),OR('CA Dashboard'!$C$6="All",'CA Dashboard'!$C$6=H185),OR('CA Dashboard'!$C$7="All",'CA Dashboard'!$C$7=F185),OR('CA Dashboard'!$C$8="All",'CA Dashboard'!$C$8=AJ185))</f>
        <v/>
      </c>
      <c r="AI185" s="148">
        <f>IF(AH185,AI184+1,AI184)</f>
        <v/>
      </c>
      <c r="AJ185" s="148" t="inlineStr">
        <is>
          <t>Direct</t>
        </is>
      </c>
      <c r="AK185" s="148" t="inlineStr">
        <is>
          <t>Same product (sheet set) in the same material family: Bamboo viscose (product page material: Viscose Derived From Bamboo); ours: our listing: viscose from bamboo.</t>
        </is>
      </c>
    </row>
    <row r="186">
      <c r="A186" s="148">
        <f>AND(E186="US",OR('US Dashboard'!$C$4="All",'US Dashboard'!$C$4=D186),OR('US Dashboard'!$C$5="All",'US Dashboard'!$C$5=G186),OR('US Dashboard'!$C$6="All",'US Dashboard'!$C$6=H186),OR('US Dashboard'!$C$7="All",'US Dashboard'!$C$7=F186),OR('US Dashboard'!$C$8="All",'US Dashboard'!$C$8=AJ186))</f>
        <v/>
      </c>
      <c r="B186" s="148">
        <f>IF(A186,B185+1,B185)</f>
        <v/>
      </c>
      <c r="C186" s="148" t="n">
        <v>36</v>
      </c>
      <c r="D186" s="148" t="inlineStr">
        <is>
          <t>SL B4</t>
        </is>
      </c>
      <c r="E186" s="148" t="inlineStr">
        <is>
          <t>US</t>
        </is>
      </c>
      <c r="F186" s="148" t="inlineStr">
        <is>
          <t>Bamboo</t>
        </is>
      </c>
      <c r="G186" s="148" t="inlineStr">
        <is>
          <t>DOZ by SIJO</t>
        </is>
      </c>
      <c r="H186" s="148" t="inlineStr">
        <is>
          <t>Beatable</t>
        </is>
      </c>
      <c r="I186" s="148" t="inlineStr">
        <is>
          <t>Bamboo Sheets</t>
        </is>
      </c>
      <c r="J186" s="148" t="inlineStr">
        <is>
          <t>https://images-na.ssl-images-amazon.com/images/I/710aWpCd4AL.jpg</t>
        </is>
      </c>
      <c r="K186" s="148" t="inlineStr">
        <is>
          <t>B0DCZGYVZ9</t>
        </is>
      </c>
      <c r="L186" s="148" t="inlineStr">
        <is>
          <t>B0F24TRXCZ</t>
        </is>
      </c>
      <c r="M186" s="148" t="n">
        <v>131</v>
      </c>
      <c r="N186" s="148" t="n">
        <v>55</v>
      </c>
      <c r="O186" s="148" t="n"/>
      <c r="P186" s="148">
        <f>IF(AND(ISNUMBER(O186),ISNUMBER(N186),N(N186)&gt;0),O186/N186-1,"")</f>
        <v/>
      </c>
      <c r="Q186" s="148" t="n">
        <v>54.99</v>
      </c>
      <c r="R186" s="148">
        <f>IF(AND(ISNUMBER(N186),ISNUMBER(Q186),N(Q186)&gt;0),N186/Q186-1,"")</f>
        <v/>
      </c>
      <c r="S186" s="148" t="n">
        <v>4051</v>
      </c>
      <c r="T186" s="148" t="n">
        <v>35</v>
      </c>
      <c r="U186" s="148" t="n">
        <v>4.4</v>
      </c>
      <c r="V186" s="148" t="n">
        <v>1909</v>
      </c>
      <c r="W186" s="148" t="n">
        <v>171534</v>
      </c>
      <c r="X186" s="148" t="n">
        <v>0.5544749851341424</v>
      </c>
      <c r="Y186" s="148" t="n">
        <v>59</v>
      </c>
      <c r="Z186" s="148" t="n">
        <v>366</v>
      </c>
      <c r="AA186" s="148" t="n">
        <v>803</v>
      </c>
      <c r="AB186" s="148" t="n"/>
      <c r="AC186" s="148" t="inlineStr">
        <is>
          <t>US SL B4</t>
        </is>
      </c>
      <c r="AD186" s="148">
        <f>'US SL B4'!BF131</f>
        <v/>
      </c>
      <c r="AE186" s="148">
        <f>'US SL B4'!BI131</f>
        <v/>
      </c>
      <c r="AF186" s="148" t="inlineStr">
        <is>
          <t>Queen</t>
        </is>
      </c>
      <c r="AG186" s="148" t="inlineStr">
        <is>
          <t>Olive</t>
        </is>
      </c>
      <c r="AH186" s="148">
        <f>AND(E186="CA",OR('CA Dashboard'!$C$4="All",'CA Dashboard'!$C$4=D186),OR('CA Dashboard'!$C$5="All",'CA Dashboard'!$C$5=G186),OR('CA Dashboard'!$C$6="All",'CA Dashboard'!$C$6=H186),OR('CA Dashboard'!$C$7="All",'CA Dashboard'!$C$7=F186),OR('CA Dashboard'!$C$8="All",'CA Dashboard'!$C$8=AJ186))</f>
        <v/>
      </c>
      <c r="AI186" s="148">
        <f>IF(AH186,AI185+1,AI185)</f>
        <v/>
      </c>
      <c r="AJ186" s="148" t="inlineStr">
        <is>
          <t>Direct</t>
        </is>
      </c>
      <c r="AK186" s="148" t="inlineStr">
        <is>
          <t>Same product (sheet set) in the same material family: Bamboo viscose (product page material: Rayon); ours: our listing: viscose from bamboo.</t>
        </is>
      </c>
    </row>
    <row r="187">
      <c r="A187" s="148">
        <f>AND(E187="US",OR('US Dashboard'!$C$4="All",'US Dashboard'!$C$4=D187),OR('US Dashboard'!$C$5="All",'US Dashboard'!$C$5=G187),OR('US Dashboard'!$C$6="All",'US Dashboard'!$C$6=H187),OR('US Dashboard'!$C$7="All",'US Dashboard'!$C$7=F187),OR('US Dashboard'!$C$8="All",'US Dashboard'!$C$8=AJ187))</f>
        <v/>
      </c>
      <c r="B187" s="148">
        <f>IF(A187,B186+1,B186)</f>
        <v/>
      </c>
      <c r="C187" s="148" t="n">
        <v>36</v>
      </c>
      <c r="D187" s="148" t="inlineStr">
        <is>
          <t>SL B4</t>
        </is>
      </c>
      <c r="E187" s="148" t="inlineStr">
        <is>
          <t>US</t>
        </is>
      </c>
      <c r="F187" s="148" t="inlineStr">
        <is>
          <t>Bamboo</t>
        </is>
      </c>
      <c r="G187" s="148" t="inlineStr">
        <is>
          <t>AiAngu</t>
        </is>
      </c>
      <c r="H187" s="148" t="inlineStr">
        <is>
          <t>Poor</t>
        </is>
      </c>
      <c r="I187" s="148" t="inlineStr">
        <is>
          <t>Bamboo Sheets</t>
        </is>
      </c>
      <c r="J187" s="148" t="inlineStr">
        <is>
          <t>https://m.media-amazon.com/images/I/71m+WEzQwhL._AC_SL1500_.jpg</t>
        </is>
      </c>
      <c r="K187" s="148" t="inlineStr">
        <is>
          <t>B0GX135KCN</t>
        </is>
      </c>
      <c r="L187" s="148" t="inlineStr">
        <is>
          <t>B0GX15Y7TT</t>
        </is>
      </c>
      <c r="M187" s="148" t="n"/>
      <c r="N187" s="148" t="n">
        <v>74.98999999999999</v>
      </c>
      <c r="O187" s="148" t="n">
        <v>79.98999999999999</v>
      </c>
      <c r="P187" s="148">
        <f>IF(AND(ISNUMBER(O187),ISNUMBER(N187),N(N187)&gt;0),O187/N187-1,"")</f>
        <v/>
      </c>
      <c r="Q187" s="148" t="n">
        <v>54.99</v>
      </c>
      <c r="R187" s="148">
        <f>IF(AND(ISNUMBER(N187),ISNUMBER(Q187),N(Q187)&gt;0),N187/Q187-1,"")</f>
        <v/>
      </c>
      <c r="S187" s="148" t="n">
        <v>39296</v>
      </c>
      <c r="T187" s="148" t="n">
        <v>81</v>
      </c>
      <c r="U187" s="148" t="n">
        <v>4.6</v>
      </c>
      <c r="V187" s="148" t="n">
        <v>121</v>
      </c>
      <c r="W187" s="148" t="n"/>
      <c r="X187" s="148" t="n"/>
      <c r="Y187" s="148" t="n"/>
      <c r="Z187" s="148" t="n"/>
      <c r="AA187" s="148" t="n"/>
      <c r="AB187" s="148" t="n"/>
      <c r="AC187" s="148" t="inlineStr">
        <is>
          <t>US SL B4</t>
        </is>
      </c>
      <c r="AD187" s="148">
        <f>'US SL B4'!BF132</f>
        <v/>
      </c>
      <c r="AE187" s="148">
        <f>'US SL B4'!BI132</f>
        <v/>
      </c>
      <c r="AF187" s="148" t="inlineStr">
        <is>
          <t>Queen</t>
        </is>
      </c>
      <c r="AG187" s="148" t="inlineStr">
        <is>
          <t>Dark Grey</t>
        </is>
      </c>
      <c r="AH187" s="148">
        <f>AND(E187="CA",OR('CA Dashboard'!$C$4="All",'CA Dashboard'!$C$4=D187),OR('CA Dashboard'!$C$5="All",'CA Dashboard'!$C$5=G187),OR('CA Dashboard'!$C$6="All",'CA Dashboard'!$C$6=H187),OR('CA Dashboard'!$C$7="All",'CA Dashboard'!$C$7=F187),OR('CA Dashboard'!$C$8="All",'CA Dashboard'!$C$8=AJ187))</f>
        <v/>
      </c>
      <c r="AI187" s="148">
        <f>IF(AH187,AI186+1,AI186)</f>
        <v/>
      </c>
      <c r="AJ187" s="148" t="inlineStr">
        <is>
          <t>Direct</t>
        </is>
      </c>
      <c r="AK187" s="148" t="inlineStr">
        <is>
          <t>Same product (sheet set) in the same material family: Bamboo viscose (product page material: Rayon Derived from Bamboo); ours: our listing: viscose from bamboo.</t>
        </is>
      </c>
    </row>
    <row r="188">
      <c r="A188" s="148">
        <f>AND(E188="US",OR('US Dashboard'!$C$4="All",'US Dashboard'!$C$4=D188),OR('US Dashboard'!$C$5="All",'US Dashboard'!$C$5=G188),OR('US Dashboard'!$C$6="All",'US Dashboard'!$C$6=H188),OR('US Dashboard'!$C$7="All",'US Dashboard'!$C$7=F188),OR('US Dashboard'!$C$8="All",'US Dashboard'!$C$8=AJ188))</f>
        <v/>
      </c>
      <c r="B188" s="148">
        <f>IF(A188,B187+1,B187)</f>
        <v/>
      </c>
      <c r="C188" s="148" t="n">
        <v>36</v>
      </c>
      <c r="D188" s="148" t="inlineStr">
        <is>
          <t>SL B4</t>
        </is>
      </c>
      <c r="E188" s="148" t="inlineStr">
        <is>
          <t>US</t>
        </is>
      </c>
      <c r="F188" s="148" t="inlineStr">
        <is>
          <t>Bamboo</t>
        </is>
      </c>
      <c r="G188" s="148" t="inlineStr">
        <is>
          <t>Cariloha</t>
        </is>
      </c>
      <c r="H188" s="148" t="inlineStr">
        <is>
          <t>Poor</t>
        </is>
      </c>
      <c r="I188" s="148" t="inlineStr">
        <is>
          <t>Cariloha Aloha Soft Bamboo Viscose Sheet Set - Natural - Queen</t>
        </is>
      </c>
      <c r="J188" s="148" t="inlineStr">
        <is>
          <t>https://images-na.ssl-images-amazon.com/images/I/71Kvq1YdGJL.jpg</t>
        </is>
      </c>
      <c r="K188" s="148" t="inlineStr">
        <is>
          <t>B0F89K7BXJ</t>
        </is>
      </c>
      <c r="L188" s="148" t="inlineStr">
        <is>
          <t>B0DJV1K332</t>
        </is>
      </c>
      <c r="M188" s="148" t="n">
        <v>35</v>
      </c>
      <c r="N188" s="148" t="n">
        <v>107.1</v>
      </c>
      <c r="O188" s="148" t="n"/>
      <c r="P188" s="148">
        <f>IF(AND(ISNUMBER(O188),ISNUMBER(N188),N(N188)&gt;0),O188/N188-1,"")</f>
        <v/>
      </c>
      <c r="Q188" s="148" t="n">
        <v>54.99</v>
      </c>
      <c r="R188" s="148">
        <f>IF(AND(ISNUMBER(N188),ISNUMBER(Q188),N(Q188)&gt;0),N188/Q188-1,"")</f>
        <v/>
      </c>
      <c r="S188" s="148" t="n">
        <v>15882</v>
      </c>
      <c r="T188" s="148" t="n">
        <v>81</v>
      </c>
      <c r="U188" s="148" t="n">
        <v>4.4</v>
      </c>
      <c r="V188" s="148" t="n">
        <v>426</v>
      </c>
      <c r="W188" s="148" t="n"/>
      <c r="X188" s="148" t="n"/>
      <c r="Y188" s="148" t="n"/>
      <c r="Z188" s="148" t="n"/>
      <c r="AA188" s="148" t="n"/>
      <c r="AB188" s="148" t="n"/>
      <c r="AC188" s="148" t="inlineStr">
        <is>
          <t>US SL B4</t>
        </is>
      </c>
      <c r="AD188" s="148">
        <f>'US SL B4'!BF133</f>
        <v/>
      </c>
      <c r="AE188" s="148">
        <f>'US SL B4'!BI133</f>
        <v/>
      </c>
      <c r="AF188" s="148" t="inlineStr">
        <is>
          <t>Queen</t>
        </is>
      </c>
      <c r="AG188" s="148" t="inlineStr">
        <is>
          <t>Natural</t>
        </is>
      </c>
      <c r="AH188" s="148">
        <f>AND(E188="CA",OR('CA Dashboard'!$C$4="All",'CA Dashboard'!$C$4=D188),OR('CA Dashboard'!$C$5="All",'CA Dashboard'!$C$5=G188),OR('CA Dashboard'!$C$6="All",'CA Dashboard'!$C$6=H188),OR('CA Dashboard'!$C$7="All",'CA Dashboard'!$C$7=F188),OR('CA Dashboard'!$C$8="All",'CA Dashboard'!$C$8=AJ188))</f>
        <v/>
      </c>
      <c r="AI188" s="148">
        <f>IF(AH188,AI187+1,AI187)</f>
        <v/>
      </c>
      <c r="AJ188" s="148" t="inlineStr">
        <is>
          <t>Direct</t>
        </is>
      </c>
      <c r="AK188" s="148" t="inlineStr">
        <is>
          <t>Same product (sheet set) in the same material family: Bamboo viscose (product page material: Viscose derived from Bamboo); ours: our listing: viscose from bamboo.</t>
        </is>
      </c>
    </row>
    <row r="189">
      <c r="A189" s="148">
        <f>AND(E189="US",OR('US Dashboard'!$C$4="All",'US Dashboard'!$C$4=D189),OR('US Dashboard'!$C$5="All",'US Dashboard'!$C$5=G189),OR('US Dashboard'!$C$6="All",'US Dashboard'!$C$6=H189),OR('US Dashboard'!$C$7="All",'US Dashboard'!$C$7=F189),OR('US Dashboard'!$C$8="All",'US Dashboard'!$C$8=AJ189))</f>
        <v/>
      </c>
      <c r="B189" s="148">
        <f>IF(A189,B188+1,B188)</f>
        <v/>
      </c>
      <c r="C189" s="148" t="n">
        <v>36</v>
      </c>
      <c r="D189" s="148" t="inlineStr">
        <is>
          <t>SL B4</t>
        </is>
      </c>
      <c r="E189" s="148" t="inlineStr">
        <is>
          <t>US</t>
        </is>
      </c>
      <c r="F189" s="148" t="inlineStr">
        <is>
          <t>Bamboo</t>
        </is>
      </c>
      <c r="G189" s="148" t="inlineStr">
        <is>
          <t>Cozy Earth</t>
        </is>
      </c>
      <c r="H189" s="148" t="inlineStr">
        <is>
          <t>Poor</t>
        </is>
      </c>
      <c r="I189" s="148" t="inlineStr">
        <is>
          <t>Cozy Earth Luxury Bed Sheet Set, 100% Viscose from Bamboo Fabric</t>
        </is>
      </c>
      <c r="J189" s="148" t="inlineStr">
        <is>
          <t>https://images-na.ssl-images-amazon.com/images/I/61NbNWE+BJL.jpg</t>
        </is>
      </c>
      <c r="K189" s="148" t="inlineStr">
        <is>
          <t>B0DSQ9V4ML</t>
        </is>
      </c>
      <c r="L189" s="148" t="inlineStr">
        <is>
          <t>B0F22JR4S8</t>
        </is>
      </c>
      <c r="M189" s="148" t="n">
        <v>54</v>
      </c>
      <c r="N189" s="148" t="n">
        <v>328</v>
      </c>
      <c r="O189" s="148" t="n"/>
      <c r="P189" s="148">
        <f>IF(AND(ISNUMBER(O189),ISNUMBER(N189),N(N189)&gt;0),O189/N189-1,"")</f>
        <v/>
      </c>
      <c r="Q189" s="148" t="n">
        <v>54.99</v>
      </c>
      <c r="R189" s="148">
        <f>IF(AND(ISNUMBER(N189),ISNUMBER(Q189),N(Q189)&gt;0),N189/Q189-1,"")</f>
        <v/>
      </c>
      <c r="S189" s="148" t="n">
        <v>45709</v>
      </c>
      <c r="T189" s="148" t="n">
        <v>35</v>
      </c>
      <c r="U189" s="148" t="n">
        <v>3.9</v>
      </c>
      <c r="V189" s="148" t="n">
        <v>425</v>
      </c>
      <c r="W189" s="148" t="n"/>
      <c r="X189" s="148" t="n"/>
      <c r="Y189" s="148" t="n"/>
      <c r="Z189" s="148" t="n"/>
      <c r="AA189" s="148" t="n"/>
      <c r="AB189" s="148" t="n"/>
      <c r="AC189" s="148" t="inlineStr">
        <is>
          <t>US SL B4</t>
        </is>
      </c>
      <c r="AD189" s="148">
        <f>'US SL B4'!BF134</f>
        <v/>
      </c>
      <c r="AE189" s="148">
        <f>'US SL B4'!BI134</f>
        <v/>
      </c>
      <c r="AF189" s="148" t="inlineStr">
        <is>
          <t>King</t>
        </is>
      </c>
      <c r="AG189" s="148" t="inlineStr">
        <is>
          <t>White</t>
        </is>
      </c>
      <c r="AH189" s="148">
        <f>AND(E189="CA",OR('CA Dashboard'!$C$4="All",'CA Dashboard'!$C$4=D189),OR('CA Dashboard'!$C$5="All",'CA Dashboard'!$C$5=G189),OR('CA Dashboard'!$C$6="All",'CA Dashboard'!$C$6=H189),OR('CA Dashboard'!$C$7="All",'CA Dashboard'!$C$7=F189),OR('CA Dashboard'!$C$8="All",'CA Dashboard'!$C$8=AJ189))</f>
        <v/>
      </c>
      <c r="AI189" s="148">
        <f>IF(AH189,AI188+1,AI188)</f>
        <v/>
      </c>
      <c r="AJ189" s="148" t="inlineStr">
        <is>
          <t>Direct</t>
        </is>
      </c>
      <c r="AK189" s="148" t="inlineStr">
        <is>
          <t>Same product (sheet set) in the same material family: Bamboo viscose (product page material: Viscose from Bamboo); ours: our listing: viscose from bamboo.</t>
        </is>
      </c>
    </row>
    <row r="190">
      <c r="A190" s="148">
        <f>AND(E190="US",OR('US Dashboard'!$C$4="All",'US Dashboard'!$C$4=D190),OR('US Dashboard'!$C$5="All",'US Dashboard'!$C$5=G190),OR('US Dashboard'!$C$6="All",'US Dashboard'!$C$6=H190),OR('US Dashboard'!$C$7="All",'US Dashboard'!$C$7=F190),OR('US Dashboard'!$C$8="All",'US Dashboard'!$C$8=AJ190))</f>
        <v/>
      </c>
      <c r="B190" s="148">
        <f>IF(A190,B189+1,B189)</f>
        <v/>
      </c>
      <c r="C190" s="148" t="n">
        <v>36</v>
      </c>
      <c r="D190" s="148" t="inlineStr">
        <is>
          <t>SL B4</t>
        </is>
      </c>
      <c r="E190" s="148" t="inlineStr">
        <is>
          <t>US</t>
        </is>
      </c>
      <c r="F190" s="148" t="inlineStr">
        <is>
          <t>Bamboo</t>
        </is>
      </c>
      <c r="G190" s="148" t="inlineStr">
        <is>
          <t>DREAMCARE</t>
        </is>
      </c>
      <c r="H190" s="148" t="inlineStr">
        <is>
          <t>Poor</t>
        </is>
      </c>
      <c r="I190" s="148" t="inlineStr">
        <is>
          <t>DREAMCARE 100% Rayon Bamboo Sheets King Size - 4pc Cooling Sheets King Size</t>
        </is>
      </c>
      <c r="J190" s="148" t="inlineStr">
        <is>
          <t>https://images-na.ssl-images-amazon.com/images/I/61iqSV9TaLL.jpg</t>
        </is>
      </c>
      <c r="K190" s="148" t="inlineStr">
        <is>
          <t>B0DVZFLVMG</t>
        </is>
      </c>
      <c r="L190" s="148" t="inlineStr">
        <is>
          <t>B0CF2MND41</t>
        </is>
      </c>
      <c r="M190" s="148" t="n">
        <v>30</v>
      </c>
      <c r="N190" s="148" t="n">
        <v>46.74</v>
      </c>
      <c r="O190" s="148" t="n">
        <v>59.99</v>
      </c>
      <c r="P190" s="148">
        <f>IF(AND(ISNUMBER(O190),ISNUMBER(N190),N(N190)&gt;0),O190/N190-1,"")</f>
        <v/>
      </c>
      <c r="Q190" s="148" t="n">
        <v>54.99</v>
      </c>
      <c r="R190" s="148">
        <f>IF(AND(ISNUMBER(N190),ISNUMBER(Q190),N(Q190)&gt;0),N190/Q190-1,"")</f>
        <v/>
      </c>
      <c r="S190" s="148" t="n">
        <v>37217</v>
      </c>
      <c r="T190" s="148" t="n">
        <v>35</v>
      </c>
      <c r="U190" s="148" t="n">
        <v>4.5</v>
      </c>
      <c r="V190" s="148" t="n">
        <v>2261</v>
      </c>
      <c r="W190" s="148" t="n"/>
      <c r="X190" s="148" t="n"/>
      <c r="Y190" s="148" t="n"/>
      <c r="Z190" s="148" t="n"/>
      <c r="AA190" s="148" t="n"/>
      <c r="AB190" s="148" t="n"/>
      <c r="AC190" s="148" t="inlineStr">
        <is>
          <t>US SL B4</t>
        </is>
      </c>
      <c r="AD190" s="148">
        <f>'US SL B4'!BF135</f>
        <v/>
      </c>
      <c r="AE190" s="148">
        <f>'US SL B4'!BI135</f>
        <v/>
      </c>
      <c r="AF190" s="148" t="inlineStr">
        <is>
          <t>King</t>
        </is>
      </c>
      <c r="AG190" s="148" t="inlineStr">
        <is>
          <t>5 - Gray</t>
        </is>
      </c>
      <c r="AH190" s="148">
        <f>AND(E190="CA",OR('CA Dashboard'!$C$4="All",'CA Dashboard'!$C$4=D190),OR('CA Dashboard'!$C$5="All",'CA Dashboard'!$C$5=G190),OR('CA Dashboard'!$C$6="All",'CA Dashboard'!$C$6=H190),OR('CA Dashboard'!$C$7="All",'CA Dashboard'!$C$7=F190),OR('CA Dashboard'!$C$8="All",'CA Dashboard'!$C$8=AJ190))</f>
        <v/>
      </c>
      <c r="AI190" s="148">
        <f>IF(AH190,AI189+1,AI189)</f>
        <v/>
      </c>
      <c r="AJ190" s="148" t="inlineStr">
        <is>
          <t>Direct</t>
        </is>
      </c>
      <c r="AK190" s="148" t="inlineStr">
        <is>
          <t>Same product (sheet set) in the same material family: Bamboo viscose (product page material: Viscose derived from Bamboo); ours: our listing: viscose from bamboo.</t>
        </is>
      </c>
    </row>
    <row r="191">
      <c r="A191" s="148">
        <f>AND(E191="US",OR('US Dashboard'!$C$4="All",'US Dashboard'!$C$4=D191),OR('US Dashboard'!$C$5="All",'US Dashboard'!$C$5=G191),OR('US Dashboard'!$C$6="All",'US Dashboard'!$C$6=H191),OR('US Dashboard'!$C$7="All",'US Dashboard'!$C$7=F191),OR('US Dashboard'!$C$8="All",'US Dashboard'!$C$8=AJ191))</f>
        <v/>
      </c>
      <c r="B191" s="148">
        <f>IF(A191,B190+1,B190)</f>
        <v/>
      </c>
      <c r="C191" s="148" t="n">
        <v>36</v>
      </c>
      <c r="D191" s="148" t="inlineStr">
        <is>
          <t>SL B4</t>
        </is>
      </c>
      <c r="E191" s="148" t="inlineStr">
        <is>
          <t>US</t>
        </is>
      </c>
      <c r="F191" s="148" t="inlineStr">
        <is>
          <t>Bamboo</t>
        </is>
      </c>
      <c r="G191" s="148" t="inlineStr">
        <is>
          <t>HOT SLEEPER SHEETS</t>
        </is>
      </c>
      <c r="H191" s="148" t="inlineStr">
        <is>
          <t>Poor</t>
        </is>
      </c>
      <c r="I191" s="148" t="inlineStr">
        <is>
          <t>Cooling Sheets Set Queen Size, Viscose Derived from Bamboo for Hot Sleepers | Deep Pocket Up to 16 Inch | Silky Soft &amp; Breathable Bedding - 4PC (Queen, Navy)</t>
        </is>
      </c>
      <c r="J191" s="148" t="inlineStr">
        <is>
          <t>https://images-na.ssl-images-amazon.com/images/I/81noqNc+ZjL.jpg</t>
        </is>
      </c>
      <c r="K191" s="148" t="inlineStr">
        <is>
          <t>B0DM3GDCTR</t>
        </is>
      </c>
      <c r="L191" s="148" t="inlineStr">
        <is>
          <t>B0D3XQM7DL</t>
        </is>
      </c>
      <c r="M191" s="148" t="n">
        <v>74</v>
      </c>
      <c r="N191" s="148" t="n">
        <v>51.29</v>
      </c>
      <c r="O191" s="148" t="n">
        <v>62.99</v>
      </c>
      <c r="P191" s="148">
        <f>IF(AND(ISNUMBER(O191),ISNUMBER(N191),N(N191)&gt;0),O191/N191-1,"")</f>
        <v/>
      </c>
      <c r="Q191" s="148" t="n">
        <v>54.99</v>
      </c>
      <c r="R191" s="148">
        <f>IF(AND(ISNUMBER(N191),ISNUMBER(Q191),N(Q191)&gt;0),N191/Q191-1,"")</f>
        <v/>
      </c>
      <c r="S191" s="148" t="n">
        <v>33959</v>
      </c>
      <c r="T191" s="148" t="n">
        <v>35</v>
      </c>
      <c r="U191" s="148" t="n">
        <v>4.4</v>
      </c>
      <c r="V191" s="148" t="n">
        <v>674</v>
      </c>
      <c r="W191" s="148" t="n"/>
      <c r="X191" s="148" t="n"/>
      <c r="Y191" s="148" t="n"/>
      <c r="Z191" s="148" t="n"/>
      <c r="AA191" s="148" t="n"/>
      <c r="AB191" s="148" t="n"/>
      <c r="AC191" s="148" t="inlineStr">
        <is>
          <t>US SL B4</t>
        </is>
      </c>
      <c r="AD191" s="148">
        <f>'US SL B4'!BF136</f>
        <v/>
      </c>
      <c r="AE191" s="148">
        <f>'US SL B4'!BI136</f>
        <v/>
      </c>
      <c r="AF191" s="148" t="inlineStr">
        <is>
          <t>Queen</t>
        </is>
      </c>
      <c r="AG191" s="148" t="inlineStr">
        <is>
          <t>Navy</t>
        </is>
      </c>
      <c r="AH191" s="148">
        <f>AND(E191="CA",OR('CA Dashboard'!$C$4="All",'CA Dashboard'!$C$4=D191),OR('CA Dashboard'!$C$5="All",'CA Dashboard'!$C$5=G191),OR('CA Dashboard'!$C$6="All",'CA Dashboard'!$C$6=H191),OR('CA Dashboard'!$C$7="All",'CA Dashboard'!$C$7=F191),OR('CA Dashboard'!$C$8="All",'CA Dashboard'!$C$8=AJ191))</f>
        <v/>
      </c>
      <c r="AI191" s="148">
        <f>IF(AH191,AI190+1,AI190)</f>
        <v/>
      </c>
      <c r="AJ191" s="148" t="inlineStr">
        <is>
          <t>Direct</t>
        </is>
      </c>
      <c r="AK191" s="148" t="inlineStr">
        <is>
          <t>Same product (sheet set) in the same material family: Bamboo viscose (title: Cooling Sheets Set Queen Size, Viscose Derived from Bamboo f); ours: our listing: viscose from bamboo.</t>
        </is>
      </c>
    </row>
    <row r="192">
      <c r="A192" s="148">
        <f>AND(E192="US",OR('US Dashboard'!$C$4="All",'US Dashboard'!$C$4=D192),OR('US Dashboard'!$C$5="All",'US Dashboard'!$C$5=G192),OR('US Dashboard'!$C$6="All",'US Dashboard'!$C$6=H192),OR('US Dashboard'!$C$7="All",'US Dashboard'!$C$7=F192),OR('US Dashboard'!$C$8="All",'US Dashboard'!$C$8=AJ192))</f>
        <v/>
      </c>
      <c r="B192" s="148">
        <f>IF(A192,B191+1,B191)</f>
        <v/>
      </c>
      <c r="C192" s="148" t="n">
        <v>36</v>
      </c>
      <c r="D192" s="148" t="inlineStr">
        <is>
          <t>SL B4</t>
        </is>
      </c>
      <c r="E192" s="148" t="inlineStr">
        <is>
          <t>US</t>
        </is>
      </c>
      <c r="F192" s="148" t="inlineStr">
        <is>
          <t>Bamboo</t>
        </is>
      </c>
      <c r="G192" s="148" t="inlineStr">
        <is>
          <t>Shilucheng</t>
        </is>
      </c>
      <c r="H192" s="148" t="inlineStr">
        <is>
          <t>Poor</t>
        </is>
      </c>
      <c r="I192" s="148" t="inlineStr">
        <is>
          <t>Shilucheng 100% Viscose Derived from Bamboo_ Sheets Queen Size 4pcs</t>
        </is>
      </c>
      <c r="J192" s="148" t="inlineStr">
        <is>
          <t>https://images-na.ssl-images-amazon.com/images/I/71+O+E9PlaL.jpg</t>
        </is>
      </c>
      <c r="K192" s="148" t="inlineStr">
        <is>
          <t>B0HK5V5KL1</t>
        </is>
      </c>
      <c r="L192" s="148" t="inlineStr">
        <is>
          <t>B09PYKYCCF</t>
        </is>
      </c>
      <c r="M192" s="148" t="n">
        <v>79</v>
      </c>
      <c r="N192" s="148" t="n">
        <v>46.66</v>
      </c>
      <c r="O192" s="148" t="n">
        <v>54.9</v>
      </c>
      <c r="P192" s="148">
        <f>IF(AND(ISNUMBER(O192),ISNUMBER(N192),N(N192)&gt;0),O192/N192-1,"")</f>
        <v/>
      </c>
      <c r="Q192" s="148" t="n">
        <v>54.99</v>
      </c>
      <c r="R192" s="148">
        <f>IF(AND(ISNUMBER(N192),ISNUMBER(Q192),N(Q192)&gt;0),N192/Q192-1,"")</f>
        <v/>
      </c>
      <c r="S192" s="148" t="n">
        <v>26043</v>
      </c>
      <c r="T192" s="148" t="n">
        <v>35</v>
      </c>
      <c r="U192" s="148" t="n">
        <v>4.4</v>
      </c>
      <c r="V192" s="148" t="n">
        <v>6629</v>
      </c>
      <c r="W192" s="148" t="n"/>
      <c r="X192" s="148" t="n"/>
      <c r="Y192" s="148" t="n"/>
      <c r="Z192" s="148" t="n"/>
      <c r="AA192" s="148" t="n"/>
      <c r="AB192" s="148" t="n"/>
      <c r="AC192" s="148" t="inlineStr">
        <is>
          <t>US SL B4</t>
        </is>
      </c>
      <c r="AD192" s="148">
        <f>'US SL B4'!BF137</f>
        <v/>
      </c>
      <c r="AE192" s="148">
        <f>'US SL B4'!BI137</f>
        <v/>
      </c>
      <c r="AF192" s="148" t="inlineStr">
        <is>
          <t>Queen</t>
        </is>
      </c>
      <c r="AG192" s="148" t="inlineStr">
        <is>
          <t>01 - Dark Grey</t>
        </is>
      </c>
      <c r="AH192" s="148">
        <f>AND(E192="CA",OR('CA Dashboard'!$C$4="All",'CA Dashboard'!$C$4=D192),OR('CA Dashboard'!$C$5="All",'CA Dashboard'!$C$5=G192),OR('CA Dashboard'!$C$6="All",'CA Dashboard'!$C$6=H192),OR('CA Dashboard'!$C$7="All",'CA Dashboard'!$C$7=F192),OR('CA Dashboard'!$C$8="All",'CA Dashboard'!$C$8=AJ192))</f>
        <v/>
      </c>
      <c r="AI192" s="148">
        <f>IF(AH192,AI191+1,AI191)</f>
        <v/>
      </c>
      <c r="AJ192" s="148" t="inlineStr">
        <is>
          <t>Direct</t>
        </is>
      </c>
      <c r="AK192" s="148" t="inlineStr">
        <is>
          <t>Same product (sheet set) in the same material family: Bamboo viscose (product page material: Viscose Derived from Bamboo); ours: our listing: viscose from bamboo.</t>
        </is>
      </c>
    </row>
    <row r="193">
      <c r="A193" s="148">
        <f>AND(E193="US",OR('US Dashboard'!$C$4="All",'US Dashboard'!$C$4=D193),OR('US Dashboard'!$C$5="All",'US Dashboard'!$C$5=G193),OR('US Dashboard'!$C$6="All",'US Dashboard'!$C$6=H193),OR('US Dashboard'!$C$7="All",'US Dashboard'!$C$7=F193),OR('US Dashboard'!$C$8="All",'US Dashboard'!$C$8=AJ193))</f>
        <v/>
      </c>
      <c r="B193" s="148">
        <f>IF(A193,B192+1,B192)</f>
        <v/>
      </c>
      <c r="C193" s="148" t="n">
        <v>36</v>
      </c>
      <c r="D193" s="148" t="inlineStr">
        <is>
          <t>SL B4</t>
        </is>
      </c>
      <c r="E193" s="148" t="inlineStr">
        <is>
          <t>US</t>
        </is>
      </c>
      <c r="F193" s="148" t="inlineStr">
        <is>
          <t>Bamboo</t>
        </is>
      </c>
      <c r="G193" s="148" t="inlineStr">
        <is>
          <t>Bamtek</t>
        </is>
      </c>
      <c r="H193" s="148" t="inlineStr">
        <is>
          <t>Poor</t>
        </is>
      </c>
      <c r="I193" s="148" t="inlineStr">
        <is>
          <t>Viscose Bamboo Sheets Queen Size 4PC Set - Cooling Bedding for Hot Sleepers with</t>
        </is>
      </c>
      <c r="J193" s="148" t="inlineStr">
        <is>
          <t>https://m.media-amazon.com/images/I/71zexS-HoPL._AC_SL1500_.jpg</t>
        </is>
      </c>
      <c r="K193" s="148" t="inlineStr">
        <is>
          <t>B0CZHCZQZ3</t>
        </is>
      </c>
      <c r="L193" s="148" t="inlineStr">
        <is>
          <t>B09TQ6ZVKZ</t>
        </is>
      </c>
      <c r="M193" s="148" t="n"/>
      <c r="N193" s="148" t="n">
        <v>94.98999999999999</v>
      </c>
      <c r="O193" s="148" t="n"/>
      <c r="P193" s="148">
        <f>IF(AND(ISNUMBER(O193),ISNUMBER(N193),N(N193)&gt;0),O193/N193-1,"")</f>
        <v/>
      </c>
      <c r="Q193" s="148" t="n">
        <v>54.99</v>
      </c>
      <c r="R193" s="148">
        <f>IF(AND(ISNUMBER(N193),ISNUMBER(Q193),N(Q193)&gt;0),N193/Q193-1,"")</f>
        <v/>
      </c>
      <c r="S193" s="148" t="n">
        <v>79376</v>
      </c>
      <c r="T193" s="148" t="n">
        <v>18</v>
      </c>
      <c r="U193" s="148" t="n">
        <v>4.4</v>
      </c>
      <c r="V193" s="148" t="n">
        <v>641</v>
      </c>
      <c r="W193" s="148" t="n"/>
      <c r="X193" s="148" t="n"/>
      <c r="Y193" s="148" t="n"/>
      <c r="Z193" s="148" t="n"/>
      <c r="AA193" s="148" t="n"/>
      <c r="AB193" s="148" t="n"/>
      <c r="AC193" s="148" t="inlineStr">
        <is>
          <t>US SL B4</t>
        </is>
      </c>
      <c r="AD193" s="148">
        <f>'US SL B4'!BF138</f>
        <v/>
      </c>
      <c r="AE193" s="148">
        <f>'US SL B4'!BI138</f>
        <v/>
      </c>
      <c r="AF193" s="148" t="inlineStr">
        <is>
          <t>Queen</t>
        </is>
      </c>
      <c r="AG193" s="148" t="inlineStr">
        <is>
          <t>Sage</t>
        </is>
      </c>
      <c r="AH193" s="148">
        <f>AND(E193="CA",OR('CA Dashboard'!$C$4="All",'CA Dashboard'!$C$4=D193),OR('CA Dashboard'!$C$5="All",'CA Dashboard'!$C$5=G193),OR('CA Dashboard'!$C$6="All",'CA Dashboard'!$C$6=H193),OR('CA Dashboard'!$C$7="All",'CA Dashboard'!$C$7=F193),OR('CA Dashboard'!$C$8="All",'CA Dashboard'!$C$8=AJ193))</f>
        <v/>
      </c>
      <c r="AI193" s="148">
        <f>IF(AH193,AI192+1,AI192)</f>
        <v/>
      </c>
      <c r="AJ193" s="148" t="inlineStr">
        <is>
          <t>Direct</t>
        </is>
      </c>
      <c r="AK193" s="148" t="inlineStr">
        <is>
          <t>Same product (sheet set) in the same material family: Bamboo viscose (product page material: Bamboo, Bamboo Viscose); ours: our listing: viscose from bamboo.</t>
        </is>
      </c>
    </row>
    <row r="194">
      <c r="A194" s="148">
        <f>AND(E194="US",OR('US Dashboard'!$C$4="All",'US Dashboard'!$C$4=D194),OR('US Dashboard'!$C$5="All",'US Dashboard'!$C$5=G194),OR('US Dashboard'!$C$6="All",'US Dashboard'!$C$6=H194),OR('US Dashboard'!$C$7="All",'US Dashboard'!$C$7=F194),OR('US Dashboard'!$C$8="All",'US Dashboard'!$C$8=AJ194))</f>
        <v/>
      </c>
      <c r="B194" s="148">
        <f>IF(A194,B193+1,B193)</f>
        <v/>
      </c>
      <c r="C194" s="148" t="n">
        <v>36</v>
      </c>
      <c r="D194" s="148" t="inlineStr">
        <is>
          <t>SL B4</t>
        </is>
      </c>
      <c r="E194" s="148" t="inlineStr">
        <is>
          <t>US</t>
        </is>
      </c>
      <c r="F194" s="148" t="inlineStr">
        <is>
          <t>Bamboo</t>
        </is>
      </c>
      <c r="G194" s="148" t="inlineStr">
        <is>
          <t>JSD</t>
        </is>
      </c>
      <c r="H194" s="148" t="inlineStr">
        <is>
          <t>Poor</t>
        </is>
      </c>
      <c r="I194" s="148" t="inlineStr">
        <is>
          <t>JSD Sage Green 100% Viscose Derived from Bamboo Cooling Sheet Set Queen</t>
        </is>
      </c>
      <c r="J194" s="148" t="inlineStr">
        <is>
          <t>https://images-na.ssl-images-amazon.com/images/I/61imzycbiwL.jpg</t>
        </is>
      </c>
      <c r="K194" s="148" t="inlineStr">
        <is>
          <t>B0DTY15N29</t>
        </is>
      </c>
      <c r="L194" s="148" t="inlineStr">
        <is>
          <t>B0DSZTLBV1</t>
        </is>
      </c>
      <c r="M194" s="148" t="n">
        <v>32</v>
      </c>
      <c r="N194" s="148" t="n">
        <v>56.99</v>
      </c>
      <c r="O194" s="148" t="n"/>
      <c r="P194" s="148">
        <f>IF(AND(ISNUMBER(O194),ISNUMBER(N194),N(N194)&gt;0),O194/N194-1,"")</f>
        <v/>
      </c>
      <c r="Q194" s="148" t="n">
        <v>54.99</v>
      </c>
      <c r="R194" s="148">
        <f>IF(AND(ISNUMBER(N194),ISNUMBER(Q194),N(Q194)&gt;0),N194/Q194-1,"")</f>
        <v/>
      </c>
      <c r="S194" s="148" t="n">
        <v>76312</v>
      </c>
      <c r="T194" s="148" t="n">
        <v>18</v>
      </c>
      <c r="U194" s="148" t="n">
        <v>4.3</v>
      </c>
      <c r="V194" s="148" t="n">
        <v>281</v>
      </c>
      <c r="W194" s="148" t="n"/>
      <c r="X194" s="148" t="n"/>
      <c r="Y194" s="148" t="n"/>
      <c r="Z194" s="148" t="n"/>
      <c r="AA194" s="148" t="n"/>
      <c r="AB194" s="148" t="n"/>
      <c r="AC194" s="148" t="inlineStr">
        <is>
          <t>US SL B4</t>
        </is>
      </c>
      <c r="AD194" s="148">
        <f>'US SL B4'!BF139</f>
        <v/>
      </c>
      <c r="AE194" s="148">
        <f>'US SL B4'!BI139</f>
        <v/>
      </c>
      <c r="AF194" s="148" t="inlineStr">
        <is>
          <t>Queen</t>
        </is>
      </c>
      <c r="AG194" s="148" t="inlineStr">
        <is>
          <t>Green</t>
        </is>
      </c>
      <c r="AH194" s="148">
        <f>AND(E194="CA",OR('CA Dashboard'!$C$4="All",'CA Dashboard'!$C$4=D194),OR('CA Dashboard'!$C$5="All",'CA Dashboard'!$C$5=G194),OR('CA Dashboard'!$C$6="All",'CA Dashboard'!$C$6=H194),OR('CA Dashboard'!$C$7="All",'CA Dashboard'!$C$7=F194),OR('CA Dashboard'!$C$8="All",'CA Dashboard'!$C$8=AJ194))</f>
        <v/>
      </c>
      <c r="AI194" s="148">
        <f>IF(AH194,AI193+1,AI193)</f>
        <v/>
      </c>
      <c r="AJ194" s="148" t="inlineStr">
        <is>
          <t>Direct</t>
        </is>
      </c>
      <c r="AK194" s="148" t="inlineStr">
        <is>
          <t>Same product (sheet set) in the same material family: Bamboo viscose (title: JSD Sage Green 100% Viscose Derived from Bamboo Cooling Shee); ours: our listing: viscose from bamboo.</t>
        </is>
      </c>
    </row>
    <row r="195">
      <c r="A195" s="148">
        <f>AND(E195="US",OR('US Dashboard'!$C$4="All",'US Dashboard'!$C$4=D195),OR('US Dashboard'!$C$5="All",'US Dashboard'!$C$5=G195),OR('US Dashboard'!$C$6="All",'US Dashboard'!$C$6=H195),OR('US Dashboard'!$C$7="All",'US Dashboard'!$C$7=F195),OR('US Dashboard'!$C$8="All",'US Dashboard'!$C$8=AJ195))</f>
        <v/>
      </c>
      <c r="B195" s="148">
        <f>IF(A195,B194+1,B194)</f>
        <v/>
      </c>
      <c r="C195" s="148" t="n">
        <v>36</v>
      </c>
      <c r="D195" s="148" t="inlineStr">
        <is>
          <t>SL B4</t>
        </is>
      </c>
      <c r="E195" s="148" t="inlineStr">
        <is>
          <t>US</t>
        </is>
      </c>
      <c r="F195" s="148" t="inlineStr">
        <is>
          <t>Bamboo</t>
        </is>
      </c>
      <c r="G195" s="148" t="inlineStr">
        <is>
          <t>Kickoff Home</t>
        </is>
      </c>
      <c r="H195" s="148" t="inlineStr">
        <is>
          <t>Poor</t>
        </is>
      </c>
      <c r="I195" s="148" t="inlineStr">
        <is>
          <t>Bamboo Sheets</t>
        </is>
      </c>
      <c r="J195" s="148" t="inlineStr">
        <is>
          <t>https://images-na.ssl-images-amazon.com/images/I/71zrq2AtnUL.jpg</t>
        </is>
      </c>
      <c r="K195" s="148" t="inlineStr">
        <is>
          <t>B0D4KS4MVX</t>
        </is>
      </c>
      <c r="L195" s="148" t="inlineStr">
        <is>
          <t>B0CHN5ZPFH</t>
        </is>
      </c>
      <c r="M195" s="148" t="n">
        <v>106</v>
      </c>
      <c r="N195" s="148" t="n">
        <v>86.98999999999999</v>
      </c>
      <c r="O195" s="148" t="n">
        <v>84.98999999999999</v>
      </c>
      <c r="P195" s="148">
        <f>IF(AND(ISNUMBER(O195),ISNUMBER(N195),N(N195)&gt;0),O195/N195-1,"")</f>
        <v/>
      </c>
      <c r="Q195" s="148" t="n">
        <v>54.99</v>
      </c>
      <c r="R195" s="148">
        <f>IF(AND(ISNUMBER(N195),ISNUMBER(Q195),N(Q195)&gt;0),N195/Q195-1,"")</f>
        <v/>
      </c>
      <c r="S195" s="148" t="n">
        <v>23579</v>
      </c>
      <c r="T195" s="148" t="n">
        <v>18</v>
      </c>
      <c r="U195" s="148" t="n">
        <v>4.6</v>
      </c>
      <c r="V195" s="148" t="n">
        <v>688</v>
      </c>
      <c r="W195" s="148" t="n">
        <v>58169</v>
      </c>
      <c r="X195" s="148" t="n">
        <v>0.8765498702057799</v>
      </c>
      <c r="Y195" s="148" t="n">
        <v>117</v>
      </c>
      <c r="Z195" s="148" t="n">
        <v>207</v>
      </c>
      <c r="AA195" s="148" t="n">
        <v>110</v>
      </c>
      <c r="AB195" s="148" t="n"/>
      <c r="AC195" s="148" t="inlineStr">
        <is>
          <t>US SL B4</t>
        </is>
      </c>
      <c r="AD195" s="148">
        <f>'US SL B4'!BF140</f>
        <v/>
      </c>
      <c r="AE195" s="148">
        <f>'US SL B4'!BI140</f>
        <v/>
      </c>
      <c r="AF195" s="148" t="inlineStr">
        <is>
          <t>King</t>
        </is>
      </c>
      <c r="AG195" s="148" t="inlineStr">
        <is>
          <t>Sage Green</t>
        </is>
      </c>
      <c r="AH195" s="148">
        <f>AND(E195="CA",OR('CA Dashboard'!$C$4="All",'CA Dashboard'!$C$4=D195),OR('CA Dashboard'!$C$5="All",'CA Dashboard'!$C$5=G195),OR('CA Dashboard'!$C$6="All",'CA Dashboard'!$C$6=H195),OR('CA Dashboard'!$C$7="All",'CA Dashboard'!$C$7=F195),OR('CA Dashboard'!$C$8="All",'CA Dashboard'!$C$8=AJ195))</f>
        <v/>
      </c>
      <c r="AI195" s="148">
        <f>IF(AH195,AI194+1,AI194)</f>
        <v/>
      </c>
      <c r="AJ195" s="148" t="inlineStr">
        <is>
          <t>Direct</t>
        </is>
      </c>
      <c r="AK195" s="148" t="inlineStr">
        <is>
          <t>Same product (sheet set) in the same material family: Bamboo viscose (product page material: Viscose from Bamboo); ours: our listing: viscose from bamboo.</t>
        </is>
      </c>
    </row>
    <row r="196">
      <c r="A196" s="148">
        <f>AND(E196="US",OR('US Dashboard'!$C$4="All",'US Dashboard'!$C$4=D196),OR('US Dashboard'!$C$5="All",'US Dashboard'!$C$5=G196),OR('US Dashboard'!$C$6="All",'US Dashboard'!$C$6=H196),OR('US Dashboard'!$C$7="All",'US Dashboard'!$C$7=F196),OR('US Dashboard'!$C$8="All",'US Dashboard'!$C$8=AJ196))</f>
        <v/>
      </c>
      <c r="B196" s="148">
        <f>IF(A196,B195+1,B195)</f>
        <v/>
      </c>
      <c r="C196" s="148" t="n">
        <v>36</v>
      </c>
      <c r="D196" s="148" t="inlineStr">
        <is>
          <t>SL B4</t>
        </is>
      </c>
      <c r="E196" s="148" t="inlineStr">
        <is>
          <t>US</t>
        </is>
      </c>
      <c r="F196" s="148" t="inlineStr">
        <is>
          <t>Bamboo</t>
        </is>
      </c>
      <c r="G196" s="148" t="inlineStr">
        <is>
          <t>LB Luxury Bamboo Market</t>
        </is>
      </c>
      <c r="H196" s="148" t="inlineStr">
        <is>
          <t>Poor</t>
        </is>
      </c>
      <c r="I196" s="148" t="inlineStr">
        <is>
          <t>Bamboo Sheets</t>
        </is>
      </c>
      <c r="J196" s="148" t="inlineStr">
        <is>
          <t>https://m.media-amazon.com/images/I/81xjJeiirqL._AC_SL1500_.jpg</t>
        </is>
      </c>
      <c r="K196" s="148" t="inlineStr">
        <is>
          <t>B0D1HWHDL2</t>
        </is>
      </c>
      <c r="L196" s="148" t="inlineStr">
        <is>
          <t>B0CH7N9WVC</t>
        </is>
      </c>
      <c r="M196" s="148" t="n"/>
      <c r="N196" s="148" t="n">
        <v>129.94</v>
      </c>
      <c r="O196" s="148" t="n"/>
      <c r="P196" s="148">
        <f>IF(AND(ISNUMBER(O196),ISNUMBER(N196),N(N196)&gt;0),O196/N196-1,"")</f>
        <v/>
      </c>
      <c r="Q196" s="148" t="n">
        <v>54.99</v>
      </c>
      <c r="R196" s="148">
        <f>IF(AND(ISNUMBER(N196),ISNUMBER(Q196),N(Q196)&gt;0),N196/Q196-1,"")</f>
        <v/>
      </c>
      <c r="S196" s="148" t="n">
        <v>47800</v>
      </c>
      <c r="T196" s="148" t="n">
        <v>18</v>
      </c>
      <c r="U196" s="148" t="n">
        <v>4.5</v>
      </c>
      <c r="V196" s="148" t="n">
        <v>517</v>
      </c>
      <c r="W196" s="148" t="n"/>
      <c r="X196" s="148" t="n"/>
      <c r="Y196" s="148" t="n"/>
      <c r="Z196" s="148" t="n"/>
      <c r="AA196" s="148" t="n"/>
      <c r="AB196" s="148" t="n"/>
      <c r="AC196" s="148" t="inlineStr">
        <is>
          <t>US SL B4</t>
        </is>
      </c>
      <c r="AD196" s="148">
        <f>'US SL B4'!BF141</f>
        <v/>
      </c>
      <c r="AE196" s="148">
        <f>'US SL B4'!BI141</f>
        <v/>
      </c>
      <c r="AF196" s="148" t="inlineStr">
        <is>
          <t>Queen</t>
        </is>
      </c>
      <c r="AG196" s="148" t="inlineStr">
        <is>
          <t>Dune</t>
        </is>
      </c>
      <c r="AH196" s="148">
        <f>AND(E196="CA",OR('CA Dashboard'!$C$4="All",'CA Dashboard'!$C$4=D196),OR('CA Dashboard'!$C$5="All",'CA Dashboard'!$C$5=G196),OR('CA Dashboard'!$C$6="All",'CA Dashboard'!$C$6=H196),OR('CA Dashboard'!$C$7="All",'CA Dashboard'!$C$7=F196),OR('CA Dashboard'!$C$8="All",'CA Dashboard'!$C$8=AJ196))</f>
        <v/>
      </c>
      <c r="AI196" s="148">
        <f>IF(AH196,AI195+1,AI195)</f>
        <v/>
      </c>
      <c r="AJ196" s="148" t="inlineStr">
        <is>
          <t>Direct</t>
        </is>
      </c>
      <c r="AK196" s="148" t="inlineStr">
        <is>
          <t>Same product (sheet set) in the same material family: Bamboo viscose (product page material: Organically Grown Bamboo Viscose); ours: our listing: viscose from bamboo.</t>
        </is>
      </c>
    </row>
    <row r="197">
      <c r="A197" s="148">
        <f>AND(E197="US",OR('US Dashboard'!$C$4="All",'US Dashboard'!$C$4=D197),OR('US Dashboard'!$C$5="All",'US Dashboard'!$C$5=G197),OR('US Dashboard'!$C$6="All",'US Dashboard'!$C$6=H197),OR('US Dashboard'!$C$7="All",'US Dashboard'!$C$7=F197),OR('US Dashboard'!$C$8="All",'US Dashboard'!$C$8=AJ197))</f>
        <v/>
      </c>
      <c r="B197" s="148">
        <f>IF(A197,B196+1,B196)</f>
        <v/>
      </c>
      <c r="C197" s="148" t="n">
        <v>36</v>
      </c>
      <c r="D197" s="148" t="inlineStr">
        <is>
          <t>SL B4</t>
        </is>
      </c>
      <c r="E197" s="148" t="inlineStr">
        <is>
          <t>US</t>
        </is>
      </c>
      <c r="F197" s="148" t="inlineStr">
        <is>
          <t>Bamboo</t>
        </is>
      </c>
      <c r="G197" s="148" t="inlineStr">
        <is>
          <t>Shilucheng</t>
        </is>
      </c>
      <c r="H197" s="148" t="inlineStr">
        <is>
          <t>Poor</t>
        </is>
      </c>
      <c r="I197" s="148" t="inlineStr">
        <is>
          <t>Shilucheng 100% Viscose Derived from Bamboo_Sheets, Extra Deep Pocket</t>
        </is>
      </c>
      <c r="J197" s="148" t="inlineStr">
        <is>
          <t>https://images-na.ssl-images-amazon.com/images/I/71NxE1i+4jL.jpg</t>
        </is>
      </c>
      <c r="K197" s="148" t="inlineStr">
        <is>
          <t>B0HJVD7X1R</t>
        </is>
      </c>
      <c r="L197" s="148" t="inlineStr">
        <is>
          <t>B0F2TBWTZR</t>
        </is>
      </c>
      <c r="M197" s="148" t="n">
        <v>32</v>
      </c>
      <c r="N197" s="148" t="n">
        <v>69.98999999999999</v>
      </c>
      <c r="O197" s="148" t="n">
        <v>84.98999999999999</v>
      </c>
      <c r="P197" s="148">
        <f>IF(AND(ISNUMBER(O197),ISNUMBER(N197),N(N197)&gt;0),O197/N197-1,"")</f>
        <v/>
      </c>
      <c r="Q197" s="148" t="n">
        <v>54.99</v>
      </c>
      <c r="R197" s="148">
        <f>IF(AND(ISNUMBER(N197),ISNUMBER(Q197),N(Q197)&gt;0),N197/Q197-1,"")</f>
        <v/>
      </c>
      <c r="S197" s="148" t="n">
        <v>39194</v>
      </c>
      <c r="T197" s="148" t="n">
        <v>18</v>
      </c>
      <c r="U197" s="148" t="n">
        <v>4.5</v>
      </c>
      <c r="V197" s="148" t="n">
        <v>1639</v>
      </c>
      <c r="W197" s="148" t="n"/>
      <c r="X197" s="148" t="n"/>
      <c r="Y197" s="148" t="n"/>
      <c r="Z197" s="148" t="n"/>
      <c r="AA197" s="148" t="n"/>
      <c r="AB197" s="148" t="n"/>
      <c r="AC197" s="148" t="inlineStr">
        <is>
          <t>US SL B4</t>
        </is>
      </c>
      <c r="AD197" s="148">
        <f>'US SL B4'!BF142</f>
        <v/>
      </c>
      <c r="AE197" s="148">
        <f>'US SL B4'!BI142</f>
        <v/>
      </c>
      <c r="AF197" s="148" t="inlineStr">
        <is>
          <t>King</t>
        </is>
      </c>
      <c r="AG197" s="148" t="inlineStr">
        <is>
          <t>Dark Grey</t>
        </is>
      </c>
      <c r="AH197" s="148">
        <f>AND(E197="CA",OR('CA Dashboard'!$C$4="All",'CA Dashboard'!$C$4=D197),OR('CA Dashboard'!$C$5="All",'CA Dashboard'!$C$5=G197),OR('CA Dashboard'!$C$6="All",'CA Dashboard'!$C$6=H197),OR('CA Dashboard'!$C$7="All",'CA Dashboard'!$C$7=F197),OR('CA Dashboard'!$C$8="All",'CA Dashboard'!$C$8=AJ197))</f>
        <v/>
      </c>
      <c r="AI197" s="148">
        <f>IF(AH197,AI196+1,AI196)</f>
        <v/>
      </c>
      <c r="AJ197" s="148" t="inlineStr">
        <is>
          <t>Direct</t>
        </is>
      </c>
      <c r="AK197" s="148" t="inlineStr">
        <is>
          <t>Same product (sheet set) in the same material family: Bamboo viscose (product page material: Rayon Derived from Bamboo); ours: our listing: viscose from bamboo.</t>
        </is>
      </c>
    </row>
    <row r="198">
      <c r="A198" s="148">
        <f>AND(E198="US",OR('US Dashboard'!$C$4="All",'US Dashboard'!$C$4=D198),OR('US Dashboard'!$C$5="All",'US Dashboard'!$C$5=G198),OR('US Dashboard'!$C$6="All",'US Dashboard'!$C$6=H198),OR('US Dashboard'!$C$7="All",'US Dashboard'!$C$7=F198),OR('US Dashboard'!$C$8="All",'US Dashboard'!$C$8=AJ198))</f>
        <v/>
      </c>
      <c r="B198" s="148">
        <f>IF(A198,B197+1,B197)</f>
        <v/>
      </c>
      <c r="C198" s="148" t="n">
        <v>36</v>
      </c>
      <c r="D198" s="148" t="inlineStr">
        <is>
          <t>SL B4</t>
        </is>
      </c>
      <c r="E198" s="148" t="inlineStr">
        <is>
          <t>US</t>
        </is>
      </c>
      <c r="F198" s="148" t="inlineStr">
        <is>
          <t>Bamboo</t>
        </is>
      </c>
      <c r="G198" s="148" t="inlineStr">
        <is>
          <t>Bamboo Bay</t>
        </is>
      </c>
      <c r="H198" s="148" t="inlineStr">
        <is>
          <t>Poor</t>
        </is>
      </c>
      <c r="I198" s="148" t="inlineStr">
        <is>
          <t>Bamboo Sheets</t>
        </is>
      </c>
      <c r="J198" s="148" t="inlineStr">
        <is>
          <t>https://m.media-amazon.com/images/I/61YnWQV27EL._AC_SL1024_.jpg</t>
        </is>
      </c>
      <c r="K198" s="148" t="inlineStr">
        <is>
          <t>B0DLF1SWJ5</t>
        </is>
      </c>
      <c r="L198" s="148" t="inlineStr">
        <is>
          <t>B07TBHLZJM</t>
        </is>
      </c>
      <c r="M198" s="148" t="n"/>
      <c r="N198" s="148" t="n">
        <v>79.98</v>
      </c>
      <c r="O198" s="148" t="n"/>
      <c r="P198" s="148">
        <f>IF(AND(ISNUMBER(O198),ISNUMBER(N198),N(N198)&gt;0),O198/N198-1,"")</f>
        <v/>
      </c>
      <c r="Q198" s="148" t="n">
        <v>54.99</v>
      </c>
      <c r="R198" s="148">
        <f>IF(AND(ISNUMBER(N198),ISNUMBER(Q198),N(Q198)&gt;0),N198/Q198-1,"")</f>
        <v/>
      </c>
      <c r="S198" s="148" t="n">
        <v>131083</v>
      </c>
      <c r="T198" s="148" t="n">
        <v>5</v>
      </c>
      <c r="U198" s="148" t="n">
        <v>4.5</v>
      </c>
      <c r="V198" s="148" t="n">
        <v>2691</v>
      </c>
      <c r="W198" s="148" t="n"/>
      <c r="X198" s="148" t="n"/>
      <c r="Y198" s="148" t="n"/>
      <c r="Z198" s="148" t="n"/>
      <c r="AA198" s="148" t="n"/>
      <c r="AB198" s="148" t="n"/>
      <c r="AC198" s="148" t="inlineStr">
        <is>
          <t>US SL B4</t>
        </is>
      </c>
      <c r="AD198" s="148">
        <f>'US SL B4'!BF143</f>
        <v/>
      </c>
      <c r="AE198" s="148">
        <f>'US SL B4'!BI143</f>
        <v/>
      </c>
      <c r="AF198" s="148" t="inlineStr">
        <is>
          <t>Queen</t>
        </is>
      </c>
      <c r="AG198" s="148" t="inlineStr">
        <is>
          <t>04 - Light Grey</t>
        </is>
      </c>
      <c r="AH198" s="148">
        <f>AND(E198="CA",OR('CA Dashboard'!$C$4="All",'CA Dashboard'!$C$4=D198),OR('CA Dashboard'!$C$5="All",'CA Dashboard'!$C$5=G198),OR('CA Dashboard'!$C$6="All",'CA Dashboard'!$C$6=H198),OR('CA Dashboard'!$C$7="All",'CA Dashboard'!$C$7=F198),OR('CA Dashboard'!$C$8="All",'CA Dashboard'!$C$8=AJ198))</f>
        <v/>
      </c>
      <c r="AI198" s="148">
        <f>IF(AH198,AI197+1,AI197)</f>
        <v/>
      </c>
      <c r="AJ198" s="148" t="inlineStr">
        <is>
          <t>Direct</t>
        </is>
      </c>
      <c r="AK198" s="148" t="inlineStr">
        <is>
          <t>Same product (sheet set) in the same material family: Bamboo viscose (product page material: Viscose Made from Bamboo); ours: our listing: viscose from bamboo.</t>
        </is>
      </c>
    </row>
    <row r="199">
      <c r="A199" s="148">
        <f>AND(E199="US",OR('US Dashboard'!$C$4="All",'US Dashboard'!$C$4=D199),OR('US Dashboard'!$C$5="All",'US Dashboard'!$C$5=G199),OR('US Dashboard'!$C$6="All",'US Dashboard'!$C$6=H199),OR('US Dashboard'!$C$7="All",'US Dashboard'!$C$7=F199),OR('US Dashboard'!$C$8="All",'US Dashboard'!$C$8=AJ199))</f>
        <v/>
      </c>
      <c r="B199" s="148">
        <f>IF(A199,B198+1,B198)</f>
        <v/>
      </c>
      <c r="C199" s="148" t="n">
        <v>36</v>
      </c>
      <c r="D199" s="148" t="inlineStr">
        <is>
          <t>SL B4</t>
        </is>
      </c>
      <c r="E199" s="148" t="inlineStr">
        <is>
          <t>US</t>
        </is>
      </c>
      <c r="F199" s="148" t="inlineStr">
        <is>
          <t>Bamboo</t>
        </is>
      </c>
      <c r="G199" s="148" t="inlineStr">
        <is>
          <t>LBRO2M</t>
        </is>
      </c>
      <c r="H199" s="148" t="inlineStr">
        <is>
          <t>Poor</t>
        </is>
      </c>
      <c r="I199" s="148" t="inlineStr">
        <is>
          <t>LBRO2M Cooling Bed Sheet 100% Viscose Derived from Bamboo Sheet Set Queen Size 6</t>
        </is>
      </c>
      <c r="J199" s="148" t="inlineStr">
        <is>
          <t>https://m.media-amazon.com/images/I/61se+-YHOaL._AC_SL1500_.jpg</t>
        </is>
      </c>
      <c r="K199" s="148" t="inlineStr">
        <is>
          <t>B0F9FK3L6J</t>
        </is>
      </c>
      <c r="L199" s="148" t="inlineStr">
        <is>
          <t>B0F9FK7SMW</t>
        </is>
      </c>
      <c r="M199" s="148" t="n"/>
      <c r="N199" s="148" t="n">
        <v>94.98999999999999</v>
      </c>
      <c r="O199" s="148" t="n"/>
      <c r="P199" s="148">
        <f>IF(AND(ISNUMBER(O199),ISNUMBER(N199),N(N199)&gt;0),O199/N199-1,"")</f>
        <v/>
      </c>
      <c r="Q199" s="148" t="n">
        <v>54.99</v>
      </c>
      <c r="R199" s="148">
        <f>IF(AND(ISNUMBER(N199),ISNUMBER(Q199),N(Q199)&gt;0),N199/Q199-1,"")</f>
        <v/>
      </c>
      <c r="S199" s="148" t="n">
        <v>1003118</v>
      </c>
      <c r="T199" s="148" t="n">
        <v>5</v>
      </c>
      <c r="U199" s="148" t="n">
        <v>4.4</v>
      </c>
      <c r="V199" s="148" t="n">
        <v>18</v>
      </c>
      <c r="W199" s="148" t="n"/>
      <c r="X199" s="148" t="n"/>
      <c r="Y199" s="148" t="n"/>
      <c r="Z199" s="148" t="n"/>
      <c r="AA199" s="148" t="n"/>
      <c r="AB199" s="148" t="n"/>
      <c r="AC199" s="148" t="inlineStr">
        <is>
          <t>US SL B4</t>
        </is>
      </c>
      <c r="AD199" s="148">
        <f>'US SL B4'!BF144</f>
        <v/>
      </c>
      <c r="AE199" s="148">
        <f>'US SL B4'!BI144</f>
        <v/>
      </c>
      <c r="AF199" s="148" t="inlineStr">
        <is>
          <t>King 6 Pcs</t>
        </is>
      </c>
      <c r="AG199" s="148" t="inlineStr">
        <is>
          <t>White</t>
        </is>
      </c>
      <c r="AH199" s="148">
        <f>AND(E199="CA",OR('CA Dashboard'!$C$4="All",'CA Dashboard'!$C$4=D199),OR('CA Dashboard'!$C$5="All",'CA Dashboard'!$C$5=G199),OR('CA Dashboard'!$C$6="All",'CA Dashboard'!$C$6=H199),OR('CA Dashboard'!$C$7="All",'CA Dashboard'!$C$7=F199),OR('CA Dashboard'!$C$8="All",'CA Dashboard'!$C$8=AJ199))</f>
        <v/>
      </c>
      <c r="AI199" s="148">
        <f>IF(AH199,AI198+1,AI198)</f>
        <v/>
      </c>
      <c r="AJ199" s="148" t="inlineStr">
        <is>
          <t>Direct</t>
        </is>
      </c>
      <c r="AK199" s="148" t="inlineStr">
        <is>
          <t>Same product (sheet set) in the same material family: Bamboo viscose (product page material: Viscose Derived from Bamboo); ours: our listing: viscose from bamboo.</t>
        </is>
      </c>
    </row>
    <row r="200">
      <c r="A200" s="148">
        <f>AND(E200="US",OR('US Dashboard'!$C$4="All",'US Dashboard'!$C$4=D200),OR('US Dashboard'!$C$5="All",'US Dashboard'!$C$5=G200),OR('US Dashboard'!$C$6="All",'US Dashboard'!$C$6=H200),OR('US Dashboard'!$C$7="All",'US Dashboard'!$C$7=F200),OR('US Dashboard'!$C$8="All",'US Dashboard'!$C$8=AJ200))</f>
        <v/>
      </c>
      <c r="B200" s="148">
        <f>IF(A200,B199+1,B199)</f>
        <v/>
      </c>
      <c r="C200" s="148" t="n">
        <v>36</v>
      </c>
      <c r="D200" s="148" t="inlineStr">
        <is>
          <t>SL B4</t>
        </is>
      </c>
      <c r="E200" s="148" t="inlineStr">
        <is>
          <t>US</t>
        </is>
      </c>
      <c r="F200" s="148" t="inlineStr">
        <is>
          <t>Bamboo</t>
        </is>
      </c>
      <c r="G200" s="148" t="inlineStr">
        <is>
          <t>TWK</t>
        </is>
      </c>
      <c r="H200" s="148" t="inlineStr">
        <is>
          <t>Poor</t>
        </is>
      </c>
      <c r="I200" s="148" t="inlineStr">
        <is>
          <t>TWK Luxury Sheet Set, Genuine 100% Organic Viscose Derived from Bamboo, Cooling &amp; Breathable, Silky Soft, Bedding Sheets &amp; Pillowcases (Mist Gray, King)</t>
        </is>
      </c>
      <c r="J200" s="148" t="inlineStr">
        <is>
          <t>https://images-na.ssl-images-amazon.com/images/I/71gw0WpuNuL.jpg</t>
        </is>
      </c>
      <c r="K200" s="148" t="inlineStr">
        <is>
          <t>B0DYT2QWLC</t>
        </is>
      </c>
      <c r="L200" s="148" t="inlineStr">
        <is>
          <t>B0DYT2QWLC</t>
        </is>
      </c>
      <c r="M200" s="148" t="n">
        <v>1</v>
      </c>
      <c r="N200" s="148" t="n">
        <v>109.99</v>
      </c>
      <c r="O200" s="148" t="n"/>
      <c r="P200" s="148">
        <f>IF(AND(ISNUMBER(O200),ISNUMBER(N200),N(N200)&gt;0),O200/N200-1,"")</f>
        <v/>
      </c>
      <c r="Q200" s="148" t="n">
        <v>54.99</v>
      </c>
      <c r="R200" s="148">
        <f>IF(AND(ISNUMBER(N200),ISNUMBER(Q200),N(Q200)&gt;0),N200/Q200-1,"")</f>
        <v/>
      </c>
      <c r="S200" s="148" t="n">
        <v>1506045</v>
      </c>
      <c r="T200" s="148" t="n">
        <v>5</v>
      </c>
      <c r="U200" s="148" t="n">
        <v>4.5</v>
      </c>
      <c r="V200" s="148" t="n">
        <v>39</v>
      </c>
      <c r="W200" s="148" t="n"/>
      <c r="X200" s="148" t="n"/>
      <c r="Y200" s="148" t="n"/>
      <c r="Z200" s="148" t="n"/>
      <c r="AA200" s="148" t="n"/>
      <c r="AB200" s="148" t="n"/>
      <c r="AC200" s="148" t="inlineStr">
        <is>
          <t>US SL B4</t>
        </is>
      </c>
      <c r="AD200" s="148">
        <f>'US SL B4'!BF145</f>
        <v/>
      </c>
      <c r="AE200" s="148">
        <f>'US SL B4'!BI145</f>
        <v/>
      </c>
      <c r="AF200" s="148" t="inlineStr">
        <is>
          <t>King</t>
        </is>
      </c>
      <c r="AG200" s="148" t="inlineStr">
        <is>
          <t>Mist Gray</t>
        </is>
      </c>
      <c r="AH200" s="148">
        <f>AND(E200="CA",OR('CA Dashboard'!$C$4="All",'CA Dashboard'!$C$4=D200),OR('CA Dashboard'!$C$5="All",'CA Dashboard'!$C$5=G200),OR('CA Dashboard'!$C$6="All",'CA Dashboard'!$C$6=H200),OR('CA Dashboard'!$C$7="All",'CA Dashboard'!$C$7=F200),OR('CA Dashboard'!$C$8="All",'CA Dashboard'!$C$8=AJ200))</f>
        <v/>
      </c>
      <c r="AI200" s="148">
        <f>IF(AH200,AI199+1,AI199)</f>
        <v/>
      </c>
      <c r="AJ200" s="148" t="inlineStr">
        <is>
          <t>Direct</t>
        </is>
      </c>
      <c r="AK200" s="148" t="inlineStr">
        <is>
          <t>Same product (sheet set) in the same material family: Bamboo viscose (title: TWK Luxury Sheet Set, Genuine 100% Organic Viscose Derived f); ours: our listing: viscose from bamboo.</t>
        </is>
      </c>
    </row>
    <row r="201">
      <c r="A201" s="148">
        <f>AND(E201="US",OR('US Dashboard'!$C$4="All",'US Dashboard'!$C$4=D201),OR('US Dashboard'!$C$5="All",'US Dashboard'!$C$5=G201),OR('US Dashboard'!$C$6="All",'US Dashboard'!$C$6=H201),OR('US Dashboard'!$C$7="All",'US Dashboard'!$C$7=F201),OR('US Dashboard'!$C$8="All",'US Dashboard'!$C$8=AJ201))</f>
        <v/>
      </c>
      <c r="B201" s="148">
        <f>IF(A201,B200+1,B200)</f>
        <v/>
      </c>
      <c r="C201" s="148" t="n">
        <v>36</v>
      </c>
      <c r="D201" s="148" t="inlineStr">
        <is>
          <t>SL B4</t>
        </is>
      </c>
      <c r="E201" s="148" t="inlineStr">
        <is>
          <t>US</t>
        </is>
      </c>
      <c r="F201" s="148" t="inlineStr">
        <is>
          <t>Bamboo</t>
        </is>
      </c>
      <c r="G201" s="148" t="inlineStr">
        <is>
          <t>TWK</t>
        </is>
      </c>
      <c r="H201" s="148" t="inlineStr">
        <is>
          <t>Poor</t>
        </is>
      </c>
      <c r="I201" s="148" t="inlineStr">
        <is>
          <t>TWK Luxury Sheet Set, Genuine 100% Viscose Derived from Bamboo, Cooling &amp; Breathable, Silky Soft, Bedding Sheets &amp; Pillowcases (White, King(78 * 80 * 15))</t>
        </is>
      </c>
      <c r="J201" s="148" t="inlineStr">
        <is>
          <t>https://images-na.ssl-images-amazon.com/images/I/71YlZk0Q9-L.jpg</t>
        </is>
      </c>
      <c r="K201" s="148" t="inlineStr">
        <is>
          <t>B0GVP3B7LS</t>
        </is>
      </c>
      <c r="L201" s="148" t="inlineStr">
        <is>
          <t>B0GVP3B7LS</t>
        </is>
      </c>
      <c r="M201" s="148" t="n">
        <v>1</v>
      </c>
      <c r="N201" s="148" t="n">
        <v>46.74</v>
      </c>
      <c r="O201" s="148" t="n"/>
      <c r="P201" s="148">
        <f>IF(AND(ISNUMBER(O201),ISNUMBER(N201),N(N201)&gt;0),O201/N201-1,"")</f>
        <v/>
      </c>
      <c r="Q201" s="148" t="n">
        <v>54.99</v>
      </c>
      <c r="R201" s="148">
        <f>IF(AND(ISNUMBER(N201),ISNUMBER(Q201),N(Q201)&gt;0),N201/Q201-1,"")</f>
        <v/>
      </c>
      <c r="S201" s="148" t="n">
        <v>2065761</v>
      </c>
      <c r="T201" s="148" t="n">
        <v>5</v>
      </c>
      <c r="U201" s="148" t="n">
        <v>4.5</v>
      </c>
      <c r="V201" s="148" t="n">
        <v>11</v>
      </c>
      <c r="W201" s="148" t="n"/>
      <c r="X201" s="148" t="n"/>
      <c r="Y201" s="148" t="n"/>
      <c r="Z201" s="148" t="n"/>
      <c r="AA201" s="148" t="n"/>
      <c r="AB201" s="148" t="n"/>
      <c r="AC201" s="148" t="inlineStr">
        <is>
          <t>US SL B4</t>
        </is>
      </c>
      <c r="AD201" s="148">
        <f>'US SL B4'!BF146</f>
        <v/>
      </c>
      <c r="AE201" s="148">
        <f>'US SL B4'!BI146</f>
        <v/>
      </c>
      <c r="AF201" s="148" t="inlineStr">
        <is>
          <t>King</t>
        </is>
      </c>
      <c r="AG201" s="148" t="inlineStr">
        <is>
          <t>White</t>
        </is>
      </c>
      <c r="AH201" s="148">
        <f>AND(E201="CA",OR('CA Dashboard'!$C$4="All",'CA Dashboard'!$C$4=D201),OR('CA Dashboard'!$C$5="All",'CA Dashboard'!$C$5=G201),OR('CA Dashboard'!$C$6="All",'CA Dashboard'!$C$6=H201),OR('CA Dashboard'!$C$7="All",'CA Dashboard'!$C$7=F201),OR('CA Dashboard'!$C$8="All",'CA Dashboard'!$C$8=AJ201))</f>
        <v/>
      </c>
      <c r="AI201" s="148">
        <f>IF(AH201,AI200+1,AI200)</f>
        <v/>
      </c>
      <c r="AJ201" s="148" t="inlineStr">
        <is>
          <t>Direct</t>
        </is>
      </c>
      <c r="AK201" s="148" t="inlineStr">
        <is>
          <t>Same product (sheet set) in the same material family: Bamboo viscose (title: TWK Luxury Sheet Set, Genuine 100% Viscose Derived from Bamb); ours: our listing: viscose from bamboo.</t>
        </is>
      </c>
    </row>
    <row r="202">
      <c r="A202" s="148">
        <f>AND(E202="US",OR('US Dashboard'!$C$4="All",'US Dashboard'!$C$4=D202),OR('US Dashboard'!$C$5="All",'US Dashboard'!$C$5=G202),OR('US Dashboard'!$C$6="All",'US Dashboard'!$C$6=H202),OR('US Dashboard'!$C$7="All",'US Dashboard'!$C$7=F202),OR('US Dashboard'!$C$8="All",'US Dashboard'!$C$8=AJ202))</f>
        <v/>
      </c>
      <c r="B202" s="148">
        <f>IF(A202,B201+1,B201)</f>
        <v/>
      </c>
      <c r="C202" s="148" t="n">
        <v>36</v>
      </c>
      <c r="D202" s="148" t="inlineStr">
        <is>
          <t>SL B4</t>
        </is>
      </c>
      <c r="E202" s="148" t="inlineStr">
        <is>
          <t>US</t>
        </is>
      </c>
      <c r="F202" s="148" t="inlineStr">
        <is>
          <t>Bamboo</t>
        </is>
      </c>
      <c r="G202" s="148" t="inlineStr">
        <is>
          <t>TWK</t>
        </is>
      </c>
      <c r="H202" s="148" t="inlineStr">
        <is>
          <t>Poor</t>
        </is>
      </c>
      <c r="I202" s="148" t="inlineStr">
        <is>
          <t>4 Piece Bamboo Sheet Set</t>
        </is>
      </c>
      <c r="J202" s="148" t="inlineStr">
        <is>
          <t>https://m.media-amazon.com/images/I/61cLtklNnOL._AC_SL1486_.jpg</t>
        </is>
      </c>
      <c r="K202" s="148" t="inlineStr">
        <is>
          <t>B0GW7H7RHY</t>
        </is>
      </c>
      <c r="L202" s="148" t="inlineStr">
        <is>
          <t>B0GW7H7RHY</t>
        </is>
      </c>
      <c r="M202" s="148" t="n"/>
      <c r="N202" s="148" t="n">
        <v>109.99</v>
      </c>
      <c r="O202" s="148" t="n"/>
      <c r="P202" s="148">
        <f>IF(AND(ISNUMBER(O202),ISNUMBER(N202),N(N202)&gt;0),O202/N202-1,"")</f>
        <v/>
      </c>
      <c r="Q202" s="148" t="n">
        <v>54.99</v>
      </c>
      <c r="R202" s="148">
        <f>IF(AND(ISNUMBER(N202),ISNUMBER(Q202),N(Q202)&gt;0),N202/Q202-1,"")</f>
        <v/>
      </c>
      <c r="S202" s="148" t="n">
        <v>4355899</v>
      </c>
      <c r="T202" s="148" t="n">
        <v>5</v>
      </c>
      <c r="U202" s="148" t="n">
        <v>4.5</v>
      </c>
      <c r="V202" s="148" t="n">
        <v>2</v>
      </c>
      <c r="W202" s="148" t="n"/>
      <c r="X202" s="148" t="n"/>
      <c r="Y202" s="148" t="n"/>
      <c r="Z202" s="148" t="n"/>
      <c r="AA202" s="148" t="n"/>
      <c r="AB202" s="148" t="n"/>
      <c r="AC202" s="148" t="inlineStr">
        <is>
          <t>US SL B4</t>
        </is>
      </c>
      <c r="AD202" s="148">
        <f>'US SL B4'!BF147</f>
        <v/>
      </c>
      <c r="AE202" s="148">
        <f>'US SL B4'!BI147</f>
        <v/>
      </c>
      <c r="AF202" s="148" t="inlineStr">
        <is>
          <t>King</t>
        </is>
      </c>
      <c r="AG202" s="148" t="inlineStr">
        <is>
          <t>Sand</t>
        </is>
      </c>
      <c r="AH202" s="148">
        <f>AND(E202="CA",OR('CA Dashboard'!$C$4="All",'CA Dashboard'!$C$4=D202),OR('CA Dashboard'!$C$5="All",'CA Dashboard'!$C$5=G202),OR('CA Dashboard'!$C$6="All",'CA Dashboard'!$C$6=H202),OR('CA Dashboard'!$C$7="All",'CA Dashboard'!$C$7=F202),OR('CA Dashboard'!$C$8="All",'CA Dashboard'!$C$8=AJ202))</f>
        <v/>
      </c>
      <c r="AI202" s="148">
        <f>IF(AH202,AI201+1,AI201)</f>
        <v/>
      </c>
      <c r="AJ202" s="148" t="inlineStr">
        <is>
          <t>Direct</t>
        </is>
      </c>
      <c r="AK202" s="148" t="inlineStr">
        <is>
          <t>Same product (sheet set) in the same material family: Bamboo viscose (product page material: Genuine 100% Organic Viscose Derived from Bamboo); ours: our listing: viscose from bamboo.</t>
        </is>
      </c>
    </row>
    <row r="203">
      <c r="A203" s="148">
        <f>AND(E203="US",OR('US Dashboard'!$C$4="All",'US Dashboard'!$C$4=D203),OR('US Dashboard'!$C$5="All",'US Dashboard'!$C$5=G203),OR('US Dashboard'!$C$6="All",'US Dashboard'!$C$6=H203),OR('US Dashboard'!$C$7="All",'US Dashboard'!$C$7=F203),OR('US Dashboard'!$C$8="All",'US Dashboard'!$C$8=AJ203))</f>
        <v/>
      </c>
      <c r="B203" s="148">
        <f>IF(A203,B202+1,B202)</f>
        <v/>
      </c>
      <c r="C203" s="148" t="n">
        <v>36</v>
      </c>
      <c r="D203" s="148" t="inlineStr">
        <is>
          <t>SL B4</t>
        </is>
      </c>
      <c r="E203" s="148" t="inlineStr">
        <is>
          <t>US</t>
        </is>
      </c>
      <c r="F203" s="148" t="inlineStr">
        <is>
          <t>Bamboo</t>
        </is>
      </c>
      <c r="G203" s="148" t="inlineStr">
        <is>
          <t>Vesta</t>
        </is>
      </c>
      <c r="H203" s="148" t="inlineStr">
        <is>
          <t>Poor</t>
        </is>
      </c>
      <c r="I203" s="148" t="inlineStr">
        <is>
          <t>Vesta Sheet Set – Soft, Breathable &amp; Cooling, 100% Viscose Derived from Bamboo,</t>
        </is>
      </c>
      <c r="J203" s="148" t="inlineStr">
        <is>
          <t>https://m.media-amazon.com/images/I/619JGLN3FDL._AC_SL1080_.jpg</t>
        </is>
      </c>
      <c r="K203" s="148" t="inlineStr">
        <is>
          <t>B0CZRJY68B</t>
        </is>
      </c>
      <c r="L203" s="148" t="inlineStr">
        <is>
          <t>B0DM214YG3</t>
        </is>
      </c>
      <c r="M203" s="148" t="n"/>
      <c r="N203" s="148" t="n">
        <v>174.3</v>
      </c>
      <c r="O203" s="148" t="n"/>
      <c r="P203" s="148">
        <f>IF(AND(ISNUMBER(O203),ISNUMBER(N203),N(N203)&gt;0),O203/N203-1,"")</f>
        <v/>
      </c>
      <c r="Q203" s="148" t="n">
        <v>54.99</v>
      </c>
      <c r="R203" s="148">
        <f>IF(AND(ISNUMBER(N203),ISNUMBER(Q203),N(Q203)&gt;0),N203/Q203-1,"")</f>
        <v/>
      </c>
      <c r="S203" s="148" t="n">
        <v>591414</v>
      </c>
      <c r="T203" s="148" t="n">
        <v>5</v>
      </c>
      <c r="U203" s="148" t="n">
        <v>4.3</v>
      </c>
      <c r="V203" s="148" t="n">
        <v>35</v>
      </c>
      <c r="W203" s="148" t="n"/>
      <c r="X203" s="148" t="n"/>
      <c r="Y203" s="148" t="n"/>
      <c r="Z203" s="148" t="n"/>
      <c r="AA203" s="148" t="n"/>
      <c r="AB203" s="148" t="n"/>
      <c r="AC203" s="148" t="inlineStr">
        <is>
          <t>US SL B4</t>
        </is>
      </c>
      <c r="AD203" s="148">
        <f>'US SL B4'!BF148</f>
        <v/>
      </c>
      <c r="AE203" s="148">
        <f>'US SL B4'!BI148</f>
        <v/>
      </c>
      <c r="AF203" s="148" t="inlineStr">
        <is>
          <t>King/Cali King</t>
        </is>
      </c>
      <c r="AG203" s="148" t="inlineStr">
        <is>
          <t>Terra Cotta</t>
        </is>
      </c>
      <c r="AH203" s="148">
        <f>AND(E203="CA",OR('CA Dashboard'!$C$4="All",'CA Dashboard'!$C$4=D203),OR('CA Dashboard'!$C$5="All",'CA Dashboard'!$C$5=G203),OR('CA Dashboard'!$C$6="All",'CA Dashboard'!$C$6=H203),OR('CA Dashboard'!$C$7="All",'CA Dashboard'!$C$7=F203),OR('CA Dashboard'!$C$8="All",'CA Dashboard'!$C$8=AJ203))</f>
        <v/>
      </c>
      <c r="AI203" s="148">
        <f>IF(AH203,AI202+1,AI202)</f>
        <v/>
      </c>
      <c r="AJ203" s="148" t="inlineStr">
        <is>
          <t>Direct</t>
        </is>
      </c>
      <c r="AK203" s="148" t="inlineStr">
        <is>
          <t>Same product (sheet set) in the same material family: Bamboo viscose (product page material: viscose from bamboo); ours: our listing: viscose from bamboo.</t>
        </is>
      </c>
    </row>
    <row r="204">
      <c r="A204" s="148">
        <f>AND(E204="US",OR('US Dashboard'!$C$4="All",'US Dashboard'!$C$4=D204),OR('US Dashboard'!$C$5="All",'US Dashboard'!$C$5=G204),OR('US Dashboard'!$C$6="All",'US Dashboard'!$C$6=H204),OR('US Dashboard'!$C$7="All",'US Dashboard'!$C$7=F204),OR('US Dashboard'!$C$8="All",'US Dashboard'!$C$8=AJ204))</f>
        <v/>
      </c>
      <c r="B204" s="148">
        <f>IF(A204,B203+1,B203)</f>
        <v/>
      </c>
      <c r="C204" s="148" t="n">
        <v>36</v>
      </c>
      <c r="D204" s="148" t="inlineStr">
        <is>
          <t>SL B4</t>
        </is>
      </c>
      <c r="E204" s="148" t="inlineStr">
        <is>
          <t>US</t>
        </is>
      </c>
      <c r="F204" s="148" t="inlineStr">
        <is>
          <t>Bamboo</t>
        </is>
      </c>
      <c r="G204" s="148" t="inlineStr">
        <is>
          <t>ACCURATEX</t>
        </is>
      </c>
      <c r="H204" s="148" t="inlineStr">
        <is>
          <t>Poor</t>
        </is>
      </c>
      <c r="I204" s="148" t="inlineStr">
        <is>
          <t>ACCURATEX Cooling Sheets for Hot Sleepers, King Size, Grey</t>
        </is>
      </c>
      <c r="J204" s="148" t="inlineStr">
        <is>
          <t>https://images-na.ssl-images-amazon.com/images/I/81fSDKgL-SL.jpg</t>
        </is>
      </c>
      <c r="K204" s="148" t="inlineStr">
        <is>
          <t>B0GMGSMLQ1</t>
        </is>
      </c>
      <c r="L204" s="148" t="inlineStr">
        <is>
          <t>B09PYB9C45</t>
        </is>
      </c>
      <c r="M204" s="148" t="n">
        <v>51</v>
      </c>
      <c r="N204" s="148" t="n">
        <v>69.98999999999999</v>
      </c>
      <c r="O204" s="148" t="n"/>
      <c r="P204" s="148">
        <f>IF(AND(ISNUMBER(O204),ISNUMBER(N204),N(N204)&gt;0),O204/N204-1,"")</f>
        <v/>
      </c>
      <c r="Q204" s="148" t="n">
        <v>54.99</v>
      </c>
      <c r="R204" s="148">
        <f>IF(AND(ISNUMBER(N204),ISNUMBER(Q204),N(Q204)&gt;0),N204/Q204-1,"")</f>
        <v/>
      </c>
      <c r="S204" s="148" t="n">
        <v>33423</v>
      </c>
      <c r="T204" s="148" t="n">
        <v>35</v>
      </c>
      <c r="U204" s="148" t="n">
        <v>4.4</v>
      </c>
      <c r="V204" s="148" t="n">
        <v>1040</v>
      </c>
      <c r="W204" s="148" t="n"/>
      <c r="X204" s="148" t="n"/>
      <c r="Y204" s="148" t="n"/>
      <c r="Z204" s="148" t="n"/>
      <c r="AA204" s="148" t="n"/>
      <c r="AB204" s="148" t="n"/>
      <c r="AC204" s="148" t="inlineStr">
        <is>
          <t>US SL B4</t>
        </is>
      </c>
      <c r="AD204" s="148">
        <f>'US SL B4'!BF149</f>
        <v/>
      </c>
      <c r="AE204" s="148">
        <f>'US SL B4'!BI149</f>
        <v/>
      </c>
      <c r="AF204" s="148" t="inlineStr">
        <is>
          <t>King</t>
        </is>
      </c>
      <c r="AG204" s="148" t="inlineStr">
        <is>
          <t>Grey</t>
        </is>
      </c>
      <c r="AH204" s="148">
        <f>AND(E204="CA",OR('CA Dashboard'!$C$4="All",'CA Dashboard'!$C$4=D204),OR('CA Dashboard'!$C$5="All",'CA Dashboard'!$C$5=G204),OR('CA Dashboard'!$C$6="All",'CA Dashboard'!$C$6=H204),OR('CA Dashboard'!$C$7="All",'CA Dashboard'!$C$7=F204),OR('CA Dashboard'!$C$8="All",'CA Dashboard'!$C$8=AJ204))</f>
        <v/>
      </c>
      <c r="AI204" s="148">
        <f>IF(AH204,AI203+1,AI203)</f>
        <v/>
      </c>
      <c r="AJ204" s="148" t="inlineStr">
        <is>
          <t>Material not verified</t>
        </is>
      </c>
      <c r="AK204" s="148" t="inlineStr">
        <is>
          <t>Sheet set like ours, but the material is not stated (material not stated on the page or in the title); verify before treating as direct.</t>
        </is>
      </c>
    </row>
    <row r="205">
      <c r="A205" s="148">
        <f>AND(E205="US",OR('US Dashboard'!$C$4="All",'US Dashboard'!$C$4=D205),OR('US Dashboard'!$C$5="All",'US Dashboard'!$C$5=G205),OR('US Dashboard'!$C$6="All",'US Dashboard'!$C$6=H205),OR('US Dashboard'!$C$7="All",'US Dashboard'!$C$7=F205),OR('US Dashboard'!$C$8="All",'US Dashboard'!$C$8=AJ205))</f>
        <v/>
      </c>
      <c r="B205" s="148">
        <f>IF(A205,B204+1,B204)</f>
        <v/>
      </c>
      <c r="C205" s="148" t="n">
        <v>73</v>
      </c>
      <c r="D205" s="148" t="inlineStr">
        <is>
          <t>DC Bamboo Fitted</t>
        </is>
      </c>
      <c r="E205" s="148" t="inlineStr">
        <is>
          <t>US</t>
        </is>
      </c>
      <c r="F205" s="148" t="inlineStr">
        <is>
          <t>Bamboo</t>
        </is>
      </c>
      <c r="G205" s="148" t="inlineStr">
        <is>
          <t>GOKOTTA</t>
        </is>
      </c>
      <c r="H205" s="148" t="inlineStr">
        <is>
          <t>Aspirational</t>
        </is>
      </c>
      <c r="I205" s="148" t="inlineStr">
        <is>
          <t>GOKOTTA Fitted Sheet Queen Only,100% Rayon Derived from Bamboo Fitted Sheet,Ultr</t>
        </is>
      </c>
      <c r="J205" s="148" t="inlineStr">
        <is>
          <t>https://images-na.ssl-images-amazon.com/images/I/71pvB0uNgRL.jpg</t>
        </is>
      </c>
      <c r="K205" s="148" t="inlineStr">
        <is>
          <t>B0HDZG2ZQG</t>
        </is>
      </c>
      <c r="L205" s="148" t="inlineStr">
        <is>
          <t>B0B6P8YLQ7</t>
        </is>
      </c>
      <c r="M205" s="148" t="n">
        <v>44</v>
      </c>
      <c r="N205" s="148" t="n">
        <v>58</v>
      </c>
      <c r="O205" s="148" t="n"/>
      <c r="P205" s="148">
        <f>IF(AND(ISNUMBER(O205),ISNUMBER(N205),N(N205)&gt;0),O205/N205-1,"")</f>
        <v/>
      </c>
      <c r="Q205" s="148" t="n">
        <v>39.95</v>
      </c>
      <c r="R205" s="148">
        <f>IF(AND(ISNUMBER(N205),ISNUMBER(Q205),N(Q205)&gt;0),N205/Q205-1,"")</f>
        <v/>
      </c>
      <c r="S205" s="148" t="n">
        <v>23122</v>
      </c>
      <c r="T205" s="148" t="n">
        <v>35</v>
      </c>
      <c r="U205" s="148" t="n">
        <v>4.6</v>
      </c>
      <c r="V205" s="148" t="n">
        <v>976</v>
      </c>
      <c r="W205" s="148" t="n">
        <v>59725</v>
      </c>
      <c r="X205" s="148" t="n">
        <v>0.5241691837588952</v>
      </c>
      <c r="Y205" s="148" t="n">
        <v>37</v>
      </c>
      <c r="Z205" s="148" t="n">
        <v>179</v>
      </c>
      <c r="AA205" s="148" t="n">
        <v>403</v>
      </c>
      <c r="AB205" s="148" t="n"/>
      <c r="AC205" s="148" t="inlineStr">
        <is>
          <t>US DC Bamboo Fitted</t>
        </is>
      </c>
      <c r="AD205" s="148">
        <f>'US DC Bamboo Fitted'!BF54</f>
        <v/>
      </c>
      <c r="AE205" s="148">
        <f>'US DC Bamboo Fitted'!BI54</f>
        <v/>
      </c>
      <c r="AF205" s="148" t="inlineStr">
        <is>
          <t>King</t>
        </is>
      </c>
      <c r="AG205" s="148" t="inlineStr">
        <is>
          <t>Darkgrey</t>
        </is>
      </c>
      <c r="AH205" s="148">
        <f>AND(E205="CA",OR('CA Dashboard'!$C$4="All",'CA Dashboard'!$C$4=D205),OR('CA Dashboard'!$C$5="All",'CA Dashboard'!$C$5=G205),OR('CA Dashboard'!$C$6="All",'CA Dashboard'!$C$6=H205),OR('CA Dashboard'!$C$7="All",'CA Dashboard'!$C$7=F205),OR('CA Dashboard'!$C$8="All",'CA Dashboard'!$C$8=AJ205))</f>
        <v/>
      </c>
      <c r="AI205" s="148">
        <f>IF(AH205,AI204+1,AI204)</f>
        <v/>
      </c>
      <c r="AJ205" s="148" t="inlineStr">
        <is>
          <t>Direct</t>
        </is>
      </c>
      <c r="AK205" s="148" t="inlineStr">
        <is>
          <t>Same product (fitted sheet) in the same material family: Bamboo viscose (product page material: Bamboo Rayon); ours: our listing: viscose from bamboo.</t>
        </is>
      </c>
    </row>
    <row r="206">
      <c r="A206" s="148">
        <f>AND(E206="US",OR('US Dashboard'!$C$4="All",'US Dashboard'!$C$4=D206),OR('US Dashboard'!$C$5="All",'US Dashboard'!$C$5=G206),OR('US Dashboard'!$C$6="All",'US Dashboard'!$C$6=H206),OR('US Dashboard'!$C$7="All",'US Dashboard'!$C$7=F206),OR('US Dashboard'!$C$8="All",'US Dashboard'!$C$8=AJ206))</f>
        <v/>
      </c>
      <c r="B206" s="148">
        <f>IF(A206,B205+1,B205)</f>
        <v/>
      </c>
      <c r="C206" s="148" t="n">
        <v>73</v>
      </c>
      <c r="D206" s="148" t="inlineStr">
        <is>
          <t>DC Bamboo Fitted</t>
        </is>
      </c>
      <c r="E206" s="148" t="inlineStr">
        <is>
          <t>US</t>
        </is>
      </c>
      <c r="F206" s="148" t="inlineStr">
        <is>
          <t>Bamboo</t>
        </is>
      </c>
      <c r="G206" s="148" t="inlineStr">
        <is>
          <t>Zaizaihome</t>
        </is>
      </c>
      <c r="H206" s="148" t="inlineStr">
        <is>
          <t>Beatable</t>
        </is>
      </c>
      <c r="I206" s="148" t="inlineStr">
        <is>
          <t>Bamboo Viscose Cooling Fitted Sheet King Size Only</t>
        </is>
      </c>
      <c r="J206" s="148" t="inlineStr">
        <is>
          <t>https://images-na.ssl-images-amazon.com/images/I/81UgXZwkGpL.jpg</t>
        </is>
      </c>
      <c r="K206" s="148" t="inlineStr">
        <is>
          <t>B0CXPDKH51</t>
        </is>
      </c>
      <c r="L206" s="148" t="inlineStr">
        <is>
          <t>B0CXPKK5DD</t>
        </is>
      </c>
      <c r="M206" s="148" t="n">
        <v>79</v>
      </c>
      <c r="N206" s="148" t="n">
        <v>29.99</v>
      </c>
      <c r="O206" s="148" t="n"/>
      <c r="P206" s="148">
        <f>IF(AND(ISNUMBER(O206),ISNUMBER(N206),N(N206)&gt;0),O206/N206-1,"")</f>
        <v/>
      </c>
      <c r="Q206" s="148" t="n">
        <v>39.95</v>
      </c>
      <c r="R206" s="148">
        <f>IF(AND(ISNUMBER(N206),ISNUMBER(Q206),N(Q206)&gt;0),N206/Q206-1,"")</f>
        <v/>
      </c>
      <c r="S206" s="148" t="n">
        <v>9600</v>
      </c>
      <c r="T206" s="148" t="n">
        <v>81</v>
      </c>
      <c r="U206" s="148" t="n">
        <v>4.3</v>
      </c>
      <c r="V206" s="148" t="n">
        <v>1029</v>
      </c>
      <c r="W206" s="148" t="n">
        <v>80454</v>
      </c>
      <c r="X206" s="148" t="n">
        <v>0.9934371106470778</v>
      </c>
      <c r="Y206" s="148" t="n">
        <v>29</v>
      </c>
      <c r="Z206" s="148" t="n">
        <v>230</v>
      </c>
      <c r="AA206" s="148" t="n">
        <v>39</v>
      </c>
      <c r="AB206" s="148" t="n">
        <v>0.9810017271157168</v>
      </c>
      <c r="AC206" s="148" t="inlineStr">
        <is>
          <t>US DC Bamboo Fitted</t>
        </is>
      </c>
      <c r="AD206" s="148">
        <f>'US DC Bamboo Fitted'!BF55</f>
        <v/>
      </c>
      <c r="AE206" s="148">
        <f>'US DC Bamboo Fitted'!BI55</f>
        <v/>
      </c>
      <c r="AF206" s="148" t="inlineStr">
        <is>
          <t>King</t>
        </is>
      </c>
      <c r="AG206" s="148" t="inlineStr">
        <is>
          <t>Dark Grey</t>
        </is>
      </c>
      <c r="AH206" s="148">
        <f>AND(E206="CA",OR('CA Dashboard'!$C$4="All",'CA Dashboard'!$C$4=D206),OR('CA Dashboard'!$C$5="All",'CA Dashboard'!$C$5=G206),OR('CA Dashboard'!$C$6="All",'CA Dashboard'!$C$6=H206),OR('CA Dashboard'!$C$7="All",'CA Dashboard'!$C$7=F206),OR('CA Dashboard'!$C$8="All",'CA Dashboard'!$C$8=AJ206))</f>
        <v/>
      </c>
      <c r="AI206" s="148">
        <f>IF(AH206,AI205+1,AI205)</f>
        <v/>
      </c>
      <c r="AJ206" s="148" t="inlineStr">
        <is>
          <t>Direct</t>
        </is>
      </c>
      <c r="AK206" s="148" t="inlineStr">
        <is>
          <t>Same product (fitted sheet) in the same material family: Bamboo viscose (product page material: Viscose Derived from Bamboo); ours: our listing: viscose from bamboo.</t>
        </is>
      </c>
    </row>
    <row r="207">
      <c r="A207" s="148">
        <f>AND(E207="US",OR('US Dashboard'!$C$4="All",'US Dashboard'!$C$4=D207),OR('US Dashboard'!$C$5="All",'US Dashboard'!$C$5=G207),OR('US Dashboard'!$C$6="All",'US Dashboard'!$C$6=H207),OR('US Dashboard'!$C$7="All",'US Dashboard'!$C$7=F207),OR('US Dashboard'!$C$8="All",'US Dashboard'!$C$8=AJ207))</f>
        <v/>
      </c>
      <c r="B207" s="148">
        <f>IF(A207,B206+1,B206)</f>
        <v/>
      </c>
      <c r="C207" s="148" t="n">
        <v>73</v>
      </c>
      <c r="D207" s="148" t="inlineStr">
        <is>
          <t>DC Bamboo Fitted</t>
        </is>
      </c>
      <c r="E207" s="148" t="inlineStr">
        <is>
          <t>US</t>
        </is>
      </c>
      <c r="F207" s="148" t="inlineStr">
        <is>
          <t>Bamboo</t>
        </is>
      </c>
      <c r="G207" s="148" t="inlineStr">
        <is>
          <t>Bedsure</t>
        </is>
      </c>
      <c r="H207" s="148" t="inlineStr">
        <is>
          <t>Beatable</t>
        </is>
      </c>
      <c r="I207" s="148" t="inlineStr">
        <is>
          <t>Bedsure PureWoven Queen Fitted Sheet Qnly, 100% Rayon Derived from Bamboo</t>
        </is>
      </c>
      <c r="J207" s="148" t="inlineStr">
        <is>
          <t>https://images-na.ssl-images-amazon.com/images/I/81OVUx9lkCL.jpg</t>
        </is>
      </c>
      <c r="K207" s="148" t="inlineStr">
        <is>
          <t>B0FW3SSM8K</t>
        </is>
      </c>
      <c r="L207" s="148" t="inlineStr">
        <is>
          <t>B0FW38KM4S</t>
        </is>
      </c>
      <c r="M207" s="148" t="n">
        <v>24</v>
      </c>
      <c r="N207" s="148" t="n">
        <v>44.99</v>
      </c>
      <c r="O207" s="148" t="n"/>
      <c r="P207" s="148">
        <f>IF(AND(ISNUMBER(O207),ISNUMBER(N207),N(N207)&gt;0),O207/N207-1,"")</f>
        <v/>
      </c>
      <c r="Q207" s="148" t="n">
        <v>37.95</v>
      </c>
      <c r="R207" s="148">
        <f>IF(AND(ISNUMBER(N207),ISNUMBER(Q207),N(Q207)&gt;0),N207/Q207-1,"")</f>
        <v/>
      </c>
      <c r="S207" s="148" t="n">
        <v>19075</v>
      </c>
      <c r="T207" s="148" t="n">
        <v>81</v>
      </c>
      <c r="U207" s="148" t="n">
        <v>4.4</v>
      </c>
      <c r="V207" s="148" t="n">
        <v>168</v>
      </c>
      <c r="W207" s="148" t="n">
        <v>95724</v>
      </c>
      <c r="X207" s="148" t="n">
        <v>0.3728984204588193</v>
      </c>
      <c r="Y207" s="148" t="n">
        <v>34</v>
      </c>
      <c r="Z207" s="148" t="n">
        <v>254</v>
      </c>
      <c r="AA207" s="148" t="n">
        <v>455</v>
      </c>
      <c r="AB207" s="148" t="n">
        <v>1.177319587628866</v>
      </c>
      <c r="AC207" s="148" t="inlineStr">
        <is>
          <t>US DC Bamboo Fitted</t>
        </is>
      </c>
      <c r="AD207" s="148">
        <f>'US DC Bamboo Fitted'!BF56</f>
        <v/>
      </c>
      <c r="AE207" s="148">
        <f>'US DC Bamboo Fitted'!BI56</f>
        <v/>
      </c>
      <c r="AF207" s="148" t="inlineStr">
        <is>
          <t>Queen (1 PC)</t>
        </is>
      </c>
      <c r="AG207" s="148" t="inlineStr">
        <is>
          <t>01 - Grey</t>
        </is>
      </c>
      <c r="AH207" s="148">
        <f>AND(E207="CA",OR('CA Dashboard'!$C$4="All",'CA Dashboard'!$C$4=D207),OR('CA Dashboard'!$C$5="All",'CA Dashboard'!$C$5=G207),OR('CA Dashboard'!$C$6="All",'CA Dashboard'!$C$6=H207),OR('CA Dashboard'!$C$7="All",'CA Dashboard'!$C$7=F207),OR('CA Dashboard'!$C$8="All",'CA Dashboard'!$C$8=AJ207))</f>
        <v/>
      </c>
      <c r="AI207" s="148">
        <f>IF(AH207,AI206+1,AI206)</f>
        <v/>
      </c>
      <c r="AJ207" s="148" t="inlineStr">
        <is>
          <t>Direct</t>
        </is>
      </c>
      <c r="AK207" s="148" t="inlineStr">
        <is>
          <t>Same product (fitted sheet) in the same material family: Bamboo viscose (product page material: Rayon Derived from Bamboo); ours: our listing: viscose from bamboo.</t>
        </is>
      </c>
    </row>
    <row r="208">
      <c r="A208" s="148">
        <f>AND(E208="US",OR('US Dashboard'!$C$4="All",'US Dashboard'!$C$4=D208),OR('US Dashboard'!$C$5="All",'US Dashboard'!$C$5=G208),OR('US Dashboard'!$C$6="All",'US Dashboard'!$C$6=H208),OR('US Dashboard'!$C$7="All",'US Dashboard'!$C$7=F208),OR('US Dashboard'!$C$8="All",'US Dashboard'!$C$8=AJ208))</f>
        <v/>
      </c>
      <c r="B208" s="148">
        <f>IF(A208,B207+1,B207)</f>
        <v/>
      </c>
      <c r="C208" s="148" t="n">
        <v>73</v>
      </c>
      <c r="D208" s="148" t="inlineStr">
        <is>
          <t>DC Bamboo Fitted</t>
        </is>
      </c>
      <c r="E208" s="148" t="inlineStr">
        <is>
          <t>US</t>
        </is>
      </c>
      <c r="F208" s="148" t="inlineStr">
        <is>
          <t>Bamboo</t>
        </is>
      </c>
      <c r="G208" s="148" t="inlineStr">
        <is>
          <t>BC BELLA COTERIE</t>
        </is>
      </c>
      <c r="H208" s="148" t="inlineStr">
        <is>
          <t>Beatable</t>
        </is>
      </c>
      <c r="I208" s="148" t="inlineStr">
        <is>
          <t>Bella Coterie | Luxury Bamboo Viscose King Size Fitted Sheet Only</t>
        </is>
      </c>
      <c r="J208" s="148" t="inlineStr">
        <is>
          <t>https://images-na.ssl-images-amazon.com/images/I/71AIQ3TCTsL.jpg</t>
        </is>
      </c>
      <c r="K208" s="148" t="inlineStr">
        <is>
          <t>B0FP7WBFNJ</t>
        </is>
      </c>
      <c r="L208" s="148" t="inlineStr">
        <is>
          <t>B0CZXZCTJP</t>
        </is>
      </c>
      <c r="M208" s="148" t="n">
        <v>126</v>
      </c>
      <c r="N208" s="148" t="n">
        <v>54.99</v>
      </c>
      <c r="O208" s="148" t="n"/>
      <c r="P208" s="148">
        <f>IF(AND(ISNUMBER(O208),ISNUMBER(N208),N(N208)&gt;0),O208/N208-1,"")</f>
        <v/>
      </c>
      <c r="Q208" s="148" t="n">
        <v>39.95</v>
      </c>
      <c r="R208" s="148">
        <f>IF(AND(ISNUMBER(N208),ISNUMBER(Q208),N(Q208)&gt;0),N208/Q208-1,"")</f>
        <v/>
      </c>
      <c r="S208" s="148" t="n">
        <v>13383</v>
      </c>
      <c r="T208" s="148" t="n">
        <v>35</v>
      </c>
      <c r="U208" s="148" t="n">
        <v>4.5</v>
      </c>
      <c r="V208" s="148" t="n">
        <v>331</v>
      </c>
      <c r="W208" s="148" t="n">
        <v>157609</v>
      </c>
      <c r="X208" s="148" t="n">
        <v>0.3003846861537098</v>
      </c>
      <c r="Y208" s="148" t="n">
        <v>32</v>
      </c>
      <c r="Z208" s="148" t="n">
        <v>249</v>
      </c>
      <c r="AA208" s="148" t="n">
        <v>968</v>
      </c>
      <c r="AB208" s="148" t="n">
        <v>1.303030303030303</v>
      </c>
      <c r="AC208" s="148" t="inlineStr">
        <is>
          <t>US DC Bamboo Fitted</t>
        </is>
      </c>
      <c r="AD208" s="148">
        <f>'US DC Bamboo Fitted'!BF57</f>
        <v/>
      </c>
      <c r="AE208" s="148">
        <f>'US DC Bamboo Fitted'!BI57</f>
        <v/>
      </c>
      <c r="AF208" s="148" t="inlineStr">
        <is>
          <t>King</t>
        </is>
      </c>
      <c r="AG208" s="148" t="inlineStr">
        <is>
          <t>Ivory</t>
        </is>
      </c>
      <c r="AH208" s="148">
        <f>AND(E208="CA",OR('CA Dashboard'!$C$4="All",'CA Dashboard'!$C$4=D208),OR('CA Dashboard'!$C$5="All",'CA Dashboard'!$C$5=G208),OR('CA Dashboard'!$C$6="All",'CA Dashboard'!$C$6=H208),OR('CA Dashboard'!$C$7="All",'CA Dashboard'!$C$7=F208),OR('CA Dashboard'!$C$8="All",'CA Dashboard'!$C$8=AJ208))</f>
        <v/>
      </c>
      <c r="AI208" s="148">
        <f>IF(AH208,AI207+1,AI207)</f>
        <v/>
      </c>
      <c r="AJ208" s="148" t="inlineStr">
        <is>
          <t>Direct</t>
        </is>
      </c>
      <c r="AK208" s="148" t="inlineStr">
        <is>
          <t>Same product (fitted sheet) in the same material family: Bamboo viscose (product page material: Organically Grown Viscose Made From Bamboo); ours: our listing: viscose from bamboo.</t>
        </is>
      </c>
    </row>
    <row r="209">
      <c r="A209" s="148">
        <f>AND(E209="US",OR('US Dashboard'!$C$4="All",'US Dashboard'!$C$4=D209),OR('US Dashboard'!$C$5="All",'US Dashboard'!$C$5=G209),OR('US Dashboard'!$C$6="All",'US Dashboard'!$C$6=H209),OR('US Dashboard'!$C$7="All",'US Dashboard'!$C$7=F209),OR('US Dashboard'!$C$8="All",'US Dashboard'!$C$8=AJ209))</f>
        <v/>
      </c>
      <c r="B209" s="148">
        <f>IF(A209,B208+1,B208)</f>
        <v/>
      </c>
      <c r="C209" s="148" t="n">
        <v>73</v>
      </c>
      <c r="D209" s="148" t="inlineStr">
        <is>
          <t>DC Bamboo Fitted</t>
        </is>
      </c>
      <c r="E209" s="148" t="inlineStr">
        <is>
          <t>US</t>
        </is>
      </c>
      <c r="F209" s="148" t="inlineStr">
        <is>
          <t>Bamboo</t>
        </is>
      </c>
      <c r="G209" s="148" t="inlineStr">
        <is>
          <t>REST</t>
        </is>
      </c>
      <c r="H209" s="148" t="inlineStr">
        <is>
          <t>Aspirational</t>
        </is>
      </c>
      <c r="I209" s="148" t="inlineStr">
        <is>
          <t>REST® Evercool®+ Fitted Sheet, Full Size, Light Blue, 15" Deep (up to 18’’), Bre</t>
        </is>
      </c>
      <c r="J209" s="148" t="inlineStr">
        <is>
          <t>https://m.media-amazon.com/images/I/61L1TXtZ28L._AC_SL1500_.jpg</t>
        </is>
      </c>
      <c r="K209" s="148" t="inlineStr">
        <is>
          <t>B0C14HFDS1</t>
        </is>
      </c>
      <c r="L209" s="148" t="inlineStr">
        <is>
          <t>B0D4Y6RKLL</t>
        </is>
      </c>
      <c r="M209" s="148" t="n">
        <v>36</v>
      </c>
      <c r="N209" s="148" t="n">
        <v>111.2</v>
      </c>
      <c r="O209" s="148" t="n">
        <v>139</v>
      </c>
      <c r="P209" s="148">
        <f>IF(AND(ISNUMBER(O209),ISNUMBER(N209),N(N209)&gt;0),O209/N209-1,"")</f>
        <v/>
      </c>
      <c r="Q209" s="148" t="n">
        <v>39.95</v>
      </c>
      <c r="R209" s="148">
        <f>IF(AND(ISNUMBER(N209),ISNUMBER(Q209),N(Q209)&gt;0),N209/Q209-1,"")</f>
        <v/>
      </c>
      <c r="S209" s="148" t="n">
        <v>22651</v>
      </c>
      <c r="T209" s="148" t="n">
        <v>35</v>
      </c>
      <c r="U209" s="148" t="n">
        <v>4.4</v>
      </c>
      <c r="V209" s="148" t="n">
        <v>663</v>
      </c>
      <c r="W209" s="148" t="n">
        <v>110996</v>
      </c>
      <c r="X209" s="148" t="n">
        <v>0.5327084201232477</v>
      </c>
      <c r="Y209" s="148" t="n">
        <v>44</v>
      </c>
      <c r="Z209" s="148" t="n">
        <v>75</v>
      </c>
      <c r="AA209" s="148" t="n">
        <v>776</v>
      </c>
      <c r="AB209" s="148" t="n"/>
      <c r="AC209" s="148" t="inlineStr">
        <is>
          <t>US DC Bamboo Fitted</t>
        </is>
      </c>
      <c r="AD209" s="148">
        <f>'US DC Bamboo Fitted'!BF58</f>
        <v/>
      </c>
      <c r="AE209" s="148">
        <f>'US DC Bamboo Fitted'!BI58</f>
        <v/>
      </c>
      <c r="AF209" s="148" t="inlineStr">
        <is>
          <t>King</t>
        </is>
      </c>
      <c r="AG209" s="148" t="inlineStr">
        <is>
          <t>Arctic White</t>
        </is>
      </c>
      <c r="AH209" s="148">
        <f>AND(E209="CA",OR('CA Dashboard'!$C$4="All",'CA Dashboard'!$C$4=D209),OR('CA Dashboard'!$C$5="All",'CA Dashboard'!$C$5=G209),OR('CA Dashboard'!$C$6="All",'CA Dashboard'!$C$6=H209),OR('CA Dashboard'!$C$7="All",'CA Dashboard'!$C$7=F209),OR('CA Dashboard'!$C$8="All",'CA Dashboard'!$C$8=AJ209))</f>
        <v/>
      </c>
      <c r="AI209" s="148">
        <f>IF(AH209,AI208+1,AI208)</f>
        <v/>
      </c>
      <c r="AJ209" s="148" t="inlineStr">
        <is>
          <t>Alternative material</t>
        </is>
      </c>
      <c r="AK209" s="148" t="inlineStr">
        <is>
          <t>Fitted sheet in Synthetic cooling knit (product page material: IONIC+ silver yarn, superfine denier nylon, spandex, Skin Fr); ours is Bamboo viscose (our listing: viscose from bamboo). Shopper may cross-shop, but not like-for-like.</t>
        </is>
      </c>
    </row>
    <row r="210">
      <c r="A210" s="148">
        <f>AND(E210="US",OR('US Dashboard'!$C$4="All",'US Dashboard'!$C$4=D210),OR('US Dashboard'!$C$5="All",'US Dashboard'!$C$5=G210),OR('US Dashboard'!$C$6="All",'US Dashboard'!$C$6=H210),OR('US Dashboard'!$C$7="All",'US Dashboard'!$C$7=F210),OR('US Dashboard'!$C$8="All",'US Dashboard'!$C$8=AJ210))</f>
        <v/>
      </c>
      <c r="B210" s="148">
        <f>IF(A210,B209+1,B209)</f>
        <v/>
      </c>
      <c r="C210" s="148" t="n">
        <v>73</v>
      </c>
      <c r="D210" s="148" t="inlineStr">
        <is>
          <t>DC Bamboo Fitted</t>
        </is>
      </c>
      <c r="E210" s="148" t="inlineStr">
        <is>
          <t>US</t>
        </is>
      </c>
      <c r="F210" s="148" t="inlineStr">
        <is>
          <t>Bamboo</t>
        </is>
      </c>
      <c r="G210" s="148" t="inlineStr">
        <is>
          <t>Cozy Bliss</t>
        </is>
      </c>
      <c r="H210" s="148" t="inlineStr">
        <is>
          <t>Beatable</t>
        </is>
      </c>
      <c r="I210" s="148" t="inlineStr">
        <is>
          <t>Cooling Fitted Sheet</t>
        </is>
      </c>
      <c r="J210" s="148" t="inlineStr">
        <is>
          <t>https://m.media-amazon.com/images/I/71EKXfc2t8L._AC_SL1500_.jpg</t>
        </is>
      </c>
      <c r="K210" s="148" t="inlineStr">
        <is>
          <t>B0DT14Y4VJ</t>
        </is>
      </c>
      <c r="L210" s="148" t="inlineStr">
        <is>
          <t>B0DMNMPVJP</t>
        </is>
      </c>
      <c r="M210" s="148" t="n">
        <v>23</v>
      </c>
      <c r="N210" s="148" t="n">
        <v>74.98999999999999</v>
      </c>
      <c r="O210" s="148" t="n"/>
      <c r="P210" s="148">
        <f>IF(AND(ISNUMBER(O210),ISNUMBER(N210),N(N210)&gt;0),O210/N210-1,"")</f>
        <v/>
      </c>
      <c r="Q210" s="148" t="n">
        <v>37.95</v>
      </c>
      <c r="R210" s="148">
        <f>IF(AND(ISNUMBER(N210),ISNUMBER(Q210),N(Q210)&gt;0),N210/Q210-1,"")</f>
        <v/>
      </c>
      <c r="S210" s="148" t="n">
        <v>100300</v>
      </c>
      <c r="T210" s="148" t="n">
        <v>5</v>
      </c>
      <c r="U210" s="148" t="n">
        <v>4.5</v>
      </c>
      <c r="V210" s="148" t="n">
        <v>456</v>
      </c>
      <c r="W210" s="148" t="n">
        <v>14965</v>
      </c>
      <c r="X210" s="148" t="n">
        <v>0.8178404944871368</v>
      </c>
      <c r="Y210" s="148" t="n">
        <v>24</v>
      </c>
      <c r="Z210" s="148" t="n">
        <v>25</v>
      </c>
      <c r="AA210" s="148" t="n">
        <v>70</v>
      </c>
      <c r="AB210" s="148" t="n"/>
      <c r="AC210" s="148" t="inlineStr">
        <is>
          <t>US DC Bamboo Fitted</t>
        </is>
      </c>
      <c r="AD210" s="148">
        <f>'US DC Bamboo Fitted'!BF59</f>
        <v/>
      </c>
      <c r="AE210" s="148">
        <f>'US DC Bamboo Fitted'!BI59</f>
        <v/>
      </c>
      <c r="AF210" s="148" t="inlineStr">
        <is>
          <t>Queen(no Flat Sheet)</t>
        </is>
      </c>
      <c r="AG210" s="148" t="inlineStr">
        <is>
          <t>Cool Blue</t>
        </is>
      </c>
      <c r="AH210" s="148">
        <f>AND(E210="CA",OR('CA Dashboard'!$C$4="All",'CA Dashboard'!$C$4=D210),OR('CA Dashboard'!$C$5="All",'CA Dashboard'!$C$5=G210),OR('CA Dashboard'!$C$6="All",'CA Dashboard'!$C$6=H210),OR('CA Dashboard'!$C$7="All",'CA Dashboard'!$C$7=F210),OR('CA Dashboard'!$C$8="All",'CA Dashboard'!$C$8=AJ210))</f>
        <v/>
      </c>
      <c r="AI210" s="148">
        <f>IF(AH210,AI209+1,AI209)</f>
        <v/>
      </c>
      <c r="AJ210" s="148" t="inlineStr">
        <is>
          <t>Alternative material</t>
        </is>
      </c>
      <c r="AK210" s="148" t="inlineStr">
        <is>
          <t>Fitted sheet in Synthetic cooling knit (product page material: 90%Nylon 10%Spandex); ours is Bamboo viscose (our listing: viscose from bamboo). Shopper may cross-shop, but not like-for-like.</t>
        </is>
      </c>
    </row>
    <row r="211">
      <c r="A211" s="148">
        <f>AND(E211="US",OR('US Dashboard'!$C$4="All",'US Dashboard'!$C$4=D211),OR('US Dashboard'!$C$5="All",'US Dashboard'!$C$5=G211),OR('US Dashboard'!$C$6="All",'US Dashboard'!$C$6=H211),OR('US Dashboard'!$C$7="All",'US Dashboard'!$C$7=F211),OR('US Dashboard'!$C$8="All",'US Dashboard'!$C$8=AJ211))</f>
        <v/>
      </c>
      <c r="B211" s="148">
        <f>IF(A211,B210+1,B210)</f>
        <v/>
      </c>
      <c r="C211" s="148" t="n">
        <v>73</v>
      </c>
      <c r="D211" s="148" t="inlineStr">
        <is>
          <t>DC Bamboo Fitted</t>
        </is>
      </c>
      <c r="E211" s="148" t="inlineStr">
        <is>
          <t>US</t>
        </is>
      </c>
      <c r="F211" s="148" t="inlineStr">
        <is>
          <t>Bamboo</t>
        </is>
      </c>
      <c r="G211" s="148" t="inlineStr">
        <is>
          <t>Pure Bamboo</t>
        </is>
      </c>
      <c r="H211" s="148" t="inlineStr">
        <is>
          <t>Aspirational</t>
        </is>
      </c>
      <c r="I211" s="148" t="inlineStr">
        <is>
          <t>Pure Bamboo King Sheets, Genuine 100% Organic Viscose Derived from Bamboo Bed Sheet Set, Luxuriously Soft &amp; Cooling, Double Stitching, 2 Year Quality Promise (King, Ivory)</t>
        </is>
      </c>
      <c r="J211" s="148" t="inlineStr">
        <is>
          <t>https://images-na.ssl-images-amazon.com/images/I/91dfner9BkL.jpg</t>
        </is>
      </c>
      <c r="K211" s="148" t="inlineStr">
        <is>
          <t>B0CZQ52MTQ</t>
        </is>
      </c>
      <c r="L211" s="148" t="inlineStr">
        <is>
          <t>B07DZTQ4JC</t>
        </is>
      </c>
      <c r="M211" s="148" t="n">
        <v>181</v>
      </c>
      <c r="N211" s="148" t="n">
        <v>109.99</v>
      </c>
      <c r="O211" s="148" t="n"/>
      <c r="P211" s="148">
        <f>IF(AND(ISNUMBER(O211),ISNUMBER(N211),N(N211)&gt;0),O211/N211-1,"")</f>
        <v/>
      </c>
      <c r="Q211" s="148" t="n">
        <v>39.95</v>
      </c>
      <c r="R211" s="148">
        <f>IF(AND(ISNUMBER(N211),ISNUMBER(Q211),N(Q211)&gt;0),N211/Q211-1,"")</f>
        <v/>
      </c>
      <c r="S211" s="148" t="n">
        <v>304</v>
      </c>
      <c r="T211" s="148" t="n">
        <v>809</v>
      </c>
      <c r="U211" s="148" t="n">
        <v>4.5</v>
      </c>
      <c r="V211" s="148" t="n">
        <v>21927</v>
      </c>
      <c r="W211" s="148" t="n">
        <v>2565055</v>
      </c>
      <c r="X211" s="148" t="n">
        <v>0.4648594811807159</v>
      </c>
      <c r="Y211" s="148" t="n">
        <v>29</v>
      </c>
      <c r="Z211" s="148" t="n">
        <v>266</v>
      </c>
      <c r="AA211" s="148" t="n">
        <v>3819</v>
      </c>
      <c r="AB211" s="148" t="n">
        <v>1.180104147961932</v>
      </c>
      <c r="AC211" s="148" t="inlineStr">
        <is>
          <t>US DC Bamboo Fitted</t>
        </is>
      </c>
      <c r="AD211" s="148">
        <f>'US DC Bamboo Fitted'!BF60</f>
        <v/>
      </c>
      <c r="AE211" s="148">
        <f>'US DC Bamboo Fitted'!BI60</f>
        <v/>
      </c>
      <c r="AF211" s="148" t="inlineStr">
        <is>
          <t>King</t>
        </is>
      </c>
      <c r="AG211" s="148" t="inlineStr">
        <is>
          <t>Ivory</t>
        </is>
      </c>
      <c r="AH211" s="148">
        <f>AND(E211="CA",OR('CA Dashboard'!$C$4="All",'CA Dashboard'!$C$4=D211),OR('CA Dashboard'!$C$5="All",'CA Dashboard'!$C$5=G211),OR('CA Dashboard'!$C$6="All",'CA Dashboard'!$C$6=H211),OR('CA Dashboard'!$C$7="All",'CA Dashboard'!$C$7=F211),OR('CA Dashboard'!$C$8="All",'CA Dashboard'!$C$8=AJ211))</f>
        <v/>
      </c>
      <c r="AI211" s="148">
        <f>IF(AH211,AI210+1,AI210)</f>
        <v/>
      </c>
      <c r="AJ211" s="148" t="inlineStr">
        <is>
          <t>Different product type</t>
        </is>
      </c>
      <c r="AK211" s="148" t="inlineStr">
        <is>
          <t>Sells a sheet set; ours is a fitted sheet.</t>
        </is>
      </c>
    </row>
    <row r="212">
      <c r="A212" s="148">
        <f>AND(E212="US",OR('US Dashboard'!$C$4="All",'US Dashboard'!$C$4=D212),OR('US Dashboard'!$C$5="All",'US Dashboard'!$C$5=G212),OR('US Dashboard'!$C$6="All",'US Dashboard'!$C$6=H212),OR('US Dashboard'!$C$7="All",'US Dashboard'!$C$7=F212),OR('US Dashboard'!$C$8="All",'US Dashboard'!$C$8=AJ212))</f>
        <v/>
      </c>
      <c r="B212" s="148">
        <f>IF(A212,B211+1,B211)</f>
        <v/>
      </c>
      <c r="C212" s="148" t="n">
        <v>73</v>
      </c>
      <c r="D212" s="148" t="inlineStr">
        <is>
          <t>DC Bamboo Fitted</t>
        </is>
      </c>
      <c r="E212" s="148" t="inlineStr">
        <is>
          <t>US</t>
        </is>
      </c>
      <c r="F212" s="148" t="inlineStr">
        <is>
          <t>Bamboo</t>
        </is>
      </c>
      <c r="G212" s="148" t="inlineStr">
        <is>
          <t>Bambaw</t>
        </is>
      </c>
      <c r="H212" s="148" t="inlineStr">
        <is>
          <t>Beatable</t>
        </is>
      </c>
      <c r="I212" s="148" t="inlineStr">
        <is>
          <t>Bambaw 100% Viscose Derived from Bamboo Sheets Queen Size Set – 4pcs Cooling Sheet Set, Super Soft Sheets Queen Size, Luxury Bed Sheets, Deep Pocket Fits Up to 16'' Mattresses (Charcoal)</t>
        </is>
      </c>
      <c r="J212" s="148" t="inlineStr">
        <is>
          <t>https://images-na.ssl-images-amazon.com/images/I/81svKInu7aL.jpg</t>
        </is>
      </c>
      <c r="K212" s="148" t="inlineStr">
        <is>
          <t>B07K6SYX8L</t>
        </is>
      </c>
      <c r="L212" s="148" t="inlineStr">
        <is>
          <t>B0DR99Q37Y</t>
        </is>
      </c>
      <c r="M212" s="148" t="n">
        <v>104</v>
      </c>
      <c r="N212" s="148" t="n">
        <v>89.98999999999999</v>
      </c>
      <c r="O212" s="148" t="n"/>
      <c r="P212" s="148">
        <f>IF(AND(ISNUMBER(O212),ISNUMBER(N212),N(N212)&gt;0),O212/N212-1,"")</f>
        <v/>
      </c>
      <c r="Q212" s="148" t="n">
        <v>37.95</v>
      </c>
      <c r="R212" s="148">
        <f>IF(AND(ISNUMBER(N212),ISNUMBER(Q212),N(Q212)&gt;0),N212/Q212-1,"")</f>
        <v/>
      </c>
      <c r="S212" s="148" t="n">
        <v>6971</v>
      </c>
      <c r="T212" s="148" t="n">
        <v>104</v>
      </c>
      <c r="U212" s="148" t="n">
        <v>4.3</v>
      </c>
      <c r="V212" s="148" t="n">
        <v>2766</v>
      </c>
      <c r="W212" s="148" t="n">
        <v>407949</v>
      </c>
      <c r="X212" s="148" t="n">
        <v>0.5037485506766772</v>
      </c>
      <c r="Y212" s="148" t="n">
        <v>46</v>
      </c>
      <c r="Z212" s="148" t="n">
        <v>195</v>
      </c>
      <c r="AA212" s="148" t="n">
        <v>613</v>
      </c>
      <c r="AB212" s="148" t="n">
        <v>1.374474053295933</v>
      </c>
      <c r="AC212" s="148" t="inlineStr">
        <is>
          <t>US DC Bamboo Fitted</t>
        </is>
      </c>
      <c r="AD212" s="148">
        <f>'US DC Bamboo Fitted'!BF61</f>
        <v/>
      </c>
      <c r="AE212" s="148">
        <f>'US DC Bamboo Fitted'!BI61</f>
        <v/>
      </c>
      <c r="AF212" s="148" t="inlineStr">
        <is>
          <t>Queen</t>
        </is>
      </c>
      <c r="AG212" s="148" t="inlineStr">
        <is>
          <t>Charcoal</t>
        </is>
      </c>
      <c r="AH212" s="148">
        <f>AND(E212="CA",OR('CA Dashboard'!$C$4="All",'CA Dashboard'!$C$4=D212),OR('CA Dashboard'!$C$5="All",'CA Dashboard'!$C$5=G212),OR('CA Dashboard'!$C$6="All",'CA Dashboard'!$C$6=H212),OR('CA Dashboard'!$C$7="All",'CA Dashboard'!$C$7=F212),OR('CA Dashboard'!$C$8="All",'CA Dashboard'!$C$8=AJ212))</f>
        <v/>
      </c>
      <c r="AI212" s="148">
        <f>IF(AH212,AI211+1,AI211)</f>
        <v/>
      </c>
      <c r="AJ212" s="148" t="inlineStr">
        <is>
          <t>Different product type</t>
        </is>
      </c>
      <c r="AK212" s="148" t="inlineStr">
        <is>
          <t>Sells a sheet set; ours is a fitted sheet.</t>
        </is>
      </c>
    </row>
    <row r="213">
      <c r="A213" s="148">
        <f>AND(E213="US",OR('US Dashboard'!$C$4="All",'US Dashboard'!$C$4=D213),OR('US Dashboard'!$C$5="All",'US Dashboard'!$C$5=G213),OR('US Dashboard'!$C$6="All",'US Dashboard'!$C$6=H213),OR('US Dashboard'!$C$7="All",'US Dashboard'!$C$7=F213),OR('US Dashboard'!$C$8="All",'US Dashboard'!$C$8=AJ213))</f>
        <v/>
      </c>
      <c r="B213" s="148">
        <f>IF(A213,B212+1,B212)</f>
        <v/>
      </c>
      <c r="C213" s="148" t="n">
        <v>73</v>
      </c>
      <c r="D213" s="148" t="inlineStr">
        <is>
          <t>DC Bamboo Fitted</t>
        </is>
      </c>
      <c r="E213" s="148" t="inlineStr">
        <is>
          <t>US</t>
        </is>
      </c>
      <c r="F213" s="148" t="inlineStr">
        <is>
          <t>Bamboo</t>
        </is>
      </c>
      <c r="G213" s="148" t="inlineStr">
        <is>
          <t>Bedsure</t>
        </is>
      </c>
      <c r="H213" s="148" t="inlineStr">
        <is>
          <t>Beatable</t>
        </is>
      </c>
      <c r="I213" s="148" t="inlineStr">
        <is>
          <t>Bedsure PureWoven Organically Grown Bamboo Viscose Queen Sheet Set, 4PCS</t>
        </is>
      </c>
      <c r="J213" s="148" t="inlineStr">
        <is>
          <t>https://images-na.ssl-images-amazon.com/images/I/81suQgVR0GL.jpg</t>
        </is>
      </c>
      <c r="K213" s="148" t="inlineStr">
        <is>
          <t>B0FB8XS4D1</t>
        </is>
      </c>
      <c r="L213" s="148" t="inlineStr">
        <is>
          <t>B0FB8XR43Q</t>
        </is>
      </c>
      <c r="M213" s="148" t="n">
        <v>39</v>
      </c>
      <c r="N213" s="148" t="n">
        <v>89.98999999999999</v>
      </c>
      <c r="O213" s="148" t="n">
        <v>119.99</v>
      </c>
      <c r="P213" s="148">
        <f>IF(AND(ISNUMBER(O213),ISNUMBER(N213),N(N213)&gt;0),O213/N213-1,"")</f>
        <v/>
      </c>
      <c r="Q213" s="148" t="n">
        <v>37.95</v>
      </c>
      <c r="R213" s="148">
        <f>IF(AND(ISNUMBER(N213),ISNUMBER(Q213),N(Q213)&gt;0),N213/Q213-1,"")</f>
        <v/>
      </c>
      <c r="S213" s="148" t="n">
        <v>8938</v>
      </c>
      <c r="T213" s="148" t="n">
        <v>104</v>
      </c>
      <c r="U213" s="148" t="n">
        <v>4.5</v>
      </c>
      <c r="V213" s="148" t="n">
        <v>588</v>
      </c>
      <c r="W213" s="148" t="n">
        <v>840292</v>
      </c>
      <c r="X213" s="148" t="n">
        <v>0.1404099194089678</v>
      </c>
      <c r="Y213" s="148" t="n">
        <v>35</v>
      </c>
      <c r="Z213" s="148" t="n">
        <v>261</v>
      </c>
      <c r="AA213" s="148" t="n">
        <v>2487</v>
      </c>
      <c r="AB213" s="148" t="n">
        <v>1.764832022873481</v>
      </c>
      <c r="AC213" s="148" t="inlineStr">
        <is>
          <t>US DC Bamboo Fitted</t>
        </is>
      </c>
      <c r="AD213" s="148">
        <f>'US DC Bamboo Fitted'!BF62</f>
        <v/>
      </c>
      <c r="AE213" s="148">
        <f>'US DC Bamboo Fitted'!BI62</f>
        <v/>
      </c>
      <c r="AF213" s="148" t="inlineStr">
        <is>
          <t>Queen</t>
        </is>
      </c>
      <c r="AG213" s="148" t="inlineStr">
        <is>
          <t>01 - White</t>
        </is>
      </c>
      <c r="AH213" s="148">
        <f>AND(E213="CA",OR('CA Dashboard'!$C$4="All",'CA Dashboard'!$C$4=D213),OR('CA Dashboard'!$C$5="All",'CA Dashboard'!$C$5=G213),OR('CA Dashboard'!$C$6="All",'CA Dashboard'!$C$6=H213),OR('CA Dashboard'!$C$7="All",'CA Dashboard'!$C$7=F213),OR('CA Dashboard'!$C$8="All",'CA Dashboard'!$C$8=AJ213))</f>
        <v/>
      </c>
      <c r="AI213" s="148">
        <f>IF(AH213,AI212+1,AI212)</f>
        <v/>
      </c>
      <c r="AJ213" s="148" t="inlineStr">
        <is>
          <t>Different product type</t>
        </is>
      </c>
      <c r="AK213" s="148" t="inlineStr">
        <is>
          <t>Sells a sheet set; ours is a fitted sheet.</t>
        </is>
      </c>
    </row>
    <row r="214">
      <c r="A214" s="148">
        <f>AND(E214="US",OR('US Dashboard'!$C$4="All",'US Dashboard'!$C$4=D214),OR('US Dashboard'!$C$5="All",'US Dashboard'!$C$5=G214),OR('US Dashboard'!$C$6="All",'US Dashboard'!$C$6=H214),OR('US Dashboard'!$C$7="All",'US Dashboard'!$C$7=F214),OR('US Dashboard'!$C$8="All",'US Dashboard'!$C$8=AJ214))</f>
        <v/>
      </c>
      <c r="B214" s="148">
        <f>IF(A214,B213+1,B213)</f>
        <v/>
      </c>
      <c r="C214" s="148" t="n">
        <v>73</v>
      </c>
      <c r="D214" s="148" t="inlineStr">
        <is>
          <t>DC Bamboo Fitted</t>
        </is>
      </c>
      <c r="E214" s="148" t="inlineStr">
        <is>
          <t>US</t>
        </is>
      </c>
      <c r="F214" s="148" t="inlineStr">
        <is>
          <t>Bamboo</t>
        </is>
      </c>
      <c r="G214" s="148" t="inlineStr">
        <is>
          <t>SONORO KATE</t>
        </is>
      </c>
      <c r="H214" s="148" t="inlineStr">
        <is>
          <t>Beatable</t>
        </is>
      </c>
      <c r="I214" s="148" t="inlineStr">
        <is>
          <t>Bamboo Sheets</t>
        </is>
      </c>
      <c r="J214" s="148" t="inlineStr">
        <is>
          <t>https://images-na.ssl-images-amazon.com/images/I/71sqxa1EquL.jpg</t>
        </is>
      </c>
      <c r="K214" s="148" t="inlineStr">
        <is>
          <t>B0F4852T9V</t>
        </is>
      </c>
      <c r="L214" s="148" t="inlineStr">
        <is>
          <t>B0F4873G4H</t>
        </is>
      </c>
      <c r="M214" s="148" t="n">
        <v>33</v>
      </c>
      <c r="N214" s="148" t="n">
        <v>79.98999999999999</v>
      </c>
      <c r="O214" s="148" t="n"/>
      <c r="P214" s="148">
        <f>IF(AND(ISNUMBER(O214),ISNUMBER(N214),N(N214)&gt;0),O214/N214-1,"")</f>
        <v/>
      </c>
      <c r="Q214" s="148" t="n">
        <v>39.95</v>
      </c>
      <c r="R214" s="148">
        <f>IF(AND(ISNUMBER(N214),ISNUMBER(Q214),N(Q214)&gt;0),N214/Q214-1,"")</f>
        <v/>
      </c>
      <c r="S214" s="148" t="n">
        <v>7961</v>
      </c>
      <c r="T214" s="148" t="n">
        <v>104</v>
      </c>
      <c r="U214" s="148" t="n">
        <v>4.5</v>
      </c>
      <c r="V214" s="148" t="n">
        <v>3776</v>
      </c>
      <c r="W214" s="148" t="n">
        <v>185157</v>
      </c>
      <c r="X214" s="148" t="n">
        <v>0.9776013545261586</v>
      </c>
      <c r="Y214" s="148" t="n">
        <v>42</v>
      </c>
      <c r="Z214" s="148" t="n">
        <v>187</v>
      </c>
      <c r="AA214" s="148" t="n">
        <v>124</v>
      </c>
      <c r="AB214" s="148" t="n">
        <v>1.314808539478143</v>
      </c>
      <c r="AC214" s="148" t="inlineStr">
        <is>
          <t>US DC Bamboo Fitted</t>
        </is>
      </c>
      <c r="AD214" s="148">
        <f>'US DC Bamboo Fitted'!BF63</f>
        <v/>
      </c>
      <c r="AE214" s="148">
        <f>'US DC Bamboo Fitted'!BI63</f>
        <v/>
      </c>
      <c r="AF214" s="148" t="inlineStr">
        <is>
          <t>King</t>
        </is>
      </c>
      <c r="AG214" s="148" t="inlineStr">
        <is>
          <t>Dark Grey</t>
        </is>
      </c>
      <c r="AH214" s="148">
        <f>AND(E214="CA",OR('CA Dashboard'!$C$4="All",'CA Dashboard'!$C$4=D214),OR('CA Dashboard'!$C$5="All",'CA Dashboard'!$C$5=G214),OR('CA Dashboard'!$C$6="All",'CA Dashboard'!$C$6=H214),OR('CA Dashboard'!$C$7="All",'CA Dashboard'!$C$7=F214),OR('CA Dashboard'!$C$8="All",'CA Dashboard'!$C$8=AJ214))</f>
        <v/>
      </c>
      <c r="AI214" s="148">
        <f>IF(AH214,AI213+1,AI213)</f>
        <v/>
      </c>
      <c r="AJ214" s="148" t="inlineStr">
        <is>
          <t>Different product type</t>
        </is>
      </c>
      <c r="AK214" s="148" t="inlineStr">
        <is>
          <t>Sells a sheet set; ours is a fitted sheet.</t>
        </is>
      </c>
    </row>
    <row r="215">
      <c r="A215" s="148">
        <f>AND(E215="US",OR('US Dashboard'!$C$4="All",'US Dashboard'!$C$4=D215),OR('US Dashboard'!$C$5="All",'US Dashboard'!$C$5=G215),OR('US Dashboard'!$C$6="All",'US Dashboard'!$C$6=H215),OR('US Dashboard'!$C$7="All",'US Dashboard'!$C$7=F215),OR('US Dashboard'!$C$8="All",'US Dashboard'!$C$8=AJ215))</f>
        <v/>
      </c>
      <c r="B215" s="148">
        <f>IF(A215,B214+1,B214)</f>
        <v/>
      </c>
      <c r="C215" s="148" t="n">
        <v>73</v>
      </c>
      <c r="D215" s="148" t="inlineStr">
        <is>
          <t>DC Bamboo Fitted</t>
        </is>
      </c>
      <c r="E215" s="148" t="inlineStr">
        <is>
          <t>US</t>
        </is>
      </c>
      <c r="F215" s="148" t="inlineStr">
        <is>
          <t>Bamboo</t>
        </is>
      </c>
      <c r="G215" s="148" t="inlineStr">
        <is>
          <t>BC BELLA COTERIE</t>
        </is>
      </c>
      <c r="H215" s="148" t="inlineStr">
        <is>
          <t>Beatable</t>
        </is>
      </c>
      <c r="I215" s="148" t="inlineStr">
        <is>
          <t>Bella Coterie Luxury Bamboo Viscose King Size Sheet Set</t>
        </is>
      </c>
      <c r="J215" s="148" t="inlineStr">
        <is>
          <t>https://images-na.ssl-images-amazon.com/images/I/71Pl57-j67L.jpg</t>
        </is>
      </c>
      <c r="K215" s="148" t="inlineStr">
        <is>
          <t>B0H29V113N</t>
        </is>
      </c>
      <c r="L215" s="148" t="inlineStr">
        <is>
          <t>B08L86VLZB</t>
        </is>
      </c>
      <c r="M215" s="148" t="n">
        <v>258</v>
      </c>
      <c r="N215" s="148" t="n">
        <v>154.99</v>
      </c>
      <c r="O215" s="148" t="n"/>
      <c r="P215" s="148">
        <f>IF(AND(ISNUMBER(O215),ISNUMBER(N215),N(N215)&gt;0),O215/N215-1,"")</f>
        <v/>
      </c>
      <c r="Q215" s="148" t="n">
        <v>39.95</v>
      </c>
      <c r="R215" s="148">
        <f>IF(AND(ISNUMBER(N215),ISNUMBER(Q215),N(Q215)&gt;0),N215/Q215-1,"")</f>
        <v/>
      </c>
      <c r="S215" s="148" t="n">
        <v>1358</v>
      </c>
      <c r="T215" s="148" t="n">
        <v>92</v>
      </c>
      <c r="U215" s="148" t="n">
        <v>4.4</v>
      </c>
      <c r="V215" s="148" t="n">
        <v>5871</v>
      </c>
      <c r="W215" s="148" t="n">
        <v>591713</v>
      </c>
      <c r="X215" s="148" t="n">
        <v>0.3622702587234016</v>
      </c>
      <c r="Y215" s="148" t="n">
        <v>49</v>
      </c>
      <c r="Z215" s="148" t="n">
        <v>183</v>
      </c>
      <c r="AA215" s="148" t="n">
        <v>2475</v>
      </c>
      <c r="AB215" s="148" t="n">
        <v>1.778087279480037</v>
      </c>
      <c r="AC215" s="148" t="inlineStr">
        <is>
          <t>US DC Bamboo Fitted</t>
        </is>
      </c>
      <c r="AD215" s="148">
        <f>'US DC Bamboo Fitted'!BF64</f>
        <v/>
      </c>
      <c r="AE215" s="148">
        <f>'US DC Bamboo Fitted'!BI64</f>
        <v/>
      </c>
      <c r="AF215" s="148" t="inlineStr">
        <is>
          <t>King - 2 Pillowcases</t>
        </is>
      </c>
      <c r="AG215" s="148" t="inlineStr">
        <is>
          <t>01 - White</t>
        </is>
      </c>
      <c r="AH215" s="148">
        <f>AND(E215="CA",OR('CA Dashboard'!$C$4="All",'CA Dashboard'!$C$4=D215),OR('CA Dashboard'!$C$5="All",'CA Dashboard'!$C$5=G215),OR('CA Dashboard'!$C$6="All",'CA Dashboard'!$C$6=H215),OR('CA Dashboard'!$C$7="All",'CA Dashboard'!$C$7=F215),OR('CA Dashboard'!$C$8="All",'CA Dashboard'!$C$8=AJ215))</f>
        <v/>
      </c>
      <c r="AI215" s="148">
        <f>IF(AH215,AI214+1,AI214)</f>
        <v/>
      </c>
      <c r="AJ215" s="148" t="inlineStr">
        <is>
          <t>Different product type</t>
        </is>
      </c>
      <c r="AK215" s="148" t="inlineStr">
        <is>
          <t>Sells a sheet set; ours is a fitted sheet.</t>
        </is>
      </c>
    </row>
    <row r="216">
      <c r="A216" s="148">
        <f>AND(E216="US",OR('US Dashboard'!$C$4="All",'US Dashboard'!$C$4=D216),OR('US Dashboard'!$C$5="All",'US Dashboard'!$C$5=G216),OR('US Dashboard'!$C$6="All",'US Dashboard'!$C$6=H216),OR('US Dashboard'!$C$7="All",'US Dashboard'!$C$7=F216),OR('US Dashboard'!$C$8="All",'US Dashboard'!$C$8=AJ216))</f>
        <v/>
      </c>
      <c r="B216" s="148">
        <f>IF(A216,B215+1,B215)</f>
        <v/>
      </c>
      <c r="C216" s="148" t="n">
        <v>73</v>
      </c>
      <c r="D216" s="148" t="inlineStr">
        <is>
          <t>DC Bamboo Fitted</t>
        </is>
      </c>
      <c r="E216" s="148" t="inlineStr">
        <is>
          <t>US</t>
        </is>
      </c>
      <c r="F216" s="148" t="inlineStr">
        <is>
          <t>Bamboo</t>
        </is>
      </c>
      <c r="G216" s="148" t="inlineStr">
        <is>
          <t>DOZ by SIJO</t>
        </is>
      </c>
      <c r="H216" s="148" t="inlineStr">
        <is>
          <t>Beatable</t>
        </is>
      </c>
      <c r="I216" s="148" t="inlineStr">
        <is>
          <t>Bamboo Sheets</t>
        </is>
      </c>
      <c r="J216" s="148" t="inlineStr">
        <is>
          <t>https://images-na.ssl-images-amazon.com/images/I/710aWpCd4AL.jpg</t>
        </is>
      </c>
      <c r="K216" s="148" t="inlineStr">
        <is>
          <t>B0DCZGYVZ9</t>
        </is>
      </c>
      <c r="L216" s="148" t="inlineStr">
        <is>
          <t>B0F24TRXCZ</t>
        </is>
      </c>
      <c r="M216" s="148" t="n">
        <v>131</v>
      </c>
      <c r="N216" s="148" t="n">
        <v>55</v>
      </c>
      <c r="O216" s="148" t="n"/>
      <c r="P216" s="148">
        <f>IF(AND(ISNUMBER(O216),ISNUMBER(N216),N(N216)&gt;0),O216/N216-1,"")</f>
        <v/>
      </c>
      <c r="Q216" s="148" t="n">
        <v>37.95</v>
      </c>
      <c r="R216" s="148">
        <f>IF(AND(ISNUMBER(N216),ISNUMBER(Q216),N(Q216)&gt;0),N216/Q216-1,"")</f>
        <v/>
      </c>
      <c r="S216" s="148" t="n">
        <v>4051</v>
      </c>
      <c r="T216" s="148" t="n">
        <v>35</v>
      </c>
      <c r="U216" s="148" t="n">
        <v>4.4</v>
      </c>
      <c r="V216" s="148" t="n">
        <v>1909</v>
      </c>
      <c r="W216" s="148" t="n">
        <v>171534</v>
      </c>
      <c r="X216" s="148" t="n">
        <v>0.5544749851341424</v>
      </c>
      <c r="Y216" s="148" t="n">
        <v>28</v>
      </c>
      <c r="Z216" s="148" t="n">
        <v>181</v>
      </c>
      <c r="AA216" s="148" t="n">
        <v>839</v>
      </c>
      <c r="AB216" s="148" t="n"/>
      <c r="AC216" s="148" t="inlineStr">
        <is>
          <t>US DC Bamboo Fitted</t>
        </is>
      </c>
      <c r="AD216" s="148">
        <f>'US DC Bamboo Fitted'!BF65</f>
        <v/>
      </c>
      <c r="AE216" s="148">
        <f>'US DC Bamboo Fitted'!BI65</f>
        <v/>
      </c>
      <c r="AF216" s="148" t="inlineStr">
        <is>
          <t>Queen</t>
        </is>
      </c>
      <c r="AG216" s="148" t="inlineStr">
        <is>
          <t>Olive</t>
        </is>
      </c>
      <c r="AH216" s="148">
        <f>AND(E216="CA",OR('CA Dashboard'!$C$4="All",'CA Dashboard'!$C$4=D216),OR('CA Dashboard'!$C$5="All",'CA Dashboard'!$C$5=G216),OR('CA Dashboard'!$C$6="All",'CA Dashboard'!$C$6=H216),OR('CA Dashboard'!$C$7="All",'CA Dashboard'!$C$7=F216),OR('CA Dashboard'!$C$8="All",'CA Dashboard'!$C$8=AJ216))</f>
        <v/>
      </c>
      <c r="AI216" s="148">
        <f>IF(AH216,AI215+1,AI215)</f>
        <v/>
      </c>
      <c r="AJ216" s="148" t="inlineStr">
        <is>
          <t>Different product type</t>
        </is>
      </c>
      <c r="AK216" s="148" t="inlineStr">
        <is>
          <t>Sells a sheet set; ours is a fitted sheet.</t>
        </is>
      </c>
    </row>
    <row r="217">
      <c r="A217" s="148">
        <f>AND(E217="US",OR('US Dashboard'!$C$4="All",'US Dashboard'!$C$4=D217),OR('US Dashboard'!$C$5="All",'US Dashboard'!$C$5=G217),OR('US Dashboard'!$C$6="All",'US Dashboard'!$C$6=H217),OR('US Dashboard'!$C$7="All",'US Dashboard'!$C$7=F217),OR('US Dashboard'!$C$8="All",'US Dashboard'!$C$8=AJ217))</f>
        <v/>
      </c>
      <c r="B217" s="148">
        <f>IF(A217,B216+1,B216)</f>
        <v/>
      </c>
      <c r="C217" s="148" t="n">
        <v>73</v>
      </c>
      <c r="D217" s="148" t="inlineStr">
        <is>
          <t>DC Bamboo Fitted</t>
        </is>
      </c>
      <c r="E217" s="148" t="inlineStr">
        <is>
          <t>US</t>
        </is>
      </c>
      <c r="F217" s="148" t="inlineStr">
        <is>
          <t>Bamboo</t>
        </is>
      </c>
      <c r="G217" s="148" t="inlineStr">
        <is>
          <t>Kickoff Home</t>
        </is>
      </c>
      <c r="H217" s="148" t="inlineStr">
        <is>
          <t>Poor</t>
        </is>
      </c>
      <c r="I217" s="148" t="inlineStr">
        <is>
          <t>Bamboo Sheets</t>
        </is>
      </c>
      <c r="J217" s="148" t="inlineStr">
        <is>
          <t>https://images-na.ssl-images-amazon.com/images/I/71zrq2AtnUL.jpg</t>
        </is>
      </c>
      <c r="K217" s="148" t="inlineStr">
        <is>
          <t>B0D4KS4MVX</t>
        </is>
      </c>
      <c r="L217" s="148" t="inlineStr">
        <is>
          <t>B0CHN5ZPFH</t>
        </is>
      </c>
      <c r="M217" s="148" t="n">
        <v>106</v>
      </c>
      <c r="N217" s="148" t="n">
        <v>86.98999999999999</v>
      </c>
      <c r="O217" s="148" t="n">
        <v>84.98999999999999</v>
      </c>
      <c r="P217" s="148">
        <f>IF(AND(ISNUMBER(O217),ISNUMBER(N217),N(N217)&gt;0),O217/N217-1,"")</f>
        <v/>
      </c>
      <c r="Q217" s="148" t="n">
        <v>39.95</v>
      </c>
      <c r="R217" s="148">
        <f>IF(AND(ISNUMBER(N217),ISNUMBER(Q217),N(Q217)&gt;0),N217/Q217-1,"")</f>
        <v/>
      </c>
      <c r="S217" s="148" t="n">
        <v>23579</v>
      </c>
      <c r="T217" s="148" t="n">
        <v>18</v>
      </c>
      <c r="U217" s="148" t="n">
        <v>4.6</v>
      </c>
      <c r="V217" s="148" t="n">
        <v>688</v>
      </c>
      <c r="W217" s="148" t="n">
        <v>58169</v>
      </c>
      <c r="X217" s="148" t="n">
        <v>0.8765498702057799</v>
      </c>
      <c r="Y217" s="148" t="n">
        <v>28</v>
      </c>
      <c r="Z217" s="148" t="n">
        <v>141</v>
      </c>
      <c r="AA217" s="148" t="n">
        <v>125</v>
      </c>
      <c r="AB217" s="148" t="n"/>
      <c r="AC217" s="148" t="inlineStr">
        <is>
          <t>US DC Bamboo Fitted</t>
        </is>
      </c>
      <c r="AD217" s="148">
        <f>'US DC Bamboo Fitted'!BF66</f>
        <v/>
      </c>
      <c r="AE217" s="148">
        <f>'US DC Bamboo Fitted'!BI66</f>
        <v/>
      </c>
      <c r="AF217" s="148" t="inlineStr">
        <is>
          <t>King</t>
        </is>
      </c>
      <c r="AG217" s="148" t="inlineStr">
        <is>
          <t>Sage Green</t>
        </is>
      </c>
      <c r="AH217" s="148">
        <f>AND(E217="CA",OR('CA Dashboard'!$C$4="All",'CA Dashboard'!$C$4=D217),OR('CA Dashboard'!$C$5="All",'CA Dashboard'!$C$5=G217),OR('CA Dashboard'!$C$6="All",'CA Dashboard'!$C$6=H217),OR('CA Dashboard'!$C$7="All",'CA Dashboard'!$C$7=F217),OR('CA Dashboard'!$C$8="All",'CA Dashboard'!$C$8=AJ217))</f>
        <v/>
      </c>
      <c r="AI217" s="148">
        <f>IF(AH217,AI216+1,AI216)</f>
        <v/>
      </c>
      <c r="AJ217" s="148" t="inlineStr">
        <is>
          <t>Different product type</t>
        </is>
      </c>
      <c r="AK217" s="148" t="inlineStr">
        <is>
          <t>Sells a sheet set; ours is a fitted sheet.</t>
        </is>
      </c>
    </row>
    <row r="218">
      <c r="A218" s="148">
        <f>AND(E218="US",OR('US Dashboard'!$C$4="All",'US Dashboard'!$C$4=D218),OR('US Dashboard'!$C$5="All",'US Dashboard'!$C$5=G218),OR('US Dashboard'!$C$6="All",'US Dashboard'!$C$6=H218),OR('US Dashboard'!$C$7="All",'US Dashboard'!$C$7=F218),OR('US Dashboard'!$C$8="All",'US Dashboard'!$C$8=AJ218))</f>
        <v/>
      </c>
      <c r="B218" s="148">
        <f>IF(A218,B217+1,B217)</f>
        <v/>
      </c>
      <c r="C218" s="148" t="n">
        <v>73</v>
      </c>
      <c r="D218" s="148" t="inlineStr">
        <is>
          <t>DC Bamboo Fitted</t>
        </is>
      </c>
      <c r="E218" s="148" t="inlineStr">
        <is>
          <t>US</t>
        </is>
      </c>
      <c r="F218" s="148" t="inlineStr">
        <is>
          <t>Bamboo</t>
        </is>
      </c>
      <c r="G218" s="148" t="inlineStr">
        <is>
          <t>Bedsure</t>
        </is>
      </c>
      <c r="H218" s="148" t="inlineStr">
        <is>
          <t>Untiered</t>
        </is>
      </c>
      <c r="I218" s="148" t="inlineStr">
        <is>
          <t>Bedsure PureWoven 100% Rayon Derived from Bamboo, Queen Sheets, 4 Pieces</t>
        </is>
      </c>
      <c r="J218" s="148" t="inlineStr">
        <is>
          <t>https://images-na.ssl-images-amazon.com/images/I/81L2xb5ly6L.jpg</t>
        </is>
      </c>
      <c r="K218" s="148" t="inlineStr">
        <is>
          <t>B0BZ8T5BJ6</t>
        </is>
      </c>
      <c r="L218" s="148" t="inlineStr">
        <is>
          <t>B07YK8VTJV</t>
        </is>
      </c>
      <c r="M218" s="148" t="n">
        <v>131</v>
      </c>
      <c r="N218" s="148" t="n">
        <v>62.99</v>
      </c>
      <c r="O218" s="148" t="n">
        <v>69.98999999999999</v>
      </c>
      <c r="P218" s="148">
        <f>IF(AND(ISNUMBER(O218),ISNUMBER(N218),N(N218)&gt;0),O218/N218-1,"")</f>
        <v/>
      </c>
      <c r="Q218" s="148" t="n">
        <v>37.95</v>
      </c>
      <c r="R218" s="148">
        <f>IF(AND(ISNUMBER(N218),ISNUMBER(Q218),N(Q218)&gt;0),N218/Q218-1,"")</f>
        <v/>
      </c>
      <c r="S218" s="148" t="n">
        <v>256</v>
      </c>
      <c r="T218" s="148" t="n">
        <v>809</v>
      </c>
      <c r="U218" s="148" t="n">
        <v>4.4</v>
      </c>
      <c r="V218" s="148" t="n">
        <v>65061</v>
      </c>
      <c r="W218" s="148" t="n">
        <v>2166046</v>
      </c>
      <c r="X218" s="148" t="n">
        <v>0.5902383405984899</v>
      </c>
      <c r="Y218" s="148" t="n">
        <v>41</v>
      </c>
      <c r="Z218" s="148" t="n">
        <v>261</v>
      </c>
      <c r="AA218" s="148" t="n">
        <v>3494</v>
      </c>
      <c r="AB218" s="148" t="n">
        <v>1.066623404715553</v>
      </c>
      <c r="AC218" s="148" t="inlineStr">
        <is>
          <t>US DC Bamboo Fitted</t>
        </is>
      </c>
      <c r="AD218" s="148">
        <f>'US DC Bamboo Fitted'!BF67</f>
        <v/>
      </c>
      <c r="AE218" s="148">
        <f>'US DC Bamboo Fitted'!BI67</f>
        <v/>
      </c>
      <c r="AF218" s="148" t="inlineStr">
        <is>
          <t>Queen</t>
        </is>
      </c>
      <c r="AG218" s="148" t="inlineStr">
        <is>
          <t>02 - White</t>
        </is>
      </c>
      <c r="AH218" s="148">
        <f>AND(E218="CA",OR('CA Dashboard'!$C$4="All",'CA Dashboard'!$C$4=D218),OR('CA Dashboard'!$C$5="All",'CA Dashboard'!$C$5=G218),OR('CA Dashboard'!$C$6="All",'CA Dashboard'!$C$6=H218),OR('CA Dashboard'!$C$7="All",'CA Dashboard'!$C$7=F218),OR('CA Dashboard'!$C$8="All",'CA Dashboard'!$C$8=AJ218))</f>
        <v/>
      </c>
      <c r="AI218" s="148">
        <f>IF(AH218,AI217+1,AI217)</f>
        <v/>
      </c>
      <c r="AJ218" s="148" t="inlineStr">
        <is>
          <t>Different product type</t>
        </is>
      </c>
      <c r="AK218" s="148" t="inlineStr">
        <is>
          <t>Sells a sheet set; ours is a fitted sheet.</t>
        </is>
      </c>
    </row>
    <row r="219">
      <c r="A219" s="148">
        <f>AND(E219="US",OR('US Dashboard'!$C$4="All",'US Dashboard'!$C$4=D219),OR('US Dashboard'!$C$5="All",'US Dashboard'!$C$5=G219),OR('US Dashboard'!$C$6="All",'US Dashboard'!$C$6=H219),OR('US Dashboard'!$C$7="All",'US Dashboard'!$C$7=F219),OR('US Dashboard'!$C$8="All",'US Dashboard'!$C$8=AJ219))</f>
        <v/>
      </c>
      <c r="B219" s="148">
        <f>IF(A219,B218+1,B218)</f>
        <v/>
      </c>
      <c r="C219" s="148" t="n">
        <v>73</v>
      </c>
      <c r="D219" s="148" t="inlineStr">
        <is>
          <t>DC Bamboo Fitted</t>
        </is>
      </c>
      <c r="E219" s="148" t="inlineStr">
        <is>
          <t>US</t>
        </is>
      </c>
      <c r="F219" s="148" t="inlineStr">
        <is>
          <t>Bamboo</t>
        </is>
      </c>
      <c r="G219" s="148" t="inlineStr">
        <is>
          <t>BAMPURE</t>
        </is>
      </c>
      <c r="H219" s="148" t="inlineStr">
        <is>
          <t>Untiered</t>
        </is>
      </c>
      <c r="I219" s="148" t="inlineStr">
        <is>
          <t>BAMPURE 100% Rayon from Bamboo Sheets King Size - 4pc Cooling King Sheets</t>
        </is>
      </c>
      <c r="J219" s="148" t="inlineStr">
        <is>
          <t>https://images-na.ssl-images-amazon.com/images/I/61fbapIObwL.jpg</t>
        </is>
      </c>
      <c r="K219" s="148" t="inlineStr">
        <is>
          <t>B0HC778XB4</t>
        </is>
      </c>
      <c r="L219" s="148" t="inlineStr">
        <is>
          <t>B07XFP6BY2</t>
        </is>
      </c>
      <c r="M219" s="148" t="n">
        <v>40</v>
      </c>
      <c r="N219" s="148" t="n">
        <v>67.98</v>
      </c>
      <c r="O219" s="148" t="n">
        <v>99.98999999999999</v>
      </c>
      <c r="P219" s="148">
        <f>IF(AND(ISNUMBER(O219),ISNUMBER(N219),N(N219)&gt;0),O219/N219-1,"")</f>
        <v/>
      </c>
      <c r="Q219" s="148" t="n">
        <v>39.95</v>
      </c>
      <c r="R219" s="148">
        <f>IF(AND(ISNUMBER(N219),ISNUMBER(Q219),N(Q219)&gt;0),N219/Q219-1,"")</f>
        <v/>
      </c>
      <c r="S219" s="148" t="n">
        <v>14479</v>
      </c>
      <c r="T219" s="148" t="n">
        <v>81</v>
      </c>
      <c r="U219" s="148" t="n">
        <v>4.4</v>
      </c>
      <c r="V219" s="148" t="n">
        <v>4095</v>
      </c>
      <c r="W219" s="148" t="n">
        <v>67699</v>
      </c>
      <c r="X219" s="148" t="n">
        <v>0.8589487052984534</v>
      </c>
      <c r="Y219" s="148" t="n">
        <v>41</v>
      </c>
      <c r="Z219" s="148" t="n">
        <v>139</v>
      </c>
      <c r="AA219" s="148" t="n">
        <v>307</v>
      </c>
      <c r="AB219" s="148" t="n">
        <v>1.016706443914081</v>
      </c>
      <c r="AC219" s="148" t="inlineStr">
        <is>
          <t>US DC Bamboo Fitted</t>
        </is>
      </c>
      <c r="AD219" s="148">
        <f>'US DC Bamboo Fitted'!BF68</f>
        <v/>
      </c>
      <c r="AE219" s="148">
        <f>'US DC Bamboo Fitted'!BI68</f>
        <v/>
      </c>
      <c r="AF219" s="148" t="inlineStr">
        <is>
          <t>King</t>
        </is>
      </c>
      <c r="AG219" s="148" t="inlineStr">
        <is>
          <t>White</t>
        </is>
      </c>
      <c r="AH219" s="148">
        <f>AND(E219="CA",OR('CA Dashboard'!$C$4="All",'CA Dashboard'!$C$4=D219),OR('CA Dashboard'!$C$5="All",'CA Dashboard'!$C$5=G219),OR('CA Dashboard'!$C$6="All",'CA Dashboard'!$C$6=H219),OR('CA Dashboard'!$C$7="All",'CA Dashboard'!$C$7=F219),OR('CA Dashboard'!$C$8="All",'CA Dashboard'!$C$8=AJ219))</f>
        <v/>
      </c>
      <c r="AI219" s="148">
        <f>IF(AH219,AI218+1,AI218)</f>
        <v/>
      </c>
      <c r="AJ219" s="148" t="inlineStr">
        <is>
          <t>Different product type</t>
        </is>
      </c>
      <c r="AK219" s="148" t="inlineStr">
        <is>
          <t>Sells a sheet set; ours is a fitted sheet.</t>
        </is>
      </c>
    </row>
    <row r="220">
      <c r="A220" s="148">
        <f>AND(E220="US",OR('US Dashboard'!$C$4="All",'US Dashboard'!$C$4=D220),OR('US Dashboard'!$C$5="All",'US Dashboard'!$C$5=G220),OR('US Dashboard'!$C$6="All",'US Dashboard'!$C$6=H220),OR('US Dashboard'!$C$7="All",'US Dashboard'!$C$7=F220),OR('US Dashboard'!$C$8="All",'US Dashboard'!$C$8=AJ220))</f>
        <v/>
      </c>
      <c r="B220" s="148">
        <f>IF(A220,B219+1,B219)</f>
        <v/>
      </c>
      <c r="C220" s="148" t="n">
        <v>40</v>
      </c>
      <c r="D220" s="148" t="inlineStr">
        <is>
          <t>SL Bamboo Pillowcase</t>
        </is>
      </c>
      <c r="E220" s="148" t="inlineStr">
        <is>
          <t>US</t>
        </is>
      </c>
      <c r="F220" s="148" t="inlineStr">
        <is>
          <t>Bamboo</t>
        </is>
      </c>
      <c r="G220" s="148" t="inlineStr">
        <is>
          <t>Bedsure</t>
        </is>
      </c>
      <c r="H220" s="148" t="inlineStr">
        <is>
          <t>Untiered</t>
        </is>
      </c>
      <c r="I220" s="148" t="inlineStr">
        <is>
          <t>Bedsure PureWoven Pillow Cases Queen Set of 2, Rayon Derived from Bamboo</t>
        </is>
      </c>
      <c r="J220" s="148" t="inlineStr">
        <is>
          <t>https://images-na.ssl-images-amazon.com/images/I/71xcauK1dlL.jpg</t>
        </is>
      </c>
      <c r="K220" s="148" t="inlineStr">
        <is>
          <t>B0DCZYVLFC</t>
        </is>
      </c>
      <c r="L220" s="148" t="inlineStr">
        <is>
          <t>B07JP2L1TG</t>
        </is>
      </c>
      <c r="M220" s="148" t="n">
        <v>64</v>
      </c>
      <c r="N220" s="148" t="n">
        <v>12.99</v>
      </c>
      <c r="O220" s="148" t="n">
        <v>17.49</v>
      </c>
      <c r="P220" s="148">
        <f>IF(AND(ISNUMBER(O220),ISNUMBER(N220),N(N220)&gt;0),O220/N220-1,"")</f>
        <v/>
      </c>
      <c r="Q220" s="148" t="n"/>
      <c r="R220" s="148">
        <f>IF(AND(ISNUMBER(N220),ISNUMBER(Q220),N(Q220)&gt;0),N220/Q220-1,"")</f>
        <v/>
      </c>
      <c r="S220" s="148" t="n">
        <v>559</v>
      </c>
      <c r="T220" s="148" t="n">
        <v>1040</v>
      </c>
      <c r="U220" s="148" t="n">
        <v>4.4</v>
      </c>
      <c r="V220" s="148" t="n">
        <v>37593</v>
      </c>
      <c r="W220" s="148" t="n"/>
      <c r="X220" s="148" t="n"/>
      <c r="Y220" s="148" t="n"/>
      <c r="Z220" s="148" t="n"/>
      <c r="AA220" s="148" t="n"/>
      <c r="AB220" s="148" t="n"/>
      <c r="AC220" s="148" t="inlineStr">
        <is>
          <t>US SL Bamboo Pillowcase</t>
        </is>
      </c>
      <c r="AD220" s="148">
        <f>'US SL Bamboo Pillowcase'!BF86</f>
        <v/>
      </c>
      <c r="AE220" s="148">
        <f>'US SL Bamboo Pillowcase'!BI86</f>
        <v/>
      </c>
      <c r="AF220" s="148" t="inlineStr">
        <is>
          <t>Queen (20" X 30")</t>
        </is>
      </c>
      <c r="AG220" s="148" t="inlineStr">
        <is>
          <t>01 - Dark Grey</t>
        </is>
      </c>
      <c r="AH220" s="148">
        <f>AND(E220="CA",OR('CA Dashboard'!$C$4="All",'CA Dashboard'!$C$4=D220),OR('CA Dashboard'!$C$5="All",'CA Dashboard'!$C$5=G220),OR('CA Dashboard'!$C$6="All",'CA Dashboard'!$C$6=H220),OR('CA Dashboard'!$C$7="All",'CA Dashboard'!$C$7=F220),OR('CA Dashboard'!$C$8="All",'CA Dashboard'!$C$8=AJ220))</f>
        <v/>
      </c>
      <c r="AI220" s="148">
        <f>IF(AH220,AI219+1,AI219)</f>
        <v/>
      </c>
      <c r="AJ220" s="148" t="inlineStr">
        <is>
          <t>Direct</t>
        </is>
      </c>
      <c r="AK220" s="148" t="inlineStr">
        <is>
          <t>Same product (pillowcase) in the same material family: Bamboo viscose (product page material: Rayon Derived from Bamboo); ours: our listing: viscose from bamboo.</t>
        </is>
      </c>
    </row>
    <row r="221">
      <c r="A221" s="148">
        <f>AND(E221="US",OR('US Dashboard'!$C$4="All",'US Dashboard'!$C$4=D221),OR('US Dashboard'!$C$5="All",'US Dashboard'!$C$5=G221),OR('US Dashboard'!$C$6="All",'US Dashboard'!$C$6=H221),OR('US Dashboard'!$C$7="All",'US Dashboard'!$C$7=F221),OR('US Dashboard'!$C$8="All",'US Dashboard'!$C$8=AJ221))</f>
        <v/>
      </c>
      <c r="B221" s="148">
        <f>IF(A221,B220+1,B220)</f>
        <v/>
      </c>
      <c r="C221" s="148" t="n">
        <v>40</v>
      </c>
      <c r="D221" s="148" t="inlineStr">
        <is>
          <t>SL Bamboo Pillowcase</t>
        </is>
      </c>
      <c r="E221" s="148" t="inlineStr">
        <is>
          <t>US</t>
        </is>
      </c>
      <c r="F221" s="148" t="inlineStr">
        <is>
          <t>Bamboo</t>
        </is>
      </c>
      <c r="G221" s="148" t="inlineStr">
        <is>
          <t>BEDELITE</t>
        </is>
      </c>
      <c r="H221" s="148" t="inlineStr">
        <is>
          <t>Untiered</t>
        </is>
      </c>
      <c r="I221" s="148" t="inlineStr">
        <is>
          <t>BEDELITE Cooling Pillow Cases for Hot Sleepers &amp; Night Sweats, Rayon Derived fro</t>
        </is>
      </c>
      <c r="J221" s="148" t="inlineStr">
        <is>
          <t>https://m.media-amazon.com/images/I/71cLDIlmGqL._AC_SL1500_.jpg</t>
        </is>
      </c>
      <c r="K221" s="148" t="inlineStr">
        <is>
          <t>B0BZ8RQ9RQ</t>
        </is>
      </c>
      <c r="L221" s="148" t="inlineStr">
        <is>
          <t>B08GWQY7B3</t>
        </is>
      </c>
      <c r="M221" s="148" t="n"/>
      <c r="N221" s="148" t="n">
        <v>8.49</v>
      </c>
      <c r="O221" s="148" t="n"/>
      <c r="P221" s="148">
        <f>IF(AND(ISNUMBER(O221),ISNUMBER(N221),N(N221)&gt;0),O221/N221-1,"")</f>
        <v/>
      </c>
      <c r="Q221" s="148" t="n"/>
      <c r="R221" s="148">
        <f>IF(AND(ISNUMBER(N221),ISNUMBER(Q221),N(Q221)&gt;0),N221/Q221-1,"")</f>
        <v/>
      </c>
      <c r="S221" s="148" t="n">
        <v>1250</v>
      </c>
      <c r="T221" s="148" t="n">
        <v>924</v>
      </c>
      <c r="U221" s="148" t="n">
        <v>4.4</v>
      </c>
      <c r="V221" s="148" t="n">
        <v>12316</v>
      </c>
      <c r="W221" s="148" t="n"/>
      <c r="X221" s="148" t="n"/>
      <c r="Y221" s="148" t="n"/>
      <c r="Z221" s="148" t="n"/>
      <c r="AA221" s="148" t="n"/>
      <c r="AB221" s="148" t="n"/>
      <c r="AC221" s="148" t="inlineStr">
        <is>
          <t>US SL Bamboo Pillowcase</t>
        </is>
      </c>
      <c r="AD221" s="148">
        <f>'US SL Bamboo Pillowcase'!BF87</f>
        <v/>
      </c>
      <c r="AE221" s="148">
        <f>'US SL Bamboo Pillowcase'!BI87</f>
        <v/>
      </c>
      <c r="AF221" s="148" t="inlineStr">
        <is>
          <t>Body（20"X 54"）</t>
        </is>
      </c>
      <c r="AG221" s="148" t="inlineStr">
        <is>
          <t>Grey</t>
        </is>
      </c>
      <c r="AH221" s="148">
        <f>AND(E221="CA",OR('CA Dashboard'!$C$4="All",'CA Dashboard'!$C$4=D221),OR('CA Dashboard'!$C$5="All",'CA Dashboard'!$C$5=G221),OR('CA Dashboard'!$C$6="All",'CA Dashboard'!$C$6=H221),OR('CA Dashboard'!$C$7="All",'CA Dashboard'!$C$7=F221),OR('CA Dashboard'!$C$8="All",'CA Dashboard'!$C$8=AJ221))</f>
        <v/>
      </c>
      <c r="AI221" s="148">
        <f>IF(AH221,AI220+1,AI220)</f>
        <v/>
      </c>
      <c r="AJ221" s="148" t="inlineStr">
        <is>
          <t>Direct</t>
        </is>
      </c>
      <c r="AK221" s="148" t="inlineStr">
        <is>
          <t>Same product (pillowcase) in the same material family: Bamboo viscose (product page material: Viscose Derived from Bamboo); ours: our listing: viscose from bamboo.</t>
        </is>
      </c>
    </row>
    <row r="222">
      <c r="A222" s="148">
        <f>AND(E222="US",OR('US Dashboard'!$C$4="All",'US Dashboard'!$C$4=D222),OR('US Dashboard'!$C$5="All",'US Dashboard'!$C$5=G222),OR('US Dashboard'!$C$6="All",'US Dashboard'!$C$6=H222),OR('US Dashboard'!$C$7="All",'US Dashboard'!$C$7=F222),OR('US Dashboard'!$C$8="All",'US Dashboard'!$C$8=AJ222))</f>
        <v/>
      </c>
      <c r="B222" s="148">
        <f>IF(A222,B221+1,B221)</f>
        <v/>
      </c>
      <c r="C222" s="148" t="n">
        <v>40</v>
      </c>
      <c r="D222" s="148" t="inlineStr">
        <is>
          <t>SL Bamboo Pillowcase</t>
        </is>
      </c>
      <c r="E222" s="148" t="inlineStr">
        <is>
          <t>US</t>
        </is>
      </c>
      <c r="F222" s="148" t="inlineStr">
        <is>
          <t>Bamboo</t>
        </is>
      </c>
      <c r="G222" s="148" t="inlineStr">
        <is>
          <t>WISHSMILE</t>
        </is>
      </c>
      <c r="H222" s="148" t="inlineStr">
        <is>
          <t>Untiered</t>
        </is>
      </c>
      <c r="I222" s="148" t="inlineStr">
        <is>
          <t>WishSmile Cooling Queen Pillowcases Set of 2 Breathable Cool Silky Soft Rayon De</t>
        </is>
      </c>
      <c r="J222" s="148" t="inlineStr">
        <is>
          <t>https://m.media-amazon.com/images/I/51lX1uo9xJL._AC_SL1500_.jpg</t>
        </is>
      </c>
      <c r="K222" s="148" t="inlineStr">
        <is>
          <t>B09BKQK7RZ</t>
        </is>
      </c>
      <c r="L222" s="148" t="inlineStr">
        <is>
          <t>B09BL2SMVG</t>
        </is>
      </c>
      <c r="M222" s="148" t="n">
        <v>41</v>
      </c>
      <c r="N222" s="148" t="n">
        <v>12.99</v>
      </c>
      <c r="O222" s="148" t="n"/>
      <c r="P222" s="148">
        <f>IF(AND(ISNUMBER(O222),ISNUMBER(N222),N(N222)&gt;0),O222/N222-1,"")</f>
        <v/>
      </c>
      <c r="Q222" s="148" t="n"/>
      <c r="R222" s="148">
        <f>IF(AND(ISNUMBER(N222),ISNUMBER(Q222),N(Q222)&gt;0),N222/Q222-1,"")</f>
        <v/>
      </c>
      <c r="S222" s="148" t="n">
        <v>2467</v>
      </c>
      <c r="T222" s="148" t="n">
        <v>809</v>
      </c>
      <c r="U222" s="148" t="n">
        <v>4.4</v>
      </c>
      <c r="V222" s="148" t="n">
        <v>7225</v>
      </c>
      <c r="W222" s="148" t="n">
        <v>151964</v>
      </c>
      <c r="X222" s="148" t="n">
        <v>0.8020060705167013</v>
      </c>
      <c r="Y222" s="148" t="n"/>
      <c r="Z222" s="148" t="n"/>
      <c r="AA222" s="148" t="n"/>
      <c r="AB222" s="148" t="n">
        <v>1.226522481502561</v>
      </c>
      <c r="AC222" s="148" t="inlineStr">
        <is>
          <t>US SL Bamboo Pillowcase</t>
        </is>
      </c>
      <c r="AD222" s="148">
        <f>'US SL Bamboo Pillowcase'!BF88</f>
        <v/>
      </c>
      <c r="AE222" s="148">
        <f>'US SL Bamboo Pillowcase'!BI88</f>
        <v/>
      </c>
      <c r="AF222" s="148" t="inlineStr">
        <is>
          <t>1 Pack Body(20x54)-Regular</t>
        </is>
      </c>
      <c r="AG222" s="148" t="inlineStr">
        <is>
          <t>Dark Grey</t>
        </is>
      </c>
      <c r="AH222" s="148">
        <f>AND(E222="CA",OR('CA Dashboard'!$C$4="All",'CA Dashboard'!$C$4=D222),OR('CA Dashboard'!$C$5="All",'CA Dashboard'!$C$5=G222),OR('CA Dashboard'!$C$6="All",'CA Dashboard'!$C$6=H222),OR('CA Dashboard'!$C$7="All",'CA Dashboard'!$C$7=F222),OR('CA Dashboard'!$C$8="All",'CA Dashboard'!$C$8=AJ222))</f>
        <v/>
      </c>
      <c r="AI222" s="148">
        <f>IF(AH222,AI221+1,AI221)</f>
        <v/>
      </c>
      <c r="AJ222" s="148" t="inlineStr">
        <is>
          <t>Direct</t>
        </is>
      </c>
      <c r="AK222" s="148" t="inlineStr">
        <is>
          <t>Same product (pillowcase) in the same material family: Bamboo viscose (product page material: Rayon derived from bamboo); ours: our listing: viscose from bamboo.</t>
        </is>
      </c>
    </row>
    <row r="223">
      <c r="A223" s="148">
        <f>AND(E223="US",OR('US Dashboard'!$C$4="All",'US Dashboard'!$C$4=D223),OR('US Dashboard'!$C$5="All",'US Dashboard'!$C$5=G223),OR('US Dashboard'!$C$6="All",'US Dashboard'!$C$6=H223),OR('US Dashboard'!$C$7="All",'US Dashboard'!$C$7=F223),OR('US Dashboard'!$C$8="All",'US Dashboard'!$C$8=AJ223))</f>
        <v/>
      </c>
      <c r="B223" s="148">
        <f>IF(A223,B222+1,B222)</f>
        <v/>
      </c>
      <c r="C223" s="148" t="n">
        <v>40</v>
      </c>
      <c r="D223" s="148" t="inlineStr">
        <is>
          <t>SL Bamboo Pillowcase</t>
        </is>
      </c>
      <c r="E223" s="148" t="inlineStr">
        <is>
          <t>US</t>
        </is>
      </c>
      <c r="F223" s="148" t="inlineStr">
        <is>
          <t>Bamboo</t>
        </is>
      </c>
      <c r="G223" s="148" t="inlineStr">
        <is>
          <t>Bedsure</t>
        </is>
      </c>
      <c r="H223" s="148" t="inlineStr">
        <is>
          <t>Untiered</t>
        </is>
      </c>
      <c r="I223" s="148" t="inlineStr">
        <is>
          <t>Bedsure Zipper Pillow Cases Queen, Cooling Pillow Cases Queen Size Set of 2, Ray</t>
        </is>
      </c>
      <c r="J223" s="148" t="inlineStr">
        <is>
          <t>https://m.media-amazon.com/images/I/81A7A-gflUL._AC_SL1500_.jpg</t>
        </is>
      </c>
      <c r="K223" s="148" t="inlineStr">
        <is>
          <t>B0DD7BMGZ7</t>
        </is>
      </c>
      <c r="L223" s="148" t="inlineStr">
        <is>
          <t>B0CRR369GQ</t>
        </is>
      </c>
      <c r="M223" s="148" t="n"/>
      <c r="N223" s="148" t="n">
        <v>14.99</v>
      </c>
      <c r="O223" s="148" t="n">
        <v>23.15</v>
      </c>
      <c r="P223" s="148">
        <f>IF(AND(ISNUMBER(O223),ISNUMBER(N223),N(N223)&gt;0),O223/N223-1,"")</f>
        <v/>
      </c>
      <c r="Q223" s="148" t="n"/>
      <c r="R223" s="148">
        <f>IF(AND(ISNUMBER(N223),ISNUMBER(Q223),N(Q223)&gt;0),N223/Q223-1,"")</f>
        <v/>
      </c>
      <c r="S223" s="148" t="n">
        <v>3133</v>
      </c>
      <c r="T223" s="148" t="n">
        <v>347</v>
      </c>
      <c r="U223" s="148" t="n">
        <v>4.6</v>
      </c>
      <c r="V223" s="148" t="n">
        <v>1289</v>
      </c>
      <c r="W223" s="148" t="n"/>
      <c r="X223" s="148" t="n"/>
      <c r="Y223" s="148" t="n"/>
      <c r="Z223" s="148" t="n"/>
      <c r="AA223" s="148" t="n"/>
      <c r="AB223" s="148" t="n"/>
      <c r="AC223" s="148" t="inlineStr">
        <is>
          <t>US SL Bamboo Pillowcase</t>
        </is>
      </c>
      <c r="AD223" s="148">
        <f>'US SL Bamboo Pillowcase'!BF89</f>
        <v/>
      </c>
      <c r="AE223" s="148">
        <f>'US SL Bamboo Pillowcase'!BI89</f>
        <v/>
      </c>
      <c r="AF223" s="148" t="inlineStr">
        <is>
          <t>Queen (20" x 30")</t>
        </is>
      </c>
      <c r="AG223" s="148" t="inlineStr">
        <is>
          <t>01 - Grey</t>
        </is>
      </c>
      <c r="AH223" s="148">
        <f>AND(E223="CA",OR('CA Dashboard'!$C$4="All",'CA Dashboard'!$C$4=D223),OR('CA Dashboard'!$C$5="All",'CA Dashboard'!$C$5=G223),OR('CA Dashboard'!$C$6="All",'CA Dashboard'!$C$6=H223),OR('CA Dashboard'!$C$7="All",'CA Dashboard'!$C$7=F223),OR('CA Dashboard'!$C$8="All",'CA Dashboard'!$C$8=AJ223))</f>
        <v/>
      </c>
      <c r="AI223" s="148">
        <f>IF(AH223,AI222+1,AI222)</f>
        <v/>
      </c>
      <c r="AJ223" s="148" t="inlineStr">
        <is>
          <t>Direct</t>
        </is>
      </c>
      <c r="AK223" s="148" t="inlineStr">
        <is>
          <t>Same product (pillowcase) in the same material family: Bamboo viscose (product page material: Rayon Derived from Bamboo); ours: our listing: viscose from bamboo.</t>
        </is>
      </c>
    </row>
    <row r="224">
      <c r="A224" s="148">
        <f>AND(E224="US",OR('US Dashboard'!$C$4="All",'US Dashboard'!$C$4=D224),OR('US Dashboard'!$C$5="All",'US Dashboard'!$C$5=G224),OR('US Dashboard'!$C$6="All",'US Dashboard'!$C$6=H224),OR('US Dashboard'!$C$7="All",'US Dashboard'!$C$7=F224),OR('US Dashboard'!$C$8="All",'US Dashboard'!$C$8=AJ224))</f>
        <v/>
      </c>
      <c r="B224" s="148">
        <f>IF(A224,B223+1,B223)</f>
        <v/>
      </c>
      <c r="C224" s="148" t="n">
        <v>40</v>
      </c>
      <c r="D224" s="148" t="inlineStr">
        <is>
          <t>SL Bamboo Pillowcase</t>
        </is>
      </c>
      <c r="E224" s="148" t="inlineStr">
        <is>
          <t>US</t>
        </is>
      </c>
      <c r="F224" s="148" t="inlineStr">
        <is>
          <t>Bamboo</t>
        </is>
      </c>
      <c r="G224" s="148" t="inlineStr">
        <is>
          <t>ELIBABA</t>
        </is>
      </c>
      <c r="H224" s="148" t="inlineStr">
        <is>
          <t>Untiered</t>
        </is>
      </c>
      <c r="I224" s="148" t="inlineStr">
        <is>
          <t>Cooling Side Sleeper Pillow Cases - Curved Rayon Derived from Bamboo Pillowcase</t>
        </is>
      </c>
      <c r="J224" s="148" t="inlineStr">
        <is>
          <t>https://m.media-amazon.com/images/I/71ShKn05Z2L._AC_SL1500_.jpg</t>
        </is>
      </c>
      <c r="K224" s="148" t="inlineStr">
        <is>
          <t>B0HGLD1P8V</t>
        </is>
      </c>
      <c r="L224" s="148" t="inlineStr">
        <is>
          <t>B0CQK3KHHH</t>
        </is>
      </c>
      <c r="M224" s="148" t="n">
        <v>25</v>
      </c>
      <c r="N224" s="148" t="n">
        <v>17.99</v>
      </c>
      <c r="O224" s="148" t="n"/>
      <c r="P224" s="148">
        <f>IF(AND(ISNUMBER(O224),ISNUMBER(N224),N(N224)&gt;0),O224/N224-1,"")</f>
        <v/>
      </c>
      <c r="Q224" s="148" t="n"/>
      <c r="R224" s="148">
        <f>IF(AND(ISNUMBER(N224),ISNUMBER(Q224),N(Q224)&gt;0),N224/Q224-1,"")</f>
        <v/>
      </c>
      <c r="S224" s="148" t="n">
        <v>12744</v>
      </c>
      <c r="T224" s="148" t="n">
        <v>92</v>
      </c>
      <c r="U224" s="148" t="n">
        <v>4.2</v>
      </c>
      <c r="V224" s="148" t="n">
        <v>1630</v>
      </c>
      <c r="W224" s="148" t="n">
        <v>15537</v>
      </c>
      <c r="X224" s="148" t="n">
        <v>0.770486258608483</v>
      </c>
      <c r="Y224" s="148" t="n"/>
      <c r="Z224" s="148" t="n"/>
      <c r="AA224" s="148" t="n"/>
      <c r="AB224" s="148" t="n">
        <v>0.8564593301435407</v>
      </c>
      <c r="AC224" s="148" t="inlineStr">
        <is>
          <t>US SL Bamboo Pillowcase</t>
        </is>
      </c>
      <c r="AD224" s="148">
        <f>'US SL Bamboo Pillowcase'!BF90</f>
        <v/>
      </c>
      <c r="AE224" s="148">
        <f>'US SL Bamboo Pillowcase'!BI90</f>
        <v/>
      </c>
      <c r="AF224" s="148" t="inlineStr">
        <is>
          <t>1 Pack Queen (20 x 30)</t>
        </is>
      </c>
      <c r="AG224" s="148" t="inlineStr">
        <is>
          <t>Dark Grey</t>
        </is>
      </c>
      <c r="AH224" s="148">
        <f>AND(E224="CA",OR('CA Dashboard'!$C$4="All",'CA Dashboard'!$C$4=D224),OR('CA Dashboard'!$C$5="All",'CA Dashboard'!$C$5=G224),OR('CA Dashboard'!$C$6="All",'CA Dashboard'!$C$6=H224),OR('CA Dashboard'!$C$7="All",'CA Dashboard'!$C$7=F224),OR('CA Dashboard'!$C$8="All",'CA Dashboard'!$C$8=AJ224))</f>
        <v/>
      </c>
      <c r="AI224" s="148">
        <f>IF(AH224,AI223+1,AI223)</f>
        <v/>
      </c>
      <c r="AJ224" s="148" t="inlineStr">
        <is>
          <t>Direct</t>
        </is>
      </c>
      <c r="AK224" s="148" t="inlineStr">
        <is>
          <t>Same product (pillowcase) in the same material family: Bamboo viscose (product page material: rayon derived from bamboo); ours: our listing: viscose from bamboo.</t>
        </is>
      </c>
    </row>
    <row r="225">
      <c r="A225" s="148">
        <f>AND(E225="US",OR('US Dashboard'!$C$4="All",'US Dashboard'!$C$4=D225),OR('US Dashboard'!$C$5="All",'US Dashboard'!$C$5=G225),OR('US Dashboard'!$C$6="All",'US Dashboard'!$C$6=H225),OR('US Dashboard'!$C$7="All",'US Dashboard'!$C$7=F225),OR('US Dashboard'!$C$8="All",'US Dashboard'!$C$8=AJ225))</f>
        <v/>
      </c>
      <c r="B225" s="148">
        <f>IF(A225,B224+1,B224)</f>
        <v/>
      </c>
      <c r="C225" s="148" t="n">
        <v>40</v>
      </c>
      <c r="D225" s="148" t="inlineStr">
        <is>
          <t>SL Bamboo Pillowcase</t>
        </is>
      </c>
      <c r="E225" s="148" t="inlineStr">
        <is>
          <t>US</t>
        </is>
      </c>
      <c r="F225" s="148" t="inlineStr">
        <is>
          <t>Bamboo</t>
        </is>
      </c>
      <c r="G225" s="148" t="inlineStr">
        <is>
          <t>Shunjie.Home</t>
        </is>
      </c>
      <c r="H225" s="148" t="inlineStr">
        <is>
          <t>Untiered</t>
        </is>
      </c>
      <c r="I225" s="148" t="inlineStr">
        <is>
          <t>2 Pack Cooling Pillowcases for Hot Sleepers &amp; Night Sweats, 400 TC Bamboo Viscos</t>
        </is>
      </c>
      <c r="J225" s="148" t="inlineStr">
        <is>
          <t>https://m.media-amazon.com/images/I/71e77kXyKrL._AC_SL1500_.jpg</t>
        </is>
      </c>
      <c r="K225" s="148" t="inlineStr">
        <is>
          <t>B0CZFCD9CJ</t>
        </is>
      </c>
      <c r="L225" s="148" t="inlineStr">
        <is>
          <t>B0C2BNK3JD</t>
        </is>
      </c>
      <c r="M225" s="148" t="n"/>
      <c r="N225" s="148" t="n">
        <v>13.99</v>
      </c>
      <c r="O225" s="148" t="n"/>
      <c r="P225" s="148">
        <f>IF(AND(ISNUMBER(O225),ISNUMBER(N225),N(N225)&gt;0),O225/N225-1,"")</f>
        <v/>
      </c>
      <c r="Q225" s="148" t="n"/>
      <c r="R225" s="148">
        <f>IF(AND(ISNUMBER(N225),ISNUMBER(Q225),N(Q225)&gt;0),N225/Q225-1,"")</f>
        <v/>
      </c>
      <c r="S225" s="148" t="n">
        <v>50401</v>
      </c>
      <c r="T225" s="148" t="n">
        <v>5</v>
      </c>
      <c r="U225" s="148" t="n">
        <v>4.5</v>
      </c>
      <c r="V225" s="148" t="n">
        <v>622</v>
      </c>
      <c r="W225" s="148" t="n"/>
      <c r="X225" s="148" t="n"/>
      <c r="Y225" s="148" t="n"/>
      <c r="Z225" s="148" t="n"/>
      <c r="AA225" s="148" t="n"/>
      <c r="AB225" s="148" t="n"/>
      <c r="AC225" s="148" t="inlineStr">
        <is>
          <t>US SL Bamboo Pillowcase</t>
        </is>
      </c>
      <c r="AD225" s="148">
        <f>'US SL Bamboo Pillowcase'!BF91</f>
        <v/>
      </c>
      <c r="AE225" s="148">
        <f>'US SL Bamboo Pillowcase'!BI91</f>
        <v/>
      </c>
      <c r="AF225" s="148" t="inlineStr">
        <is>
          <t>2Pack - Queen</t>
        </is>
      </c>
      <c r="AG225" s="148" t="inlineStr">
        <is>
          <t>Beige</t>
        </is>
      </c>
      <c r="AH225" s="148">
        <f>AND(E225="CA",OR('CA Dashboard'!$C$4="All",'CA Dashboard'!$C$4=D225),OR('CA Dashboard'!$C$5="All",'CA Dashboard'!$C$5=G225),OR('CA Dashboard'!$C$6="All",'CA Dashboard'!$C$6=H225),OR('CA Dashboard'!$C$7="All",'CA Dashboard'!$C$7=F225),OR('CA Dashboard'!$C$8="All",'CA Dashboard'!$C$8=AJ225))</f>
        <v/>
      </c>
      <c r="AI225" s="148">
        <f>IF(AH225,AI224+1,AI224)</f>
        <v/>
      </c>
      <c r="AJ225" s="148" t="inlineStr">
        <is>
          <t>Direct</t>
        </is>
      </c>
      <c r="AK225" s="148" t="inlineStr">
        <is>
          <t>Same product (pillowcase) in the same material family: Bamboo viscose (product page material: Viscose Derived from Bamboo); ours: our listing: viscose from bamboo.</t>
        </is>
      </c>
    </row>
    <row r="226">
      <c r="A226" s="148">
        <f>AND(E226="US",OR('US Dashboard'!$C$4="All",'US Dashboard'!$C$4=D226),OR('US Dashboard'!$C$5="All",'US Dashboard'!$C$5=G226),OR('US Dashboard'!$C$6="All",'US Dashboard'!$C$6=H226),OR('US Dashboard'!$C$7="All",'US Dashboard'!$C$7=F226),OR('US Dashboard'!$C$8="All",'US Dashboard'!$C$8=AJ226))</f>
        <v/>
      </c>
      <c r="B226" s="148">
        <f>IF(A226,B225+1,B225)</f>
        <v/>
      </c>
      <c r="C226" s="148" t="n">
        <v>37</v>
      </c>
      <c r="D226" s="148" t="inlineStr">
        <is>
          <t>DC S4</t>
        </is>
      </c>
      <c r="E226" s="148" t="inlineStr">
        <is>
          <t>US</t>
        </is>
      </c>
      <c r="F226" s="148" t="inlineStr">
        <is>
          <t>Satin</t>
        </is>
      </c>
      <c r="G226" s="148" t="inlineStr">
        <is>
          <t>BEDELITE</t>
        </is>
      </c>
      <c r="H226" s="148" t="inlineStr">
        <is>
          <t>Aspirational</t>
        </is>
      </c>
      <c r="I226" s="148" t="inlineStr">
        <is>
          <t>BEDELITE Satin Sheets Queen Size Bed Set, Black, 4 Pieces</t>
        </is>
      </c>
      <c r="J226" s="148" t="inlineStr">
        <is>
          <t>https://images-na.ssl-images-amazon.com/images/I/71ujt2CgaQL.jpg</t>
        </is>
      </c>
      <c r="K226" s="148" t="inlineStr">
        <is>
          <t>B0FNMNMZ9T</t>
        </is>
      </c>
      <c r="L226" s="148" t="inlineStr">
        <is>
          <t>B0CSFTRP2X</t>
        </is>
      </c>
      <c r="M226" s="148" t="n">
        <v>141</v>
      </c>
      <c r="N226" s="148" t="n">
        <v>17.99</v>
      </c>
      <c r="O226" s="148" t="n"/>
      <c r="P226" s="148">
        <f>IF(AND(ISNUMBER(O226),ISNUMBER(N226),N(N226)&gt;0),O226/N226-1,"")</f>
        <v/>
      </c>
      <c r="Q226" s="148" t="n">
        <v>31.95</v>
      </c>
      <c r="R226" s="148">
        <f>IF(AND(ISNUMBER(N226),ISNUMBER(Q226),N(Q226)&gt;0),N226/Q226-1,"")</f>
        <v/>
      </c>
      <c r="S226" s="148" t="n">
        <v>497</v>
      </c>
      <c r="T226" s="148" t="n">
        <v>1963</v>
      </c>
      <c r="U226" s="148" t="n">
        <v>4.3</v>
      </c>
      <c r="V226" s="148" t="n">
        <v>6297</v>
      </c>
      <c r="W226" s="148" t="n">
        <v>997443</v>
      </c>
      <c r="X226" s="148" t="n">
        <v>0.8161266415223724</v>
      </c>
      <c r="Y226" s="148" t="n">
        <v>92</v>
      </c>
      <c r="Z226" s="148" t="n">
        <v>714</v>
      </c>
      <c r="AA226" s="148" t="n">
        <v>340</v>
      </c>
      <c r="AB226" s="148" t="n">
        <v>1.114785561378903</v>
      </c>
      <c r="AC226" s="148" t="inlineStr">
        <is>
          <t>US DC S4</t>
        </is>
      </c>
      <c r="AD226" s="148">
        <f>'US DC S4'!BF162</f>
        <v/>
      </c>
      <c r="AE226" s="148">
        <f>'US DC S4'!BI162</f>
        <v/>
      </c>
      <c r="AF226" s="148" t="inlineStr">
        <is>
          <t>Queen</t>
        </is>
      </c>
      <c r="AG226" s="148" t="inlineStr">
        <is>
          <t>Black</t>
        </is>
      </c>
      <c r="AH226" s="148">
        <f>AND(E226="CA",OR('CA Dashboard'!$C$4="All",'CA Dashboard'!$C$4=D226),OR('CA Dashboard'!$C$5="All",'CA Dashboard'!$C$5=G226),OR('CA Dashboard'!$C$6="All",'CA Dashboard'!$C$6=H226),OR('CA Dashboard'!$C$7="All",'CA Dashboard'!$C$7=F226),OR('CA Dashboard'!$C$8="All",'CA Dashboard'!$C$8=AJ226))</f>
        <v/>
      </c>
      <c r="AI226" s="148">
        <f>IF(AH226,AI225+1,AI225)</f>
        <v/>
      </c>
      <c r="AJ226" s="148" t="inlineStr">
        <is>
          <t>Direct</t>
        </is>
      </c>
      <c r="AK226" s="148" t="inlineStr">
        <is>
          <t>Same product (sheet set) in the same material family: Satin (polyester) (title: BEDELITE Satin Sheets Queen Size Bed Set, Black, 4 Pieces); ours: our listing: polyester satin.</t>
        </is>
      </c>
    </row>
    <row r="227">
      <c r="A227" s="148">
        <f>AND(E227="US",OR('US Dashboard'!$C$4="All",'US Dashboard'!$C$4=D227),OR('US Dashboard'!$C$5="All",'US Dashboard'!$C$5=G227),OR('US Dashboard'!$C$6="All",'US Dashboard'!$C$6=H227),OR('US Dashboard'!$C$7="All",'US Dashboard'!$C$7=F227),OR('US Dashboard'!$C$8="All",'US Dashboard'!$C$8=AJ227))</f>
        <v/>
      </c>
      <c r="B227" s="148">
        <f>IF(A227,B226+1,B226)</f>
        <v/>
      </c>
      <c r="C227" s="148" t="n">
        <v>37</v>
      </c>
      <c r="D227" s="148" t="inlineStr">
        <is>
          <t>DC S4</t>
        </is>
      </c>
      <c r="E227" s="148" t="inlineStr">
        <is>
          <t>US</t>
        </is>
      </c>
      <c r="F227" s="148" t="inlineStr">
        <is>
          <t>Satin</t>
        </is>
      </c>
      <c r="G227" s="148" t="inlineStr">
        <is>
          <t>Love's cabin</t>
        </is>
      </c>
      <c r="H227" s="148" t="inlineStr">
        <is>
          <t>Aspirational</t>
        </is>
      </c>
      <c r="I227" s="148" t="inlineStr">
        <is>
          <t>Love's cabin Satin Queen Sheets Set, 4 Pieces, Pink, 15" Deep Pocket</t>
        </is>
      </c>
      <c r="J227" s="148" t="inlineStr">
        <is>
          <t>https://images-na.ssl-images-amazon.com/images/I/81C-fXI71XL.jpg</t>
        </is>
      </c>
      <c r="K227" s="148" t="inlineStr">
        <is>
          <t>B08DHTB63X</t>
        </is>
      </c>
      <c r="L227" s="148" t="inlineStr">
        <is>
          <t>B0BNMC5G8R</t>
        </is>
      </c>
      <c r="M227" s="148" t="n">
        <v>128</v>
      </c>
      <c r="N227" s="148" t="n">
        <v>16.13</v>
      </c>
      <c r="O227" s="148" t="n">
        <v>19.99</v>
      </c>
      <c r="P227" s="148">
        <f>IF(AND(ISNUMBER(O227),ISNUMBER(N227),N(N227)&gt;0),O227/N227-1,"")</f>
        <v/>
      </c>
      <c r="Q227" s="148" t="n">
        <v>31.95</v>
      </c>
      <c r="R227" s="148">
        <f>IF(AND(ISNUMBER(N227),ISNUMBER(Q227),N(Q227)&gt;0),N227/Q227-1,"")</f>
        <v/>
      </c>
      <c r="S227" s="148" t="n">
        <v>949</v>
      </c>
      <c r="T227" s="148" t="n">
        <v>809</v>
      </c>
      <c r="U227" s="148" t="n">
        <v>4.5</v>
      </c>
      <c r="V227" s="148" t="n">
        <v>5747</v>
      </c>
      <c r="W227" s="148" t="n">
        <v>385363</v>
      </c>
      <c r="X227" s="148" t="n">
        <v>0.8181775938530695</v>
      </c>
      <c r="Y227" s="148" t="n">
        <v>185</v>
      </c>
      <c r="Z227" s="148" t="n">
        <v>585</v>
      </c>
      <c r="AA227" s="148" t="n">
        <v>425</v>
      </c>
      <c r="AB227" s="148" t="n">
        <v>1.036399938565504</v>
      </c>
      <c r="AC227" s="148" t="inlineStr">
        <is>
          <t>US DC S4</t>
        </is>
      </c>
      <c r="AD227" s="148">
        <f>'US DC S4'!BF163</f>
        <v/>
      </c>
      <c r="AE227" s="148">
        <f>'US DC S4'!BI163</f>
        <v/>
      </c>
      <c r="AF227" s="148" t="inlineStr">
        <is>
          <t>Queen</t>
        </is>
      </c>
      <c r="AG227" s="148" t="inlineStr">
        <is>
          <t>Pink</t>
        </is>
      </c>
      <c r="AH227" s="148">
        <f>AND(E227="CA",OR('CA Dashboard'!$C$4="All",'CA Dashboard'!$C$4=D227),OR('CA Dashboard'!$C$5="All",'CA Dashboard'!$C$5=G227),OR('CA Dashboard'!$C$6="All",'CA Dashboard'!$C$6=H227),OR('CA Dashboard'!$C$7="All",'CA Dashboard'!$C$7=F227),OR('CA Dashboard'!$C$8="All",'CA Dashboard'!$C$8=AJ227))</f>
        <v/>
      </c>
      <c r="AI227" s="148">
        <f>IF(AH227,AI226+1,AI226)</f>
        <v/>
      </c>
      <c r="AJ227" s="148" t="inlineStr">
        <is>
          <t>Direct</t>
        </is>
      </c>
      <c r="AK227" s="148" t="inlineStr">
        <is>
          <t>Same product (sheet set) in the same material family: Satin (polyester) (title: Love's cabin Satin Queen Sheets Set, 4 Pieces, Pink, 15" Dee); ours: our listing: polyester satin.</t>
        </is>
      </c>
    </row>
    <row r="228">
      <c r="A228" s="148">
        <f>AND(E228="US",OR('US Dashboard'!$C$4="All",'US Dashboard'!$C$4=D228),OR('US Dashboard'!$C$5="All",'US Dashboard'!$C$5=G228),OR('US Dashboard'!$C$6="All",'US Dashboard'!$C$6=H228),OR('US Dashboard'!$C$7="All",'US Dashboard'!$C$7=F228),OR('US Dashboard'!$C$8="All",'US Dashboard'!$C$8=AJ228))</f>
        <v/>
      </c>
      <c r="B228" s="148">
        <f>IF(A228,B227+1,B227)</f>
        <v/>
      </c>
      <c r="C228" s="148" t="n">
        <v>37</v>
      </c>
      <c r="D228" s="148" t="inlineStr">
        <is>
          <t>DC S4</t>
        </is>
      </c>
      <c r="E228" s="148" t="inlineStr">
        <is>
          <t>US</t>
        </is>
      </c>
      <c r="F228" s="148" t="inlineStr">
        <is>
          <t>Satin</t>
        </is>
      </c>
      <c r="G228" s="148" t="inlineStr">
        <is>
          <t>MR&amp;HM</t>
        </is>
      </c>
      <c r="H228" s="148" t="inlineStr">
        <is>
          <t>Aspirational</t>
        </is>
      </c>
      <c r="I228" s="148" t="inlineStr">
        <is>
          <t>MR&amp;HM Satin Sheets Queen Size with Elastic Corner Straps, Black</t>
        </is>
      </c>
      <c r="J228" s="148" t="inlineStr">
        <is>
          <t>https://images-na.ssl-images-amazon.com/images/I/71zGuoeuSrL.jpg</t>
        </is>
      </c>
      <c r="K228" s="148" t="inlineStr">
        <is>
          <t>B08NQ3W7PG</t>
        </is>
      </c>
      <c r="L228" s="148" t="inlineStr">
        <is>
          <t>B08HM6WT6X</t>
        </is>
      </c>
      <c r="M228" s="148" t="n">
        <v>183</v>
      </c>
      <c r="N228" s="148" t="n">
        <v>19.99</v>
      </c>
      <c r="O228" s="148" t="n"/>
      <c r="P228" s="148">
        <f>IF(AND(ISNUMBER(O228),ISNUMBER(N228),N(N228)&gt;0),O228/N228-1,"")</f>
        <v/>
      </c>
      <c r="Q228" s="148" t="n">
        <v>31.95</v>
      </c>
      <c r="R228" s="148">
        <f>IF(AND(ISNUMBER(N228),ISNUMBER(Q228),N(Q228)&gt;0),N228/Q228-1,"")</f>
        <v/>
      </c>
      <c r="S228" s="148" t="n">
        <v>2025</v>
      </c>
      <c r="T228" s="148" t="n">
        <v>809</v>
      </c>
      <c r="U228" s="148" t="n">
        <v>4.4</v>
      </c>
      <c r="V228" s="148" t="n">
        <v>17886</v>
      </c>
      <c r="W228" s="148" t="n">
        <v>356457</v>
      </c>
      <c r="X228" s="148" t="n">
        <v>0.7964633734223203</v>
      </c>
      <c r="Y228" s="148" t="n">
        <v>179</v>
      </c>
      <c r="Z228" s="148" t="n">
        <v>608</v>
      </c>
      <c r="AA228" s="148" t="n">
        <v>383</v>
      </c>
      <c r="AB228" s="148" t="n">
        <v>0.9844138242602214</v>
      </c>
      <c r="AC228" s="148" t="inlineStr">
        <is>
          <t>US DC S4</t>
        </is>
      </c>
      <c r="AD228" s="148">
        <f>'US DC S4'!BF164</f>
        <v/>
      </c>
      <c r="AE228" s="148">
        <f>'US DC S4'!BI164</f>
        <v/>
      </c>
      <c r="AF228" s="148" t="inlineStr">
        <is>
          <t>Queen</t>
        </is>
      </c>
      <c r="AG228" s="148" t="inlineStr">
        <is>
          <t>Black</t>
        </is>
      </c>
      <c r="AH228" s="148">
        <f>AND(E228="CA",OR('CA Dashboard'!$C$4="All",'CA Dashboard'!$C$4=D228),OR('CA Dashboard'!$C$5="All",'CA Dashboard'!$C$5=G228),OR('CA Dashboard'!$C$6="All",'CA Dashboard'!$C$6=H228),OR('CA Dashboard'!$C$7="All",'CA Dashboard'!$C$7=F228),OR('CA Dashboard'!$C$8="All",'CA Dashboard'!$C$8=AJ228))</f>
        <v/>
      </c>
      <c r="AI228" s="148">
        <f>IF(AH228,AI227+1,AI227)</f>
        <v/>
      </c>
      <c r="AJ228" s="148" t="inlineStr">
        <is>
          <t>Direct</t>
        </is>
      </c>
      <c r="AK228" s="148" t="inlineStr">
        <is>
          <t>Same product (sheet set) in the same material family: Satin (polyester) (title: MR&amp;HM Satin Sheets Queen Size with Elastic Corner Straps, Bl); ours: our listing: polyester satin.</t>
        </is>
      </c>
    </row>
    <row r="229">
      <c r="A229" s="148">
        <f>AND(E229="US",OR('US Dashboard'!$C$4="All",'US Dashboard'!$C$4=D229),OR('US Dashboard'!$C$5="All",'US Dashboard'!$C$5=G229),OR('US Dashboard'!$C$6="All",'US Dashboard'!$C$6=H229),OR('US Dashboard'!$C$7="All",'US Dashboard'!$C$7=F229),OR('US Dashboard'!$C$8="All",'US Dashboard'!$C$8=AJ229))</f>
        <v/>
      </c>
      <c r="B229" s="148">
        <f>IF(A229,B228+1,B228)</f>
        <v/>
      </c>
      <c r="C229" s="148" t="n">
        <v>37</v>
      </c>
      <c r="D229" s="148" t="inlineStr">
        <is>
          <t>DC S4</t>
        </is>
      </c>
      <c r="E229" s="148" t="inlineStr">
        <is>
          <t>US</t>
        </is>
      </c>
      <c r="F229" s="148" t="inlineStr">
        <is>
          <t>Satin</t>
        </is>
      </c>
      <c r="G229" s="148" t="inlineStr">
        <is>
          <t>FreshCulture</t>
        </is>
      </c>
      <c r="H229" s="148" t="inlineStr">
        <is>
          <t>Beatable</t>
        </is>
      </c>
      <c r="I229" s="148" t="inlineStr">
        <is>
          <t>Satin Sheets</t>
        </is>
      </c>
      <c r="J229" s="148" t="inlineStr">
        <is>
          <t>https://images-na.ssl-images-amazon.com/images/I/810d6GzTlfL.jpg</t>
        </is>
      </c>
      <c r="K229" s="148" t="inlineStr">
        <is>
          <t>B0D9B18P6N</t>
        </is>
      </c>
      <c r="L229" s="148" t="inlineStr">
        <is>
          <t>B0D9BD63QH</t>
        </is>
      </c>
      <c r="M229" s="148" t="n">
        <v>54</v>
      </c>
      <c r="N229" s="148" t="n">
        <v>23.99</v>
      </c>
      <c r="O229" s="148" t="n"/>
      <c r="P229" s="148">
        <f>IF(AND(ISNUMBER(O229),ISNUMBER(N229),N(N229)&gt;0),O229/N229-1,"")</f>
        <v/>
      </c>
      <c r="Q229" s="148" t="n">
        <v>29.95</v>
      </c>
      <c r="R229" s="148">
        <f>IF(AND(ISNUMBER(N229),ISNUMBER(Q229),N(Q229)&gt;0),N229/Q229-1,"")</f>
        <v/>
      </c>
      <c r="S229" s="148" t="n">
        <v>17918</v>
      </c>
      <c r="T229" s="148" t="n">
        <v>104</v>
      </c>
      <c r="U229" s="148" t="n">
        <v>4.4</v>
      </c>
      <c r="V229" s="148" t="n">
        <v>780</v>
      </c>
      <c r="W229" s="148" t="n">
        <v>99046</v>
      </c>
      <c r="X229" s="148" t="n">
        <v>0.9634387880378817</v>
      </c>
      <c r="Y229" s="148" t="n">
        <v>191</v>
      </c>
      <c r="Z229" s="148" t="n">
        <v>257</v>
      </c>
      <c r="AA229" s="148" t="n">
        <v>19</v>
      </c>
      <c r="AB229" s="148" t="n"/>
      <c r="AC229" s="148" t="inlineStr">
        <is>
          <t>US DC S4</t>
        </is>
      </c>
      <c r="AD229" s="148">
        <f>'US DC S4'!BF165</f>
        <v/>
      </c>
      <c r="AE229" s="148">
        <f>'US DC S4'!BI165</f>
        <v/>
      </c>
      <c r="AF229" s="148" t="inlineStr">
        <is>
          <t>Full</t>
        </is>
      </c>
      <c r="AG229" s="148" t="inlineStr">
        <is>
          <t>Black</t>
        </is>
      </c>
      <c r="AH229" s="148">
        <f>AND(E229="CA",OR('CA Dashboard'!$C$4="All",'CA Dashboard'!$C$4=D229),OR('CA Dashboard'!$C$5="All",'CA Dashboard'!$C$5=G229),OR('CA Dashboard'!$C$6="All",'CA Dashboard'!$C$6=H229),OR('CA Dashboard'!$C$7="All",'CA Dashboard'!$C$7=F229),OR('CA Dashboard'!$C$8="All",'CA Dashboard'!$C$8=AJ229))</f>
        <v/>
      </c>
      <c r="AI229" s="148">
        <f>IF(AH229,AI228+1,AI228)</f>
        <v/>
      </c>
      <c r="AJ229" s="148" t="inlineStr">
        <is>
          <t>Direct</t>
        </is>
      </c>
      <c r="AK229" s="148" t="inlineStr">
        <is>
          <t>Same product (sheet set) in the same material family: Satin (polyester) (product page material: Polyester Satin); ours: our listing: polyester satin.</t>
        </is>
      </c>
    </row>
    <row r="230">
      <c r="A230" s="148">
        <f>AND(E230="US",OR('US Dashboard'!$C$4="All",'US Dashboard'!$C$4=D230),OR('US Dashboard'!$C$5="All",'US Dashboard'!$C$5=G230),OR('US Dashboard'!$C$6="All",'US Dashboard'!$C$6=H230),OR('US Dashboard'!$C$7="All",'US Dashboard'!$C$7=F230),OR('US Dashboard'!$C$8="All",'US Dashboard'!$C$8=AJ230))</f>
        <v/>
      </c>
      <c r="B230" s="148">
        <f>IF(A230,B229+1,B229)</f>
        <v/>
      </c>
      <c r="C230" s="148" t="n">
        <v>37</v>
      </c>
      <c r="D230" s="148" t="inlineStr">
        <is>
          <t>DC S4</t>
        </is>
      </c>
      <c r="E230" s="148" t="inlineStr">
        <is>
          <t>US</t>
        </is>
      </c>
      <c r="F230" s="148" t="inlineStr">
        <is>
          <t>Satin</t>
        </is>
      </c>
      <c r="G230" s="148" t="inlineStr">
        <is>
          <t>Pure Bedding</t>
        </is>
      </c>
      <c r="H230" s="148" t="inlineStr">
        <is>
          <t>Beatable</t>
        </is>
      </c>
      <c r="I230" s="148" t="inlineStr">
        <is>
          <t>Pure Bedding Satin Sheets Queen [4-Piece, Black] Hotel Luxury Silky Bed Sheets - Extra Soft 1800 Microfiber Sheet Set, Wrinkle, Fade, Deep Pocket Fitted Sheet, Flat Sheet, Pillow Cases</t>
        </is>
      </c>
      <c r="J230" s="148" t="inlineStr">
        <is>
          <t>https://images-na.ssl-images-amazon.com/images/I/81zLU1W0e8L.jpg</t>
        </is>
      </c>
      <c r="K230" s="148" t="inlineStr">
        <is>
          <t>B0FMPQYB2J</t>
        </is>
      </c>
      <c r="L230" s="148" t="inlineStr">
        <is>
          <t>B083G81VSH</t>
        </is>
      </c>
      <c r="M230" s="148" t="n">
        <v>146</v>
      </c>
      <c r="N230" s="148" t="n">
        <v>20.99</v>
      </c>
      <c r="O230" s="148" t="n"/>
      <c r="P230" s="148">
        <f>IF(AND(ISNUMBER(O230),ISNUMBER(N230),N(N230)&gt;0),O230/N230-1,"")</f>
        <v/>
      </c>
      <c r="Q230" s="148" t="n">
        <v>31.95</v>
      </c>
      <c r="R230" s="148">
        <f>IF(AND(ISNUMBER(N230),ISNUMBER(Q230),N(Q230)&gt;0),N230/Q230-1,"")</f>
        <v/>
      </c>
      <c r="S230" s="148" t="n">
        <v>30991</v>
      </c>
      <c r="T230" s="148" t="n">
        <v>92</v>
      </c>
      <c r="U230" s="148" t="n">
        <v>4.4</v>
      </c>
      <c r="V230" s="148" t="n">
        <v>9828</v>
      </c>
      <c r="W230" s="148" t="n">
        <v>119531</v>
      </c>
      <c r="X230" s="148" t="n">
        <v>0.6204180681162206</v>
      </c>
      <c r="Y230" s="148" t="n">
        <v>291</v>
      </c>
      <c r="Z230" s="148" t="n">
        <v>239</v>
      </c>
      <c r="AA230" s="148" t="n">
        <v>213</v>
      </c>
      <c r="AB230" s="148" t="n">
        <v>0.7574960547080484</v>
      </c>
      <c r="AC230" s="148" t="inlineStr">
        <is>
          <t>US DC S4</t>
        </is>
      </c>
      <c r="AD230" s="148">
        <f>'US DC S4'!BF166</f>
        <v/>
      </c>
      <c r="AE230" s="148">
        <f>'US DC S4'!BI166</f>
        <v/>
      </c>
      <c r="AF230" s="148" t="inlineStr">
        <is>
          <t>Queen</t>
        </is>
      </c>
      <c r="AG230" s="148" t="inlineStr">
        <is>
          <t>Black</t>
        </is>
      </c>
      <c r="AH230" s="148">
        <f>AND(E230="CA",OR('CA Dashboard'!$C$4="All",'CA Dashboard'!$C$4=D230),OR('CA Dashboard'!$C$5="All",'CA Dashboard'!$C$5=G230),OR('CA Dashboard'!$C$6="All",'CA Dashboard'!$C$6=H230),OR('CA Dashboard'!$C$7="All",'CA Dashboard'!$C$7=F230),OR('CA Dashboard'!$C$8="All",'CA Dashboard'!$C$8=AJ230))</f>
        <v/>
      </c>
      <c r="AI230" s="148">
        <f>IF(AH230,AI229+1,AI229)</f>
        <v/>
      </c>
      <c r="AJ230" s="148" t="inlineStr">
        <is>
          <t>Direct</t>
        </is>
      </c>
      <c r="AK230" s="148" t="inlineStr">
        <is>
          <t>Same product (sheet set) in the same material family: Satin (polyester) (title: Pure Bedding Satin Sheets Queen [4-Piece, Black] Hotel Luxur); ours: our listing: polyester satin.</t>
        </is>
      </c>
    </row>
    <row r="231">
      <c r="A231" s="148">
        <f>AND(E231="US",OR('US Dashboard'!$C$4="All",'US Dashboard'!$C$4=D231),OR('US Dashboard'!$C$5="All",'US Dashboard'!$C$5=G231),OR('US Dashboard'!$C$6="All",'US Dashboard'!$C$6=H231),OR('US Dashboard'!$C$7="All",'US Dashboard'!$C$7=F231),OR('US Dashboard'!$C$8="All",'US Dashboard'!$C$8=AJ231))</f>
        <v/>
      </c>
      <c r="B231" s="148">
        <f>IF(A231,B230+1,B230)</f>
        <v/>
      </c>
      <c r="C231" s="148" t="n">
        <v>37</v>
      </c>
      <c r="D231" s="148" t="inlineStr">
        <is>
          <t>DC S4</t>
        </is>
      </c>
      <c r="E231" s="148" t="inlineStr">
        <is>
          <t>US</t>
        </is>
      </c>
      <c r="F231" s="148" t="inlineStr">
        <is>
          <t>Satin</t>
        </is>
      </c>
      <c r="G231" s="148" t="inlineStr">
        <is>
          <t>SiinvdaBZX</t>
        </is>
      </c>
      <c r="H231" s="148" t="inlineStr">
        <is>
          <t>Beatable</t>
        </is>
      </c>
      <c r="I231" s="148" t="inlineStr">
        <is>
          <t>SiinvdaBZX 4Pcs Satin Sheet Set Queen Size 15-Inch Deep Pocket, Beige</t>
        </is>
      </c>
      <c r="J231" s="148" t="inlineStr">
        <is>
          <t>https://images-na.ssl-images-amazon.com/images/I/71ZrkfMtWLL.jpg</t>
        </is>
      </c>
      <c r="K231" s="148" t="inlineStr">
        <is>
          <t>B0DD37S32L</t>
        </is>
      </c>
      <c r="L231" s="148" t="inlineStr">
        <is>
          <t>B08JP9DG5Z</t>
        </is>
      </c>
      <c r="M231" s="148" t="n">
        <v>96</v>
      </c>
      <c r="N231" s="148" t="n">
        <v>22.99</v>
      </c>
      <c r="O231" s="148" t="n"/>
      <c r="P231" s="148">
        <f>IF(AND(ISNUMBER(O231),ISNUMBER(N231),N(N231)&gt;0),O231/N231-1,"")</f>
        <v/>
      </c>
      <c r="Q231" s="148" t="n">
        <v>31.95</v>
      </c>
      <c r="R231" s="148">
        <f>IF(AND(ISNUMBER(N231),ISNUMBER(Q231),N(Q231)&gt;0),N231/Q231-1,"")</f>
        <v/>
      </c>
      <c r="S231" s="148" t="n">
        <v>23154</v>
      </c>
      <c r="T231" s="148" t="n">
        <v>92</v>
      </c>
      <c r="U231" s="148" t="n">
        <v>4.4</v>
      </c>
      <c r="V231" s="148" t="n">
        <v>6981</v>
      </c>
      <c r="W231" s="148" t="n">
        <v>47722</v>
      </c>
      <c r="X231" s="148" t="n">
        <v>0.8752176061355349</v>
      </c>
      <c r="Y231" s="148" t="n">
        <v>234</v>
      </c>
      <c r="Z231" s="148" t="n">
        <v>139</v>
      </c>
      <c r="AA231" s="148" t="n">
        <v>99</v>
      </c>
      <c r="AB231" s="148" t="n">
        <v>1.035928143712575</v>
      </c>
      <c r="AC231" s="148" t="inlineStr">
        <is>
          <t>US DC S4</t>
        </is>
      </c>
      <c r="AD231" s="148">
        <f>'US DC S4'!BF167</f>
        <v/>
      </c>
      <c r="AE231" s="148">
        <f>'US DC S4'!BI167</f>
        <v/>
      </c>
      <c r="AF231" s="148" t="inlineStr">
        <is>
          <t>Queen</t>
        </is>
      </c>
      <c r="AG231" s="148" t="inlineStr">
        <is>
          <t>Beige</t>
        </is>
      </c>
      <c r="AH231" s="148">
        <f>AND(E231="CA",OR('CA Dashboard'!$C$4="All",'CA Dashboard'!$C$4=D231),OR('CA Dashboard'!$C$5="All",'CA Dashboard'!$C$5=G231),OR('CA Dashboard'!$C$6="All",'CA Dashboard'!$C$6=H231),OR('CA Dashboard'!$C$7="All",'CA Dashboard'!$C$7=F231),OR('CA Dashboard'!$C$8="All",'CA Dashboard'!$C$8=AJ231))</f>
        <v/>
      </c>
      <c r="AI231" s="148">
        <f>IF(AH231,AI230+1,AI230)</f>
        <v/>
      </c>
      <c r="AJ231" s="148" t="inlineStr">
        <is>
          <t>Direct</t>
        </is>
      </c>
      <c r="AK231" s="148" t="inlineStr">
        <is>
          <t>Same product (sheet set) in the same material family: Satin (polyester) (title: SiinvdaBZX 4Pcs Satin Sheet Set Queen Size 15-Inch Deep Pock); ours: our listing: polyester satin.</t>
        </is>
      </c>
    </row>
    <row r="232">
      <c r="A232" s="148">
        <f>AND(E232="US",OR('US Dashboard'!$C$4="All",'US Dashboard'!$C$4=D232),OR('US Dashboard'!$C$5="All",'US Dashboard'!$C$5=G232),OR('US Dashboard'!$C$6="All",'US Dashboard'!$C$6=H232),OR('US Dashboard'!$C$7="All",'US Dashboard'!$C$7=F232),OR('US Dashboard'!$C$8="All",'US Dashboard'!$C$8=AJ232))</f>
        <v/>
      </c>
      <c r="B232" s="148">
        <f>IF(A232,B231+1,B231)</f>
        <v/>
      </c>
      <c r="C232" s="148" t="n">
        <v>37</v>
      </c>
      <c r="D232" s="148" t="inlineStr">
        <is>
          <t>DC S4</t>
        </is>
      </c>
      <c r="E232" s="148" t="inlineStr">
        <is>
          <t>US</t>
        </is>
      </c>
      <c r="F232" s="148" t="inlineStr">
        <is>
          <t>Satin</t>
        </is>
      </c>
      <c r="G232" s="148" t="inlineStr">
        <is>
          <t>Horbaunal</t>
        </is>
      </c>
      <c r="H232" s="148" t="inlineStr">
        <is>
          <t>Beatable</t>
        </is>
      </c>
      <c r="I232" s="148" t="inlineStr">
        <is>
          <t>Horbaunal 6 Piece Satin Sheet Set Queen, Emerald Green Queen Bed Sheets</t>
        </is>
      </c>
      <c r="J232" s="148" t="inlineStr">
        <is>
          <t>https://images-na.ssl-images-amazon.com/images/I/813TGJ9FKjL.jpg</t>
        </is>
      </c>
      <c r="K232" s="148" t="inlineStr">
        <is>
          <t>B0B4MQCT87</t>
        </is>
      </c>
      <c r="L232" s="148" t="inlineStr">
        <is>
          <t>B0B4MQ1PP1</t>
        </is>
      </c>
      <c r="M232" s="148" t="n">
        <v>23</v>
      </c>
      <c r="N232" s="148" t="n">
        <v>28.99</v>
      </c>
      <c r="O232" s="148" t="n"/>
      <c r="P232" s="148">
        <f>IF(AND(ISNUMBER(O232),ISNUMBER(N232),N(N232)&gt;0),O232/N232-1,"")</f>
        <v/>
      </c>
      <c r="Q232" s="148" t="n">
        <v>31.95</v>
      </c>
      <c r="R232" s="148">
        <f>IF(AND(ISNUMBER(N232),ISNUMBER(Q232),N(Q232)&gt;0),N232/Q232-1,"")</f>
        <v/>
      </c>
      <c r="S232" s="148" t="n">
        <v>110638</v>
      </c>
      <c r="T232" s="148" t="n">
        <v>35</v>
      </c>
      <c r="U232" s="148" t="n">
        <v>4.4</v>
      </c>
      <c r="V232" s="148" t="n">
        <v>772</v>
      </c>
      <c r="W232" s="148" t="n"/>
      <c r="X232" s="148" t="n"/>
      <c r="Y232" s="148" t="n"/>
      <c r="Z232" s="148" t="n"/>
      <c r="AA232" s="148" t="n"/>
      <c r="AB232" s="148" t="n"/>
      <c r="AC232" s="148" t="inlineStr">
        <is>
          <t>US DC S4</t>
        </is>
      </c>
      <c r="AD232" s="148">
        <f>'US DC S4'!BF168</f>
        <v/>
      </c>
      <c r="AE232" s="148">
        <f>'US DC S4'!BI168</f>
        <v/>
      </c>
      <c r="AF232" s="148" t="inlineStr">
        <is>
          <t>Queen</t>
        </is>
      </c>
      <c r="AG232" s="148" t="inlineStr">
        <is>
          <t>Green</t>
        </is>
      </c>
      <c r="AH232" s="148">
        <f>AND(E232="CA",OR('CA Dashboard'!$C$4="All",'CA Dashboard'!$C$4=D232),OR('CA Dashboard'!$C$5="All",'CA Dashboard'!$C$5=G232),OR('CA Dashboard'!$C$6="All",'CA Dashboard'!$C$6=H232),OR('CA Dashboard'!$C$7="All",'CA Dashboard'!$C$7=F232),OR('CA Dashboard'!$C$8="All",'CA Dashboard'!$C$8=AJ232))</f>
        <v/>
      </c>
      <c r="AI232" s="148">
        <f>IF(AH232,AI231+1,AI231)</f>
        <v/>
      </c>
      <c r="AJ232" s="148" t="inlineStr">
        <is>
          <t>Direct</t>
        </is>
      </c>
      <c r="AK232" s="148" t="inlineStr">
        <is>
          <t>Same product (sheet set) in the same material family: Satin (polyester) (title: Horbaunal 6 Piece Satin Sheet Set Queen, Emerald Green Queen); ours: our listing: polyester satin.</t>
        </is>
      </c>
    </row>
    <row r="233">
      <c r="A233" s="148">
        <f>AND(E233="US",OR('US Dashboard'!$C$4="All",'US Dashboard'!$C$4=D233),OR('US Dashboard'!$C$5="All",'US Dashboard'!$C$5=G233),OR('US Dashboard'!$C$6="All",'US Dashboard'!$C$6=H233),OR('US Dashboard'!$C$7="All",'US Dashboard'!$C$7=F233),OR('US Dashboard'!$C$8="All",'US Dashboard'!$C$8=AJ233))</f>
        <v/>
      </c>
      <c r="B233" s="148">
        <f>IF(A233,B232+1,B232)</f>
        <v/>
      </c>
      <c r="C233" s="148" t="n">
        <v>37</v>
      </c>
      <c r="D233" s="148" t="inlineStr">
        <is>
          <t>DC S4</t>
        </is>
      </c>
      <c r="E233" s="148" t="inlineStr">
        <is>
          <t>US</t>
        </is>
      </c>
      <c r="F233" s="148" t="inlineStr">
        <is>
          <t>Satin</t>
        </is>
      </c>
      <c r="G233" s="148" t="inlineStr">
        <is>
          <t>VACVELT</t>
        </is>
      </c>
      <c r="H233" s="148" t="inlineStr">
        <is>
          <t>Beatable</t>
        </is>
      </c>
      <c r="I233" s="148" t="inlineStr">
        <is>
          <t>Satin Sheets</t>
        </is>
      </c>
      <c r="J233" s="148" t="inlineStr">
        <is>
          <t>https://m.media-amazon.com/images/I/81Ct-nDEEnL._AC_SL1500_.jpg</t>
        </is>
      </c>
      <c r="K233" s="148" t="inlineStr">
        <is>
          <t>B0C9T1VY8J</t>
        </is>
      </c>
      <c r="L233" s="148" t="inlineStr">
        <is>
          <t>B0C1GJZB6F</t>
        </is>
      </c>
      <c r="M233" s="148" t="n">
        <v>35</v>
      </c>
      <c r="N233" s="148" t="n">
        <v>21.99</v>
      </c>
      <c r="O233" s="148" t="n"/>
      <c r="P233" s="148">
        <f>IF(AND(ISNUMBER(O233),ISNUMBER(N233),N(N233)&gt;0),O233/N233-1,"")</f>
        <v/>
      </c>
      <c r="Q233" s="148" t="n">
        <v>29.95</v>
      </c>
      <c r="R233" s="148">
        <f>IF(AND(ISNUMBER(N233),ISNUMBER(Q233),N(Q233)&gt;0),N233/Q233-1,"")</f>
        <v/>
      </c>
      <c r="S233" s="148" t="n">
        <v>57010</v>
      </c>
      <c r="T233" s="148" t="n">
        <v>35</v>
      </c>
      <c r="U233" s="148" t="n">
        <v>4.5</v>
      </c>
      <c r="V233" s="148" t="n">
        <v>1017</v>
      </c>
      <c r="W233" s="148" t="n">
        <v>23621</v>
      </c>
      <c r="X233" s="148" t="n">
        <v>0.9628617755387157</v>
      </c>
      <c r="Y233" s="148" t="n">
        <v>211</v>
      </c>
      <c r="Z233" s="148" t="n">
        <v>69</v>
      </c>
      <c r="AA233" s="148" t="n">
        <v>16</v>
      </c>
      <c r="AB233" s="148" t="n">
        <v>1</v>
      </c>
      <c r="AC233" s="148" t="inlineStr">
        <is>
          <t>US DC S4</t>
        </is>
      </c>
      <c r="AD233" s="148">
        <f>'US DC S4'!BF169</f>
        <v/>
      </c>
      <c r="AE233" s="148">
        <f>'US DC S4'!BI169</f>
        <v/>
      </c>
      <c r="AF233" s="148" t="inlineStr">
        <is>
          <t>Full</t>
        </is>
      </c>
      <c r="AG233" s="148" t="inlineStr">
        <is>
          <t>Hot Pink</t>
        </is>
      </c>
      <c r="AH233" s="148">
        <f>AND(E233="CA",OR('CA Dashboard'!$C$4="All",'CA Dashboard'!$C$4=D233),OR('CA Dashboard'!$C$5="All",'CA Dashboard'!$C$5=G233),OR('CA Dashboard'!$C$6="All",'CA Dashboard'!$C$6=H233),OR('CA Dashboard'!$C$7="All",'CA Dashboard'!$C$7=F233),OR('CA Dashboard'!$C$8="All",'CA Dashboard'!$C$8=AJ233))</f>
        <v/>
      </c>
      <c r="AI233" s="148">
        <f>IF(AH233,AI232+1,AI232)</f>
        <v/>
      </c>
      <c r="AJ233" s="148" t="inlineStr">
        <is>
          <t>Direct</t>
        </is>
      </c>
      <c r="AK233" s="148" t="inlineStr">
        <is>
          <t>Same product (sheet set) in the same material family: Satin (polyester) (product page material: Satin); ours: our listing: polyester satin.</t>
        </is>
      </c>
    </row>
    <row r="234">
      <c r="A234" s="148">
        <f>AND(E234="US",OR('US Dashboard'!$C$4="All",'US Dashboard'!$C$4=D234),OR('US Dashboard'!$C$5="All",'US Dashboard'!$C$5=G234),OR('US Dashboard'!$C$6="All",'US Dashboard'!$C$6=H234),OR('US Dashboard'!$C$7="All",'US Dashboard'!$C$7=F234),OR('US Dashboard'!$C$8="All",'US Dashboard'!$C$8=AJ234))</f>
        <v/>
      </c>
      <c r="B234" s="148">
        <f>IF(A234,B233+1,B233)</f>
        <v/>
      </c>
      <c r="C234" s="148" t="n">
        <v>37</v>
      </c>
      <c r="D234" s="148" t="inlineStr">
        <is>
          <t>DC S4</t>
        </is>
      </c>
      <c r="E234" s="148" t="inlineStr">
        <is>
          <t>US</t>
        </is>
      </c>
      <c r="F234" s="148" t="inlineStr">
        <is>
          <t>Satin</t>
        </is>
      </c>
      <c r="G234" s="148" t="inlineStr">
        <is>
          <t>Homiest</t>
        </is>
      </c>
      <c r="H234" s="148" t="inlineStr">
        <is>
          <t>Beatable</t>
        </is>
      </c>
      <c r="I234" s="148" t="inlineStr">
        <is>
          <t>Satin Sheets</t>
        </is>
      </c>
      <c r="J234" s="148" t="inlineStr">
        <is>
          <t>https://m.media-amazon.com/images/I/71NLoiG0PKL._AC_SL1500_.jpg</t>
        </is>
      </c>
      <c r="K234" s="148" t="inlineStr">
        <is>
          <t>B0DYJKM99H</t>
        </is>
      </c>
      <c r="L234" s="148" t="inlineStr">
        <is>
          <t>B0DYJHHJQL</t>
        </is>
      </c>
      <c r="M234" s="148" t="n"/>
      <c r="N234" s="148" t="n">
        <v>27.99</v>
      </c>
      <c r="O234" s="148" t="n"/>
      <c r="P234" s="148">
        <f>IF(AND(ISNUMBER(O234),ISNUMBER(N234),N(N234)&gt;0),O234/N234-1,"")</f>
        <v/>
      </c>
      <c r="Q234" s="148" t="n">
        <v>31.95</v>
      </c>
      <c r="R234" s="148">
        <f>IF(AND(ISNUMBER(N234),ISNUMBER(Q234),N(Q234)&gt;0),N234/Q234-1,"")</f>
        <v/>
      </c>
      <c r="S234" s="148" t="n">
        <v>89437</v>
      </c>
      <c r="T234" s="148" t="n">
        <v>18</v>
      </c>
      <c r="U234" s="148" t="n">
        <v>4.5</v>
      </c>
      <c r="V234" s="148" t="n">
        <v>205</v>
      </c>
      <c r="W234" s="148" t="n"/>
      <c r="X234" s="148" t="n"/>
      <c r="Y234" s="148" t="n"/>
      <c r="Z234" s="148" t="n"/>
      <c r="AA234" s="148" t="n"/>
      <c r="AB234" s="148" t="n"/>
      <c r="AC234" s="148" t="inlineStr">
        <is>
          <t>US DC S4</t>
        </is>
      </c>
      <c r="AD234" s="148">
        <f>'US DC S4'!BF170</f>
        <v/>
      </c>
      <c r="AE234" s="148">
        <f>'US DC S4'!BI170</f>
        <v/>
      </c>
      <c r="AF234" s="148" t="inlineStr">
        <is>
          <t>Queen</t>
        </is>
      </c>
      <c r="AG234" s="148" t="inlineStr">
        <is>
          <t>Blush Pink</t>
        </is>
      </c>
      <c r="AH234" s="148">
        <f>AND(E234="CA",OR('CA Dashboard'!$C$4="All",'CA Dashboard'!$C$4=D234),OR('CA Dashboard'!$C$5="All",'CA Dashboard'!$C$5=G234),OR('CA Dashboard'!$C$6="All",'CA Dashboard'!$C$6=H234),OR('CA Dashboard'!$C$7="All",'CA Dashboard'!$C$7=F234),OR('CA Dashboard'!$C$8="All",'CA Dashboard'!$C$8=AJ234))</f>
        <v/>
      </c>
      <c r="AI234" s="148">
        <f>IF(AH234,AI233+1,AI233)</f>
        <v/>
      </c>
      <c r="AJ234" s="148" t="inlineStr">
        <is>
          <t>Direct</t>
        </is>
      </c>
      <c r="AK234" s="148" t="inlineStr">
        <is>
          <t>Same product (sheet set) in the same material family: Satin (polyester) (product page material: Satin); ours: our listing: polyester satin.</t>
        </is>
      </c>
    </row>
    <row r="235">
      <c r="A235" s="148">
        <f>AND(E235="US",OR('US Dashboard'!$C$4="All",'US Dashboard'!$C$4=D235),OR('US Dashboard'!$C$5="All",'US Dashboard'!$C$5=G235),OR('US Dashboard'!$C$6="All",'US Dashboard'!$C$6=H235),OR('US Dashboard'!$C$7="All",'US Dashboard'!$C$7=F235),OR('US Dashboard'!$C$8="All",'US Dashboard'!$C$8=AJ235))</f>
        <v/>
      </c>
      <c r="B235" s="148">
        <f>IF(A235,B234+1,B234)</f>
        <v/>
      </c>
      <c r="C235" s="148" t="n">
        <v>37</v>
      </c>
      <c r="D235" s="148" t="inlineStr">
        <is>
          <t>DC S4</t>
        </is>
      </c>
      <c r="E235" s="148" t="inlineStr">
        <is>
          <t>US</t>
        </is>
      </c>
      <c r="F235" s="148" t="inlineStr">
        <is>
          <t>Satin</t>
        </is>
      </c>
      <c r="G235" s="148" t="inlineStr">
        <is>
          <t>LIFCOM</t>
        </is>
      </c>
      <c r="H235" s="148" t="inlineStr">
        <is>
          <t>Beatable</t>
        </is>
      </c>
      <c r="I235" s="148" t="inlineStr">
        <is>
          <t>LIFCOM Satin Sheets Queen,4Pcs Bed Set with 15" Deep Pocket,Brown</t>
        </is>
      </c>
      <c r="J235" s="148" t="inlineStr">
        <is>
          <t>https://images-na.ssl-images-amazon.com/images/I/71eq-pAu2pL.jpg</t>
        </is>
      </c>
      <c r="K235" s="148" t="inlineStr">
        <is>
          <t>B0DBVYL693</t>
        </is>
      </c>
      <c r="L235" s="148" t="inlineStr">
        <is>
          <t>B0DCC78S4N</t>
        </is>
      </c>
      <c r="M235" s="148" t="n">
        <v>73</v>
      </c>
      <c r="N235" s="148" t="n">
        <v>23.99</v>
      </c>
      <c r="O235" s="148" t="n"/>
      <c r="P235" s="148">
        <f>IF(AND(ISNUMBER(O235),ISNUMBER(N235),N(N235)&gt;0),O235/N235-1,"")</f>
        <v/>
      </c>
      <c r="Q235" s="148" t="n">
        <v>31.95</v>
      </c>
      <c r="R235" s="148">
        <f>IF(AND(ISNUMBER(N235),ISNUMBER(Q235),N(Q235)&gt;0),N235/Q235-1,"")</f>
        <v/>
      </c>
      <c r="S235" s="148" t="n">
        <v>96002</v>
      </c>
      <c r="T235" s="148" t="n">
        <v>18</v>
      </c>
      <c r="U235" s="148" t="n">
        <v>4.2</v>
      </c>
      <c r="V235" s="148" t="n">
        <v>361</v>
      </c>
      <c r="W235" s="148" t="n">
        <v>23278</v>
      </c>
      <c r="X235" s="148" t="n">
        <v>0.4926462797491192</v>
      </c>
      <c r="Y235" s="148" t="n">
        <v>235</v>
      </c>
      <c r="Z235" s="148" t="n">
        <v>50</v>
      </c>
      <c r="AA235" s="148" t="n">
        <v>45</v>
      </c>
      <c r="AB235" s="148" t="n">
        <v>0.5539772727272727</v>
      </c>
      <c r="AC235" s="148" t="inlineStr">
        <is>
          <t>US DC S4</t>
        </is>
      </c>
      <c r="AD235" s="148">
        <f>'US DC S4'!BF171</f>
        <v/>
      </c>
      <c r="AE235" s="148">
        <f>'US DC S4'!BI171</f>
        <v/>
      </c>
      <c r="AF235" s="148" t="inlineStr">
        <is>
          <t>Queen</t>
        </is>
      </c>
      <c r="AG235" s="148" t="inlineStr">
        <is>
          <t>Brown</t>
        </is>
      </c>
      <c r="AH235" s="148">
        <f>AND(E235="CA",OR('CA Dashboard'!$C$4="All",'CA Dashboard'!$C$4=D235),OR('CA Dashboard'!$C$5="All",'CA Dashboard'!$C$5=G235),OR('CA Dashboard'!$C$6="All",'CA Dashboard'!$C$6=H235),OR('CA Dashboard'!$C$7="All",'CA Dashboard'!$C$7=F235),OR('CA Dashboard'!$C$8="All",'CA Dashboard'!$C$8=AJ235))</f>
        <v/>
      </c>
      <c r="AI235" s="148">
        <f>IF(AH235,AI234+1,AI234)</f>
        <v/>
      </c>
      <c r="AJ235" s="148" t="inlineStr">
        <is>
          <t>Direct</t>
        </is>
      </c>
      <c r="AK235" s="148" t="inlineStr">
        <is>
          <t>Same product (sheet set) in the same material family: Satin (polyester) (title: LIFCOM Satin Sheets Queen,4Pcs Bed Set with 15" Deep Pocket); ours: our listing: polyester satin.</t>
        </is>
      </c>
    </row>
    <row r="236">
      <c r="A236" s="148">
        <f>AND(E236="US",OR('US Dashboard'!$C$4="All",'US Dashboard'!$C$4=D236),OR('US Dashboard'!$C$5="All",'US Dashboard'!$C$5=G236),OR('US Dashboard'!$C$6="All",'US Dashboard'!$C$6=H236),OR('US Dashboard'!$C$7="All",'US Dashboard'!$C$7=F236),OR('US Dashboard'!$C$8="All",'US Dashboard'!$C$8=AJ236))</f>
        <v/>
      </c>
      <c r="B236" s="148">
        <f>IF(A236,B235+1,B235)</f>
        <v/>
      </c>
      <c r="C236" s="148" t="n">
        <v>37</v>
      </c>
      <c r="D236" s="148" t="inlineStr">
        <is>
          <t>DC S4</t>
        </is>
      </c>
      <c r="E236" s="148" t="inlineStr">
        <is>
          <t>US</t>
        </is>
      </c>
      <c r="F236" s="148" t="inlineStr">
        <is>
          <t>Satin</t>
        </is>
      </c>
      <c r="G236" s="148" t="inlineStr">
        <is>
          <t>Homiest</t>
        </is>
      </c>
      <c r="H236" s="148" t="inlineStr">
        <is>
          <t>Beatable</t>
        </is>
      </c>
      <c r="I236" s="148" t="inlineStr">
        <is>
          <t>Satin Sheets</t>
        </is>
      </c>
      <c r="J236" s="148" t="inlineStr">
        <is>
          <t>https://images-na.ssl-images-amazon.com/images/I/71Upo7a638S.jpg</t>
        </is>
      </c>
      <c r="K236" s="148" t="inlineStr">
        <is>
          <t>B07XBR22W1</t>
        </is>
      </c>
      <c r="L236" s="148" t="inlineStr">
        <is>
          <t>B0B5Z2B9NN</t>
        </is>
      </c>
      <c r="M236" s="148" t="n">
        <v>70</v>
      </c>
      <c r="N236" s="148" t="n">
        <v>23.99</v>
      </c>
      <c r="O236" s="148" t="n">
        <v>25.99</v>
      </c>
      <c r="P236" s="148">
        <f>IF(AND(ISNUMBER(O236),ISNUMBER(N236),N(N236)&gt;0),O236/N236-1,"")</f>
        <v/>
      </c>
      <c r="Q236" s="148" t="n">
        <v>32.03724980901451</v>
      </c>
      <c r="R236" s="148">
        <f>IF(AND(ISNUMBER(N236),ISNUMBER(Q236),N(Q236)&gt;0),N236/Q236-1,"")</f>
        <v/>
      </c>
      <c r="S236" s="148" t="n">
        <v>28165</v>
      </c>
      <c r="T236" s="148" t="n">
        <v>5</v>
      </c>
      <c r="U236" s="148" t="n">
        <v>4.4</v>
      </c>
      <c r="V236" s="148" t="n">
        <v>12125</v>
      </c>
      <c r="W236" s="148" t="n">
        <v>20002</v>
      </c>
      <c r="X236" s="148" t="n">
        <v>1</v>
      </c>
      <c r="Y236" s="148" t="n">
        <v>225</v>
      </c>
      <c r="Z236" s="148" t="n">
        <v>76</v>
      </c>
      <c r="AA236" s="148" t="n">
        <v>0</v>
      </c>
      <c r="AB236" s="148" t="n"/>
      <c r="AC236" s="148" t="inlineStr">
        <is>
          <t>US DC S4</t>
        </is>
      </c>
      <c r="AD236" s="148">
        <f>'US DC S4'!BF172</f>
        <v/>
      </c>
      <c r="AE236" s="148">
        <f>'US DC S4'!BI172</f>
        <v/>
      </c>
      <c r="AF236" s="148" t="inlineStr">
        <is>
          <t>EXTRA DEEP pocket - Full size</t>
        </is>
      </c>
      <c r="AG236" s="148" t="inlineStr">
        <is>
          <t>Blackish Green</t>
        </is>
      </c>
      <c r="AH236" s="148">
        <f>AND(E236="CA",OR('CA Dashboard'!$C$4="All",'CA Dashboard'!$C$4=D236),OR('CA Dashboard'!$C$5="All",'CA Dashboard'!$C$5=G236),OR('CA Dashboard'!$C$6="All",'CA Dashboard'!$C$6=H236),OR('CA Dashboard'!$C$7="All",'CA Dashboard'!$C$7=F236),OR('CA Dashboard'!$C$8="All",'CA Dashboard'!$C$8=AJ236))</f>
        <v/>
      </c>
      <c r="AI236" s="148">
        <f>IF(AH236,AI235+1,AI235)</f>
        <v/>
      </c>
      <c r="AJ236" s="148" t="inlineStr">
        <is>
          <t>Direct</t>
        </is>
      </c>
      <c r="AK236" s="148" t="inlineStr">
        <is>
          <t>Same product (sheet set) in the same material family: Satin (polyester) (product page material: Satin); ours: our listing: polyester satin.</t>
        </is>
      </c>
    </row>
    <row r="237">
      <c r="A237" s="148">
        <f>AND(E237="US",OR('US Dashboard'!$C$4="All",'US Dashboard'!$C$4=D237),OR('US Dashboard'!$C$5="All",'US Dashboard'!$C$5=G237),OR('US Dashboard'!$C$6="All",'US Dashboard'!$C$6=H237),OR('US Dashboard'!$C$7="All",'US Dashboard'!$C$7=F237),OR('US Dashboard'!$C$8="All",'US Dashboard'!$C$8=AJ237))</f>
        <v/>
      </c>
      <c r="B237" s="148">
        <f>IF(A237,B236+1,B236)</f>
        <v/>
      </c>
      <c r="C237" s="148" t="n">
        <v>37</v>
      </c>
      <c r="D237" s="148" t="inlineStr">
        <is>
          <t>DC S4</t>
        </is>
      </c>
      <c r="E237" s="148" t="inlineStr">
        <is>
          <t>US</t>
        </is>
      </c>
      <c r="F237" s="148" t="inlineStr">
        <is>
          <t>Satin</t>
        </is>
      </c>
      <c r="G237" s="148" t="inlineStr">
        <is>
          <t>Manyshofu</t>
        </is>
      </c>
      <c r="H237" s="148" t="inlineStr">
        <is>
          <t>Beatable</t>
        </is>
      </c>
      <c r="I237" s="148" t="inlineStr">
        <is>
          <t>Satin Sheets</t>
        </is>
      </c>
      <c r="J237" s="148" t="inlineStr">
        <is>
          <t>https://m.media-amazon.com/images/I/81fhEyi-eTL._AC_SL1500_.jpg</t>
        </is>
      </c>
      <c r="K237" s="148" t="inlineStr">
        <is>
          <t>B09YQW7HBK</t>
        </is>
      </c>
      <c r="L237" s="148" t="inlineStr">
        <is>
          <t>B09S5RNLN9</t>
        </is>
      </c>
      <c r="M237" s="148" t="n"/>
      <c r="N237" s="148" t="n">
        <v>31.99</v>
      </c>
      <c r="O237" s="148" t="n"/>
      <c r="P237" s="148">
        <f>IF(AND(ISNUMBER(O237),ISNUMBER(N237),N(N237)&gt;0),O237/N237-1,"")</f>
        <v/>
      </c>
      <c r="Q237" s="148" t="n">
        <v>32.03724980901451</v>
      </c>
      <c r="R237" s="148">
        <f>IF(AND(ISNUMBER(N237),ISNUMBER(Q237),N(Q237)&gt;0),N237/Q237-1,"")</f>
        <v/>
      </c>
      <c r="S237" s="148" t="n">
        <v>300374</v>
      </c>
      <c r="T237" s="148" t="n">
        <v>5</v>
      </c>
      <c r="U237" s="148" t="n">
        <v>4.3</v>
      </c>
      <c r="V237" s="148" t="n">
        <v>907</v>
      </c>
      <c r="W237" s="148" t="n"/>
      <c r="X237" s="148" t="n"/>
      <c r="Y237" s="148" t="n"/>
      <c r="Z237" s="148" t="n"/>
      <c r="AA237" s="148" t="n"/>
      <c r="AB237" s="148" t="n"/>
      <c r="AC237" s="148" t="inlineStr">
        <is>
          <t>US DC S4</t>
        </is>
      </c>
      <c r="AD237" s="148">
        <f>'US DC S4'!BF173</f>
        <v/>
      </c>
      <c r="AE237" s="148">
        <f>'US DC S4'!BI173</f>
        <v/>
      </c>
      <c r="AF237" s="148" t="inlineStr">
        <is>
          <t>California King</t>
        </is>
      </c>
      <c r="AG237" s="148" t="inlineStr">
        <is>
          <t>Dark Green</t>
        </is>
      </c>
      <c r="AH237" s="148">
        <f>AND(E237="CA",OR('CA Dashboard'!$C$4="All",'CA Dashboard'!$C$4=D237),OR('CA Dashboard'!$C$5="All",'CA Dashboard'!$C$5=G237),OR('CA Dashboard'!$C$6="All",'CA Dashboard'!$C$6=H237),OR('CA Dashboard'!$C$7="All",'CA Dashboard'!$C$7=F237),OR('CA Dashboard'!$C$8="All",'CA Dashboard'!$C$8=AJ237))</f>
        <v/>
      </c>
      <c r="AI237" s="148">
        <f>IF(AH237,AI236+1,AI236)</f>
        <v/>
      </c>
      <c r="AJ237" s="148" t="inlineStr">
        <is>
          <t>Direct</t>
        </is>
      </c>
      <c r="AK237" s="148" t="inlineStr">
        <is>
          <t>Same product (sheet set) in the same material family: Satin (polyester) (product page material: Satin); ours: our listing: polyester satin.</t>
        </is>
      </c>
    </row>
    <row r="238">
      <c r="A238" s="148">
        <f>AND(E238="US",OR('US Dashboard'!$C$4="All",'US Dashboard'!$C$4=D238),OR('US Dashboard'!$C$5="All",'US Dashboard'!$C$5=G238),OR('US Dashboard'!$C$6="All",'US Dashboard'!$C$6=H238),OR('US Dashboard'!$C$7="All",'US Dashboard'!$C$7=F238),OR('US Dashboard'!$C$8="All",'US Dashboard'!$C$8=AJ238))</f>
        <v/>
      </c>
      <c r="B238" s="148">
        <f>IF(A238,B237+1,B237)</f>
        <v/>
      </c>
      <c r="C238" s="148" t="n">
        <v>37</v>
      </c>
      <c r="D238" s="148" t="inlineStr">
        <is>
          <t>DC S4</t>
        </is>
      </c>
      <c r="E238" s="148" t="inlineStr">
        <is>
          <t>US</t>
        </is>
      </c>
      <c r="F238" s="148" t="inlineStr">
        <is>
          <t>Satin</t>
        </is>
      </c>
      <c r="G238" s="148" t="inlineStr">
        <is>
          <t>P Pothuiny</t>
        </is>
      </c>
      <c r="H238" s="148" t="inlineStr">
        <is>
          <t>Poor</t>
        </is>
      </c>
      <c r="I238" s="148" t="inlineStr">
        <is>
          <t>P Pothuiny 6-Piece Queen Satin Sheet Set Burgundy Silky Sheets</t>
        </is>
      </c>
      <c r="J238" s="148" t="inlineStr">
        <is>
          <t>https://images-na.ssl-images-amazon.com/images/I/71TbH0l5XfL.jpg</t>
        </is>
      </c>
      <c r="K238" s="148" t="inlineStr">
        <is>
          <t>B096P2MYZQ</t>
        </is>
      </c>
      <c r="L238" s="148" t="inlineStr">
        <is>
          <t>B08QMF6D5W</t>
        </is>
      </c>
      <c r="M238" s="148" t="n">
        <v>47</v>
      </c>
      <c r="N238" s="148" t="n">
        <v>26.99</v>
      </c>
      <c r="O238" s="148" t="n"/>
      <c r="P238" s="148">
        <f>IF(AND(ISNUMBER(O238),ISNUMBER(N238),N(N238)&gt;0),O238/N238-1,"")</f>
        <v/>
      </c>
      <c r="Q238" s="148" t="n">
        <v>31.95</v>
      </c>
      <c r="R238" s="148">
        <f>IF(AND(ISNUMBER(N238),ISNUMBER(Q238),N(Q238)&gt;0),N238/Q238-1,"")</f>
        <v/>
      </c>
      <c r="S238" s="148" t="n">
        <v>20031</v>
      </c>
      <c r="T238" s="148" t="n">
        <v>104</v>
      </c>
      <c r="U238" s="148" t="n">
        <v>4.4</v>
      </c>
      <c r="V238" s="148" t="n">
        <v>4031</v>
      </c>
      <c r="W238" s="148" t="n">
        <v>66544</v>
      </c>
      <c r="X238" s="148" t="n">
        <v>0.9166959214955518</v>
      </c>
      <c r="Y238" s="148" t="n">
        <v>235</v>
      </c>
      <c r="Z238" s="148" t="n">
        <v>185</v>
      </c>
      <c r="AA238" s="148" t="n">
        <v>25</v>
      </c>
      <c r="AB238" s="148" t="n">
        <v>1.171497584541063</v>
      </c>
      <c r="AC238" s="148" t="inlineStr">
        <is>
          <t>US DC S4</t>
        </is>
      </c>
      <c r="AD238" s="148">
        <f>'US DC S4'!BF174</f>
        <v/>
      </c>
      <c r="AE238" s="148">
        <f>'US DC S4'!BI174</f>
        <v/>
      </c>
      <c r="AF238" s="148" t="inlineStr">
        <is>
          <t>Queen</t>
        </is>
      </c>
      <c r="AG238" s="148" t="inlineStr">
        <is>
          <t>Burgundy</t>
        </is>
      </c>
      <c r="AH238" s="148">
        <f>AND(E238="CA",OR('CA Dashboard'!$C$4="All",'CA Dashboard'!$C$4=D238),OR('CA Dashboard'!$C$5="All",'CA Dashboard'!$C$5=G238),OR('CA Dashboard'!$C$6="All",'CA Dashboard'!$C$6=H238),OR('CA Dashboard'!$C$7="All",'CA Dashboard'!$C$7=F238),OR('CA Dashboard'!$C$8="All",'CA Dashboard'!$C$8=AJ238))</f>
        <v/>
      </c>
      <c r="AI238" s="148">
        <f>IF(AH238,AI237+1,AI237)</f>
        <v/>
      </c>
      <c r="AJ238" s="148" t="inlineStr">
        <is>
          <t>Direct</t>
        </is>
      </c>
      <c r="AK238" s="148" t="inlineStr">
        <is>
          <t>Same product (sheet set) in the same material family: Satin (polyester) (title: P Pothuiny 6-Piece Queen Satin Sheet Set Burgundy Silky Shee); ours: our listing: polyester satin.</t>
        </is>
      </c>
    </row>
    <row r="239">
      <c r="A239" s="148">
        <f>AND(E239="US",OR('US Dashboard'!$C$4="All",'US Dashboard'!$C$4=D239),OR('US Dashboard'!$C$5="All",'US Dashboard'!$C$5=G239),OR('US Dashboard'!$C$6="All",'US Dashboard'!$C$6=H239),OR('US Dashboard'!$C$7="All",'US Dashboard'!$C$7=F239),OR('US Dashboard'!$C$8="All",'US Dashboard'!$C$8=AJ239))</f>
        <v/>
      </c>
      <c r="B239" s="148">
        <f>IF(A239,B238+1,B238)</f>
        <v/>
      </c>
      <c r="C239" s="148" t="n">
        <v>37</v>
      </c>
      <c r="D239" s="148" t="inlineStr">
        <is>
          <t>DC S4</t>
        </is>
      </c>
      <c r="E239" s="148" t="inlineStr">
        <is>
          <t>US</t>
        </is>
      </c>
      <c r="F239" s="148" t="inlineStr">
        <is>
          <t>Satin</t>
        </is>
      </c>
      <c r="G239" s="148" t="inlineStr">
        <is>
          <t>HommxJF</t>
        </is>
      </c>
      <c r="H239" s="148" t="inlineStr">
        <is>
          <t>Poor</t>
        </is>
      </c>
      <c r="I239" s="148" t="inlineStr">
        <is>
          <t>Satin Sheets</t>
        </is>
      </c>
      <c r="J239" s="148" t="inlineStr">
        <is>
          <t>https://m.media-amazon.com/images/I/91BOC0gJVXL._AC_SL1500_.jpg</t>
        </is>
      </c>
      <c r="K239" s="148" t="inlineStr">
        <is>
          <t>B0BJZT93SL</t>
        </is>
      </c>
      <c r="L239" s="148" t="inlineStr">
        <is>
          <t>B09V52BVJB</t>
        </is>
      </c>
      <c r="M239" s="148" t="n">
        <v>32</v>
      </c>
      <c r="N239" s="148" t="n">
        <v>24.99</v>
      </c>
      <c r="O239" s="148" t="n"/>
      <c r="P239" s="148">
        <f>IF(AND(ISNUMBER(O239),ISNUMBER(N239),N(N239)&gt;0),O239/N239-1,"")</f>
        <v/>
      </c>
      <c r="Q239" s="148" t="n">
        <v>29.95</v>
      </c>
      <c r="R239" s="148">
        <f>IF(AND(ISNUMBER(N239),ISNUMBER(Q239),N(Q239)&gt;0),N239/Q239-1,"")</f>
        <v/>
      </c>
      <c r="S239" s="148" t="n">
        <v>180867</v>
      </c>
      <c r="T239" s="148" t="n">
        <v>18</v>
      </c>
      <c r="U239" s="148" t="n">
        <v>4.3</v>
      </c>
      <c r="V239" s="148" t="n">
        <v>1032</v>
      </c>
      <c r="W239" s="148" t="n">
        <v>16567</v>
      </c>
      <c r="X239" s="148" t="n">
        <v>0.8554338745699279</v>
      </c>
      <c r="Y239" s="148" t="n">
        <v>189</v>
      </c>
      <c r="Z239" s="148" t="n">
        <v>41</v>
      </c>
      <c r="AA239" s="148" t="n">
        <v>46</v>
      </c>
      <c r="AB239" s="148" t="n">
        <v>1.017857142857143</v>
      </c>
      <c r="AC239" s="148" t="inlineStr">
        <is>
          <t>US DC S4</t>
        </is>
      </c>
      <c r="AD239" s="148">
        <f>'US DC S4'!BF175</f>
        <v/>
      </c>
      <c r="AE239" s="148">
        <f>'US DC S4'!BI175</f>
        <v/>
      </c>
      <c r="AF239" s="148" t="inlineStr">
        <is>
          <t>Full</t>
        </is>
      </c>
      <c r="AG239" s="148" t="inlineStr">
        <is>
          <t>Blush Pink</t>
        </is>
      </c>
      <c r="AH239" s="148">
        <f>AND(E239="CA",OR('CA Dashboard'!$C$4="All",'CA Dashboard'!$C$4=D239),OR('CA Dashboard'!$C$5="All",'CA Dashboard'!$C$5=G239),OR('CA Dashboard'!$C$6="All",'CA Dashboard'!$C$6=H239),OR('CA Dashboard'!$C$7="All",'CA Dashboard'!$C$7=F239),OR('CA Dashboard'!$C$8="All",'CA Dashboard'!$C$8=AJ239))</f>
        <v/>
      </c>
      <c r="AI239" s="148">
        <f>IF(AH239,AI238+1,AI238)</f>
        <v/>
      </c>
      <c r="AJ239" s="148" t="inlineStr">
        <is>
          <t>Direct</t>
        </is>
      </c>
      <c r="AK239" s="148" t="inlineStr">
        <is>
          <t>Same product (sheet set) in the same material family: Satin (polyester) (product page material: Satin); ours: our listing: polyester satin.</t>
        </is>
      </c>
    </row>
    <row r="240">
      <c r="A240" s="148">
        <f>AND(E240="US",OR('US Dashboard'!$C$4="All",'US Dashboard'!$C$4=D240),OR('US Dashboard'!$C$5="All",'US Dashboard'!$C$5=G240),OR('US Dashboard'!$C$6="All",'US Dashboard'!$C$6=H240),OR('US Dashboard'!$C$7="All",'US Dashboard'!$C$7=F240),OR('US Dashboard'!$C$8="All",'US Dashboard'!$C$8=AJ240))</f>
        <v/>
      </c>
      <c r="B240" s="148">
        <f>IF(A240,B239+1,B239)</f>
        <v/>
      </c>
      <c r="C240" s="148" t="n">
        <v>37</v>
      </c>
      <c r="D240" s="148" t="inlineStr">
        <is>
          <t>DC S4</t>
        </is>
      </c>
      <c r="E240" s="148" t="inlineStr">
        <is>
          <t>US</t>
        </is>
      </c>
      <c r="F240" s="148" t="inlineStr">
        <is>
          <t>Satin</t>
        </is>
      </c>
      <c r="G240" s="148" t="inlineStr">
        <is>
          <t>MK Home</t>
        </is>
      </c>
      <c r="H240" s="148" t="inlineStr">
        <is>
          <t>Poor</t>
        </is>
      </c>
      <c r="I240" s="148" t="inlineStr">
        <is>
          <t>Satin Sheets</t>
        </is>
      </c>
      <c r="J240" s="148" t="inlineStr">
        <is>
          <t>https://m.media-amazon.com/images/I/71ImrNlbFKL._AC_SL1500_.jpg</t>
        </is>
      </c>
      <c r="K240" s="148" t="inlineStr">
        <is>
          <t>B07H522QXD</t>
        </is>
      </c>
      <c r="L240" s="148" t="inlineStr">
        <is>
          <t>B07FGFRZ94</t>
        </is>
      </c>
      <c r="M240" s="148" t="n"/>
      <c r="N240" s="148" t="n">
        <v>18.99</v>
      </c>
      <c r="O240" s="148" t="n"/>
      <c r="P240" s="148">
        <f>IF(AND(ISNUMBER(O240),ISNUMBER(N240),N(N240)&gt;0),O240/N240-1,"")</f>
        <v/>
      </c>
      <c r="Q240" s="148" t="n">
        <v>31.95</v>
      </c>
      <c r="R240" s="148">
        <f>IF(AND(ISNUMBER(N240),ISNUMBER(Q240),N(Q240)&gt;0),N240/Q240-1,"")</f>
        <v/>
      </c>
      <c r="S240" s="148" t="n">
        <v>59039</v>
      </c>
      <c r="T240" s="148" t="n">
        <v>18</v>
      </c>
      <c r="U240" s="148" t="n">
        <v>4.3</v>
      </c>
      <c r="V240" s="148" t="n">
        <v>10761</v>
      </c>
      <c r="W240" s="148" t="n"/>
      <c r="X240" s="148" t="n"/>
      <c r="Y240" s="148" t="n"/>
      <c r="Z240" s="148" t="n"/>
      <c r="AA240" s="148" t="n"/>
      <c r="AB240" s="148" t="n"/>
      <c r="AC240" s="148" t="inlineStr">
        <is>
          <t>US DC S4</t>
        </is>
      </c>
      <c r="AD240" s="148">
        <f>'US DC S4'!BF176</f>
        <v/>
      </c>
      <c r="AE240" s="148">
        <f>'US DC S4'!BI176</f>
        <v/>
      </c>
      <c r="AF240" s="148" t="inlineStr">
        <is>
          <t>Queen</t>
        </is>
      </c>
      <c r="AG240" s="148" t="inlineStr">
        <is>
          <t>Red</t>
        </is>
      </c>
      <c r="AH240" s="148">
        <f>AND(E240="CA",OR('CA Dashboard'!$C$4="All",'CA Dashboard'!$C$4=D240),OR('CA Dashboard'!$C$5="All",'CA Dashboard'!$C$5=G240),OR('CA Dashboard'!$C$6="All",'CA Dashboard'!$C$6=H240),OR('CA Dashboard'!$C$7="All",'CA Dashboard'!$C$7=F240),OR('CA Dashboard'!$C$8="All",'CA Dashboard'!$C$8=AJ240))</f>
        <v/>
      </c>
      <c r="AI240" s="148">
        <f>IF(AH240,AI239+1,AI239)</f>
        <v/>
      </c>
      <c r="AJ240" s="148" t="inlineStr">
        <is>
          <t>Direct</t>
        </is>
      </c>
      <c r="AK240" s="148" t="inlineStr">
        <is>
          <t>Same product (sheet set) in the same material family: Satin (polyester) (product page material: Soft Silky Satin); ours: our listing: polyester satin.</t>
        </is>
      </c>
    </row>
    <row r="241">
      <c r="A241" s="148">
        <f>AND(E241="US",OR('US Dashboard'!$C$4="All",'US Dashboard'!$C$4=D241),OR('US Dashboard'!$C$5="All",'US Dashboard'!$C$5=G241),OR('US Dashboard'!$C$6="All",'US Dashboard'!$C$6=H241),OR('US Dashboard'!$C$7="All",'US Dashboard'!$C$7=F241),OR('US Dashboard'!$C$8="All",'US Dashboard'!$C$8=AJ241))</f>
        <v/>
      </c>
      <c r="B241" s="148">
        <f>IF(A241,B240+1,B240)</f>
        <v/>
      </c>
      <c r="C241" s="148" t="n">
        <v>37</v>
      </c>
      <c r="D241" s="148" t="inlineStr">
        <is>
          <t>DC S4</t>
        </is>
      </c>
      <c r="E241" s="148" t="inlineStr">
        <is>
          <t>US</t>
        </is>
      </c>
      <c r="F241" s="148" t="inlineStr">
        <is>
          <t>Satin</t>
        </is>
      </c>
      <c r="G241" s="148" t="inlineStr">
        <is>
          <t>Candoury</t>
        </is>
      </c>
      <c r="H241" s="148" t="inlineStr">
        <is>
          <t>Untiered</t>
        </is>
      </c>
      <c r="I241" s="148" t="inlineStr">
        <is>
          <t>Satin Sheets</t>
        </is>
      </c>
      <c r="J241" s="148" t="inlineStr">
        <is>
          <t>https://m.media-amazon.com/images/I/71PuS2XyTRL._AC_SL1500_.jpg</t>
        </is>
      </c>
      <c r="K241" s="148" t="inlineStr">
        <is>
          <t>B08RHZ9TMQ</t>
        </is>
      </c>
      <c r="L241" s="148" t="inlineStr">
        <is>
          <t>B08JKWGXZ9</t>
        </is>
      </c>
      <c r="M241" s="148" t="n"/>
      <c r="N241" s="148" t="n">
        <v>15.99</v>
      </c>
      <c r="O241" s="148" t="n"/>
      <c r="P241" s="148">
        <f>IF(AND(ISNUMBER(O241),ISNUMBER(N241),N(N241)&gt;0),O241/N241-1,"")</f>
        <v/>
      </c>
      <c r="Q241" s="148" t="n">
        <v>31.95</v>
      </c>
      <c r="R241" s="148">
        <f>IF(AND(ISNUMBER(N241),ISNUMBER(Q241),N(Q241)&gt;0),N241/Q241-1,"")</f>
        <v/>
      </c>
      <c r="S241" s="148" t="n">
        <v>420044</v>
      </c>
      <c r="T241" s="148" t="n">
        <v>5</v>
      </c>
      <c r="U241" s="148" t="n">
        <v>4.3</v>
      </c>
      <c r="V241" s="148" t="n">
        <v>5277</v>
      </c>
      <c r="W241" s="148" t="n"/>
      <c r="X241" s="148" t="n"/>
      <c r="Y241" s="148" t="n"/>
      <c r="Z241" s="148" t="n"/>
      <c r="AA241" s="148" t="n"/>
      <c r="AB241" s="148" t="n"/>
      <c r="AC241" s="148" t="inlineStr">
        <is>
          <t>US DC S4</t>
        </is>
      </c>
      <c r="AD241" s="148">
        <f>'US DC S4'!BF177</f>
        <v/>
      </c>
      <c r="AE241" s="148">
        <f>'US DC S4'!BI177</f>
        <v/>
      </c>
      <c r="AF241" s="148" t="inlineStr">
        <is>
          <t>Queen</t>
        </is>
      </c>
      <c r="AG241" s="148" t="inlineStr">
        <is>
          <t>Black</t>
        </is>
      </c>
      <c r="AH241" s="148">
        <f>AND(E241="CA",OR('CA Dashboard'!$C$4="All",'CA Dashboard'!$C$4=D241),OR('CA Dashboard'!$C$5="All",'CA Dashboard'!$C$5=G241),OR('CA Dashboard'!$C$6="All",'CA Dashboard'!$C$6=H241),OR('CA Dashboard'!$C$7="All",'CA Dashboard'!$C$7=F241),OR('CA Dashboard'!$C$8="All",'CA Dashboard'!$C$8=AJ241))</f>
        <v/>
      </c>
      <c r="AI241" s="148">
        <f>IF(AH241,AI240+1,AI240)</f>
        <v/>
      </c>
      <c r="AJ241" s="148" t="inlineStr">
        <is>
          <t>Direct</t>
        </is>
      </c>
      <c r="AK241" s="148" t="inlineStr">
        <is>
          <t>Same product (sheet set) in the same material family: Satin (polyester) (product page material: Satin polyester); ours: our listing: polyester satin.</t>
        </is>
      </c>
    </row>
    <row r="242">
      <c r="A242" s="148">
        <f>AND(E242="US",OR('US Dashboard'!$C$4="All",'US Dashboard'!$C$4=D242),OR('US Dashboard'!$C$5="All",'US Dashboard'!$C$5=G242),OR('US Dashboard'!$C$6="All",'US Dashboard'!$C$6=H242),OR('US Dashboard'!$C$7="All",'US Dashboard'!$C$7=F242),OR('US Dashboard'!$C$8="All",'US Dashboard'!$C$8=AJ242))</f>
        <v/>
      </c>
      <c r="B242" s="148">
        <f>IF(A242,B241+1,B241)</f>
        <v/>
      </c>
      <c r="C242" s="148" t="n">
        <v>37</v>
      </c>
      <c r="D242" s="148" t="inlineStr">
        <is>
          <t>DC S4</t>
        </is>
      </c>
      <c r="E242" s="148" t="inlineStr">
        <is>
          <t>CA</t>
        </is>
      </c>
      <c r="F242" s="148" t="inlineStr">
        <is>
          <t>Satin</t>
        </is>
      </c>
      <c r="G242" s="148" t="inlineStr">
        <is>
          <t>MR&amp;HM</t>
        </is>
      </c>
      <c r="H242" s="148" t="inlineStr">
        <is>
          <t>Untiered</t>
        </is>
      </c>
      <c r="I242" s="148" t="inlineStr">
        <is>
          <t>MR&amp;HM Satin Sheets Queen Size with Elastic Corner Straps, Black</t>
        </is>
      </c>
      <c r="J242" s="148" t="inlineStr">
        <is>
          <t>https://m.media-amazon.com/images/I/71zGuoeuSrL.jpg</t>
        </is>
      </c>
      <c r="K242" s="148" t="inlineStr">
        <is>
          <t>B08NPFTQWB</t>
        </is>
      </c>
      <c r="L242" s="148" t="inlineStr">
        <is>
          <t>B08HM6WT6X</t>
        </is>
      </c>
      <c r="M242" s="148" t="n">
        <v>182</v>
      </c>
      <c r="N242" s="148" t="n">
        <v>40.99</v>
      </c>
      <c r="O242" s="148" t="n"/>
      <c r="P242" s="148">
        <f>IF(AND(ISNUMBER(O242),ISNUMBER(N242),N(N242)&gt;0),O242/N242-1,"")</f>
        <v/>
      </c>
      <c r="Q242" s="148" t="n">
        <v>47.99</v>
      </c>
      <c r="R242" s="148">
        <f>IF(AND(ISNUMBER(N242),ISNUMBER(Q242),N(Q242)&gt;0),N242/Q242-1,"")</f>
        <v/>
      </c>
      <c r="S242" s="148" t="n">
        <v>1512</v>
      </c>
      <c r="T242" s="148" t="n"/>
      <c r="U242" s="148" t="n">
        <v>4.2</v>
      </c>
      <c r="V242" s="148" t="n">
        <v>17432</v>
      </c>
      <c r="W242" s="148" t="n"/>
      <c r="X242" s="148" t="n"/>
      <c r="Y242" s="148" t="n"/>
      <c r="Z242" s="148" t="n"/>
      <c r="AA242" s="148" t="n"/>
      <c r="AB242" s="148" t="n"/>
      <c r="AC242" s="148" t="inlineStr">
        <is>
          <t>CA DC S4</t>
        </is>
      </c>
      <c r="AD242" s="148">
        <f>'CA DC S4'!BF169</f>
        <v/>
      </c>
      <c r="AE242" s="148">
        <f>'CA DC S4'!BI169</f>
        <v/>
      </c>
      <c r="AF242" s="148" t="inlineStr">
        <is>
          <t>Queen</t>
        </is>
      </c>
      <c r="AG242" s="148" t="inlineStr">
        <is>
          <t>01- Black</t>
        </is>
      </c>
      <c r="AH242" s="148">
        <f>AND(E242="CA",OR('CA Dashboard'!$C$4="All",'CA Dashboard'!$C$4=D242),OR('CA Dashboard'!$C$5="All",'CA Dashboard'!$C$5=G242),OR('CA Dashboard'!$C$6="All",'CA Dashboard'!$C$6=H242),OR('CA Dashboard'!$C$7="All",'CA Dashboard'!$C$7=F242),OR('CA Dashboard'!$C$8="All",'CA Dashboard'!$C$8=AJ242))</f>
        <v/>
      </c>
      <c r="AI242" s="148">
        <f>IF(AH242,AI241+1,AI241)</f>
        <v/>
      </c>
      <c r="AJ242" s="148" t="inlineStr">
        <is>
          <t>Direct</t>
        </is>
      </c>
      <c r="AK242" s="148" t="inlineStr">
        <is>
          <t>Same product (sheet set) in the same material family: Satin (polyester) (title: MR&amp;HM Satin Sheets Queen Size with Elastic Corner Straps, Bl); ours: our listing: polyester satin.</t>
        </is>
      </c>
    </row>
    <row r="243">
      <c r="A243" s="148">
        <f>AND(E243="US",OR('US Dashboard'!$C$4="All",'US Dashboard'!$C$4=D243),OR('US Dashboard'!$C$5="All",'US Dashboard'!$C$5=G243),OR('US Dashboard'!$C$6="All",'US Dashboard'!$C$6=H243),OR('US Dashboard'!$C$7="All",'US Dashboard'!$C$7=F243),OR('US Dashboard'!$C$8="All",'US Dashboard'!$C$8=AJ243))</f>
        <v/>
      </c>
      <c r="B243" s="148">
        <f>IF(A243,B242+1,B242)</f>
        <v/>
      </c>
      <c r="C243" s="148" t="n">
        <v>37</v>
      </c>
      <c r="D243" s="148" t="inlineStr">
        <is>
          <t>DC S4</t>
        </is>
      </c>
      <c r="E243" s="148" t="inlineStr">
        <is>
          <t>CA</t>
        </is>
      </c>
      <c r="F243" s="148" t="inlineStr">
        <is>
          <t>Satin</t>
        </is>
      </c>
      <c r="G243" s="148" t="inlineStr">
        <is>
          <t>BEDELITE</t>
        </is>
      </c>
      <c r="H243" s="148" t="inlineStr">
        <is>
          <t>Untiered</t>
        </is>
      </c>
      <c r="I243" s="148" t="inlineStr">
        <is>
          <t>BEDELITE Satin Sheets Queen Size Bed Set, Black, 4 Pieces</t>
        </is>
      </c>
      <c r="J243" s="148" t="inlineStr">
        <is>
          <t>https://m.media-amazon.com/images/I/71zxqUjprTL.jpg</t>
        </is>
      </c>
      <c r="K243" s="148" t="inlineStr">
        <is>
          <t>B0GJC51929</t>
        </is>
      </c>
      <c r="L243" s="148" t="inlineStr">
        <is>
          <t>B0GJCBX6CJ</t>
        </is>
      </c>
      <c r="M243" s="148" t="n">
        <v>16</v>
      </c>
      <c r="N243" s="148" t="n">
        <v>31.99</v>
      </c>
      <c r="O243" s="148" t="n"/>
      <c r="P243" s="148">
        <f>IF(AND(ISNUMBER(O243),ISNUMBER(N243),N(N243)&gt;0),O243/N243-1,"")</f>
        <v/>
      </c>
      <c r="Q243" s="148" t="n">
        <v>47.99</v>
      </c>
      <c r="R243" s="148">
        <f>IF(AND(ISNUMBER(N243),ISNUMBER(Q243),N(Q243)&gt;0),N243/Q243-1,"")</f>
        <v/>
      </c>
      <c r="S243" s="148" t="n">
        <v>8328</v>
      </c>
      <c r="T243" s="148" t="n"/>
      <c r="U243" s="148" t="n">
        <v>4.1</v>
      </c>
      <c r="V243" s="148" t="n">
        <v>346</v>
      </c>
      <c r="W243" s="148" t="n"/>
      <c r="X243" s="148" t="n"/>
      <c r="Y243" s="148" t="n"/>
      <c r="Z243" s="148" t="n"/>
      <c r="AA243" s="148" t="n"/>
      <c r="AB243" s="148" t="n"/>
      <c r="AC243" s="148" t="inlineStr">
        <is>
          <t>CA DC S4</t>
        </is>
      </c>
      <c r="AD243" s="148">
        <f>'CA DC S4'!BF170</f>
        <v/>
      </c>
      <c r="AE243" s="148">
        <f>'CA DC S4'!BI170</f>
        <v/>
      </c>
      <c r="AF243" s="148" t="inlineStr">
        <is>
          <t>Queen</t>
        </is>
      </c>
      <c r="AG243" s="148" t="inlineStr">
        <is>
          <t>Black</t>
        </is>
      </c>
      <c r="AH243" s="148">
        <f>AND(E243="CA",OR('CA Dashboard'!$C$4="All",'CA Dashboard'!$C$4=D243),OR('CA Dashboard'!$C$5="All",'CA Dashboard'!$C$5=G243),OR('CA Dashboard'!$C$6="All",'CA Dashboard'!$C$6=H243),OR('CA Dashboard'!$C$7="All",'CA Dashboard'!$C$7=F243),OR('CA Dashboard'!$C$8="All",'CA Dashboard'!$C$8=AJ243))</f>
        <v/>
      </c>
      <c r="AI243" s="148">
        <f>IF(AH243,AI242+1,AI242)</f>
        <v/>
      </c>
      <c r="AJ243" s="148" t="inlineStr">
        <is>
          <t>Direct</t>
        </is>
      </c>
      <c r="AK243" s="148" t="inlineStr">
        <is>
          <t>Same product (sheet set) in the same material family: Satin (polyester) (title: BEDELITE Satin Sheets Queen Size Bed Set, Black, 4 Pieces); ours: our listing: polyester satin.</t>
        </is>
      </c>
    </row>
    <row r="244">
      <c r="A244" s="148">
        <f>AND(E244="US",OR('US Dashboard'!$C$4="All",'US Dashboard'!$C$4=D244),OR('US Dashboard'!$C$5="All",'US Dashboard'!$C$5=G244),OR('US Dashboard'!$C$6="All",'US Dashboard'!$C$6=H244),OR('US Dashboard'!$C$7="All",'US Dashboard'!$C$7=F244),OR('US Dashboard'!$C$8="All",'US Dashboard'!$C$8=AJ244))</f>
        <v/>
      </c>
      <c r="B244" s="148">
        <f>IF(A244,B243+1,B243)</f>
        <v/>
      </c>
      <c r="C244" s="148" t="n">
        <v>37</v>
      </c>
      <c r="D244" s="148" t="inlineStr">
        <is>
          <t>DC S4</t>
        </is>
      </c>
      <c r="E244" s="148" t="inlineStr">
        <is>
          <t>CA</t>
        </is>
      </c>
      <c r="F244" s="148" t="inlineStr">
        <is>
          <t>Satin</t>
        </is>
      </c>
      <c r="G244" s="148" t="inlineStr">
        <is>
          <t>HENGWEITEXT</t>
        </is>
      </c>
      <c r="H244" s="148" t="inlineStr">
        <is>
          <t>Untiered</t>
        </is>
      </c>
      <c r="I244" s="148" t="inlineStr">
        <is>
          <t>HENGWEI Satin Sheet Set Queen Size, 4 Pieces Silky Bed Sheets with Deep Pocket, Luxury Soft Bedding Set Breathable and Cooling for Hair and Skin, 1 Flat Sheet, 1 Fitted Sheet, 2 Pillow Case</t>
        </is>
      </c>
      <c r="J244" s="148" t="inlineStr">
        <is>
          <t>https://m.media-amazon.com/images/I/71C0hMb9zSL.jpg</t>
        </is>
      </c>
      <c r="K244" s="148" t="inlineStr">
        <is>
          <t>B0B1DDMNRF</t>
        </is>
      </c>
      <c r="L244" s="148" t="inlineStr">
        <is>
          <t>B0BYC3HK7X</t>
        </is>
      </c>
      <c r="M244" s="148" t="n">
        <v>23</v>
      </c>
      <c r="N244" s="148" t="n">
        <v>31.99</v>
      </c>
      <c r="O244" s="148" t="n"/>
      <c r="P244" s="148">
        <f>IF(AND(ISNUMBER(O244),ISNUMBER(N244),N(N244)&gt;0),O244/N244-1,"")</f>
        <v/>
      </c>
      <c r="Q244" s="148" t="n">
        <v>47.99</v>
      </c>
      <c r="R244" s="148">
        <f>IF(AND(ISNUMBER(N244),ISNUMBER(Q244),N(Q244)&gt;0),N244/Q244-1,"")</f>
        <v/>
      </c>
      <c r="S244" s="148" t="n">
        <v>31358</v>
      </c>
      <c r="T244" s="148" t="n"/>
      <c r="U244" s="148" t="n">
        <v>4.2</v>
      </c>
      <c r="V244" s="148" t="n">
        <v>2515</v>
      </c>
      <c r="W244" s="148" t="n"/>
      <c r="X244" s="148" t="n"/>
      <c r="Y244" s="148" t="n"/>
      <c r="Z244" s="148" t="n"/>
      <c r="AA244" s="148" t="n"/>
      <c r="AB244" s="148" t="n"/>
      <c r="AC244" s="148" t="inlineStr">
        <is>
          <t>CA DC S4</t>
        </is>
      </c>
      <c r="AD244" s="148">
        <f>'CA DC S4'!BF171</f>
        <v/>
      </c>
      <c r="AE244" s="148">
        <f>'CA DC S4'!BI171</f>
        <v/>
      </c>
      <c r="AF244" s="148" t="inlineStr">
        <is>
          <t>Queen</t>
        </is>
      </c>
      <c r="AG244" s="148" t="inlineStr">
        <is>
          <t>Sd-brown</t>
        </is>
      </c>
      <c r="AH244" s="148">
        <f>AND(E244="CA",OR('CA Dashboard'!$C$4="All",'CA Dashboard'!$C$4=D244),OR('CA Dashboard'!$C$5="All",'CA Dashboard'!$C$5=G244),OR('CA Dashboard'!$C$6="All",'CA Dashboard'!$C$6=H244),OR('CA Dashboard'!$C$7="All",'CA Dashboard'!$C$7=F244),OR('CA Dashboard'!$C$8="All",'CA Dashboard'!$C$8=AJ244))</f>
        <v/>
      </c>
      <c r="AI244" s="148">
        <f>IF(AH244,AI243+1,AI243)</f>
        <v/>
      </c>
      <c r="AJ244" s="148" t="inlineStr">
        <is>
          <t>Direct</t>
        </is>
      </c>
      <c r="AK244" s="148" t="inlineStr">
        <is>
          <t>Same product (sheet set) in the same material family: Satin (polyester) (title: HENGWEI Satin Sheet Set Queen Size, 4 Pieces Silky Bed Sheet); ours: our listing: polyester satin.</t>
        </is>
      </c>
    </row>
    <row r="245">
      <c r="A245" s="148">
        <f>AND(E245="US",OR('US Dashboard'!$C$4="All",'US Dashboard'!$C$4=D245),OR('US Dashboard'!$C$5="All",'US Dashboard'!$C$5=G245),OR('US Dashboard'!$C$6="All",'US Dashboard'!$C$6=H245),OR('US Dashboard'!$C$7="All",'US Dashboard'!$C$7=F245),OR('US Dashboard'!$C$8="All",'US Dashboard'!$C$8=AJ245))</f>
        <v/>
      </c>
      <c r="B245" s="148">
        <f>IF(A245,B244+1,B244)</f>
        <v/>
      </c>
      <c r="C245" s="148" t="n">
        <v>37</v>
      </c>
      <c r="D245" s="148" t="inlineStr">
        <is>
          <t>DC S4</t>
        </is>
      </c>
      <c r="E245" s="148" t="inlineStr">
        <is>
          <t>CA</t>
        </is>
      </c>
      <c r="F245" s="148" t="inlineStr">
        <is>
          <t>Satin</t>
        </is>
      </c>
      <c r="G245" s="148" t="inlineStr">
        <is>
          <t>GOLAL</t>
        </is>
      </c>
      <c r="H245" s="148" t="inlineStr">
        <is>
          <t>Untiered</t>
        </is>
      </c>
      <c r="I245" s="148" t="inlineStr">
        <is>
          <t>Black Satin Sheets Queen Size - 4 Pieces Luxury Silky Soft Bed Sheets</t>
        </is>
      </c>
      <c r="J245" s="148" t="inlineStr">
        <is>
          <t>https://m.media-amazon.com/images/I/71r48b+Sh9L.jpg</t>
        </is>
      </c>
      <c r="K245" s="148" t="inlineStr">
        <is>
          <t>B09JB7K1PP</t>
        </is>
      </c>
      <c r="L245" s="148" t="inlineStr">
        <is>
          <t>B09G17XZC5</t>
        </is>
      </c>
      <c r="M245" s="148" t="n">
        <v>91</v>
      </c>
      <c r="N245" s="148" t="n">
        <v>47.99</v>
      </c>
      <c r="O245" s="148" t="n"/>
      <c r="P245" s="148">
        <f>IF(AND(ISNUMBER(O245),ISNUMBER(N245),N(N245)&gt;0),O245/N245-1,"")</f>
        <v/>
      </c>
      <c r="Q245" s="148" t="n">
        <v>47.99</v>
      </c>
      <c r="R245" s="148">
        <f>IF(AND(ISNUMBER(N245),ISNUMBER(Q245),N(Q245)&gt;0),N245/Q245-1,"")</f>
        <v/>
      </c>
      <c r="S245" s="148" t="n">
        <v>18076</v>
      </c>
      <c r="T245" s="148" t="n"/>
      <c r="U245" s="148" t="n">
        <v>4.2</v>
      </c>
      <c r="V245" s="148" t="n">
        <v>1280</v>
      </c>
      <c r="W245" s="148" t="n"/>
      <c r="X245" s="148" t="n"/>
      <c r="Y245" s="148" t="n"/>
      <c r="Z245" s="148" t="n"/>
      <c r="AA245" s="148" t="n"/>
      <c r="AB245" s="148" t="n"/>
      <c r="AC245" s="148" t="inlineStr">
        <is>
          <t>CA DC S4</t>
        </is>
      </c>
      <c r="AD245" s="148">
        <f>'CA DC S4'!BF172</f>
        <v/>
      </c>
      <c r="AE245" s="148">
        <f>'CA DC S4'!BI172</f>
        <v/>
      </c>
      <c r="AF245" s="148" t="inlineStr">
        <is>
          <t>Queen</t>
        </is>
      </c>
      <c r="AG245" s="148" t="inlineStr">
        <is>
          <t>Black</t>
        </is>
      </c>
      <c r="AH245" s="148">
        <f>AND(E245="CA",OR('CA Dashboard'!$C$4="All",'CA Dashboard'!$C$4=D245),OR('CA Dashboard'!$C$5="All",'CA Dashboard'!$C$5=G245),OR('CA Dashboard'!$C$6="All",'CA Dashboard'!$C$6=H245),OR('CA Dashboard'!$C$7="All",'CA Dashboard'!$C$7=F245),OR('CA Dashboard'!$C$8="All",'CA Dashboard'!$C$8=AJ245))</f>
        <v/>
      </c>
      <c r="AI245" s="148">
        <f>IF(AH245,AI244+1,AI244)</f>
        <v/>
      </c>
      <c r="AJ245" s="148" t="inlineStr">
        <is>
          <t>Direct</t>
        </is>
      </c>
      <c r="AK245" s="148" t="inlineStr">
        <is>
          <t>Same product (sheet set) in the same material family: Satin (polyester) (title: Black Satin Sheets Queen Size - 4 Pieces Luxury Silky Soft B); ours: our listing: polyester satin.</t>
        </is>
      </c>
    </row>
    <row r="246">
      <c r="A246" s="148">
        <f>AND(E246="US",OR('US Dashboard'!$C$4="All",'US Dashboard'!$C$4=D246),OR('US Dashboard'!$C$5="All",'US Dashboard'!$C$5=G246),OR('US Dashboard'!$C$6="All",'US Dashboard'!$C$6=H246),OR('US Dashboard'!$C$7="All",'US Dashboard'!$C$7=F246),OR('US Dashboard'!$C$8="All",'US Dashboard'!$C$8=AJ246))</f>
        <v/>
      </c>
      <c r="B246" s="148">
        <f>IF(A246,B245+1,B245)</f>
        <v/>
      </c>
      <c r="C246" s="148" t="n">
        <v>37</v>
      </c>
      <c r="D246" s="148" t="inlineStr">
        <is>
          <t>DC S4</t>
        </is>
      </c>
      <c r="E246" s="148" t="inlineStr">
        <is>
          <t>CA</t>
        </is>
      </c>
      <c r="F246" s="148" t="inlineStr">
        <is>
          <t>Satin</t>
        </is>
      </c>
      <c r="G246" s="148" t="inlineStr">
        <is>
          <t>BEDELITE</t>
        </is>
      </c>
      <c r="H246" s="148" t="inlineStr">
        <is>
          <t>Untiered</t>
        </is>
      </c>
      <c r="I246" s="148" t="inlineStr">
        <is>
          <t>BEDELITE Satin Sheets Queen Size Bed Set, Black, 4 Pieces</t>
        </is>
      </c>
      <c r="J246" s="148" t="inlineStr">
        <is>
          <t>https://m.media-amazon.com/images/I/71ujt2CgaQL.jpg</t>
        </is>
      </c>
      <c r="K246" s="148" t="inlineStr">
        <is>
          <t>B0HHQTDM9B</t>
        </is>
      </c>
      <c r="L246" s="148" t="inlineStr">
        <is>
          <t>B0CSFTRP2X</t>
        </is>
      </c>
      <c r="M246" s="148" t="n">
        <v>100</v>
      </c>
      <c r="N246" s="148" t="n">
        <v>44.96</v>
      </c>
      <c r="O246" s="148" t="n"/>
      <c r="P246" s="148">
        <f>IF(AND(ISNUMBER(O246),ISNUMBER(N246),N(N246)&gt;0),O246/N246-1,"")</f>
        <v/>
      </c>
      <c r="Q246" s="148" t="n">
        <v>47.99</v>
      </c>
      <c r="R246" s="148">
        <f>IF(AND(ISNUMBER(N246),ISNUMBER(Q246),N(Q246)&gt;0),N246/Q246-1,"")</f>
        <v/>
      </c>
      <c r="S246" s="148" t="n">
        <v>128960</v>
      </c>
      <c r="T246" s="148" t="n"/>
      <c r="U246" s="148" t="n">
        <v>4.4</v>
      </c>
      <c r="V246" s="148" t="n">
        <v>5584</v>
      </c>
      <c r="W246" s="148" t="n"/>
      <c r="X246" s="148" t="n"/>
      <c r="Y246" s="148" t="n"/>
      <c r="Z246" s="148" t="n"/>
      <c r="AA246" s="148" t="n"/>
      <c r="AB246" s="148" t="n"/>
      <c r="AC246" s="148" t="inlineStr">
        <is>
          <t>CA DC S4</t>
        </is>
      </c>
      <c r="AD246" s="148">
        <f>'CA DC S4'!BF173</f>
        <v/>
      </c>
      <c r="AE246" s="148">
        <f>'CA DC S4'!BI173</f>
        <v/>
      </c>
      <c r="AF246" s="148" t="inlineStr">
        <is>
          <t>Queen</t>
        </is>
      </c>
      <c r="AG246" s="148" t="inlineStr">
        <is>
          <t>Black</t>
        </is>
      </c>
      <c r="AH246" s="148">
        <f>AND(E246="CA",OR('CA Dashboard'!$C$4="All",'CA Dashboard'!$C$4=D246),OR('CA Dashboard'!$C$5="All",'CA Dashboard'!$C$5=G246),OR('CA Dashboard'!$C$6="All",'CA Dashboard'!$C$6=H246),OR('CA Dashboard'!$C$7="All",'CA Dashboard'!$C$7=F246),OR('CA Dashboard'!$C$8="All",'CA Dashboard'!$C$8=AJ246))</f>
        <v/>
      </c>
      <c r="AI246" s="148">
        <f>IF(AH246,AI245+1,AI245)</f>
        <v/>
      </c>
      <c r="AJ246" s="148" t="inlineStr">
        <is>
          <t>Direct</t>
        </is>
      </c>
      <c r="AK246" s="148" t="inlineStr">
        <is>
          <t>Same product (sheet set) in the same material family: Satin (polyester) (title: BEDELITE Satin Sheets Queen Size Bed Set, Black, 4 Pieces); ours: our listing: polyester satin.</t>
        </is>
      </c>
    </row>
    <row r="247">
      <c r="A247" s="148">
        <f>AND(E247="US",OR('US Dashboard'!$C$4="All",'US Dashboard'!$C$4=D247),OR('US Dashboard'!$C$5="All",'US Dashboard'!$C$5=G247),OR('US Dashboard'!$C$6="All",'US Dashboard'!$C$6=H247),OR('US Dashboard'!$C$7="All",'US Dashboard'!$C$7=F247),OR('US Dashboard'!$C$8="All",'US Dashboard'!$C$8=AJ247))</f>
        <v/>
      </c>
      <c r="B247" s="148">
        <f>IF(A247,B246+1,B246)</f>
        <v/>
      </c>
      <c r="C247" s="148" t="n">
        <v>37</v>
      </c>
      <c r="D247" s="148" t="inlineStr">
        <is>
          <t>DC S4</t>
        </is>
      </c>
      <c r="E247" s="148" t="inlineStr">
        <is>
          <t>CA</t>
        </is>
      </c>
      <c r="F247" s="148" t="inlineStr">
        <is>
          <t>Satin</t>
        </is>
      </c>
      <c r="G247" s="148" t="inlineStr">
        <is>
          <t>Pure Bedding</t>
        </is>
      </c>
      <c r="H247" s="148" t="inlineStr">
        <is>
          <t>Untiered</t>
        </is>
      </c>
      <c r="I247" s="148" t="inlineStr">
        <is>
          <t>Pure Bedding Satin Sheets Queen [4-Piece, Black] Hotel Luxury Silky Bed Sheets - Extra Soft 1800 Microfiber Sheet Set, Wrinkle, Fade, Deep Pocket Fitted Sheet, Flat Sheet, Pillow Cases</t>
        </is>
      </c>
      <c r="J247" s="148" t="inlineStr">
        <is>
          <t>https://m.media-amazon.com/images/I/81zLU1W0e8L.jpg</t>
        </is>
      </c>
      <c r="K247" s="148" t="inlineStr">
        <is>
          <t>B07N6326HL</t>
        </is>
      </c>
      <c r="L247" s="148" t="inlineStr">
        <is>
          <t>B083G81VSH</t>
        </is>
      </c>
      <c r="M247" s="148" t="n">
        <v>83</v>
      </c>
      <c r="N247" s="148" t="n">
        <v>49.91</v>
      </c>
      <c r="O247" s="148" t="n"/>
      <c r="P247" s="148">
        <f>IF(AND(ISNUMBER(O247),ISNUMBER(N247),N(N247)&gt;0),O247/N247-1,"")</f>
        <v/>
      </c>
      <c r="Q247" s="148" t="n">
        <v>47.99</v>
      </c>
      <c r="R247" s="148">
        <f>IF(AND(ISNUMBER(N247),ISNUMBER(Q247),N(Q247)&gt;0),N247/Q247-1,"")</f>
        <v/>
      </c>
      <c r="S247" s="148" t="n">
        <v>188067</v>
      </c>
      <c r="T247" s="148" t="n"/>
      <c r="U247" s="148" t="n">
        <v>4.2</v>
      </c>
      <c r="V247" s="148" t="n">
        <v>12410</v>
      </c>
      <c r="W247" s="148" t="n"/>
      <c r="X247" s="148" t="n"/>
      <c r="Y247" s="148" t="n"/>
      <c r="Z247" s="148" t="n"/>
      <c r="AA247" s="148" t="n"/>
      <c r="AB247" s="148" t="n"/>
      <c r="AC247" s="148" t="inlineStr">
        <is>
          <t>CA DC S4</t>
        </is>
      </c>
      <c r="AD247" s="148">
        <f>'CA DC S4'!BF174</f>
        <v/>
      </c>
      <c r="AE247" s="148">
        <f>'CA DC S4'!BI174</f>
        <v/>
      </c>
      <c r="AF247" s="148" t="inlineStr">
        <is>
          <t>Queen</t>
        </is>
      </c>
      <c r="AG247" s="148" t="inlineStr">
        <is>
          <t>Black</t>
        </is>
      </c>
      <c r="AH247" s="148">
        <f>AND(E247="CA",OR('CA Dashboard'!$C$4="All",'CA Dashboard'!$C$4=D247),OR('CA Dashboard'!$C$5="All",'CA Dashboard'!$C$5=G247),OR('CA Dashboard'!$C$6="All",'CA Dashboard'!$C$6=H247),OR('CA Dashboard'!$C$7="All",'CA Dashboard'!$C$7=F247),OR('CA Dashboard'!$C$8="All",'CA Dashboard'!$C$8=AJ247))</f>
        <v/>
      </c>
      <c r="AI247" s="148">
        <f>IF(AH247,AI246+1,AI246)</f>
        <v/>
      </c>
      <c r="AJ247" s="148" t="inlineStr">
        <is>
          <t>Direct</t>
        </is>
      </c>
      <c r="AK247" s="148" t="inlineStr">
        <is>
          <t>Same product (sheet set) in the same material family: Satin (polyester) (title: Pure Bedding Satin Sheets Queen [4-Piece, Black] Hotel Luxur); ours: our listing: polyester satin.</t>
        </is>
      </c>
    </row>
    <row r="248">
      <c r="A248" s="148">
        <f>AND(E248="US",OR('US Dashboard'!$C$4="All",'US Dashboard'!$C$4=D248),OR('US Dashboard'!$C$5="All",'US Dashboard'!$C$5=G248),OR('US Dashboard'!$C$6="All",'US Dashboard'!$C$6=H248),OR('US Dashboard'!$C$7="All",'US Dashboard'!$C$7=F248),OR('US Dashboard'!$C$8="All",'US Dashboard'!$C$8=AJ248))</f>
        <v/>
      </c>
      <c r="B248" s="148">
        <f>IF(A248,B247+1,B247)</f>
        <v/>
      </c>
      <c r="C248" s="148" t="n">
        <v>37</v>
      </c>
      <c r="D248" s="148" t="inlineStr">
        <is>
          <t>DC S4</t>
        </is>
      </c>
      <c r="E248" s="148" t="inlineStr">
        <is>
          <t>CA</t>
        </is>
      </c>
      <c r="F248" s="148" t="inlineStr">
        <is>
          <t>Satin</t>
        </is>
      </c>
      <c r="G248" s="148" t="inlineStr">
        <is>
          <t>Laura Ashley</t>
        </is>
      </c>
      <c r="H248" s="148" t="inlineStr">
        <is>
          <t>Untiered</t>
        </is>
      </c>
      <c r="I248" s="148" t="inlineStr">
        <is>
          <t>Laura Ashley - Queen Sheet Set, 100% Soft &amp; Silky Smooth Satin Bed Sheets, Deep Pockets, Bedding with Matching Fitted Sheet &amp; Pillowcases (Bliss Pink)</t>
        </is>
      </c>
      <c r="J248" s="148" t="inlineStr">
        <is>
          <t>https://m.media-amazon.com/images/I/51r1auLPSDL.jpg</t>
        </is>
      </c>
      <c r="K248" s="148" t="inlineStr">
        <is>
          <t>B0G3QQZTY9</t>
        </is>
      </c>
      <c r="L248" s="148" t="inlineStr">
        <is>
          <t>B0G3C5G8FR</t>
        </is>
      </c>
      <c r="M248" s="148" t="n">
        <v>8</v>
      </c>
      <c r="N248" s="148" t="n">
        <v>48.67</v>
      </c>
      <c r="O248" s="148" t="n"/>
      <c r="P248" s="148">
        <f>IF(AND(ISNUMBER(O248),ISNUMBER(N248),N(N248)&gt;0),O248/N248-1,"")</f>
        <v/>
      </c>
      <c r="Q248" s="148" t="n">
        <v>47.99</v>
      </c>
      <c r="R248" s="148">
        <f>IF(AND(ISNUMBER(N248),ISNUMBER(Q248),N(Q248)&gt;0),N248/Q248-1,"")</f>
        <v/>
      </c>
      <c r="S248" s="148" t="n">
        <v>329859</v>
      </c>
      <c r="T248" s="148" t="n"/>
      <c r="U248" s="148" t="n">
        <v>4.3</v>
      </c>
      <c r="V248" s="148" t="n">
        <v>13</v>
      </c>
      <c r="W248" s="148" t="n"/>
      <c r="X248" s="148" t="n"/>
      <c r="Y248" s="148" t="n"/>
      <c r="Z248" s="148" t="n"/>
      <c r="AA248" s="148" t="n"/>
      <c r="AB248" s="148" t="n"/>
      <c r="AC248" s="148" t="inlineStr">
        <is>
          <t>CA DC S4</t>
        </is>
      </c>
      <c r="AD248" s="148">
        <f>'CA DC S4'!BF175</f>
        <v/>
      </c>
      <c r="AE248" s="148">
        <f>'CA DC S4'!BI175</f>
        <v/>
      </c>
      <c r="AF248" s="148" t="inlineStr">
        <is>
          <t>Queen</t>
        </is>
      </c>
      <c r="AG248" s="148" t="inlineStr">
        <is>
          <t>Bliss Pink</t>
        </is>
      </c>
      <c r="AH248" s="148">
        <f>AND(E248="CA",OR('CA Dashboard'!$C$4="All",'CA Dashboard'!$C$4=D248),OR('CA Dashboard'!$C$5="All",'CA Dashboard'!$C$5=G248),OR('CA Dashboard'!$C$6="All",'CA Dashboard'!$C$6=H248),OR('CA Dashboard'!$C$7="All",'CA Dashboard'!$C$7=F248),OR('CA Dashboard'!$C$8="All",'CA Dashboard'!$C$8=AJ248))</f>
        <v/>
      </c>
      <c r="AI248" s="148">
        <f>IF(AH248,AI247+1,AI247)</f>
        <v/>
      </c>
      <c r="AJ248" s="148" t="inlineStr">
        <is>
          <t>Direct</t>
        </is>
      </c>
      <c r="AK248" s="148" t="inlineStr">
        <is>
          <t>Same product (sheet set) in the same material family: Satin (polyester) (title: Laura Ashley - Queen Sheet Set, 100% Soft &amp; Silky Smooth Sat); ours: our listing: polyester satin.</t>
        </is>
      </c>
    </row>
    <row r="249">
      <c r="A249" s="148">
        <f>AND(E249="US",OR('US Dashboard'!$C$4="All",'US Dashboard'!$C$4=D249),OR('US Dashboard'!$C$5="All",'US Dashboard'!$C$5=G249),OR('US Dashboard'!$C$6="All",'US Dashboard'!$C$6=H249),OR('US Dashboard'!$C$7="All",'US Dashboard'!$C$7=F249),OR('US Dashboard'!$C$8="All",'US Dashboard'!$C$8=AJ249))</f>
        <v/>
      </c>
      <c r="B249" s="148">
        <f>IF(A249,B248+1,B248)</f>
        <v/>
      </c>
      <c r="C249" s="148" t="n">
        <v>37</v>
      </c>
      <c r="D249" s="148" t="inlineStr">
        <is>
          <t>DC S4</t>
        </is>
      </c>
      <c r="E249" s="148" t="inlineStr">
        <is>
          <t>CA</t>
        </is>
      </c>
      <c r="F249" s="148" t="inlineStr">
        <is>
          <t>Satin</t>
        </is>
      </c>
      <c r="G249" s="148" t="inlineStr">
        <is>
          <t>Pure Bedding</t>
        </is>
      </c>
      <c r="H249" s="148" t="inlineStr">
        <is>
          <t>Untiered</t>
        </is>
      </c>
      <c r="I249" s="148" t="inlineStr">
        <is>
          <t>Satin Sheets Queen [4-Piece, Black] Hotel Luxury Silky Bed Sheets - Extra Soft 1800 Microfiber Sheet Set, Wrinkle, Fade, Stain Resistant - Deep Pocket Fitted Sheet, Flat Sheet, Pillow Cases</t>
        </is>
      </c>
      <c r="J249" s="148" t="inlineStr">
        <is>
          <t>https://m.media-amazon.com/images/I/81zLU1W0e8L.jpg</t>
        </is>
      </c>
      <c r="K249" s="148" t="inlineStr">
        <is>
          <t>B0FMPR6QQ3</t>
        </is>
      </c>
      <c r="L249" s="148" t="inlineStr">
        <is>
          <t>B0FVJG1KD3</t>
        </is>
      </c>
      <c r="M249" s="148" t="n">
        <v>1</v>
      </c>
      <c r="N249" s="148" t="n">
        <v>32.4</v>
      </c>
      <c r="O249" s="148" t="n"/>
      <c r="P249" s="148">
        <f>IF(AND(ISNUMBER(O249),ISNUMBER(N249),N(N249)&gt;0),O249/N249-1,"")</f>
        <v/>
      </c>
      <c r="Q249" s="148" t="n">
        <v>47.99</v>
      </c>
      <c r="R249" s="148">
        <f>IF(AND(ISNUMBER(N249),ISNUMBER(Q249),N(Q249)&gt;0),N249/Q249-1,"")</f>
        <v/>
      </c>
      <c r="S249" s="148" t="n">
        <v>887952</v>
      </c>
      <c r="T249" s="148" t="n"/>
      <c r="U249" s="148" t="n">
        <v>4.2</v>
      </c>
      <c r="V249" s="148" t="n">
        <v>41</v>
      </c>
      <c r="W249" s="148" t="n"/>
      <c r="X249" s="148" t="n"/>
      <c r="Y249" s="148" t="n"/>
      <c r="Z249" s="148" t="n"/>
      <c r="AA249" s="148" t="n"/>
      <c r="AB249" s="148" t="n"/>
      <c r="AC249" s="148" t="inlineStr">
        <is>
          <t>CA DC S4</t>
        </is>
      </c>
      <c r="AD249" s="148">
        <f>'CA DC S4'!BF176</f>
        <v/>
      </c>
      <c r="AE249" s="148">
        <f>'CA DC S4'!BI176</f>
        <v/>
      </c>
      <c r="AF249" s="148" t="inlineStr">
        <is>
          <t>Queen</t>
        </is>
      </c>
      <c r="AG249" s="148" t="inlineStr">
        <is>
          <t>Black-01</t>
        </is>
      </c>
      <c r="AH249" s="148">
        <f>AND(E249="CA",OR('CA Dashboard'!$C$4="All",'CA Dashboard'!$C$4=D249),OR('CA Dashboard'!$C$5="All",'CA Dashboard'!$C$5=G249),OR('CA Dashboard'!$C$6="All",'CA Dashboard'!$C$6=H249),OR('CA Dashboard'!$C$7="All",'CA Dashboard'!$C$7=F249),OR('CA Dashboard'!$C$8="All",'CA Dashboard'!$C$8=AJ249))</f>
        <v/>
      </c>
      <c r="AI249" s="148">
        <f>IF(AH249,AI248+1,AI248)</f>
        <v/>
      </c>
      <c r="AJ249" s="148" t="inlineStr">
        <is>
          <t>Direct</t>
        </is>
      </c>
      <c r="AK249" s="148" t="inlineStr">
        <is>
          <t>Same product (sheet set) in the same material family: Satin (polyester) (title: Satin Sheets Queen [4-Piece, Black] Hotel Luxury Silky Bed S); ours: our listing: polyester satin.</t>
        </is>
      </c>
    </row>
    <row r="250">
      <c r="A250" s="148">
        <f>AND(E250="US",OR('US Dashboard'!$C$4="All",'US Dashboard'!$C$4=D250),OR('US Dashboard'!$C$5="All",'US Dashboard'!$C$5=G250),OR('US Dashboard'!$C$6="All",'US Dashboard'!$C$6=H250),OR('US Dashboard'!$C$7="All",'US Dashboard'!$C$7=F250),OR('US Dashboard'!$C$8="All",'US Dashboard'!$C$8=AJ250))</f>
        <v/>
      </c>
      <c r="B250" s="148">
        <f>IF(A250,B249+1,B249)</f>
        <v/>
      </c>
      <c r="C250" s="148" t="n">
        <v>37</v>
      </c>
      <c r="D250" s="148" t="inlineStr">
        <is>
          <t>DC S4</t>
        </is>
      </c>
      <c r="E250" s="148" t="inlineStr">
        <is>
          <t>CA</t>
        </is>
      </c>
      <c r="F250" s="148" t="inlineStr">
        <is>
          <t>Satin</t>
        </is>
      </c>
      <c r="G250" s="148" t="inlineStr">
        <is>
          <t>Lirex</t>
        </is>
      </c>
      <c r="H250" s="148" t="inlineStr">
        <is>
          <t>Untiered</t>
        </is>
      </c>
      <c r="I250" s="148" t="inlineStr">
        <is>
          <t>Lirex Satin Sheets Queen Size Bed Set, 4 Piece Sheet Set with 14" Deep Pocket, Luxury Smooth &amp; Soft Microfiber, Includes 1 Fitted Sheet, 1 Flat Sheet and 2 Pillowcases, Blue Daisy</t>
        </is>
      </c>
      <c r="J250" s="148" t="inlineStr">
        <is>
          <t>https://m.media-amazon.com/images/I/81ogMf3izDL.jpg</t>
        </is>
      </c>
      <c r="K250" s="148" t="inlineStr">
        <is>
          <t>B0GWPG1CXG</t>
        </is>
      </c>
      <c r="L250" s="148" t="inlineStr">
        <is>
          <t>B0GWPMHSL9</t>
        </is>
      </c>
      <c r="M250" s="148" t="n">
        <v>14</v>
      </c>
      <c r="N250" s="148" t="n">
        <v>49.99</v>
      </c>
      <c r="O250" s="148" t="n"/>
      <c r="P250" s="148">
        <f>IF(AND(ISNUMBER(O250),ISNUMBER(N250),N(N250)&gt;0),O250/N250-1,"")</f>
        <v/>
      </c>
      <c r="Q250" s="148" t="n">
        <v>47.99</v>
      </c>
      <c r="R250" s="148">
        <f>IF(AND(ISNUMBER(N250),ISNUMBER(Q250),N(Q250)&gt;0),N250/Q250-1,"")</f>
        <v/>
      </c>
      <c r="S250" s="148" t="n">
        <v>96864</v>
      </c>
      <c r="T250" s="148" t="n"/>
      <c r="U250" s="148" t="n">
        <v>4.6</v>
      </c>
      <c r="V250" s="148" t="n">
        <v>4</v>
      </c>
      <c r="W250" s="148" t="n"/>
      <c r="X250" s="148" t="n"/>
      <c r="Y250" s="148" t="n"/>
      <c r="Z250" s="148" t="n"/>
      <c r="AA250" s="148" t="n"/>
      <c r="AB250" s="148" t="n"/>
      <c r="AC250" s="148" t="inlineStr">
        <is>
          <t>CA DC S4</t>
        </is>
      </c>
      <c r="AD250" s="148">
        <f>'CA DC S4'!BF177</f>
        <v/>
      </c>
      <c r="AE250" s="148">
        <f>'CA DC S4'!BI177</f>
        <v/>
      </c>
      <c r="AF250" s="148" t="inlineStr">
        <is>
          <t>Queen</t>
        </is>
      </c>
      <c r="AG250" s="148" t="inlineStr">
        <is>
          <t>Blue Daisy</t>
        </is>
      </c>
      <c r="AH250" s="148">
        <f>AND(E250="CA",OR('CA Dashboard'!$C$4="All",'CA Dashboard'!$C$4=D250),OR('CA Dashboard'!$C$5="All",'CA Dashboard'!$C$5=G250),OR('CA Dashboard'!$C$6="All",'CA Dashboard'!$C$6=H250),OR('CA Dashboard'!$C$7="All",'CA Dashboard'!$C$7=F250),OR('CA Dashboard'!$C$8="All",'CA Dashboard'!$C$8=AJ250))</f>
        <v/>
      </c>
      <c r="AI250" s="148">
        <f>IF(AH250,AI249+1,AI249)</f>
        <v/>
      </c>
      <c r="AJ250" s="148" t="inlineStr">
        <is>
          <t>Direct</t>
        </is>
      </c>
      <c r="AK250" s="148" t="inlineStr">
        <is>
          <t>Same product (sheet set) in the same material family: Satin (polyester) (title: Lirex Satin Sheets Queen Size Bed Set, 4 Piece Sheet Set wit); ours: our listing: polyester satin.</t>
        </is>
      </c>
    </row>
    <row r="251">
      <c r="A251" s="148">
        <f>AND(E251="US",OR('US Dashboard'!$C$4="All",'US Dashboard'!$C$4=D251),OR('US Dashboard'!$C$5="All",'US Dashboard'!$C$5=G251),OR('US Dashboard'!$C$6="All",'US Dashboard'!$C$6=H251),OR('US Dashboard'!$C$7="All",'US Dashboard'!$C$7=F251),OR('US Dashboard'!$C$8="All",'US Dashboard'!$C$8=AJ251))</f>
        <v/>
      </c>
      <c r="B251" s="148">
        <f>IF(A251,B250+1,B250)</f>
        <v/>
      </c>
      <c r="C251" s="148" t="n">
        <v>37</v>
      </c>
      <c r="D251" s="148" t="inlineStr">
        <is>
          <t>DC S4</t>
        </is>
      </c>
      <c r="E251" s="148" t="inlineStr">
        <is>
          <t>CA</t>
        </is>
      </c>
      <c r="F251" s="148" t="inlineStr">
        <is>
          <t>Satin</t>
        </is>
      </c>
      <c r="G251" s="148" t="inlineStr">
        <is>
          <t>Martex</t>
        </is>
      </c>
      <c r="H251" s="148" t="inlineStr">
        <is>
          <t>Untiered</t>
        </is>
      </c>
      <c r="I251" s="148" t="inlineStr">
        <is>
          <t>4-Piece Martex Elegance Satin Sheets | Queen Size Bed Sheets | Luxury Hotel Quality Bed Sheets Set | Satin Sheets | Silky Soft &amp; Smooth | Great for Hair &amp; Skin | Leopard Print Sheets | Leopard</t>
        </is>
      </c>
      <c r="J251" s="148" t="inlineStr">
        <is>
          <t>https://m.media-amazon.com/images/I/8192od9R6kL.jpg</t>
        </is>
      </c>
      <c r="K251" s="148" t="inlineStr">
        <is>
          <t>B07XTX3G7J</t>
        </is>
      </c>
      <c r="L251" s="148" t="inlineStr">
        <is>
          <t>B07X5DPMJ9</t>
        </is>
      </c>
      <c r="M251" s="148" t="n">
        <v>28</v>
      </c>
      <c r="N251" s="148" t="n">
        <v>46.45</v>
      </c>
      <c r="O251" s="148" t="n"/>
      <c r="P251" s="148">
        <f>IF(AND(ISNUMBER(O251),ISNUMBER(N251),N(N251)&gt;0),O251/N251-1,"")</f>
        <v/>
      </c>
      <c r="Q251" s="148" t="n">
        <v>47.99</v>
      </c>
      <c r="R251" s="148">
        <f>IF(AND(ISNUMBER(N251),ISNUMBER(Q251),N(Q251)&gt;0),N251/Q251-1,"")</f>
        <v/>
      </c>
      <c r="S251" s="148" t="n">
        <v>56349</v>
      </c>
      <c r="T251" s="148" t="n"/>
      <c r="U251" s="148" t="n">
        <v>4.2</v>
      </c>
      <c r="V251" s="148" t="n">
        <v>1078</v>
      </c>
      <c r="W251" s="148" t="n"/>
      <c r="X251" s="148" t="n"/>
      <c r="Y251" s="148" t="n"/>
      <c r="Z251" s="148" t="n"/>
      <c r="AA251" s="148" t="n"/>
      <c r="AB251" s="148" t="n"/>
      <c r="AC251" s="148" t="inlineStr">
        <is>
          <t>CA DC S4</t>
        </is>
      </c>
      <c r="AD251" s="148">
        <f>'CA DC S4'!BF178</f>
        <v/>
      </c>
      <c r="AE251" s="148">
        <f>'CA DC S4'!BI178</f>
        <v/>
      </c>
      <c r="AF251" s="148" t="inlineStr">
        <is>
          <t>Queen</t>
        </is>
      </c>
      <c r="AG251" s="148" t="inlineStr">
        <is>
          <t>Brown</t>
        </is>
      </c>
      <c r="AH251" s="148">
        <f>AND(E251="CA",OR('CA Dashboard'!$C$4="All",'CA Dashboard'!$C$4=D251),OR('CA Dashboard'!$C$5="All",'CA Dashboard'!$C$5=G251),OR('CA Dashboard'!$C$6="All",'CA Dashboard'!$C$6=H251),OR('CA Dashboard'!$C$7="All",'CA Dashboard'!$C$7=F251),OR('CA Dashboard'!$C$8="All",'CA Dashboard'!$C$8=AJ251))</f>
        <v/>
      </c>
      <c r="AI251" s="148">
        <f>IF(AH251,AI250+1,AI250)</f>
        <v/>
      </c>
      <c r="AJ251" s="148" t="inlineStr">
        <is>
          <t>Direct</t>
        </is>
      </c>
      <c r="AK251" s="148" t="inlineStr">
        <is>
          <t>Same product (sheet set) in the same material family: Satin (polyester) (title: 4-Piece Martex Elegance Satin Sheets | Queen Size Bed Sheets); ours: our listing: polyester satin.</t>
        </is>
      </c>
    </row>
    <row r="252">
      <c r="A252" s="148">
        <f>AND(E252="US",OR('US Dashboard'!$C$4="All",'US Dashboard'!$C$4=D252),OR('US Dashboard'!$C$5="All",'US Dashboard'!$C$5=G252),OR('US Dashboard'!$C$6="All",'US Dashboard'!$C$6=H252),OR('US Dashboard'!$C$7="All",'US Dashboard'!$C$7=F252),OR('US Dashboard'!$C$8="All",'US Dashboard'!$C$8=AJ252))</f>
        <v/>
      </c>
      <c r="B252" s="148">
        <f>IF(A252,B251+1,B251)</f>
        <v/>
      </c>
      <c r="C252" s="148" t="n">
        <v>37</v>
      </c>
      <c r="D252" s="148" t="inlineStr">
        <is>
          <t>DC S4</t>
        </is>
      </c>
      <c r="E252" s="148" t="inlineStr">
        <is>
          <t>CA</t>
        </is>
      </c>
      <c r="F252" s="148" t="inlineStr">
        <is>
          <t>Satin</t>
        </is>
      </c>
      <c r="G252" s="148" t="inlineStr">
        <is>
          <t>Beatrice Home Fashions</t>
        </is>
      </c>
      <c r="H252" s="148" t="inlineStr">
        <is>
          <t>Untiered</t>
        </is>
      </c>
      <c r="I252" s="148" t="inlineStr">
        <is>
          <t>Elite Home Products 100% Luxury Satin Polyester Solid Sheet Set, Queen, Leopard</t>
        </is>
      </c>
      <c r="J252" s="148" t="inlineStr">
        <is>
          <t>https://m.media-amazon.com/images/I/71jFV5g+prL.jpg</t>
        </is>
      </c>
      <c r="K252" s="148" t="inlineStr">
        <is>
          <t>B077NL4NZK</t>
        </is>
      </c>
      <c r="L252" s="148" t="inlineStr">
        <is>
          <t>B0721C4SD3</t>
        </is>
      </c>
      <c r="M252" s="148" t="n">
        <v>9</v>
      </c>
      <c r="N252" s="148" t="n">
        <v>42.49</v>
      </c>
      <c r="O252" s="148" t="n"/>
      <c r="P252" s="148">
        <f>IF(AND(ISNUMBER(O252),ISNUMBER(N252),N(N252)&gt;0),O252/N252-1,"")</f>
        <v/>
      </c>
      <c r="Q252" s="148" t="n">
        <v>47.99</v>
      </c>
      <c r="R252" s="148">
        <f>IF(AND(ISNUMBER(N252),ISNUMBER(Q252),N(Q252)&gt;0),N252/Q252-1,"")</f>
        <v/>
      </c>
      <c r="S252" s="148" t="n">
        <v>387847</v>
      </c>
      <c r="T252" s="148" t="n"/>
      <c r="U252" s="148" t="n">
        <v>4</v>
      </c>
      <c r="V252" s="148" t="n">
        <v>996</v>
      </c>
      <c r="W252" s="148" t="n"/>
      <c r="X252" s="148" t="n"/>
      <c r="Y252" s="148" t="n"/>
      <c r="Z252" s="148" t="n"/>
      <c r="AA252" s="148" t="n"/>
      <c r="AB252" s="148" t="n"/>
      <c r="AC252" s="148" t="inlineStr">
        <is>
          <t>CA DC S4</t>
        </is>
      </c>
      <c r="AD252" s="148">
        <f>'CA DC S4'!BF179</f>
        <v/>
      </c>
      <c r="AE252" s="148">
        <f>'CA DC S4'!BI179</f>
        <v/>
      </c>
      <c r="AF252" s="148" t="inlineStr">
        <is>
          <t>Queen</t>
        </is>
      </c>
      <c r="AG252" s="148" t="inlineStr">
        <is>
          <t>Leopard</t>
        </is>
      </c>
      <c r="AH252" s="148">
        <f>AND(E252="CA",OR('CA Dashboard'!$C$4="All",'CA Dashboard'!$C$4=D252),OR('CA Dashboard'!$C$5="All",'CA Dashboard'!$C$5=G252),OR('CA Dashboard'!$C$6="All",'CA Dashboard'!$C$6=H252),OR('CA Dashboard'!$C$7="All",'CA Dashboard'!$C$7=F252),OR('CA Dashboard'!$C$8="All",'CA Dashboard'!$C$8=AJ252))</f>
        <v/>
      </c>
      <c r="AI252" s="148">
        <f>IF(AH252,AI251+1,AI251)</f>
        <v/>
      </c>
      <c r="AJ252" s="148" t="inlineStr">
        <is>
          <t>Direct</t>
        </is>
      </c>
      <c r="AK252" s="148" t="inlineStr">
        <is>
          <t>Same product (sheet set) in the same material family: Satin (polyester) (title: Elite Home Products 100% Luxury Satin Polyester Solid Sheet ); ours: our listing: polyester satin.</t>
        </is>
      </c>
    </row>
    <row r="253">
      <c r="A253" s="148">
        <f>AND(E253="US",OR('US Dashboard'!$C$4="All",'US Dashboard'!$C$4=D253),OR('US Dashboard'!$C$5="All",'US Dashboard'!$C$5=G253),OR('US Dashboard'!$C$6="All",'US Dashboard'!$C$6=H253),OR('US Dashboard'!$C$7="All",'US Dashboard'!$C$7=F253),OR('US Dashboard'!$C$8="All",'US Dashboard'!$C$8=AJ253))</f>
        <v/>
      </c>
      <c r="B253" s="148">
        <f>IF(A253,B252+1,B252)</f>
        <v/>
      </c>
      <c r="C253" s="148" t="n">
        <v>37</v>
      </c>
      <c r="D253" s="148" t="inlineStr">
        <is>
          <t>DC S4</t>
        </is>
      </c>
      <c r="E253" s="148" t="inlineStr">
        <is>
          <t>US</t>
        </is>
      </c>
      <c r="F253" s="148" t="inlineStr">
        <is>
          <t>Satin</t>
        </is>
      </c>
      <c r="G253" s="148" t="inlineStr">
        <is>
          <t>CozyLux</t>
        </is>
      </c>
      <c r="H253" s="148" t="inlineStr">
        <is>
          <t>Beatable</t>
        </is>
      </c>
      <c r="I253" s="148" t="inlineStr">
        <is>
          <t>CozyLux Satin Sheets Queen, 4-Piece 14-Inch Deep Pocket Sheet Set</t>
        </is>
      </c>
      <c r="J253" s="148" t="inlineStr">
        <is>
          <t>https://images-na.ssl-images-amazon.com/images/I/71QlFwpmpcL.jpg</t>
        </is>
      </c>
      <c r="K253" s="148" t="inlineStr">
        <is>
          <t>B08CQKS3KP</t>
        </is>
      </c>
      <c r="L253" s="148" t="inlineStr">
        <is>
          <t>B08P16XLP2</t>
        </is>
      </c>
      <c r="M253" s="148" t="n">
        <v>115</v>
      </c>
      <c r="N253" s="148" t="n">
        <v>13.99</v>
      </c>
      <c r="O253" s="148" t="n">
        <v>18.99</v>
      </c>
      <c r="P253" s="148">
        <f>IF(AND(ISNUMBER(O253),ISNUMBER(N253),N(N253)&gt;0),O253/N253-1,"")</f>
        <v/>
      </c>
      <c r="Q253" s="148" t="n">
        <v>31.95</v>
      </c>
      <c r="R253" s="148">
        <f>IF(AND(ISNUMBER(N253),ISNUMBER(Q253),N(Q253)&gt;0),N253/Q253-1,"")</f>
        <v/>
      </c>
      <c r="S253" s="148" t="n">
        <v>3102</v>
      </c>
      <c r="T253" s="148" t="n">
        <v>347</v>
      </c>
      <c r="U253" s="148" t="n">
        <v>4.3</v>
      </c>
      <c r="V253" s="148" t="n">
        <v>7075</v>
      </c>
      <c r="W253" s="148" t="n">
        <v>164434</v>
      </c>
      <c r="X253" s="148" t="n">
        <v>0.724298132381382</v>
      </c>
      <c r="Y253" s="148" t="n">
        <v>242</v>
      </c>
      <c r="Z253" s="148" t="n">
        <v>438</v>
      </c>
      <c r="AA253" s="148" t="n">
        <v>332</v>
      </c>
      <c r="AB253" s="148" t="n">
        <v>0.8168981481481481</v>
      </c>
      <c r="AC253" s="148" t="inlineStr">
        <is>
          <t>US DC S4</t>
        </is>
      </c>
      <c r="AD253" s="148">
        <f>'US DC S4'!BF178</f>
        <v/>
      </c>
      <c r="AE253" s="148">
        <f>'US DC S4'!BI178</f>
        <v/>
      </c>
      <c r="AF253" s="148" t="inlineStr">
        <is>
          <t>Queen</t>
        </is>
      </c>
      <c r="AG253" s="148" t="inlineStr">
        <is>
          <t>Black</t>
        </is>
      </c>
      <c r="AH253" s="148">
        <f>AND(E253="CA",OR('CA Dashboard'!$C$4="All",'CA Dashboard'!$C$4=D253),OR('CA Dashboard'!$C$5="All",'CA Dashboard'!$C$5=G253),OR('CA Dashboard'!$C$6="All",'CA Dashboard'!$C$6=H253),OR('CA Dashboard'!$C$7="All",'CA Dashboard'!$C$7=F253),OR('CA Dashboard'!$C$8="All",'CA Dashboard'!$C$8=AJ253))</f>
        <v/>
      </c>
      <c r="AI253" s="148">
        <f>IF(AH253,AI252+1,AI252)</f>
        <v/>
      </c>
      <c r="AJ253" s="148" t="inlineStr">
        <is>
          <t>Alternative material</t>
        </is>
      </c>
      <c r="AK253" s="148" t="inlineStr">
        <is>
          <t>Sheet set in Microfiber / polyester (product page material: Polyester microfiber); ours is Satin (polyester) (our listing: polyester satin). Shopper may cross-shop, but not like-for-like.</t>
        </is>
      </c>
    </row>
    <row r="254">
      <c r="A254" s="148">
        <f>AND(E254="US",OR('US Dashboard'!$C$4="All",'US Dashboard'!$C$4=D254),OR('US Dashboard'!$C$5="All",'US Dashboard'!$C$5=G254),OR('US Dashboard'!$C$6="All",'US Dashboard'!$C$6=H254),OR('US Dashboard'!$C$7="All",'US Dashboard'!$C$7=F254),OR('US Dashboard'!$C$8="All",'US Dashboard'!$C$8=AJ254))</f>
        <v/>
      </c>
      <c r="B254" s="148">
        <f>IF(A254,B253+1,B253)</f>
        <v/>
      </c>
      <c r="C254" s="148" t="n">
        <v>37</v>
      </c>
      <c r="D254" s="148" t="inlineStr">
        <is>
          <t>DC S4</t>
        </is>
      </c>
      <c r="E254" s="148" t="inlineStr">
        <is>
          <t>US</t>
        </is>
      </c>
      <c r="F254" s="148" t="inlineStr">
        <is>
          <t>Satin</t>
        </is>
      </c>
      <c r="G254" s="148" t="inlineStr">
        <is>
          <t>Lanest Housing</t>
        </is>
      </c>
      <c r="H254" s="148" t="inlineStr">
        <is>
          <t>Beatable</t>
        </is>
      </c>
      <c r="I254" s="148" t="inlineStr">
        <is>
          <t>Lanest Housing Silk Satin Sheets, Queen Size Satin Bed Sheet Set with Deep Pockets, Cooling Soft and Hypoallergenic Satin Sheets Queen - Light Gray</t>
        </is>
      </c>
      <c r="J254" s="148" t="inlineStr">
        <is>
          <t>https://images-na.ssl-images-amazon.com/images/I/71PMIXXTc0L.jpg</t>
        </is>
      </c>
      <c r="K254" s="148" t="inlineStr">
        <is>
          <t>B0DC3MX1DP</t>
        </is>
      </c>
      <c r="L254" s="148" t="inlineStr">
        <is>
          <t>B082B5CY3D</t>
        </is>
      </c>
      <c r="M254" s="148" t="n">
        <v>154</v>
      </c>
      <c r="N254" s="148" t="n">
        <v>22.99</v>
      </c>
      <c r="O254" s="148" t="n"/>
      <c r="P254" s="148">
        <f>IF(AND(ISNUMBER(O254),ISNUMBER(N254),N(N254)&gt;0),O254/N254-1,"")</f>
        <v/>
      </c>
      <c r="Q254" s="148" t="n">
        <v>31.95</v>
      </c>
      <c r="R254" s="148">
        <f>IF(AND(ISNUMBER(N254),ISNUMBER(Q254),N(Q254)&gt;0),N254/Q254-1,"")</f>
        <v/>
      </c>
      <c r="S254" s="148" t="n">
        <v>4671</v>
      </c>
      <c r="T254" s="148" t="n">
        <v>208</v>
      </c>
      <c r="U254" s="148" t="n">
        <v>4.3</v>
      </c>
      <c r="V254" s="148" t="n">
        <v>5837</v>
      </c>
      <c r="W254" s="148" t="n">
        <v>163454</v>
      </c>
      <c r="X254" s="148" t="n">
        <v>0.511816095659941</v>
      </c>
      <c r="Y254" s="148" t="n">
        <v>234</v>
      </c>
      <c r="Z254" s="148" t="n">
        <v>285</v>
      </c>
      <c r="AA254" s="148" t="n">
        <v>50</v>
      </c>
      <c r="AB254" s="148" t="n">
        <v>0.4183908045977011</v>
      </c>
      <c r="AC254" s="148" t="inlineStr">
        <is>
          <t>US DC S4</t>
        </is>
      </c>
      <c r="AD254" s="148">
        <f>'US DC S4'!BF179</f>
        <v/>
      </c>
      <c r="AE254" s="148">
        <f>'US DC S4'!BI179</f>
        <v/>
      </c>
      <c r="AF254" s="148" t="inlineStr">
        <is>
          <t>Queen</t>
        </is>
      </c>
      <c r="AG254" s="148" t="inlineStr">
        <is>
          <t>Gray</t>
        </is>
      </c>
      <c r="AH254" s="148">
        <f>AND(E254="CA",OR('CA Dashboard'!$C$4="All",'CA Dashboard'!$C$4=D254),OR('CA Dashboard'!$C$5="All",'CA Dashboard'!$C$5=G254),OR('CA Dashboard'!$C$6="All",'CA Dashboard'!$C$6=H254),OR('CA Dashboard'!$C$7="All",'CA Dashboard'!$C$7=F254),OR('CA Dashboard'!$C$8="All",'CA Dashboard'!$C$8=AJ254))</f>
        <v/>
      </c>
      <c r="AI254" s="148">
        <f>IF(AH254,AI253+1,AI253)</f>
        <v/>
      </c>
      <c r="AJ254" s="148" t="inlineStr">
        <is>
          <t>Alternative material</t>
        </is>
      </c>
      <c r="AK254" s="148" t="inlineStr">
        <is>
          <t>Sheet set in Silk (title: Lanest Housing Silk Satin Sheets, Queen Size Satin Bed Sheet); ours is Satin (polyester) (our listing: polyester satin). Shopper may cross-shop, but not like-for-like.</t>
        </is>
      </c>
    </row>
    <row r="255">
      <c r="A255" s="148">
        <f>AND(E255="US",OR('US Dashboard'!$C$4="All",'US Dashboard'!$C$4=D255),OR('US Dashboard'!$C$5="All",'US Dashboard'!$C$5=G255),OR('US Dashboard'!$C$6="All",'US Dashboard'!$C$6=H255),OR('US Dashboard'!$C$7="All",'US Dashboard'!$C$7=F255),OR('US Dashboard'!$C$8="All",'US Dashboard'!$C$8=AJ255))</f>
        <v/>
      </c>
      <c r="B255" s="148">
        <f>IF(A255,B254+1,B254)</f>
        <v/>
      </c>
      <c r="C255" s="148" t="n">
        <v>37</v>
      </c>
      <c r="D255" s="148" t="inlineStr">
        <is>
          <t>DC S4</t>
        </is>
      </c>
      <c r="E255" s="148" t="inlineStr">
        <is>
          <t>US</t>
        </is>
      </c>
      <c r="F255" s="148" t="inlineStr">
        <is>
          <t>Satin</t>
        </is>
      </c>
      <c r="G255" s="148" t="inlineStr">
        <is>
          <t>Cobedzy</t>
        </is>
      </c>
      <c r="H255" s="148" t="inlineStr">
        <is>
          <t>Beatable</t>
        </is>
      </c>
      <c r="I255" s="148" t="inlineStr">
        <is>
          <t>Satin Sheets</t>
        </is>
      </c>
      <c r="J255" s="148" t="inlineStr">
        <is>
          <t>https://images-na.ssl-images-amazon.com/images/I/61QL2B3WPsL.jpg</t>
        </is>
      </c>
      <c r="K255" s="148" t="inlineStr">
        <is>
          <t>B099PPQ7T3</t>
        </is>
      </c>
      <c r="L255" s="148" t="inlineStr">
        <is>
          <t>B087CSRQQ4</t>
        </is>
      </c>
      <c r="M255" s="148" t="n">
        <v>18</v>
      </c>
      <c r="N255" s="148" t="n">
        <v>24.99</v>
      </c>
      <c r="O255" s="148" t="n"/>
      <c r="P255" s="148">
        <f>IF(AND(ISNUMBER(O255),ISNUMBER(N255),N(N255)&gt;0),O255/N255-1,"")</f>
        <v/>
      </c>
      <c r="Q255" s="148" t="n">
        <v>31.95</v>
      </c>
      <c r="R255" s="148">
        <f>IF(AND(ISNUMBER(N255),ISNUMBER(Q255),N(Q255)&gt;0),N255/Q255-1,"")</f>
        <v/>
      </c>
      <c r="S255" s="148" t="n">
        <v>68667</v>
      </c>
      <c r="T255" s="148" t="n">
        <v>35</v>
      </c>
      <c r="U255" s="148" t="n">
        <v>4.4</v>
      </c>
      <c r="V255" s="148" t="n">
        <v>2838</v>
      </c>
      <c r="W255" s="148" t="n">
        <v>21925</v>
      </c>
      <c r="X255" s="148" t="n">
        <v>0.9295306681870016</v>
      </c>
      <c r="Y255" s="148" t="n">
        <v>182</v>
      </c>
      <c r="Z255" s="148" t="n">
        <v>65</v>
      </c>
      <c r="AA255" s="148" t="n">
        <v>43</v>
      </c>
      <c r="AB255" s="148" t="n">
        <v>0.8934169278996865</v>
      </c>
      <c r="AC255" s="148" t="inlineStr">
        <is>
          <t>US DC S4</t>
        </is>
      </c>
      <c r="AD255" s="148">
        <f>'US DC S4'!BF180</f>
        <v/>
      </c>
      <c r="AE255" s="148">
        <f>'US DC S4'!BI180</f>
        <v/>
      </c>
      <c r="AF255" s="148" t="inlineStr">
        <is>
          <t>Queen</t>
        </is>
      </c>
      <c r="AG255" s="148" t="inlineStr">
        <is>
          <t>Blush Pink</t>
        </is>
      </c>
      <c r="AH255" s="148">
        <f>AND(E255="CA",OR('CA Dashboard'!$C$4="All",'CA Dashboard'!$C$4=D255),OR('CA Dashboard'!$C$5="All",'CA Dashboard'!$C$5=G255),OR('CA Dashboard'!$C$6="All",'CA Dashboard'!$C$6=H255),OR('CA Dashboard'!$C$7="All",'CA Dashboard'!$C$7=F255),OR('CA Dashboard'!$C$8="All",'CA Dashboard'!$C$8=AJ255))</f>
        <v/>
      </c>
      <c r="AI255" s="148">
        <f>IF(AH255,AI254+1,AI254)</f>
        <v/>
      </c>
      <c r="AJ255" s="148" t="inlineStr">
        <is>
          <t>Alternative material</t>
        </is>
      </c>
      <c r="AK255" s="148" t="inlineStr">
        <is>
          <t>Sheet set in Microfiber / polyester (product page material: Polyester); ours is Satin (polyester) (our listing: polyester satin). Shopper may cross-shop, but not like-for-like.</t>
        </is>
      </c>
    </row>
    <row r="256">
      <c r="A256" s="148">
        <f>AND(E256="US",OR('US Dashboard'!$C$4="All",'US Dashboard'!$C$4=D256),OR('US Dashboard'!$C$5="All",'US Dashboard'!$C$5=G256),OR('US Dashboard'!$C$6="All",'US Dashboard'!$C$6=H256),OR('US Dashboard'!$C$7="All",'US Dashboard'!$C$7=F256),OR('US Dashboard'!$C$8="All",'US Dashboard'!$C$8=AJ256))</f>
        <v/>
      </c>
      <c r="B256" s="148">
        <f>IF(A256,B255+1,B255)</f>
        <v/>
      </c>
      <c r="C256" s="148" t="n">
        <v>37</v>
      </c>
      <c r="D256" s="148" t="inlineStr">
        <is>
          <t>DC S4</t>
        </is>
      </c>
      <c r="E256" s="148" t="inlineStr">
        <is>
          <t>US</t>
        </is>
      </c>
      <c r="F256" s="148" t="inlineStr">
        <is>
          <t>Satin</t>
        </is>
      </c>
      <c r="G256" s="148" t="inlineStr">
        <is>
          <t>Martex</t>
        </is>
      </c>
      <c r="H256" s="148" t="inlineStr">
        <is>
          <t>Beatable</t>
        </is>
      </c>
      <c r="I256" s="148" t="inlineStr">
        <is>
          <t>Satin Sheets</t>
        </is>
      </c>
      <c r="J256" s="148" t="inlineStr">
        <is>
          <t>https://m.media-amazon.com/images/I/71kVc8L0urL._AC_SL1500_.jpg</t>
        </is>
      </c>
      <c r="K256" s="148" t="inlineStr">
        <is>
          <t>B0DLGX8P9D</t>
        </is>
      </c>
      <c r="L256" s="148" t="inlineStr">
        <is>
          <t>B07X49LFDC</t>
        </is>
      </c>
      <c r="M256" s="148" t="n"/>
      <c r="N256" s="148" t="n">
        <v>23.34</v>
      </c>
      <c r="O256" s="148" t="n"/>
      <c r="P256" s="148">
        <f>IF(AND(ISNUMBER(O256),ISNUMBER(N256),N(N256)&gt;0),O256/N256-1,"")</f>
        <v/>
      </c>
      <c r="Q256" s="148" t="n">
        <v>31.95</v>
      </c>
      <c r="R256" s="148">
        <f>IF(AND(ISNUMBER(N256),ISNUMBER(Q256),N(Q256)&gt;0),N256/Q256-1,"")</f>
        <v/>
      </c>
      <c r="S256" s="148" t="n">
        <v>52458</v>
      </c>
      <c r="T256" s="148" t="n">
        <v>5</v>
      </c>
      <c r="U256" s="148" t="n">
        <v>4.3</v>
      </c>
      <c r="V256" s="148" t="n">
        <v>2260</v>
      </c>
      <c r="W256" s="148" t="n"/>
      <c r="X256" s="148" t="n"/>
      <c r="Y256" s="148" t="n"/>
      <c r="Z256" s="148" t="n"/>
      <c r="AA256" s="148" t="n"/>
      <c r="AB256" s="148" t="n"/>
      <c r="AC256" s="148" t="inlineStr">
        <is>
          <t>US DC S4</t>
        </is>
      </c>
      <c r="AD256" s="148">
        <f>'US DC S4'!BF181</f>
        <v/>
      </c>
      <c r="AE256" s="148">
        <f>'US DC S4'!BI181</f>
        <v/>
      </c>
      <c r="AF256" s="148" t="inlineStr">
        <is>
          <t>Queen</t>
        </is>
      </c>
      <c r="AG256" s="148" t="inlineStr">
        <is>
          <t>Pink</t>
        </is>
      </c>
      <c r="AH256" s="148">
        <f>AND(E256="CA",OR('CA Dashboard'!$C$4="All",'CA Dashboard'!$C$4=D256),OR('CA Dashboard'!$C$5="All",'CA Dashboard'!$C$5=G256),OR('CA Dashboard'!$C$6="All",'CA Dashboard'!$C$6=H256),OR('CA Dashboard'!$C$7="All",'CA Dashboard'!$C$7=F256),OR('CA Dashboard'!$C$8="All",'CA Dashboard'!$C$8=AJ256))</f>
        <v/>
      </c>
      <c r="AI256" s="148">
        <f>IF(AH256,AI255+1,AI255)</f>
        <v/>
      </c>
      <c r="AJ256" s="148" t="inlineStr">
        <is>
          <t>Alternative material</t>
        </is>
      </c>
      <c r="AK256" s="148" t="inlineStr">
        <is>
          <t>Sheet set in Microfiber / polyester (product page material: Polyester); ours is Satin (polyester) (our listing: polyester satin). Shopper may cross-shop, but not like-for-like.</t>
        </is>
      </c>
    </row>
    <row r="257">
      <c r="A257" s="148">
        <f>AND(E257="US",OR('US Dashboard'!$C$4="All",'US Dashboard'!$C$4=D257),OR('US Dashboard'!$C$5="All",'US Dashboard'!$C$5=G257),OR('US Dashboard'!$C$6="All",'US Dashboard'!$C$6=H257),OR('US Dashboard'!$C$7="All",'US Dashboard'!$C$7=F257),OR('US Dashboard'!$C$8="All",'US Dashboard'!$C$8=AJ257))</f>
        <v/>
      </c>
      <c r="B257" s="148">
        <f>IF(A257,B256+1,B256)</f>
        <v/>
      </c>
      <c r="C257" s="148" t="n">
        <v>37</v>
      </c>
      <c r="D257" s="148" t="inlineStr">
        <is>
          <t>DC S4</t>
        </is>
      </c>
      <c r="E257" s="148" t="inlineStr">
        <is>
          <t>US</t>
        </is>
      </c>
      <c r="F257" s="148" t="inlineStr">
        <is>
          <t>Satin</t>
        </is>
      </c>
      <c r="G257" s="148" t="inlineStr">
        <is>
          <t>Bedsure</t>
        </is>
      </c>
      <c r="H257" s="148" t="inlineStr">
        <is>
          <t>Poor</t>
        </is>
      </c>
      <c r="I257" s="148" t="inlineStr">
        <is>
          <t>Satin Sheets</t>
        </is>
      </c>
      <c r="J257" s="148" t="inlineStr">
        <is>
          <t>https://images-na.ssl-images-amazon.com/images/I/81zMSoUAMJL.jpg</t>
        </is>
      </c>
      <c r="K257" s="148" t="inlineStr">
        <is>
          <t>B0DCZYNBYS</t>
        </is>
      </c>
      <c r="L257" s="148" t="inlineStr">
        <is>
          <t>B0CJ8RYNTS</t>
        </is>
      </c>
      <c r="M257" s="148" t="n">
        <v>32</v>
      </c>
      <c r="N257" s="148" t="n">
        <v>19.99</v>
      </c>
      <c r="O257" s="148" t="n"/>
      <c r="P257" s="148">
        <f>IF(AND(ISNUMBER(O257),ISNUMBER(N257),N(N257)&gt;0),O257/N257-1,"")</f>
        <v/>
      </c>
      <c r="Q257" s="148" t="n">
        <v>31.95</v>
      </c>
      <c r="R257" s="148">
        <f>IF(AND(ISNUMBER(N257),ISNUMBER(Q257),N(Q257)&gt;0),N257/Q257-1,"")</f>
        <v/>
      </c>
      <c r="S257" s="148" t="n">
        <v>22342</v>
      </c>
      <c r="T257" s="148" t="n">
        <v>92</v>
      </c>
      <c r="U257" s="148" t="n">
        <v>4.3</v>
      </c>
      <c r="V257" s="148" t="n">
        <v>2745</v>
      </c>
      <c r="W257" s="148" t="n">
        <v>89691</v>
      </c>
      <c r="X257" s="148" t="n">
        <v>0.6850140036347012</v>
      </c>
      <c r="Y257" s="148" t="n">
        <v>263</v>
      </c>
      <c r="Z257" s="148" t="n">
        <v>213</v>
      </c>
      <c r="AA257" s="148" t="n">
        <v>140</v>
      </c>
      <c r="AB257" s="148" t="n">
        <v>1.528846153846154</v>
      </c>
      <c r="AC257" s="148" t="inlineStr">
        <is>
          <t>US DC S4</t>
        </is>
      </c>
      <c r="AD257" s="148">
        <f>'US DC S4'!BF182</f>
        <v/>
      </c>
      <c r="AE257" s="148">
        <f>'US DC S4'!BI182</f>
        <v/>
      </c>
      <c r="AF257" s="148" t="inlineStr">
        <is>
          <t>Queen</t>
        </is>
      </c>
      <c r="AG257" s="148" t="inlineStr">
        <is>
          <t>02 - Black</t>
        </is>
      </c>
      <c r="AH257" s="148">
        <f>AND(E257="CA",OR('CA Dashboard'!$C$4="All",'CA Dashboard'!$C$4=D257),OR('CA Dashboard'!$C$5="All",'CA Dashboard'!$C$5=G257),OR('CA Dashboard'!$C$6="All",'CA Dashboard'!$C$6=H257),OR('CA Dashboard'!$C$7="All",'CA Dashboard'!$C$7=F257),OR('CA Dashboard'!$C$8="All",'CA Dashboard'!$C$8=AJ257))</f>
        <v/>
      </c>
      <c r="AI257" s="148">
        <f>IF(AH257,AI256+1,AI256)</f>
        <v/>
      </c>
      <c r="AJ257" s="148" t="inlineStr">
        <is>
          <t>Alternative material</t>
        </is>
      </c>
      <c r="AK257" s="148" t="inlineStr">
        <is>
          <t>Sheet set in Microfiber / polyester (product page material: Polyester); ours is Satin (polyester) (our listing: polyester satin). Shopper may cross-shop, but not like-for-like.</t>
        </is>
      </c>
    </row>
    <row r="258">
      <c r="A258" s="148">
        <f>AND(E258="US",OR('US Dashboard'!$C$4="All",'US Dashboard'!$C$4=D258),OR('US Dashboard'!$C$5="All",'US Dashboard'!$C$5=G258),OR('US Dashboard'!$C$6="All",'US Dashboard'!$C$6=H258),OR('US Dashboard'!$C$7="All",'US Dashboard'!$C$7=F258),OR('US Dashboard'!$C$8="All",'US Dashboard'!$C$8=AJ258))</f>
        <v/>
      </c>
      <c r="B258" s="148">
        <f>IF(A258,B257+1,B257)</f>
        <v/>
      </c>
      <c r="C258" s="148" t="n">
        <v>37</v>
      </c>
      <c r="D258" s="148" t="inlineStr">
        <is>
          <t>DC S4</t>
        </is>
      </c>
      <c r="E258" s="148" t="inlineStr">
        <is>
          <t>US</t>
        </is>
      </c>
      <c r="F258" s="148" t="inlineStr">
        <is>
          <t>Satin</t>
        </is>
      </c>
      <c r="G258" s="148" t="inlineStr">
        <is>
          <t>GOLAL</t>
        </is>
      </c>
      <c r="H258" s="148" t="inlineStr">
        <is>
          <t>Poor</t>
        </is>
      </c>
      <c r="I258" s="148" t="inlineStr">
        <is>
          <t>GOLAL Satin Sheets Full Size - 4 Pieces Luxury Silky Soft Bed Sheets, Wrinkle-Free Black Satin Silk Sheet Set with 1 Deep Pocket Fitted Sheet, 1 Flat Sheet, 2 Pillow Cases</t>
        </is>
      </c>
      <c r="J258" s="148" t="inlineStr">
        <is>
          <t>https://images-na.ssl-images-amazon.com/images/I/71r48b+Sh9L.jpg</t>
        </is>
      </c>
      <c r="K258" s="148" t="inlineStr">
        <is>
          <t>B0B1Q2JG5X</t>
        </is>
      </c>
      <c r="L258" s="148" t="inlineStr">
        <is>
          <t>B09G17SQXF</t>
        </is>
      </c>
      <c r="M258" s="148" t="n">
        <v>94</v>
      </c>
      <c r="N258" s="148" t="n">
        <v>21.99</v>
      </c>
      <c r="O258" s="148" t="n"/>
      <c r="P258" s="148">
        <f>IF(AND(ISNUMBER(O258),ISNUMBER(N258),N(N258)&gt;0),O258/N258-1,"")</f>
        <v/>
      </c>
      <c r="Q258" s="148" t="n">
        <v>29.95</v>
      </c>
      <c r="R258" s="148">
        <f>IF(AND(ISNUMBER(N258),ISNUMBER(Q258),N(Q258)&gt;0),N258/Q258-1,"")</f>
        <v/>
      </c>
      <c r="S258" s="148" t="n">
        <v>132024</v>
      </c>
      <c r="T258" s="148" t="n">
        <v>81</v>
      </c>
      <c r="U258" s="148" t="n">
        <v>4.4</v>
      </c>
      <c r="V258" s="148" t="n">
        <v>3943</v>
      </c>
      <c r="W258" s="148" t="n">
        <v>48561</v>
      </c>
      <c r="X258" s="148" t="n">
        <v>0.6641788183933609</v>
      </c>
      <c r="Y258" s="148" t="n">
        <v>236</v>
      </c>
      <c r="Z258" s="148" t="n">
        <v>121</v>
      </c>
      <c r="AA258" s="148" t="n">
        <v>21</v>
      </c>
      <c r="AB258" s="148" t="n">
        <v>0.8779220779220779</v>
      </c>
      <c r="AC258" s="148" t="inlineStr">
        <is>
          <t>US DC S4</t>
        </is>
      </c>
      <c r="AD258" s="148">
        <f>'US DC S4'!BF183</f>
        <v/>
      </c>
      <c r="AE258" s="148">
        <f>'US DC S4'!BI183</f>
        <v/>
      </c>
      <c r="AF258" s="148" t="inlineStr">
        <is>
          <t>Full</t>
        </is>
      </c>
      <c r="AG258" s="148" t="inlineStr">
        <is>
          <t>Black</t>
        </is>
      </c>
      <c r="AH258" s="148">
        <f>AND(E258="CA",OR('CA Dashboard'!$C$4="All",'CA Dashboard'!$C$4=D258),OR('CA Dashboard'!$C$5="All",'CA Dashboard'!$C$5=G258),OR('CA Dashboard'!$C$6="All",'CA Dashboard'!$C$6=H258),OR('CA Dashboard'!$C$7="All",'CA Dashboard'!$C$7=F258),OR('CA Dashboard'!$C$8="All",'CA Dashboard'!$C$8=AJ258))</f>
        <v/>
      </c>
      <c r="AI258" s="148">
        <f>IF(AH258,AI257+1,AI257)</f>
        <v/>
      </c>
      <c r="AJ258" s="148" t="inlineStr">
        <is>
          <t>Alternative material</t>
        </is>
      </c>
      <c r="AK258" s="148" t="inlineStr">
        <is>
          <t>Sheet set in Silk (title: GOLAL Satin Sheets Full Size - 4 Pieces Luxury Silky Soft Be); ours is Satin (polyester) (our listing: polyester satin). Shopper may cross-shop, but not like-for-like.</t>
        </is>
      </c>
    </row>
    <row r="259">
      <c r="A259" s="148">
        <f>AND(E259="US",OR('US Dashboard'!$C$4="All",'US Dashboard'!$C$4=D259),OR('US Dashboard'!$C$5="All",'US Dashboard'!$C$5=G259),OR('US Dashboard'!$C$6="All",'US Dashboard'!$C$6=H259),OR('US Dashboard'!$C$7="All",'US Dashboard'!$C$7=F259),OR('US Dashboard'!$C$8="All",'US Dashboard'!$C$8=AJ259))</f>
        <v/>
      </c>
      <c r="B259" s="148">
        <f>IF(A259,B258+1,B258)</f>
        <v/>
      </c>
      <c r="C259" s="148" t="n">
        <v>37</v>
      </c>
      <c r="D259" s="148" t="inlineStr">
        <is>
          <t>DC S4</t>
        </is>
      </c>
      <c r="E259" s="148" t="inlineStr">
        <is>
          <t>US</t>
        </is>
      </c>
      <c r="F259" s="148" t="inlineStr">
        <is>
          <t>Satin</t>
        </is>
      </c>
      <c r="G259" s="148" t="inlineStr">
        <is>
          <t>Vonty</t>
        </is>
      </c>
      <c r="H259" s="148" t="inlineStr">
        <is>
          <t>Poor</t>
        </is>
      </c>
      <c r="I259" s="148" t="inlineStr">
        <is>
          <t>Satin Sheets</t>
        </is>
      </c>
      <c r="J259" s="148" t="inlineStr">
        <is>
          <t>https://m.media-amazon.com/images/I/71HVTciZ9oL._AC_SL1500_.jpg</t>
        </is>
      </c>
      <c r="K259" s="148" t="inlineStr">
        <is>
          <t>B0BDDJM9RW</t>
        </is>
      </c>
      <c r="L259" s="148" t="inlineStr">
        <is>
          <t>B0BDDGJ38X</t>
        </is>
      </c>
      <c r="M259" s="148" t="n">
        <v>22</v>
      </c>
      <c r="N259" s="148" t="n">
        <v>30.99</v>
      </c>
      <c r="O259" s="148" t="n"/>
      <c r="P259" s="148">
        <f>IF(AND(ISNUMBER(O259),ISNUMBER(N259),N(N259)&gt;0),O259/N259-1,"")</f>
        <v/>
      </c>
      <c r="Q259" s="148" t="n">
        <v>33.95</v>
      </c>
      <c r="R259" s="148">
        <f>IF(AND(ISNUMBER(N259),ISNUMBER(Q259),N(Q259)&gt;0),N259/Q259-1,"")</f>
        <v/>
      </c>
      <c r="S259" s="148" t="n">
        <v>83620</v>
      </c>
      <c r="T259" s="148" t="n">
        <v>35</v>
      </c>
      <c r="U259" s="148" t="n">
        <v>4.2</v>
      </c>
      <c r="V259" s="148" t="n">
        <v>909</v>
      </c>
      <c r="W259" s="148" t="n">
        <v>11441</v>
      </c>
      <c r="X259" s="148" t="n">
        <v>0.9484301110042829</v>
      </c>
      <c r="Y259" s="148" t="n">
        <v>180</v>
      </c>
      <c r="Z259" s="148" t="n">
        <v>38</v>
      </c>
      <c r="AA259" s="148" t="n">
        <v>13</v>
      </c>
      <c r="AB259" s="148" t="n">
        <v>0.9861111111111112</v>
      </c>
      <c r="AC259" s="148" t="inlineStr">
        <is>
          <t>US DC S4</t>
        </is>
      </c>
      <c r="AD259" s="148">
        <f>'US DC S4'!BF184</f>
        <v/>
      </c>
      <c r="AE259" s="148">
        <f>'US DC S4'!BI184</f>
        <v/>
      </c>
      <c r="AF259" s="148" t="inlineStr">
        <is>
          <t>King - Extra Deep Pocket</t>
        </is>
      </c>
      <c r="AG259" s="148" t="inlineStr">
        <is>
          <t>Black</t>
        </is>
      </c>
      <c r="AH259" s="148">
        <f>AND(E259="CA",OR('CA Dashboard'!$C$4="All",'CA Dashboard'!$C$4=D259),OR('CA Dashboard'!$C$5="All",'CA Dashboard'!$C$5=G259),OR('CA Dashboard'!$C$6="All",'CA Dashboard'!$C$6=H259),OR('CA Dashboard'!$C$7="All",'CA Dashboard'!$C$7=F259),OR('CA Dashboard'!$C$8="All",'CA Dashboard'!$C$8=AJ259))</f>
        <v/>
      </c>
      <c r="AI259" s="148">
        <f>IF(AH259,AI258+1,AI258)</f>
        <v/>
      </c>
      <c r="AJ259" s="148" t="inlineStr">
        <is>
          <t>Alternative material</t>
        </is>
      </c>
      <c r="AK259" s="148" t="inlineStr">
        <is>
          <t>Sheet set in Microfiber / polyester (product page material: Polyester); ours is Satin (polyester) (our listing: polyester satin). Shopper may cross-shop, but not like-for-like.</t>
        </is>
      </c>
    </row>
    <row r="260">
      <c r="A260" s="148">
        <f>AND(E260="US",OR('US Dashboard'!$C$4="All",'US Dashboard'!$C$4=D260),OR('US Dashboard'!$C$5="All",'US Dashboard'!$C$5=G260),OR('US Dashboard'!$C$6="All",'US Dashboard'!$C$6=H260),OR('US Dashboard'!$C$7="All",'US Dashboard'!$C$7=F260),OR('US Dashboard'!$C$8="All",'US Dashboard'!$C$8=AJ260))</f>
        <v/>
      </c>
      <c r="B260" s="148">
        <f>IF(A260,B259+1,B259)</f>
        <v/>
      </c>
      <c r="C260" s="148" t="n">
        <v>37</v>
      </c>
      <c r="D260" s="148" t="inlineStr">
        <is>
          <t>DC S4</t>
        </is>
      </c>
      <c r="E260" s="148" t="inlineStr">
        <is>
          <t>US</t>
        </is>
      </c>
      <c r="F260" s="148" t="inlineStr">
        <is>
          <t>Satin</t>
        </is>
      </c>
      <c r="G260" s="148" t="inlineStr">
        <is>
          <t>Madison Park</t>
        </is>
      </c>
      <c r="H260" s="148" t="inlineStr">
        <is>
          <t>Poor</t>
        </is>
      </c>
      <c r="I260" s="148" t="inlineStr">
        <is>
          <t>Satin Sheets</t>
        </is>
      </c>
      <c r="J260" s="148" t="inlineStr">
        <is>
          <t>https://images-na.ssl-images-amazon.com/images/I/81HS7e6wrTL.jpg</t>
        </is>
      </c>
      <c r="K260" s="148" t="inlineStr">
        <is>
          <t>B0DJ2HJ9M4</t>
        </is>
      </c>
      <c r="L260" s="148" t="inlineStr">
        <is>
          <t>B09HVCPNLX</t>
        </is>
      </c>
      <c r="M260" s="148" t="n">
        <v>44</v>
      </c>
      <c r="N260" s="148" t="n">
        <v>26.99</v>
      </c>
      <c r="O260" s="148" t="n"/>
      <c r="P260" s="148">
        <f>IF(AND(ISNUMBER(O260),ISNUMBER(N260),N(N260)&gt;0),O260/N260-1,"")</f>
        <v/>
      </c>
      <c r="Q260" s="148" t="n">
        <v>31.95</v>
      </c>
      <c r="R260" s="148">
        <f>IF(AND(ISNUMBER(N260),ISNUMBER(Q260),N(Q260)&gt;0),N260/Q260-1,"")</f>
        <v/>
      </c>
      <c r="S260" s="148" t="n">
        <v>76753</v>
      </c>
      <c r="T260" s="148" t="n">
        <v>18</v>
      </c>
      <c r="U260" s="148" t="n">
        <v>4.5</v>
      </c>
      <c r="V260" s="148" t="n">
        <v>127</v>
      </c>
      <c r="W260" s="148" t="n">
        <v>35631</v>
      </c>
      <c r="X260" s="148" t="n">
        <v>0.9497345738261626</v>
      </c>
      <c r="Y260" s="148" t="n">
        <v>188</v>
      </c>
      <c r="Z260" s="148" t="n">
        <v>84</v>
      </c>
      <c r="AA260" s="148" t="n">
        <v>13</v>
      </c>
      <c r="AB260" s="148" t="n">
        <v>0.6901408450704226</v>
      </c>
      <c r="AC260" s="148" t="inlineStr">
        <is>
          <t>US DC S4</t>
        </is>
      </c>
      <c r="AD260" s="148">
        <f>'US DC S4'!BF185</f>
        <v/>
      </c>
      <c r="AE260" s="148">
        <f>'US DC S4'!BI185</f>
        <v/>
      </c>
      <c r="AF260" s="148" t="inlineStr">
        <is>
          <t>Queen</t>
        </is>
      </c>
      <c r="AG260" s="148" t="inlineStr">
        <is>
          <t>Ivory</t>
        </is>
      </c>
      <c r="AH260" s="148">
        <f>AND(E260="CA",OR('CA Dashboard'!$C$4="All",'CA Dashboard'!$C$4=D260),OR('CA Dashboard'!$C$5="All",'CA Dashboard'!$C$5=G260),OR('CA Dashboard'!$C$6="All",'CA Dashboard'!$C$6=H260),OR('CA Dashboard'!$C$7="All",'CA Dashboard'!$C$7=F260),OR('CA Dashboard'!$C$8="All",'CA Dashboard'!$C$8=AJ260))</f>
        <v/>
      </c>
      <c r="AI260" s="148">
        <f>IF(AH260,AI259+1,AI259)</f>
        <v/>
      </c>
      <c r="AJ260" s="148" t="inlineStr">
        <is>
          <t>Alternative material</t>
        </is>
      </c>
      <c r="AK260" s="148" t="inlineStr">
        <is>
          <t>Sheet set in Microfiber / polyester (product page material: Polyester); ours is Satin (polyester) (our listing: polyester satin). Shopper may cross-shop, but not like-for-like.</t>
        </is>
      </c>
    </row>
    <row r="261">
      <c r="A261" s="148">
        <f>AND(E261="US",OR('US Dashboard'!$C$4="All",'US Dashboard'!$C$4=D261),OR('US Dashboard'!$C$5="All",'US Dashboard'!$C$5=G261),OR('US Dashboard'!$C$6="All",'US Dashboard'!$C$6=H261),OR('US Dashboard'!$C$7="All",'US Dashboard'!$C$7=F261),OR('US Dashboard'!$C$8="All",'US Dashboard'!$C$8=AJ261))</f>
        <v/>
      </c>
      <c r="B261" s="148">
        <f>IF(A261,B260+1,B260)</f>
        <v/>
      </c>
      <c r="C261" s="148" t="n">
        <v>37</v>
      </c>
      <c r="D261" s="148" t="inlineStr">
        <is>
          <t>DC S4</t>
        </is>
      </c>
      <c r="E261" s="148" t="inlineStr">
        <is>
          <t>US</t>
        </is>
      </c>
      <c r="F261" s="148" t="inlineStr">
        <is>
          <t>Satin</t>
        </is>
      </c>
      <c r="G261" s="148" t="inlineStr">
        <is>
          <t>Juicy Couture</t>
        </is>
      </c>
      <c r="H261" s="148" t="inlineStr">
        <is>
          <t>Poor</t>
        </is>
      </c>
      <c r="I261" s="148" t="inlineStr">
        <is>
          <t>Juicy Couture Queen Size Satin Bed Sheet Set, Deep Pocket Silky Satin Queen Shee</t>
        </is>
      </c>
      <c r="J261" s="148" t="inlineStr">
        <is>
          <t>https://images-na.ssl-images-amazon.com/images/I/81M3kmoCTLL.jpg</t>
        </is>
      </c>
      <c r="K261" s="148" t="inlineStr">
        <is>
          <t>B0FB47M9WR</t>
        </is>
      </c>
      <c r="L261" s="148" t="inlineStr">
        <is>
          <t>B0BK1WH383</t>
        </is>
      </c>
      <c r="M261" s="148" t="n">
        <v>58</v>
      </c>
      <c r="N261" s="148" t="n">
        <v>5.93</v>
      </c>
      <c r="O261" s="148" t="n"/>
      <c r="P261" s="148">
        <f>IF(AND(ISNUMBER(O261),ISNUMBER(N261),N(N261)&gt;0),O261/N261-1,"")</f>
        <v/>
      </c>
      <c r="Q261" s="148" t="n">
        <v>32.03724980901451</v>
      </c>
      <c r="R261" s="148">
        <f>IF(AND(ISNUMBER(N261),ISNUMBER(Q261),N(Q261)&gt;0),N261/Q261-1,"")</f>
        <v/>
      </c>
      <c r="S261" s="148" t="n">
        <v>80060</v>
      </c>
      <c r="T261" s="148" t="n">
        <v>5</v>
      </c>
      <c r="U261" s="148" t="n">
        <v>4.6</v>
      </c>
      <c r="V261" s="148" t="n">
        <v>46</v>
      </c>
      <c r="W261" s="148" t="n">
        <v>41904</v>
      </c>
      <c r="X261" s="148" t="n">
        <v>0.8273237471363115</v>
      </c>
      <c r="Y261" s="148" t="n">
        <v>225</v>
      </c>
      <c r="Z261" s="148" t="n">
        <v>113</v>
      </c>
      <c r="AA261" s="148" t="n">
        <v>124</v>
      </c>
      <c r="AB261" s="148" t="n"/>
      <c r="AC261" s="148" t="inlineStr">
        <is>
          <t>US DC S4</t>
        </is>
      </c>
      <c r="AD261" s="148">
        <f>'US DC S4'!BF186</f>
        <v/>
      </c>
      <c r="AE261" s="148">
        <f>'US DC S4'!BI186</f>
        <v/>
      </c>
      <c r="AF261" s="148" t="inlineStr">
        <is>
          <t>Standard Pillowcases - 2 Piece Set</t>
        </is>
      </c>
      <c r="AG261" s="148" t="inlineStr">
        <is>
          <t>Pink</t>
        </is>
      </c>
      <c r="AH261" s="148">
        <f>AND(E261="CA",OR('CA Dashboard'!$C$4="All",'CA Dashboard'!$C$4=D261),OR('CA Dashboard'!$C$5="All",'CA Dashboard'!$C$5=G261),OR('CA Dashboard'!$C$6="All",'CA Dashboard'!$C$6=H261),OR('CA Dashboard'!$C$7="All",'CA Dashboard'!$C$7=F261),OR('CA Dashboard'!$C$8="All",'CA Dashboard'!$C$8=AJ261))</f>
        <v/>
      </c>
      <c r="AI261" s="148">
        <f>IF(AH261,AI260+1,AI260)</f>
        <v/>
      </c>
      <c r="AJ261" s="148" t="inlineStr">
        <is>
          <t>Alternative material</t>
        </is>
      </c>
      <c r="AK261" s="148" t="inlineStr">
        <is>
          <t>Sheet set in Microfiber / polyester (product page material: Polyester); ours is Satin (polyester) (our listing: polyester satin). Shopper may cross-shop, but not like-for-like.</t>
        </is>
      </c>
    </row>
    <row r="262">
      <c r="A262" s="148">
        <f>AND(E262="US",OR('US Dashboard'!$C$4="All",'US Dashboard'!$C$4=D262),OR('US Dashboard'!$C$5="All",'US Dashboard'!$C$5=G262),OR('US Dashboard'!$C$6="All",'US Dashboard'!$C$6=H262),OR('US Dashboard'!$C$7="All",'US Dashboard'!$C$7=F262),OR('US Dashboard'!$C$8="All",'US Dashboard'!$C$8=AJ262))</f>
        <v/>
      </c>
      <c r="B262" s="148">
        <f>IF(A262,B261+1,B261)</f>
        <v/>
      </c>
      <c r="C262" s="148" t="n">
        <v>37</v>
      </c>
      <c r="D262" s="148" t="inlineStr">
        <is>
          <t>DC S4</t>
        </is>
      </c>
      <c r="E262" s="148" t="inlineStr">
        <is>
          <t>US</t>
        </is>
      </c>
      <c r="F262" s="148" t="inlineStr">
        <is>
          <t>Satin</t>
        </is>
      </c>
      <c r="G262" s="148" t="inlineStr">
        <is>
          <t>Sasttie</t>
        </is>
      </c>
      <c r="H262" s="148" t="inlineStr">
        <is>
          <t>Untiered</t>
        </is>
      </c>
      <c r="I262" s="148" t="inlineStr">
        <is>
          <t>Sasttie Satin Sheets Queen Size - 4 Pieces Luxury Soft Black Silky Bed Sheets Set with Pillowcases - Smooth Silk-Like Satin Fabric, Reinforced 14 Inches Pocket, Oeko-Tex Certified</t>
        </is>
      </c>
      <c r="J262" s="148" t="inlineStr">
        <is>
          <t>https://images-na.ssl-images-amazon.com/images/I/71MADUOjsFL.jpg</t>
        </is>
      </c>
      <c r="K262" s="148" t="inlineStr">
        <is>
          <t>B0F2H9HX69</t>
        </is>
      </c>
      <c r="L262" s="148" t="inlineStr">
        <is>
          <t>B0F2H8LPB3</t>
        </is>
      </c>
      <c r="M262" s="148" t="n">
        <v>47</v>
      </c>
      <c r="N262" s="148" t="n">
        <v>15.99</v>
      </c>
      <c r="O262" s="148" t="n"/>
      <c r="P262" s="148">
        <f>IF(AND(ISNUMBER(O262),ISNUMBER(N262),N(N262)&gt;0),O262/N262-1,"")</f>
        <v/>
      </c>
      <c r="Q262" s="148" t="n">
        <v>31.95</v>
      </c>
      <c r="R262" s="148">
        <f>IF(AND(ISNUMBER(N262),ISNUMBER(Q262),N(Q262)&gt;0),N262/Q262-1,"")</f>
        <v/>
      </c>
      <c r="S262" s="148" t="n">
        <v>58723</v>
      </c>
      <c r="T262" s="148" t="n">
        <v>35</v>
      </c>
      <c r="U262" s="148" t="n">
        <v>4.5</v>
      </c>
      <c r="V262" s="148" t="n">
        <v>968</v>
      </c>
      <c r="W262" s="148" t="n">
        <v>26952</v>
      </c>
      <c r="X262" s="148" t="n">
        <v>0.9879767104482041</v>
      </c>
      <c r="Y262" s="148" t="n">
        <v>242</v>
      </c>
      <c r="Z262" s="148" t="n">
        <v>78</v>
      </c>
      <c r="AA262" s="148" t="n">
        <v>12</v>
      </c>
      <c r="AB262" s="148" t="n">
        <v>1.063356164383562</v>
      </c>
      <c r="AC262" s="148" t="inlineStr">
        <is>
          <t>US DC S4</t>
        </is>
      </c>
      <c r="AD262" s="148">
        <f>'US DC S4'!BF187</f>
        <v/>
      </c>
      <c r="AE262" s="148">
        <f>'US DC S4'!BI187</f>
        <v/>
      </c>
      <c r="AF262" s="148" t="inlineStr">
        <is>
          <t>Queen</t>
        </is>
      </c>
      <c r="AG262" s="148" t="inlineStr">
        <is>
          <t>Black</t>
        </is>
      </c>
      <c r="AH262" s="148">
        <f>AND(E262="CA",OR('CA Dashboard'!$C$4="All",'CA Dashboard'!$C$4=D262),OR('CA Dashboard'!$C$5="All",'CA Dashboard'!$C$5=G262),OR('CA Dashboard'!$C$6="All",'CA Dashboard'!$C$6=H262),OR('CA Dashboard'!$C$7="All",'CA Dashboard'!$C$7=F262),OR('CA Dashboard'!$C$8="All",'CA Dashboard'!$C$8=AJ262))</f>
        <v/>
      </c>
      <c r="AI262" s="148">
        <f>IF(AH262,AI261+1,AI261)</f>
        <v/>
      </c>
      <c r="AJ262" s="148" t="inlineStr">
        <is>
          <t>Alternative material</t>
        </is>
      </c>
      <c r="AK262" s="148" t="inlineStr">
        <is>
          <t>Sheet set in Silk (title: Sasttie Satin Sheets Queen Size - 4 Pieces Luxury Soft Black); ours is Satin (polyester) (our listing: polyester satin). Shopper may cross-shop, but not like-for-like.</t>
        </is>
      </c>
    </row>
    <row r="263">
      <c r="A263" s="148">
        <f>AND(E263="US",OR('US Dashboard'!$C$4="All",'US Dashboard'!$C$4=D263),OR('US Dashboard'!$C$5="All",'US Dashboard'!$C$5=G263),OR('US Dashboard'!$C$6="All",'US Dashboard'!$C$6=H263),OR('US Dashboard'!$C$7="All",'US Dashboard'!$C$7=F263),OR('US Dashboard'!$C$8="All",'US Dashboard'!$C$8=AJ263))</f>
        <v/>
      </c>
      <c r="B263" s="148">
        <f>IF(A263,B262+1,B262)</f>
        <v/>
      </c>
      <c r="C263" s="148" t="n">
        <v>37</v>
      </c>
      <c r="D263" s="148" t="inlineStr">
        <is>
          <t>DC S4</t>
        </is>
      </c>
      <c r="E263" s="148" t="inlineStr">
        <is>
          <t>CA</t>
        </is>
      </c>
      <c r="F263" s="148" t="inlineStr">
        <is>
          <t>Satin</t>
        </is>
      </c>
      <c r="G263" s="148" t="inlineStr">
        <is>
          <t>Sasttie</t>
        </is>
      </c>
      <c r="H263" s="148" t="inlineStr">
        <is>
          <t>Untiered</t>
        </is>
      </c>
      <c r="I263" s="148" t="inlineStr">
        <is>
          <t>Sasttie Satin Sheets Queen - 4 Pieces Luxury Soft Black Silky Bed Sheets Set with Pillowcases - Smooth Silk-Like Drap Satin Fabric, Reinforced 14 Inches Pocket, Oeko-Tex Certified</t>
        </is>
      </c>
      <c r="J263" s="148" t="inlineStr">
        <is>
          <t>https://m.media-amazon.com/images/I/71MADUOjsFL.jpg</t>
        </is>
      </c>
      <c r="K263" s="148" t="inlineStr">
        <is>
          <t>B0F2HNJ52T</t>
        </is>
      </c>
      <c r="L263" s="148" t="inlineStr">
        <is>
          <t>B0F2H8LPB3</t>
        </is>
      </c>
      <c r="M263" s="148" t="n">
        <v>83</v>
      </c>
      <c r="N263" s="148" t="n">
        <v>31.99</v>
      </c>
      <c r="O263" s="148" t="n"/>
      <c r="P263" s="148">
        <f>IF(AND(ISNUMBER(O263),ISNUMBER(N263),N(N263)&gt;0),O263/N263-1,"")</f>
        <v/>
      </c>
      <c r="Q263" s="148" t="n">
        <v>47.99</v>
      </c>
      <c r="R263" s="148">
        <f>IF(AND(ISNUMBER(N263),ISNUMBER(Q263),N(Q263)&gt;0),N263/Q263-1,"")</f>
        <v/>
      </c>
      <c r="S263" s="148" t="n">
        <v>1428</v>
      </c>
      <c r="T263" s="148" t="n"/>
      <c r="U263" s="148" t="n">
        <v>4.2</v>
      </c>
      <c r="V263" s="148" t="n">
        <v>962</v>
      </c>
      <c r="W263" s="148" t="n"/>
      <c r="X263" s="148" t="n"/>
      <c r="Y263" s="148" t="n"/>
      <c r="Z263" s="148" t="n"/>
      <c r="AA263" s="148" t="n"/>
      <c r="AB263" s="148" t="n"/>
      <c r="AC263" s="148" t="inlineStr">
        <is>
          <t>CA DC S4</t>
        </is>
      </c>
      <c r="AD263" s="148">
        <f>'CA DC S4'!BF180</f>
        <v/>
      </c>
      <c r="AE263" s="148">
        <f>'CA DC S4'!BI180</f>
        <v/>
      </c>
      <c r="AF263" s="148" t="inlineStr">
        <is>
          <t>Queen</t>
        </is>
      </c>
      <c r="AG263" s="148" t="inlineStr">
        <is>
          <t>Black</t>
        </is>
      </c>
      <c r="AH263" s="148">
        <f>AND(E263="CA",OR('CA Dashboard'!$C$4="All",'CA Dashboard'!$C$4=D263),OR('CA Dashboard'!$C$5="All",'CA Dashboard'!$C$5=G263),OR('CA Dashboard'!$C$6="All",'CA Dashboard'!$C$6=H263),OR('CA Dashboard'!$C$7="All",'CA Dashboard'!$C$7=F263),OR('CA Dashboard'!$C$8="All",'CA Dashboard'!$C$8=AJ263))</f>
        <v/>
      </c>
      <c r="AI263" s="148">
        <f>IF(AH263,AI262+1,AI262)</f>
        <v/>
      </c>
      <c r="AJ263" s="148" t="inlineStr">
        <is>
          <t>Alternative material</t>
        </is>
      </c>
      <c r="AK263" s="148" t="inlineStr">
        <is>
          <t>Sheet set in Silk (title: Sasttie Satin Sheets Queen - 4 Pieces Luxury Soft Black Silk); ours is Satin (polyester) (our listing: polyester satin). Shopper may cross-shop, but not like-for-like.</t>
        </is>
      </c>
    </row>
    <row r="264">
      <c r="A264" s="148">
        <f>AND(E264="US",OR('US Dashboard'!$C$4="All",'US Dashboard'!$C$4=D264),OR('US Dashboard'!$C$5="All",'US Dashboard'!$C$5=G264),OR('US Dashboard'!$C$6="All",'US Dashboard'!$C$6=H264),OR('US Dashboard'!$C$7="All",'US Dashboard'!$C$7=F264),OR('US Dashboard'!$C$8="All",'US Dashboard'!$C$8=AJ264))</f>
        <v/>
      </c>
      <c r="B264" s="148">
        <f>IF(A264,B263+1,B263)</f>
        <v/>
      </c>
      <c r="C264" s="148" t="n">
        <v>37</v>
      </c>
      <c r="D264" s="148" t="inlineStr">
        <is>
          <t>DC S4</t>
        </is>
      </c>
      <c r="E264" s="148" t="inlineStr">
        <is>
          <t>CA</t>
        </is>
      </c>
      <c r="F264" s="148" t="inlineStr">
        <is>
          <t>Satin</t>
        </is>
      </c>
      <c r="G264" s="148" t="inlineStr">
        <is>
          <t>LIFCOM</t>
        </is>
      </c>
      <c r="H264" s="148" t="inlineStr">
        <is>
          <t>Untiered</t>
        </is>
      </c>
      <c r="I264" s="148" t="inlineStr">
        <is>
          <t>Satin Sheets Queen Size Bed Set,Similar to Silk Sheets,4Pcs Luxury Satin Sheet Set with 15 Inches Deep Pocket (Queen, Dark Grey)</t>
        </is>
      </c>
      <c r="J264" s="148" t="inlineStr">
        <is>
          <t>https://m.media-amazon.com/images/I/71tkklWokTL.jpg</t>
        </is>
      </c>
      <c r="K264" s="148" t="inlineStr">
        <is>
          <t>B0DJXBHN44</t>
        </is>
      </c>
      <c r="L264" s="148" t="inlineStr">
        <is>
          <t>B0DCC37WB3</t>
        </is>
      </c>
      <c r="M264" s="148" t="n">
        <v>70</v>
      </c>
      <c r="N264" s="148" t="n">
        <v>42.74</v>
      </c>
      <c r="O264" s="148" t="n"/>
      <c r="P264" s="148">
        <f>IF(AND(ISNUMBER(O264),ISNUMBER(N264),N(N264)&gt;0),O264/N264-1,"")</f>
        <v/>
      </c>
      <c r="Q264" s="148" t="n">
        <v>47.99</v>
      </c>
      <c r="R264" s="148">
        <f>IF(AND(ISNUMBER(N264),ISNUMBER(Q264),N(Q264)&gt;0),N264/Q264-1,"")</f>
        <v/>
      </c>
      <c r="S264" s="148" t="n">
        <v>72861</v>
      </c>
      <c r="T264" s="148" t="n"/>
      <c r="U264" s="148" t="n">
        <v>4.3</v>
      </c>
      <c r="V264" s="148" t="n">
        <v>351</v>
      </c>
      <c r="W264" s="148" t="n"/>
      <c r="X264" s="148" t="n"/>
      <c r="Y264" s="148" t="n"/>
      <c r="Z264" s="148" t="n"/>
      <c r="AA264" s="148" t="n"/>
      <c r="AB264" s="148" t="n"/>
      <c r="AC264" s="148" t="inlineStr">
        <is>
          <t>CA DC S4</t>
        </is>
      </c>
      <c r="AD264" s="148">
        <f>'CA DC S4'!BF181</f>
        <v/>
      </c>
      <c r="AE264" s="148">
        <f>'CA DC S4'!BI181</f>
        <v/>
      </c>
      <c r="AF264" s="148" t="inlineStr">
        <is>
          <t>Queen</t>
        </is>
      </c>
      <c r="AG264" s="148" t="inlineStr">
        <is>
          <t>Dark Grey</t>
        </is>
      </c>
      <c r="AH264" s="148">
        <f>AND(E264="CA",OR('CA Dashboard'!$C$4="All",'CA Dashboard'!$C$4=D264),OR('CA Dashboard'!$C$5="All",'CA Dashboard'!$C$5=G264),OR('CA Dashboard'!$C$6="All",'CA Dashboard'!$C$6=H264),OR('CA Dashboard'!$C$7="All",'CA Dashboard'!$C$7=F264),OR('CA Dashboard'!$C$8="All",'CA Dashboard'!$C$8=AJ264))</f>
        <v/>
      </c>
      <c r="AI264" s="148">
        <f>IF(AH264,AI263+1,AI263)</f>
        <v/>
      </c>
      <c r="AJ264" s="148" t="inlineStr">
        <is>
          <t>Alternative material</t>
        </is>
      </c>
      <c r="AK264" s="148" t="inlineStr">
        <is>
          <t>Sheet set in Silk (title: Satin Sheets Queen Size Bed Set,Similar to Silk Sheets,4Pcs ); ours is Satin (polyester) (our listing: polyester satin). Shopper may cross-shop, but not like-for-like.</t>
        </is>
      </c>
    </row>
    <row r="265">
      <c r="A265" s="148">
        <f>AND(E265="US",OR('US Dashboard'!$C$4="All",'US Dashboard'!$C$4=D265),OR('US Dashboard'!$C$5="All",'US Dashboard'!$C$5=G265),OR('US Dashboard'!$C$6="All",'US Dashboard'!$C$6=H265),OR('US Dashboard'!$C$7="All",'US Dashboard'!$C$7=F265),OR('US Dashboard'!$C$8="All",'US Dashboard'!$C$8=AJ265))</f>
        <v/>
      </c>
      <c r="B265" s="148">
        <f>IF(A265,B264+1,B264)</f>
        <v/>
      </c>
      <c r="C265" s="148" t="n">
        <v>37</v>
      </c>
      <c r="D265" s="148" t="inlineStr">
        <is>
          <t>DC S4</t>
        </is>
      </c>
      <c r="E265" s="148" t="inlineStr">
        <is>
          <t>CA</t>
        </is>
      </c>
      <c r="F265" s="148" t="inlineStr">
        <is>
          <t>Satin</t>
        </is>
      </c>
      <c r="G265" s="148" t="inlineStr">
        <is>
          <t>Lanest Housing</t>
        </is>
      </c>
      <c r="H265" s="148" t="inlineStr">
        <is>
          <t>Untiered</t>
        </is>
      </c>
      <c r="I265" s="148" t="inlineStr">
        <is>
          <t>Lanest Housing Silk Satin Sheets, 4-Piece Queen Size Satin Bed Sheet Set with Deep Pockets, Cooling Soft and Hypoallergenic Satin Sheets Queen - Black</t>
        </is>
      </c>
      <c r="J265" s="148" t="inlineStr">
        <is>
          <t>https://m.media-amazon.com/images/I/71Ilt8ijNsL.jpg</t>
        </is>
      </c>
      <c r="K265" s="148" t="inlineStr">
        <is>
          <t>B07WD4MJHW</t>
        </is>
      </c>
      <c r="L265" s="148" t="inlineStr">
        <is>
          <t>B07VWFV7MB</t>
        </is>
      </c>
      <c r="M265" s="148" t="n">
        <v>146</v>
      </c>
      <c r="N265" s="148" t="n">
        <v>43.77</v>
      </c>
      <c r="O265" s="148" t="n"/>
      <c r="P265" s="148">
        <f>IF(AND(ISNUMBER(O265),ISNUMBER(N265),N(N265)&gt;0),O265/N265-1,"")</f>
        <v/>
      </c>
      <c r="Q265" s="148" t="n">
        <v>47.99</v>
      </c>
      <c r="R265" s="148">
        <f>IF(AND(ISNUMBER(N265),ISNUMBER(Q265),N(Q265)&gt;0),N265/Q265-1,"")</f>
        <v/>
      </c>
      <c r="S265" s="148" t="n">
        <v>153252</v>
      </c>
      <c r="T265" s="148" t="n"/>
      <c r="U265" s="148" t="n">
        <v>4.2</v>
      </c>
      <c r="V265" s="148" t="n">
        <v>5574</v>
      </c>
      <c r="W265" s="148" t="n"/>
      <c r="X265" s="148" t="n"/>
      <c r="Y265" s="148" t="n"/>
      <c r="Z265" s="148" t="n"/>
      <c r="AA265" s="148" t="n"/>
      <c r="AB265" s="148" t="n"/>
      <c r="AC265" s="148" t="inlineStr">
        <is>
          <t>CA DC S4</t>
        </is>
      </c>
      <c r="AD265" s="148">
        <f>'CA DC S4'!BF182</f>
        <v/>
      </c>
      <c r="AE265" s="148">
        <f>'CA DC S4'!BI182</f>
        <v/>
      </c>
      <c r="AF265" s="148" t="inlineStr">
        <is>
          <t>Queen</t>
        </is>
      </c>
      <c r="AG265" s="148" t="inlineStr">
        <is>
          <t>Black</t>
        </is>
      </c>
      <c r="AH265" s="148">
        <f>AND(E265="CA",OR('CA Dashboard'!$C$4="All",'CA Dashboard'!$C$4=D265),OR('CA Dashboard'!$C$5="All",'CA Dashboard'!$C$5=G265),OR('CA Dashboard'!$C$6="All",'CA Dashboard'!$C$6=H265),OR('CA Dashboard'!$C$7="All",'CA Dashboard'!$C$7=F265),OR('CA Dashboard'!$C$8="All",'CA Dashboard'!$C$8=AJ265))</f>
        <v/>
      </c>
      <c r="AI265" s="148">
        <f>IF(AH265,AI264+1,AI264)</f>
        <v/>
      </c>
      <c r="AJ265" s="148" t="inlineStr">
        <is>
          <t>Alternative material</t>
        </is>
      </c>
      <c r="AK265" s="148" t="inlineStr">
        <is>
          <t>Sheet set in Silk (title: Lanest Housing Silk Satin Sheets, 4-Piece Queen Size Satin B); ours is Satin (polyester) (our listing: polyester satin). Shopper may cross-shop, but not like-for-like.</t>
        </is>
      </c>
    </row>
    <row r="266">
      <c r="A266" s="148">
        <f>AND(E266="US",OR('US Dashboard'!$C$4="All",'US Dashboard'!$C$4=D266),OR('US Dashboard'!$C$5="All",'US Dashboard'!$C$5=G266),OR('US Dashboard'!$C$6="All",'US Dashboard'!$C$6=H266),OR('US Dashboard'!$C$7="All",'US Dashboard'!$C$7=F266),OR('US Dashboard'!$C$8="All",'US Dashboard'!$C$8=AJ266))</f>
        <v/>
      </c>
      <c r="B266" s="148">
        <f>IF(A266,B265+1,B265)</f>
        <v/>
      </c>
      <c r="C266" s="148" t="n">
        <v>37</v>
      </c>
      <c r="D266" s="148" t="inlineStr">
        <is>
          <t>DC S4</t>
        </is>
      </c>
      <c r="E266" s="148" t="inlineStr">
        <is>
          <t>CA</t>
        </is>
      </c>
      <c r="F266" s="148" t="inlineStr">
        <is>
          <t>Satin</t>
        </is>
      </c>
      <c r="G266" s="148" t="inlineStr">
        <is>
          <t>Bare Home</t>
        </is>
      </c>
      <c r="H266" s="148" t="inlineStr">
        <is>
          <t>Untiered</t>
        </is>
      </c>
      <c r="I266" s="148" t="inlineStr">
        <is>
          <t>Bare Home Poly Satin Sheet Set Similar to Silk (Queen, Blush)</t>
        </is>
      </c>
      <c r="J266" s="148" t="inlineStr">
        <is>
          <t>https://m.media-amazon.com/images/I/61WvjxRfgdL.jpg</t>
        </is>
      </c>
      <c r="K266" s="148" t="inlineStr">
        <is>
          <t>B0DJHFP2WL</t>
        </is>
      </c>
      <c r="L266" s="148" t="inlineStr">
        <is>
          <t>B0DJDXH65M</t>
        </is>
      </c>
      <c r="M266" s="148" t="n">
        <v>37</v>
      </c>
      <c r="N266" s="148" t="n">
        <v>63.99</v>
      </c>
      <c r="O266" s="148" t="n"/>
      <c r="P266" s="148">
        <f>IF(AND(ISNUMBER(O266),ISNUMBER(N266),N(N266)&gt;0),O266/N266-1,"")</f>
        <v/>
      </c>
      <c r="Q266" s="148" t="n">
        <v>47.99</v>
      </c>
      <c r="R266" s="148">
        <f>IF(AND(ISNUMBER(N266),ISNUMBER(Q266),N(Q266)&gt;0),N266/Q266-1,"")</f>
        <v/>
      </c>
      <c r="S266" s="148" t="n">
        <v>55879</v>
      </c>
      <c r="T266" s="148" t="n"/>
      <c r="U266" s="148" t="n">
        <v>3.6</v>
      </c>
      <c r="V266" s="148" t="n">
        <v>114</v>
      </c>
      <c r="W266" s="148" t="n"/>
      <c r="X266" s="148" t="n"/>
      <c r="Y266" s="148" t="n"/>
      <c r="Z266" s="148" t="n"/>
      <c r="AA266" s="148" t="n"/>
      <c r="AB266" s="148" t="n"/>
      <c r="AC266" s="148" t="inlineStr">
        <is>
          <t>CA DC S4</t>
        </is>
      </c>
      <c r="AD266" s="148">
        <f>'CA DC S4'!BF183</f>
        <v/>
      </c>
      <c r="AE266" s="148">
        <f>'CA DC S4'!BI183</f>
        <v/>
      </c>
      <c r="AF266" s="148" t="inlineStr">
        <is>
          <t>Queen</t>
        </is>
      </c>
      <c r="AG266" s="148" t="inlineStr">
        <is>
          <t>05 - Blush</t>
        </is>
      </c>
      <c r="AH266" s="148">
        <f>AND(E266="CA",OR('CA Dashboard'!$C$4="All",'CA Dashboard'!$C$4=D266),OR('CA Dashboard'!$C$5="All",'CA Dashboard'!$C$5=G266),OR('CA Dashboard'!$C$6="All",'CA Dashboard'!$C$6=H266),OR('CA Dashboard'!$C$7="All",'CA Dashboard'!$C$7=F266),OR('CA Dashboard'!$C$8="All",'CA Dashboard'!$C$8=AJ266))</f>
        <v/>
      </c>
      <c r="AI266" s="148">
        <f>IF(AH266,AI265+1,AI265)</f>
        <v/>
      </c>
      <c r="AJ266" s="148" t="inlineStr">
        <is>
          <t>Alternative material</t>
        </is>
      </c>
      <c r="AK266" s="148" t="inlineStr">
        <is>
          <t>Sheet set in Silk (title: Bare Home Poly Satin Sheet Set Similar to Silk (Queen, Blush); ours is Satin (polyester) (our listing: polyester satin). Shopper may cross-shop, but not like-for-like.</t>
        </is>
      </c>
    </row>
    <row r="267">
      <c r="A267" s="148">
        <f>AND(E267="US",OR('US Dashboard'!$C$4="All",'US Dashboard'!$C$4=D267),OR('US Dashboard'!$C$5="All",'US Dashboard'!$C$5=G267),OR('US Dashboard'!$C$6="All",'US Dashboard'!$C$6=H267),OR('US Dashboard'!$C$7="All",'US Dashboard'!$C$7=F267),OR('US Dashboard'!$C$8="All",'US Dashboard'!$C$8=AJ267))</f>
        <v/>
      </c>
      <c r="B267" s="148">
        <f>IF(A267,B266+1,B266)</f>
        <v/>
      </c>
      <c r="C267" s="148" t="n">
        <v>31</v>
      </c>
      <c r="D267" s="148" t="inlineStr">
        <is>
          <t>DC S6</t>
        </is>
      </c>
      <c r="E267" s="148" t="inlineStr">
        <is>
          <t>US</t>
        </is>
      </c>
      <c r="F267" s="148" t="inlineStr">
        <is>
          <t>Satin</t>
        </is>
      </c>
      <c r="G267" s="148" t="inlineStr">
        <is>
          <t>BEDELITE</t>
        </is>
      </c>
      <c r="H267" s="148" t="inlineStr">
        <is>
          <t>Aspirational</t>
        </is>
      </c>
      <c r="I267" s="148" t="inlineStr">
        <is>
          <t>BEDELITE Satin Sheets Queen Size Bed Set, Black, 4 Pieces</t>
        </is>
      </c>
      <c r="J267" s="148" t="inlineStr">
        <is>
          <t>https://images-na.ssl-images-amazon.com/images/I/71ujt2CgaQL.jpg</t>
        </is>
      </c>
      <c r="K267" s="148" t="inlineStr">
        <is>
          <t>B0FNMNMZ9T</t>
        </is>
      </c>
      <c r="L267" s="148" t="inlineStr">
        <is>
          <t>B0CSFTRP2X</t>
        </is>
      </c>
      <c r="M267" s="148" t="n">
        <v>141</v>
      </c>
      <c r="N267" s="148" t="n">
        <v>17.99</v>
      </c>
      <c r="O267" s="148" t="n"/>
      <c r="P267" s="148">
        <f>IF(AND(ISNUMBER(O267),ISNUMBER(N267),N(N267)&gt;0),O267/N267-1,"")</f>
        <v/>
      </c>
      <c r="Q267" s="148" t="n">
        <v>31.95</v>
      </c>
      <c r="R267" s="148">
        <f>IF(AND(ISNUMBER(N267),ISNUMBER(Q267),N(Q267)&gt;0),N267/Q267-1,"")</f>
        <v/>
      </c>
      <c r="S267" s="148" t="n">
        <v>497</v>
      </c>
      <c r="T267" s="148" t="n">
        <v>1963</v>
      </c>
      <c r="U267" s="148" t="n">
        <v>4.3</v>
      </c>
      <c r="V267" s="148" t="n">
        <v>6297</v>
      </c>
      <c r="W267" s="148" t="n">
        <v>997443</v>
      </c>
      <c r="X267" s="148" t="n">
        <v>0.8161266415223724</v>
      </c>
      <c r="Y267" s="148" t="n">
        <v>38</v>
      </c>
      <c r="Z267" s="148" t="n">
        <v>373</v>
      </c>
      <c r="AA267" s="148" t="n">
        <v>393</v>
      </c>
      <c r="AB267" s="148" t="n">
        <v>1.114785561378903</v>
      </c>
      <c r="AC267" s="148" t="inlineStr">
        <is>
          <t>US DC S6</t>
        </is>
      </c>
      <c r="AD267" s="148">
        <f>'US DC S6'!BF162</f>
        <v/>
      </c>
      <c r="AE267" s="148">
        <f>'US DC S6'!BI162</f>
        <v/>
      </c>
      <c r="AF267" s="148" t="inlineStr">
        <is>
          <t>Queen</t>
        </is>
      </c>
      <c r="AG267" s="148" t="inlineStr">
        <is>
          <t>Black</t>
        </is>
      </c>
      <c r="AH267" s="148">
        <f>AND(E267="CA",OR('CA Dashboard'!$C$4="All",'CA Dashboard'!$C$4=D267),OR('CA Dashboard'!$C$5="All",'CA Dashboard'!$C$5=G267),OR('CA Dashboard'!$C$6="All",'CA Dashboard'!$C$6=H267),OR('CA Dashboard'!$C$7="All",'CA Dashboard'!$C$7=F267),OR('CA Dashboard'!$C$8="All",'CA Dashboard'!$C$8=AJ267))</f>
        <v/>
      </c>
      <c r="AI267" s="148">
        <f>IF(AH267,AI266+1,AI266)</f>
        <v/>
      </c>
      <c r="AJ267" s="148" t="inlineStr">
        <is>
          <t>Direct</t>
        </is>
      </c>
      <c r="AK267" s="148" t="inlineStr">
        <is>
          <t>Same product (sheet set) in the same material family: Satin (polyester) (title: BEDELITE Satin Sheets Queen Size Bed Set, Black, 4 Pieces); ours: our listing: polyester satin.</t>
        </is>
      </c>
    </row>
    <row r="268">
      <c r="A268" s="148">
        <f>AND(E268="US",OR('US Dashboard'!$C$4="All",'US Dashboard'!$C$4=D268),OR('US Dashboard'!$C$5="All",'US Dashboard'!$C$5=G268),OR('US Dashboard'!$C$6="All",'US Dashboard'!$C$6=H268),OR('US Dashboard'!$C$7="All",'US Dashboard'!$C$7=F268),OR('US Dashboard'!$C$8="All",'US Dashboard'!$C$8=AJ268))</f>
        <v/>
      </c>
      <c r="B268" s="148">
        <f>IF(A268,B267+1,B267)</f>
        <v/>
      </c>
      <c r="C268" s="148" t="n">
        <v>31</v>
      </c>
      <c r="D268" s="148" t="inlineStr">
        <is>
          <t>DC S6</t>
        </is>
      </c>
      <c r="E268" s="148" t="inlineStr">
        <is>
          <t>US</t>
        </is>
      </c>
      <c r="F268" s="148" t="inlineStr">
        <is>
          <t>Satin</t>
        </is>
      </c>
      <c r="G268" s="148" t="inlineStr">
        <is>
          <t>Love's cabin</t>
        </is>
      </c>
      <c r="H268" s="148" t="inlineStr">
        <is>
          <t>Aspirational</t>
        </is>
      </c>
      <c r="I268" s="148" t="inlineStr">
        <is>
          <t>Love's cabin Satin Queen Sheets Set, 4 Pieces, Pink, 15" Deep Pocket</t>
        </is>
      </c>
      <c r="J268" s="148" t="inlineStr">
        <is>
          <t>https://images-na.ssl-images-amazon.com/images/I/81C-fXI71XL.jpg</t>
        </is>
      </c>
      <c r="K268" s="148" t="inlineStr">
        <is>
          <t>B08DHTB63X</t>
        </is>
      </c>
      <c r="L268" s="148" t="inlineStr">
        <is>
          <t>B0BNMC5G8R</t>
        </is>
      </c>
      <c r="M268" s="148" t="n">
        <v>128</v>
      </c>
      <c r="N268" s="148" t="n">
        <v>16.13</v>
      </c>
      <c r="O268" s="148" t="n">
        <v>19.99</v>
      </c>
      <c r="P268" s="148">
        <f>IF(AND(ISNUMBER(O268),ISNUMBER(N268),N(N268)&gt;0),O268/N268-1,"")</f>
        <v/>
      </c>
      <c r="Q268" s="148" t="n">
        <v>31.95</v>
      </c>
      <c r="R268" s="148">
        <f>IF(AND(ISNUMBER(N268),ISNUMBER(Q268),N(Q268)&gt;0),N268/Q268-1,"")</f>
        <v/>
      </c>
      <c r="S268" s="148" t="n">
        <v>949</v>
      </c>
      <c r="T268" s="148" t="n">
        <v>809</v>
      </c>
      <c r="U268" s="148" t="n">
        <v>4.5</v>
      </c>
      <c r="V268" s="148" t="n">
        <v>5747</v>
      </c>
      <c r="W268" s="148" t="n">
        <v>385363</v>
      </c>
      <c r="X268" s="148" t="n">
        <v>0.8181775938530695</v>
      </c>
      <c r="Y268" s="148" t="n">
        <v>63</v>
      </c>
      <c r="Z268" s="148" t="n">
        <v>328</v>
      </c>
      <c r="AA268" s="148" t="n">
        <v>478</v>
      </c>
      <c r="AB268" s="148" t="n">
        <v>1.036399938565504</v>
      </c>
      <c r="AC268" s="148" t="inlineStr">
        <is>
          <t>US DC S6</t>
        </is>
      </c>
      <c r="AD268" s="148">
        <f>'US DC S6'!BF163</f>
        <v/>
      </c>
      <c r="AE268" s="148">
        <f>'US DC S6'!BI163</f>
        <v/>
      </c>
      <c r="AF268" s="148" t="inlineStr">
        <is>
          <t>Queen</t>
        </is>
      </c>
      <c r="AG268" s="148" t="inlineStr">
        <is>
          <t>Pink</t>
        </is>
      </c>
      <c r="AH268" s="148">
        <f>AND(E268="CA",OR('CA Dashboard'!$C$4="All",'CA Dashboard'!$C$4=D268),OR('CA Dashboard'!$C$5="All",'CA Dashboard'!$C$5=G268),OR('CA Dashboard'!$C$6="All",'CA Dashboard'!$C$6=H268),OR('CA Dashboard'!$C$7="All",'CA Dashboard'!$C$7=F268),OR('CA Dashboard'!$C$8="All",'CA Dashboard'!$C$8=AJ268))</f>
        <v/>
      </c>
      <c r="AI268" s="148">
        <f>IF(AH268,AI267+1,AI267)</f>
        <v/>
      </c>
      <c r="AJ268" s="148" t="inlineStr">
        <is>
          <t>Direct</t>
        </is>
      </c>
      <c r="AK268" s="148" t="inlineStr">
        <is>
          <t>Same product (sheet set) in the same material family: Satin (polyester) (title: Love's cabin Satin Queen Sheets Set, 4 Pieces, Pink, 15" Dee); ours: our listing: polyester satin.</t>
        </is>
      </c>
    </row>
    <row r="269">
      <c r="A269" s="148">
        <f>AND(E269="US",OR('US Dashboard'!$C$4="All",'US Dashboard'!$C$4=D269),OR('US Dashboard'!$C$5="All",'US Dashboard'!$C$5=G269),OR('US Dashboard'!$C$6="All",'US Dashboard'!$C$6=H269),OR('US Dashboard'!$C$7="All",'US Dashboard'!$C$7=F269),OR('US Dashboard'!$C$8="All",'US Dashboard'!$C$8=AJ269))</f>
        <v/>
      </c>
      <c r="B269" s="148">
        <f>IF(A269,B268+1,B268)</f>
        <v/>
      </c>
      <c r="C269" s="148" t="n">
        <v>31</v>
      </c>
      <c r="D269" s="148" t="inlineStr">
        <is>
          <t>DC S6</t>
        </is>
      </c>
      <c r="E269" s="148" t="inlineStr">
        <is>
          <t>US</t>
        </is>
      </c>
      <c r="F269" s="148" t="inlineStr">
        <is>
          <t>Satin</t>
        </is>
      </c>
      <c r="G269" s="148" t="inlineStr">
        <is>
          <t>MR&amp;HM</t>
        </is>
      </c>
      <c r="H269" s="148" t="inlineStr">
        <is>
          <t>Aspirational</t>
        </is>
      </c>
      <c r="I269" s="148" t="inlineStr">
        <is>
          <t>MR&amp;HM Satin Sheets Queen Size with Elastic Corner Straps, Black</t>
        </is>
      </c>
      <c r="J269" s="148" t="inlineStr">
        <is>
          <t>https://images-na.ssl-images-amazon.com/images/I/71zGuoeuSrL.jpg</t>
        </is>
      </c>
      <c r="K269" s="148" t="inlineStr">
        <is>
          <t>B08NQ3W7PG</t>
        </is>
      </c>
      <c r="L269" s="148" t="inlineStr">
        <is>
          <t>B08HM6WT6X</t>
        </is>
      </c>
      <c r="M269" s="148" t="n">
        <v>183</v>
      </c>
      <c r="N269" s="148" t="n">
        <v>19.99</v>
      </c>
      <c r="O269" s="148" t="n"/>
      <c r="P269" s="148">
        <f>IF(AND(ISNUMBER(O269),ISNUMBER(N269),N(N269)&gt;0),O269/N269-1,"")</f>
        <v/>
      </c>
      <c r="Q269" s="148" t="n">
        <v>31.95</v>
      </c>
      <c r="R269" s="148">
        <f>IF(AND(ISNUMBER(N269),ISNUMBER(Q269),N(Q269)&gt;0),N269/Q269-1,"")</f>
        <v/>
      </c>
      <c r="S269" s="148" t="n">
        <v>2025</v>
      </c>
      <c r="T269" s="148" t="n">
        <v>809</v>
      </c>
      <c r="U269" s="148" t="n">
        <v>4.4</v>
      </c>
      <c r="V269" s="148" t="n">
        <v>17886</v>
      </c>
      <c r="W269" s="148" t="n">
        <v>356457</v>
      </c>
      <c r="X269" s="148" t="n">
        <v>0.7964633734223203</v>
      </c>
      <c r="Y269" s="148" t="n">
        <v>65</v>
      </c>
      <c r="Z269" s="148" t="n">
        <v>314</v>
      </c>
      <c r="AA269" s="148" t="n">
        <v>443</v>
      </c>
      <c r="AB269" s="148" t="n">
        <v>0.9844138242602214</v>
      </c>
      <c r="AC269" s="148" t="inlineStr">
        <is>
          <t>US DC S6</t>
        </is>
      </c>
      <c r="AD269" s="148">
        <f>'US DC S6'!BF164</f>
        <v/>
      </c>
      <c r="AE269" s="148">
        <f>'US DC S6'!BI164</f>
        <v/>
      </c>
      <c r="AF269" s="148" t="inlineStr">
        <is>
          <t>Queen</t>
        </is>
      </c>
      <c r="AG269" s="148" t="inlineStr">
        <is>
          <t>Black</t>
        </is>
      </c>
      <c r="AH269" s="148">
        <f>AND(E269="CA",OR('CA Dashboard'!$C$4="All",'CA Dashboard'!$C$4=D269),OR('CA Dashboard'!$C$5="All",'CA Dashboard'!$C$5=G269),OR('CA Dashboard'!$C$6="All",'CA Dashboard'!$C$6=H269),OR('CA Dashboard'!$C$7="All",'CA Dashboard'!$C$7=F269),OR('CA Dashboard'!$C$8="All",'CA Dashboard'!$C$8=AJ269))</f>
        <v/>
      </c>
      <c r="AI269" s="148">
        <f>IF(AH269,AI268+1,AI268)</f>
        <v/>
      </c>
      <c r="AJ269" s="148" t="inlineStr">
        <is>
          <t>Direct</t>
        </is>
      </c>
      <c r="AK269" s="148" t="inlineStr">
        <is>
          <t>Same product (sheet set) in the same material family: Satin (polyester) (title: MR&amp;HM Satin Sheets Queen Size with Elastic Corner Straps, Bl); ours: our listing: polyester satin.</t>
        </is>
      </c>
    </row>
    <row r="270">
      <c r="A270" s="148">
        <f>AND(E270="US",OR('US Dashboard'!$C$4="All",'US Dashboard'!$C$4=D270),OR('US Dashboard'!$C$5="All",'US Dashboard'!$C$5=G270),OR('US Dashboard'!$C$6="All",'US Dashboard'!$C$6=H270),OR('US Dashboard'!$C$7="All",'US Dashboard'!$C$7=F270),OR('US Dashboard'!$C$8="All",'US Dashboard'!$C$8=AJ270))</f>
        <v/>
      </c>
      <c r="B270" s="148">
        <f>IF(A270,B269+1,B269)</f>
        <v/>
      </c>
      <c r="C270" s="148" t="n">
        <v>31</v>
      </c>
      <c r="D270" s="148" t="inlineStr">
        <is>
          <t>DC S6</t>
        </is>
      </c>
      <c r="E270" s="148" t="inlineStr">
        <is>
          <t>US</t>
        </is>
      </c>
      <c r="F270" s="148" t="inlineStr">
        <is>
          <t>Satin</t>
        </is>
      </c>
      <c r="G270" s="148" t="inlineStr">
        <is>
          <t>Pure Bedding</t>
        </is>
      </c>
      <c r="H270" s="148" t="inlineStr">
        <is>
          <t>Aspirational</t>
        </is>
      </c>
      <c r="I270" s="148" t="inlineStr">
        <is>
          <t>Pure Bedding Satin Sheets Queen [4-Piece, Black] Hotel Luxury Silky Bed Sheets - Extra Soft 1800 Microfiber Sheet Set, Wrinkle, Fade, Deep Pocket Fitted Sheet, Flat Sheet, Pillow Cases</t>
        </is>
      </c>
      <c r="J270" s="148" t="inlineStr">
        <is>
          <t>https://images-na.ssl-images-amazon.com/images/I/81zLU1W0e8L.jpg</t>
        </is>
      </c>
      <c r="K270" s="148" t="inlineStr">
        <is>
          <t>B0FMPQYB2J</t>
        </is>
      </c>
      <c r="L270" s="148" t="inlineStr">
        <is>
          <t>B083G81VSH</t>
        </is>
      </c>
      <c r="M270" s="148" t="n">
        <v>146</v>
      </c>
      <c r="N270" s="148" t="n">
        <v>20.99</v>
      </c>
      <c r="O270" s="148" t="n"/>
      <c r="P270" s="148">
        <f>IF(AND(ISNUMBER(O270),ISNUMBER(N270),N(N270)&gt;0),O270/N270-1,"")</f>
        <v/>
      </c>
      <c r="Q270" s="148" t="n">
        <v>31.95</v>
      </c>
      <c r="R270" s="148">
        <f>IF(AND(ISNUMBER(N270),ISNUMBER(Q270),N(Q270)&gt;0),N270/Q270-1,"")</f>
        <v/>
      </c>
      <c r="S270" s="148" t="n">
        <v>30991</v>
      </c>
      <c r="T270" s="148" t="n">
        <v>92</v>
      </c>
      <c r="U270" s="148" t="n">
        <v>4.4</v>
      </c>
      <c r="V270" s="148" t="n">
        <v>9828</v>
      </c>
      <c r="W270" s="148" t="n">
        <v>119531</v>
      </c>
      <c r="X270" s="148" t="n">
        <v>0.6204180681162206</v>
      </c>
      <c r="Y270" s="148" t="n">
        <v>95</v>
      </c>
      <c r="Z270" s="148" t="n">
        <v>225</v>
      </c>
      <c r="AA270" s="148" t="n">
        <v>241</v>
      </c>
      <c r="AB270" s="148" t="n">
        <v>0.7574960547080484</v>
      </c>
      <c r="AC270" s="148" t="inlineStr">
        <is>
          <t>US DC S6</t>
        </is>
      </c>
      <c r="AD270" s="148">
        <f>'US DC S6'!BF165</f>
        <v/>
      </c>
      <c r="AE270" s="148">
        <f>'US DC S6'!BI165</f>
        <v/>
      </c>
      <c r="AF270" s="148" t="inlineStr">
        <is>
          <t>Queen</t>
        </is>
      </c>
      <c r="AG270" s="148" t="inlineStr">
        <is>
          <t>Black</t>
        </is>
      </c>
      <c r="AH270" s="148">
        <f>AND(E270="CA",OR('CA Dashboard'!$C$4="All",'CA Dashboard'!$C$4=D270),OR('CA Dashboard'!$C$5="All",'CA Dashboard'!$C$5=G270),OR('CA Dashboard'!$C$6="All",'CA Dashboard'!$C$6=H270),OR('CA Dashboard'!$C$7="All",'CA Dashboard'!$C$7=F270),OR('CA Dashboard'!$C$8="All",'CA Dashboard'!$C$8=AJ270))</f>
        <v/>
      </c>
      <c r="AI270" s="148">
        <f>IF(AH270,AI269+1,AI269)</f>
        <v/>
      </c>
      <c r="AJ270" s="148" t="inlineStr">
        <is>
          <t>Direct</t>
        </is>
      </c>
      <c r="AK270" s="148" t="inlineStr">
        <is>
          <t>Same product (sheet set) in the same material family: Satin (polyester) (title: Pure Bedding Satin Sheets Queen [4-Piece, Black] Hotel Luxur); ours: our listing: polyester satin.</t>
        </is>
      </c>
    </row>
    <row r="271">
      <c r="A271" s="148">
        <f>AND(E271="US",OR('US Dashboard'!$C$4="All",'US Dashboard'!$C$4=D271),OR('US Dashboard'!$C$5="All",'US Dashboard'!$C$5=G271),OR('US Dashboard'!$C$6="All",'US Dashboard'!$C$6=H271),OR('US Dashboard'!$C$7="All",'US Dashboard'!$C$7=F271),OR('US Dashboard'!$C$8="All",'US Dashboard'!$C$8=AJ271))</f>
        <v/>
      </c>
      <c r="B271" s="148">
        <f>IF(A271,B270+1,B270)</f>
        <v/>
      </c>
      <c r="C271" s="148" t="n">
        <v>31</v>
      </c>
      <c r="D271" s="148" t="inlineStr">
        <is>
          <t>DC S6</t>
        </is>
      </c>
      <c r="E271" s="148" t="inlineStr">
        <is>
          <t>US</t>
        </is>
      </c>
      <c r="F271" s="148" t="inlineStr">
        <is>
          <t>Satin</t>
        </is>
      </c>
      <c r="G271" s="148" t="inlineStr">
        <is>
          <t>FreshCulture</t>
        </is>
      </c>
      <c r="H271" s="148" t="inlineStr">
        <is>
          <t>Beatable</t>
        </is>
      </c>
      <c r="I271" s="148" t="inlineStr">
        <is>
          <t>Satin Sheets</t>
        </is>
      </c>
      <c r="J271" s="148" t="inlineStr">
        <is>
          <t>https://images-na.ssl-images-amazon.com/images/I/810d6GzTlfL.jpg</t>
        </is>
      </c>
      <c r="K271" s="148" t="inlineStr">
        <is>
          <t>B0D9B18P6N</t>
        </is>
      </c>
      <c r="L271" s="148" t="inlineStr">
        <is>
          <t>B0D9BD63QH</t>
        </is>
      </c>
      <c r="M271" s="148" t="n">
        <v>54</v>
      </c>
      <c r="N271" s="148" t="n">
        <v>23.99</v>
      </c>
      <c r="O271" s="148" t="n"/>
      <c r="P271" s="148">
        <f>IF(AND(ISNUMBER(O271),ISNUMBER(N271),N(N271)&gt;0),O271/N271-1,"")</f>
        <v/>
      </c>
      <c r="Q271" s="148" t="n">
        <v>29.95</v>
      </c>
      <c r="R271" s="148">
        <f>IF(AND(ISNUMBER(N271),ISNUMBER(Q271),N(Q271)&gt;0),N271/Q271-1,"")</f>
        <v/>
      </c>
      <c r="S271" s="148" t="n">
        <v>17918</v>
      </c>
      <c r="T271" s="148" t="n">
        <v>104</v>
      </c>
      <c r="U271" s="148" t="n">
        <v>4.4</v>
      </c>
      <c r="V271" s="148" t="n">
        <v>780</v>
      </c>
      <c r="W271" s="148" t="n">
        <v>99046</v>
      </c>
      <c r="X271" s="148" t="n">
        <v>0.9634387880378817</v>
      </c>
      <c r="Y271" s="148" t="n">
        <v>56</v>
      </c>
      <c r="Z271" s="148" t="n">
        <v>208</v>
      </c>
      <c r="AA271" s="148" t="n">
        <v>32</v>
      </c>
      <c r="AB271" s="148" t="n"/>
      <c r="AC271" s="148" t="inlineStr">
        <is>
          <t>US DC S6</t>
        </is>
      </c>
      <c r="AD271" s="148">
        <f>'US DC S6'!BF166</f>
        <v/>
      </c>
      <c r="AE271" s="148">
        <f>'US DC S6'!BI166</f>
        <v/>
      </c>
      <c r="AF271" s="148" t="inlineStr">
        <is>
          <t>Full</t>
        </is>
      </c>
      <c r="AG271" s="148" t="inlineStr">
        <is>
          <t>Black</t>
        </is>
      </c>
      <c r="AH271" s="148">
        <f>AND(E271="CA",OR('CA Dashboard'!$C$4="All",'CA Dashboard'!$C$4=D271),OR('CA Dashboard'!$C$5="All",'CA Dashboard'!$C$5=G271),OR('CA Dashboard'!$C$6="All",'CA Dashboard'!$C$6=H271),OR('CA Dashboard'!$C$7="All",'CA Dashboard'!$C$7=F271),OR('CA Dashboard'!$C$8="All",'CA Dashboard'!$C$8=AJ271))</f>
        <v/>
      </c>
      <c r="AI271" s="148">
        <f>IF(AH271,AI270+1,AI270)</f>
        <v/>
      </c>
      <c r="AJ271" s="148" t="inlineStr">
        <is>
          <t>Direct</t>
        </is>
      </c>
      <c r="AK271" s="148" t="inlineStr">
        <is>
          <t>Same product (sheet set) in the same material family: Satin (polyester) (product page material: Polyester Satin); ours: our listing: polyester satin.</t>
        </is>
      </c>
    </row>
    <row r="272">
      <c r="A272" s="148">
        <f>AND(E272="US",OR('US Dashboard'!$C$4="All",'US Dashboard'!$C$4=D272),OR('US Dashboard'!$C$5="All",'US Dashboard'!$C$5=G272),OR('US Dashboard'!$C$6="All",'US Dashboard'!$C$6=H272),OR('US Dashboard'!$C$7="All",'US Dashboard'!$C$7=F272),OR('US Dashboard'!$C$8="All",'US Dashboard'!$C$8=AJ272))</f>
        <v/>
      </c>
      <c r="B272" s="148">
        <f>IF(A272,B271+1,B271)</f>
        <v/>
      </c>
      <c r="C272" s="148" t="n">
        <v>31</v>
      </c>
      <c r="D272" s="148" t="inlineStr">
        <is>
          <t>DC S6</t>
        </is>
      </c>
      <c r="E272" s="148" t="inlineStr">
        <is>
          <t>US</t>
        </is>
      </c>
      <c r="F272" s="148" t="inlineStr">
        <is>
          <t>Satin</t>
        </is>
      </c>
      <c r="G272" s="148" t="inlineStr">
        <is>
          <t>P Pothuiny</t>
        </is>
      </c>
      <c r="H272" s="148" t="inlineStr">
        <is>
          <t>Beatable</t>
        </is>
      </c>
      <c r="I272" s="148" t="inlineStr">
        <is>
          <t>P Pothuiny 6-Piece Queen Satin Sheet Set Burgundy Silky Sheets</t>
        </is>
      </c>
      <c r="J272" s="148" t="inlineStr">
        <is>
          <t>https://images-na.ssl-images-amazon.com/images/I/71TbH0l5XfL.jpg</t>
        </is>
      </c>
      <c r="K272" s="148" t="inlineStr">
        <is>
          <t>B096P2MYZQ</t>
        </is>
      </c>
      <c r="L272" s="148" t="inlineStr">
        <is>
          <t>B08QMF6D5W</t>
        </is>
      </c>
      <c r="M272" s="148" t="n">
        <v>47</v>
      </c>
      <c r="N272" s="148" t="n">
        <v>26.99</v>
      </c>
      <c r="O272" s="148" t="n"/>
      <c r="P272" s="148">
        <f>IF(AND(ISNUMBER(O272),ISNUMBER(N272),N(N272)&gt;0),O272/N272-1,"")</f>
        <v/>
      </c>
      <c r="Q272" s="148" t="n">
        <v>31.95</v>
      </c>
      <c r="R272" s="148">
        <f>IF(AND(ISNUMBER(N272),ISNUMBER(Q272),N(Q272)&gt;0),N272/Q272-1,"")</f>
        <v/>
      </c>
      <c r="S272" s="148" t="n">
        <v>20031</v>
      </c>
      <c r="T272" s="148" t="n">
        <v>104</v>
      </c>
      <c r="U272" s="148" t="n">
        <v>4.4</v>
      </c>
      <c r="V272" s="148" t="n">
        <v>4031</v>
      </c>
      <c r="W272" s="148" t="n">
        <v>66544</v>
      </c>
      <c r="X272" s="148" t="n">
        <v>0.9166959214955518</v>
      </c>
      <c r="Y272" s="148" t="n">
        <v>84</v>
      </c>
      <c r="Z272" s="148" t="n">
        <v>228</v>
      </c>
      <c r="AA272" s="148" t="n">
        <v>42</v>
      </c>
      <c r="AB272" s="148" t="n">
        <v>1.171497584541063</v>
      </c>
      <c r="AC272" s="148" t="inlineStr">
        <is>
          <t>US DC S6</t>
        </is>
      </c>
      <c r="AD272" s="148">
        <f>'US DC S6'!BF167</f>
        <v/>
      </c>
      <c r="AE272" s="148">
        <f>'US DC S6'!BI167</f>
        <v/>
      </c>
      <c r="AF272" s="148" t="inlineStr">
        <is>
          <t>Queen</t>
        </is>
      </c>
      <c r="AG272" s="148" t="inlineStr">
        <is>
          <t>Burgundy</t>
        </is>
      </c>
      <c r="AH272" s="148">
        <f>AND(E272="CA",OR('CA Dashboard'!$C$4="All",'CA Dashboard'!$C$4=D272),OR('CA Dashboard'!$C$5="All",'CA Dashboard'!$C$5=G272),OR('CA Dashboard'!$C$6="All",'CA Dashboard'!$C$6=H272),OR('CA Dashboard'!$C$7="All",'CA Dashboard'!$C$7=F272),OR('CA Dashboard'!$C$8="All",'CA Dashboard'!$C$8=AJ272))</f>
        <v/>
      </c>
      <c r="AI272" s="148">
        <f>IF(AH272,AI271+1,AI271)</f>
        <v/>
      </c>
      <c r="AJ272" s="148" t="inlineStr">
        <is>
          <t>Direct</t>
        </is>
      </c>
      <c r="AK272" s="148" t="inlineStr">
        <is>
          <t>Same product (sheet set) in the same material family: Satin (polyester) (title: P Pothuiny 6-Piece Queen Satin Sheet Set Burgundy Silky Shee); ours: our listing: polyester satin.</t>
        </is>
      </c>
    </row>
    <row r="273">
      <c r="A273" s="148">
        <f>AND(E273="US",OR('US Dashboard'!$C$4="All",'US Dashboard'!$C$4=D273),OR('US Dashboard'!$C$5="All",'US Dashboard'!$C$5=G273),OR('US Dashboard'!$C$6="All",'US Dashboard'!$C$6=H273),OR('US Dashboard'!$C$7="All",'US Dashboard'!$C$7=F273),OR('US Dashboard'!$C$8="All",'US Dashboard'!$C$8=AJ273))</f>
        <v/>
      </c>
      <c r="B273" s="148">
        <f>IF(A273,B272+1,B272)</f>
        <v/>
      </c>
      <c r="C273" s="148" t="n">
        <v>31</v>
      </c>
      <c r="D273" s="148" t="inlineStr">
        <is>
          <t>DC S6</t>
        </is>
      </c>
      <c r="E273" s="148" t="inlineStr">
        <is>
          <t>US</t>
        </is>
      </c>
      <c r="F273" s="148" t="inlineStr">
        <is>
          <t>Satin</t>
        </is>
      </c>
      <c r="G273" s="148" t="inlineStr">
        <is>
          <t>SiinvdaBZX</t>
        </is>
      </c>
      <c r="H273" s="148" t="inlineStr">
        <is>
          <t>Beatable</t>
        </is>
      </c>
      <c r="I273" s="148" t="inlineStr">
        <is>
          <t>SiinvdaBZX 4Pcs Satin Sheet Set Queen Size 15-Inch Deep Pocket, Beige</t>
        </is>
      </c>
      <c r="J273" s="148" t="inlineStr">
        <is>
          <t>https://images-na.ssl-images-amazon.com/images/I/71ZrkfMtWLL.jpg</t>
        </is>
      </c>
      <c r="K273" s="148" t="inlineStr">
        <is>
          <t>B0DD37S32L</t>
        </is>
      </c>
      <c r="L273" s="148" t="inlineStr">
        <is>
          <t>B08JP9DG5Z</t>
        </is>
      </c>
      <c r="M273" s="148" t="n">
        <v>96</v>
      </c>
      <c r="N273" s="148" t="n">
        <v>22.99</v>
      </c>
      <c r="O273" s="148" t="n"/>
      <c r="P273" s="148">
        <f>IF(AND(ISNUMBER(O273),ISNUMBER(N273),N(N273)&gt;0),O273/N273-1,"")</f>
        <v/>
      </c>
      <c r="Q273" s="148" t="n">
        <v>31.95</v>
      </c>
      <c r="R273" s="148">
        <f>IF(AND(ISNUMBER(N273),ISNUMBER(Q273),N(Q273)&gt;0),N273/Q273-1,"")</f>
        <v/>
      </c>
      <c r="S273" s="148" t="n">
        <v>23154</v>
      </c>
      <c r="T273" s="148" t="n">
        <v>92</v>
      </c>
      <c r="U273" s="148" t="n">
        <v>4.4</v>
      </c>
      <c r="V273" s="148" t="n">
        <v>6981</v>
      </c>
      <c r="W273" s="148" t="n">
        <v>47722</v>
      </c>
      <c r="X273" s="148" t="n">
        <v>0.8752176061355349</v>
      </c>
      <c r="Y273" s="148" t="n">
        <v>100</v>
      </c>
      <c r="Z273" s="148" t="n">
        <v>189</v>
      </c>
      <c r="AA273" s="148" t="n">
        <v>128</v>
      </c>
      <c r="AB273" s="148" t="n">
        <v>1.035928143712575</v>
      </c>
      <c r="AC273" s="148" t="inlineStr">
        <is>
          <t>US DC S6</t>
        </is>
      </c>
      <c r="AD273" s="148">
        <f>'US DC S6'!BF168</f>
        <v/>
      </c>
      <c r="AE273" s="148">
        <f>'US DC S6'!BI168</f>
        <v/>
      </c>
      <c r="AF273" s="148" t="inlineStr">
        <is>
          <t>Queen</t>
        </is>
      </c>
      <c r="AG273" s="148" t="inlineStr">
        <is>
          <t>Beige</t>
        </is>
      </c>
      <c r="AH273" s="148">
        <f>AND(E273="CA",OR('CA Dashboard'!$C$4="All",'CA Dashboard'!$C$4=D273),OR('CA Dashboard'!$C$5="All",'CA Dashboard'!$C$5=G273),OR('CA Dashboard'!$C$6="All",'CA Dashboard'!$C$6=H273),OR('CA Dashboard'!$C$7="All",'CA Dashboard'!$C$7=F273),OR('CA Dashboard'!$C$8="All",'CA Dashboard'!$C$8=AJ273))</f>
        <v/>
      </c>
      <c r="AI273" s="148">
        <f>IF(AH273,AI272+1,AI272)</f>
        <v/>
      </c>
      <c r="AJ273" s="148" t="inlineStr">
        <is>
          <t>Direct</t>
        </is>
      </c>
      <c r="AK273" s="148" t="inlineStr">
        <is>
          <t>Same product (sheet set) in the same material family: Satin (polyester) (title: SiinvdaBZX 4Pcs Satin Sheet Set Queen Size 15-Inch Deep Pock); ours: our listing: polyester satin.</t>
        </is>
      </c>
    </row>
    <row r="274">
      <c r="A274" s="148">
        <f>AND(E274="US",OR('US Dashboard'!$C$4="All",'US Dashboard'!$C$4=D274),OR('US Dashboard'!$C$5="All",'US Dashboard'!$C$5=G274),OR('US Dashboard'!$C$6="All",'US Dashboard'!$C$6=H274),OR('US Dashboard'!$C$7="All",'US Dashboard'!$C$7=F274),OR('US Dashboard'!$C$8="All",'US Dashboard'!$C$8=AJ274))</f>
        <v/>
      </c>
      <c r="B274" s="148">
        <f>IF(A274,B273+1,B273)</f>
        <v/>
      </c>
      <c r="C274" s="148" t="n">
        <v>31</v>
      </c>
      <c r="D274" s="148" t="inlineStr">
        <is>
          <t>DC S6</t>
        </is>
      </c>
      <c r="E274" s="148" t="inlineStr">
        <is>
          <t>US</t>
        </is>
      </c>
      <c r="F274" s="148" t="inlineStr">
        <is>
          <t>Satin</t>
        </is>
      </c>
      <c r="G274" s="148" t="inlineStr">
        <is>
          <t>Horbaunal</t>
        </is>
      </c>
      <c r="H274" s="148" t="inlineStr">
        <is>
          <t>Beatable</t>
        </is>
      </c>
      <c r="I274" s="148" t="inlineStr">
        <is>
          <t>Horbaunal 6 Piece Satin Sheet Set Queen, Emerald Green Queen Bed Sheets</t>
        </is>
      </c>
      <c r="J274" s="148" t="inlineStr">
        <is>
          <t>https://images-na.ssl-images-amazon.com/images/I/813TGJ9FKjL.jpg</t>
        </is>
      </c>
      <c r="K274" s="148" t="inlineStr">
        <is>
          <t>B0B4MQCT87</t>
        </is>
      </c>
      <c r="L274" s="148" t="inlineStr">
        <is>
          <t>B0B4MQ1PP1</t>
        </is>
      </c>
      <c r="M274" s="148" t="n">
        <v>23</v>
      </c>
      <c r="N274" s="148" t="n">
        <v>28.99</v>
      </c>
      <c r="O274" s="148" t="n"/>
      <c r="P274" s="148">
        <f>IF(AND(ISNUMBER(O274),ISNUMBER(N274),N(N274)&gt;0),O274/N274-1,"")</f>
        <v/>
      </c>
      <c r="Q274" s="148" t="n">
        <v>31.95</v>
      </c>
      <c r="R274" s="148">
        <f>IF(AND(ISNUMBER(N274),ISNUMBER(Q274),N(Q274)&gt;0),N274/Q274-1,"")</f>
        <v/>
      </c>
      <c r="S274" s="148" t="n">
        <v>110638</v>
      </c>
      <c r="T274" s="148" t="n">
        <v>35</v>
      </c>
      <c r="U274" s="148" t="n">
        <v>4.4</v>
      </c>
      <c r="V274" s="148" t="n">
        <v>772</v>
      </c>
      <c r="W274" s="148" t="n"/>
      <c r="X274" s="148" t="n"/>
      <c r="Y274" s="148" t="n"/>
      <c r="Z274" s="148" t="n"/>
      <c r="AA274" s="148" t="n"/>
      <c r="AB274" s="148" t="n"/>
      <c r="AC274" s="148" t="inlineStr">
        <is>
          <t>US DC S6</t>
        </is>
      </c>
      <c r="AD274" s="148">
        <f>'US DC S6'!BF169</f>
        <v/>
      </c>
      <c r="AE274" s="148">
        <f>'US DC S6'!BI169</f>
        <v/>
      </c>
      <c r="AF274" s="148" t="inlineStr">
        <is>
          <t>Queen</t>
        </is>
      </c>
      <c r="AG274" s="148" t="inlineStr">
        <is>
          <t>Green</t>
        </is>
      </c>
      <c r="AH274" s="148">
        <f>AND(E274="CA",OR('CA Dashboard'!$C$4="All",'CA Dashboard'!$C$4=D274),OR('CA Dashboard'!$C$5="All",'CA Dashboard'!$C$5=G274),OR('CA Dashboard'!$C$6="All",'CA Dashboard'!$C$6=H274),OR('CA Dashboard'!$C$7="All",'CA Dashboard'!$C$7=F274),OR('CA Dashboard'!$C$8="All",'CA Dashboard'!$C$8=AJ274))</f>
        <v/>
      </c>
      <c r="AI274" s="148">
        <f>IF(AH274,AI273+1,AI273)</f>
        <v/>
      </c>
      <c r="AJ274" s="148" t="inlineStr">
        <is>
          <t>Direct</t>
        </is>
      </c>
      <c r="AK274" s="148" t="inlineStr">
        <is>
          <t>Same product (sheet set) in the same material family: Satin (polyester) (title: Horbaunal 6 Piece Satin Sheet Set Queen, Emerald Green Queen); ours: our listing: polyester satin.</t>
        </is>
      </c>
    </row>
    <row r="275">
      <c r="A275" s="148">
        <f>AND(E275="US",OR('US Dashboard'!$C$4="All",'US Dashboard'!$C$4=D275),OR('US Dashboard'!$C$5="All",'US Dashboard'!$C$5=G275),OR('US Dashboard'!$C$6="All",'US Dashboard'!$C$6=H275),OR('US Dashboard'!$C$7="All",'US Dashboard'!$C$7=F275),OR('US Dashboard'!$C$8="All",'US Dashboard'!$C$8=AJ275))</f>
        <v/>
      </c>
      <c r="B275" s="148">
        <f>IF(A275,B274+1,B274)</f>
        <v/>
      </c>
      <c r="C275" s="148" t="n">
        <v>31</v>
      </c>
      <c r="D275" s="148" t="inlineStr">
        <is>
          <t>DC S6</t>
        </is>
      </c>
      <c r="E275" s="148" t="inlineStr">
        <is>
          <t>US</t>
        </is>
      </c>
      <c r="F275" s="148" t="inlineStr">
        <is>
          <t>Satin</t>
        </is>
      </c>
      <c r="G275" s="148" t="inlineStr">
        <is>
          <t>VACVELT</t>
        </is>
      </c>
      <c r="H275" s="148" t="inlineStr">
        <is>
          <t>Beatable</t>
        </is>
      </c>
      <c r="I275" s="148" t="inlineStr">
        <is>
          <t>Satin Sheets</t>
        </is>
      </c>
      <c r="J275" s="148" t="inlineStr">
        <is>
          <t>https://m.media-amazon.com/images/I/81Ct-nDEEnL._AC_SL1500_.jpg</t>
        </is>
      </c>
      <c r="K275" s="148" t="inlineStr">
        <is>
          <t>B0C9T1VY8J</t>
        </is>
      </c>
      <c r="L275" s="148" t="inlineStr">
        <is>
          <t>B0C1GJZB6F</t>
        </is>
      </c>
      <c r="M275" s="148" t="n">
        <v>35</v>
      </c>
      <c r="N275" s="148" t="n">
        <v>21.99</v>
      </c>
      <c r="O275" s="148" t="n"/>
      <c r="P275" s="148">
        <f>IF(AND(ISNUMBER(O275),ISNUMBER(N275),N(N275)&gt;0),O275/N275-1,"")</f>
        <v/>
      </c>
      <c r="Q275" s="148" t="n">
        <v>29.95</v>
      </c>
      <c r="R275" s="148">
        <f>IF(AND(ISNUMBER(N275),ISNUMBER(Q275),N(Q275)&gt;0),N275/Q275-1,"")</f>
        <v/>
      </c>
      <c r="S275" s="148" t="n">
        <v>57010</v>
      </c>
      <c r="T275" s="148" t="n">
        <v>35</v>
      </c>
      <c r="U275" s="148" t="n">
        <v>4.5</v>
      </c>
      <c r="V275" s="148" t="n">
        <v>1017</v>
      </c>
      <c r="W275" s="148" t="n">
        <v>23621</v>
      </c>
      <c r="X275" s="148" t="n">
        <v>0.9628617755387157</v>
      </c>
      <c r="Y275" s="148" t="n">
        <v>146</v>
      </c>
      <c r="Z275" s="148" t="n">
        <v>106</v>
      </c>
      <c r="AA275" s="148" t="n">
        <v>23</v>
      </c>
      <c r="AB275" s="148" t="n">
        <v>1</v>
      </c>
      <c r="AC275" s="148" t="inlineStr">
        <is>
          <t>US DC S6</t>
        </is>
      </c>
      <c r="AD275" s="148">
        <f>'US DC S6'!BF170</f>
        <v/>
      </c>
      <c r="AE275" s="148">
        <f>'US DC S6'!BI170</f>
        <v/>
      </c>
      <c r="AF275" s="148" t="inlineStr">
        <is>
          <t>Full</t>
        </is>
      </c>
      <c r="AG275" s="148" t="inlineStr">
        <is>
          <t>Hot Pink</t>
        </is>
      </c>
      <c r="AH275" s="148">
        <f>AND(E275="CA",OR('CA Dashboard'!$C$4="All",'CA Dashboard'!$C$4=D275),OR('CA Dashboard'!$C$5="All",'CA Dashboard'!$C$5=G275),OR('CA Dashboard'!$C$6="All",'CA Dashboard'!$C$6=H275),OR('CA Dashboard'!$C$7="All",'CA Dashboard'!$C$7=F275),OR('CA Dashboard'!$C$8="All",'CA Dashboard'!$C$8=AJ275))</f>
        <v/>
      </c>
      <c r="AI275" s="148">
        <f>IF(AH275,AI274+1,AI274)</f>
        <v/>
      </c>
      <c r="AJ275" s="148" t="inlineStr">
        <is>
          <t>Direct</t>
        </is>
      </c>
      <c r="AK275" s="148" t="inlineStr">
        <is>
          <t>Same product (sheet set) in the same material family: Satin (polyester) (product page material: Satin); ours: our listing: polyester satin.</t>
        </is>
      </c>
    </row>
    <row r="276">
      <c r="A276" s="148">
        <f>AND(E276="US",OR('US Dashboard'!$C$4="All",'US Dashboard'!$C$4=D276),OR('US Dashboard'!$C$5="All",'US Dashboard'!$C$5=G276),OR('US Dashboard'!$C$6="All",'US Dashboard'!$C$6=H276),OR('US Dashboard'!$C$7="All",'US Dashboard'!$C$7=F276),OR('US Dashboard'!$C$8="All",'US Dashboard'!$C$8=AJ276))</f>
        <v/>
      </c>
      <c r="B276" s="148">
        <f>IF(A276,B275+1,B275)</f>
        <v/>
      </c>
      <c r="C276" s="148" t="n">
        <v>31</v>
      </c>
      <c r="D276" s="148" t="inlineStr">
        <is>
          <t>DC S6</t>
        </is>
      </c>
      <c r="E276" s="148" t="inlineStr">
        <is>
          <t>US</t>
        </is>
      </c>
      <c r="F276" s="148" t="inlineStr">
        <is>
          <t>Satin</t>
        </is>
      </c>
      <c r="G276" s="148" t="inlineStr">
        <is>
          <t>Homiest</t>
        </is>
      </c>
      <c r="H276" s="148" t="inlineStr">
        <is>
          <t>Beatable</t>
        </is>
      </c>
      <c r="I276" s="148" t="inlineStr">
        <is>
          <t>Satin Sheets</t>
        </is>
      </c>
      <c r="J276" s="148" t="inlineStr">
        <is>
          <t>https://m.media-amazon.com/images/I/71NLoiG0PKL._AC_SL1500_.jpg</t>
        </is>
      </c>
      <c r="K276" s="148" t="inlineStr">
        <is>
          <t>B0DYJKM99H</t>
        </is>
      </c>
      <c r="L276" s="148" t="inlineStr">
        <is>
          <t>B0DYJHHJQL</t>
        </is>
      </c>
      <c r="M276" s="148" t="n"/>
      <c r="N276" s="148" t="n">
        <v>27.99</v>
      </c>
      <c r="O276" s="148" t="n"/>
      <c r="P276" s="148">
        <f>IF(AND(ISNUMBER(O276),ISNUMBER(N276),N(N276)&gt;0),O276/N276-1,"")</f>
        <v/>
      </c>
      <c r="Q276" s="148" t="n">
        <v>31.95</v>
      </c>
      <c r="R276" s="148">
        <f>IF(AND(ISNUMBER(N276),ISNUMBER(Q276),N(Q276)&gt;0),N276/Q276-1,"")</f>
        <v/>
      </c>
      <c r="S276" s="148" t="n">
        <v>89437</v>
      </c>
      <c r="T276" s="148" t="n">
        <v>18</v>
      </c>
      <c r="U276" s="148" t="n">
        <v>4.5</v>
      </c>
      <c r="V276" s="148" t="n">
        <v>205</v>
      </c>
      <c r="W276" s="148" t="n"/>
      <c r="X276" s="148" t="n"/>
      <c r="Y276" s="148" t="n"/>
      <c r="Z276" s="148" t="n"/>
      <c r="AA276" s="148" t="n"/>
      <c r="AB276" s="148" t="n"/>
      <c r="AC276" s="148" t="inlineStr">
        <is>
          <t>US DC S6</t>
        </is>
      </c>
      <c r="AD276" s="148">
        <f>'US DC S6'!BF171</f>
        <v/>
      </c>
      <c r="AE276" s="148">
        <f>'US DC S6'!BI171</f>
        <v/>
      </c>
      <c r="AF276" s="148" t="inlineStr">
        <is>
          <t>Queen</t>
        </is>
      </c>
      <c r="AG276" s="148" t="inlineStr">
        <is>
          <t>Blush Pink</t>
        </is>
      </c>
      <c r="AH276" s="148">
        <f>AND(E276="CA",OR('CA Dashboard'!$C$4="All",'CA Dashboard'!$C$4=D276),OR('CA Dashboard'!$C$5="All",'CA Dashboard'!$C$5=G276),OR('CA Dashboard'!$C$6="All",'CA Dashboard'!$C$6=H276),OR('CA Dashboard'!$C$7="All",'CA Dashboard'!$C$7=F276),OR('CA Dashboard'!$C$8="All",'CA Dashboard'!$C$8=AJ276))</f>
        <v/>
      </c>
      <c r="AI276" s="148">
        <f>IF(AH276,AI275+1,AI275)</f>
        <v/>
      </c>
      <c r="AJ276" s="148" t="inlineStr">
        <is>
          <t>Direct</t>
        </is>
      </c>
      <c r="AK276" s="148" t="inlineStr">
        <is>
          <t>Same product (sheet set) in the same material family: Satin (polyester) (product page material: Satin); ours: our listing: polyester satin.</t>
        </is>
      </c>
    </row>
    <row r="277">
      <c r="A277" s="148">
        <f>AND(E277="US",OR('US Dashboard'!$C$4="All",'US Dashboard'!$C$4=D277),OR('US Dashboard'!$C$5="All",'US Dashboard'!$C$5=G277),OR('US Dashboard'!$C$6="All",'US Dashboard'!$C$6=H277),OR('US Dashboard'!$C$7="All",'US Dashboard'!$C$7=F277),OR('US Dashboard'!$C$8="All",'US Dashboard'!$C$8=AJ277))</f>
        <v/>
      </c>
      <c r="B277" s="148">
        <f>IF(A277,B276+1,B276)</f>
        <v/>
      </c>
      <c r="C277" s="148" t="n">
        <v>31</v>
      </c>
      <c r="D277" s="148" t="inlineStr">
        <is>
          <t>DC S6</t>
        </is>
      </c>
      <c r="E277" s="148" t="inlineStr">
        <is>
          <t>US</t>
        </is>
      </c>
      <c r="F277" s="148" t="inlineStr">
        <is>
          <t>Satin</t>
        </is>
      </c>
      <c r="G277" s="148" t="inlineStr">
        <is>
          <t>HommxJF</t>
        </is>
      </c>
      <c r="H277" s="148" t="inlineStr">
        <is>
          <t>Beatable</t>
        </is>
      </c>
      <c r="I277" s="148" t="inlineStr">
        <is>
          <t>Satin Sheets</t>
        </is>
      </c>
      <c r="J277" s="148" t="inlineStr">
        <is>
          <t>https://m.media-amazon.com/images/I/91BOC0gJVXL._AC_SL1500_.jpg</t>
        </is>
      </c>
      <c r="K277" s="148" t="inlineStr">
        <is>
          <t>B0BJZT93SL</t>
        </is>
      </c>
      <c r="L277" s="148" t="inlineStr">
        <is>
          <t>B09V52BVJB</t>
        </is>
      </c>
      <c r="M277" s="148" t="n">
        <v>32</v>
      </c>
      <c r="N277" s="148" t="n">
        <v>24.99</v>
      </c>
      <c r="O277" s="148" t="n"/>
      <c r="P277" s="148">
        <f>IF(AND(ISNUMBER(O277),ISNUMBER(N277),N(N277)&gt;0),O277/N277-1,"")</f>
        <v/>
      </c>
      <c r="Q277" s="148" t="n">
        <v>29.95</v>
      </c>
      <c r="R277" s="148">
        <f>IF(AND(ISNUMBER(N277),ISNUMBER(Q277),N(Q277)&gt;0),N277/Q277-1,"")</f>
        <v/>
      </c>
      <c r="S277" s="148" t="n">
        <v>180867</v>
      </c>
      <c r="T277" s="148" t="n">
        <v>18</v>
      </c>
      <c r="U277" s="148" t="n">
        <v>4.3</v>
      </c>
      <c r="V277" s="148" t="n">
        <v>1032</v>
      </c>
      <c r="W277" s="148" t="n">
        <v>16567</v>
      </c>
      <c r="X277" s="148" t="n">
        <v>0.8554338745699279</v>
      </c>
      <c r="Y277" s="148" t="n">
        <v>142</v>
      </c>
      <c r="Z277" s="148" t="n">
        <v>79</v>
      </c>
      <c r="AA277" s="148" t="n">
        <v>63</v>
      </c>
      <c r="AB277" s="148" t="n">
        <v>1.017857142857143</v>
      </c>
      <c r="AC277" s="148" t="inlineStr">
        <is>
          <t>US DC S6</t>
        </is>
      </c>
      <c r="AD277" s="148">
        <f>'US DC S6'!BF172</f>
        <v/>
      </c>
      <c r="AE277" s="148">
        <f>'US DC S6'!BI172</f>
        <v/>
      </c>
      <c r="AF277" s="148" t="inlineStr">
        <is>
          <t>Full</t>
        </is>
      </c>
      <c r="AG277" s="148" t="inlineStr">
        <is>
          <t>Blush Pink</t>
        </is>
      </c>
      <c r="AH277" s="148">
        <f>AND(E277="CA",OR('CA Dashboard'!$C$4="All",'CA Dashboard'!$C$4=D277),OR('CA Dashboard'!$C$5="All",'CA Dashboard'!$C$5=G277),OR('CA Dashboard'!$C$6="All",'CA Dashboard'!$C$6=H277),OR('CA Dashboard'!$C$7="All",'CA Dashboard'!$C$7=F277),OR('CA Dashboard'!$C$8="All",'CA Dashboard'!$C$8=AJ277))</f>
        <v/>
      </c>
      <c r="AI277" s="148">
        <f>IF(AH277,AI276+1,AI276)</f>
        <v/>
      </c>
      <c r="AJ277" s="148" t="inlineStr">
        <is>
          <t>Direct</t>
        </is>
      </c>
      <c r="AK277" s="148" t="inlineStr">
        <is>
          <t>Same product (sheet set) in the same material family: Satin (polyester) (product page material: Satin); ours: our listing: polyester satin.</t>
        </is>
      </c>
    </row>
    <row r="278">
      <c r="A278" s="148">
        <f>AND(E278="US",OR('US Dashboard'!$C$4="All",'US Dashboard'!$C$4=D278),OR('US Dashboard'!$C$5="All",'US Dashboard'!$C$5=G278),OR('US Dashboard'!$C$6="All",'US Dashboard'!$C$6=H278),OR('US Dashboard'!$C$7="All",'US Dashboard'!$C$7=F278),OR('US Dashboard'!$C$8="All",'US Dashboard'!$C$8=AJ278))</f>
        <v/>
      </c>
      <c r="B278" s="148">
        <f>IF(A278,B277+1,B277)</f>
        <v/>
      </c>
      <c r="C278" s="148" t="n">
        <v>31</v>
      </c>
      <c r="D278" s="148" t="inlineStr">
        <is>
          <t>DC S6</t>
        </is>
      </c>
      <c r="E278" s="148" t="inlineStr">
        <is>
          <t>US</t>
        </is>
      </c>
      <c r="F278" s="148" t="inlineStr">
        <is>
          <t>Satin</t>
        </is>
      </c>
      <c r="G278" s="148" t="inlineStr">
        <is>
          <t>LIFCOM</t>
        </is>
      </c>
      <c r="H278" s="148" t="inlineStr">
        <is>
          <t>Beatable</t>
        </is>
      </c>
      <c r="I278" s="148" t="inlineStr">
        <is>
          <t>LIFCOM Satin Sheets Queen,4Pcs Bed Set with 15" Deep Pocket,Brown</t>
        </is>
      </c>
      <c r="J278" s="148" t="inlineStr">
        <is>
          <t>https://images-na.ssl-images-amazon.com/images/I/71eq-pAu2pL.jpg</t>
        </is>
      </c>
      <c r="K278" s="148" t="inlineStr">
        <is>
          <t>B0DBVYL693</t>
        </is>
      </c>
      <c r="L278" s="148" t="inlineStr">
        <is>
          <t>B0DCC78S4N</t>
        </is>
      </c>
      <c r="M278" s="148" t="n">
        <v>73</v>
      </c>
      <c r="N278" s="148" t="n">
        <v>23.99</v>
      </c>
      <c r="O278" s="148" t="n"/>
      <c r="P278" s="148">
        <f>IF(AND(ISNUMBER(O278),ISNUMBER(N278),N(N278)&gt;0),O278/N278-1,"")</f>
        <v/>
      </c>
      <c r="Q278" s="148" t="n">
        <v>31.95</v>
      </c>
      <c r="R278" s="148">
        <f>IF(AND(ISNUMBER(N278),ISNUMBER(Q278),N(Q278)&gt;0),N278/Q278-1,"")</f>
        <v/>
      </c>
      <c r="S278" s="148" t="n">
        <v>96002</v>
      </c>
      <c r="T278" s="148" t="n">
        <v>18</v>
      </c>
      <c r="U278" s="148" t="n">
        <v>4.2</v>
      </c>
      <c r="V278" s="148" t="n">
        <v>361</v>
      </c>
      <c r="W278" s="148" t="n">
        <v>23278</v>
      </c>
      <c r="X278" s="148" t="n">
        <v>0.4926462797491192</v>
      </c>
      <c r="Y278" s="148" t="n">
        <v>169</v>
      </c>
      <c r="Z278" s="148" t="n">
        <v>72</v>
      </c>
      <c r="AA278" s="148" t="n">
        <v>70</v>
      </c>
      <c r="AB278" s="148" t="n">
        <v>0.5539772727272727</v>
      </c>
      <c r="AC278" s="148" t="inlineStr">
        <is>
          <t>US DC S6</t>
        </is>
      </c>
      <c r="AD278" s="148">
        <f>'US DC S6'!BF173</f>
        <v/>
      </c>
      <c r="AE278" s="148">
        <f>'US DC S6'!BI173</f>
        <v/>
      </c>
      <c r="AF278" s="148" t="inlineStr">
        <is>
          <t>Queen</t>
        </is>
      </c>
      <c r="AG278" s="148" t="inlineStr">
        <is>
          <t>Brown</t>
        </is>
      </c>
      <c r="AH278" s="148">
        <f>AND(E278="CA",OR('CA Dashboard'!$C$4="All",'CA Dashboard'!$C$4=D278),OR('CA Dashboard'!$C$5="All",'CA Dashboard'!$C$5=G278),OR('CA Dashboard'!$C$6="All",'CA Dashboard'!$C$6=H278),OR('CA Dashboard'!$C$7="All",'CA Dashboard'!$C$7=F278),OR('CA Dashboard'!$C$8="All",'CA Dashboard'!$C$8=AJ278))</f>
        <v/>
      </c>
      <c r="AI278" s="148">
        <f>IF(AH278,AI277+1,AI277)</f>
        <v/>
      </c>
      <c r="AJ278" s="148" t="inlineStr">
        <is>
          <t>Direct</t>
        </is>
      </c>
      <c r="AK278" s="148" t="inlineStr">
        <is>
          <t>Same product (sheet set) in the same material family: Satin (polyester) (title: LIFCOM Satin Sheets Queen,4Pcs Bed Set with 15" Deep Pocket); ours: our listing: polyester satin.</t>
        </is>
      </c>
    </row>
    <row r="279">
      <c r="A279" s="148">
        <f>AND(E279="US",OR('US Dashboard'!$C$4="All",'US Dashboard'!$C$4=D279),OR('US Dashboard'!$C$5="All",'US Dashboard'!$C$5=G279),OR('US Dashboard'!$C$6="All",'US Dashboard'!$C$6=H279),OR('US Dashboard'!$C$7="All",'US Dashboard'!$C$7=F279),OR('US Dashboard'!$C$8="All",'US Dashboard'!$C$8=AJ279))</f>
        <v/>
      </c>
      <c r="B279" s="148">
        <f>IF(A279,B278+1,B278)</f>
        <v/>
      </c>
      <c r="C279" s="148" t="n">
        <v>31</v>
      </c>
      <c r="D279" s="148" t="inlineStr">
        <is>
          <t>DC S6</t>
        </is>
      </c>
      <c r="E279" s="148" t="inlineStr">
        <is>
          <t>US</t>
        </is>
      </c>
      <c r="F279" s="148" t="inlineStr">
        <is>
          <t>Satin</t>
        </is>
      </c>
      <c r="G279" s="148" t="inlineStr">
        <is>
          <t>MK Home</t>
        </is>
      </c>
      <c r="H279" s="148" t="inlineStr">
        <is>
          <t>Beatable</t>
        </is>
      </c>
      <c r="I279" s="148" t="inlineStr">
        <is>
          <t>Satin Sheets</t>
        </is>
      </c>
      <c r="J279" s="148" t="inlineStr">
        <is>
          <t>https://m.media-amazon.com/images/I/71ImrNlbFKL._AC_SL1500_.jpg</t>
        </is>
      </c>
      <c r="K279" s="148" t="inlineStr">
        <is>
          <t>B07H522QXD</t>
        </is>
      </c>
      <c r="L279" s="148" t="inlineStr">
        <is>
          <t>B07FGFRZ94</t>
        </is>
      </c>
      <c r="M279" s="148" t="n"/>
      <c r="N279" s="148" t="n">
        <v>18.99</v>
      </c>
      <c r="O279" s="148" t="n"/>
      <c r="P279" s="148">
        <f>IF(AND(ISNUMBER(O279),ISNUMBER(N279),N(N279)&gt;0),O279/N279-1,"")</f>
        <v/>
      </c>
      <c r="Q279" s="148" t="n">
        <v>31.95</v>
      </c>
      <c r="R279" s="148">
        <f>IF(AND(ISNUMBER(N279),ISNUMBER(Q279),N(Q279)&gt;0),N279/Q279-1,"")</f>
        <v/>
      </c>
      <c r="S279" s="148" t="n">
        <v>59039</v>
      </c>
      <c r="T279" s="148" t="n">
        <v>18</v>
      </c>
      <c r="U279" s="148" t="n">
        <v>4.3</v>
      </c>
      <c r="V279" s="148" t="n">
        <v>10761</v>
      </c>
      <c r="W279" s="148" t="n"/>
      <c r="X279" s="148" t="n"/>
      <c r="Y279" s="148" t="n"/>
      <c r="Z279" s="148" t="n"/>
      <c r="AA279" s="148" t="n"/>
      <c r="AB279" s="148" t="n"/>
      <c r="AC279" s="148" t="inlineStr">
        <is>
          <t>US DC S6</t>
        </is>
      </c>
      <c r="AD279" s="148">
        <f>'US DC S6'!BF174</f>
        <v/>
      </c>
      <c r="AE279" s="148">
        <f>'US DC S6'!BI174</f>
        <v/>
      </c>
      <c r="AF279" s="148" t="inlineStr">
        <is>
          <t>Queen</t>
        </is>
      </c>
      <c r="AG279" s="148" t="inlineStr">
        <is>
          <t>Red</t>
        </is>
      </c>
      <c r="AH279" s="148">
        <f>AND(E279="CA",OR('CA Dashboard'!$C$4="All",'CA Dashboard'!$C$4=D279),OR('CA Dashboard'!$C$5="All",'CA Dashboard'!$C$5=G279),OR('CA Dashboard'!$C$6="All",'CA Dashboard'!$C$6=H279),OR('CA Dashboard'!$C$7="All",'CA Dashboard'!$C$7=F279),OR('CA Dashboard'!$C$8="All",'CA Dashboard'!$C$8=AJ279))</f>
        <v/>
      </c>
      <c r="AI279" s="148">
        <f>IF(AH279,AI278+1,AI278)</f>
        <v/>
      </c>
      <c r="AJ279" s="148" t="inlineStr">
        <is>
          <t>Direct</t>
        </is>
      </c>
      <c r="AK279" s="148" t="inlineStr">
        <is>
          <t>Same product (sheet set) in the same material family: Satin (polyester) (product page material: Soft Silky Satin); ours: our listing: polyester satin.</t>
        </is>
      </c>
    </row>
    <row r="280">
      <c r="A280" s="148">
        <f>AND(E280="US",OR('US Dashboard'!$C$4="All",'US Dashboard'!$C$4=D280),OR('US Dashboard'!$C$5="All",'US Dashboard'!$C$5=G280),OR('US Dashboard'!$C$6="All",'US Dashboard'!$C$6=H280),OR('US Dashboard'!$C$7="All",'US Dashboard'!$C$7=F280),OR('US Dashboard'!$C$8="All",'US Dashboard'!$C$8=AJ280))</f>
        <v/>
      </c>
      <c r="B280" s="148">
        <f>IF(A280,B279+1,B279)</f>
        <v/>
      </c>
      <c r="C280" s="148" t="n">
        <v>31</v>
      </c>
      <c r="D280" s="148" t="inlineStr">
        <is>
          <t>DC S6</t>
        </is>
      </c>
      <c r="E280" s="148" t="inlineStr">
        <is>
          <t>US</t>
        </is>
      </c>
      <c r="F280" s="148" t="inlineStr">
        <is>
          <t>Satin</t>
        </is>
      </c>
      <c r="G280" s="148" t="inlineStr">
        <is>
          <t>Homiest</t>
        </is>
      </c>
      <c r="H280" s="148" t="inlineStr">
        <is>
          <t>Beatable</t>
        </is>
      </c>
      <c r="I280" s="148" t="inlineStr">
        <is>
          <t>Satin Sheets</t>
        </is>
      </c>
      <c r="J280" s="148" t="inlineStr">
        <is>
          <t>https://images-na.ssl-images-amazon.com/images/I/71Upo7a638S.jpg</t>
        </is>
      </c>
      <c r="K280" s="148" t="inlineStr">
        <is>
          <t>B07XBR22W1</t>
        </is>
      </c>
      <c r="L280" s="148" t="inlineStr">
        <is>
          <t>B0B5Z2B9NN</t>
        </is>
      </c>
      <c r="M280" s="148" t="n">
        <v>70</v>
      </c>
      <c r="N280" s="148" t="n">
        <v>23.99</v>
      </c>
      <c r="O280" s="148" t="n">
        <v>25.99</v>
      </c>
      <c r="P280" s="148">
        <f>IF(AND(ISNUMBER(O280),ISNUMBER(N280),N(N280)&gt;0),O280/N280-1,"")</f>
        <v/>
      </c>
      <c r="Q280" s="148" t="n">
        <v>32.90432150313153</v>
      </c>
      <c r="R280" s="148">
        <f>IF(AND(ISNUMBER(N280),ISNUMBER(Q280),N(Q280)&gt;0),N280/Q280-1,"")</f>
        <v/>
      </c>
      <c r="S280" s="148" t="n">
        <v>28165</v>
      </c>
      <c r="T280" s="148" t="n">
        <v>5</v>
      </c>
      <c r="U280" s="148" t="n">
        <v>4.4</v>
      </c>
      <c r="V280" s="148" t="n">
        <v>12125</v>
      </c>
      <c r="W280" s="148" t="n">
        <v>20002</v>
      </c>
      <c r="X280" s="148" t="n">
        <v>1</v>
      </c>
      <c r="Y280" s="148" t="n">
        <v>167</v>
      </c>
      <c r="Z280" s="148" t="n">
        <v>102</v>
      </c>
      <c r="AA280" s="148" t="n">
        <v>0</v>
      </c>
      <c r="AB280" s="148" t="n"/>
      <c r="AC280" s="148" t="inlineStr">
        <is>
          <t>US DC S6</t>
        </is>
      </c>
      <c r="AD280" s="148">
        <f>'US DC S6'!BF175</f>
        <v/>
      </c>
      <c r="AE280" s="148">
        <f>'US DC S6'!BI175</f>
        <v/>
      </c>
      <c r="AF280" s="148" t="inlineStr">
        <is>
          <t>EXTRA DEEP pocket - Full size</t>
        </is>
      </c>
      <c r="AG280" s="148" t="inlineStr">
        <is>
          <t>Blackish Green</t>
        </is>
      </c>
      <c r="AH280" s="148">
        <f>AND(E280="CA",OR('CA Dashboard'!$C$4="All",'CA Dashboard'!$C$4=D280),OR('CA Dashboard'!$C$5="All",'CA Dashboard'!$C$5=G280),OR('CA Dashboard'!$C$6="All",'CA Dashboard'!$C$6=H280),OR('CA Dashboard'!$C$7="All",'CA Dashboard'!$C$7=F280),OR('CA Dashboard'!$C$8="All",'CA Dashboard'!$C$8=AJ280))</f>
        <v/>
      </c>
      <c r="AI280" s="148">
        <f>IF(AH280,AI279+1,AI279)</f>
        <v/>
      </c>
      <c r="AJ280" s="148" t="inlineStr">
        <is>
          <t>Direct</t>
        </is>
      </c>
      <c r="AK280" s="148" t="inlineStr">
        <is>
          <t>Same product (sheet set) in the same material family: Satin (polyester) (product page material: Satin); ours: our listing: polyester satin.</t>
        </is>
      </c>
    </row>
    <row r="281">
      <c r="A281" s="148">
        <f>AND(E281="US",OR('US Dashboard'!$C$4="All",'US Dashboard'!$C$4=D281),OR('US Dashboard'!$C$5="All",'US Dashboard'!$C$5=G281),OR('US Dashboard'!$C$6="All",'US Dashboard'!$C$6=H281),OR('US Dashboard'!$C$7="All",'US Dashboard'!$C$7=F281),OR('US Dashboard'!$C$8="All",'US Dashboard'!$C$8=AJ281))</f>
        <v/>
      </c>
      <c r="B281" s="148">
        <f>IF(A281,B280+1,B280)</f>
        <v/>
      </c>
      <c r="C281" s="148" t="n">
        <v>31</v>
      </c>
      <c r="D281" s="148" t="inlineStr">
        <is>
          <t>DC S6</t>
        </is>
      </c>
      <c r="E281" s="148" t="inlineStr">
        <is>
          <t>US</t>
        </is>
      </c>
      <c r="F281" s="148" t="inlineStr">
        <is>
          <t>Satin</t>
        </is>
      </c>
      <c r="G281" s="148" t="inlineStr">
        <is>
          <t>Manyshofu</t>
        </is>
      </c>
      <c r="H281" s="148" t="inlineStr">
        <is>
          <t>Beatable</t>
        </is>
      </c>
      <c r="I281" s="148" t="inlineStr">
        <is>
          <t>Satin Sheets</t>
        </is>
      </c>
      <c r="J281" s="148" t="inlineStr">
        <is>
          <t>https://m.media-amazon.com/images/I/81fhEyi-eTL._AC_SL1500_.jpg</t>
        </is>
      </c>
      <c r="K281" s="148" t="inlineStr">
        <is>
          <t>B09YQW7HBK</t>
        </is>
      </c>
      <c r="L281" s="148" t="inlineStr">
        <is>
          <t>B09S5RNLN9</t>
        </is>
      </c>
      <c r="M281" s="148" t="n"/>
      <c r="N281" s="148" t="n">
        <v>31.99</v>
      </c>
      <c r="O281" s="148" t="n"/>
      <c r="P281" s="148">
        <f>IF(AND(ISNUMBER(O281),ISNUMBER(N281),N(N281)&gt;0),O281/N281-1,"")</f>
        <v/>
      </c>
      <c r="Q281" s="148" t="n">
        <v>32.90432150313153</v>
      </c>
      <c r="R281" s="148">
        <f>IF(AND(ISNUMBER(N281),ISNUMBER(Q281),N(Q281)&gt;0),N281/Q281-1,"")</f>
        <v/>
      </c>
      <c r="S281" s="148" t="n">
        <v>300374</v>
      </c>
      <c r="T281" s="148" t="n">
        <v>5</v>
      </c>
      <c r="U281" s="148" t="n">
        <v>4.3</v>
      </c>
      <c r="V281" s="148" t="n">
        <v>907</v>
      </c>
      <c r="W281" s="148" t="n"/>
      <c r="X281" s="148" t="n"/>
      <c r="Y281" s="148" t="n"/>
      <c r="Z281" s="148" t="n"/>
      <c r="AA281" s="148" t="n"/>
      <c r="AB281" s="148" t="n"/>
      <c r="AC281" s="148" t="inlineStr">
        <is>
          <t>US DC S6</t>
        </is>
      </c>
      <c r="AD281" s="148">
        <f>'US DC S6'!BF176</f>
        <v/>
      </c>
      <c r="AE281" s="148">
        <f>'US DC S6'!BI176</f>
        <v/>
      </c>
      <c r="AF281" s="148" t="inlineStr">
        <is>
          <t>California King</t>
        </is>
      </c>
      <c r="AG281" s="148" t="inlineStr">
        <is>
          <t>Dark Green</t>
        </is>
      </c>
      <c r="AH281" s="148">
        <f>AND(E281="CA",OR('CA Dashboard'!$C$4="All",'CA Dashboard'!$C$4=D281),OR('CA Dashboard'!$C$5="All",'CA Dashboard'!$C$5=G281),OR('CA Dashboard'!$C$6="All",'CA Dashboard'!$C$6=H281),OR('CA Dashboard'!$C$7="All",'CA Dashboard'!$C$7=F281),OR('CA Dashboard'!$C$8="All",'CA Dashboard'!$C$8=AJ281))</f>
        <v/>
      </c>
      <c r="AI281" s="148">
        <f>IF(AH281,AI280+1,AI280)</f>
        <v/>
      </c>
      <c r="AJ281" s="148" t="inlineStr">
        <is>
          <t>Direct</t>
        </is>
      </c>
      <c r="AK281" s="148" t="inlineStr">
        <is>
          <t>Same product (sheet set) in the same material family: Satin (polyester) (product page material: Satin); ours: our listing: polyester satin.</t>
        </is>
      </c>
    </row>
    <row r="282">
      <c r="A282" s="148">
        <f>AND(E282="US",OR('US Dashboard'!$C$4="All",'US Dashboard'!$C$4=D282),OR('US Dashboard'!$C$5="All",'US Dashboard'!$C$5=G282),OR('US Dashboard'!$C$6="All",'US Dashboard'!$C$6=H282),OR('US Dashboard'!$C$7="All",'US Dashboard'!$C$7=F282),OR('US Dashboard'!$C$8="All",'US Dashboard'!$C$8=AJ282))</f>
        <v/>
      </c>
      <c r="B282" s="148">
        <f>IF(A282,B281+1,B281)</f>
        <v/>
      </c>
      <c r="C282" s="148" t="n">
        <v>31</v>
      </c>
      <c r="D282" s="148" t="inlineStr">
        <is>
          <t>DC S6</t>
        </is>
      </c>
      <c r="E282" s="148" t="inlineStr">
        <is>
          <t>US</t>
        </is>
      </c>
      <c r="F282" s="148" t="inlineStr">
        <is>
          <t>Satin</t>
        </is>
      </c>
      <c r="G282" s="148" t="inlineStr">
        <is>
          <t>Candoury</t>
        </is>
      </c>
      <c r="H282" s="148" t="inlineStr">
        <is>
          <t>Untiered</t>
        </is>
      </c>
      <c r="I282" s="148" t="inlineStr">
        <is>
          <t>Satin Sheets</t>
        </is>
      </c>
      <c r="J282" s="148" t="inlineStr">
        <is>
          <t>https://m.media-amazon.com/images/I/71PuS2XyTRL._AC_SL1500_.jpg</t>
        </is>
      </c>
      <c r="K282" s="148" t="inlineStr">
        <is>
          <t>B08RHZ9TMQ</t>
        </is>
      </c>
      <c r="L282" s="148" t="inlineStr">
        <is>
          <t>B08JKWGXZ9</t>
        </is>
      </c>
      <c r="M282" s="148" t="n"/>
      <c r="N282" s="148" t="n">
        <v>15.99</v>
      </c>
      <c r="O282" s="148" t="n"/>
      <c r="P282" s="148">
        <f>IF(AND(ISNUMBER(O282),ISNUMBER(N282),N(N282)&gt;0),O282/N282-1,"")</f>
        <v/>
      </c>
      <c r="Q282" s="148" t="n">
        <v>31.95</v>
      </c>
      <c r="R282" s="148">
        <f>IF(AND(ISNUMBER(N282),ISNUMBER(Q282),N(Q282)&gt;0),N282/Q282-1,"")</f>
        <v/>
      </c>
      <c r="S282" s="148" t="n">
        <v>420044</v>
      </c>
      <c r="T282" s="148" t="n">
        <v>5</v>
      </c>
      <c r="U282" s="148" t="n">
        <v>4.3</v>
      </c>
      <c r="V282" s="148" t="n">
        <v>5277</v>
      </c>
      <c r="W282" s="148" t="n"/>
      <c r="X282" s="148" t="n"/>
      <c r="Y282" s="148" t="n"/>
      <c r="Z282" s="148" t="n"/>
      <c r="AA282" s="148" t="n"/>
      <c r="AB282" s="148" t="n"/>
      <c r="AC282" s="148" t="inlineStr">
        <is>
          <t>US DC S6</t>
        </is>
      </c>
      <c r="AD282" s="148">
        <f>'US DC S6'!BF177</f>
        <v/>
      </c>
      <c r="AE282" s="148">
        <f>'US DC S6'!BI177</f>
        <v/>
      </c>
      <c r="AF282" s="148" t="inlineStr">
        <is>
          <t>Queen</t>
        </is>
      </c>
      <c r="AG282" s="148" t="inlineStr">
        <is>
          <t>Black</t>
        </is>
      </c>
      <c r="AH282" s="148">
        <f>AND(E282="CA",OR('CA Dashboard'!$C$4="All",'CA Dashboard'!$C$4=D282),OR('CA Dashboard'!$C$5="All",'CA Dashboard'!$C$5=G282),OR('CA Dashboard'!$C$6="All",'CA Dashboard'!$C$6=H282),OR('CA Dashboard'!$C$7="All",'CA Dashboard'!$C$7=F282),OR('CA Dashboard'!$C$8="All",'CA Dashboard'!$C$8=AJ282))</f>
        <v/>
      </c>
      <c r="AI282" s="148">
        <f>IF(AH282,AI281+1,AI281)</f>
        <v/>
      </c>
      <c r="AJ282" s="148" t="inlineStr">
        <is>
          <t>Direct</t>
        </is>
      </c>
      <c r="AK282" s="148" t="inlineStr">
        <is>
          <t>Same product (sheet set) in the same material family: Satin (polyester) (product page material: Satin polyester); ours: our listing: polyester satin.</t>
        </is>
      </c>
    </row>
    <row r="283">
      <c r="A283" s="148">
        <f>AND(E283="US",OR('US Dashboard'!$C$4="All",'US Dashboard'!$C$4=D283),OR('US Dashboard'!$C$5="All",'US Dashboard'!$C$5=G283),OR('US Dashboard'!$C$6="All",'US Dashboard'!$C$6=H283),OR('US Dashboard'!$C$7="All",'US Dashboard'!$C$7=F283),OR('US Dashboard'!$C$8="All",'US Dashboard'!$C$8=AJ283))</f>
        <v/>
      </c>
      <c r="B283" s="148">
        <f>IF(A283,B282+1,B282)</f>
        <v/>
      </c>
      <c r="C283" s="148" t="n">
        <v>31</v>
      </c>
      <c r="D283" s="148" t="inlineStr">
        <is>
          <t>DC S6</t>
        </is>
      </c>
      <c r="E283" s="148" t="inlineStr">
        <is>
          <t>CA</t>
        </is>
      </c>
      <c r="F283" s="148" t="inlineStr">
        <is>
          <t>Satin</t>
        </is>
      </c>
      <c r="G283" s="148" t="inlineStr">
        <is>
          <t>JUWENIN</t>
        </is>
      </c>
      <c r="H283" s="148" t="inlineStr">
        <is>
          <t>Untiered</t>
        </is>
      </c>
      <c r="I283" s="148" t="inlineStr">
        <is>
          <t>Satin Sheet Set, 6 Piece Soft Silky Bed Sheets Deep Pocket, Good for Skin and Hair 1 Satin Fitted Sheet + 1 Flat Sheet + 4 Pillow Cases (Gray, Queen-6PCS)</t>
        </is>
      </c>
      <c r="J283" s="148" t="inlineStr">
        <is>
          <t>https://m.media-amazon.com/images/I/61-Kk3biG1L.jpg</t>
        </is>
      </c>
      <c r="K283" s="148" t="inlineStr">
        <is>
          <t>B0FNQY65MC</t>
        </is>
      </c>
      <c r="L283" s="148" t="inlineStr">
        <is>
          <t>B0FNR1QR4J</t>
        </is>
      </c>
      <c r="M283" s="148" t="n">
        <v>11</v>
      </c>
      <c r="N283" s="148" t="n">
        <v>27.99</v>
      </c>
      <c r="O283" s="148" t="n"/>
      <c r="P283" s="148">
        <f>IF(AND(ISNUMBER(O283),ISNUMBER(N283),N(N283)&gt;0),O283/N283-1,"")</f>
        <v/>
      </c>
      <c r="Q283" s="148" t="n">
        <v>47.99</v>
      </c>
      <c r="R283" s="148">
        <f>IF(AND(ISNUMBER(N283),ISNUMBER(Q283),N(Q283)&gt;0),N283/Q283-1,"")</f>
        <v/>
      </c>
      <c r="S283" s="148" t="n">
        <v>224911</v>
      </c>
      <c r="T283" s="148" t="n"/>
      <c r="U283" s="148" t="n">
        <v>4.1</v>
      </c>
      <c r="V283" s="148" t="n">
        <v>29</v>
      </c>
      <c r="W283" s="148" t="n"/>
      <c r="X283" s="148" t="n"/>
      <c r="Y283" s="148" t="n"/>
      <c r="Z283" s="148" t="n"/>
      <c r="AA283" s="148" t="n"/>
      <c r="AB283" s="148" t="n"/>
      <c r="AC283" s="148" t="inlineStr">
        <is>
          <t>CA DC S6</t>
        </is>
      </c>
      <c r="AD283" s="148">
        <f>'CA DC S6'!BF160</f>
        <v/>
      </c>
      <c r="AE283" s="148">
        <f>'CA DC S6'!BI160</f>
        <v/>
      </c>
      <c r="AF283" s="148" t="inlineStr">
        <is>
          <t>Queen</t>
        </is>
      </c>
      <c r="AG283" s="148" t="inlineStr">
        <is>
          <t>Gray</t>
        </is>
      </c>
      <c r="AH283" s="148">
        <f>AND(E283="CA",OR('CA Dashboard'!$C$4="All",'CA Dashboard'!$C$4=D283),OR('CA Dashboard'!$C$5="All",'CA Dashboard'!$C$5=G283),OR('CA Dashboard'!$C$6="All",'CA Dashboard'!$C$6=H283),OR('CA Dashboard'!$C$7="All",'CA Dashboard'!$C$7=F283),OR('CA Dashboard'!$C$8="All",'CA Dashboard'!$C$8=AJ283))</f>
        <v/>
      </c>
      <c r="AI283" s="148">
        <f>IF(AH283,AI282+1,AI282)</f>
        <v/>
      </c>
      <c r="AJ283" s="148" t="inlineStr">
        <is>
          <t>Direct</t>
        </is>
      </c>
      <c r="AK283" s="148" t="inlineStr">
        <is>
          <t>Same product (sheet set) in the same material family: Satin (polyester) (title: Satin Sheet Set, 6 Piece Soft Silky Bed Sheets Deep Pocket); ours: our listing: polyester satin.</t>
        </is>
      </c>
    </row>
    <row r="284">
      <c r="A284" s="148">
        <f>AND(E284="US",OR('US Dashboard'!$C$4="All",'US Dashboard'!$C$4=D284),OR('US Dashboard'!$C$5="All",'US Dashboard'!$C$5=G284),OR('US Dashboard'!$C$6="All",'US Dashboard'!$C$6=H284),OR('US Dashboard'!$C$7="All",'US Dashboard'!$C$7=F284),OR('US Dashboard'!$C$8="All",'US Dashboard'!$C$8=AJ284))</f>
        <v/>
      </c>
      <c r="B284" s="148">
        <f>IF(A284,B283+1,B283)</f>
        <v/>
      </c>
      <c r="C284" s="148" t="n">
        <v>31</v>
      </c>
      <c r="D284" s="148" t="inlineStr">
        <is>
          <t>DC S6</t>
        </is>
      </c>
      <c r="E284" s="148" t="inlineStr">
        <is>
          <t>CA</t>
        </is>
      </c>
      <c r="F284" s="148" t="inlineStr">
        <is>
          <t>Satin</t>
        </is>
      </c>
      <c r="G284" s="148" t="inlineStr">
        <is>
          <t>Love's cabin</t>
        </is>
      </c>
      <c r="H284" s="148" t="inlineStr">
        <is>
          <t>Untiered</t>
        </is>
      </c>
      <c r="I284" s="148" t="inlineStr">
        <is>
          <t>Love's cabin Satin Queen Sheets Set, 6 Pieces, Brown, 15" Deep Pocket</t>
        </is>
      </c>
      <c r="J284" s="148" t="inlineStr">
        <is>
          <t>https://m.media-amazon.com/images/I/81uzfBY3YQL.jpg</t>
        </is>
      </c>
      <c r="K284" s="148" t="inlineStr">
        <is>
          <t>B08PZKGSSN</t>
        </is>
      </c>
      <c r="L284" s="148" t="inlineStr">
        <is>
          <t>B0H756Q1V9</t>
        </is>
      </c>
      <c r="M284" s="148" t="n">
        <v>200</v>
      </c>
      <c r="N284" s="148" t="n">
        <v>51.29</v>
      </c>
      <c r="O284" s="148" t="n"/>
      <c r="P284" s="148">
        <f>IF(AND(ISNUMBER(O284),ISNUMBER(N284),N(N284)&gt;0),O284/N284-1,"")</f>
        <v/>
      </c>
      <c r="Q284" s="148" t="n">
        <v>47.99</v>
      </c>
      <c r="R284" s="148">
        <f>IF(AND(ISNUMBER(N284),ISNUMBER(Q284),N(Q284)&gt;0),N284/Q284-1,"")</f>
        <v/>
      </c>
      <c r="S284" s="148" t="n">
        <v>303174</v>
      </c>
      <c r="T284" s="148" t="n"/>
      <c r="U284" s="148" t="n">
        <v>4.4</v>
      </c>
      <c r="V284" s="148" t="n">
        <v>5953</v>
      </c>
      <c r="W284" s="148" t="n"/>
      <c r="X284" s="148" t="n"/>
      <c r="Y284" s="148" t="n"/>
      <c r="Z284" s="148" t="n"/>
      <c r="AA284" s="148" t="n"/>
      <c r="AB284" s="148" t="n"/>
      <c r="AC284" s="148" t="inlineStr">
        <is>
          <t>CA DC S6</t>
        </is>
      </c>
      <c r="AD284" s="148">
        <f>'CA DC S6'!BF161</f>
        <v/>
      </c>
      <c r="AE284" s="148">
        <f>'CA DC S6'!BI161</f>
        <v/>
      </c>
      <c r="AF284" s="148" t="inlineStr">
        <is>
          <t>Queen</t>
        </is>
      </c>
      <c r="AG284" s="148" t="inlineStr">
        <is>
          <t>Brown.</t>
        </is>
      </c>
      <c r="AH284" s="148">
        <f>AND(E284="CA",OR('CA Dashboard'!$C$4="All",'CA Dashboard'!$C$4=D284),OR('CA Dashboard'!$C$5="All",'CA Dashboard'!$C$5=G284),OR('CA Dashboard'!$C$6="All",'CA Dashboard'!$C$6=H284),OR('CA Dashboard'!$C$7="All",'CA Dashboard'!$C$7=F284),OR('CA Dashboard'!$C$8="All",'CA Dashboard'!$C$8=AJ284))</f>
        <v/>
      </c>
      <c r="AI284" s="148">
        <f>IF(AH284,AI283+1,AI283)</f>
        <v/>
      </c>
      <c r="AJ284" s="148" t="inlineStr">
        <is>
          <t>Direct</t>
        </is>
      </c>
      <c r="AK284" s="148" t="inlineStr">
        <is>
          <t>Same product (sheet set) in the same material family: Satin (polyester) (title: Love's cabin Satin Queen Sheets Set, 6 Pieces, Brown, 15" De); ours: our listing: polyester satin.</t>
        </is>
      </c>
    </row>
    <row r="285">
      <c r="A285" s="148">
        <f>AND(E285="US",OR('US Dashboard'!$C$4="All",'US Dashboard'!$C$4=D285),OR('US Dashboard'!$C$5="All",'US Dashboard'!$C$5=G285),OR('US Dashboard'!$C$6="All",'US Dashboard'!$C$6=H285),OR('US Dashboard'!$C$7="All",'US Dashboard'!$C$7=F285),OR('US Dashboard'!$C$8="All",'US Dashboard'!$C$8=AJ285))</f>
        <v/>
      </c>
      <c r="B285" s="148">
        <f>IF(A285,B284+1,B284)</f>
        <v/>
      </c>
      <c r="C285" s="148" t="n">
        <v>31</v>
      </c>
      <c r="D285" s="148" t="inlineStr">
        <is>
          <t>DC S6</t>
        </is>
      </c>
      <c r="E285" s="148" t="inlineStr">
        <is>
          <t>CA</t>
        </is>
      </c>
      <c r="F285" s="148" t="inlineStr">
        <is>
          <t>Satin</t>
        </is>
      </c>
      <c r="G285" s="148" t="inlineStr">
        <is>
          <t>P Pothuiny</t>
        </is>
      </c>
      <c r="H285" s="148" t="inlineStr">
        <is>
          <t>Untiered</t>
        </is>
      </c>
      <c r="I285" s="148" t="inlineStr">
        <is>
          <t>P Pothuiny 6-Piece Queen Satin Sheet Set Burgundy Silky Sheets</t>
        </is>
      </c>
      <c r="J285" s="148" t="inlineStr">
        <is>
          <t>https://m.media-amazon.com/images/I/71TbH0l5XfL.jpg</t>
        </is>
      </c>
      <c r="K285" s="148" t="inlineStr">
        <is>
          <t>B08T9NBQ1J</t>
        </is>
      </c>
      <c r="L285" s="148" t="inlineStr">
        <is>
          <t>B08QMF6D5W</t>
        </is>
      </c>
      <c r="M285" s="148" t="n">
        <v>37</v>
      </c>
      <c r="N285" s="148" t="n">
        <v>55.67</v>
      </c>
      <c r="O285" s="148" t="n"/>
      <c r="P285" s="148">
        <f>IF(AND(ISNUMBER(O285),ISNUMBER(N285),N(N285)&gt;0),O285/N285-1,"")</f>
        <v/>
      </c>
      <c r="Q285" s="148" t="n">
        <v>47.99</v>
      </c>
      <c r="R285" s="148">
        <f>IF(AND(ISNUMBER(N285),ISNUMBER(Q285),N(Q285)&gt;0),N285/Q285-1,"")</f>
        <v/>
      </c>
      <c r="S285" s="148" t="n">
        <v>365995</v>
      </c>
      <c r="T285" s="148" t="n"/>
      <c r="U285" s="148" t="n">
        <v>4.4</v>
      </c>
      <c r="V285" s="148" t="n">
        <v>3487</v>
      </c>
      <c r="W285" s="148" t="n"/>
      <c r="X285" s="148" t="n"/>
      <c r="Y285" s="148" t="n"/>
      <c r="Z285" s="148" t="n"/>
      <c r="AA285" s="148" t="n"/>
      <c r="AB285" s="148" t="n"/>
      <c r="AC285" s="148" t="inlineStr">
        <is>
          <t>CA DC S6</t>
        </is>
      </c>
      <c r="AD285" s="148">
        <f>'CA DC S6'!BF162</f>
        <v/>
      </c>
      <c r="AE285" s="148">
        <f>'CA DC S6'!BI162</f>
        <v/>
      </c>
      <c r="AF285" s="148" t="inlineStr">
        <is>
          <t>Queen</t>
        </is>
      </c>
      <c r="AG285" s="148" t="inlineStr">
        <is>
          <t>Burgundy</t>
        </is>
      </c>
      <c r="AH285" s="148">
        <f>AND(E285="CA",OR('CA Dashboard'!$C$4="All",'CA Dashboard'!$C$4=D285),OR('CA Dashboard'!$C$5="All",'CA Dashboard'!$C$5=G285),OR('CA Dashboard'!$C$6="All",'CA Dashboard'!$C$6=H285),OR('CA Dashboard'!$C$7="All",'CA Dashboard'!$C$7=F285),OR('CA Dashboard'!$C$8="All",'CA Dashboard'!$C$8=AJ285))</f>
        <v/>
      </c>
      <c r="AI285" s="148">
        <f>IF(AH285,AI284+1,AI284)</f>
        <v/>
      </c>
      <c r="AJ285" s="148" t="inlineStr">
        <is>
          <t>Direct</t>
        </is>
      </c>
      <c r="AK285" s="148" t="inlineStr">
        <is>
          <t>Same product (sheet set) in the same material family: Satin (polyester) (title: P Pothuiny 6-Piece Queen Satin Sheet Set Burgundy Silky Shee); ours: our listing: polyester satin.</t>
        </is>
      </c>
    </row>
    <row r="286">
      <c r="A286" s="148">
        <f>AND(E286="US",OR('US Dashboard'!$C$4="All",'US Dashboard'!$C$4=D286),OR('US Dashboard'!$C$5="All",'US Dashboard'!$C$5=G286),OR('US Dashboard'!$C$6="All",'US Dashboard'!$C$6=H286),OR('US Dashboard'!$C$7="All",'US Dashboard'!$C$7=F286),OR('US Dashboard'!$C$8="All",'US Dashboard'!$C$8=AJ286))</f>
        <v/>
      </c>
      <c r="B286" s="148">
        <f>IF(A286,B285+1,B285)</f>
        <v/>
      </c>
      <c r="C286" s="148" t="n">
        <v>31</v>
      </c>
      <c r="D286" s="148" t="inlineStr">
        <is>
          <t>DC S6</t>
        </is>
      </c>
      <c r="E286" s="148" t="inlineStr">
        <is>
          <t>CA</t>
        </is>
      </c>
      <c r="F286" s="148" t="inlineStr">
        <is>
          <t>Satin</t>
        </is>
      </c>
      <c r="G286" s="148" t="inlineStr">
        <is>
          <t>GOLAL</t>
        </is>
      </c>
      <c r="H286" s="148" t="inlineStr">
        <is>
          <t>Untiered</t>
        </is>
      </c>
      <c r="I286" s="148" t="inlineStr">
        <is>
          <t>Sage Green Satin Sheets Queen Size - 6 Pieces Silky Soft Bed Sheets</t>
        </is>
      </c>
      <c r="J286" s="148" t="inlineStr">
        <is>
          <t>https://m.media-amazon.com/images/I/718KDeMA1pL.jpg</t>
        </is>
      </c>
      <c r="K286" s="148" t="inlineStr">
        <is>
          <t>B09JB7K1PP</t>
        </is>
      </c>
      <c r="L286" s="148" t="inlineStr">
        <is>
          <t>B0DB5QPHB8</t>
        </is>
      </c>
      <c r="M286" s="148" t="n">
        <v>91</v>
      </c>
      <c r="N286" s="148" t="n">
        <v>66.66</v>
      </c>
      <c r="O286" s="148" t="n"/>
      <c r="P286" s="148">
        <f>IF(AND(ISNUMBER(O286),ISNUMBER(N286),N(N286)&gt;0),O286/N286-1,"")</f>
        <v/>
      </c>
      <c r="Q286" s="148" t="n">
        <v>47.99</v>
      </c>
      <c r="R286" s="148">
        <f>IF(AND(ISNUMBER(N286),ISNUMBER(Q286),N(Q286)&gt;0),N286/Q286-1,"")</f>
        <v/>
      </c>
      <c r="S286" s="148" t="n">
        <v>18076</v>
      </c>
      <c r="T286" s="148" t="n"/>
      <c r="U286" s="148" t="n">
        <v>4</v>
      </c>
      <c r="V286" s="148" t="n">
        <v>31</v>
      </c>
      <c r="W286" s="148" t="n"/>
      <c r="X286" s="148" t="n"/>
      <c r="Y286" s="148" t="n"/>
      <c r="Z286" s="148" t="n"/>
      <c r="AA286" s="148" t="n"/>
      <c r="AB286" s="148" t="n"/>
      <c r="AC286" s="148" t="inlineStr">
        <is>
          <t>CA DC S6</t>
        </is>
      </c>
      <c r="AD286" s="148">
        <f>'CA DC S6'!BF163</f>
        <v/>
      </c>
      <c r="AE286" s="148">
        <f>'CA DC S6'!BI163</f>
        <v/>
      </c>
      <c r="AF286" s="148" t="inlineStr">
        <is>
          <t>Queen</t>
        </is>
      </c>
      <c r="AG286" s="148" t="inlineStr">
        <is>
          <t>Sage Green</t>
        </is>
      </c>
      <c r="AH286" s="148">
        <f>AND(E286="CA",OR('CA Dashboard'!$C$4="All",'CA Dashboard'!$C$4=D286),OR('CA Dashboard'!$C$5="All",'CA Dashboard'!$C$5=G286),OR('CA Dashboard'!$C$6="All",'CA Dashboard'!$C$6=H286),OR('CA Dashboard'!$C$7="All",'CA Dashboard'!$C$7=F286),OR('CA Dashboard'!$C$8="All",'CA Dashboard'!$C$8=AJ286))</f>
        <v/>
      </c>
      <c r="AI286" s="148">
        <f>IF(AH286,AI285+1,AI285)</f>
        <v/>
      </c>
      <c r="AJ286" s="148" t="inlineStr">
        <is>
          <t>Direct</t>
        </is>
      </c>
      <c r="AK286" s="148" t="inlineStr">
        <is>
          <t>Same product (sheet set) in the same material family: Satin (polyester) (title: Sage Green Satin Sheets Queen Size - 6 Pieces Silky Soft Bed); ours: our listing: polyester satin.</t>
        </is>
      </c>
    </row>
    <row r="287">
      <c r="A287" s="148">
        <f>AND(E287="US",OR('US Dashboard'!$C$4="All",'US Dashboard'!$C$4=D287),OR('US Dashboard'!$C$5="All",'US Dashboard'!$C$5=G287),OR('US Dashboard'!$C$6="All",'US Dashboard'!$C$6=H287),OR('US Dashboard'!$C$7="All",'US Dashboard'!$C$7=F287),OR('US Dashboard'!$C$8="All",'US Dashboard'!$C$8=AJ287))</f>
        <v/>
      </c>
      <c r="B287" s="148">
        <f>IF(A287,B286+1,B286)</f>
        <v/>
      </c>
      <c r="C287" s="148" t="n">
        <v>31</v>
      </c>
      <c r="D287" s="148" t="inlineStr">
        <is>
          <t>DC S6</t>
        </is>
      </c>
      <c r="E287" s="148" t="inlineStr">
        <is>
          <t>CA</t>
        </is>
      </c>
      <c r="F287" s="148" t="inlineStr">
        <is>
          <t>Satin</t>
        </is>
      </c>
      <c r="G287" s="148" t="inlineStr">
        <is>
          <t>Horbaunal</t>
        </is>
      </c>
      <c r="H287" s="148" t="inlineStr">
        <is>
          <t>Untiered</t>
        </is>
      </c>
      <c r="I287" s="148" t="inlineStr">
        <is>
          <t>Horbaunal 6 Piece Satin Sheet Set Queen Size Luxury Silky &amp; Soft Burgundy Satin Queen Bed Sheet Set with 16" Deep Pocket, 1 Fitted Sheet, 1 Flat Sheet, 4 Pillowcases</t>
        </is>
      </c>
      <c r="J287" s="148" t="inlineStr">
        <is>
          <t>https://m.media-amazon.com/images/I/71NqLu99bjL.jpg</t>
        </is>
      </c>
      <c r="K287" s="148" t="inlineStr">
        <is>
          <t>B0B853RZWS</t>
        </is>
      </c>
      <c r="L287" s="148" t="inlineStr">
        <is>
          <t>B0B4MWGBCL</t>
        </is>
      </c>
      <c r="M287" s="148" t="n">
        <v>25</v>
      </c>
      <c r="N287" s="148" t="n">
        <v>54.37</v>
      </c>
      <c r="O287" s="148" t="n"/>
      <c r="P287" s="148">
        <f>IF(AND(ISNUMBER(O287),ISNUMBER(N287),N(N287)&gt;0),O287/N287-1,"")</f>
        <v/>
      </c>
      <c r="Q287" s="148" t="n">
        <v>47.99</v>
      </c>
      <c r="R287" s="148">
        <f>IF(AND(ISNUMBER(N287),ISNUMBER(Q287),N(Q287)&gt;0),N287/Q287-1,"")</f>
        <v/>
      </c>
      <c r="S287" s="148" t="n">
        <v>515168</v>
      </c>
      <c r="T287" s="148" t="n"/>
      <c r="U287" s="148" t="n">
        <v>4.4</v>
      </c>
      <c r="V287" s="148" t="n">
        <v>842</v>
      </c>
      <c r="W287" s="148" t="n"/>
      <c r="X287" s="148" t="n"/>
      <c r="Y287" s="148" t="n"/>
      <c r="Z287" s="148" t="n"/>
      <c r="AA287" s="148" t="n"/>
      <c r="AB287" s="148" t="n"/>
      <c r="AC287" s="148" t="inlineStr">
        <is>
          <t>CA DC S6</t>
        </is>
      </c>
      <c r="AD287" s="148">
        <f>'CA DC S6'!BF164</f>
        <v/>
      </c>
      <c r="AE287" s="148">
        <f>'CA DC S6'!BI164</f>
        <v/>
      </c>
      <c r="AF287" s="148" t="inlineStr">
        <is>
          <t>Queen</t>
        </is>
      </c>
      <c r="AG287" s="148" t="inlineStr">
        <is>
          <t>Burgundy</t>
        </is>
      </c>
      <c r="AH287" s="148">
        <f>AND(E287="CA",OR('CA Dashboard'!$C$4="All",'CA Dashboard'!$C$4=D287),OR('CA Dashboard'!$C$5="All",'CA Dashboard'!$C$5=G287),OR('CA Dashboard'!$C$6="All",'CA Dashboard'!$C$6=H287),OR('CA Dashboard'!$C$7="All",'CA Dashboard'!$C$7=F287),OR('CA Dashboard'!$C$8="All",'CA Dashboard'!$C$8=AJ287))</f>
        <v/>
      </c>
      <c r="AI287" s="148">
        <f>IF(AH287,AI286+1,AI286)</f>
        <v/>
      </c>
      <c r="AJ287" s="148" t="inlineStr">
        <is>
          <t>Direct</t>
        </is>
      </c>
      <c r="AK287" s="148" t="inlineStr">
        <is>
          <t>Same product (sheet set) in the same material family: Satin (polyester) (title: Horbaunal 6 Piece Satin Sheet Set Queen Size Luxury Silky &amp; ); ours: our listing: polyester satin.</t>
        </is>
      </c>
    </row>
    <row r="288">
      <c r="A288" s="148">
        <f>AND(E288="US",OR('US Dashboard'!$C$4="All",'US Dashboard'!$C$4=D288),OR('US Dashboard'!$C$5="All",'US Dashboard'!$C$5=G288),OR('US Dashboard'!$C$6="All",'US Dashboard'!$C$6=H288),OR('US Dashboard'!$C$7="All",'US Dashboard'!$C$7=F288),OR('US Dashboard'!$C$8="All",'US Dashboard'!$C$8=AJ288))</f>
        <v/>
      </c>
      <c r="B288" s="148">
        <f>IF(A288,B287+1,B287)</f>
        <v/>
      </c>
      <c r="C288" s="148" t="n">
        <v>31</v>
      </c>
      <c r="D288" s="148" t="inlineStr">
        <is>
          <t>DC S6</t>
        </is>
      </c>
      <c r="E288" s="148" t="inlineStr">
        <is>
          <t>CA</t>
        </is>
      </c>
      <c r="F288" s="148" t="inlineStr">
        <is>
          <t>Satin</t>
        </is>
      </c>
      <c r="G288" s="148" t="inlineStr">
        <is>
          <t>JUWENIN</t>
        </is>
      </c>
      <c r="H288" s="148" t="inlineStr">
        <is>
          <t>Untiered</t>
        </is>
      </c>
      <c r="I288" s="148" t="inlineStr">
        <is>
          <t>JUWENIN Satin Sheet Set, 6 Piece Soft Silky Bed Sheets Deep Pocket, Good for Skin and Hair 1 Satin Fitted Sheet + 1 Flat Sheet + 4 Pillow Cases(Gray, Queen)</t>
        </is>
      </c>
      <c r="J288" s="148" t="inlineStr">
        <is>
          <t>https://m.media-amazon.com/images/I/51VwRlflBFL.jpg</t>
        </is>
      </c>
      <c r="K288" s="148" t="inlineStr">
        <is>
          <t>B0FBL9474N</t>
        </is>
      </c>
      <c r="L288" s="148" t="inlineStr">
        <is>
          <t>B0CN5LRC1T</t>
        </is>
      </c>
      <c r="M288" s="148" t="n">
        <v>3</v>
      </c>
      <c r="N288" s="148" t="n">
        <v>49.7</v>
      </c>
      <c r="O288" s="148" t="n"/>
      <c r="P288" s="148">
        <f>IF(AND(ISNUMBER(O288),ISNUMBER(N288),N(N288)&gt;0),O288/N288-1,"")</f>
        <v/>
      </c>
      <c r="Q288" s="148" t="n">
        <v>47.99</v>
      </c>
      <c r="R288" s="148">
        <f>IF(AND(ISNUMBER(N288),ISNUMBER(Q288),N(Q288)&gt;0),N288/Q288-1,"")</f>
        <v/>
      </c>
      <c r="S288" s="148" t="n">
        <v>418002</v>
      </c>
      <c r="T288" s="148" t="n"/>
      <c r="U288" s="148" t="n"/>
      <c r="V288" s="148" t="n"/>
      <c r="W288" s="148" t="n"/>
      <c r="X288" s="148" t="n"/>
      <c r="Y288" s="148" t="n"/>
      <c r="Z288" s="148" t="n"/>
      <c r="AA288" s="148" t="n"/>
      <c r="AB288" s="148" t="n"/>
      <c r="AC288" s="148" t="inlineStr">
        <is>
          <t>CA DC S6</t>
        </is>
      </c>
      <c r="AD288" s="148">
        <f>'CA DC S6'!BF165</f>
        <v/>
      </c>
      <c r="AE288" s="148">
        <f>'CA DC S6'!BI165</f>
        <v/>
      </c>
      <c r="AF288" s="148" t="inlineStr">
        <is>
          <t>Queen</t>
        </is>
      </c>
      <c r="AG288" s="148" t="inlineStr">
        <is>
          <t>Gray</t>
        </is>
      </c>
      <c r="AH288" s="148">
        <f>AND(E288="CA",OR('CA Dashboard'!$C$4="All",'CA Dashboard'!$C$4=D288),OR('CA Dashboard'!$C$5="All",'CA Dashboard'!$C$5=G288),OR('CA Dashboard'!$C$6="All",'CA Dashboard'!$C$6=H288),OR('CA Dashboard'!$C$7="All",'CA Dashboard'!$C$7=F288),OR('CA Dashboard'!$C$8="All",'CA Dashboard'!$C$8=AJ288))</f>
        <v/>
      </c>
      <c r="AI288" s="148">
        <f>IF(AH288,AI287+1,AI287)</f>
        <v/>
      </c>
      <c r="AJ288" s="148" t="inlineStr">
        <is>
          <t>Direct</t>
        </is>
      </c>
      <c r="AK288" s="148" t="inlineStr">
        <is>
          <t>Same product (sheet set) in the same material family: Satin (polyester) (title: JUWENIN Satin Sheet Set, 6 Piece Soft Silky Bed Sheets Deep ); ours: our listing: polyester satin.</t>
        </is>
      </c>
    </row>
    <row r="289">
      <c r="A289" s="148">
        <f>AND(E289="US",OR('US Dashboard'!$C$4="All",'US Dashboard'!$C$4=D289),OR('US Dashboard'!$C$5="All",'US Dashboard'!$C$5=G289),OR('US Dashboard'!$C$6="All",'US Dashboard'!$C$6=H289),OR('US Dashboard'!$C$7="All",'US Dashboard'!$C$7=F289),OR('US Dashboard'!$C$8="All",'US Dashboard'!$C$8=AJ289))</f>
        <v/>
      </c>
      <c r="B289" s="148">
        <f>IF(A289,B288+1,B288)</f>
        <v/>
      </c>
      <c r="C289" s="148" t="n">
        <v>31</v>
      </c>
      <c r="D289" s="148" t="inlineStr">
        <is>
          <t>DC S6</t>
        </is>
      </c>
      <c r="E289" s="148" t="inlineStr">
        <is>
          <t>CA</t>
        </is>
      </c>
      <c r="F289" s="148" t="inlineStr">
        <is>
          <t>Satin</t>
        </is>
      </c>
      <c r="G289" s="148" t="inlineStr">
        <is>
          <t>MR&amp;HM</t>
        </is>
      </c>
      <c r="H289" s="148" t="inlineStr">
        <is>
          <t>Untiered</t>
        </is>
      </c>
      <c r="I289" s="148" t="inlineStr">
        <is>
          <t>MR&amp;HM Satin Sheets Queen Size with Elastic Corner Straps, Black</t>
        </is>
      </c>
      <c r="J289" s="148" t="inlineStr">
        <is>
          <t>https://m.media-amazon.com/images/I/71r+gBRw83L.jpg</t>
        </is>
      </c>
      <c r="K289" s="148" t="inlineStr">
        <is>
          <t>B08NPFTQWB</t>
        </is>
      </c>
      <c r="L289" s="148" t="inlineStr">
        <is>
          <t>B08R64X5P9</t>
        </is>
      </c>
      <c r="M289" s="148" t="n">
        <v>182</v>
      </c>
      <c r="N289" s="148" t="n">
        <v>64.89</v>
      </c>
      <c r="O289" s="148" t="n"/>
      <c r="P289" s="148">
        <f>IF(AND(ISNUMBER(O289),ISNUMBER(N289),N(N289)&gt;0),O289/N289-1,"")</f>
        <v/>
      </c>
      <c r="Q289" s="148" t="n">
        <v>47.99</v>
      </c>
      <c r="R289" s="148">
        <f>IF(AND(ISNUMBER(N289),ISNUMBER(Q289),N(Q289)&gt;0),N289/Q289-1,"")</f>
        <v/>
      </c>
      <c r="S289" s="148" t="n">
        <v>1512</v>
      </c>
      <c r="T289" s="148" t="n"/>
      <c r="U289" s="148" t="n">
        <v>4.2</v>
      </c>
      <c r="V289" s="148" t="n">
        <v>17432</v>
      </c>
      <c r="W289" s="148" t="n"/>
      <c r="X289" s="148" t="n"/>
      <c r="Y289" s="148" t="n"/>
      <c r="Z289" s="148" t="n"/>
      <c r="AA289" s="148" t="n"/>
      <c r="AB289" s="148" t="n"/>
      <c r="AC289" s="148" t="inlineStr">
        <is>
          <t>CA DC S6</t>
        </is>
      </c>
      <c r="AD289" s="148">
        <f>'CA DC S6'!BF166</f>
        <v/>
      </c>
      <c r="AE289" s="148">
        <f>'CA DC S6'!BI166</f>
        <v/>
      </c>
      <c r="AF289" s="148" t="inlineStr">
        <is>
          <t>Queen</t>
        </is>
      </c>
      <c r="AG289" s="148" t="inlineStr">
        <is>
          <t>01- Black</t>
        </is>
      </c>
      <c r="AH289" s="148">
        <f>AND(E289="CA",OR('CA Dashboard'!$C$4="All",'CA Dashboard'!$C$4=D289),OR('CA Dashboard'!$C$5="All",'CA Dashboard'!$C$5=G289),OR('CA Dashboard'!$C$6="All",'CA Dashboard'!$C$6=H289),OR('CA Dashboard'!$C$7="All",'CA Dashboard'!$C$7=F289),OR('CA Dashboard'!$C$8="All",'CA Dashboard'!$C$8=AJ289))</f>
        <v/>
      </c>
      <c r="AI289" s="148">
        <f>IF(AH289,AI288+1,AI288)</f>
        <v/>
      </c>
      <c r="AJ289" s="148" t="inlineStr">
        <is>
          <t>Direct</t>
        </is>
      </c>
      <c r="AK289" s="148" t="inlineStr">
        <is>
          <t>Same product (sheet set) in the same material family: Satin (polyester) (title: MR&amp;HM Satin Sheets Queen Size with Elastic Corner Straps, Bl); ours: our listing: polyester satin.</t>
        </is>
      </c>
    </row>
    <row r="290">
      <c r="A290" s="148">
        <f>AND(E290="US",OR('US Dashboard'!$C$4="All",'US Dashboard'!$C$4=D290),OR('US Dashboard'!$C$5="All",'US Dashboard'!$C$5=G290),OR('US Dashboard'!$C$6="All",'US Dashboard'!$C$6=H290),OR('US Dashboard'!$C$7="All",'US Dashboard'!$C$7=F290),OR('US Dashboard'!$C$8="All",'US Dashboard'!$C$8=AJ290))</f>
        <v/>
      </c>
      <c r="B290" s="148">
        <f>IF(A290,B289+1,B289)</f>
        <v/>
      </c>
      <c r="C290" s="148" t="n">
        <v>31</v>
      </c>
      <c r="D290" s="148" t="inlineStr">
        <is>
          <t>DC S6</t>
        </is>
      </c>
      <c r="E290" s="148" t="inlineStr">
        <is>
          <t>CA</t>
        </is>
      </c>
      <c r="F290" s="148" t="inlineStr">
        <is>
          <t>Satin</t>
        </is>
      </c>
      <c r="G290" s="148" t="inlineStr">
        <is>
          <t>Madison Park</t>
        </is>
      </c>
      <c r="H290" s="148" t="inlineStr">
        <is>
          <t>Untiered</t>
        </is>
      </c>
      <c r="I290" s="148" t="inlineStr">
        <is>
          <t>Madison Park Essentials Satin Sheet Set Luxury and Silky with Natural Sheen, Elastic 14" Pocket fits up to 16" Mattress, All Around Elastic - Year-Round Bedding, Queen, White, 6 Piece</t>
        </is>
      </c>
      <c r="J290" s="148" t="inlineStr">
        <is>
          <t>https://m.media-amazon.com/images/I/81iqkRjtATL.jpg</t>
        </is>
      </c>
      <c r="K290" s="148" t="n"/>
      <c r="L290" s="148" t="inlineStr">
        <is>
          <t>B09HVFNH3Z</t>
        </is>
      </c>
      <c r="M290" s="148" t="n"/>
      <c r="N290" s="148" t="n">
        <v>59.75</v>
      </c>
      <c r="O290" s="148" t="n"/>
      <c r="P290" s="148">
        <f>IF(AND(ISNUMBER(O290),ISNUMBER(N290),N(N290)&gt;0),O290/N290-1,"")</f>
        <v/>
      </c>
      <c r="Q290" s="148" t="n">
        <v>47.99</v>
      </c>
      <c r="R290" s="148">
        <f>IF(AND(ISNUMBER(N290),ISNUMBER(Q290),N(Q290)&gt;0),N290/Q290-1,"")</f>
        <v/>
      </c>
      <c r="S290" s="148" t="n">
        <v>724759</v>
      </c>
      <c r="T290" s="148" t="n"/>
      <c r="U290" s="148" t="n">
        <v>4.3</v>
      </c>
      <c r="V290" s="148" t="n">
        <v>40</v>
      </c>
      <c r="W290" s="148" t="n"/>
      <c r="X290" s="148" t="n"/>
      <c r="Y290" s="148" t="n"/>
      <c r="Z290" s="148" t="n"/>
      <c r="AA290" s="148" t="n"/>
      <c r="AB290" s="148" t="n"/>
      <c r="AC290" s="148" t="inlineStr">
        <is>
          <t>CA DC S6</t>
        </is>
      </c>
      <c r="AD290" s="148">
        <f>'CA DC S6'!BF167</f>
        <v/>
      </c>
      <c r="AE290" s="148">
        <f>'CA DC S6'!BI167</f>
        <v/>
      </c>
      <c r="AF290" s="148" t="inlineStr">
        <is>
          <t>Queen</t>
        </is>
      </c>
      <c r="AG290" s="148" t="inlineStr">
        <is>
          <t>White</t>
        </is>
      </c>
      <c r="AH290" s="148">
        <f>AND(E290="CA",OR('CA Dashboard'!$C$4="All",'CA Dashboard'!$C$4=D290),OR('CA Dashboard'!$C$5="All",'CA Dashboard'!$C$5=G290),OR('CA Dashboard'!$C$6="All",'CA Dashboard'!$C$6=H290),OR('CA Dashboard'!$C$7="All",'CA Dashboard'!$C$7=F290),OR('CA Dashboard'!$C$8="All",'CA Dashboard'!$C$8=AJ290))</f>
        <v/>
      </c>
      <c r="AI290" s="148">
        <f>IF(AH290,AI289+1,AI289)</f>
        <v/>
      </c>
      <c r="AJ290" s="148" t="inlineStr">
        <is>
          <t>Direct</t>
        </is>
      </c>
      <c r="AK290" s="148" t="inlineStr">
        <is>
          <t>Same product (sheet set) in the same material family: Satin (polyester) (title: Madison Park Essentials Satin Sheet Set Luxury and Silky wit); ours: our listing: polyester satin.</t>
        </is>
      </c>
    </row>
    <row r="291">
      <c r="A291" s="148">
        <f>AND(E291="US",OR('US Dashboard'!$C$4="All",'US Dashboard'!$C$4=D291),OR('US Dashboard'!$C$5="All",'US Dashboard'!$C$5=G291),OR('US Dashboard'!$C$6="All",'US Dashboard'!$C$6=H291),OR('US Dashboard'!$C$7="All",'US Dashboard'!$C$7=F291),OR('US Dashboard'!$C$8="All",'US Dashboard'!$C$8=AJ291))</f>
        <v/>
      </c>
      <c r="B291" s="148">
        <f>IF(A291,B290+1,B290)</f>
        <v/>
      </c>
      <c r="C291" s="148" t="n">
        <v>31</v>
      </c>
      <c r="D291" s="148" t="inlineStr">
        <is>
          <t>DC S6</t>
        </is>
      </c>
      <c r="E291" s="148" t="inlineStr">
        <is>
          <t>CA</t>
        </is>
      </c>
      <c r="F291" s="148" t="inlineStr">
        <is>
          <t>Satin</t>
        </is>
      </c>
      <c r="G291" s="148" t="inlineStr">
        <is>
          <t>Candoury</t>
        </is>
      </c>
      <c r="H291" s="148" t="inlineStr">
        <is>
          <t>Untiered</t>
        </is>
      </c>
      <c r="I291" s="148" t="inlineStr">
        <is>
          <t>Candoury - Satin Sheet Set 6 Piece Luxury Queen Bed Sheets Set - Soft Durable Flat Sheet Set - Top Sheet, Fitted Sheet &amp; Pillowcases - Hotel Quality (Queen, Burgundy)</t>
        </is>
      </c>
      <c r="J291" s="148" t="inlineStr">
        <is>
          <t>https://m.media-amazon.com/images/I/71+1229cTuL.jpg</t>
        </is>
      </c>
      <c r="K291" s="148" t="inlineStr">
        <is>
          <t>B08KHR1MCV</t>
        </is>
      </c>
      <c r="L291" s="148" t="inlineStr">
        <is>
          <t>B08R5WM69J</t>
        </is>
      </c>
      <c r="M291" s="148" t="n">
        <v>58</v>
      </c>
      <c r="N291" s="148" t="n">
        <v>78.98999999999999</v>
      </c>
      <c r="O291" s="148" t="n"/>
      <c r="P291" s="148">
        <f>IF(AND(ISNUMBER(O291),ISNUMBER(N291),N(N291)&gt;0),O291/N291-1,"")</f>
        <v/>
      </c>
      <c r="Q291" s="148" t="n">
        <v>47.99</v>
      </c>
      <c r="R291" s="148">
        <f>IF(AND(ISNUMBER(N291),ISNUMBER(Q291),N(Q291)&gt;0),N291/Q291-1,"")</f>
        <v/>
      </c>
      <c r="S291" s="148" t="n">
        <v>137725</v>
      </c>
      <c r="T291" s="148" t="n"/>
      <c r="U291" s="148" t="n">
        <v>4.2</v>
      </c>
      <c r="V291" s="148" t="n">
        <v>5080</v>
      </c>
      <c r="W291" s="148" t="n"/>
      <c r="X291" s="148" t="n"/>
      <c r="Y291" s="148" t="n"/>
      <c r="Z291" s="148" t="n"/>
      <c r="AA291" s="148" t="n"/>
      <c r="AB291" s="148" t="n"/>
      <c r="AC291" s="148" t="inlineStr">
        <is>
          <t>CA DC S6</t>
        </is>
      </c>
      <c r="AD291" s="148">
        <f>'CA DC S6'!BF168</f>
        <v/>
      </c>
      <c r="AE291" s="148">
        <f>'CA DC S6'!BI168</f>
        <v/>
      </c>
      <c r="AF291" s="148" t="inlineStr">
        <is>
          <t>Queen</t>
        </is>
      </c>
      <c r="AG291" s="148" t="inlineStr">
        <is>
          <t>Burgundy</t>
        </is>
      </c>
      <c r="AH291" s="148">
        <f>AND(E291="CA",OR('CA Dashboard'!$C$4="All",'CA Dashboard'!$C$4=D291),OR('CA Dashboard'!$C$5="All",'CA Dashboard'!$C$5=G291),OR('CA Dashboard'!$C$6="All",'CA Dashboard'!$C$6=H291),OR('CA Dashboard'!$C$7="All",'CA Dashboard'!$C$7=F291),OR('CA Dashboard'!$C$8="All",'CA Dashboard'!$C$8=AJ291))</f>
        <v/>
      </c>
      <c r="AI291" s="148">
        <f>IF(AH291,AI290+1,AI290)</f>
        <v/>
      </c>
      <c r="AJ291" s="148" t="inlineStr">
        <is>
          <t>Direct</t>
        </is>
      </c>
      <c r="AK291" s="148" t="inlineStr">
        <is>
          <t>Same product (sheet set) in the same material family: Satin (polyester) (title: Candoury - Satin Sheet Set 6 Piece Luxury Queen Bed Sheets S); ours: our listing: polyester satin.</t>
        </is>
      </c>
    </row>
    <row r="292">
      <c r="A292" s="148">
        <f>AND(E292="US",OR('US Dashboard'!$C$4="All",'US Dashboard'!$C$4=D292),OR('US Dashboard'!$C$5="All",'US Dashboard'!$C$5=G292),OR('US Dashboard'!$C$6="All",'US Dashboard'!$C$6=H292),OR('US Dashboard'!$C$7="All",'US Dashboard'!$C$7=F292),OR('US Dashboard'!$C$8="All",'US Dashboard'!$C$8=AJ292))</f>
        <v/>
      </c>
      <c r="B292" s="148">
        <f>IF(A292,B291+1,B291)</f>
        <v/>
      </c>
      <c r="C292" s="148" t="n">
        <v>31</v>
      </c>
      <c r="D292" s="148" t="inlineStr">
        <is>
          <t>DC S6</t>
        </is>
      </c>
      <c r="E292" s="148" t="inlineStr">
        <is>
          <t>CA</t>
        </is>
      </c>
      <c r="F292" s="148" t="inlineStr">
        <is>
          <t>Satin</t>
        </is>
      </c>
      <c r="G292" s="148" t="inlineStr">
        <is>
          <t>P Pothuiny</t>
        </is>
      </c>
      <c r="H292" s="148" t="inlineStr">
        <is>
          <t>Untiered</t>
        </is>
      </c>
      <c r="I292" s="148" t="inlineStr">
        <is>
          <t>P Pothuiny 6-Piece Queen Satin Sheet Set Flint Blue Striped Printed</t>
        </is>
      </c>
      <c r="J292" s="148" t="inlineStr">
        <is>
          <t>https://m.media-amazon.com/images/I/71DuFRcKCPL.jpg</t>
        </is>
      </c>
      <c r="K292" s="148" t="n"/>
      <c r="L292" s="148" t="inlineStr">
        <is>
          <t>B0B3D4SBB1</t>
        </is>
      </c>
      <c r="M292" s="148" t="n"/>
      <c r="N292" s="148" t="n">
        <v>59.4</v>
      </c>
      <c r="O292" s="148" t="n"/>
      <c r="P292" s="148">
        <f>IF(AND(ISNUMBER(O292),ISNUMBER(N292),N(N292)&gt;0),O292/N292-1,"")</f>
        <v/>
      </c>
      <c r="Q292" s="148" t="n">
        <v>47.99</v>
      </c>
      <c r="R292" s="148">
        <f>IF(AND(ISNUMBER(N292),ISNUMBER(Q292),N(Q292)&gt;0),N292/Q292-1,"")</f>
        <v/>
      </c>
      <c r="S292" s="148" t="n">
        <v>1923711</v>
      </c>
      <c r="T292" s="148" t="n"/>
      <c r="U292" s="148" t="n">
        <v>4.4</v>
      </c>
      <c r="V292" s="148" t="n">
        <v>23</v>
      </c>
      <c r="W292" s="148" t="n"/>
      <c r="X292" s="148" t="n"/>
      <c r="Y292" s="148" t="n"/>
      <c r="Z292" s="148" t="n"/>
      <c r="AA292" s="148" t="n"/>
      <c r="AB292" s="148" t="n"/>
      <c r="AC292" s="148" t="inlineStr">
        <is>
          <t>CA DC S6</t>
        </is>
      </c>
      <c r="AD292" s="148">
        <f>'CA DC S6'!BF169</f>
        <v/>
      </c>
      <c r="AE292" s="148">
        <f>'CA DC S6'!BI169</f>
        <v/>
      </c>
      <c r="AF292" s="148" t="inlineStr">
        <is>
          <t>Queen</t>
        </is>
      </c>
      <c r="AG292" s="148" t="inlineStr">
        <is>
          <t>Flint Blue</t>
        </is>
      </c>
      <c r="AH292" s="148">
        <f>AND(E292="CA",OR('CA Dashboard'!$C$4="All",'CA Dashboard'!$C$4=D292),OR('CA Dashboard'!$C$5="All",'CA Dashboard'!$C$5=G292),OR('CA Dashboard'!$C$6="All",'CA Dashboard'!$C$6=H292),OR('CA Dashboard'!$C$7="All",'CA Dashboard'!$C$7=F292),OR('CA Dashboard'!$C$8="All",'CA Dashboard'!$C$8=AJ292))</f>
        <v/>
      </c>
      <c r="AI292" s="148">
        <f>IF(AH292,AI291+1,AI291)</f>
        <v/>
      </c>
      <c r="AJ292" s="148" t="inlineStr">
        <is>
          <t>Direct</t>
        </is>
      </c>
      <c r="AK292" s="148" t="inlineStr">
        <is>
          <t>Same product (sheet set) in the same material family: Satin (polyester) (title: P Pothuiny 6-Piece Queen Satin Sheet Set Flint Blue Striped ); ours: our listing: polyester satin.</t>
        </is>
      </c>
    </row>
    <row r="293">
      <c r="A293" s="148">
        <f>AND(E293="US",OR('US Dashboard'!$C$4="All",'US Dashboard'!$C$4=D293),OR('US Dashboard'!$C$5="All",'US Dashboard'!$C$5=G293),OR('US Dashboard'!$C$6="All",'US Dashboard'!$C$6=H293),OR('US Dashboard'!$C$7="All",'US Dashboard'!$C$7=F293),OR('US Dashboard'!$C$8="All",'US Dashboard'!$C$8=AJ293))</f>
        <v/>
      </c>
      <c r="B293" s="148">
        <f>IF(A293,B292+1,B292)</f>
        <v/>
      </c>
      <c r="C293" s="148" t="n">
        <v>31</v>
      </c>
      <c r="D293" s="148" t="inlineStr">
        <is>
          <t>DC S6</t>
        </is>
      </c>
      <c r="E293" s="148" t="inlineStr">
        <is>
          <t>CA</t>
        </is>
      </c>
      <c r="F293" s="148" t="inlineStr">
        <is>
          <t>Satin</t>
        </is>
      </c>
      <c r="G293" s="148" t="inlineStr">
        <is>
          <t>TREELY</t>
        </is>
      </c>
      <c r="H293" s="148" t="inlineStr">
        <is>
          <t>Untiered</t>
        </is>
      </c>
      <c r="I293" s="148" t="inlineStr">
        <is>
          <t>TREELY 6 Piece Satin Sheets King Size Silky Smooth Beige Satin Sheet Set with Deep Pocket, Satin Fitted Sheet, Flat Sheet, 4 Satin Pillowcase</t>
        </is>
      </c>
      <c r="J293" s="148" t="inlineStr">
        <is>
          <t>https://m.media-amazon.com/images/I/7137mOom6hL.jpg</t>
        </is>
      </c>
      <c r="K293" s="148" t="n"/>
      <c r="L293" s="148" t="inlineStr">
        <is>
          <t>B0CG8XWGLK</t>
        </is>
      </c>
      <c r="M293" s="148" t="n"/>
      <c r="N293" s="148" t="n">
        <v>47.57</v>
      </c>
      <c r="O293" s="148" t="n"/>
      <c r="P293" s="148">
        <f>IF(AND(ISNUMBER(O293),ISNUMBER(N293),N(N293)&gt;0),O293/N293-1,"")</f>
        <v/>
      </c>
      <c r="Q293" s="148" t="n">
        <v>49.99</v>
      </c>
      <c r="R293" s="148">
        <f>IF(AND(ISNUMBER(N293),ISNUMBER(Q293),N(Q293)&gt;0),N293/Q293-1,"")</f>
        <v/>
      </c>
      <c r="S293" s="148" t="n"/>
      <c r="T293" s="148" t="n"/>
      <c r="U293" s="148" t="n">
        <v>5</v>
      </c>
      <c r="V293" s="148" t="n">
        <v>3</v>
      </c>
      <c r="W293" s="148" t="n"/>
      <c r="X293" s="148" t="n"/>
      <c r="Y293" s="148" t="n"/>
      <c r="Z293" s="148" t="n"/>
      <c r="AA293" s="148" t="n"/>
      <c r="AB293" s="148" t="n"/>
      <c r="AC293" s="148" t="inlineStr">
        <is>
          <t>CA DC S6</t>
        </is>
      </c>
      <c r="AD293" s="148">
        <f>'CA DC S6'!BF170</f>
        <v/>
      </c>
      <c r="AE293" s="148">
        <f>'CA DC S6'!BI170</f>
        <v/>
      </c>
      <c r="AF293" s="148" t="inlineStr">
        <is>
          <t>King</t>
        </is>
      </c>
      <c r="AG293" s="148" t="inlineStr">
        <is>
          <t>Beige</t>
        </is>
      </c>
      <c r="AH293" s="148">
        <f>AND(E293="CA",OR('CA Dashboard'!$C$4="All",'CA Dashboard'!$C$4=D293),OR('CA Dashboard'!$C$5="All",'CA Dashboard'!$C$5=G293),OR('CA Dashboard'!$C$6="All",'CA Dashboard'!$C$6=H293),OR('CA Dashboard'!$C$7="All",'CA Dashboard'!$C$7=F293),OR('CA Dashboard'!$C$8="All",'CA Dashboard'!$C$8=AJ293))</f>
        <v/>
      </c>
      <c r="AI293" s="148">
        <f>IF(AH293,AI292+1,AI292)</f>
        <v/>
      </c>
      <c r="AJ293" s="148" t="inlineStr">
        <is>
          <t>Direct</t>
        </is>
      </c>
      <c r="AK293" s="148" t="inlineStr">
        <is>
          <t>Same product (sheet set) in the same material family: Satin (polyester) (title: TREELY 6 Piece Satin Sheets King Size Silky Smooth Beige Sat); ours: our listing: polyester satin.</t>
        </is>
      </c>
    </row>
    <row r="294">
      <c r="A294" s="148">
        <f>AND(E294="US",OR('US Dashboard'!$C$4="All",'US Dashboard'!$C$4=D294),OR('US Dashboard'!$C$5="All",'US Dashboard'!$C$5=G294),OR('US Dashboard'!$C$6="All",'US Dashboard'!$C$6=H294),OR('US Dashboard'!$C$7="All",'US Dashboard'!$C$7=F294),OR('US Dashboard'!$C$8="All",'US Dashboard'!$C$8=AJ294))</f>
        <v/>
      </c>
      <c r="B294" s="148">
        <f>IF(A294,B293+1,B293)</f>
        <v/>
      </c>
      <c r="C294" s="148" t="n">
        <v>31</v>
      </c>
      <c r="D294" s="148" t="inlineStr">
        <is>
          <t>DC S6</t>
        </is>
      </c>
      <c r="E294" s="148" t="inlineStr">
        <is>
          <t>CA</t>
        </is>
      </c>
      <c r="F294" s="148" t="inlineStr">
        <is>
          <t>Satin</t>
        </is>
      </c>
      <c r="G294" s="148" t="inlineStr">
        <is>
          <t>Madison Park</t>
        </is>
      </c>
      <c r="H294" s="148" t="inlineStr">
        <is>
          <t>Untiered</t>
        </is>
      </c>
      <c r="I294" s="148" t="inlineStr">
        <is>
          <t>Madison Park Satin Sheets Queen Size, Luxurious Silky Bed Sheets, Elastic 14" Pocket fits up to 16" Mattress, Wrinkle-Free, Soft Satin Bed Sheet Set, Emerald 6 Piece</t>
        </is>
      </c>
      <c r="J294" s="148" t="inlineStr">
        <is>
          <t>https://m.media-amazon.com/images/I/81WDDYbsuoL.jpg</t>
        </is>
      </c>
      <c r="K294" s="148" t="inlineStr">
        <is>
          <t>B0DDQD35D4</t>
        </is>
      </c>
      <c r="L294" s="148" t="inlineStr">
        <is>
          <t>B0DDQ6H23P</t>
        </is>
      </c>
      <c r="M294" s="148" t="n">
        <v>39</v>
      </c>
      <c r="N294" s="148" t="n">
        <v>96.7</v>
      </c>
      <c r="O294" s="148" t="n"/>
      <c r="P294" s="148">
        <f>IF(AND(ISNUMBER(O294),ISNUMBER(N294),N(N294)&gt;0),O294/N294-1,"")</f>
        <v/>
      </c>
      <c r="Q294" s="148" t="n">
        <v>47.99</v>
      </c>
      <c r="R294" s="148">
        <f>IF(AND(ISNUMBER(N294),ISNUMBER(Q294),N(Q294)&gt;0),N294/Q294-1,"")</f>
        <v/>
      </c>
      <c r="S294" s="148" t="n">
        <v>724244</v>
      </c>
      <c r="T294" s="148" t="n"/>
      <c r="U294" s="148" t="n">
        <v>4.2</v>
      </c>
      <c r="V294" s="148" t="n">
        <v>110</v>
      </c>
      <c r="W294" s="148" t="n"/>
      <c r="X294" s="148" t="n"/>
      <c r="Y294" s="148" t="n"/>
      <c r="Z294" s="148" t="n"/>
      <c r="AA294" s="148" t="n"/>
      <c r="AB294" s="148" t="n"/>
      <c r="AC294" s="148" t="inlineStr">
        <is>
          <t>CA DC S6</t>
        </is>
      </c>
      <c r="AD294" s="148">
        <f>'CA DC S6'!BF171</f>
        <v/>
      </c>
      <c r="AE294" s="148">
        <f>'CA DC S6'!BI171</f>
        <v/>
      </c>
      <c r="AF294" s="148" t="inlineStr">
        <is>
          <t>Queen</t>
        </is>
      </c>
      <c r="AG294" s="148" t="inlineStr">
        <is>
          <t>Emerald Green</t>
        </is>
      </c>
      <c r="AH294" s="148">
        <f>AND(E294="CA",OR('CA Dashboard'!$C$4="All",'CA Dashboard'!$C$4=D294),OR('CA Dashboard'!$C$5="All",'CA Dashboard'!$C$5=G294),OR('CA Dashboard'!$C$6="All",'CA Dashboard'!$C$6=H294),OR('CA Dashboard'!$C$7="All",'CA Dashboard'!$C$7=F294),OR('CA Dashboard'!$C$8="All",'CA Dashboard'!$C$8=AJ294))</f>
        <v/>
      </c>
      <c r="AI294" s="148">
        <f>IF(AH294,AI293+1,AI293)</f>
        <v/>
      </c>
      <c r="AJ294" s="148" t="inlineStr">
        <is>
          <t>Direct</t>
        </is>
      </c>
      <c r="AK294" s="148" t="inlineStr">
        <is>
          <t>Same product (sheet set) in the same material family: Satin (polyester) (title: Madison Park Satin Sheets Queen Size, Luxurious Silky Bed Sh); ours: our listing: polyester satin.</t>
        </is>
      </c>
    </row>
    <row r="295">
      <c r="A295" s="148">
        <f>AND(E295="US",OR('US Dashboard'!$C$4="All",'US Dashboard'!$C$4=D295),OR('US Dashboard'!$C$5="All",'US Dashboard'!$C$5=G295),OR('US Dashboard'!$C$6="All",'US Dashboard'!$C$6=H295),OR('US Dashboard'!$C$7="All",'US Dashboard'!$C$7=F295),OR('US Dashboard'!$C$8="All",'US Dashboard'!$C$8=AJ295))</f>
        <v/>
      </c>
      <c r="B295" s="148">
        <f>IF(A295,B294+1,B294)</f>
        <v/>
      </c>
      <c r="C295" s="148" t="n">
        <v>31</v>
      </c>
      <c r="D295" s="148" t="inlineStr">
        <is>
          <t>DC S6</t>
        </is>
      </c>
      <c r="E295" s="148" t="inlineStr">
        <is>
          <t>CA</t>
        </is>
      </c>
      <c r="F295" s="148" t="inlineStr">
        <is>
          <t>Satin</t>
        </is>
      </c>
      <c r="G295" s="148" t="inlineStr">
        <is>
          <t>Madison Park</t>
        </is>
      </c>
      <c r="H295" s="148" t="inlineStr">
        <is>
          <t>Untiered</t>
        </is>
      </c>
      <c r="I295" s="148" t="inlineStr">
        <is>
          <t>Madison Park Essentials Premier Comfort SHET20-173 Satin 6 Piece Sheet Set, Queen, Black</t>
        </is>
      </c>
      <c r="J295" s="148" t="inlineStr">
        <is>
          <t>https://m.media-amazon.com/images/I/81gVMcbJ+9L.jpg</t>
        </is>
      </c>
      <c r="K295" s="148" t="inlineStr">
        <is>
          <t>B07N97B765</t>
        </is>
      </c>
      <c r="L295" s="148" t="inlineStr">
        <is>
          <t>B0053WL9UA</t>
        </is>
      </c>
      <c r="M295" s="148" t="n">
        <v>15</v>
      </c>
      <c r="N295" s="148" t="n">
        <v>61.99</v>
      </c>
      <c r="O295" s="148" t="n"/>
      <c r="P295" s="148">
        <f>IF(AND(ISNUMBER(O295),ISNUMBER(N295),N(N295)&gt;0),O295/N295-1,"")</f>
        <v/>
      </c>
      <c r="Q295" s="148" t="n">
        <v>47.99</v>
      </c>
      <c r="R295" s="148">
        <f>IF(AND(ISNUMBER(N295),ISNUMBER(Q295),N(Q295)&gt;0),N295/Q295-1,"")</f>
        <v/>
      </c>
      <c r="S295" s="148" t="n">
        <v>823880</v>
      </c>
      <c r="T295" s="148" t="n"/>
      <c r="U295" s="148" t="n">
        <v>4</v>
      </c>
      <c r="V295" s="148" t="n">
        <v>2955</v>
      </c>
      <c r="W295" s="148" t="n"/>
      <c r="X295" s="148" t="n"/>
      <c r="Y295" s="148" t="n"/>
      <c r="Z295" s="148" t="n"/>
      <c r="AA295" s="148" t="n"/>
      <c r="AB295" s="148" t="n"/>
      <c r="AC295" s="148" t="inlineStr">
        <is>
          <t>CA DC S6</t>
        </is>
      </c>
      <c r="AD295" s="148">
        <f>'CA DC S6'!BF172</f>
        <v/>
      </c>
      <c r="AE295" s="148">
        <f>'CA DC S6'!BI172</f>
        <v/>
      </c>
      <c r="AF295" s="148" t="inlineStr">
        <is>
          <t>Queen</t>
        </is>
      </c>
      <c r="AG295" s="148" t="inlineStr">
        <is>
          <t>Black</t>
        </is>
      </c>
      <c r="AH295" s="148">
        <f>AND(E295="CA",OR('CA Dashboard'!$C$4="All",'CA Dashboard'!$C$4=D295),OR('CA Dashboard'!$C$5="All",'CA Dashboard'!$C$5=G295),OR('CA Dashboard'!$C$6="All",'CA Dashboard'!$C$6=H295),OR('CA Dashboard'!$C$7="All",'CA Dashboard'!$C$7=F295),OR('CA Dashboard'!$C$8="All",'CA Dashboard'!$C$8=AJ295))</f>
        <v/>
      </c>
      <c r="AI295" s="148">
        <f>IF(AH295,AI294+1,AI294)</f>
        <v/>
      </c>
      <c r="AJ295" s="148" t="inlineStr">
        <is>
          <t>Direct</t>
        </is>
      </c>
      <c r="AK295" s="148" t="inlineStr">
        <is>
          <t>Same product (sheet set) in the same material family: Satin (polyester) (title: Madison Park Essentials Premier Comfort SHET20-173 Satin 6 P); ours: our listing: polyester satin.</t>
        </is>
      </c>
    </row>
    <row r="296">
      <c r="A296" s="148">
        <f>AND(E296="US",OR('US Dashboard'!$C$4="All",'US Dashboard'!$C$4=D296),OR('US Dashboard'!$C$5="All",'US Dashboard'!$C$5=G296),OR('US Dashboard'!$C$6="All",'US Dashboard'!$C$6=H296),OR('US Dashboard'!$C$7="All",'US Dashboard'!$C$7=F296),OR('US Dashboard'!$C$8="All",'US Dashboard'!$C$8=AJ296))</f>
        <v/>
      </c>
      <c r="B296" s="148">
        <f>IF(A296,B295+1,B295)</f>
        <v/>
      </c>
      <c r="C296" s="148" t="n">
        <v>31</v>
      </c>
      <c r="D296" s="148" t="inlineStr">
        <is>
          <t>DC S6</t>
        </is>
      </c>
      <c r="E296" s="148" t="inlineStr">
        <is>
          <t>CA</t>
        </is>
      </c>
      <c r="F296" s="148" t="inlineStr">
        <is>
          <t>Satin</t>
        </is>
      </c>
      <c r="G296" s="148" t="inlineStr">
        <is>
          <t>P Pothuiny</t>
        </is>
      </c>
      <c r="H296" s="148" t="inlineStr">
        <is>
          <t>Untiered</t>
        </is>
      </c>
      <c r="I296" s="148" t="inlineStr">
        <is>
          <t>P Pothuiny 6-Piece Queen Satin Sheet Set Burnt Orange Silky Sheets</t>
        </is>
      </c>
      <c r="J296" s="148" t="inlineStr">
        <is>
          <t>https://m.media-amazon.com/images/I/71VWxLeKClL.jpg</t>
        </is>
      </c>
      <c r="K296" s="148" t="n"/>
      <c r="L296" s="148" t="inlineStr">
        <is>
          <t>B09W2QF9B8</t>
        </is>
      </c>
      <c r="M296" s="148" t="n"/>
      <c r="N296" s="148" t="n">
        <v>59.5</v>
      </c>
      <c r="O296" s="148" t="n"/>
      <c r="P296" s="148">
        <f>IF(AND(ISNUMBER(O296),ISNUMBER(N296),N(N296)&gt;0),O296/N296-1,"")</f>
        <v/>
      </c>
      <c r="Q296" s="148" t="n">
        <v>47.99</v>
      </c>
      <c r="R296" s="148">
        <f>IF(AND(ISNUMBER(N296),ISNUMBER(Q296),N(Q296)&gt;0),N296/Q296-1,"")</f>
        <v/>
      </c>
      <c r="S296" s="148" t="n"/>
      <c r="T296" s="148" t="n"/>
      <c r="U296" s="148" t="n">
        <v>4</v>
      </c>
      <c r="V296" s="148" t="n">
        <v>64</v>
      </c>
      <c r="W296" s="148" t="n"/>
      <c r="X296" s="148" t="n"/>
      <c r="Y296" s="148" t="n"/>
      <c r="Z296" s="148" t="n"/>
      <c r="AA296" s="148" t="n"/>
      <c r="AB296" s="148" t="n"/>
      <c r="AC296" s="148" t="inlineStr">
        <is>
          <t>CA DC S6</t>
        </is>
      </c>
      <c r="AD296" s="148">
        <f>'CA DC S6'!BF173</f>
        <v/>
      </c>
      <c r="AE296" s="148">
        <f>'CA DC S6'!BI173</f>
        <v/>
      </c>
      <c r="AF296" s="148" t="inlineStr">
        <is>
          <t>Queen</t>
        </is>
      </c>
      <c r="AG296" s="148" t="inlineStr">
        <is>
          <t>Burnt Orange</t>
        </is>
      </c>
      <c r="AH296" s="148">
        <f>AND(E296="CA",OR('CA Dashboard'!$C$4="All",'CA Dashboard'!$C$4=D296),OR('CA Dashboard'!$C$5="All",'CA Dashboard'!$C$5=G296),OR('CA Dashboard'!$C$6="All",'CA Dashboard'!$C$6=H296),OR('CA Dashboard'!$C$7="All",'CA Dashboard'!$C$7=F296),OR('CA Dashboard'!$C$8="All",'CA Dashboard'!$C$8=AJ296))</f>
        <v/>
      </c>
      <c r="AI296" s="148">
        <f>IF(AH296,AI295+1,AI295)</f>
        <v/>
      </c>
      <c r="AJ296" s="148" t="inlineStr">
        <is>
          <t>Direct</t>
        </is>
      </c>
      <c r="AK296" s="148" t="inlineStr">
        <is>
          <t>Same product (sheet set) in the same material family: Satin (polyester) (title: P Pothuiny 6-Piece Queen Satin Sheet Set Burnt Orange Silky ); ours: our listing: polyester satin.</t>
        </is>
      </c>
    </row>
    <row r="297">
      <c r="A297" s="148">
        <f>AND(E297="US",OR('US Dashboard'!$C$4="All",'US Dashboard'!$C$4=D297),OR('US Dashboard'!$C$5="All",'US Dashboard'!$C$5=G297),OR('US Dashboard'!$C$6="All",'US Dashboard'!$C$6=H297),OR('US Dashboard'!$C$7="All",'US Dashboard'!$C$7=F297),OR('US Dashboard'!$C$8="All",'US Dashboard'!$C$8=AJ297))</f>
        <v/>
      </c>
      <c r="B297" s="148">
        <f>IF(A297,B296+1,B296)</f>
        <v/>
      </c>
      <c r="C297" s="148" t="n">
        <v>31</v>
      </c>
      <c r="D297" s="148" t="inlineStr">
        <is>
          <t>DC S6</t>
        </is>
      </c>
      <c r="E297" s="148" t="inlineStr">
        <is>
          <t>US</t>
        </is>
      </c>
      <c r="F297" s="148" t="inlineStr">
        <is>
          <t>Satin</t>
        </is>
      </c>
      <c r="G297" s="148" t="inlineStr">
        <is>
          <t>CozyLux</t>
        </is>
      </c>
      <c r="H297" s="148" t="inlineStr">
        <is>
          <t>Aspirational</t>
        </is>
      </c>
      <c r="I297" s="148" t="inlineStr">
        <is>
          <t>CozyLux Satin Sheets Queen, 4-Piece 14-Inch Deep Pocket Sheet Set</t>
        </is>
      </c>
      <c r="J297" s="148" t="inlineStr">
        <is>
          <t>https://images-na.ssl-images-amazon.com/images/I/71QlFwpmpcL.jpg</t>
        </is>
      </c>
      <c r="K297" s="148" t="inlineStr">
        <is>
          <t>B08CQKS3KP</t>
        </is>
      </c>
      <c r="L297" s="148" t="inlineStr">
        <is>
          <t>B08P16XLP2</t>
        </is>
      </c>
      <c r="M297" s="148" t="n">
        <v>115</v>
      </c>
      <c r="N297" s="148" t="n">
        <v>13.99</v>
      </c>
      <c r="O297" s="148" t="n">
        <v>18.99</v>
      </c>
      <c r="P297" s="148">
        <f>IF(AND(ISNUMBER(O297),ISNUMBER(N297),N(N297)&gt;0),O297/N297-1,"")</f>
        <v/>
      </c>
      <c r="Q297" s="148" t="n">
        <v>31.95</v>
      </c>
      <c r="R297" s="148">
        <f>IF(AND(ISNUMBER(N297),ISNUMBER(Q297),N(Q297)&gt;0),N297/Q297-1,"")</f>
        <v/>
      </c>
      <c r="S297" s="148" t="n">
        <v>3102</v>
      </c>
      <c r="T297" s="148" t="n">
        <v>347</v>
      </c>
      <c r="U297" s="148" t="n">
        <v>4.3</v>
      </c>
      <c r="V297" s="148" t="n">
        <v>7075</v>
      </c>
      <c r="W297" s="148" t="n">
        <v>164434</v>
      </c>
      <c r="X297" s="148" t="n">
        <v>0.724298132381382</v>
      </c>
      <c r="Y297" s="148" t="n">
        <v>61</v>
      </c>
      <c r="Z297" s="148" t="n">
        <v>300</v>
      </c>
      <c r="AA297" s="148" t="n">
        <v>361</v>
      </c>
      <c r="AB297" s="148" t="n">
        <v>0.8168981481481481</v>
      </c>
      <c r="AC297" s="148" t="inlineStr">
        <is>
          <t>US DC S6</t>
        </is>
      </c>
      <c r="AD297" s="148">
        <f>'US DC S6'!BF178</f>
        <v/>
      </c>
      <c r="AE297" s="148">
        <f>'US DC S6'!BI178</f>
        <v/>
      </c>
      <c r="AF297" s="148" t="inlineStr">
        <is>
          <t>Queen</t>
        </is>
      </c>
      <c r="AG297" s="148" t="inlineStr">
        <is>
          <t>Black</t>
        </is>
      </c>
      <c r="AH297" s="148">
        <f>AND(E297="CA",OR('CA Dashboard'!$C$4="All",'CA Dashboard'!$C$4=D297),OR('CA Dashboard'!$C$5="All",'CA Dashboard'!$C$5=G297),OR('CA Dashboard'!$C$6="All",'CA Dashboard'!$C$6=H297),OR('CA Dashboard'!$C$7="All",'CA Dashboard'!$C$7=F297),OR('CA Dashboard'!$C$8="All",'CA Dashboard'!$C$8=AJ297))</f>
        <v/>
      </c>
      <c r="AI297" s="148">
        <f>IF(AH297,AI296+1,AI296)</f>
        <v/>
      </c>
      <c r="AJ297" s="148" t="inlineStr">
        <is>
          <t>Alternative material</t>
        </is>
      </c>
      <c r="AK297" s="148" t="inlineStr">
        <is>
          <t>Sheet set in Microfiber / polyester (product page material: Polyester microfiber); ours is Satin (polyester) (our listing: polyester satin). Shopper may cross-shop, but not like-for-like.</t>
        </is>
      </c>
    </row>
    <row r="298">
      <c r="A298" s="148">
        <f>AND(E298="US",OR('US Dashboard'!$C$4="All",'US Dashboard'!$C$4=D298),OR('US Dashboard'!$C$5="All",'US Dashboard'!$C$5=G298),OR('US Dashboard'!$C$6="All",'US Dashboard'!$C$6=H298),OR('US Dashboard'!$C$7="All",'US Dashboard'!$C$7=F298),OR('US Dashboard'!$C$8="All",'US Dashboard'!$C$8=AJ298))</f>
        <v/>
      </c>
      <c r="B298" s="148">
        <f>IF(A298,B297+1,B297)</f>
        <v/>
      </c>
      <c r="C298" s="148" t="n">
        <v>31</v>
      </c>
      <c r="D298" s="148" t="inlineStr">
        <is>
          <t>DC S6</t>
        </is>
      </c>
      <c r="E298" s="148" t="inlineStr">
        <is>
          <t>US</t>
        </is>
      </c>
      <c r="F298" s="148" t="inlineStr">
        <is>
          <t>Satin</t>
        </is>
      </c>
      <c r="G298" s="148" t="inlineStr">
        <is>
          <t>Lanest Housing</t>
        </is>
      </c>
      <c r="H298" s="148" t="inlineStr">
        <is>
          <t>Aspirational</t>
        </is>
      </c>
      <c r="I298" s="148" t="inlineStr">
        <is>
          <t>Lanest Housing Silk Satin Sheets, Queen Size Satin Bed Sheet Set with Deep Pockets, Cooling Soft and Hypoallergenic Satin Sheets Queen - Light Gray</t>
        </is>
      </c>
      <c r="J298" s="148" t="inlineStr">
        <is>
          <t>https://images-na.ssl-images-amazon.com/images/I/71PMIXXTc0L.jpg</t>
        </is>
      </c>
      <c r="K298" s="148" t="inlineStr">
        <is>
          <t>B0DC3MX1DP</t>
        </is>
      </c>
      <c r="L298" s="148" t="inlineStr">
        <is>
          <t>B082B5CY3D</t>
        </is>
      </c>
      <c r="M298" s="148" t="n">
        <v>154</v>
      </c>
      <c r="N298" s="148" t="n">
        <v>22.99</v>
      </c>
      <c r="O298" s="148" t="n"/>
      <c r="P298" s="148">
        <f>IF(AND(ISNUMBER(O298),ISNUMBER(N298),N(N298)&gt;0),O298/N298-1,"")</f>
        <v/>
      </c>
      <c r="Q298" s="148" t="n">
        <v>31.95</v>
      </c>
      <c r="R298" s="148">
        <f>IF(AND(ISNUMBER(N298),ISNUMBER(Q298),N(Q298)&gt;0),N298/Q298-1,"")</f>
        <v/>
      </c>
      <c r="S298" s="148" t="n">
        <v>4671</v>
      </c>
      <c r="T298" s="148" t="n">
        <v>208</v>
      </c>
      <c r="U298" s="148" t="n">
        <v>4.3</v>
      </c>
      <c r="V298" s="148" t="n">
        <v>5837</v>
      </c>
      <c r="W298" s="148" t="n">
        <v>163454</v>
      </c>
      <c r="X298" s="148" t="n">
        <v>0.511816095659941</v>
      </c>
      <c r="Y298" s="148" t="n">
        <v>95</v>
      </c>
      <c r="Z298" s="148" t="n">
        <v>220</v>
      </c>
      <c r="AA298" s="148" t="n">
        <v>98</v>
      </c>
      <c r="AB298" s="148" t="n">
        <v>0.4183908045977011</v>
      </c>
      <c r="AC298" s="148" t="inlineStr">
        <is>
          <t>US DC S6</t>
        </is>
      </c>
      <c r="AD298" s="148">
        <f>'US DC S6'!BF179</f>
        <v/>
      </c>
      <c r="AE298" s="148">
        <f>'US DC S6'!BI179</f>
        <v/>
      </c>
      <c r="AF298" s="148" t="inlineStr">
        <is>
          <t>Queen</t>
        </is>
      </c>
      <c r="AG298" s="148" t="inlineStr">
        <is>
          <t>Gray</t>
        </is>
      </c>
      <c r="AH298" s="148">
        <f>AND(E298="CA",OR('CA Dashboard'!$C$4="All",'CA Dashboard'!$C$4=D298),OR('CA Dashboard'!$C$5="All",'CA Dashboard'!$C$5=G298),OR('CA Dashboard'!$C$6="All",'CA Dashboard'!$C$6=H298),OR('CA Dashboard'!$C$7="All",'CA Dashboard'!$C$7=F298),OR('CA Dashboard'!$C$8="All",'CA Dashboard'!$C$8=AJ298))</f>
        <v/>
      </c>
      <c r="AI298" s="148">
        <f>IF(AH298,AI297+1,AI297)</f>
        <v/>
      </c>
      <c r="AJ298" s="148" t="inlineStr">
        <is>
          <t>Alternative material</t>
        </is>
      </c>
      <c r="AK298" s="148" t="inlineStr">
        <is>
          <t>Sheet set in Silk (title: Lanest Housing Silk Satin Sheets, Queen Size Satin Bed Sheet); ours is Satin (polyester) (our listing: polyester satin). Shopper may cross-shop, but not like-for-like.</t>
        </is>
      </c>
    </row>
    <row r="299">
      <c r="A299" s="148">
        <f>AND(E299="US",OR('US Dashboard'!$C$4="All",'US Dashboard'!$C$4=D299),OR('US Dashboard'!$C$5="All",'US Dashboard'!$C$5=G299),OR('US Dashboard'!$C$6="All",'US Dashboard'!$C$6=H299),OR('US Dashboard'!$C$7="All",'US Dashboard'!$C$7=F299),OR('US Dashboard'!$C$8="All",'US Dashboard'!$C$8=AJ299))</f>
        <v/>
      </c>
      <c r="B299" s="148">
        <f>IF(A299,B298+1,B298)</f>
        <v/>
      </c>
      <c r="C299" s="148" t="n">
        <v>31</v>
      </c>
      <c r="D299" s="148" t="inlineStr">
        <is>
          <t>DC S6</t>
        </is>
      </c>
      <c r="E299" s="148" t="inlineStr">
        <is>
          <t>US</t>
        </is>
      </c>
      <c r="F299" s="148" t="inlineStr">
        <is>
          <t>Satin</t>
        </is>
      </c>
      <c r="G299" s="148" t="inlineStr">
        <is>
          <t>Bedsure</t>
        </is>
      </c>
      <c r="H299" s="148" t="inlineStr">
        <is>
          <t>Beatable</t>
        </is>
      </c>
      <c r="I299" s="148" t="inlineStr">
        <is>
          <t>Satin Sheets</t>
        </is>
      </c>
      <c r="J299" s="148" t="inlineStr">
        <is>
          <t>https://images-na.ssl-images-amazon.com/images/I/81zMSoUAMJL.jpg</t>
        </is>
      </c>
      <c r="K299" s="148" t="inlineStr">
        <is>
          <t>B0DCZYNBYS</t>
        </is>
      </c>
      <c r="L299" s="148" t="inlineStr">
        <is>
          <t>B0CJ8RYNTS</t>
        </is>
      </c>
      <c r="M299" s="148" t="n">
        <v>32</v>
      </c>
      <c r="N299" s="148" t="n">
        <v>19.99</v>
      </c>
      <c r="O299" s="148" t="n"/>
      <c r="P299" s="148">
        <f>IF(AND(ISNUMBER(O299),ISNUMBER(N299),N(N299)&gt;0),O299/N299-1,"")</f>
        <v/>
      </c>
      <c r="Q299" s="148" t="n">
        <v>31.95</v>
      </c>
      <c r="R299" s="148">
        <f>IF(AND(ISNUMBER(N299),ISNUMBER(Q299),N(Q299)&gt;0),N299/Q299-1,"")</f>
        <v/>
      </c>
      <c r="S299" s="148" t="n">
        <v>22342</v>
      </c>
      <c r="T299" s="148" t="n">
        <v>92</v>
      </c>
      <c r="U299" s="148" t="n">
        <v>4.3</v>
      </c>
      <c r="V299" s="148" t="n">
        <v>2745</v>
      </c>
      <c r="W299" s="148" t="n">
        <v>89691</v>
      </c>
      <c r="X299" s="148" t="n">
        <v>0.6850140036347012</v>
      </c>
      <c r="Y299" s="148" t="n">
        <v>79</v>
      </c>
      <c r="Z299" s="148" t="n">
        <v>220</v>
      </c>
      <c r="AA299" s="148" t="n">
        <v>181</v>
      </c>
      <c r="AB299" s="148" t="n">
        <v>1.528846153846154</v>
      </c>
      <c r="AC299" s="148" t="inlineStr">
        <is>
          <t>US DC S6</t>
        </is>
      </c>
      <c r="AD299" s="148">
        <f>'US DC S6'!BF180</f>
        <v/>
      </c>
      <c r="AE299" s="148">
        <f>'US DC S6'!BI180</f>
        <v/>
      </c>
      <c r="AF299" s="148" t="inlineStr">
        <is>
          <t>Queen</t>
        </is>
      </c>
      <c r="AG299" s="148" t="inlineStr">
        <is>
          <t>02 - Black</t>
        </is>
      </c>
      <c r="AH299" s="148">
        <f>AND(E299="CA",OR('CA Dashboard'!$C$4="All",'CA Dashboard'!$C$4=D299),OR('CA Dashboard'!$C$5="All",'CA Dashboard'!$C$5=G299),OR('CA Dashboard'!$C$6="All",'CA Dashboard'!$C$6=H299),OR('CA Dashboard'!$C$7="All",'CA Dashboard'!$C$7=F299),OR('CA Dashboard'!$C$8="All",'CA Dashboard'!$C$8=AJ299))</f>
        <v/>
      </c>
      <c r="AI299" s="148">
        <f>IF(AH299,AI298+1,AI298)</f>
        <v/>
      </c>
      <c r="AJ299" s="148" t="inlineStr">
        <is>
          <t>Alternative material</t>
        </is>
      </c>
      <c r="AK299" s="148" t="inlineStr">
        <is>
          <t>Sheet set in Microfiber / polyester (product page material: Polyester); ours is Satin (polyester) (our listing: polyester satin). Shopper may cross-shop, but not like-for-like.</t>
        </is>
      </c>
    </row>
    <row r="300">
      <c r="A300" s="148">
        <f>AND(E300="US",OR('US Dashboard'!$C$4="All",'US Dashboard'!$C$4=D300),OR('US Dashboard'!$C$5="All",'US Dashboard'!$C$5=G300),OR('US Dashboard'!$C$6="All",'US Dashboard'!$C$6=H300),OR('US Dashboard'!$C$7="All",'US Dashboard'!$C$7=F300),OR('US Dashboard'!$C$8="All",'US Dashboard'!$C$8=AJ300))</f>
        <v/>
      </c>
      <c r="B300" s="148">
        <f>IF(A300,B299+1,B299)</f>
        <v/>
      </c>
      <c r="C300" s="148" t="n">
        <v>31</v>
      </c>
      <c r="D300" s="148" t="inlineStr">
        <is>
          <t>DC S6</t>
        </is>
      </c>
      <c r="E300" s="148" t="inlineStr">
        <is>
          <t>US</t>
        </is>
      </c>
      <c r="F300" s="148" t="inlineStr">
        <is>
          <t>Satin</t>
        </is>
      </c>
      <c r="G300" s="148" t="inlineStr">
        <is>
          <t>GOLAL</t>
        </is>
      </c>
      <c r="H300" s="148" t="inlineStr">
        <is>
          <t>Beatable</t>
        </is>
      </c>
      <c r="I300" s="148" t="inlineStr">
        <is>
          <t>GOLAL Satin Sheets Full Size - 4 Pieces Luxury Silky Soft Bed Sheets, Wrinkle-Free Black Satin Silk Sheet Set with 1 Deep Pocket Fitted Sheet, 1 Flat Sheet, 2 Pillow Cases</t>
        </is>
      </c>
      <c r="J300" s="148" t="inlineStr">
        <is>
          <t>https://images-na.ssl-images-amazon.com/images/I/71r48b+Sh9L.jpg</t>
        </is>
      </c>
      <c r="K300" s="148" t="inlineStr">
        <is>
          <t>B0B1Q2JG5X</t>
        </is>
      </c>
      <c r="L300" s="148" t="inlineStr">
        <is>
          <t>B09G17SQXF</t>
        </is>
      </c>
      <c r="M300" s="148" t="n">
        <v>94</v>
      </c>
      <c r="N300" s="148" t="n">
        <v>21.99</v>
      </c>
      <c r="O300" s="148" t="n"/>
      <c r="P300" s="148">
        <f>IF(AND(ISNUMBER(O300),ISNUMBER(N300),N(N300)&gt;0),O300/N300-1,"")</f>
        <v/>
      </c>
      <c r="Q300" s="148" t="n">
        <v>29.95</v>
      </c>
      <c r="R300" s="148">
        <f>IF(AND(ISNUMBER(N300),ISNUMBER(Q300),N(Q300)&gt;0),N300/Q300-1,"")</f>
        <v/>
      </c>
      <c r="S300" s="148" t="n">
        <v>132024</v>
      </c>
      <c r="T300" s="148" t="n">
        <v>81</v>
      </c>
      <c r="U300" s="148" t="n">
        <v>4.4</v>
      </c>
      <c r="V300" s="148" t="n">
        <v>3943</v>
      </c>
      <c r="W300" s="148" t="n">
        <v>48561</v>
      </c>
      <c r="X300" s="148" t="n">
        <v>0.6641788183933609</v>
      </c>
      <c r="Y300" s="148" t="n">
        <v>103</v>
      </c>
      <c r="Z300" s="148" t="n">
        <v>172</v>
      </c>
      <c r="AA300" s="148" t="n">
        <v>51</v>
      </c>
      <c r="AB300" s="148" t="n">
        <v>0.8779220779220779</v>
      </c>
      <c r="AC300" s="148" t="inlineStr">
        <is>
          <t>US DC S6</t>
        </is>
      </c>
      <c r="AD300" s="148">
        <f>'US DC S6'!BF181</f>
        <v/>
      </c>
      <c r="AE300" s="148">
        <f>'US DC S6'!BI181</f>
        <v/>
      </c>
      <c r="AF300" s="148" t="inlineStr">
        <is>
          <t>Full</t>
        </is>
      </c>
      <c r="AG300" s="148" t="inlineStr">
        <is>
          <t>Black</t>
        </is>
      </c>
      <c r="AH300" s="148">
        <f>AND(E300="CA",OR('CA Dashboard'!$C$4="All",'CA Dashboard'!$C$4=D300),OR('CA Dashboard'!$C$5="All",'CA Dashboard'!$C$5=G300),OR('CA Dashboard'!$C$6="All",'CA Dashboard'!$C$6=H300),OR('CA Dashboard'!$C$7="All",'CA Dashboard'!$C$7=F300),OR('CA Dashboard'!$C$8="All",'CA Dashboard'!$C$8=AJ300))</f>
        <v/>
      </c>
      <c r="AI300" s="148">
        <f>IF(AH300,AI299+1,AI299)</f>
        <v/>
      </c>
      <c r="AJ300" s="148" t="inlineStr">
        <is>
          <t>Alternative material</t>
        </is>
      </c>
      <c r="AK300" s="148" t="inlineStr">
        <is>
          <t>Sheet set in Silk (title: GOLAL Satin Sheets Full Size - 4 Pieces Luxury Silky Soft Be); ours is Satin (polyester) (our listing: polyester satin). Shopper may cross-shop, but not like-for-like.</t>
        </is>
      </c>
    </row>
    <row r="301">
      <c r="A301" s="148">
        <f>AND(E301="US",OR('US Dashboard'!$C$4="All",'US Dashboard'!$C$4=D301),OR('US Dashboard'!$C$5="All",'US Dashboard'!$C$5=G301),OR('US Dashboard'!$C$6="All",'US Dashboard'!$C$6=H301),OR('US Dashboard'!$C$7="All",'US Dashboard'!$C$7=F301),OR('US Dashboard'!$C$8="All",'US Dashboard'!$C$8=AJ301))</f>
        <v/>
      </c>
      <c r="B301" s="148">
        <f>IF(A301,B300+1,B300)</f>
        <v/>
      </c>
      <c r="C301" s="148" t="n">
        <v>31</v>
      </c>
      <c r="D301" s="148" t="inlineStr">
        <is>
          <t>DC S6</t>
        </is>
      </c>
      <c r="E301" s="148" t="inlineStr">
        <is>
          <t>US</t>
        </is>
      </c>
      <c r="F301" s="148" t="inlineStr">
        <is>
          <t>Satin</t>
        </is>
      </c>
      <c r="G301" s="148" t="inlineStr">
        <is>
          <t>Cobedzy</t>
        </is>
      </c>
      <c r="H301" s="148" t="inlineStr">
        <is>
          <t>Beatable</t>
        </is>
      </c>
      <c r="I301" s="148" t="inlineStr">
        <is>
          <t>Satin Sheets</t>
        </is>
      </c>
      <c r="J301" s="148" t="inlineStr">
        <is>
          <t>https://images-na.ssl-images-amazon.com/images/I/61QL2B3WPsL.jpg</t>
        </is>
      </c>
      <c r="K301" s="148" t="inlineStr">
        <is>
          <t>B099PPQ7T3</t>
        </is>
      </c>
      <c r="L301" s="148" t="inlineStr">
        <is>
          <t>B087CSRQQ4</t>
        </is>
      </c>
      <c r="M301" s="148" t="n">
        <v>18</v>
      </c>
      <c r="N301" s="148" t="n">
        <v>24.99</v>
      </c>
      <c r="O301" s="148" t="n"/>
      <c r="P301" s="148">
        <f>IF(AND(ISNUMBER(O301),ISNUMBER(N301),N(N301)&gt;0),O301/N301-1,"")</f>
        <v/>
      </c>
      <c r="Q301" s="148" t="n">
        <v>31.95</v>
      </c>
      <c r="R301" s="148">
        <f>IF(AND(ISNUMBER(N301),ISNUMBER(Q301),N(Q301)&gt;0),N301/Q301-1,"")</f>
        <v/>
      </c>
      <c r="S301" s="148" t="n">
        <v>68667</v>
      </c>
      <c r="T301" s="148" t="n">
        <v>35</v>
      </c>
      <c r="U301" s="148" t="n">
        <v>4.4</v>
      </c>
      <c r="V301" s="148" t="n">
        <v>2838</v>
      </c>
      <c r="W301" s="148" t="n">
        <v>21925</v>
      </c>
      <c r="X301" s="148" t="n">
        <v>0.9295306681870016</v>
      </c>
      <c r="Y301" s="148" t="n">
        <v>114</v>
      </c>
      <c r="Z301" s="148" t="n">
        <v>96</v>
      </c>
      <c r="AA301" s="148" t="n">
        <v>68</v>
      </c>
      <c r="AB301" s="148" t="n">
        <v>0.8934169278996865</v>
      </c>
      <c r="AC301" s="148" t="inlineStr">
        <is>
          <t>US DC S6</t>
        </is>
      </c>
      <c r="AD301" s="148">
        <f>'US DC S6'!BF182</f>
        <v/>
      </c>
      <c r="AE301" s="148">
        <f>'US DC S6'!BI182</f>
        <v/>
      </c>
      <c r="AF301" s="148" t="inlineStr">
        <is>
          <t>Queen</t>
        </is>
      </c>
      <c r="AG301" s="148" t="inlineStr">
        <is>
          <t>Blush Pink</t>
        </is>
      </c>
      <c r="AH301" s="148">
        <f>AND(E301="CA",OR('CA Dashboard'!$C$4="All",'CA Dashboard'!$C$4=D301),OR('CA Dashboard'!$C$5="All",'CA Dashboard'!$C$5=G301),OR('CA Dashboard'!$C$6="All",'CA Dashboard'!$C$6=H301),OR('CA Dashboard'!$C$7="All",'CA Dashboard'!$C$7=F301),OR('CA Dashboard'!$C$8="All",'CA Dashboard'!$C$8=AJ301))</f>
        <v/>
      </c>
      <c r="AI301" s="148">
        <f>IF(AH301,AI300+1,AI300)</f>
        <v/>
      </c>
      <c r="AJ301" s="148" t="inlineStr">
        <is>
          <t>Alternative material</t>
        </is>
      </c>
      <c r="AK301" s="148" t="inlineStr">
        <is>
          <t>Sheet set in Microfiber / polyester (product page material: Polyester); ours is Satin (polyester) (our listing: polyester satin). Shopper may cross-shop, but not like-for-like.</t>
        </is>
      </c>
    </row>
    <row r="302">
      <c r="A302" s="148">
        <f>AND(E302="US",OR('US Dashboard'!$C$4="All",'US Dashboard'!$C$4=D302),OR('US Dashboard'!$C$5="All",'US Dashboard'!$C$5=G302),OR('US Dashboard'!$C$6="All",'US Dashboard'!$C$6=H302),OR('US Dashboard'!$C$7="All",'US Dashboard'!$C$7=F302),OR('US Dashboard'!$C$8="All",'US Dashboard'!$C$8=AJ302))</f>
        <v/>
      </c>
      <c r="B302" s="148">
        <f>IF(A302,B301+1,B301)</f>
        <v/>
      </c>
      <c r="C302" s="148" t="n">
        <v>31</v>
      </c>
      <c r="D302" s="148" t="inlineStr">
        <is>
          <t>DC S6</t>
        </is>
      </c>
      <c r="E302" s="148" t="inlineStr">
        <is>
          <t>US</t>
        </is>
      </c>
      <c r="F302" s="148" t="inlineStr">
        <is>
          <t>Satin</t>
        </is>
      </c>
      <c r="G302" s="148" t="inlineStr">
        <is>
          <t>Madison Park</t>
        </is>
      </c>
      <c r="H302" s="148" t="inlineStr">
        <is>
          <t>Beatable</t>
        </is>
      </c>
      <c r="I302" s="148" t="inlineStr">
        <is>
          <t>Satin Sheets</t>
        </is>
      </c>
      <c r="J302" s="148" t="inlineStr">
        <is>
          <t>https://images-na.ssl-images-amazon.com/images/I/81HS7e6wrTL.jpg</t>
        </is>
      </c>
      <c r="K302" s="148" t="inlineStr">
        <is>
          <t>B0DJ2HJ9M4</t>
        </is>
      </c>
      <c r="L302" s="148" t="inlineStr">
        <is>
          <t>B09HVCPNLX</t>
        </is>
      </c>
      <c r="M302" s="148" t="n">
        <v>44</v>
      </c>
      <c r="N302" s="148" t="n">
        <v>26.99</v>
      </c>
      <c r="O302" s="148" t="n"/>
      <c r="P302" s="148">
        <f>IF(AND(ISNUMBER(O302),ISNUMBER(N302),N(N302)&gt;0),O302/N302-1,"")</f>
        <v/>
      </c>
      <c r="Q302" s="148" t="n">
        <v>31.95</v>
      </c>
      <c r="R302" s="148">
        <f>IF(AND(ISNUMBER(N302),ISNUMBER(Q302),N(Q302)&gt;0),N302/Q302-1,"")</f>
        <v/>
      </c>
      <c r="S302" s="148" t="n">
        <v>76753</v>
      </c>
      <c r="T302" s="148" t="n">
        <v>18</v>
      </c>
      <c r="U302" s="148" t="n">
        <v>4.5</v>
      </c>
      <c r="V302" s="148" t="n">
        <v>127</v>
      </c>
      <c r="W302" s="148" t="n">
        <v>35631</v>
      </c>
      <c r="X302" s="148" t="n">
        <v>0.9497345738261626</v>
      </c>
      <c r="Y302" s="148" t="n">
        <v>123</v>
      </c>
      <c r="Z302" s="148" t="n">
        <v>105</v>
      </c>
      <c r="AA302" s="148" t="n">
        <v>20</v>
      </c>
      <c r="AB302" s="148" t="n">
        <v>0.6901408450704226</v>
      </c>
      <c r="AC302" s="148" t="inlineStr">
        <is>
          <t>US DC S6</t>
        </is>
      </c>
      <c r="AD302" s="148">
        <f>'US DC S6'!BF183</f>
        <v/>
      </c>
      <c r="AE302" s="148">
        <f>'US DC S6'!BI183</f>
        <v/>
      </c>
      <c r="AF302" s="148" t="inlineStr">
        <is>
          <t>Queen</t>
        </is>
      </c>
      <c r="AG302" s="148" t="inlineStr">
        <is>
          <t>Ivory</t>
        </is>
      </c>
      <c r="AH302" s="148">
        <f>AND(E302="CA",OR('CA Dashboard'!$C$4="All",'CA Dashboard'!$C$4=D302),OR('CA Dashboard'!$C$5="All",'CA Dashboard'!$C$5=G302),OR('CA Dashboard'!$C$6="All",'CA Dashboard'!$C$6=H302),OR('CA Dashboard'!$C$7="All",'CA Dashboard'!$C$7=F302),OR('CA Dashboard'!$C$8="All",'CA Dashboard'!$C$8=AJ302))</f>
        <v/>
      </c>
      <c r="AI302" s="148">
        <f>IF(AH302,AI301+1,AI301)</f>
        <v/>
      </c>
      <c r="AJ302" s="148" t="inlineStr">
        <is>
          <t>Alternative material</t>
        </is>
      </c>
      <c r="AK302" s="148" t="inlineStr">
        <is>
          <t>Sheet set in Microfiber / polyester (product page material: Polyester); ours is Satin (polyester) (our listing: polyester satin). Shopper may cross-shop, but not like-for-like.</t>
        </is>
      </c>
    </row>
    <row r="303">
      <c r="A303" s="148">
        <f>AND(E303="US",OR('US Dashboard'!$C$4="All",'US Dashboard'!$C$4=D303),OR('US Dashboard'!$C$5="All",'US Dashboard'!$C$5=G303),OR('US Dashboard'!$C$6="All",'US Dashboard'!$C$6=H303),OR('US Dashboard'!$C$7="All",'US Dashboard'!$C$7=F303),OR('US Dashboard'!$C$8="All",'US Dashboard'!$C$8=AJ303))</f>
        <v/>
      </c>
      <c r="B303" s="148">
        <f>IF(A303,B302+1,B302)</f>
        <v/>
      </c>
      <c r="C303" s="148" t="n">
        <v>31</v>
      </c>
      <c r="D303" s="148" t="inlineStr">
        <is>
          <t>DC S6</t>
        </is>
      </c>
      <c r="E303" s="148" t="inlineStr">
        <is>
          <t>US</t>
        </is>
      </c>
      <c r="F303" s="148" t="inlineStr">
        <is>
          <t>Satin</t>
        </is>
      </c>
      <c r="G303" s="148" t="inlineStr">
        <is>
          <t>Martex</t>
        </is>
      </c>
      <c r="H303" s="148" t="inlineStr">
        <is>
          <t>Beatable</t>
        </is>
      </c>
      <c r="I303" s="148" t="inlineStr">
        <is>
          <t>Satin Sheets</t>
        </is>
      </c>
      <c r="J303" s="148" t="inlineStr">
        <is>
          <t>https://m.media-amazon.com/images/I/71kVc8L0urL._AC_SL1500_.jpg</t>
        </is>
      </c>
      <c r="K303" s="148" t="inlineStr">
        <is>
          <t>B0DLGX8P9D</t>
        </is>
      </c>
      <c r="L303" s="148" t="inlineStr">
        <is>
          <t>B07X49LFDC</t>
        </is>
      </c>
      <c r="M303" s="148" t="n"/>
      <c r="N303" s="148" t="n">
        <v>23.34</v>
      </c>
      <c r="O303" s="148" t="n"/>
      <c r="P303" s="148">
        <f>IF(AND(ISNUMBER(O303),ISNUMBER(N303),N(N303)&gt;0),O303/N303-1,"")</f>
        <v/>
      </c>
      <c r="Q303" s="148" t="n">
        <v>31.95</v>
      </c>
      <c r="R303" s="148">
        <f>IF(AND(ISNUMBER(N303),ISNUMBER(Q303),N(Q303)&gt;0),N303/Q303-1,"")</f>
        <v/>
      </c>
      <c r="S303" s="148" t="n">
        <v>52458</v>
      </c>
      <c r="T303" s="148" t="n">
        <v>5</v>
      </c>
      <c r="U303" s="148" t="n">
        <v>4.3</v>
      </c>
      <c r="V303" s="148" t="n">
        <v>2260</v>
      </c>
      <c r="W303" s="148" t="n"/>
      <c r="X303" s="148" t="n"/>
      <c r="Y303" s="148" t="n"/>
      <c r="Z303" s="148" t="n"/>
      <c r="AA303" s="148" t="n"/>
      <c r="AB303" s="148" t="n"/>
      <c r="AC303" s="148" t="inlineStr">
        <is>
          <t>US DC S6</t>
        </is>
      </c>
      <c r="AD303" s="148">
        <f>'US DC S6'!BF184</f>
        <v/>
      </c>
      <c r="AE303" s="148">
        <f>'US DC S6'!BI184</f>
        <v/>
      </c>
      <c r="AF303" s="148" t="inlineStr">
        <is>
          <t>Queen</t>
        </is>
      </c>
      <c r="AG303" s="148" t="inlineStr">
        <is>
          <t>Pink</t>
        </is>
      </c>
      <c r="AH303" s="148">
        <f>AND(E303="CA",OR('CA Dashboard'!$C$4="All",'CA Dashboard'!$C$4=D303),OR('CA Dashboard'!$C$5="All",'CA Dashboard'!$C$5=G303),OR('CA Dashboard'!$C$6="All",'CA Dashboard'!$C$6=H303),OR('CA Dashboard'!$C$7="All",'CA Dashboard'!$C$7=F303),OR('CA Dashboard'!$C$8="All",'CA Dashboard'!$C$8=AJ303))</f>
        <v/>
      </c>
      <c r="AI303" s="148">
        <f>IF(AH303,AI302+1,AI302)</f>
        <v/>
      </c>
      <c r="AJ303" s="148" t="inlineStr">
        <is>
          <t>Alternative material</t>
        </is>
      </c>
      <c r="AK303" s="148" t="inlineStr">
        <is>
          <t>Sheet set in Microfiber / polyester (product page material: Polyester); ours is Satin (polyester) (our listing: polyester satin). Shopper may cross-shop, but not like-for-like.</t>
        </is>
      </c>
    </row>
    <row r="304">
      <c r="A304" s="148">
        <f>AND(E304="US",OR('US Dashboard'!$C$4="All",'US Dashboard'!$C$4=D304),OR('US Dashboard'!$C$5="All",'US Dashboard'!$C$5=G304),OR('US Dashboard'!$C$6="All",'US Dashboard'!$C$6=H304),OR('US Dashboard'!$C$7="All",'US Dashboard'!$C$7=F304),OR('US Dashboard'!$C$8="All",'US Dashboard'!$C$8=AJ304))</f>
        <v/>
      </c>
      <c r="B304" s="148">
        <f>IF(A304,B303+1,B303)</f>
        <v/>
      </c>
      <c r="C304" s="148" t="n">
        <v>31</v>
      </c>
      <c r="D304" s="148" t="inlineStr">
        <is>
          <t>DC S6</t>
        </is>
      </c>
      <c r="E304" s="148" t="inlineStr">
        <is>
          <t>US</t>
        </is>
      </c>
      <c r="F304" s="148" t="inlineStr">
        <is>
          <t>Satin</t>
        </is>
      </c>
      <c r="G304" s="148" t="inlineStr">
        <is>
          <t>Vonty</t>
        </is>
      </c>
      <c r="H304" s="148" t="inlineStr">
        <is>
          <t>Poor</t>
        </is>
      </c>
      <c r="I304" s="148" t="inlineStr">
        <is>
          <t>Satin Sheets</t>
        </is>
      </c>
      <c r="J304" s="148" t="inlineStr">
        <is>
          <t>https://m.media-amazon.com/images/I/71HVTciZ9oL._AC_SL1500_.jpg</t>
        </is>
      </c>
      <c r="K304" s="148" t="inlineStr">
        <is>
          <t>B0BDDJM9RW</t>
        </is>
      </c>
      <c r="L304" s="148" t="inlineStr">
        <is>
          <t>B0BDDGJ38X</t>
        </is>
      </c>
      <c r="M304" s="148" t="n">
        <v>22</v>
      </c>
      <c r="N304" s="148" t="n">
        <v>30.99</v>
      </c>
      <c r="O304" s="148" t="n"/>
      <c r="P304" s="148">
        <f>IF(AND(ISNUMBER(O304),ISNUMBER(N304),N(N304)&gt;0),O304/N304-1,"")</f>
        <v/>
      </c>
      <c r="Q304" s="148" t="n">
        <v>33.95</v>
      </c>
      <c r="R304" s="148">
        <f>IF(AND(ISNUMBER(N304),ISNUMBER(Q304),N(Q304)&gt;0),N304/Q304-1,"")</f>
        <v/>
      </c>
      <c r="S304" s="148" t="n">
        <v>83620</v>
      </c>
      <c r="T304" s="148" t="n">
        <v>35</v>
      </c>
      <c r="U304" s="148" t="n">
        <v>4.2</v>
      </c>
      <c r="V304" s="148" t="n">
        <v>909</v>
      </c>
      <c r="W304" s="148" t="n">
        <v>11441</v>
      </c>
      <c r="X304" s="148" t="n">
        <v>0.9484301110042829</v>
      </c>
      <c r="Y304" s="148" t="n">
        <v>141</v>
      </c>
      <c r="Z304" s="148" t="n">
        <v>42</v>
      </c>
      <c r="AA304" s="148" t="n">
        <v>15</v>
      </c>
      <c r="AB304" s="148" t="n">
        <v>0.9861111111111112</v>
      </c>
      <c r="AC304" s="148" t="inlineStr">
        <is>
          <t>US DC S6</t>
        </is>
      </c>
      <c r="AD304" s="148">
        <f>'US DC S6'!BF185</f>
        <v/>
      </c>
      <c r="AE304" s="148">
        <f>'US DC S6'!BI185</f>
        <v/>
      </c>
      <c r="AF304" s="148" t="inlineStr">
        <is>
          <t>King - Extra Deep Pocket</t>
        </is>
      </c>
      <c r="AG304" s="148" t="inlineStr">
        <is>
          <t>Black</t>
        </is>
      </c>
      <c r="AH304" s="148">
        <f>AND(E304="CA",OR('CA Dashboard'!$C$4="All",'CA Dashboard'!$C$4=D304),OR('CA Dashboard'!$C$5="All",'CA Dashboard'!$C$5=G304),OR('CA Dashboard'!$C$6="All",'CA Dashboard'!$C$6=H304),OR('CA Dashboard'!$C$7="All",'CA Dashboard'!$C$7=F304),OR('CA Dashboard'!$C$8="All",'CA Dashboard'!$C$8=AJ304))</f>
        <v/>
      </c>
      <c r="AI304" s="148">
        <f>IF(AH304,AI303+1,AI303)</f>
        <v/>
      </c>
      <c r="AJ304" s="148" t="inlineStr">
        <is>
          <t>Alternative material</t>
        </is>
      </c>
      <c r="AK304" s="148" t="inlineStr">
        <is>
          <t>Sheet set in Microfiber / polyester (product page material: Polyester); ours is Satin (polyester) (our listing: polyester satin). Shopper may cross-shop, but not like-for-like.</t>
        </is>
      </c>
    </row>
    <row r="305">
      <c r="A305" s="148">
        <f>AND(E305="US",OR('US Dashboard'!$C$4="All",'US Dashboard'!$C$4=D305),OR('US Dashboard'!$C$5="All",'US Dashboard'!$C$5=G305),OR('US Dashboard'!$C$6="All",'US Dashboard'!$C$6=H305),OR('US Dashboard'!$C$7="All",'US Dashboard'!$C$7=F305),OR('US Dashboard'!$C$8="All",'US Dashboard'!$C$8=AJ305))</f>
        <v/>
      </c>
      <c r="B305" s="148">
        <f>IF(A305,B304+1,B304)</f>
        <v/>
      </c>
      <c r="C305" s="148" t="n">
        <v>31</v>
      </c>
      <c r="D305" s="148" t="inlineStr">
        <is>
          <t>DC S6</t>
        </is>
      </c>
      <c r="E305" s="148" t="inlineStr">
        <is>
          <t>US</t>
        </is>
      </c>
      <c r="F305" s="148" t="inlineStr">
        <is>
          <t>Satin</t>
        </is>
      </c>
      <c r="G305" s="148" t="inlineStr">
        <is>
          <t>Juicy Couture</t>
        </is>
      </c>
      <c r="H305" s="148" t="inlineStr">
        <is>
          <t>Poor</t>
        </is>
      </c>
      <c r="I305" s="148" t="inlineStr">
        <is>
          <t>Juicy Couture Queen Size Satin Bed Sheet Set, Deep Pocket Silky Satin Queen Shee</t>
        </is>
      </c>
      <c r="J305" s="148" t="inlineStr">
        <is>
          <t>https://images-na.ssl-images-amazon.com/images/I/81M3kmoCTLL.jpg</t>
        </is>
      </c>
      <c r="K305" s="148" t="inlineStr">
        <is>
          <t>B0FB47M9WR</t>
        </is>
      </c>
      <c r="L305" s="148" t="inlineStr">
        <is>
          <t>B0BK1WH383</t>
        </is>
      </c>
      <c r="M305" s="148" t="n">
        <v>58</v>
      </c>
      <c r="N305" s="148" t="n">
        <v>5.93</v>
      </c>
      <c r="O305" s="148" t="n"/>
      <c r="P305" s="148">
        <f>IF(AND(ISNUMBER(O305),ISNUMBER(N305),N(N305)&gt;0),O305/N305-1,"")</f>
        <v/>
      </c>
      <c r="Q305" s="148" t="n">
        <v>32.90432150313153</v>
      </c>
      <c r="R305" s="148">
        <f>IF(AND(ISNUMBER(N305),ISNUMBER(Q305),N(Q305)&gt;0),N305/Q305-1,"")</f>
        <v/>
      </c>
      <c r="S305" s="148" t="n">
        <v>80060</v>
      </c>
      <c r="T305" s="148" t="n">
        <v>5</v>
      </c>
      <c r="U305" s="148" t="n">
        <v>4.6</v>
      </c>
      <c r="V305" s="148" t="n">
        <v>46</v>
      </c>
      <c r="W305" s="148" t="n">
        <v>41904</v>
      </c>
      <c r="X305" s="148" t="n">
        <v>0.8273237471363115</v>
      </c>
      <c r="Y305" s="148" t="n">
        <v>149</v>
      </c>
      <c r="Z305" s="148" t="n">
        <v>91</v>
      </c>
      <c r="AA305" s="148" t="n">
        <v>134</v>
      </c>
      <c r="AB305" s="148" t="n"/>
      <c r="AC305" s="148" t="inlineStr">
        <is>
          <t>US DC S6</t>
        </is>
      </c>
      <c r="AD305" s="148">
        <f>'US DC S6'!BF186</f>
        <v/>
      </c>
      <c r="AE305" s="148">
        <f>'US DC S6'!BI186</f>
        <v/>
      </c>
      <c r="AF305" s="148" t="inlineStr">
        <is>
          <t>Standard Pillowcases - 2 Piece Set</t>
        </is>
      </c>
      <c r="AG305" s="148" t="inlineStr">
        <is>
          <t>Pink</t>
        </is>
      </c>
      <c r="AH305" s="148">
        <f>AND(E305="CA",OR('CA Dashboard'!$C$4="All",'CA Dashboard'!$C$4=D305),OR('CA Dashboard'!$C$5="All",'CA Dashboard'!$C$5=G305),OR('CA Dashboard'!$C$6="All",'CA Dashboard'!$C$6=H305),OR('CA Dashboard'!$C$7="All",'CA Dashboard'!$C$7=F305),OR('CA Dashboard'!$C$8="All",'CA Dashboard'!$C$8=AJ305))</f>
        <v/>
      </c>
      <c r="AI305" s="148">
        <f>IF(AH305,AI304+1,AI304)</f>
        <v/>
      </c>
      <c r="AJ305" s="148" t="inlineStr">
        <is>
          <t>Alternative material</t>
        </is>
      </c>
      <c r="AK305" s="148" t="inlineStr">
        <is>
          <t>Sheet set in Microfiber / polyester (product page material: Polyester); ours is Satin (polyester) (our listing: polyester satin). Shopper may cross-shop, but not like-for-like.</t>
        </is>
      </c>
    </row>
    <row r="306">
      <c r="A306" s="148">
        <f>AND(E306="US",OR('US Dashboard'!$C$4="All",'US Dashboard'!$C$4=D306),OR('US Dashboard'!$C$5="All",'US Dashboard'!$C$5=G306),OR('US Dashboard'!$C$6="All",'US Dashboard'!$C$6=H306),OR('US Dashboard'!$C$7="All",'US Dashboard'!$C$7=F306),OR('US Dashboard'!$C$8="All",'US Dashboard'!$C$8=AJ306))</f>
        <v/>
      </c>
      <c r="B306" s="148">
        <f>IF(A306,B305+1,B305)</f>
        <v/>
      </c>
      <c r="C306" s="148" t="n">
        <v>31</v>
      </c>
      <c r="D306" s="148" t="inlineStr">
        <is>
          <t>DC S6</t>
        </is>
      </c>
      <c r="E306" s="148" t="inlineStr">
        <is>
          <t>US</t>
        </is>
      </c>
      <c r="F306" s="148" t="inlineStr">
        <is>
          <t>Satin</t>
        </is>
      </c>
      <c r="G306" s="148" t="inlineStr">
        <is>
          <t>Sasttie</t>
        </is>
      </c>
      <c r="H306" s="148" t="inlineStr">
        <is>
          <t>Untiered</t>
        </is>
      </c>
      <c r="I306" s="148" t="inlineStr">
        <is>
          <t>Sasttie Satin Sheets Queen Size - 4 Pieces Luxury Soft Black Silky Bed Sheets Set with Pillowcases - Smooth Silk-Like Satin Fabric, Reinforced 14 Inches Pocket, Oeko-Tex Certified</t>
        </is>
      </c>
      <c r="J306" s="148" t="inlineStr">
        <is>
          <t>https://images-na.ssl-images-amazon.com/images/I/71MADUOjsFL.jpg</t>
        </is>
      </c>
      <c r="K306" s="148" t="inlineStr">
        <is>
          <t>B0F2H9HX69</t>
        </is>
      </c>
      <c r="L306" s="148" t="inlineStr">
        <is>
          <t>B0F2H8LPB3</t>
        </is>
      </c>
      <c r="M306" s="148" t="n">
        <v>47</v>
      </c>
      <c r="N306" s="148" t="n">
        <v>15.99</v>
      </c>
      <c r="O306" s="148" t="n"/>
      <c r="P306" s="148">
        <f>IF(AND(ISNUMBER(O306),ISNUMBER(N306),N(N306)&gt;0),O306/N306-1,"")</f>
        <v/>
      </c>
      <c r="Q306" s="148" t="n">
        <v>31.95</v>
      </c>
      <c r="R306" s="148">
        <f>IF(AND(ISNUMBER(N306),ISNUMBER(Q306),N(Q306)&gt;0),N306/Q306-1,"")</f>
        <v/>
      </c>
      <c r="S306" s="148" t="n">
        <v>58723</v>
      </c>
      <c r="T306" s="148" t="n">
        <v>35</v>
      </c>
      <c r="U306" s="148" t="n">
        <v>4.5</v>
      </c>
      <c r="V306" s="148" t="n">
        <v>968</v>
      </c>
      <c r="W306" s="148" t="n">
        <v>26952</v>
      </c>
      <c r="X306" s="148" t="n">
        <v>0.9879767104482041</v>
      </c>
      <c r="Y306" s="148" t="n">
        <v>108</v>
      </c>
      <c r="Z306" s="148" t="n">
        <v>153</v>
      </c>
      <c r="AA306" s="148" t="n">
        <v>13</v>
      </c>
      <c r="AB306" s="148" t="n">
        <v>1.063356164383562</v>
      </c>
      <c r="AC306" s="148" t="inlineStr">
        <is>
          <t>US DC S6</t>
        </is>
      </c>
      <c r="AD306" s="148">
        <f>'US DC S6'!BF187</f>
        <v/>
      </c>
      <c r="AE306" s="148">
        <f>'US DC S6'!BI187</f>
        <v/>
      </c>
      <c r="AF306" s="148" t="inlineStr">
        <is>
          <t>Queen</t>
        </is>
      </c>
      <c r="AG306" s="148" t="inlineStr">
        <is>
          <t>Black</t>
        </is>
      </c>
      <c r="AH306" s="148">
        <f>AND(E306="CA",OR('CA Dashboard'!$C$4="All",'CA Dashboard'!$C$4=D306),OR('CA Dashboard'!$C$5="All",'CA Dashboard'!$C$5=G306),OR('CA Dashboard'!$C$6="All",'CA Dashboard'!$C$6=H306),OR('CA Dashboard'!$C$7="All",'CA Dashboard'!$C$7=F306),OR('CA Dashboard'!$C$8="All",'CA Dashboard'!$C$8=AJ306))</f>
        <v/>
      </c>
      <c r="AI306" s="148">
        <f>IF(AH306,AI305+1,AI305)</f>
        <v/>
      </c>
      <c r="AJ306" s="148" t="inlineStr">
        <is>
          <t>Alternative material</t>
        </is>
      </c>
      <c r="AK306" s="148" t="inlineStr">
        <is>
          <t>Sheet set in Silk (title: Sasttie Satin Sheets Queen Size - 4 Pieces Luxury Soft Black); ours is Satin (polyester) (our listing: polyester satin). Shopper may cross-shop, but not like-for-like.</t>
        </is>
      </c>
    </row>
    <row r="307">
      <c r="A307" s="148">
        <f>AND(E307="US",OR('US Dashboard'!$C$4="All",'US Dashboard'!$C$4=D307),OR('US Dashboard'!$C$5="All",'US Dashboard'!$C$5=G307),OR('US Dashboard'!$C$6="All",'US Dashboard'!$C$6=H307),OR('US Dashboard'!$C$7="All",'US Dashboard'!$C$7=F307),OR('US Dashboard'!$C$8="All",'US Dashboard'!$C$8=AJ307))</f>
        <v/>
      </c>
      <c r="B307" s="148">
        <f>IF(A307,B306+1,B306)</f>
        <v/>
      </c>
      <c r="C307" s="148" t="n">
        <v>31</v>
      </c>
      <c r="D307" s="148" t="inlineStr">
        <is>
          <t>DC S6</t>
        </is>
      </c>
      <c r="E307" s="148" t="inlineStr">
        <is>
          <t>CA</t>
        </is>
      </c>
      <c r="F307" s="148" t="inlineStr">
        <is>
          <t>Satin</t>
        </is>
      </c>
      <c r="G307" s="148" t="inlineStr">
        <is>
          <t>Madison Park</t>
        </is>
      </c>
      <c r="H307" s="148" t="inlineStr">
        <is>
          <t>Untiered</t>
        </is>
      </c>
      <c r="I307" s="148" t="inlineStr">
        <is>
          <t>Madison Park Essentials Polyester Satin 6 Piece Sheet Set with Ivory MPE20-904, Queen</t>
        </is>
      </c>
      <c r="J307" s="148" t="inlineStr">
        <is>
          <t>https://m.media-amazon.com/images/I/81ZfhNYfpcL.jpg</t>
        </is>
      </c>
      <c r="K307" s="148" t="inlineStr">
        <is>
          <t>B0H7TMMW5T</t>
        </is>
      </c>
      <c r="L307" s="148" t="inlineStr">
        <is>
          <t>B09HVCPNLX</t>
        </is>
      </c>
      <c r="M307" s="148" t="n">
        <v>1</v>
      </c>
      <c r="N307" s="148" t="n">
        <v>52.62</v>
      </c>
      <c r="O307" s="148" t="n"/>
      <c r="P307" s="148">
        <f>IF(AND(ISNUMBER(O307),ISNUMBER(N307),N(N307)&gt;0),O307/N307-1,"")</f>
        <v/>
      </c>
      <c r="Q307" s="148" t="n">
        <v>47.99</v>
      </c>
      <c r="R307" s="148">
        <f>IF(AND(ISNUMBER(N307),ISNUMBER(Q307),N(Q307)&gt;0),N307/Q307-1,"")</f>
        <v/>
      </c>
      <c r="S307" s="148" t="n">
        <v>678123</v>
      </c>
      <c r="T307" s="148" t="n"/>
      <c r="U307" s="148" t="n">
        <v>4.4</v>
      </c>
      <c r="V307" s="148" t="n">
        <v>123</v>
      </c>
      <c r="W307" s="148" t="n"/>
      <c r="X307" s="148" t="n"/>
      <c r="Y307" s="148" t="n"/>
      <c r="Z307" s="148" t="n"/>
      <c r="AA307" s="148" t="n"/>
      <c r="AB307" s="148" t="n"/>
      <c r="AC307" s="148" t="inlineStr">
        <is>
          <t>CA DC S6</t>
        </is>
      </c>
      <c r="AD307" s="148">
        <f>'CA DC S6'!BF174</f>
        <v/>
      </c>
      <c r="AE307" s="148">
        <f>'CA DC S6'!BI174</f>
        <v/>
      </c>
      <c r="AF307" s="148" t="inlineStr">
        <is>
          <t>Queen</t>
        </is>
      </c>
      <c r="AG307" s="148" t="inlineStr">
        <is>
          <t>Ivory</t>
        </is>
      </c>
      <c r="AH307" s="148">
        <f>AND(E307="CA",OR('CA Dashboard'!$C$4="All",'CA Dashboard'!$C$4=D307),OR('CA Dashboard'!$C$5="All",'CA Dashboard'!$C$5=G307),OR('CA Dashboard'!$C$6="All",'CA Dashboard'!$C$6=H307),OR('CA Dashboard'!$C$7="All",'CA Dashboard'!$C$7=F307),OR('CA Dashboard'!$C$8="All",'CA Dashboard'!$C$8=AJ307))</f>
        <v/>
      </c>
      <c r="AI307" s="148">
        <f>IF(AH307,AI306+1,AI306)</f>
        <v/>
      </c>
      <c r="AJ307" s="148" t="inlineStr">
        <is>
          <t>Alternative material</t>
        </is>
      </c>
      <c r="AK307" s="148" t="inlineStr">
        <is>
          <t>Sheet set in Microfiber / polyester (product page material: Polyester); ours is Satin (polyester) (our listing: polyester satin). Shopper may cross-shop, but not like-for-like.</t>
        </is>
      </c>
    </row>
    <row r="308">
      <c r="A308" s="148">
        <f>AND(E308="US",OR('US Dashboard'!$C$4="All",'US Dashboard'!$C$4=D308),OR('US Dashboard'!$C$5="All",'US Dashboard'!$C$5=G308),OR('US Dashboard'!$C$6="All",'US Dashboard'!$C$6=H308),OR('US Dashboard'!$C$7="All",'US Dashboard'!$C$7=F308),OR('US Dashboard'!$C$8="All",'US Dashboard'!$C$8=AJ308))</f>
        <v/>
      </c>
      <c r="B308" s="148">
        <f>IF(A308,B307+1,B307)</f>
        <v/>
      </c>
      <c r="C308" s="148" t="n">
        <v>39</v>
      </c>
      <c r="D308" s="148" t="inlineStr">
        <is>
          <t>SSS4</t>
        </is>
      </c>
      <c r="E308" s="148" t="inlineStr">
        <is>
          <t>US</t>
        </is>
      </c>
      <c r="F308" s="148" t="inlineStr">
        <is>
          <t>Satin</t>
        </is>
      </c>
      <c r="G308" s="148" t="inlineStr">
        <is>
          <t>BEDELITE</t>
        </is>
      </c>
      <c r="H308" s="148" t="inlineStr">
        <is>
          <t>Aspirational</t>
        </is>
      </c>
      <c r="I308" s="148" t="inlineStr">
        <is>
          <t>BEDELITE Satin Sheets Queen Size Bed Set, Black, 4 Pieces</t>
        </is>
      </c>
      <c r="J308" s="148" t="inlineStr">
        <is>
          <t>https://images-na.ssl-images-amazon.com/images/I/71ujt2CgaQL.jpg</t>
        </is>
      </c>
      <c r="K308" s="148" t="inlineStr">
        <is>
          <t>B0FNMNMZ9T</t>
        </is>
      </c>
      <c r="L308" s="148" t="inlineStr">
        <is>
          <t>B0CSFTRP2X</t>
        </is>
      </c>
      <c r="M308" s="148" t="n">
        <v>141</v>
      </c>
      <c r="N308" s="148" t="n">
        <v>17.99</v>
      </c>
      <c r="O308" s="148" t="n"/>
      <c r="P308" s="148">
        <f>IF(AND(ISNUMBER(O308),ISNUMBER(N308),N(N308)&gt;0),O308/N308-1,"")</f>
        <v/>
      </c>
      <c r="Q308" s="148" t="n">
        <v>33.95</v>
      </c>
      <c r="R308" s="148">
        <f>IF(AND(ISNUMBER(N308),ISNUMBER(Q308),N(Q308)&gt;0),N308/Q308-1,"")</f>
        <v/>
      </c>
      <c r="S308" s="148" t="n">
        <v>497</v>
      </c>
      <c r="T308" s="148" t="n">
        <v>1963</v>
      </c>
      <c r="U308" s="148" t="n">
        <v>4.3</v>
      </c>
      <c r="V308" s="148" t="n">
        <v>6297</v>
      </c>
      <c r="W308" s="148" t="n">
        <v>997443</v>
      </c>
      <c r="X308" s="148" t="n">
        <v>0.8161266415223724</v>
      </c>
      <c r="Y308" s="148" t="n">
        <v>61</v>
      </c>
      <c r="Z308" s="148" t="n">
        <v>385</v>
      </c>
      <c r="AA308" s="148" t="n">
        <v>332</v>
      </c>
      <c r="AB308" s="148" t="n">
        <v>1.114785561378903</v>
      </c>
      <c r="AC308" s="148" t="inlineStr">
        <is>
          <t>US SSS4</t>
        </is>
      </c>
      <c r="AD308" s="148">
        <f>'US SSS4'!BF159</f>
        <v/>
      </c>
      <c r="AE308" s="148">
        <f>'US SSS4'!BI159</f>
        <v/>
      </c>
      <c r="AF308" s="148" t="inlineStr">
        <is>
          <t>Queen</t>
        </is>
      </c>
      <c r="AG308" s="148" t="inlineStr">
        <is>
          <t>Black</t>
        </is>
      </c>
      <c r="AH308" s="148">
        <f>AND(E308="CA",OR('CA Dashboard'!$C$4="All",'CA Dashboard'!$C$4=D308),OR('CA Dashboard'!$C$5="All",'CA Dashboard'!$C$5=G308),OR('CA Dashboard'!$C$6="All",'CA Dashboard'!$C$6=H308),OR('CA Dashboard'!$C$7="All",'CA Dashboard'!$C$7=F308),OR('CA Dashboard'!$C$8="All",'CA Dashboard'!$C$8=AJ308))</f>
        <v/>
      </c>
      <c r="AI308" s="148">
        <f>IF(AH308,AI307+1,AI307)</f>
        <v/>
      </c>
      <c r="AJ308" s="148" t="inlineStr">
        <is>
          <t>Direct</t>
        </is>
      </c>
      <c r="AK308" s="148" t="inlineStr">
        <is>
          <t>Same product (sheet set) in the same material family: Satin (polyester) (title: BEDELITE Satin Sheets Queen Size Bed Set, Black, 4 Pieces); ours: our listing: polyester satin.</t>
        </is>
      </c>
    </row>
    <row r="309">
      <c r="A309" s="148">
        <f>AND(E309="US",OR('US Dashboard'!$C$4="All",'US Dashboard'!$C$4=D309),OR('US Dashboard'!$C$5="All",'US Dashboard'!$C$5=G309),OR('US Dashboard'!$C$6="All",'US Dashboard'!$C$6=H309),OR('US Dashboard'!$C$7="All",'US Dashboard'!$C$7=F309),OR('US Dashboard'!$C$8="All",'US Dashboard'!$C$8=AJ309))</f>
        <v/>
      </c>
      <c r="B309" s="148">
        <f>IF(A309,B308+1,B308)</f>
        <v/>
      </c>
      <c r="C309" s="148" t="n">
        <v>39</v>
      </c>
      <c r="D309" s="148" t="inlineStr">
        <is>
          <t>SSS4</t>
        </is>
      </c>
      <c r="E309" s="148" t="inlineStr">
        <is>
          <t>US</t>
        </is>
      </c>
      <c r="F309" s="148" t="inlineStr">
        <is>
          <t>Satin</t>
        </is>
      </c>
      <c r="G309" s="148" t="inlineStr">
        <is>
          <t>Love's cabin</t>
        </is>
      </c>
      <c r="H309" s="148" t="inlineStr">
        <is>
          <t>Aspirational</t>
        </is>
      </c>
      <c r="I309" s="148" t="inlineStr">
        <is>
          <t>Love's cabin Satin Queen Sheets Set, 4 Pieces, Pink, 15" Deep Pocket</t>
        </is>
      </c>
      <c r="J309" s="148" t="inlineStr">
        <is>
          <t>https://images-na.ssl-images-amazon.com/images/I/81C-fXI71XL.jpg</t>
        </is>
      </c>
      <c r="K309" s="148" t="inlineStr">
        <is>
          <t>B08DHTB63X</t>
        </is>
      </c>
      <c r="L309" s="148" t="inlineStr">
        <is>
          <t>B0BNMC5G8R</t>
        </is>
      </c>
      <c r="M309" s="148" t="n">
        <v>128</v>
      </c>
      <c r="N309" s="148" t="n">
        <v>16.13</v>
      </c>
      <c r="O309" s="148" t="n">
        <v>19.99</v>
      </c>
      <c r="P309" s="148">
        <f>IF(AND(ISNUMBER(O309),ISNUMBER(N309),N(N309)&gt;0),O309/N309-1,"")</f>
        <v/>
      </c>
      <c r="Q309" s="148" t="n">
        <v>33.95</v>
      </c>
      <c r="R309" s="148">
        <f>IF(AND(ISNUMBER(N309),ISNUMBER(Q309),N(Q309)&gt;0),N309/Q309-1,"")</f>
        <v/>
      </c>
      <c r="S309" s="148" t="n">
        <v>949</v>
      </c>
      <c r="T309" s="148" t="n">
        <v>809</v>
      </c>
      <c r="U309" s="148" t="n">
        <v>4.5</v>
      </c>
      <c r="V309" s="148" t="n">
        <v>5747</v>
      </c>
      <c r="W309" s="148" t="n">
        <v>385363</v>
      </c>
      <c r="X309" s="148" t="n">
        <v>0.8181775938530695</v>
      </c>
      <c r="Y309" s="148" t="n">
        <v>68</v>
      </c>
      <c r="Z309" s="148" t="n">
        <v>353</v>
      </c>
      <c r="AA309" s="148" t="n">
        <v>400</v>
      </c>
      <c r="AB309" s="148" t="n">
        <v>1.036399938565504</v>
      </c>
      <c r="AC309" s="148" t="inlineStr">
        <is>
          <t>US SSS4</t>
        </is>
      </c>
      <c r="AD309" s="148">
        <f>'US SSS4'!BF160</f>
        <v/>
      </c>
      <c r="AE309" s="148">
        <f>'US SSS4'!BI160</f>
        <v/>
      </c>
      <c r="AF309" s="148" t="inlineStr">
        <is>
          <t>Queen</t>
        </is>
      </c>
      <c r="AG309" s="148" t="inlineStr">
        <is>
          <t>Pink</t>
        </is>
      </c>
      <c r="AH309" s="148">
        <f>AND(E309="CA",OR('CA Dashboard'!$C$4="All",'CA Dashboard'!$C$4=D309),OR('CA Dashboard'!$C$5="All",'CA Dashboard'!$C$5=G309),OR('CA Dashboard'!$C$6="All",'CA Dashboard'!$C$6=H309),OR('CA Dashboard'!$C$7="All",'CA Dashboard'!$C$7=F309),OR('CA Dashboard'!$C$8="All",'CA Dashboard'!$C$8=AJ309))</f>
        <v/>
      </c>
      <c r="AI309" s="148">
        <f>IF(AH309,AI308+1,AI308)</f>
        <v/>
      </c>
      <c r="AJ309" s="148" t="inlineStr">
        <is>
          <t>Direct</t>
        </is>
      </c>
      <c r="AK309" s="148" t="inlineStr">
        <is>
          <t>Same product (sheet set) in the same material family: Satin (polyester) (title: Love's cabin Satin Queen Sheets Set, 4 Pieces, Pink, 15" Dee); ours: our listing: polyester satin.</t>
        </is>
      </c>
    </row>
    <row r="310">
      <c r="A310" s="148">
        <f>AND(E310="US",OR('US Dashboard'!$C$4="All",'US Dashboard'!$C$4=D310),OR('US Dashboard'!$C$5="All",'US Dashboard'!$C$5=G310),OR('US Dashboard'!$C$6="All",'US Dashboard'!$C$6=H310),OR('US Dashboard'!$C$7="All",'US Dashboard'!$C$7=F310),OR('US Dashboard'!$C$8="All",'US Dashboard'!$C$8=AJ310))</f>
        <v/>
      </c>
      <c r="B310" s="148">
        <f>IF(A310,B309+1,B309)</f>
        <v/>
      </c>
      <c r="C310" s="148" t="n">
        <v>39</v>
      </c>
      <c r="D310" s="148" t="inlineStr">
        <is>
          <t>SSS4</t>
        </is>
      </c>
      <c r="E310" s="148" t="inlineStr">
        <is>
          <t>US</t>
        </is>
      </c>
      <c r="F310" s="148" t="inlineStr">
        <is>
          <t>Satin</t>
        </is>
      </c>
      <c r="G310" s="148" t="inlineStr">
        <is>
          <t>MR&amp;HM</t>
        </is>
      </c>
      <c r="H310" s="148" t="inlineStr">
        <is>
          <t>Aspirational</t>
        </is>
      </c>
      <c r="I310" s="148" t="inlineStr">
        <is>
          <t>MR&amp;HM Satin Sheets Queen Size with Elastic Corner Straps, Black</t>
        </is>
      </c>
      <c r="J310" s="148" t="inlineStr">
        <is>
          <t>https://images-na.ssl-images-amazon.com/images/I/71zGuoeuSrL.jpg</t>
        </is>
      </c>
      <c r="K310" s="148" t="inlineStr">
        <is>
          <t>B08NQ3W7PG</t>
        </is>
      </c>
      <c r="L310" s="148" t="inlineStr">
        <is>
          <t>B08HM6WT6X</t>
        </is>
      </c>
      <c r="M310" s="148" t="n">
        <v>183</v>
      </c>
      <c r="N310" s="148" t="n">
        <v>19.99</v>
      </c>
      <c r="O310" s="148" t="n"/>
      <c r="P310" s="148">
        <f>IF(AND(ISNUMBER(O310),ISNUMBER(N310),N(N310)&gt;0),O310/N310-1,"")</f>
        <v/>
      </c>
      <c r="Q310" s="148" t="n">
        <v>33.95</v>
      </c>
      <c r="R310" s="148">
        <f>IF(AND(ISNUMBER(N310),ISNUMBER(Q310),N(Q310)&gt;0),N310/Q310-1,"")</f>
        <v/>
      </c>
      <c r="S310" s="148" t="n">
        <v>2025</v>
      </c>
      <c r="T310" s="148" t="n">
        <v>809</v>
      </c>
      <c r="U310" s="148" t="n">
        <v>4.4</v>
      </c>
      <c r="V310" s="148" t="n">
        <v>17886</v>
      </c>
      <c r="W310" s="148" t="n">
        <v>356457</v>
      </c>
      <c r="X310" s="148" t="n">
        <v>0.7964633734223203</v>
      </c>
      <c r="Y310" s="148" t="n">
        <v>93</v>
      </c>
      <c r="Z310" s="148" t="n">
        <v>328</v>
      </c>
      <c r="AA310" s="148" t="n">
        <v>363</v>
      </c>
      <c r="AB310" s="148" t="n">
        <v>0.9844138242602214</v>
      </c>
      <c r="AC310" s="148" t="inlineStr">
        <is>
          <t>US SSS4</t>
        </is>
      </c>
      <c r="AD310" s="148">
        <f>'US SSS4'!BF161</f>
        <v/>
      </c>
      <c r="AE310" s="148">
        <f>'US SSS4'!BI161</f>
        <v/>
      </c>
      <c r="AF310" s="148" t="inlineStr">
        <is>
          <t>Queen</t>
        </is>
      </c>
      <c r="AG310" s="148" t="inlineStr">
        <is>
          <t>Black</t>
        </is>
      </c>
      <c r="AH310" s="148">
        <f>AND(E310="CA",OR('CA Dashboard'!$C$4="All",'CA Dashboard'!$C$4=D310),OR('CA Dashboard'!$C$5="All",'CA Dashboard'!$C$5=G310),OR('CA Dashboard'!$C$6="All",'CA Dashboard'!$C$6=H310),OR('CA Dashboard'!$C$7="All",'CA Dashboard'!$C$7=F310),OR('CA Dashboard'!$C$8="All",'CA Dashboard'!$C$8=AJ310))</f>
        <v/>
      </c>
      <c r="AI310" s="148">
        <f>IF(AH310,AI309+1,AI309)</f>
        <v/>
      </c>
      <c r="AJ310" s="148" t="inlineStr">
        <is>
          <t>Direct</t>
        </is>
      </c>
      <c r="AK310" s="148" t="inlineStr">
        <is>
          <t>Same product (sheet set) in the same material family: Satin (polyester) (title: MR&amp;HM Satin Sheets Queen Size with Elastic Corner Straps, Bl); ours: our listing: polyester satin.</t>
        </is>
      </c>
    </row>
    <row r="311">
      <c r="A311" s="148">
        <f>AND(E311="US",OR('US Dashboard'!$C$4="All",'US Dashboard'!$C$4=D311),OR('US Dashboard'!$C$5="All",'US Dashboard'!$C$5=G311),OR('US Dashboard'!$C$6="All",'US Dashboard'!$C$6=H311),OR('US Dashboard'!$C$7="All",'US Dashboard'!$C$7=F311),OR('US Dashboard'!$C$8="All",'US Dashboard'!$C$8=AJ311))</f>
        <v/>
      </c>
      <c r="B311" s="148">
        <f>IF(A311,B310+1,B310)</f>
        <v/>
      </c>
      <c r="C311" s="148" t="n">
        <v>39</v>
      </c>
      <c r="D311" s="148" t="inlineStr">
        <is>
          <t>SSS4</t>
        </is>
      </c>
      <c r="E311" s="148" t="inlineStr">
        <is>
          <t>US</t>
        </is>
      </c>
      <c r="F311" s="148" t="inlineStr">
        <is>
          <t>Satin</t>
        </is>
      </c>
      <c r="G311" s="148" t="inlineStr">
        <is>
          <t>BEDELITE</t>
        </is>
      </c>
      <c r="H311" s="148" t="inlineStr">
        <is>
          <t>Aspirational</t>
        </is>
      </c>
      <c r="I311" s="148" t="inlineStr">
        <is>
          <t>BEDELITE Satin Queen Fitted Sheet &amp; Pillowcases Set, Black, 3 Pieces</t>
        </is>
      </c>
      <c r="J311" s="148" t="inlineStr">
        <is>
          <t>https://images-na.ssl-images-amazon.com/images/I/71Jlvkv3rfL.jpg</t>
        </is>
      </c>
      <c r="K311" s="148" t="inlineStr">
        <is>
          <t>B0FPCM7DL3</t>
        </is>
      </c>
      <c r="L311" s="148" t="inlineStr">
        <is>
          <t>B0CSFV4FXW</t>
        </is>
      </c>
      <c r="M311" s="148" t="n">
        <v>107</v>
      </c>
      <c r="N311" s="148" t="n">
        <v>15.98</v>
      </c>
      <c r="O311" s="148" t="n">
        <v>19.99</v>
      </c>
      <c r="P311" s="148">
        <f>IF(AND(ISNUMBER(O311),ISNUMBER(N311),N(N311)&gt;0),O311/N311-1,"")</f>
        <v/>
      </c>
      <c r="Q311" s="148" t="n">
        <v>33.95</v>
      </c>
      <c r="R311" s="148">
        <f>IF(AND(ISNUMBER(N311),ISNUMBER(Q311),N(Q311)&gt;0),N311/Q311-1,"")</f>
        <v/>
      </c>
      <c r="S311" s="148" t="n">
        <v>4306</v>
      </c>
      <c r="T311" s="148" t="n">
        <v>208</v>
      </c>
      <c r="U311" s="148" t="n">
        <v>4.4</v>
      </c>
      <c r="V311" s="148" t="n">
        <v>1858</v>
      </c>
      <c r="W311" s="148" t="n">
        <v>179643</v>
      </c>
      <c r="X311" s="148" t="n">
        <v>0.4557323781054652</v>
      </c>
      <c r="Y311" s="148" t="n">
        <v>104</v>
      </c>
      <c r="Z311" s="148" t="n">
        <v>235</v>
      </c>
      <c r="AA311" s="148" t="n">
        <v>561</v>
      </c>
      <c r="AB311" s="148" t="n">
        <v>1.118721461187214</v>
      </c>
      <c r="AC311" s="148" t="inlineStr">
        <is>
          <t>US SSS4</t>
        </is>
      </c>
      <c r="AD311" s="148">
        <f>'US SSS4'!BF162</f>
        <v/>
      </c>
      <c r="AE311" s="148">
        <f>'US SSS4'!BI162</f>
        <v/>
      </c>
      <c r="AF311" s="148" t="inlineStr">
        <is>
          <t>Queen</t>
        </is>
      </c>
      <c r="AG311" s="148" t="inlineStr">
        <is>
          <t>Black</t>
        </is>
      </c>
      <c r="AH311" s="148">
        <f>AND(E311="CA",OR('CA Dashboard'!$C$4="All",'CA Dashboard'!$C$4=D311),OR('CA Dashboard'!$C$5="All",'CA Dashboard'!$C$5=G311),OR('CA Dashboard'!$C$6="All",'CA Dashboard'!$C$6=H311),OR('CA Dashboard'!$C$7="All",'CA Dashboard'!$C$7=F311),OR('CA Dashboard'!$C$8="All",'CA Dashboard'!$C$8=AJ311))</f>
        <v/>
      </c>
      <c r="AI311" s="148">
        <f>IF(AH311,AI310+1,AI310)</f>
        <v/>
      </c>
      <c r="AJ311" s="148" t="inlineStr">
        <is>
          <t>Direct</t>
        </is>
      </c>
      <c r="AK311" s="148" t="inlineStr">
        <is>
          <t>Same product (sheet set) in the same material family: Satin (polyester) (title: BEDELITE Satin Queen Fitted Sheet &amp; Pillowcases Set, Black); ours: our listing: polyester satin.</t>
        </is>
      </c>
    </row>
    <row r="312">
      <c r="A312" s="148">
        <f>AND(E312="US",OR('US Dashboard'!$C$4="All",'US Dashboard'!$C$4=D312),OR('US Dashboard'!$C$5="All",'US Dashboard'!$C$5=G312),OR('US Dashboard'!$C$6="All",'US Dashboard'!$C$6=H312),OR('US Dashboard'!$C$7="All",'US Dashboard'!$C$7=F312),OR('US Dashboard'!$C$8="All",'US Dashboard'!$C$8=AJ312))</f>
        <v/>
      </c>
      <c r="B312" s="148">
        <f>IF(A312,B311+1,B311)</f>
        <v/>
      </c>
      <c r="C312" s="148" t="n">
        <v>39</v>
      </c>
      <c r="D312" s="148" t="inlineStr">
        <is>
          <t>SSS4</t>
        </is>
      </c>
      <c r="E312" s="148" t="inlineStr">
        <is>
          <t>US</t>
        </is>
      </c>
      <c r="F312" s="148" t="inlineStr">
        <is>
          <t>Satin</t>
        </is>
      </c>
      <c r="G312" s="148" t="inlineStr">
        <is>
          <t>SiinvdaBZX</t>
        </is>
      </c>
      <c r="H312" s="148" t="inlineStr">
        <is>
          <t>Beatable</t>
        </is>
      </c>
      <c r="I312" s="148" t="inlineStr">
        <is>
          <t>SiinvdaBZX 4Pcs Satin Sheet Set Queen Size 15-Inch Deep Pocket, Beige</t>
        </is>
      </c>
      <c r="J312" s="148" t="inlineStr">
        <is>
          <t>https://images-na.ssl-images-amazon.com/images/I/71ZrkfMtWLL.jpg</t>
        </is>
      </c>
      <c r="K312" s="148" t="inlineStr">
        <is>
          <t>B0DD37S32L</t>
        </is>
      </c>
      <c r="L312" s="148" t="inlineStr">
        <is>
          <t>B08JP9DG5Z</t>
        </is>
      </c>
      <c r="M312" s="148" t="n">
        <v>96</v>
      </c>
      <c r="N312" s="148" t="n">
        <v>22.99</v>
      </c>
      <c r="O312" s="148" t="n"/>
      <c r="P312" s="148">
        <f>IF(AND(ISNUMBER(O312),ISNUMBER(N312),N(N312)&gt;0),O312/N312-1,"")</f>
        <v/>
      </c>
      <c r="Q312" s="148" t="n">
        <v>33.95</v>
      </c>
      <c r="R312" s="148">
        <f>IF(AND(ISNUMBER(N312),ISNUMBER(Q312),N(Q312)&gt;0),N312/Q312-1,"")</f>
        <v/>
      </c>
      <c r="S312" s="148" t="n">
        <v>23154</v>
      </c>
      <c r="T312" s="148" t="n">
        <v>92</v>
      </c>
      <c r="U312" s="148" t="n">
        <v>4.4</v>
      </c>
      <c r="V312" s="148" t="n">
        <v>6981</v>
      </c>
      <c r="W312" s="148" t="n">
        <v>47722</v>
      </c>
      <c r="X312" s="148" t="n">
        <v>0.8752176061355349</v>
      </c>
      <c r="Y312" s="148" t="n">
        <v>146</v>
      </c>
      <c r="Z312" s="148" t="n">
        <v>159</v>
      </c>
      <c r="AA312" s="148" t="n">
        <v>98</v>
      </c>
      <c r="AB312" s="148" t="n">
        <v>1.035928143712575</v>
      </c>
      <c r="AC312" s="148" t="inlineStr">
        <is>
          <t>US SSS4</t>
        </is>
      </c>
      <c r="AD312" s="148">
        <f>'US SSS4'!BF163</f>
        <v/>
      </c>
      <c r="AE312" s="148">
        <f>'US SSS4'!BI163</f>
        <v/>
      </c>
      <c r="AF312" s="148" t="inlineStr">
        <is>
          <t>Queen</t>
        </is>
      </c>
      <c r="AG312" s="148" t="inlineStr">
        <is>
          <t>Beige</t>
        </is>
      </c>
      <c r="AH312" s="148">
        <f>AND(E312="CA",OR('CA Dashboard'!$C$4="All",'CA Dashboard'!$C$4=D312),OR('CA Dashboard'!$C$5="All",'CA Dashboard'!$C$5=G312),OR('CA Dashboard'!$C$6="All",'CA Dashboard'!$C$6=H312),OR('CA Dashboard'!$C$7="All",'CA Dashboard'!$C$7=F312),OR('CA Dashboard'!$C$8="All",'CA Dashboard'!$C$8=AJ312))</f>
        <v/>
      </c>
      <c r="AI312" s="148">
        <f>IF(AH312,AI311+1,AI311)</f>
        <v/>
      </c>
      <c r="AJ312" s="148" t="inlineStr">
        <is>
          <t>Direct</t>
        </is>
      </c>
      <c r="AK312" s="148" t="inlineStr">
        <is>
          <t>Same product (sheet set) in the same material family: Satin (polyester) (title: SiinvdaBZX 4Pcs Satin Sheet Set Queen Size 15-Inch Deep Pock); ours: our listing: polyester satin.</t>
        </is>
      </c>
    </row>
    <row r="313">
      <c r="A313" s="148">
        <f>AND(E313="US",OR('US Dashboard'!$C$4="All",'US Dashboard'!$C$4=D313),OR('US Dashboard'!$C$5="All",'US Dashboard'!$C$5=G313),OR('US Dashboard'!$C$6="All",'US Dashboard'!$C$6=H313),OR('US Dashboard'!$C$7="All",'US Dashboard'!$C$7=F313),OR('US Dashboard'!$C$8="All",'US Dashboard'!$C$8=AJ313))</f>
        <v/>
      </c>
      <c r="B313" s="148">
        <f>IF(A313,B312+1,B312)</f>
        <v/>
      </c>
      <c r="C313" s="148" t="n">
        <v>39</v>
      </c>
      <c r="D313" s="148" t="inlineStr">
        <is>
          <t>SSS4</t>
        </is>
      </c>
      <c r="E313" s="148" t="inlineStr">
        <is>
          <t>US</t>
        </is>
      </c>
      <c r="F313" s="148" t="inlineStr">
        <is>
          <t>Satin</t>
        </is>
      </c>
      <c r="G313" s="148" t="inlineStr">
        <is>
          <t>LIFCOM</t>
        </is>
      </c>
      <c r="H313" s="148" t="inlineStr">
        <is>
          <t>Beatable</t>
        </is>
      </c>
      <c r="I313" s="148" t="inlineStr">
        <is>
          <t>LIFCOM Satin Sheets Queen,4Pcs Bed Set with 15" Deep Pocket,Brown</t>
        </is>
      </c>
      <c r="J313" s="148" t="inlineStr">
        <is>
          <t>https://images-na.ssl-images-amazon.com/images/I/71eq-pAu2pL.jpg</t>
        </is>
      </c>
      <c r="K313" s="148" t="inlineStr">
        <is>
          <t>B0DBVYL693</t>
        </is>
      </c>
      <c r="L313" s="148" t="inlineStr">
        <is>
          <t>B0DCC78S4N</t>
        </is>
      </c>
      <c r="M313" s="148" t="n">
        <v>73</v>
      </c>
      <c r="N313" s="148" t="n">
        <v>23.99</v>
      </c>
      <c r="O313" s="148" t="n"/>
      <c r="P313" s="148">
        <f>IF(AND(ISNUMBER(O313),ISNUMBER(N313),N(N313)&gt;0),O313/N313-1,"")</f>
        <v/>
      </c>
      <c r="Q313" s="148" t="n">
        <v>33.95</v>
      </c>
      <c r="R313" s="148">
        <f>IF(AND(ISNUMBER(N313),ISNUMBER(Q313),N(Q313)&gt;0),N313/Q313-1,"")</f>
        <v/>
      </c>
      <c r="S313" s="148" t="n">
        <v>96002</v>
      </c>
      <c r="T313" s="148" t="n">
        <v>18</v>
      </c>
      <c r="U313" s="148" t="n">
        <v>4.2</v>
      </c>
      <c r="V313" s="148" t="n">
        <v>361</v>
      </c>
      <c r="W313" s="148" t="n">
        <v>23278</v>
      </c>
      <c r="X313" s="148" t="n">
        <v>0.4926462797491192</v>
      </c>
      <c r="Y313" s="148" t="n">
        <v>166</v>
      </c>
      <c r="Z313" s="148" t="n">
        <v>64</v>
      </c>
      <c r="AA313" s="148" t="n">
        <v>44</v>
      </c>
      <c r="AB313" s="148" t="n">
        <v>0.5539772727272727</v>
      </c>
      <c r="AC313" s="148" t="inlineStr">
        <is>
          <t>US SSS4</t>
        </is>
      </c>
      <c r="AD313" s="148">
        <f>'US SSS4'!BF164</f>
        <v/>
      </c>
      <c r="AE313" s="148">
        <f>'US SSS4'!BI164</f>
        <v/>
      </c>
      <c r="AF313" s="148" t="inlineStr">
        <is>
          <t>Queen</t>
        </is>
      </c>
      <c r="AG313" s="148" t="inlineStr">
        <is>
          <t>Brown</t>
        </is>
      </c>
      <c r="AH313" s="148">
        <f>AND(E313="CA",OR('CA Dashboard'!$C$4="All",'CA Dashboard'!$C$4=D313),OR('CA Dashboard'!$C$5="All",'CA Dashboard'!$C$5=G313),OR('CA Dashboard'!$C$6="All",'CA Dashboard'!$C$6=H313),OR('CA Dashboard'!$C$7="All",'CA Dashboard'!$C$7=F313),OR('CA Dashboard'!$C$8="All",'CA Dashboard'!$C$8=AJ313))</f>
        <v/>
      </c>
      <c r="AI313" s="148">
        <f>IF(AH313,AI312+1,AI312)</f>
        <v/>
      </c>
      <c r="AJ313" s="148" t="inlineStr">
        <is>
          <t>Direct</t>
        </is>
      </c>
      <c r="AK313" s="148" t="inlineStr">
        <is>
          <t>Same product (sheet set) in the same material family: Satin (polyester) (title: LIFCOM Satin Sheets Queen,4Pcs Bed Set with 15" Deep Pocket); ours: our listing: polyester satin.</t>
        </is>
      </c>
    </row>
    <row r="314">
      <c r="A314" s="148">
        <f>AND(E314="US",OR('US Dashboard'!$C$4="All",'US Dashboard'!$C$4=D314),OR('US Dashboard'!$C$5="All",'US Dashboard'!$C$5=G314),OR('US Dashboard'!$C$6="All",'US Dashboard'!$C$6=H314),OR('US Dashboard'!$C$7="All",'US Dashboard'!$C$7=F314),OR('US Dashboard'!$C$8="All",'US Dashboard'!$C$8=AJ314))</f>
        <v/>
      </c>
      <c r="B314" s="148">
        <f>IF(A314,B313+1,B313)</f>
        <v/>
      </c>
      <c r="C314" s="148" t="n">
        <v>39</v>
      </c>
      <c r="D314" s="148" t="inlineStr">
        <is>
          <t>SSS4</t>
        </is>
      </c>
      <c r="E314" s="148" t="inlineStr">
        <is>
          <t>US</t>
        </is>
      </c>
      <c r="F314" s="148" t="inlineStr">
        <is>
          <t>Satin</t>
        </is>
      </c>
      <c r="G314" s="148" t="inlineStr">
        <is>
          <t>Homiest</t>
        </is>
      </c>
      <c r="H314" s="148" t="inlineStr">
        <is>
          <t>Beatable</t>
        </is>
      </c>
      <c r="I314" s="148" t="inlineStr">
        <is>
          <t>Satin Sheets</t>
        </is>
      </c>
      <c r="J314" s="148" t="inlineStr">
        <is>
          <t>https://images-na.ssl-images-amazon.com/images/I/71Upo7a638S.jpg</t>
        </is>
      </c>
      <c r="K314" s="148" t="inlineStr">
        <is>
          <t>B07XBR22W1</t>
        </is>
      </c>
      <c r="L314" s="148" t="inlineStr">
        <is>
          <t>B0B5Z2B9NN</t>
        </is>
      </c>
      <c r="M314" s="148" t="n">
        <v>70</v>
      </c>
      <c r="N314" s="148" t="n">
        <v>23.99</v>
      </c>
      <c r="O314" s="148" t="n">
        <v>25.99</v>
      </c>
      <c r="P314" s="148">
        <f>IF(AND(ISNUMBER(O314),ISNUMBER(N314),N(N314)&gt;0),O314/N314-1,"")</f>
        <v/>
      </c>
      <c r="Q314" s="148" t="n">
        <v>37.05571428571429</v>
      </c>
      <c r="R314" s="148">
        <f>IF(AND(ISNUMBER(N314),ISNUMBER(Q314),N(Q314)&gt;0),N314/Q314-1,"")</f>
        <v/>
      </c>
      <c r="S314" s="148" t="n">
        <v>28165</v>
      </c>
      <c r="T314" s="148" t="n">
        <v>5</v>
      </c>
      <c r="U314" s="148" t="n">
        <v>4.4</v>
      </c>
      <c r="V314" s="148" t="n">
        <v>12125</v>
      </c>
      <c r="W314" s="148" t="n">
        <v>20002</v>
      </c>
      <c r="X314" s="148" t="n">
        <v>1</v>
      </c>
      <c r="Y314" s="148" t="n">
        <v>197</v>
      </c>
      <c r="Z314" s="148" t="n">
        <v>81</v>
      </c>
      <c r="AA314" s="148" t="n">
        <v>0</v>
      </c>
      <c r="AB314" s="148" t="n"/>
      <c r="AC314" s="148" t="inlineStr">
        <is>
          <t>US SSS4</t>
        </is>
      </c>
      <c r="AD314" s="148">
        <f>'US SSS4'!BF165</f>
        <v/>
      </c>
      <c r="AE314" s="148">
        <f>'US SSS4'!BI165</f>
        <v/>
      </c>
      <c r="AF314" s="148" t="inlineStr">
        <is>
          <t>EXTRA DEEP pocket - Full size</t>
        </is>
      </c>
      <c r="AG314" s="148" t="inlineStr">
        <is>
          <t>Blackish Green</t>
        </is>
      </c>
      <c r="AH314" s="148">
        <f>AND(E314="CA",OR('CA Dashboard'!$C$4="All",'CA Dashboard'!$C$4=D314),OR('CA Dashboard'!$C$5="All",'CA Dashboard'!$C$5=G314),OR('CA Dashboard'!$C$6="All",'CA Dashboard'!$C$6=H314),OR('CA Dashboard'!$C$7="All",'CA Dashboard'!$C$7=F314),OR('CA Dashboard'!$C$8="All",'CA Dashboard'!$C$8=AJ314))</f>
        <v/>
      </c>
      <c r="AI314" s="148">
        <f>IF(AH314,AI313+1,AI313)</f>
        <v/>
      </c>
      <c r="AJ314" s="148" t="inlineStr">
        <is>
          <t>Direct</t>
        </is>
      </c>
      <c r="AK314" s="148" t="inlineStr">
        <is>
          <t>Same product (sheet set) in the same material family: Satin (polyester) (product page material: Satin); ours: our listing: polyester satin.</t>
        </is>
      </c>
    </row>
    <row r="315">
      <c r="A315" s="148">
        <f>AND(E315="US",OR('US Dashboard'!$C$4="All",'US Dashboard'!$C$4=D315),OR('US Dashboard'!$C$5="All",'US Dashboard'!$C$5=G315),OR('US Dashboard'!$C$6="All",'US Dashboard'!$C$6=H315),OR('US Dashboard'!$C$7="All",'US Dashboard'!$C$7=F315),OR('US Dashboard'!$C$8="All",'US Dashboard'!$C$8=AJ315))</f>
        <v/>
      </c>
      <c r="B315" s="148">
        <f>IF(A315,B314+1,B314)</f>
        <v/>
      </c>
      <c r="C315" s="148" t="n">
        <v>39</v>
      </c>
      <c r="D315" s="148" t="inlineStr">
        <is>
          <t>SSS4</t>
        </is>
      </c>
      <c r="E315" s="148" t="inlineStr">
        <is>
          <t>US</t>
        </is>
      </c>
      <c r="F315" s="148" t="inlineStr">
        <is>
          <t>Satin</t>
        </is>
      </c>
      <c r="G315" s="148" t="inlineStr">
        <is>
          <t>FreshCulture</t>
        </is>
      </c>
      <c r="H315" s="148" t="inlineStr">
        <is>
          <t>Poor</t>
        </is>
      </c>
      <c r="I315" s="148" t="inlineStr">
        <is>
          <t>Satin Sheets</t>
        </is>
      </c>
      <c r="J315" s="148" t="inlineStr">
        <is>
          <t>https://images-na.ssl-images-amazon.com/images/I/810d6GzTlfL.jpg</t>
        </is>
      </c>
      <c r="K315" s="148" t="inlineStr">
        <is>
          <t>B0D9B18P6N</t>
        </is>
      </c>
      <c r="L315" s="148" t="inlineStr">
        <is>
          <t>B0D9BD63QH</t>
        </is>
      </c>
      <c r="M315" s="148" t="n">
        <v>54</v>
      </c>
      <c r="N315" s="148" t="n">
        <v>23.99</v>
      </c>
      <c r="O315" s="148" t="n"/>
      <c r="P315" s="148">
        <f>IF(AND(ISNUMBER(O315),ISNUMBER(N315),N(N315)&gt;0),O315/N315-1,"")</f>
        <v/>
      </c>
      <c r="Q315" s="148" t="n">
        <v>31.95</v>
      </c>
      <c r="R315" s="148">
        <f>IF(AND(ISNUMBER(N315),ISNUMBER(Q315),N(Q315)&gt;0),N315/Q315-1,"")</f>
        <v/>
      </c>
      <c r="S315" s="148" t="n">
        <v>17918</v>
      </c>
      <c r="T315" s="148" t="n">
        <v>104</v>
      </c>
      <c r="U315" s="148" t="n">
        <v>4.4</v>
      </c>
      <c r="V315" s="148" t="n">
        <v>780</v>
      </c>
      <c r="W315" s="148" t="n">
        <v>99046</v>
      </c>
      <c r="X315" s="148" t="n">
        <v>0.9634387880378817</v>
      </c>
      <c r="Y315" s="148" t="n">
        <v>85</v>
      </c>
      <c r="Z315" s="148" t="n">
        <v>205</v>
      </c>
      <c r="AA315" s="148" t="n">
        <v>19</v>
      </c>
      <c r="AB315" s="148" t="n"/>
      <c r="AC315" s="148" t="inlineStr">
        <is>
          <t>US SSS4</t>
        </is>
      </c>
      <c r="AD315" s="148">
        <f>'US SSS4'!BF166</f>
        <v/>
      </c>
      <c r="AE315" s="148">
        <f>'US SSS4'!BI166</f>
        <v/>
      </c>
      <c r="AF315" s="148" t="inlineStr">
        <is>
          <t>Full</t>
        </is>
      </c>
      <c r="AG315" s="148" t="inlineStr">
        <is>
          <t>Black</t>
        </is>
      </c>
      <c r="AH315" s="148">
        <f>AND(E315="CA",OR('CA Dashboard'!$C$4="All",'CA Dashboard'!$C$4=D315),OR('CA Dashboard'!$C$5="All",'CA Dashboard'!$C$5=G315),OR('CA Dashboard'!$C$6="All",'CA Dashboard'!$C$6=H315),OR('CA Dashboard'!$C$7="All",'CA Dashboard'!$C$7=F315),OR('CA Dashboard'!$C$8="All",'CA Dashboard'!$C$8=AJ315))</f>
        <v/>
      </c>
      <c r="AI315" s="148">
        <f>IF(AH315,AI314+1,AI314)</f>
        <v/>
      </c>
      <c r="AJ315" s="148" t="inlineStr">
        <is>
          <t>Direct</t>
        </is>
      </c>
      <c r="AK315" s="148" t="inlineStr">
        <is>
          <t>Same product (sheet set) in the same material family: Satin (polyester) (product page material: Polyester Satin); ours: our listing: polyester satin.</t>
        </is>
      </c>
    </row>
    <row r="316">
      <c r="A316" s="148">
        <f>AND(E316="US",OR('US Dashboard'!$C$4="All",'US Dashboard'!$C$4=D316),OR('US Dashboard'!$C$5="All",'US Dashboard'!$C$5=G316),OR('US Dashboard'!$C$6="All",'US Dashboard'!$C$6=H316),OR('US Dashboard'!$C$7="All",'US Dashboard'!$C$7=F316),OR('US Dashboard'!$C$8="All",'US Dashboard'!$C$8=AJ316))</f>
        <v/>
      </c>
      <c r="B316" s="148">
        <f>IF(A316,B315+1,B315)</f>
        <v/>
      </c>
      <c r="C316" s="148" t="n">
        <v>39</v>
      </c>
      <c r="D316" s="148" t="inlineStr">
        <is>
          <t>SSS4</t>
        </is>
      </c>
      <c r="E316" s="148" t="inlineStr">
        <is>
          <t>US</t>
        </is>
      </c>
      <c r="F316" s="148" t="inlineStr">
        <is>
          <t>Satin</t>
        </is>
      </c>
      <c r="G316" s="148" t="inlineStr">
        <is>
          <t>P Pothuiny</t>
        </is>
      </c>
      <c r="H316" s="148" t="inlineStr">
        <is>
          <t>Poor</t>
        </is>
      </c>
      <c r="I316" s="148" t="inlineStr">
        <is>
          <t>P Pothuiny 6-Piece Queen Satin Sheet Set Burgundy Silky Sheets</t>
        </is>
      </c>
      <c r="J316" s="148" t="inlineStr">
        <is>
          <t>https://images-na.ssl-images-amazon.com/images/I/71TbH0l5XfL.jpg</t>
        </is>
      </c>
      <c r="K316" s="148" t="inlineStr">
        <is>
          <t>B096P2MYZQ</t>
        </is>
      </c>
      <c r="L316" s="148" t="inlineStr">
        <is>
          <t>B08QMF6D5W</t>
        </is>
      </c>
      <c r="M316" s="148" t="n">
        <v>47</v>
      </c>
      <c r="N316" s="148" t="n">
        <v>26.99</v>
      </c>
      <c r="O316" s="148" t="n"/>
      <c r="P316" s="148">
        <f>IF(AND(ISNUMBER(O316),ISNUMBER(N316),N(N316)&gt;0),O316/N316-1,"")</f>
        <v/>
      </c>
      <c r="Q316" s="148" t="n">
        <v>33.95</v>
      </c>
      <c r="R316" s="148">
        <f>IF(AND(ISNUMBER(N316),ISNUMBER(Q316),N(Q316)&gt;0),N316/Q316-1,"")</f>
        <v/>
      </c>
      <c r="S316" s="148" t="n">
        <v>20031</v>
      </c>
      <c r="T316" s="148" t="n">
        <v>104</v>
      </c>
      <c r="U316" s="148" t="n">
        <v>4.4</v>
      </c>
      <c r="V316" s="148" t="n">
        <v>4031</v>
      </c>
      <c r="W316" s="148" t="n">
        <v>66544</v>
      </c>
      <c r="X316" s="148" t="n">
        <v>0.9166959214955518</v>
      </c>
      <c r="Y316" s="148" t="n">
        <v>115</v>
      </c>
      <c r="Z316" s="148" t="n">
        <v>172</v>
      </c>
      <c r="AA316" s="148" t="n">
        <v>39</v>
      </c>
      <c r="AB316" s="148" t="n">
        <v>1.171497584541063</v>
      </c>
      <c r="AC316" s="148" t="inlineStr">
        <is>
          <t>US SSS4</t>
        </is>
      </c>
      <c r="AD316" s="148">
        <f>'US SSS4'!BF167</f>
        <v/>
      </c>
      <c r="AE316" s="148">
        <f>'US SSS4'!BI167</f>
        <v/>
      </c>
      <c r="AF316" s="148" t="inlineStr">
        <is>
          <t>Queen</t>
        </is>
      </c>
      <c r="AG316" s="148" t="inlineStr">
        <is>
          <t>Burgundy</t>
        </is>
      </c>
      <c r="AH316" s="148">
        <f>AND(E316="CA",OR('CA Dashboard'!$C$4="All",'CA Dashboard'!$C$4=D316),OR('CA Dashboard'!$C$5="All",'CA Dashboard'!$C$5=G316),OR('CA Dashboard'!$C$6="All",'CA Dashboard'!$C$6=H316),OR('CA Dashboard'!$C$7="All",'CA Dashboard'!$C$7=F316),OR('CA Dashboard'!$C$8="All",'CA Dashboard'!$C$8=AJ316))</f>
        <v/>
      </c>
      <c r="AI316" s="148">
        <f>IF(AH316,AI315+1,AI315)</f>
        <v/>
      </c>
      <c r="AJ316" s="148" t="inlineStr">
        <is>
          <t>Direct</t>
        </is>
      </c>
      <c r="AK316" s="148" t="inlineStr">
        <is>
          <t>Same product (sheet set) in the same material family: Satin (polyester) (title: P Pothuiny 6-Piece Queen Satin Sheet Set Burgundy Silky Shee); ours: our listing: polyester satin.</t>
        </is>
      </c>
    </row>
    <row r="317">
      <c r="A317" s="148">
        <f>AND(E317="US",OR('US Dashboard'!$C$4="All",'US Dashboard'!$C$4=D317),OR('US Dashboard'!$C$5="All",'US Dashboard'!$C$5=G317),OR('US Dashboard'!$C$6="All",'US Dashboard'!$C$6=H317),OR('US Dashboard'!$C$7="All",'US Dashboard'!$C$7=F317),OR('US Dashboard'!$C$8="All",'US Dashboard'!$C$8=AJ317))</f>
        <v/>
      </c>
      <c r="B317" s="148">
        <f>IF(A317,B316+1,B316)</f>
        <v/>
      </c>
      <c r="C317" s="148" t="n">
        <v>39</v>
      </c>
      <c r="D317" s="148" t="inlineStr">
        <is>
          <t>SSS4</t>
        </is>
      </c>
      <c r="E317" s="148" t="inlineStr">
        <is>
          <t>US</t>
        </is>
      </c>
      <c r="F317" s="148" t="inlineStr">
        <is>
          <t>Satin</t>
        </is>
      </c>
      <c r="G317" s="148" t="inlineStr">
        <is>
          <t>Pure Bedding</t>
        </is>
      </c>
      <c r="H317" s="148" t="inlineStr">
        <is>
          <t>Poor</t>
        </is>
      </c>
      <c r="I317" s="148" t="inlineStr">
        <is>
          <t>Pure Bedding Satin Sheets Queen [4-Piece, Black] Hotel Luxury Silky Bed Sheets - Extra Soft 1800 Microfiber Sheet Set, Wrinkle, Fade, Deep Pocket Fitted Sheet, Flat Sheet, Pillow Cases</t>
        </is>
      </c>
      <c r="J317" s="148" t="inlineStr">
        <is>
          <t>https://images-na.ssl-images-amazon.com/images/I/81zLU1W0e8L.jpg</t>
        </is>
      </c>
      <c r="K317" s="148" t="inlineStr">
        <is>
          <t>B0FMPQYB2J</t>
        </is>
      </c>
      <c r="L317" s="148" t="inlineStr">
        <is>
          <t>B083G81VSH</t>
        </is>
      </c>
      <c r="M317" s="148" t="n">
        <v>146</v>
      </c>
      <c r="N317" s="148" t="n">
        <v>20.99</v>
      </c>
      <c r="O317" s="148" t="n"/>
      <c r="P317" s="148">
        <f>IF(AND(ISNUMBER(O317),ISNUMBER(N317),N(N317)&gt;0),O317/N317-1,"")</f>
        <v/>
      </c>
      <c r="Q317" s="148" t="n">
        <v>33.95</v>
      </c>
      <c r="R317" s="148">
        <f>IF(AND(ISNUMBER(N317),ISNUMBER(Q317),N(Q317)&gt;0),N317/Q317-1,"")</f>
        <v/>
      </c>
      <c r="S317" s="148" t="n">
        <v>30991</v>
      </c>
      <c r="T317" s="148" t="n">
        <v>92</v>
      </c>
      <c r="U317" s="148" t="n">
        <v>4.4</v>
      </c>
      <c r="V317" s="148" t="n">
        <v>9828</v>
      </c>
      <c r="W317" s="148" t="n">
        <v>119531</v>
      </c>
      <c r="X317" s="148" t="n">
        <v>0.6204180681162206</v>
      </c>
      <c r="Y317" s="148" t="n">
        <v>123</v>
      </c>
      <c r="Z317" s="148" t="n">
        <v>173</v>
      </c>
      <c r="AA317" s="148" t="n">
        <v>211</v>
      </c>
      <c r="AB317" s="148" t="n">
        <v>0.7574960547080484</v>
      </c>
      <c r="AC317" s="148" t="inlineStr">
        <is>
          <t>US SSS4</t>
        </is>
      </c>
      <c r="AD317" s="148">
        <f>'US SSS4'!BF168</f>
        <v/>
      </c>
      <c r="AE317" s="148">
        <f>'US SSS4'!BI168</f>
        <v/>
      </c>
      <c r="AF317" s="148" t="inlineStr">
        <is>
          <t>Queen</t>
        </is>
      </c>
      <c r="AG317" s="148" t="inlineStr">
        <is>
          <t>Black</t>
        </is>
      </c>
      <c r="AH317" s="148">
        <f>AND(E317="CA",OR('CA Dashboard'!$C$4="All",'CA Dashboard'!$C$4=D317),OR('CA Dashboard'!$C$5="All",'CA Dashboard'!$C$5=G317),OR('CA Dashboard'!$C$6="All",'CA Dashboard'!$C$6=H317),OR('CA Dashboard'!$C$7="All",'CA Dashboard'!$C$7=F317),OR('CA Dashboard'!$C$8="All",'CA Dashboard'!$C$8=AJ317))</f>
        <v/>
      </c>
      <c r="AI317" s="148">
        <f>IF(AH317,AI316+1,AI316)</f>
        <v/>
      </c>
      <c r="AJ317" s="148" t="inlineStr">
        <is>
          <t>Direct</t>
        </is>
      </c>
      <c r="AK317" s="148" t="inlineStr">
        <is>
          <t>Same product (sheet set) in the same material family: Satin (polyester) (title: Pure Bedding Satin Sheets Queen [4-Piece, Black] Hotel Luxur); ours: our listing: polyester satin.</t>
        </is>
      </c>
    </row>
    <row r="318">
      <c r="A318" s="148">
        <f>AND(E318="US",OR('US Dashboard'!$C$4="All",'US Dashboard'!$C$4=D318),OR('US Dashboard'!$C$5="All",'US Dashboard'!$C$5=G318),OR('US Dashboard'!$C$6="All",'US Dashboard'!$C$6=H318),OR('US Dashboard'!$C$7="All",'US Dashboard'!$C$7=F318),OR('US Dashboard'!$C$8="All",'US Dashboard'!$C$8=AJ318))</f>
        <v/>
      </c>
      <c r="B318" s="148">
        <f>IF(A318,B317+1,B317)</f>
        <v/>
      </c>
      <c r="C318" s="148" t="n">
        <v>39</v>
      </c>
      <c r="D318" s="148" t="inlineStr">
        <is>
          <t>SSS4</t>
        </is>
      </c>
      <c r="E318" s="148" t="inlineStr">
        <is>
          <t>US</t>
        </is>
      </c>
      <c r="F318" s="148" t="inlineStr">
        <is>
          <t>Satin</t>
        </is>
      </c>
      <c r="G318" s="148" t="inlineStr">
        <is>
          <t>VACVELT</t>
        </is>
      </c>
      <c r="H318" s="148" t="inlineStr">
        <is>
          <t>Poor</t>
        </is>
      </c>
      <c r="I318" s="148" t="inlineStr">
        <is>
          <t>VACVELT 3pcs Queen Black Extra Deep Pocket Satin Fitted Sheet Set</t>
        </is>
      </c>
      <c r="J318" s="148" t="inlineStr">
        <is>
          <t>https://images-na.ssl-images-amazon.com/images/I/71d2-R2XfJL.jpg</t>
        </is>
      </c>
      <c r="K318" s="148" t="inlineStr">
        <is>
          <t>B0BWJ4PYLN</t>
        </is>
      </c>
      <c r="L318" s="148" t="inlineStr">
        <is>
          <t>B0BWJ4MLLZ</t>
        </is>
      </c>
      <c r="M318" s="148" t="n">
        <v>40</v>
      </c>
      <c r="N318" s="148" t="n">
        <v>18.99</v>
      </c>
      <c r="O318" s="148" t="n"/>
      <c r="P318" s="148">
        <f>IF(AND(ISNUMBER(O318),ISNUMBER(N318),N(N318)&gt;0),O318/N318-1,"")</f>
        <v/>
      </c>
      <c r="Q318" s="148" t="n">
        <v>33.95</v>
      </c>
      <c r="R318" s="148">
        <f>IF(AND(ISNUMBER(N318),ISNUMBER(Q318),N(Q318)&gt;0),N318/Q318-1,"")</f>
        <v/>
      </c>
      <c r="S318" s="148" t="n">
        <v>49291</v>
      </c>
      <c r="T318" s="148" t="n">
        <v>92</v>
      </c>
      <c r="U318" s="148" t="n">
        <v>4.2</v>
      </c>
      <c r="V318" s="148" t="n">
        <v>747</v>
      </c>
      <c r="W318" s="148" t="n">
        <v>25451</v>
      </c>
      <c r="X318" s="148" t="n">
        <v>0.9999606773800636</v>
      </c>
      <c r="Y318" s="148" t="n">
        <v>147</v>
      </c>
      <c r="Z318" s="148" t="n">
        <v>79</v>
      </c>
      <c r="AA318" s="148" t="n">
        <v>1</v>
      </c>
      <c r="AB318" s="148" t="n">
        <v>1.145341614906832</v>
      </c>
      <c r="AC318" s="148" t="inlineStr">
        <is>
          <t>US SSS4</t>
        </is>
      </c>
      <c r="AD318" s="148">
        <f>'US SSS4'!BF169</f>
        <v/>
      </c>
      <c r="AE318" s="148">
        <f>'US SSS4'!BI169</f>
        <v/>
      </c>
      <c r="AF318" s="148" t="inlineStr">
        <is>
          <t>Queen</t>
        </is>
      </c>
      <c r="AG318" s="148" t="inlineStr">
        <is>
          <t>Black</t>
        </is>
      </c>
      <c r="AH318" s="148">
        <f>AND(E318="CA",OR('CA Dashboard'!$C$4="All",'CA Dashboard'!$C$4=D318),OR('CA Dashboard'!$C$5="All",'CA Dashboard'!$C$5=G318),OR('CA Dashboard'!$C$6="All",'CA Dashboard'!$C$6=H318),OR('CA Dashboard'!$C$7="All",'CA Dashboard'!$C$7=F318),OR('CA Dashboard'!$C$8="All",'CA Dashboard'!$C$8=AJ318))</f>
        <v/>
      </c>
      <c r="AI318" s="148">
        <f>IF(AH318,AI317+1,AI317)</f>
        <v/>
      </c>
      <c r="AJ318" s="148" t="inlineStr">
        <is>
          <t>Direct</t>
        </is>
      </c>
      <c r="AK318" s="148" t="inlineStr">
        <is>
          <t>Same product (sheet set) in the same material family: Satin (polyester) (title: VACVELT 3pcs Queen Black Extra Deep Pocket Satin Fitted Shee); ours: our listing: polyester satin.</t>
        </is>
      </c>
    </row>
    <row r="319">
      <c r="A319" s="148">
        <f>AND(E319="US",OR('US Dashboard'!$C$4="All",'US Dashboard'!$C$4=D319),OR('US Dashboard'!$C$5="All",'US Dashboard'!$C$5=G319),OR('US Dashboard'!$C$6="All",'US Dashboard'!$C$6=H319),OR('US Dashboard'!$C$7="All",'US Dashboard'!$C$7=F319),OR('US Dashboard'!$C$8="All",'US Dashboard'!$C$8=AJ319))</f>
        <v/>
      </c>
      <c r="B319" s="148">
        <f>IF(A319,B318+1,B318)</f>
        <v/>
      </c>
      <c r="C319" s="148" t="n">
        <v>39</v>
      </c>
      <c r="D319" s="148" t="inlineStr">
        <is>
          <t>SSS4</t>
        </is>
      </c>
      <c r="E319" s="148" t="inlineStr">
        <is>
          <t>US</t>
        </is>
      </c>
      <c r="F319" s="148" t="inlineStr">
        <is>
          <t>Satin</t>
        </is>
      </c>
      <c r="G319" s="148" t="inlineStr">
        <is>
          <t>Horbaunal</t>
        </is>
      </c>
      <c r="H319" s="148" t="inlineStr">
        <is>
          <t>Poor</t>
        </is>
      </c>
      <c r="I319" s="148" t="inlineStr">
        <is>
          <t>Horbaunal 6 Piece Satin Sheet Set Queen, Emerald Green Queen Bed Sheets</t>
        </is>
      </c>
      <c r="J319" s="148" t="inlineStr">
        <is>
          <t>https://images-na.ssl-images-amazon.com/images/I/813TGJ9FKjL.jpg</t>
        </is>
      </c>
      <c r="K319" s="148" t="inlineStr">
        <is>
          <t>B0B4MQCT87</t>
        </is>
      </c>
      <c r="L319" s="148" t="inlineStr">
        <is>
          <t>B0B4MQ1PP1</t>
        </is>
      </c>
      <c r="M319" s="148" t="n">
        <v>23</v>
      </c>
      <c r="N319" s="148" t="n">
        <v>28.99</v>
      </c>
      <c r="O319" s="148" t="n"/>
      <c r="P319" s="148">
        <f>IF(AND(ISNUMBER(O319),ISNUMBER(N319),N(N319)&gt;0),O319/N319-1,"")</f>
        <v/>
      </c>
      <c r="Q319" s="148" t="n">
        <v>33.95</v>
      </c>
      <c r="R319" s="148">
        <f>IF(AND(ISNUMBER(N319),ISNUMBER(Q319),N(Q319)&gt;0),N319/Q319-1,"")</f>
        <v/>
      </c>
      <c r="S319" s="148" t="n">
        <v>110638</v>
      </c>
      <c r="T319" s="148" t="n">
        <v>35</v>
      </c>
      <c r="U319" s="148" t="n">
        <v>4.4</v>
      </c>
      <c r="V319" s="148" t="n">
        <v>772</v>
      </c>
      <c r="W319" s="148" t="n"/>
      <c r="X319" s="148" t="n"/>
      <c r="Y319" s="148" t="n"/>
      <c r="Z319" s="148" t="n"/>
      <c r="AA319" s="148" t="n"/>
      <c r="AB319" s="148" t="n"/>
      <c r="AC319" s="148" t="inlineStr">
        <is>
          <t>US SSS4</t>
        </is>
      </c>
      <c r="AD319" s="148">
        <f>'US SSS4'!BF170</f>
        <v/>
      </c>
      <c r="AE319" s="148">
        <f>'US SSS4'!BI170</f>
        <v/>
      </c>
      <c r="AF319" s="148" t="inlineStr">
        <is>
          <t>Queen</t>
        </is>
      </c>
      <c r="AG319" s="148" t="inlineStr">
        <is>
          <t>Green</t>
        </is>
      </c>
      <c r="AH319" s="148">
        <f>AND(E319="CA",OR('CA Dashboard'!$C$4="All",'CA Dashboard'!$C$4=D319),OR('CA Dashboard'!$C$5="All",'CA Dashboard'!$C$5=G319),OR('CA Dashboard'!$C$6="All",'CA Dashboard'!$C$6=H319),OR('CA Dashboard'!$C$7="All",'CA Dashboard'!$C$7=F319),OR('CA Dashboard'!$C$8="All",'CA Dashboard'!$C$8=AJ319))</f>
        <v/>
      </c>
      <c r="AI319" s="148">
        <f>IF(AH319,AI318+1,AI318)</f>
        <v/>
      </c>
      <c r="AJ319" s="148" t="inlineStr">
        <is>
          <t>Direct</t>
        </is>
      </c>
      <c r="AK319" s="148" t="inlineStr">
        <is>
          <t>Same product (sheet set) in the same material family: Satin (polyester) (title: Horbaunal 6 Piece Satin Sheet Set Queen, Emerald Green Queen); ours: our listing: polyester satin.</t>
        </is>
      </c>
    </row>
    <row r="320">
      <c r="A320" s="148">
        <f>AND(E320="US",OR('US Dashboard'!$C$4="All",'US Dashboard'!$C$4=D320),OR('US Dashboard'!$C$5="All",'US Dashboard'!$C$5=G320),OR('US Dashboard'!$C$6="All",'US Dashboard'!$C$6=H320),OR('US Dashboard'!$C$7="All",'US Dashboard'!$C$7=F320),OR('US Dashboard'!$C$8="All",'US Dashboard'!$C$8=AJ320))</f>
        <v/>
      </c>
      <c r="B320" s="148">
        <f>IF(A320,B319+1,B319)</f>
        <v/>
      </c>
      <c r="C320" s="148" t="n">
        <v>39</v>
      </c>
      <c r="D320" s="148" t="inlineStr">
        <is>
          <t>SSS4</t>
        </is>
      </c>
      <c r="E320" s="148" t="inlineStr">
        <is>
          <t>US</t>
        </is>
      </c>
      <c r="F320" s="148" t="inlineStr">
        <is>
          <t>Satin</t>
        </is>
      </c>
      <c r="G320" s="148" t="inlineStr">
        <is>
          <t>VACVELT</t>
        </is>
      </c>
      <c r="H320" s="148" t="inlineStr">
        <is>
          <t>Poor</t>
        </is>
      </c>
      <c r="I320" s="148" t="inlineStr">
        <is>
          <t>Satin Sheets</t>
        </is>
      </c>
      <c r="J320" s="148" t="inlineStr">
        <is>
          <t>https://m.media-amazon.com/images/I/81Ct-nDEEnL._AC_SL1500_.jpg</t>
        </is>
      </c>
      <c r="K320" s="148" t="inlineStr">
        <is>
          <t>B0C9T1VY8J</t>
        </is>
      </c>
      <c r="L320" s="148" t="inlineStr">
        <is>
          <t>B0C1GJZB6F</t>
        </is>
      </c>
      <c r="M320" s="148" t="n">
        <v>35</v>
      </c>
      <c r="N320" s="148" t="n">
        <v>21.99</v>
      </c>
      <c r="O320" s="148" t="n"/>
      <c r="P320" s="148">
        <f>IF(AND(ISNUMBER(O320),ISNUMBER(N320),N(N320)&gt;0),O320/N320-1,"")</f>
        <v/>
      </c>
      <c r="Q320" s="148" t="n">
        <v>31.95</v>
      </c>
      <c r="R320" s="148">
        <f>IF(AND(ISNUMBER(N320),ISNUMBER(Q320),N(Q320)&gt;0),N320/Q320-1,"")</f>
        <v/>
      </c>
      <c r="S320" s="148" t="n">
        <v>57010</v>
      </c>
      <c r="T320" s="148" t="n">
        <v>35</v>
      </c>
      <c r="U320" s="148" t="n">
        <v>4.5</v>
      </c>
      <c r="V320" s="148" t="n">
        <v>1017</v>
      </c>
      <c r="W320" s="148" t="n">
        <v>23621</v>
      </c>
      <c r="X320" s="148" t="n">
        <v>0.9628617755387157</v>
      </c>
      <c r="Y320" s="148" t="n">
        <v>181</v>
      </c>
      <c r="Z320" s="148" t="n">
        <v>82</v>
      </c>
      <c r="AA320" s="148" t="n">
        <v>15</v>
      </c>
      <c r="AB320" s="148" t="n">
        <v>1</v>
      </c>
      <c r="AC320" s="148" t="inlineStr">
        <is>
          <t>US SSS4</t>
        </is>
      </c>
      <c r="AD320" s="148">
        <f>'US SSS4'!BF171</f>
        <v/>
      </c>
      <c r="AE320" s="148">
        <f>'US SSS4'!BI171</f>
        <v/>
      </c>
      <c r="AF320" s="148" t="inlineStr">
        <is>
          <t>Full</t>
        </is>
      </c>
      <c r="AG320" s="148" t="inlineStr">
        <is>
          <t>Hot Pink</t>
        </is>
      </c>
      <c r="AH320" s="148">
        <f>AND(E320="CA",OR('CA Dashboard'!$C$4="All",'CA Dashboard'!$C$4=D320),OR('CA Dashboard'!$C$5="All",'CA Dashboard'!$C$5=G320),OR('CA Dashboard'!$C$6="All",'CA Dashboard'!$C$6=H320),OR('CA Dashboard'!$C$7="All",'CA Dashboard'!$C$7=F320),OR('CA Dashboard'!$C$8="All",'CA Dashboard'!$C$8=AJ320))</f>
        <v/>
      </c>
      <c r="AI320" s="148">
        <f>IF(AH320,AI319+1,AI319)</f>
        <v/>
      </c>
      <c r="AJ320" s="148" t="inlineStr">
        <is>
          <t>Direct</t>
        </is>
      </c>
      <c r="AK320" s="148" t="inlineStr">
        <is>
          <t>Same product (sheet set) in the same material family: Satin (polyester) (product page material: Satin); ours: our listing: polyester satin.</t>
        </is>
      </c>
    </row>
    <row r="321">
      <c r="A321" s="148">
        <f>AND(E321="US",OR('US Dashboard'!$C$4="All",'US Dashboard'!$C$4=D321),OR('US Dashboard'!$C$5="All",'US Dashboard'!$C$5=G321),OR('US Dashboard'!$C$6="All",'US Dashboard'!$C$6=H321),OR('US Dashboard'!$C$7="All",'US Dashboard'!$C$7=F321),OR('US Dashboard'!$C$8="All",'US Dashboard'!$C$8=AJ321))</f>
        <v/>
      </c>
      <c r="B321" s="148">
        <f>IF(A321,B320+1,B320)</f>
        <v/>
      </c>
      <c r="C321" s="148" t="n">
        <v>39</v>
      </c>
      <c r="D321" s="148" t="inlineStr">
        <is>
          <t>SSS4</t>
        </is>
      </c>
      <c r="E321" s="148" t="inlineStr">
        <is>
          <t>US</t>
        </is>
      </c>
      <c r="F321" s="148" t="inlineStr">
        <is>
          <t>Satin</t>
        </is>
      </c>
      <c r="G321" s="148" t="inlineStr">
        <is>
          <t>Homiest</t>
        </is>
      </c>
      <c r="H321" s="148" t="inlineStr">
        <is>
          <t>Poor</t>
        </is>
      </c>
      <c r="I321" s="148" t="inlineStr">
        <is>
          <t>Satin Sheets</t>
        </is>
      </c>
      <c r="J321" s="148" t="inlineStr">
        <is>
          <t>https://m.media-amazon.com/images/I/71NLoiG0PKL._AC_SL1500_.jpg</t>
        </is>
      </c>
      <c r="K321" s="148" t="inlineStr">
        <is>
          <t>B0DYJKM99H</t>
        </is>
      </c>
      <c r="L321" s="148" t="inlineStr">
        <is>
          <t>B0DYJHHJQL</t>
        </is>
      </c>
      <c r="M321" s="148" t="n"/>
      <c r="N321" s="148" t="n">
        <v>27.99</v>
      </c>
      <c r="O321" s="148" t="n"/>
      <c r="P321" s="148">
        <f>IF(AND(ISNUMBER(O321),ISNUMBER(N321),N(N321)&gt;0),O321/N321-1,"")</f>
        <v/>
      </c>
      <c r="Q321" s="148" t="n">
        <v>33.95</v>
      </c>
      <c r="R321" s="148">
        <f>IF(AND(ISNUMBER(N321),ISNUMBER(Q321),N(Q321)&gt;0),N321/Q321-1,"")</f>
        <v/>
      </c>
      <c r="S321" s="148" t="n">
        <v>89437</v>
      </c>
      <c r="T321" s="148" t="n">
        <v>18</v>
      </c>
      <c r="U321" s="148" t="n">
        <v>4.5</v>
      </c>
      <c r="V321" s="148" t="n">
        <v>205</v>
      </c>
      <c r="W321" s="148" t="n"/>
      <c r="X321" s="148" t="n"/>
      <c r="Y321" s="148" t="n"/>
      <c r="Z321" s="148" t="n"/>
      <c r="AA321" s="148" t="n"/>
      <c r="AB321" s="148" t="n"/>
      <c r="AC321" s="148" t="inlineStr">
        <is>
          <t>US SSS4</t>
        </is>
      </c>
      <c r="AD321" s="148">
        <f>'US SSS4'!BF172</f>
        <v/>
      </c>
      <c r="AE321" s="148">
        <f>'US SSS4'!BI172</f>
        <v/>
      </c>
      <c r="AF321" s="148" t="inlineStr">
        <is>
          <t>Queen</t>
        </is>
      </c>
      <c r="AG321" s="148" t="inlineStr">
        <is>
          <t>Blush Pink</t>
        </is>
      </c>
      <c r="AH321" s="148">
        <f>AND(E321="CA",OR('CA Dashboard'!$C$4="All",'CA Dashboard'!$C$4=D321),OR('CA Dashboard'!$C$5="All",'CA Dashboard'!$C$5=G321),OR('CA Dashboard'!$C$6="All",'CA Dashboard'!$C$6=H321),OR('CA Dashboard'!$C$7="All",'CA Dashboard'!$C$7=F321),OR('CA Dashboard'!$C$8="All",'CA Dashboard'!$C$8=AJ321))</f>
        <v/>
      </c>
      <c r="AI321" s="148">
        <f>IF(AH321,AI320+1,AI320)</f>
        <v/>
      </c>
      <c r="AJ321" s="148" t="inlineStr">
        <is>
          <t>Direct</t>
        </is>
      </c>
      <c r="AK321" s="148" t="inlineStr">
        <is>
          <t>Same product (sheet set) in the same material family: Satin (polyester) (product page material: Satin); ours: our listing: polyester satin.</t>
        </is>
      </c>
    </row>
    <row r="322">
      <c r="A322" s="148">
        <f>AND(E322="US",OR('US Dashboard'!$C$4="All",'US Dashboard'!$C$4=D322),OR('US Dashboard'!$C$5="All",'US Dashboard'!$C$5=G322),OR('US Dashboard'!$C$6="All",'US Dashboard'!$C$6=H322),OR('US Dashboard'!$C$7="All",'US Dashboard'!$C$7=F322),OR('US Dashboard'!$C$8="All",'US Dashboard'!$C$8=AJ322))</f>
        <v/>
      </c>
      <c r="B322" s="148">
        <f>IF(A322,B321+1,B321)</f>
        <v/>
      </c>
      <c r="C322" s="148" t="n">
        <v>39</v>
      </c>
      <c r="D322" s="148" t="inlineStr">
        <is>
          <t>SSS4</t>
        </is>
      </c>
      <c r="E322" s="148" t="inlineStr">
        <is>
          <t>US</t>
        </is>
      </c>
      <c r="F322" s="148" t="inlineStr">
        <is>
          <t>Satin</t>
        </is>
      </c>
      <c r="G322" s="148" t="inlineStr">
        <is>
          <t>HommxJF</t>
        </is>
      </c>
      <c r="H322" s="148" t="inlineStr">
        <is>
          <t>Poor</t>
        </is>
      </c>
      <c r="I322" s="148" t="inlineStr">
        <is>
          <t>Satin Sheets</t>
        </is>
      </c>
      <c r="J322" s="148" t="inlineStr">
        <is>
          <t>https://m.media-amazon.com/images/I/91BOC0gJVXL._AC_SL1500_.jpg</t>
        </is>
      </c>
      <c r="K322" s="148" t="inlineStr">
        <is>
          <t>B0BJZT93SL</t>
        </is>
      </c>
      <c r="L322" s="148" t="inlineStr">
        <is>
          <t>B09V52BVJB</t>
        </is>
      </c>
      <c r="M322" s="148" t="n">
        <v>32</v>
      </c>
      <c r="N322" s="148" t="n">
        <v>24.99</v>
      </c>
      <c r="O322" s="148" t="n"/>
      <c r="P322" s="148">
        <f>IF(AND(ISNUMBER(O322),ISNUMBER(N322),N(N322)&gt;0),O322/N322-1,"")</f>
        <v/>
      </c>
      <c r="Q322" s="148" t="n">
        <v>31.95</v>
      </c>
      <c r="R322" s="148">
        <f>IF(AND(ISNUMBER(N322),ISNUMBER(Q322),N(Q322)&gt;0),N322/Q322-1,"")</f>
        <v/>
      </c>
      <c r="S322" s="148" t="n">
        <v>180867</v>
      </c>
      <c r="T322" s="148" t="n">
        <v>18</v>
      </c>
      <c r="U322" s="148" t="n">
        <v>4.3</v>
      </c>
      <c r="V322" s="148" t="n">
        <v>1032</v>
      </c>
      <c r="W322" s="148" t="n">
        <v>16567</v>
      </c>
      <c r="X322" s="148" t="n">
        <v>0.8554338745699279</v>
      </c>
      <c r="Y322" s="148" t="n">
        <v>164</v>
      </c>
      <c r="Z322" s="148" t="n">
        <v>68</v>
      </c>
      <c r="AA322" s="148" t="n">
        <v>33</v>
      </c>
      <c r="AB322" s="148" t="n">
        <v>1.017857142857143</v>
      </c>
      <c r="AC322" s="148" t="inlineStr">
        <is>
          <t>US SSS4</t>
        </is>
      </c>
      <c r="AD322" s="148">
        <f>'US SSS4'!BF173</f>
        <v/>
      </c>
      <c r="AE322" s="148">
        <f>'US SSS4'!BI173</f>
        <v/>
      </c>
      <c r="AF322" s="148" t="inlineStr">
        <is>
          <t>Full</t>
        </is>
      </c>
      <c r="AG322" s="148" t="inlineStr">
        <is>
          <t>Blush Pink</t>
        </is>
      </c>
      <c r="AH322" s="148">
        <f>AND(E322="CA",OR('CA Dashboard'!$C$4="All",'CA Dashboard'!$C$4=D322),OR('CA Dashboard'!$C$5="All",'CA Dashboard'!$C$5=G322),OR('CA Dashboard'!$C$6="All",'CA Dashboard'!$C$6=H322),OR('CA Dashboard'!$C$7="All",'CA Dashboard'!$C$7=F322),OR('CA Dashboard'!$C$8="All",'CA Dashboard'!$C$8=AJ322))</f>
        <v/>
      </c>
      <c r="AI322" s="148">
        <f>IF(AH322,AI321+1,AI321)</f>
        <v/>
      </c>
      <c r="AJ322" s="148" t="inlineStr">
        <is>
          <t>Direct</t>
        </is>
      </c>
      <c r="AK322" s="148" t="inlineStr">
        <is>
          <t>Same product (sheet set) in the same material family: Satin (polyester) (product page material: Satin); ours: our listing: polyester satin.</t>
        </is>
      </c>
    </row>
    <row r="323">
      <c r="A323" s="148">
        <f>AND(E323="US",OR('US Dashboard'!$C$4="All",'US Dashboard'!$C$4=D323),OR('US Dashboard'!$C$5="All",'US Dashboard'!$C$5=G323),OR('US Dashboard'!$C$6="All",'US Dashboard'!$C$6=H323),OR('US Dashboard'!$C$7="All",'US Dashboard'!$C$7=F323),OR('US Dashboard'!$C$8="All",'US Dashboard'!$C$8=AJ323))</f>
        <v/>
      </c>
      <c r="B323" s="148">
        <f>IF(A323,B322+1,B322)</f>
        <v/>
      </c>
      <c r="C323" s="148" t="n">
        <v>39</v>
      </c>
      <c r="D323" s="148" t="inlineStr">
        <is>
          <t>SSS4</t>
        </is>
      </c>
      <c r="E323" s="148" t="inlineStr">
        <is>
          <t>US</t>
        </is>
      </c>
      <c r="F323" s="148" t="inlineStr">
        <is>
          <t>Satin</t>
        </is>
      </c>
      <c r="G323" s="148" t="inlineStr">
        <is>
          <t>MK Home</t>
        </is>
      </c>
      <c r="H323" s="148" t="inlineStr">
        <is>
          <t>Poor</t>
        </is>
      </c>
      <c r="I323" s="148" t="inlineStr">
        <is>
          <t>Satin Sheets</t>
        </is>
      </c>
      <c r="J323" s="148" t="inlineStr">
        <is>
          <t>https://m.media-amazon.com/images/I/71ImrNlbFKL._AC_SL1500_.jpg</t>
        </is>
      </c>
      <c r="K323" s="148" t="inlineStr">
        <is>
          <t>B07H522QXD</t>
        </is>
      </c>
      <c r="L323" s="148" t="inlineStr">
        <is>
          <t>B07FGFRZ94</t>
        </is>
      </c>
      <c r="M323" s="148" t="n"/>
      <c r="N323" s="148" t="n">
        <v>18.99</v>
      </c>
      <c r="O323" s="148" t="n"/>
      <c r="P323" s="148">
        <f>IF(AND(ISNUMBER(O323),ISNUMBER(N323),N(N323)&gt;0),O323/N323-1,"")</f>
        <v/>
      </c>
      <c r="Q323" s="148" t="n">
        <v>33.95</v>
      </c>
      <c r="R323" s="148">
        <f>IF(AND(ISNUMBER(N323),ISNUMBER(Q323),N(Q323)&gt;0),N323/Q323-1,"")</f>
        <v/>
      </c>
      <c r="S323" s="148" t="n">
        <v>59039</v>
      </c>
      <c r="T323" s="148" t="n">
        <v>18</v>
      </c>
      <c r="U323" s="148" t="n">
        <v>4.3</v>
      </c>
      <c r="V323" s="148" t="n">
        <v>10761</v>
      </c>
      <c r="W323" s="148" t="n"/>
      <c r="X323" s="148" t="n"/>
      <c r="Y323" s="148" t="n"/>
      <c r="Z323" s="148" t="n"/>
      <c r="AA323" s="148" t="n"/>
      <c r="AB323" s="148" t="n"/>
      <c r="AC323" s="148" t="inlineStr">
        <is>
          <t>US SSS4</t>
        </is>
      </c>
      <c r="AD323" s="148">
        <f>'US SSS4'!BF174</f>
        <v/>
      </c>
      <c r="AE323" s="148">
        <f>'US SSS4'!BI174</f>
        <v/>
      </c>
      <c r="AF323" s="148" t="inlineStr">
        <is>
          <t>Queen</t>
        </is>
      </c>
      <c r="AG323" s="148" t="inlineStr">
        <is>
          <t>Red</t>
        </is>
      </c>
      <c r="AH323" s="148">
        <f>AND(E323="CA",OR('CA Dashboard'!$C$4="All",'CA Dashboard'!$C$4=D323),OR('CA Dashboard'!$C$5="All",'CA Dashboard'!$C$5=G323),OR('CA Dashboard'!$C$6="All",'CA Dashboard'!$C$6=H323),OR('CA Dashboard'!$C$7="All",'CA Dashboard'!$C$7=F323),OR('CA Dashboard'!$C$8="All",'CA Dashboard'!$C$8=AJ323))</f>
        <v/>
      </c>
      <c r="AI323" s="148">
        <f>IF(AH323,AI322+1,AI322)</f>
        <v/>
      </c>
      <c r="AJ323" s="148" t="inlineStr">
        <is>
          <t>Direct</t>
        </is>
      </c>
      <c r="AK323" s="148" t="inlineStr">
        <is>
          <t>Same product (sheet set) in the same material family: Satin (polyester) (product page material: Soft Silky Satin); ours: our listing: polyester satin.</t>
        </is>
      </c>
    </row>
    <row r="324">
      <c r="A324" s="148">
        <f>AND(E324="US",OR('US Dashboard'!$C$4="All",'US Dashboard'!$C$4=D324),OR('US Dashboard'!$C$5="All",'US Dashboard'!$C$5=G324),OR('US Dashboard'!$C$6="All",'US Dashboard'!$C$6=H324),OR('US Dashboard'!$C$7="All",'US Dashboard'!$C$7=F324),OR('US Dashboard'!$C$8="All",'US Dashboard'!$C$8=AJ324))</f>
        <v/>
      </c>
      <c r="B324" s="148">
        <f>IF(A324,B323+1,B323)</f>
        <v/>
      </c>
      <c r="C324" s="148" t="n">
        <v>39</v>
      </c>
      <c r="D324" s="148" t="inlineStr">
        <is>
          <t>SSS4</t>
        </is>
      </c>
      <c r="E324" s="148" t="inlineStr">
        <is>
          <t>US</t>
        </is>
      </c>
      <c r="F324" s="148" t="inlineStr">
        <is>
          <t>Satin</t>
        </is>
      </c>
      <c r="G324" s="148" t="inlineStr">
        <is>
          <t>VACVELT</t>
        </is>
      </c>
      <c r="H324" s="148" t="inlineStr">
        <is>
          <t>Poor</t>
        </is>
      </c>
      <c r="I324" s="148" t="inlineStr">
        <is>
          <t>Satin Sheets</t>
        </is>
      </c>
      <c r="J324" s="148" t="inlineStr">
        <is>
          <t>https://m.media-amazon.com/images/I/61ShIpqvBXL._AC_SL1500_.jpg</t>
        </is>
      </c>
      <c r="K324" s="148" t="inlineStr">
        <is>
          <t>B0F7XQDVJY</t>
        </is>
      </c>
      <c r="L324" s="148" t="inlineStr">
        <is>
          <t>B0F7XRNKQY</t>
        </is>
      </c>
      <c r="M324" s="148" t="n">
        <v>31</v>
      </c>
      <c r="N324" s="148" t="n">
        <v>17.99</v>
      </c>
      <c r="O324" s="148" t="n"/>
      <c r="P324" s="148">
        <f>IF(AND(ISNUMBER(O324),ISNUMBER(N324),N(N324)&gt;0),O324/N324-1,"")</f>
        <v/>
      </c>
      <c r="Q324" s="148" t="n">
        <v>33.95</v>
      </c>
      <c r="R324" s="148">
        <f>IF(AND(ISNUMBER(N324),ISNUMBER(Q324),N(Q324)&gt;0),N324/Q324-1,"")</f>
        <v/>
      </c>
      <c r="S324" s="148" t="n">
        <v>79028</v>
      </c>
      <c r="T324" s="148" t="n">
        <v>18</v>
      </c>
      <c r="U324" s="148" t="n">
        <v>4.4</v>
      </c>
      <c r="V324" s="148" t="n">
        <v>209</v>
      </c>
      <c r="W324" s="148" t="n">
        <v>21912</v>
      </c>
      <c r="X324" s="148" t="n">
        <v>0.9845742834976268</v>
      </c>
      <c r="Y324" s="148" t="n">
        <v>166</v>
      </c>
      <c r="Z324" s="148" t="n">
        <v>84</v>
      </c>
      <c r="AA324" s="148" t="n">
        <v>10</v>
      </c>
      <c r="AB324" s="148" t="n">
        <v>1.707818930041152</v>
      </c>
      <c r="AC324" s="148" t="inlineStr">
        <is>
          <t>US SSS4</t>
        </is>
      </c>
      <c r="AD324" s="148">
        <f>'US SSS4'!BF175</f>
        <v/>
      </c>
      <c r="AE324" s="148">
        <f>'US SSS4'!BI175</f>
        <v/>
      </c>
      <c r="AF324" s="148" t="inlineStr">
        <is>
          <t>Queen</t>
        </is>
      </c>
      <c r="AG324" s="148" t="inlineStr">
        <is>
          <t>Beige</t>
        </is>
      </c>
      <c r="AH324" s="148">
        <f>AND(E324="CA",OR('CA Dashboard'!$C$4="All",'CA Dashboard'!$C$4=D324),OR('CA Dashboard'!$C$5="All",'CA Dashboard'!$C$5=G324),OR('CA Dashboard'!$C$6="All",'CA Dashboard'!$C$6=H324),OR('CA Dashboard'!$C$7="All",'CA Dashboard'!$C$7=F324),OR('CA Dashboard'!$C$8="All",'CA Dashboard'!$C$8=AJ324))</f>
        <v/>
      </c>
      <c r="AI324" s="148">
        <f>IF(AH324,AI323+1,AI323)</f>
        <v/>
      </c>
      <c r="AJ324" s="148" t="inlineStr">
        <is>
          <t>Direct</t>
        </is>
      </c>
      <c r="AK324" s="148" t="inlineStr">
        <is>
          <t>Same product (sheet set) in the same material family: Satin (polyester) (product page material: Satin); ours: our listing: polyester satin.</t>
        </is>
      </c>
    </row>
    <row r="325">
      <c r="A325" s="148">
        <f>AND(E325="US",OR('US Dashboard'!$C$4="All",'US Dashboard'!$C$4=D325),OR('US Dashboard'!$C$5="All",'US Dashboard'!$C$5=G325),OR('US Dashboard'!$C$6="All",'US Dashboard'!$C$6=H325),OR('US Dashboard'!$C$7="All",'US Dashboard'!$C$7=F325),OR('US Dashboard'!$C$8="All",'US Dashboard'!$C$8=AJ325))</f>
        <v/>
      </c>
      <c r="B325" s="148">
        <f>IF(A325,B324+1,B324)</f>
        <v/>
      </c>
      <c r="C325" s="148" t="n">
        <v>39</v>
      </c>
      <c r="D325" s="148" t="inlineStr">
        <is>
          <t>SSS4</t>
        </is>
      </c>
      <c r="E325" s="148" t="inlineStr">
        <is>
          <t>US</t>
        </is>
      </c>
      <c r="F325" s="148" t="inlineStr">
        <is>
          <t>Satin</t>
        </is>
      </c>
      <c r="G325" s="148" t="inlineStr">
        <is>
          <t>Candoury</t>
        </is>
      </c>
      <c r="H325" s="148" t="inlineStr">
        <is>
          <t>Poor</t>
        </is>
      </c>
      <c r="I325" s="148" t="inlineStr">
        <is>
          <t>Satin Sheets</t>
        </is>
      </c>
      <c r="J325" s="148" t="inlineStr">
        <is>
          <t>https://m.media-amazon.com/images/I/71PuS2XyTRL._AC_SL1500_.jpg</t>
        </is>
      </c>
      <c r="K325" s="148" t="inlineStr">
        <is>
          <t>B08RHZ9TMQ</t>
        </is>
      </c>
      <c r="L325" s="148" t="inlineStr">
        <is>
          <t>B08JKWGXZ9</t>
        </is>
      </c>
      <c r="M325" s="148" t="n"/>
      <c r="N325" s="148" t="n">
        <v>15.99</v>
      </c>
      <c r="O325" s="148" t="n"/>
      <c r="P325" s="148">
        <f>IF(AND(ISNUMBER(O325),ISNUMBER(N325),N(N325)&gt;0),O325/N325-1,"")</f>
        <v/>
      </c>
      <c r="Q325" s="148" t="n">
        <v>33.95</v>
      </c>
      <c r="R325" s="148">
        <f>IF(AND(ISNUMBER(N325),ISNUMBER(Q325),N(Q325)&gt;0),N325/Q325-1,"")</f>
        <v/>
      </c>
      <c r="S325" s="148" t="n">
        <v>420044</v>
      </c>
      <c r="T325" s="148" t="n">
        <v>5</v>
      </c>
      <c r="U325" s="148" t="n">
        <v>4.3</v>
      </c>
      <c r="V325" s="148" t="n">
        <v>5277</v>
      </c>
      <c r="W325" s="148" t="n"/>
      <c r="X325" s="148" t="n"/>
      <c r="Y325" s="148" t="n"/>
      <c r="Z325" s="148" t="n"/>
      <c r="AA325" s="148" t="n"/>
      <c r="AB325" s="148" t="n"/>
      <c r="AC325" s="148" t="inlineStr">
        <is>
          <t>US SSS4</t>
        </is>
      </c>
      <c r="AD325" s="148">
        <f>'US SSS4'!BF176</f>
        <v/>
      </c>
      <c r="AE325" s="148">
        <f>'US SSS4'!BI176</f>
        <v/>
      </c>
      <c r="AF325" s="148" t="inlineStr">
        <is>
          <t>Queen</t>
        </is>
      </c>
      <c r="AG325" s="148" t="inlineStr">
        <is>
          <t>Black</t>
        </is>
      </c>
      <c r="AH325" s="148">
        <f>AND(E325="CA",OR('CA Dashboard'!$C$4="All",'CA Dashboard'!$C$4=D325),OR('CA Dashboard'!$C$5="All",'CA Dashboard'!$C$5=G325),OR('CA Dashboard'!$C$6="All",'CA Dashboard'!$C$6=H325),OR('CA Dashboard'!$C$7="All",'CA Dashboard'!$C$7=F325),OR('CA Dashboard'!$C$8="All",'CA Dashboard'!$C$8=AJ325))</f>
        <v/>
      </c>
      <c r="AI325" s="148">
        <f>IF(AH325,AI324+1,AI324)</f>
        <v/>
      </c>
      <c r="AJ325" s="148" t="inlineStr">
        <is>
          <t>Direct</t>
        </is>
      </c>
      <c r="AK325" s="148" t="inlineStr">
        <is>
          <t>Same product (sheet set) in the same material family: Satin (polyester) (product page material: Satin polyester); ours: our listing: polyester satin.</t>
        </is>
      </c>
    </row>
    <row r="326">
      <c r="A326" s="148">
        <f>AND(E326="US",OR('US Dashboard'!$C$4="All",'US Dashboard'!$C$4=D326),OR('US Dashboard'!$C$5="All",'US Dashboard'!$C$5=G326),OR('US Dashboard'!$C$6="All",'US Dashboard'!$C$6=H326),OR('US Dashboard'!$C$7="All",'US Dashboard'!$C$7=F326),OR('US Dashboard'!$C$8="All",'US Dashboard'!$C$8=AJ326))</f>
        <v/>
      </c>
      <c r="B326" s="148">
        <f>IF(A326,B325+1,B325)</f>
        <v/>
      </c>
      <c r="C326" s="148" t="n">
        <v>39</v>
      </c>
      <c r="D326" s="148" t="inlineStr">
        <is>
          <t>SSS4</t>
        </is>
      </c>
      <c r="E326" s="148" t="inlineStr">
        <is>
          <t>US</t>
        </is>
      </c>
      <c r="F326" s="148" t="inlineStr">
        <is>
          <t>Satin</t>
        </is>
      </c>
      <c r="G326" s="148" t="inlineStr">
        <is>
          <t>Manyshofu</t>
        </is>
      </c>
      <c r="H326" s="148" t="inlineStr">
        <is>
          <t>Poor</t>
        </is>
      </c>
      <c r="I326" s="148" t="inlineStr">
        <is>
          <t>Satin Sheets</t>
        </is>
      </c>
      <c r="J326" s="148" t="inlineStr">
        <is>
          <t>https://m.media-amazon.com/images/I/81fhEyi-eTL._AC_SL1500_.jpg</t>
        </is>
      </c>
      <c r="K326" s="148" t="inlineStr">
        <is>
          <t>B09YQW7HBK</t>
        </is>
      </c>
      <c r="L326" s="148" t="inlineStr">
        <is>
          <t>B09S5RNLN9</t>
        </is>
      </c>
      <c r="M326" s="148" t="n"/>
      <c r="N326" s="148" t="n">
        <v>31.99</v>
      </c>
      <c r="O326" s="148" t="n"/>
      <c r="P326" s="148">
        <f>IF(AND(ISNUMBER(O326),ISNUMBER(N326),N(N326)&gt;0),O326/N326-1,"")</f>
        <v/>
      </c>
      <c r="Q326" s="148" t="n">
        <v>37.05571428571429</v>
      </c>
      <c r="R326" s="148">
        <f>IF(AND(ISNUMBER(N326),ISNUMBER(Q326),N(Q326)&gt;0),N326/Q326-1,"")</f>
        <v/>
      </c>
      <c r="S326" s="148" t="n">
        <v>300374</v>
      </c>
      <c r="T326" s="148" t="n">
        <v>5</v>
      </c>
      <c r="U326" s="148" t="n">
        <v>4.3</v>
      </c>
      <c r="V326" s="148" t="n">
        <v>907</v>
      </c>
      <c r="W326" s="148" t="n"/>
      <c r="X326" s="148" t="n"/>
      <c r="Y326" s="148" t="n"/>
      <c r="Z326" s="148" t="n"/>
      <c r="AA326" s="148" t="n"/>
      <c r="AB326" s="148" t="n"/>
      <c r="AC326" s="148" t="inlineStr">
        <is>
          <t>US SSS4</t>
        </is>
      </c>
      <c r="AD326" s="148">
        <f>'US SSS4'!BF177</f>
        <v/>
      </c>
      <c r="AE326" s="148">
        <f>'US SSS4'!BI177</f>
        <v/>
      </c>
      <c r="AF326" s="148" t="inlineStr">
        <is>
          <t>California King</t>
        </is>
      </c>
      <c r="AG326" s="148" t="inlineStr">
        <is>
          <t>Dark Green</t>
        </is>
      </c>
      <c r="AH326" s="148">
        <f>AND(E326="CA",OR('CA Dashboard'!$C$4="All",'CA Dashboard'!$C$4=D326),OR('CA Dashboard'!$C$5="All",'CA Dashboard'!$C$5=G326),OR('CA Dashboard'!$C$6="All",'CA Dashboard'!$C$6=H326),OR('CA Dashboard'!$C$7="All",'CA Dashboard'!$C$7=F326),OR('CA Dashboard'!$C$8="All",'CA Dashboard'!$C$8=AJ326))</f>
        <v/>
      </c>
      <c r="AI326" s="148">
        <f>IF(AH326,AI325+1,AI325)</f>
        <v/>
      </c>
      <c r="AJ326" s="148" t="inlineStr">
        <is>
          <t>Direct</t>
        </is>
      </c>
      <c r="AK326" s="148" t="inlineStr">
        <is>
          <t>Same product (sheet set) in the same material family: Satin (polyester) (product page material: Satin); ours: our listing: polyester satin.</t>
        </is>
      </c>
    </row>
    <row r="327">
      <c r="A327" s="148">
        <f>AND(E327="US",OR('US Dashboard'!$C$4="All",'US Dashboard'!$C$4=D327),OR('US Dashboard'!$C$5="All",'US Dashboard'!$C$5=G327),OR('US Dashboard'!$C$6="All",'US Dashboard'!$C$6=H327),OR('US Dashboard'!$C$7="All",'US Dashboard'!$C$7=F327),OR('US Dashboard'!$C$8="All",'US Dashboard'!$C$8=AJ327))</f>
        <v/>
      </c>
      <c r="B327" s="148">
        <f>IF(A327,B326+1,B326)</f>
        <v/>
      </c>
      <c r="C327" s="148" t="n">
        <v>39</v>
      </c>
      <c r="D327" s="148" t="inlineStr">
        <is>
          <t>SSS4</t>
        </is>
      </c>
      <c r="E327" s="148" t="inlineStr">
        <is>
          <t>CA</t>
        </is>
      </c>
      <c r="F327" s="148" t="inlineStr">
        <is>
          <t>Satin</t>
        </is>
      </c>
      <c r="G327" s="148" t="inlineStr">
        <is>
          <t>MR&amp;HM</t>
        </is>
      </c>
      <c r="H327" s="148" t="inlineStr">
        <is>
          <t>Untiered</t>
        </is>
      </c>
      <c r="I327" s="148" t="inlineStr">
        <is>
          <t>MR&amp;HM Satin Sheets Queen Size with Elastic Corner Straps, Black</t>
        </is>
      </c>
      <c r="J327" s="148" t="inlineStr">
        <is>
          <t>https://m.media-amazon.com/images/I/71zGuoeuSrL.jpg</t>
        </is>
      </c>
      <c r="K327" s="148" t="inlineStr">
        <is>
          <t>B08NPFTQWB</t>
        </is>
      </c>
      <c r="L327" s="148" t="inlineStr">
        <is>
          <t>B08HM6WT6X</t>
        </is>
      </c>
      <c r="M327" s="148" t="n">
        <v>182</v>
      </c>
      <c r="N327" s="148" t="n">
        <v>40.99</v>
      </c>
      <c r="O327" s="148" t="n"/>
      <c r="P327" s="148">
        <f>IF(AND(ISNUMBER(O327),ISNUMBER(N327),N(N327)&gt;0),O327/N327-1,"")</f>
        <v/>
      </c>
      <c r="Q327" s="148" t="n">
        <v>46.95</v>
      </c>
      <c r="R327" s="148">
        <f>IF(AND(ISNUMBER(N327),ISNUMBER(Q327),N(Q327)&gt;0),N327/Q327-1,"")</f>
        <v/>
      </c>
      <c r="S327" s="148" t="n">
        <v>1512</v>
      </c>
      <c r="T327" s="148" t="n"/>
      <c r="U327" s="148" t="n">
        <v>4.2</v>
      </c>
      <c r="V327" s="148" t="n">
        <v>17432</v>
      </c>
      <c r="W327" s="148" t="n"/>
      <c r="X327" s="148" t="n"/>
      <c r="Y327" s="148" t="n"/>
      <c r="Z327" s="148" t="n"/>
      <c r="AA327" s="148" t="n"/>
      <c r="AB327" s="148" t="n"/>
      <c r="AC327" s="148" t="inlineStr">
        <is>
          <t>CA SSS4</t>
        </is>
      </c>
      <c r="AD327" s="148">
        <f>'CA SSS4'!BF158</f>
        <v/>
      </c>
      <c r="AE327" s="148">
        <f>'CA SSS4'!BI158</f>
        <v/>
      </c>
      <c r="AF327" s="148" t="inlineStr">
        <is>
          <t>Queen</t>
        </is>
      </c>
      <c r="AG327" s="148" t="inlineStr">
        <is>
          <t>01- Black</t>
        </is>
      </c>
      <c r="AH327" s="148">
        <f>AND(E327="CA",OR('CA Dashboard'!$C$4="All",'CA Dashboard'!$C$4=D327),OR('CA Dashboard'!$C$5="All",'CA Dashboard'!$C$5=G327),OR('CA Dashboard'!$C$6="All",'CA Dashboard'!$C$6=H327),OR('CA Dashboard'!$C$7="All",'CA Dashboard'!$C$7=F327),OR('CA Dashboard'!$C$8="All",'CA Dashboard'!$C$8=AJ327))</f>
        <v/>
      </c>
      <c r="AI327" s="148">
        <f>IF(AH327,AI326+1,AI326)</f>
        <v/>
      </c>
      <c r="AJ327" s="148" t="inlineStr">
        <is>
          <t>Direct</t>
        </is>
      </c>
      <c r="AK327" s="148" t="inlineStr">
        <is>
          <t>Same product (sheet set) in the same material family: Satin (polyester) (title: MR&amp;HM Satin Sheets Queen Size with Elastic Corner Straps, Bl); ours: our listing: polyester satin.</t>
        </is>
      </c>
    </row>
    <row r="328">
      <c r="A328" s="148">
        <f>AND(E328="US",OR('US Dashboard'!$C$4="All",'US Dashboard'!$C$4=D328),OR('US Dashboard'!$C$5="All",'US Dashboard'!$C$5=G328),OR('US Dashboard'!$C$6="All",'US Dashboard'!$C$6=H328),OR('US Dashboard'!$C$7="All",'US Dashboard'!$C$7=F328),OR('US Dashboard'!$C$8="All",'US Dashboard'!$C$8=AJ328))</f>
        <v/>
      </c>
      <c r="B328" s="148">
        <f>IF(A328,B327+1,B327)</f>
        <v/>
      </c>
      <c r="C328" s="148" t="n">
        <v>39</v>
      </c>
      <c r="D328" s="148" t="inlineStr">
        <is>
          <t>SSS4</t>
        </is>
      </c>
      <c r="E328" s="148" t="inlineStr">
        <is>
          <t>CA</t>
        </is>
      </c>
      <c r="F328" s="148" t="inlineStr">
        <is>
          <t>Satin</t>
        </is>
      </c>
      <c r="G328" s="148" t="inlineStr">
        <is>
          <t>BEDELITE</t>
        </is>
      </c>
      <c r="H328" s="148" t="inlineStr">
        <is>
          <t>Untiered</t>
        </is>
      </c>
      <c r="I328" s="148" t="inlineStr">
        <is>
          <t>BEDELITE Satin Sheets Queen Size Bed Set, Black, 4 Pieces</t>
        </is>
      </c>
      <c r="J328" s="148" t="inlineStr">
        <is>
          <t>https://m.media-amazon.com/images/I/71zxqUjprTL.jpg</t>
        </is>
      </c>
      <c r="K328" s="148" t="inlineStr">
        <is>
          <t>B0GJC51929</t>
        </is>
      </c>
      <c r="L328" s="148" t="inlineStr">
        <is>
          <t>B0GJCBX6CJ</t>
        </is>
      </c>
      <c r="M328" s="148" t="n">
        <v>16</v>
      </c>
      <c r="N328" s="148" t="n">
        <v>31.99</v>
      </c>
      <c r="O328" s="148" t="n"/>
      <c r="P328" s="148">
        <f>IF(AND(ISNUMBER(O328),ISNUMBER(N328),N(N328)&gt;0),O328/N328-1,"")</f>
        <v/>
      </c>
      <c r="Q328" s="148" t="n">
        <v>46.95</v>
      </c>
      <c r="R328" s="148">
        <f>IF(AND(ISNUMBER(N328),ISNUMBER(Q328),N(Q328)&gt;0),N328/Q328-1,"")</f>
        <v/>
      </c>
      <c r="S328" s="148" t="n">
        <v>8328</v>
      </c>
      <c r="T328" s="148" t="n"/>
      <c r="U328" s="148" t="n">
        <v>4.1</v>
      </c>
      <c r="V328" s="148" t="n">
        <v>346</v>
      </c>
      <c r="W328" s="148" t="n"/>
      <c r="X328" s="148" t="n"/>
      <c r="Y328" s="148" t="n"/>
      <c r="Z328" s="148" t="n"/>
      <c r="AA328" s="148" t="n"/>
      <c r="AB328" s="148" t="n"/>
      <c r="AC328" s="148" t="inlineStr">
        <is>
          <t>CA SSS4</t>
        </is>
      </c>
      <c r="AD328" s="148">
        <f>'CA SSS4'!BF159</f>
        <v/>
      </c>
      <c r="AE328" s="148">
        <f>'CA SSS4'!BI159</f>
        <v/>
      </c>
      <c r="AF328" s="148" t="inlineStr">
        <is>
          <t>Queen</t>
        </is>
      </c>
      <c r="AG328" s="148" t="inlineStr">
        <is>
          <t>Black</t>
        </is>
      </c>
      <c r="AH328" s="148">
        <f>AND(E328="CA",OR('CA Dashboard'!$C$4="All",'CA Dashboard'!$C$4=D328),OR('CA Dashboard'!$C$5="All",'CA Dashboard'!$C$5=G328),OR('CA Dashboard'!$C$6="All",'CA Dashboard'!$C$6=H328),OR('CA Dashboard'!$C$7="All",'CA Dashboard'!$C$7=F328),OR('CA Dashboard'!$C$8="All",'CA Dashboard'!$C$8=AJ328))</f>
        <v/>
      </c>
      <c r="AI328" s="148">
        <f>IF(AH328,AI327+1,AI327)</f>
        <v/>
      </c>
      <c r="AJ328" s="148" t="inlineStr">
        <is>
          <t>Direct</t>
        </is>
      </c>
      <c r="AK328" s="148" t="inlineStr">
        <is>
          <t>Same product (sheet set) in the same material family: Satin (polyester) (title: BEDELITE Satin Sheets Queen Size Bed Set, Black, 4 Pieces); ours: our listing: polyester satin.</t>
        </is>
      </c>
    </row>
    <row r="329">
      <c r="A329" s="148">
        <f>AND(E329="US",OR('US Dashboard'!$C$4="All",'US Dashboard'!$C$4=D329),OR('US Dashboard'!$C$5="All",'US Dashboard'!$C$5=G329),OR('US Dashboard'!$C$6="All",'US Dashboard'!$C$6=H329),OR('US Dashboard'!$C$7="All",'US Dashboard'!$C$7=F329),OR('US Dashboard'!$C$8="All",'US Dashboard'!$C$8=AJ329))</f>
        <v/>
      </c>
      <c r="B329" s="148">
        <f>IF(A329,B328+1,B328)</f>
        <v/>
      </c>
      <c r="C329" s="148" t="n">
        <v>39</v>
      </c>
      <c r="D329" s="148" t="inlineStr">
        <is>
          <t>SSS4</t>
        </is>
      </c>
      <c r="E329" s="148" t="inlineStr">
        <is>
          <t>CA</t>
        </is>
      </c>
      <c r="F329" s="148" t="inlineStr">
        <is>
          <t>Satin</t>
        </is>
      </c>
      <c r="G329" s="148" t="inlineStr">
        <is>
          <t>HENGWEITEXT</t>
        </is>
      </c>
      <c r="H329" s="148" t="inlineStr">
        <is>
          <t>Untiered</t>
        </is>
      </c>
      <c r="I329" s="148" t="inlineStr">
        <is>
          <t>HENGWEI Satin Sheet Set Queen Size, 4 Pieces Silky Bed Sheets with Deep Pocket, Luxury Soft Bedding Set Breathable and Cooling for Hair and Skin, 1 Flat Sheet, 1 Fitted Sheet, 2 Pillow Case</t>
        </is>
      </c>
      <c r="J329" s="148" t="inlineStr">
        <is>
          <t>https://m.media-amazon.com/images/I/71C0hMb9zSL.jpg</t>
        </is>
      </c>
      <c r="K329" s="148" t="inlineStr">
        <is>
          <t>B0B1DDMNRF</t>
        </is>
      </c>
      <c r="L329" s="148" t="inlineStr">
        <is>
          <t>B0BYC3HK7X</t>
        </is>
      </c>
      <c r="M329" s="148" t="n">
        <v>23</v>
      </c>
      <c r="N329" s="148" t="n">
        <v>31.99</v>
      </c>
      <c r="O329" s="148" t="n"/>
      <c r="P329" s="148">
        <f>IF(AND(ISNUMBER(O329),ISNUMBER(N329),N(N329)&gt;0),O329/N329-1,"")</f>
        <v/>
      </c>
      <c r="Q329" s="148" t="n">
        <v>46.95</v>
      </c>
      <c r="R329" s="148">
        <f>IF(AND(ISNUMBER(N329),ISNUMBER(Q329),N(Q329)&gt;0),N329/Q329-1,"")</f>
        <v/>
      </c>
      <c r="S329" s="148" t="n">
        <v>31358</v>
      </c>
      <c r="T329" s="148" t="n"/>
      <c r="U329" s="148" t="n">
        <v>4.2</v>
      </c>
      <c r="V329" s="148" t="n">
        <v>2515</v>
      </c>
      <c r="W329" s="148" t="n"/>
      <c r="X329" s="148" t="n"/>
      <c r="Y329" s="148" t="n"/>
      <c r="Z329" s="148" t="n"/>
      <c r="AA329" s="148" t="n"/>
      <c r="AB329" s="148" t="n"/>
      <c r="AC329" s="148" t="inlineStr">
        <is>
          <t>CA SSS4</t>
        </is>
      </c>
      <c r="AD329" s="148">
        <f>'CA SSS4'!BF160</f>
        <v/>
      </c>
      <c r="AE329" s="148">
        <f>'CA SSS4'!BI160</f>
        <v/>
      </c>
      <c r="AF329" s="148" t="inlineStr">
        <is>
          <t>Queen</t>
        </is>
      </c>
      <c r="AG329" s="148" t="inlineStr">
        <is>
          <t>Sd-brown</t>
        </is>
      </c>
      <c r="AH329" s="148">
        <f>AND(E329="CA",OR('CA Dashboard'!$C$4="All",'CA Dashboard'!$C$4=D329),OR('CA Dashboard'!$C$5="All",'CA Dashboard'!$C$5=G329),OR('CA Dashboard'!$C$6="All",'CA Dashboard'!$C$6=H329),OR('CA Dashboard'!$C$7="All",'CA Dashboard'!$C$7=F329),OR('CA Dashboard'!$C$8="All",'CA Dashboard'!$C$8=AJ329))</f>
        <v/>
      </c>
      <c r="AI329" s="148">
        <f>IF(AH329,AI328+1,AI328)</f>
        <v/>
      </c>
      <c r="AJ329" s="148" t="inlineStr">
        <is>
          <t>Direct</t>
        </is>
      </c>
      <c r="AK329" s="148" t="inlineStr">
        <is>
          <t>Same product (sheet set) in the same material family: Satin (polyester) (title: HENGWEI Satin Sheet Set Queen Size, 4 Pieces Silky Bed Sheet); ours: our listing: polyester satin.</t>
        </is>
      </c>
    </row>
    <row r="330">
      <c r="A330" s="148">
        <f>AND(E330="US",OR('US Dashboard'!$C$4="All",'US Dashboard'!$C$4=D330),OR('US Dashboard'!$C$5="All",'US Dashboard'!$C$5=G330),OR('US Dashboard'!$C$6="All",'US Dashboard'!$C$6=H330),OR('US Dashboard'!$C$7="All",'US Dashboard'!$C$7=F330),OR('US Dashboard'!$C$8="All",'US Dashboard'!$C$8=AJ330))</f>
        <v/>
      </c>
      <c r="B330" s="148">
        <f>IF(A330,B329+1,B329)</f>
        <v/>
      </c>
      <c r="C330" s="148" t="n">
        <v>39</v>
      </c>
      <c r="D330" s="148" t="inlineStr">
        <is>
          <t>SSS4</t>
        </is>
      </c>
      <c r="E330" s="148" t="inlineStr">
        <is>
          <t>CA</t>
        </is>
      </c>
      <c r="F330" s="148" t="inlineStr">
        <is>
          <t>Satin</t>
        </is>
      </c>
      <c r="G330" s="148" t="inlineStr">
        <is>
          <t>GOLAL</t>
        </is>
      </c>
      <c r="H330" s="148" t="inlineStr">
        <is>
          <t>Untiered</t>
        </is>
      </c>
      <c r="I330" s="148" t="inlineStr">
        <is>
          <t>Black Satin Sheets Queen Size - 4 Pieces Luxury Silky Soft Bed Sheets</t>
        </is>
      </c>
      <c r="J330" s="148" t="inlineStr">
        <is>
          <t>https://m.media-amazon.com/images/I/71r48b+Sh9L.jpg</t>
        </is>
      </c>
      <c r="K330" s="148" t="inlineStr">
        <is>
          <t>B09JB7K1PP</t>
        </is>
      </c>
      <c r="L330" s="148" t="inlineStr">
        <is>
          <t>B09G17XZC5</t>
        </is>
      </c>
      <c r="M330" s="148" t="n">
        <v>91</v>
      </c>
      <c r="N330" s="148" t="n">
        <v>47.99</v>
      </c>
      <c r="O330" s="148" t="n"/>
      <c r="P330" s="148">
        <f>IF(AND(ISNUMBER(O330),ISNUMBER(N330),N(N330)&gt;0),O330/N330-1,"")</f>
        <v/>
      </c>
      <c r="Q330" s="148" t="n">
        <v>46.95</v>
      </c>
      <c r="R330" s="148">
        <f>IF(AND(ISNUMBER(N330),ISNUMBER(Q330),N(Q330)&gt;0),N330/Q330-1,"")</f>
        <v/>
      </c>
      <c r="S330" s="148" t="n">
        <v>18076</v>
      </c>
      <c r="T330" s="148" t="n"/>
      <c r="U330" s="148" t="n">
        <v>4.2</v>
      </c>
      <c r="V330" s="148" t="n">
        <v>1280</v>
      </c>
      <c r="W330" s="148" t="n"/>
      <c r="X330" s="148" t="n"/>
      <c r="Y330" s="148" t="n"/>
      <c r="Z330" s="148" t="n"/>
      <c r="AA330" s="148" t="n"/>
      <c r="AB330" s="148" t="n"/>
      <c r="AC330" s="148" t="inlineStr">
        <is>
          <t>CA SSS4</t>
        </is>
      </c>
      <c r="AD330" s="148">
        <f>'CA SSS4'!BF161</f>
        <v/>
      </c>
      <c r="AE330" s="148">
        <f>'CA SSS4'!BI161</f>
        <v/>
      </c>
      <c r="AF330" s="148" t="inlineStr">
        <is>
          <t>Queen</t>
        </is>
      </c>
      <c r="AG330" s="148" t="inlineStr">
        <is>
          <t>Black</t>
        </is>
      </c>
      <c r="AH330" s="148">
        <f>AND(E330="CA",OR('CA Dashboard'!$C$4="All",'CA Dashboard'!$C$4=D330),OR('CA Dashboard'!$C$5="All",'CA Dashboard'!$C$5=G330),OR('CA Dashboard'!$C$6="All",'CA Dashboard'!$C$6=H330),OR('CA Dashboard'!$C$7="All",'CA Dashboard'!$C$7=F330),OR('CA Dashboard'!$C$8="All",'CA Dashboard'!$C$8=AJ330))</f>
        <v/>
      </c>
      <c r="AI330" s="148">
        <f>IF(AH330,AI329+1,AI329)</f>
        <v/>
      </c>
      <c r="AJ330" s="148" t="inlineStr">
        <is>
          <t>Direct</t>
        </is>
      </c>
      <c r="AK330" s="148" t="inlineStr">
        <is>
          <t>Same product (sheet set) in the same material family: Satin (polyester) (title: Black Satin Sheets Queen Size - 4 Pieces Luxury Silky Soft B); ours: our listing: polyester satin.</t>
        </is>
      </c>
    </row>
    <row r="331">
      <c r="A331" s="148">
        <f>AND(E331="US",OR('US Dashboard'!$C$4="All",'US Dashboard'!$C$4=D331),OR('US Dashboard'!$C$5="All",'US Dashboard'!$C$5=G331),OR('US Dashboard'!$C$6="All",'US Dashboard'!$C$6=H331),OR('US Dashboard'!$C$7="All",'US Dashboard'!$C$7=F331),OR('US Dashboard'!$C$8="All",'US Dashboard'!$C$8=AJ331))</f>
        <v/>
      </c>
      <c r="B331" s="148">
        <f>IF(A331,B330+1,B330)</f>
        <v/>
      </c>
      <c r="C331" s="148" t="n">
        <v>39</v>
      </c>
      <c r="D331" s="148" t="inlineStr">
        <is>
          <t>SSS4</t>
        </is>
      </c>
      <c r="E331" s="148" t="inlineStr">
        <is>
          <t>CA</t>
        </is>
      </c>
      <c r="F331" s="148" t="inlineStr">
        <is>
          <t>Satin</t>
        </is>
      </c>
      <c r="G331" s="148" t="inlineStr">
        <is>
          <t>BEDELITE</t>
        </is>
      </c>
      <c r="H331" s="148" t="inlineStr">
        <is>
          <t>Untiered</t>
        </is>
      </c>
      <c r="I331" s="148" t="inlineStr">
        <is>
          <t>BEDELITE Satin Sheets Queen Size Bed Set, Black, 4 Pieces</t>
        </is>
      </c>
      <c r="J331" s="148" t="inlineStr">
        <is>
          <t>https://m.media-amazon.com/images/I/71ujt2CgaQL.jpg</t>
        </is>
      </c>
      <c r="K331" s="148" t="inlineStr">
        <is>
          <t>B0HHQTDM9B</t>
        </is>
      </c>
      <c r="L331" s="148" t="inlineStr">
        <is>
          <t>B0CSFTRP2X</t>
        </is>
      </c>
      <c r="M331" s="148" t="n">
        <v>100</v>
      </c>
      <c r="N331" s="148" t="n">
        <v>44.96</v>
      </c>
      <c r="O331" s="148" t="n"/>
      <c r="P331" s="148">
        <f>IF(AND(ISNUMBER(O331),ISNUMBER(N331),N(N331)&gt;0),O331/N331-1,"")</f>
        <v/>
      </c>
      <c r="Q331" s="148" t="n">
        <v>46.95</v>
      </c>
      <c r="R331" s="148">
        <f>IF(AND(ISNUMBER(N331),ISNUMBER(Q331),N(Q331)&gt;0),N331/Q331-1,"")</f>
        <v/>
      </c>
      <c r="S331" s="148" t="n">
        <v>128960</v>
      </c>
      <c r="T331" s="148" t="n"/>
      <c r="U331" s="148" t="n">
        <v>4.4</v>
      </c>
      <c r="V331" s="148" t="n">
        <v>5584</v>
      </c>
      <c r="W331" s="148" t="n"/>
      <c r="X331" s="148" t="n"/>
      <c r="Y331" s="148" t="n"/>
      <c r="Z331" s="148" t="n"/>
      <c r="AA331" s="148" t="n"/>
      <c r="AB331" s="148" t="n"/>
      <c r="AC331" s="148" t="inlineStr">
        <is>
          <t>CA SSS4</t>
        </is>
      </c>
      <c r="AD331" s="148">
        <f>'CA SSS4'!BF162</f>
        <v/>
      </c>
      <c r="AE331" s="148">
        <f>'CA SSS4'!BI162</f>
        <v/>
      </c>
      <c r="AF331" s="148" t="inlineStr">
        <is>
          <t>Queen</t>
        </is>
      </c>
      <c r="AG331" s="148" t="inlineStr">
        <is>
          <t>Black</t>
        </is>
      </c>
      <c r="AH331" s="148">
        <f>AND(E331="CA",OR('CA Dashboard'!$C$4="All",'CA Dashboard'!$C$4=D331),OR('CA Dashboard'!$C$5="All",'CA Dashboard'!$C$5=G331),OR('CA Dashboard'!$C$6="All",'CA Dashboard'!$C$6=H331),OR('CA Dashboard'!$C$7="All",'CA Dashboard'!$C$7=F331),OR('CA Dashboard'!$C$8="All",'CA Dashboard'!$C$8=AJ331))</f>
        <v/>
      </c>
      <c r="AI331" s="148">
        <f>IF(AH331,AI330+1,AI330)</f>
        <v/>
      </c>
      <c r="AJ331" s="148" t="inlineStr">
        <is>
          <t>Direct</t>
        </is>
      </c>
      <c r="AK331" s="148" t="inlineStr">
        <is>
          <t>Same product (sheet set) in the same material family: Satin (polyester) (title: BEDELITE Satin Sheets Queen Size Bed Set, Black, 4 Pieces); ours: our listing: polyester satin.</t>
        </is>
      </c>
    </row>
    <row r="332">
      <c r="A332" s="148">
        <f>AND(E332="US",OR('US Dashboard'!$C$4="All",'US Dashboard'!$C$4=D332),OR('US Dashboard'!$C$5="All",'US Dashboard'!$C$5=G332),OR('US Dashboard'!$C$6="All",'US Dashboard'!$C$6=H332),OR('US Dashboard'!$C$7="All",'US Dashboard'!$C$7=F332),OR('US Dashboard'!$C$8="All",'US Dashboard'!$C$8=AJ332))</f>
        <v/>
      </c>
      <c r="B332" s="148">
        <f>IF(A332,B331+1,B331)</f>
        <v/>
      </c>
      <c r="C332" s="148" t="n">
        <v>39</v>
      </c>
      <c r="D332" s="148" t="inlineStr">
        <is>
          <t>SSS4</t>
        </is>
      </c>
      <c r="E332" s="148" t="inlineStr">
        <is>
          <t>CA</t>
        </is>
      </c>
      <c r="F332" s="148" t="inlineStr">
        <is>
          <t>Satin</t>
        </is>
      </c>
      <c r="G332" s="148" t="inlineStr">
        <is>
          <t>Pure Bedding</t>
        </is>
      </c>
      <c r="H332" s="148" t="inlineStr">
        <is>
          <t>Untiered</t>
        </is>
      </c>
      <c r="I332" s="148" t="inlineStr">
        <is>
          <t>Pure Bedding Satin Sheets Queen [4-Piece, Black] Hotel Luxury Silky Bed Sheets - Extra Soft 1800 Microfiber Sheet Set, Wrinkle, Fade, Deep Pocket Fitted Sheet, Flat Sheet, Pillow Cases</t>
        </is>
      </c>
      <c r="J332" s="148" t="inlineStr">
        <is>
          <t>https://m.media-amazon.com/images/I/81zLU1W0e8L.jpg</t>
        </is>
      </c>
      <c r="K332" s="148" t="inlineStr">
        <is>
          <t>B07N6326HL</t>
        </is>
      </c>
      <c r="L332" s="148" t="inlineStr">
        <is>
          <t>B083G81VSH</t>
        </is>
      </c>
      <c r="M332" s="148" t="n">
        <v>83</v>
      </c>
      <c r="N332" s="148" t="n">
        <v>49.91</v>
      </c>
      <c r="O332" s="148" t="n"/>
      <c r="P332" s="148">
        <f>IF(AND(ISNUMBER(O332),ISNUMBER(N332),N(N332)&gt;0),O332/N332-1,"")</f>
        <v/>
      </c>
      <c r="Q332" s="148" t="n">
        <v>46.95</v>
      </c>
      <c r="R332" s="148">
        <f>IF(AND(ISNUMBER(N332),ISNUMBER(Q332),N(Q332)&gt;0),N332/Q332-1,"")</f>
        <v/>
      </c>
      <c r="S332" s="148" t="n">
        <v>188067</v>
      </c>
      <c r="T332" s="148" t="n"/>
      <c r="U332" s="148" t="n">
        <v>4.2</v>
      </c>
      <c r="V332" s="148" t="n">
        <v>12410</v>
      </c>
      <c r="W332" s="148" t="n"/>
      <c r="X332" s="148" t="n"/>
      <c r="Y332" s="148" t="n"/>
      <c r="Z332" s="148" t="n"/>
      <c r="AA332" s="148" t="n"/>
      <c r="AB332" s="148" t="n"/>
      <c r="AC332" s="148" t="inlineStr">
        <is>
          <t>CA SSS4</t>
        </is>
      </c>
      <c r="AD332" s="148">
        <f>'CA SSS4'!BF163</f>
        <v/>
      </c>
      <c r="AE332" s="148">
        <f>'CA SSS4'!BI163</f>
        <v/>
      </c>
      <c r="AF332" s="148" t="inlineStr">
        <is>
          <t>Queen</t>
        </is>
      </c>
      <c r="AG332" s="148" t="inlineStr">
        <is>
          <t>Black</t>
        </is>
      </c>
      <c r="AH332" s="148">
        <f>AND(E332="CA",OR('CA Dashboard'!$C$4="All",'CA Dashboard'!$C$4=D332),OR('CA Dashboard'!$C$5="All",'CA Dashboard'!$C$5=G332),OR('CA Dashboard'!$C$6="All",'CA Dashboard'!$C$6=H332),OR('CA Dashboard'!$C$7="All",'CA Dashboard'!$C$7=F332),OR('CA Dashboard'!$C$8="All",'CA Dashboard'!$C$8=AJ332))</f>
        <v/>
      </c>
      <c r="AI332" s="148">
        <f>IF(AH332,AI331+1,AI331)</f>
        <v/>
      </c>
      <c r="AJ332" s="148" t="inlineStr">
        <is>
          <t>Direct</t>
        </is>
      </c>
      <c r="AK332" s="148" t="inlineStr">
        <is>
          <t>Same product (sheet set) in the same material family: Satin (polyester) (title: Pure Bedding Satin Sheets Queen [4-Piece, Black] Hotel Luxur); ours: our listing: polyester satin.</t>
        </is>
      </c>
    </row>
    <row r="333">
      <c r="A333" s="148">
        <f>AND(E333="US",OR('US Dashboard'!$C$4="All",'US Dashboard'!$C$4=D333),OR('US Dashboard'!$C$5="All",'US Dashboard'!$C$5=G333),OR('US Dashboard'!$C$6="All",'US Dashboard'!$C$6=H333),OR('US Dashboard'!$C$7="All",'US Dashboard'!$C$7=F333),OR('US Dashboard'!$C$8="All",'US Dashboard'!$C$8=AJ333))</f>
        <v/>
      </c>
      <c r="B333" s="148">
        <f>IF(A333,B332+1,B332)</f>
        <v/>
      </c>
      <c r="C333" s="148" t="n">
        <v>39</v>
      </c>
      <c r="D333" s="148" t="inlineStr">
        <is>
          <t>SSS4</t>
        </is>
      </c>
      <c r="E333" s="148" t="inlineStr">
        <is>
          <t>CA</t>
        </is>
      </c>
      <c r="F333" s="148" t="inlineStr">
        <is>
          <t>Satin</t>
        </is>
      </c>
      <c r="G333" s="148" t="inlineStr">
        <is>
          <t>Laura Ashley</t>
        </is>
      </c>
      <c r="H333" s="148" t="inlineStr">
        <is>
          <t>Untiered</t>
        </is>
      </c>
      <c r="I333" s="148" t="inlineStr">
        <is>
          <t>Laura Ashley - Queen Sheet Set, 100% Soft &amp; Silky Smooth Satin Bed Sheets, Deep Pockets, Bedding with Matching Fitted Sheet &amp; Pillowcases (Bliss Pink)</t>
        </is>
      </c>
      <c r="J333" s="148" t="inlineStr">
        <is>
          <t>https://m.media-amazon.com/images/I/51r1auLPSDL.jpg</t>
        </is>
      </c>
      <c r="K333" s="148" t="inlineStr">
        <is>
          <t>B0G3QQZTY9</t>
        </is>
      </c>
      <c r="L333" s="148" t="inlineStr">
        <is>
          <t>B0G3C5G8FR</t>
        </is>
      </c>
      <c r="M333" s="148" t="n">
        <v>8</v>
      </c>
      <c r="N333" s="148" t="n">
        <v>48.67</v>
      </c>
      <c r="O333" s="148" t="n"/>
      <c r="P333" s="148">
        <f>IF(AND(ISNUMBER(O333),ISNUMBER(N333),N(N333)&gt;0),O333/N333-1,"")</f>
        <v/>
      </c>
      <c r="Q333" s="148" t="n">
        <v>46.95</v>
      </c>
      <c r="R333" s="148">
        <f>IF(AND(ISNUMBER(N333),ISNUMBER(Q333),N(Q333)&gt;0),N333/Q333-1,"")</f>
        <v/>
      </c>
      <c r="S333" s="148" t="n">
        <v>329859</v>
      </c>
      <c r="T333" s="148" t="n"/>
      <c r="U333" s="148" t="n">
        <v>4.3</v>
      </c>
      <c r="V333" s="148" t="n">
        <v>13</v>
      </c>
      <c r="W333" s="148" t="n"/>
      <c r="X333" s="148" t="n"/>
      <c r="Y333" s="148" t="n"/>
      <c r="Z333" s="148" t="n"/>
      <c r="AA333" s="148" t="n"/>
      <c r="AB333" s="148" t="n"/>
      <c r="AC333" s="148" t="inlineStr">
        <is>
          <t>CA SSS4</t>
        </is>
      </c>
      <c r="AD333" s="148">
        <f>'CA SSS4'!BF164</f>
        <v/>
      </c>
      <c r="AE333" s="148">
        <f>'CA SSS4'!BI164</f>
        <v/>
      </c>
      <c r="AF333" s="148" t="inlineStr">
        <is>
          <t>Queen</t>
        </is>
      </c>
      <c r="AG333" s="148" t="inlineStr">
        <is>
          <t>Bliss Pink</t>
        </is>
      </c>
      <c r="AH333" s="148">
        <f>AND(E333="CA",OR('CA Dashboard'!$C$4="All",'CA Dashboard'!$C$4=D333),OR('CA Dashboard'!$C$5="All",'CA Dashboard'!$C$5=G333),OR('CA Dashboard'!$C$6="All",'CA Dashboard'!$C$6=H333),OR('CA Dashboard'!$C$7="All",'CA Dashboard'!$C$7=F333),OR('CA Dashboard'!$C$8="All",'CA Dashboard'!$C$8=AJ333))</f>
        <v/>
      </c>
      <c r="AI333" s="148">
        <f>IF(AH333,AI332+1,AI332)</f>
        <v/>
      </c>
      <c r="AJ333" s="148" t="inlineStr">
        <is>
          <t>Direct</t>
        </is>
      </c>
      <c r="AK333" s="148" t="inlineStr">
        <is>
          <t>Same product (sheet set) in the same material family: Satin (polyester) (title: Laura Ashley - Queen Sheet Set, 100% Soft &amp; Silky Smooth Sat); ours: our listing: polyester satin.</t>
        </is>
      </c>
    </row>
    <row r="334">
      <c r="A334" s="148">
        <f>AND(E334="US",OR('US Dashboard'!$C$4="All",'US Dashboard'!$C$4=D334),OR('US Dashboard'!$C$5="All",'US Dashboard'!$C$5=G334),OR('US Dashboard'!$C$6="All",'US Dashboard'!$C$6=H334),OR('US Dashboard'!$C$7="All",'US Dashboard'!$C$7=F334),OR('US Dashboard'!$C$8="All",'US Dashboard'!$C$8=AJ334))</f>
        <v/>
      </c>
      <c r="B334" s="148">
        <f>IF(A334,B333+1,B333)</f>
        <v/>
      </c>
      <c r="C334" s="148" t="n">
        <v>39</v>
      </c>
      <c r="D334" s="148" t="inlineStr">
        <is>
          <t>SSS4</t>
        </is>
      </c>
      <c r="E334" s="148" t="inlineStr">
        <is>
          <t>CA</t>
        </is>
      </c>
      <c r="F334" s="148" t="inlineStr">
        <is>
          <t>Satin</t>
        </is>
      </c>
      <c r="G334" s="148" t="inlineStr">
        <is>
          <t>Pure Bedding</t>
        </is>
      </c>
      <c r="H334" s="148" t="inlineStr">
        <is>
          <t>Untiered</t>
        </is>
      </c>
      <c r="I334" s="148" t="inlineStr">
        <is>
          <t>Satin Sheets Queen [4-Piece, Black] Hotel Luxury Silky Bed Sheets - Extra Soft 1800 Microfiber Sheet Set, Wrinkle, Fade, Stain Resistant - Deep Pocket Fitted Sheet, Flat Sheet, Pillow Cases</t>
        </is>
      </c>
      <c r="J334" s="148" t="inlineStr">
        <is>
          <t>https://m.media-amazon.com/images/I/81zLU1W0e8L.jpg</t>
        </is>
      </c>
      <c r="K334" s="148" t="inlineStr">
        <is>
          <t>B0FMPR6QQ3</t>
        </is>
      </c>
      <c r="L334" s="148" t="inlineStr">
        <is>
          <t>B0FVJG1KD3</t>
        </is>
      </c>
      <c r="M334" s="148" t="n">
        <v>1</v>
      </c>
      <c r="N334" s="148" t="n">
        <v>32.4</v>
      </c>
      <c r="O334" s="148" t="n"/>
      <c r="P334" s="148">
        <f>IF(AND(ISNUMBER(O334),ISNUMBER(N334),N(N334)&gt;0),O334/N334-1,"")</f>
        <v/>
      </c>
      <c r="Q334" s="148" t="n">
        <v>46.95</v>
      </c>
      <c r="R334" s="148">
        <f>IF(AND(ISNUMBER(N334),ISNUMBER(Q334),N(Q334)&gt;0),N334/Q334-1,"")</f>
        <v/>
      </c>
      <c r="S334" s="148" t="n">
        <v>887952</v>
      </c>
      <c r="T334" s="148" t="n"/>
      <c r="U334" s="148" t="n">
        <v>4.2</v>
      </c>
      <c r="V334" s="148" t="n">
        <v>41</v>
      </c>
      <c r="W334" s="148" t="n"/>
      <c r="X334" s="148" t="n"/>
      <c r="Y334" s="148" t="n"/>
      <c r="Z334" s="148" t="n"/>
      <c r="AA334" s="148" t="n"/>
      <c r="AB334" s="148" t="n"/>
      <c r="AC334" s="148" t="inlineStr">
        <is>
          <t>CA SSS4</t>
        </is>
      </c>
      <c r="AD334" s="148">
        <f>'CA SSS4'!BF165</f>
        <v/>
      </c>
      <c r="AE334" s="148">
        <f>'CA SSS4'!BI165</f>
        <v/>
      </c>
      <c r="AF334" s="148" t="inlineStr">
        <is>
          <t>Queen</t>
        </is>
      </c>
      <c r="AG334" s="148" t="inlineStr">
        <is>
          <t>Black-01</t>
        </is>
      </c>
      <c r="AH334" s="148">
        <f>AND(E334="CA",OR('CA Dashboard'!$C$4="All",'CA Dashboard'!$C$4=D334),OR('CA Dashboard'!$C$5="All",'CA Dashboard'!$C$5=G334),OR('CA Dashboard'!$C$6="All",'CA Dashboard'!$C$6=H334),OR('CA Dashboard'!$C$7="All",'CA Dashboard'!$C$7=F334),OR('CA Dashboard'!$C$8="All",'CA Dashboard'!$C$8=AJ334))</f>
        <v/>
      </c>
      <c r="AI334" s="148">
        <f>IF(AH334,AI333+1,AI333)</f>
        <v/>
      </c>
      <c r="AJ334" s="148" t="inlineStr">
        <is>
          <t>Direct</t>
        </is>
      </c>
      <c r="AK334" s="148" t="inlineStr">
        <is>
          <t>Same product (sheet set) in the same material family: Satin (polyester) (title: Satin Sheets Queen [4-Piece, Black] Hotel Luxury Silky Bed S); ours: our listing: polyester satin.</t>
        </is>
      </c>
    </row>
    <row r="335">
      <c r="A335" s="148">
        <f>AND(E335="US",OR('US Dashboard'!$C$4="All",'US Dashboard'!$C$4=D335),OR('US Dashboard'!$C$5="All",'US Dashboard'!$C$5=G335),OR('US Dashboard'!$C$6="All",'US Dashboard'!$C$6=H335),OR('US Dashboard'!$C$7="All",'US Dashboard'!$C$7=F335),OR('US Dashboard'!$C$8="All",'US Dashboard'!$C$8=AJ335))</f>
        <v/>
      </c>
      <c r="B335" s="148">
        <f>IF(A335,B334+1,B334)</f>
        <v/>
      </c>
      <c r="C335" s="148" t="n">
        <v>39</v>
      </c>
      <c r="D335" s="148" t="inlineStr">
        <is>
          <t>SSS4</t>
        </is>
      </c>
      <c r="E335" s="148" t="inlineStr">
        <is>
          <t>CA</t>
        </is>
      </c>
      <c r="F335" s="148" t="inlineStr">
        <is>
          <t>Satin</t>
        </is>
      </c>
      <c r="G335" s="148" t="inlineStr">
        <is>
          <t>Lirex</t>
        </is>
      </c>
      <c r="H335" s="148" t="inlineStr">
        <is>
          <t>Untiered</t>
        </is>
      </c>
      <c r="I335" s="148" t="inlineStr">
        <is>
          <t>Lirex Satin Sheets Queen Size Bed Set, 4 Piece Sheet Set with 14" Deep Pocket, Luxury Smooth &amp; Soft Microfiber, Includes 1 Fitted Sheet, 1 Flat Sheet and 2 Pillowcases, Blue Daisy</t>
        </is>
      </c>
      <c r="J335" s="148" t="inlineStr">
        <is>
          <t>https://m.media-amazon.com/images/I/81ogMf3izDL.jpg</t>
        </is>
      </c>
      <c r="K335" s="148" t="inlineStr">
        <is>
          <t>B0GWPG1CXG</t>
        </is>
      </c>
      <c r="L335" s="148" t="inlineStr">
        <is>
          <t>B0GWPMHSL9</t>
        </is>
      </c>
      <c r="M335" s="148" t="n">
        <v>14</v>
      </c>
      <c r="N335" s="148" t="n">
        <v>49.99</v>
      </c>
      <c r="O335" s="148" t="n"/>
      <c r="P335" s="148">
        <f>IF(AND(ISNUMBER(O335),ISNUMBER(N335),N(N335)&gt;0),O335/N335-1,"")</f>
        <v/>
      </c>
      <c r="Q335" s="148" t="n">
        <v>46.95</v>
      </c>
      <c r="R335" s="148">
        <f>IF(AND(ISNUMBER(N335),ISNUMBER(Q335),N(Q335)&gt;0),N335/Q335-1,"")</f>
        <v/>
      </c>
      <c r="S335" s="148" t="n">
        <v>96864</v>
      </c>
      <c r="T335" s="148" t="n"/>
      <c r="U335" s="148" t="n">
        <v>4.6</v>
      </c>
      <c r="V335" s="148" t="n">
        <v>4</v>
      </c>
      <c r="W335" s="148" t="n"/>
      <c r="X335" s="148" t="n"/>
      <c r="Y335" s="148" t="n"/>
      <c r="Z335" s="148" t="n"/>
      <c r="AA335" s="148" t="n"/>
      <c r="AB335" s="148" t="n"/>
      <c r="AC335" s="148" t="inlineStr">
        <is>
          <t>CA SSS4</t>
        </is>
      </c>
      <c r="AD335" s="148">
        <f>'CA SSS4'!BF166</f>
        <v/>
      </c>
      <c r="AE335" s="148">
        <f>'CA SSS4'!BI166</f>
        <v/>
      </c>
      <c r="AF335" s="148" t="inlineStr">
        <is>
          <t>Queen</t>
        </is>
      </c>
      <c r="AG335" s="148" t="inlineStr">
        <is>
          <t>Blue Daisy</t>
        </is>
      </c>
      <c r="AH335" s="148">
        <f>AND(E335="CA",OR('CA Dashboard'!$C$4="All",'CA Dashboard'!$C$4=D335),OR('CA Dashboard'!$C$5="All",'CA Dashboard'!$C$5=G335),OR('CA Dashboard'!$C$6="All",'CA Dashboard'!$C$6=H335),OR('CA Dashboard'!$C$7="All",'CA Dashboard'!$C$7=F335),OR('CA Dashboard'!$C$8="All",'CA Dashboard'!$C$8=AJ335))</f>
        <v/>
      </c>
      <c r="AI335" s="148">
        <f>IF(AH335,AI334+1,AI334)</f>
        <v/>
      </c>
      <c r="AJ335" s="148" t="inlineStr">
        <is>
          <t>Direct</t>
        </is>
      </c>
      <c r="AK335" s="148" t="inlineStr">
        <is>
          <t>Same product (sheet set) in the same material family: Satin (polyester) (title: Lirex Satin Sheets Queen Size Bed Set, 4 Piece Sheet Set wit); ours: our listing: polyester satin.</t>
        </is>
      </c>
    </row>
    <row r="336">
      <c r="A336" s="148">
        <f>AND(E336="US",OR('US Dashboard'!$C$4="All",'US Dashboard'!$C$4=D336),OR('US Dashboard'!$C$5="All",'US Dashboard'!$C$5=G336),OR('US Dashboard'!$C$6="All",'US Dashboard'!$C$6=H336),OR('US Dashboard'!$C$7="All",'US Dashboard'!$C$7=F336),OR('US Dashboard'!$C$8="All",'US Dashboard'!$C$8=AJ336))</f>
        <v/>
      </c>
      <c r="B336" s="148">
        <f>IF(A336,B335+1,B335)</f>
        <v/>
      </c>
      <c r="C336" s="148" t="n">
        <v>39</v>
      </c>
      <c r="D336" s="148" t="inlineStr">
        <is>
          <t>SSS4</t>
        </is>
      </c>
      <c r="E336" s="148" t="inlineStr">
        <is>
          <t>CA</t>
        </is>
      </c>
      <c r="F336" s="148" t="inlineStr">
        <is>
          <t>Satin</t>
        </is>
      </c>
      <c r="G336" s="148" t="inlineStr">
        <is>
          <t>Martex</t>
        </is>
      </c>
      <c r="H336" s="148" t="inlineStr">
        <is>
          <t>Untiered</t>
        </is>
      </c>
      <c r="I336" s="148" t="inlineStr">
        <is>
          <t>4-Piece Martex Elegance Satin Sheets | Queen Size Bed Sheets | Luxury Hotel Quality Bed Sheets Set | Satin Sheets | Silky Soft &amp; Smooth | Great for Hair &amp; Skin | Leopard Print Sheets | Leopard</t>
        </is>
      </c>
      <c r="J336" s="148" t="inlineStr">
        <is>
          <t>https://m.media-amazon.com/images/I/8192od9R6kL.jpg</t>
        </is>
      </c>
      <c r="K336" s="148" t="inlineStr">
        <is>
          <t>B07XTX3G7J</t>
        </is>
      </c>
      <c r="L336" s="148" t="inlineStr">
        <is>
          <t>B07X5DPMJ9</t>
        </is>
      </c>
      <c r="M336" s="148" t="n">
        <v>28</v>
      </c>
      <c r="N336" s="148" t="n">
        <v>46.45</v>
      </c>
      <c r="O336" s="148" t="n"/>
      <c r="P336" s="148">
        <f>IF(AND(ISNUMBER(O336),ISNUMBER(N336),N(N336)&gt;0),O336/N336-1,"")</f>
        <v/>
      </c>
      <c r="Q336" s="148" t="n">
        <v>46.95</v>
      </c>
      <c r="R336" s="148">
        <f>IF(AND(ISNUMBER(N336),ISNUMBER(Q336),N(Q336)&gt;0),N336/Q336-1,"")</f>
        <v/>
      </c>
      <c r="S336" s="148" t="n">
        <v>56349</v>
      </c>
      <c r="T336" s="148" t="n"/>
      <c r="U336" s="148" t="n">
        <v>4.2</v>
      </c>
      <c r="V336" s="148" t="n">
        <v>1078</v>
      </c>
      <c r="W336" s="148" t="n"/>
      <c r="X336" s="148" t="n"/>
      <c r="Y336" s="148" t="n"/>
      <c r="Z336" s="148" t="n"/>
      <c r="AA336" s="148" t="n"/>
      <c r="AB336" s="148" t="n"/>
      <c r="AC336" s="148" t="inlineStr">
        <is>
          <t>CA SSS4</t>
        </is>
      </c>
      <c r="AD336" s="148">
        <f>'CA SSS4'!BF167</f>
        <v/>
      </c>
      <c r="AE336" s="148">
        <f>'CA SSS4'!BI167</f>
        <v/>
      </c>
      <c r="AF336" s="148" t="inlineStr">
        <is>
          <t>Queen</t>
        </is>
      </c>
      <c r="AG336" s="148" t="inlineStr">
        <is>
          <t>Brown</t>
        </is>
      </c>
      <c r="AH336" s="148">
        <f>AND(E336="CA",OR('CA Dashboard'!$C$4="All",'CA Dashboard'!$C$4=D336),OR('CA Dashboard'!$C$5="All",'CA Dashboard'!$C$5=G336),OR('CA Dashboard'!$C$6="All",'CA Dashboard'!$C$6=H336),OR('CA Dashboard'!$C$7="All",'CA Dashboard'!$C$7=F336),OR('CA Dashboard'!$C$8="All",'CA Dashboard'!$C$8=AJ336))</f>
        <v/>
      </c>
      <c r="AI336" s="148">
        <f>IF(AH336,AI335+1,AI335)</f>
        <v/>
      </c>
      <c r="AJ336" s="148" t="inlineStr">
        <is>
          <t>Direct</t>
        </is>
      </c>
      <c r="AK336" s="148" t="inlineStr">
        <is>
          <t>Same product (sheet set) in the same material family: Satin (polyester) (title: 4-Piece Martex Elegance Satin Sheets | Queen Size Bed Sheets); ours: our listing: polyester satin.</t>
        </is>
      </c>
    </row>
    <row r="337">
      <c r="A337" s="148">
        <f>AND(E337="US",OR('US Dashboard'!$C$4="All",'US Dashboard'!$C$4=D337),OR('US Dashboard'!$C$5="All",'US Dashboard'!$C$5=G337),OR('US Dashboard'!$C$6="All",'US Dashboard'!$C$6=H337),OR('US Dashboard'!$C$7="All",'US Dashboard'!$C$7=F337),OR('US Dashboard'!$C$8="All",'US Dashboard'!$C$8=AJ337))</f>
        <v/>
      </c>
      <c r="B337" s="148">
        <f>IF(A337,B336+1,B336)</f>
        <v/>
      </c>
      <c r="C337" s="148" t="n">
        <v>39</v>
      </c>
      <c r="D337" s="148" t="inlineStr">
        <is>
          <t>SSS4</t>
        </is>
      </c>
      <c r="E337" s="148" t="inlineStr">
        <is>
          <t>CA</t>
        </is>
      </c>
      <c r="F337" s="148" t="inlineStr">
        <is>
          <t>Satin</t>
        </is>
      </c>
      <c r="G337" s="148" t="inlineStr">
        <is>
          <t>Beatrice Home Fashions</t>
        </is>
      </c>
      <c r="H337" s="148" t="inlineStr">
        <is>
          <t>Untiered</t>
        </is>
      </c>
      <c r="I337" s="148" t="inlineStr">
        <is>
          <t>Elite Home Products 100% Luxury Satin Polyester Solid Sheet Set, Queen, Leopard</t>
        </is>
      </c>
      <c r="J337" s="148" t="inlineStr">
        <is>
          <t>https://m.media-amazon.com/images/I/71jFV5g+prL.jpg</t>
        </is>
      </c>
      <c r="K337" s="148" t="inlineStr">
        <is>
          <t>B077NL4NZK</t>
        </is>
      </c>
      <c r="L337" s="148" t="inlineStr">
        <is>
          <t>B0721C4SD3</t>
        </is>
      </c>
      <c r="M337" s="148" t="n">
        <v>9</v>
      </c>
      <c r="N337" s="148" t="n">
        <v>42.49</v>
      </c>
      <c r="O337" s="148" t="n"/>
      <c r="P337" s="148">
        <f>IF(AND(ISNUMBER(O337),ISNUMBER(N337),N(N337)&gt;0),O337/N337-1,"")</f>
        <v/>
      </c>
      <c r="Q337" s="148" t="n">
        <v>46.95</v>
      </c>
      <c r="R337" s="148">
        <f>IF(AND(ISNUMBER(N337),ISNUMBER(Q337),N(Q337)&gt;0),N337/Q337-1,"")</f>
        <v/>
      </c>
      <c r="S337" s="148" t="n">
        <v>387847</v>
      </c>
      <c r="T337" s="148" t="n"/>
      <c r="U337" s="148" t="n">
        <v>4</v>
      </c>
      <c r="V337" s="148" t="n">
        <v>996</v>
      </c>
      <c r="W337" s="148" t="n"/>
      <c r="X337" s="148" t="n"/>
      <c r="Y337" s="148" t="n"/>
      <c r="Z337" s="148" t="n"/>
      <c r="AA337" s="148" t="n"/>
      <c r="AB337" s="148" t="n"/>
      <c r="AC337" s="148" t="inlineStr">
        <is>
          <t>CA SSS4</t>
        </is>
      </c>
      <c r="AD337" s="148">
        <f>'CA SSS4'!BF168</f>
        <v/>
      </c>
      <c r="AE337" s="148">
        <f>'CA SSS4'!BI168</f>
        <v/>
      </c>
      <c r="AF337" s="148" t="inlineStr">
        <is>
          <t>Queen</t>
        </is>
      </c>
      <c r="AG337" s="148" t="inlineStr">
        <is>
          <t>Leopard</t>
        </is>
      </c>
      <c r="AH337" s="148">
        <f>AND(E337="CA",OR('CA Dashboard'!$C$4="All",'CA Dashboard'!$C$4=D337),OR('CA Dashboard'!$C$5="All",'CA Dashboard'!$C$5=G337),OR('CA Dashboard'!$C$6="All",'CA Dashboard'!$C$6=H337),OR('CA Dashboard'!$C$7="All",'CA Dashboard'!$C$7=F337),OR('CA Dashboard'!$C$8="All",'CA Dashboard'!$C$8=AJ337))</f>
        <v/>
      </c>
      <c r="AI337" s="148">
        <f>IF(AH337,AI336+1,AI336)</f>
        <v/>
      </c>
      <c r="AJ337" s="148" t="inlineStr">
        <is>
          <t>Direct</t>
        </is>
      </c>
      <c r="AK337" s="148" t="inlineStr">
        <is>
          <t>Same product (sheet set) in the same material family: Satin (polyester) (title: Elite Home Products 100% Luxury Satin Polyester Solid Sheet ); ours: our listing: polyester satin.</t>
        </is>
      </c>
    </row>
    <row r="338">
      <c r="A338" s="148">
        <f>AND(E338="US",OR('US Dashboard'!$C$4="All",'US Dashboard'!$C$4=D338),OR('US Dashboard'!$C$5="All",'US Dashboard'!$C$5=G338),OR('US Dashboard'!$C$6="All",'US Dashboard'!$C$6=H338),OR('US Dashboard'!$C$7="All",'US Dashboard'!$C$7=F338),OR('US Dashboard'!$C$8="All",'US Dashboard'!$C$8=AJ338))</f>
        <v/>
      </c>
      <c r="B338" s="148">
        <f>IF(A338,B337+1,B337)</f>
        <v/>
      </c>
      <c r="C338" s="148" t="n">
        <v>39</v>
      </c>
      <c r="D338" s="148" t="inlineStr">
        <is>
          <t>SSS4</t>
        </is>
      </c>
      <c r="E338" s="148" t="inlineStr">
        <is>
          <t>US</t>
        </is>
      </c>
      <c r="F338" s="148" t="inlineStr">
        <is>
          <t>Satin</t>
        </is>
      </c>
      <c r="G338" s="148" t="inlineStr">
        <is>
          <t>CozyLux</t>
        </is>
      </c>
      <c r="H338" s="148" t="inlineStr">
        <is>
          <t>Aspirational</t>
        </is>
      </c>
      <c r="I338" s="148" t="inlineStr">
        <is>
          <t>CozyLux Satin Sheets Queen, 4-Piece 14-Inch Deep Pocket Sheet Set</t>
        </is>
      </c>
      <c r="J338" s="148" t="inlineStr">
        <is>
          <t>https://images-na.ssl-images-amazon.com/images/I/71QlFwpmpcL.jpg</t>
        </is>
      </c>
      <c r="K338" s="148" t="inlineStr">
        <is>
          <t>B08CQKS3KP</t>
        </is>
      </c>
      <c r="L338" s="148" t="inlineStr">
        <is>
          <t>B08P16XLP2</t>
        </is>
      </c>
      <c r="M338" s="148" t="n">
        <v>115</v>
      </c>
      <c r="N338" s="148" t="n">
        <v>13.99</v>
      </c>
      <c r="O338" s="148" t="n">
        <v>18.99</v>
      </c>
      <c r="P338" s="148">
        <f>IF(AND(ISNUMBER(O338),ISNUMBER(N338),N(N338)&gt;0),O338/N338-1,"")</f>
        <v/>
      </c>
      <c r="Q338" s="148" t="n">
        <v>33.95</v>
      </c>
      <c r="R338" s="148">
        <f>IF(AND(ISNUMBER(N338),ISNUMBER(Q338),N(Q338)&gt;0),N338/Q338-1,"")</f>
        <v/>
      </c>
      <c r="S338" s="148" t="n">
        <v>3102</v>
      </c>
      <c r="T338" s="148" t="n">
        <v>347</v>
      </c>
      <c r="U338" s="148" t="n">
        <v>4.3</v>
      </c>
      <c r="V338" s="148" t="n">
        <v>7075</v>
      </c>
      <c r="W338" s="148" t="n">
        <v>164434</v>
      </c>
      <c r="X338" s="148" t="n">
        <v>0.724298132381382</v>
      </c>
      <c r="Y338" s="148" t="n">
        <v>113</v>
      </c>
      <c r="Z338" s="148" t="n">
        <v>272</v>
      </c>
      <c r="AA338" s="148" t="n">
        <v>305</v>
      </c>
      <c r="AB338" s="148" t="n">
        <v>0.8168981481481481</v>
      </c>
      <c r="AC338" s="148" t="inlineStr">
        <is>
          <t>US SSS4</t>
        </is>
      </c>
      <c r="AD338" s="148">
        <f>'US SSS4'!BF178</f>
        <v/>
      </c>
      <c r="AE338" s="148">
        <f>'US SSS4'!BI178</f>
        <v/>
      </c>
      <c r="AF338" s="148" t="inlineStr">
        <is>
          <t>Queen</t>
        </is>
      </c>
      <c r="AG338" s="148" t="inlineStr">
        <is>
          <t>Black</t>
        </is>
      </c>
      <c r="AH338" s="148">
        <f>AND(E338="CA",OR('CA Dashboard'!$C$4="All",'CA Dashboard'!$C$4=D338),OR('CA Dashboard'!$C$5="All",'CA Dashboard'!$C$5=G338),OR('CA Dashboard'!$C$6="All",'CA Dashboard'!$C$6=H338),OR('CA Dashboard'!$C$7="All",'CA Dashboard'!$C$7=F338),OR('CA Dashboard'!$C$8="All",'CA Dashboard'!$C$8=AJ338))</f>
        <v/>
      </c>
      <c r="AI338" s="148">
        <f>IF(AH338,AI337+1,AI337)</f>
        <v/>
      </c>
      <c r="AJ338" s="148" t="inlineStr">
        <is>
          <t>Alternative material</t>
        </is>
      </c>
      <c r="AK338" s="148" t="inlineStr">
        <is>
          <t>Sheet set in Microfiber / polyester (product page material: Polyester microfiber); ours is Satin (polyester) (our listing: polyester satin). Shopper may cross-shop, but not like-for-like.</t>
        </is>
      </c>
    </row>
    <row r="339">
      <c r="A339" s="148">
        <f>AND(E339="US",OR('US Dashboard'!$C$4="All",'US Dashboard'!$C$4=D339),OR('US Dashboard'!$C$5="All",'US Dashboard'!$C$5=G339),OR('US Dashboard'!$C$6="All",'US Dashboard'!$C$6=H339),OR('US Dashboard'!$C$7="All",'US Dashboard'!$C$7=F339),OR('US Dashboard'!$C$8="All",'US Dashboard'!$C$8=AJ339))</f>
        <v/>
      </c>
      <c r="B339" s="148">
        <f>IF(A339,B338+1,B338)</f>
        <v/>
      </c>
      <c r="C339" s="148" t="n">
        <v>39</v>
      </c>
      <c r="D339" s="148" t="inlineStr">
        <is>
          <t>SSS4</t>
        </is>
      </c>
      <c r="E339" s="148" t="inlineStr">
        <is>
          <t>US</t>
        </is>
      </c>
      <c r="F339" s="148" t="inlineStr">
        <is>
          <t>Satin</t>
        </is>
      </c>
      <c r="G339" s="148" t="inlineStr">
        <is>
          <t>Lanest Housing</t>
        </is>
      </c>
      <c r="H339" s="148" t="inlineStr">
        <is>
          <t>Beatable</t>
        </is>
      </c>
      <c r="I339" s="148" t="inlineStr">
        <is>
          <t>Lanest Housing Silk Satin Sheets, Queen Size Satin Bed Sheet Set with Deep Pockets, Cooling Soft and Hypoallergenic Satin Sheets Queen - Light Gray</t>
        </is>
      </c>
      <c r="J339" s="148" t="inlineStr">
        <is>
          <t>https://images-na.ssl-images-amazon.com/images/I/71PMIXXTc0L.jpg</t>
        </is>
      </c>
      <c r="K339" s="148" t="inlineStr">
        <is>
          <t>B0DC3MX1DP</t>
        </is>
      </c>
      <c r="L339" s="148" t="inlineStr">
        <is>
          <t>B082B5CY3D</t>
        </is>
      </c>
      <c r="M339" s="148" t="n">
        <v>154</v>
      </c>
      <c r="N339" s="148" t="n">
        <v>22.99</v>
      </c>
      <c r="O339" s="148" t="n"/>
      <c r="P339" s="148">
        <f>IF(AND(ISNUMBER(O339),ISNUMBER(N339),N(N339)&gt;0),O339/N339-1,"")</f>
        <v/>
      </c>
      <c r="Q339" s="148" t="n">
        <v>33.95</v>
      </c>
      <c r="R339" s="148">
        <f>IF(AND(ISNUMBER(N339),ISNUMBER(Q339),N(Q339)&gt;0),N339/Q339-1,"")</f>
        <v/>
      </c>
      <c r="S339" s="148" t="n">
        <v>4671</v>
      </c>
      <c r="T339" s="148" t="n">
        <v>208</v>
      </c>
      <c r="U339" s="148" t="n">
        <v>4.3</v>
      </c>
      <c r="V339" s="148" t="n">
        <v>5837</v>
      </c>
      <c r="W339" s="148" t="n">
        <v>163454</v>
      </c>
      <c r="X339" s="148" t="n">
        <v>0.511816095659941</v>
      </c>
      <c r="Y339" s="148" t="n">
        <v>96</v>
      </c>
      <c r="Z339" s="148" t="n">
        <v>228</v>
      </c>
      <c r="AA339" s="148" t="n">
        <v>53</v>
      </c>
      <c r="AB339" s="148" t="n">
        <v>0.4183908045977011</v>
      </c>
      <c r="AC339" s="148" t="inlineStr">
        <is>
          <t>US SSS4</t>
        </is>
      </c>
      <c r="AD339" s="148">
        <f>'US SSS4'!BF179</f>
        <v/>
      </c>
      <c r="AE339" s="148">
        <f>'US SSS4'!BI179</f>
        <v/>
      </c>
      <c r="AF339" s="148" t="inlineStr">
        <is>
          <t>Queen</t>
        </is>
      </c>
      <c r="AG339" s="148" t="inlineStr">
        <is>
          <t>Gray</t>
        </is>
      </c>
      <c r="AH339" s="148">
        <f>AND(E339="CA",OR('CA Dashboard'!$C$4="All",'CA Dashboard'!$C$4=D339),OR('CA Dashboard'!$C$5="All",'CA Dashboard'!$C$5=G339),OR('CA Dashboard'!$C$6="All",'CA Dashboard'!$C$6=H339),OR('CA Dashboard'!$C$7="All",'CA Dashboard'!$C$7=F339),OR('CA Dashboard'!$C$8="All",'CA Dashboard'!$C$8=AJ339))</f>
        <v/>
      </c>
      <c r="AI339" s="148">
        <f>IF(AH339,AI338+1,AI338)</f>
        <v/>
      </c>
      <c r="AJ339" s="148" t="inlineStr">
        <is>
          <t>Alternative material</t>
        </is>
      </c>
      <c r="AK339" s="148" t="inlineStr">
        <is>
          <t>Sheet set in Silk (title: Lanest Housing Silk Satin Sheets, Queen Size Satin Bed Sheet); ours is Satin (polyester) (our listing: polyester satin). Shopper may cross-shop, but not like-for-like.</t>
        </is>
      </c>
    </row>
    <row r="340">
      <c r="A340" s="148">
        <f>AND(E340="US",OR('US Dashboard'!$C$4="All",'US Dashboard'!$C$4=D340),OR('US Dashboard'!$C$5="All",'US Dashboard'!$C$5=G340),OR('US Dashboard'!$C$6="All",'US Dashboard'!$C$6=H340),OR('US Dashboard'!$C$7="All",'US Dashboard'!$C$7=F340),OR('US Dashboard'!$C$8="All",'US Dashboard'!$C$8=AJ340))</f>
        <v/>
      </c>
      <c r="B340" s="148">
        <f>IF(A340,B339+1,B339)</f>
        <v/>
      </c>
      <c r="C340" s="148" t="n">
        <v>39</v>
      </c>
      <c r="D340" s="148" t="inlineStr">
        <is>
          <t>SSS4</t>
        </is>
      </c>
      <c r="E340" s="148" t="inlineStr">
        <is>
          <t>US</t>
        </is>
      </c>
      <c r="F340" s="148" t="inlineStr">
        <is>
          <t>Satin</t>
        </is>
      </c>
      <c r="G340" s="148" t="inlineStr">
        <is>
          <t>Bedsure</t>
        </is>
      </c>
      <c r="H340" s="148" t="inlineStr">
        <is>
          <t>Beatable</t>
        </is>
      </c>
      <c r="I340" s="148" t="inlineStr">
        <is>
          <t>Satin Sheets</t>
        </is>
      </c>
      <c r="J340" s="148" t="inlineStr">
        <is>
          <t>https://images-na.ssl-images-amazon.com/images/I/81zMSoUAMJL.jpg</t>
        </is>
      </c>
      <c r="K340" s="148" t="inlineStr">
        <is>
          <t>B0DCZYNBYS</t>
        </is>
      </c>
      <c r="L340" s="148" t="inlineStr">
        <is>
          <t>B0CJ8RYNTS</t>
        </is>
      </c>
      <c r="M340" s="148" t="n">
        <v>32</v>
      </c>
      <c r="N340" s="148" t="n">
        <v>19.99</v>
      </c>
      <c r="O340" s="148" t="n"/>
      <c r="P340" s="148">
        <f>IF(AND(ISNUMBER(O340),ISNUMBER(N340),N(N340)&gt;0),O340/N340-1,"")</f>
        <v/>
      </c>
      <c r="Q340" s="148" t="n">
        <v>33.95</v>
      </c>
      <c r="R340" s="148">
        <f>IF(AND(ISNUMBER(N340),ISNUMBER(Q340),N(Q340)&gt;0),N340/Q340-1,"")</f>
        <v/>
      </c>
      <c r="S340" s="148" t="n">
        <v>22342</v>
      </c>
      <c r="T340" s="148" t="n">
        <v>92</v>
      </c>
      <c r="U340" s="148" t="n">
        <v>4.3</v>
      </c>
      <c r="V340" s="148" t="n">
        <v>2745</v>
      </c>
      <c r="W340" s="148" t="n">
        <v>89691</v>
      </c>
      <c r="X340" s="148" t="n">
        <v>0.6850140036347012</v>
      </c>
      <c r="Y340" s="148" t="n">
        <v>101</v>
      </c>
      <c r="Z340" s="148" t="n">
        <v>192</v>
      </c>
      <c r="AA340" s="148" t="n">
        <v>129</v>
      </c>
      <c r="AB340" s="148" t="n">
        <v>1.528846153846154</v>
      </c>
      <c r="AC340" s="148" t="inlineStr">
        <is>
          <t>US SSS4</t>
        </is>
      </c>
      <c r="AD340" s="148">
        <f>'US SSS4'!BF180</f>
        <v/>
      </c>
      <c r="AE340" s="148">
        <f>'US SSS4'!BI180</f>
        <v/>
      </c>
      <c r="AF340" s="148" t="inlineStr">
        <is>
          <t>Queen</t>
        </is>
      </c>
      <c r="AG340" s="148" t="inlineStr">
        <is>
          <t>02 - Black</t>
        </is>
      </c>
      <c r="AH340" s="148">
        <f>AND(E340="CA",OR('CA Dashboard'!$C$4="All",'CA Dashboard'!$C$4=D340),OR('CA Dashboard'!$C$5="All",'CA Dashboard'!$C$5=G340),OR('CA Dashboard'!$C$6="All",'CA Dashboard'!$C$6=H340),OR('CA Dashboard'!$C$7="All",'CA Dashboard'!$C$7=F340),OR('CA Dashboard'!$C$8="All",'CA Dashboard'!$C$8=AJ340))</f>
        <v/>
      </c>
      <c r="AI340" s="148">
        <f>IF(AH340,AI339+1,AI339)</f>
        <v/>
      </c>
      <c r="AJ340" s="148" t="inlineStr">
        <is>
          <t>Alternative material</t>
        </is>
      </c>
      <c r="AK340" s="148" t="inlineStr">
        <is>
          <t>Sheet set in Microfiber / polyester (product page material: Polyester); ours is Satin (polyester) (our listing: polyester satin). Shopper may cross-shop, but not like-for-like.</t>
        </is>
      </c>
    </row>
    <row r="341">
      <c r="A341" s="148">
        <f>AND(E341="US",OR('US Dashboard'!$C$4="All",'US Dashboard'!$C$4=D341),OR('US Dashboard'!$C$5="All",'US Dashboard'!$C$5=G341),OR('US Dashboard'!$C$6="All",'US Dashboard'!$C$6=H341),OR('US Dashboard'!$C$7="All",'US Dashboard'!$C$7=F341),OR('US Dashboard'!$C$8="All",'US Dashboard'!$C$8=AJ341))</f>
        <v/>
      </c>
      <c r="B341" s="148">
        <f>IF(A341,B340+1,B340)</f>
        <v/>
      </c>
      <c r="C341" s="148" t="n">
        <v>39</v>
      </c>
      <c r="D341" s="148" t="inlineStr">
        <is>
          <t>SSS4</t>
        </is>
      </c>
      <c r="E341" s="148" t="inlineStr">
        <is>
          <t>US</t>
        </is>
      </c>
      <c r="F341" s="148" t="inlineStr">
        <is>
          <t>Satin</t>
        </is>
      </c>
      <c r="G341" s="148" t="inlineStr">
        <is>
          <t>Sasttie</t>
        </is>
      </c>
      <c r="H341" s="148" t="inlineStr">
        <is>
          <t>Beatable</t>
        </is>
      </c>
      <c r="I341" s="148" t="inlineStr">
        <is>
          <t>Sasttie Satin Sheets Queen Size - 4 Pieces Luxury Soft Black Silky Bed Sheets Set with Pillowcases - Smooth Silk-Like Satin Fabric, Reinforced 14 Inches Pocket, Oeko-Tex Certified</t>
        </is>
      </c>
      <c r="J341" s="148" t="inlineStr">
        <is>
          <t>https://images-na.ssl-images-amazon.com/images/I/71MADUOjsFL.jpg</t>
        </is>
      </c>
      <c r="K341" s="148" t="inlineStr">
        <is>
          <t>B0F2H9HX69</t>
        </is>
      </c>
      <c r="L341" s="148" t="inlineStr">
        <is>
          <t>B0F2H8LPB3</t>
        </is>
      </c>
      <c r="M341" s="148" t="n">
        <v>47</v>
      </c>
      <c r="N341" s="148" t="n">
        <v>15.99</v>
      </c>
      <c r="O341" s="148" t="n"/>
      <c r="P341" s="148">
        <f>IF(AND(ISNUMBER(O341),ISNUMBER(N341),N(N341)&gt;0),O341/N341-1,"")</f>
        <v/>
      </c>
      <c r="Q341" s="148" t="n">
        <v>33.95</v>
      </c>
      <c r="R341" s="148">
        <f>IF(AND(ISNUMBER(N341),ISNUMBER(Q341),N(Q341)&gt;0),N341/Q341-1,"")</f>
        <v/>
      </c>
      <c r="S341" s="148" t="n">
        <v>58723</v>
      </c>
      <c r="T341" s="148" t="n">
        <v>35</v>
      </c>
      <c r="U341" s="148" t="n">
        <v>4.5</v>
      </c>
      <c r="V341" s="148" t="n">
        <v>968</v>
      </c>
      <c r="W341" s="148" t="n">
        <v>26952</v>
      </c>
      <c r="X341" s="148" t="n">
        <v>0.9879767104482041</v>
      </c>
      <c r="Y341" s="148" t="n">
        <v>132</v>
      </c>
      <c r="Z341" s="148" t="n">
        <v>107</v>
      </c>
      <c r="AA341" s="148" t="n">
        <v>13</v>
      </c>
      <c r="AB341" s="148" t="n">
        <v>1.063356164383562</v>
      </c>
      <c r="AC341" s="148" t="inlineStr">
        <is>
          <t>US SSS4</t>
        </is>
      </c>
      <c r="AD341" s="148">
        <f>'US SSS4'!BF181</f>
        <v/>
      </c>
      <c r="AE341" s="148">
        <f>'US SSS4'!BI181</f>
        <v/>
      </c>
      <c r="AF341" s="148" t="inlineStr">
        <is>
          <t>Queen</t>
        </is>
      </c>
      <c r="AG341" s="148" t="inlineStr">
        <is>
          <t>Black</t>
        </is>
      </c>
      <c r="AH341" s="148">
        <f>AND(E341="CA",OR('CA Dashboard'!$C$4="All",'CA Dashboard'!$C$4=D341),OR('CA Dashboard'!$C$5="All",'CA Dashboard'!$C$5=G341),OR('CA Dashboard'!$C$6="All",'CA Dashboard'!$C$6=H341),OR('CA Dashboard'!$C$7="All",'CA Dashboard'!$C$7=F341),OR('CA Dashboard'!$C$8="All",'CA Dashboard'!$C$8=AJ341))</f>
        <v/>
      </c>
      <c r="AI341" s="148">
        <f>IF(AH341,AI340+1,AI340)</f>
        <v/>
      </c>
      <c r="AJ341" s="148" t="inlineStr">
        <is>
          <t>Alternative material</t>
        </is>
      </c>
      <c r="AK341" s="148" t="inlineStr">
        <is>
          <t>Sheet set in Silk (title: Sasttie Satin Sheets Queen Size - 4 Pieces Luxury Soft Black); ours is Satin (polyester) (our listing: polyester satin). Shopper may cross-shop, but not like-for-like.</t>
        </is>
      </c>
    </row>
    <row r="342">
      <c r="A342" s="148">
        <f>AND(E342="US",OR('US Dashboard'!$C$4="All",'US Dashboard'!$C$4=D342),OR('US Dashboard'!$C$5="All",'US Dashboard'!$C$5=G342),OR('US Dashboard'!$C$6="All",'US Dashboard'!$C$6=H342),OR('US Dashboard'!$C$7="All",'US Dashboard'!$C$7=F342),OR('US Dashboard'!$C$8="All",'US Dashboard'!$C$8=AJ342))</f>
        <v/>
      </c>
      <c r="B342" s="148">
        <f>IF(A342,B341+1,B341)</f>
        <v/>
      </c>
      <c r="C342" s="148" t="n">
        <v>39</v>
      </c>
      <c r="D342" s="148" t="inlineStr">
        <is>
          <t>SSS4</t>
        </is>
      </c>
      <c r="E342" s="148" t="inlineStr">
        <is>
          <t>US</t>
        </is>
      </c>
      <c r="F342" s="148" t="inlineStr">
        <is>
          <t>Satin</t>
        </is>
      </c>
      <c r="G342" s="148" t="inlineStr">
        <is>
          <t>Madison Park</t>
        </is>
      </c>
      <c r="H342" s="148" t="inlineStr">
        <is>
          <t>Beatable</t>
        </is>
      </c>
      <c r="I342" s="148" t="inlineStr">
        <is>
          <t>Satin Sheets</t>
        </is>
      </c>
      <c r="J342" s="148" t="inlineStr">
        <is>
          <t>https://images-na.ssl-images-amazon.com/images/I/81HS7e6wrTL.jpg</t>
        </is>
      </c>
      <c r="K342" s="148" t="inlineStr">
        <is>
          <t>B0DJ2HJ9M4</t>
        </is>
      </c>
      <c r="L342" s="148" t="inlineStr">
        <is>
          <t>B09HVCPNLX</t>
        </is>
      </c>
      <c r="M342" s="148" t="n">
        <v>44</v>
      </c>
      <c r="N342" s="148" t="n">
        <v>26.99</v>
      </c>
      <c r="O342" s="148" t="n"/>
      <c r="P342" s="148">
        <f>IF(AND(ISNUMBER(O342),ISNUMBER(N342),N(N342)&gt;0),O342/N342-1,"")</f>
        <v/>
      </c>
      <c r="Q342" s="148" t="n">
        <v>33.95</v>
      </c>
      <c r="R342" s="148">
        <f>IF(AND(ISNUMBER(N342),ISNUMBER(Q342),N(Q342)&gt;0),N342/Q342-1,"")</f>
        <v/>
      </c>
      <c r="S342" s="148" t="n">
        <v>76753</v>
      </c>
      <c r="T342" s="148" t="n">
        <v>18</v>
      </c>
      <c r="U342" s="148" t="n">
        <v>4.5</v>
      </c>
      <c r="V342" s="148" t="n">
        <v>127</v>
      </c>
      <c r="W342" s="148" t="n">
        <v>35631</v>
      </c>
      <c r="X342" s="148" t="n">
        <v>0.9497345738261626</v>
      </c>
      <c r="Y342" s="148" t="n">
        <v>146</v>
      </c>
      <c r="Z342" s="148" t="n">
        <v>87</v>
      </c>
      <c r="AA342" s="148" t="n">
        <v>18</v>
      </c>
      <c r="AB342" s="148" t="n">
        <v>0.6901408450704226</v>
      </c>
      <c r="AC342" s="148" t="inlineStr">
        <is>
          <t>US SSS4</t>
        </is>
      </c>
      <c r="AD342" s="148">
        <f>'US SSS4'!BF182</f>
        <v/>
      </c>
      <c r="AE342" s="148">
        <f>'US SSS4'!BI182</f>
        <v/>
      </c>
      <c r="AF342" s="148" t="inlineStr">
        <is>
          <t>Queen</t>
        </is>
      </c>
      <c r="AG342" s="148" t="inlineStr">
        <is>
          <t>Ivory</t>
        </is>
      </c>
      <c r="AH342" s="148">
        <f>AND(E342="CA",OR('CA Dashboard'!$C$4="All",'CA Dashboard'!$C$4=D342),OR('CA Dashboard'!$C$5="All",'CA Dashboard'!$C$5=G342),OR('CA Dashboard'!$C$6="All",'CA Dashboard'!$C$6=H342),OR('CA Dashboard'!$C$7="All",'CA Dashboard'!$C$7=F342),OR('CA Dashboard'!$C$8="All",'CA Dashboard'!$C$8=AJ342))</f>
        <v/>
      </c>
      <c r="AI342" s="148">
        <f>IF(AH342,AI341+1,AI341)</f>
        <v/>
      </c>
      <c r="AJ342" s="148" t="inlineStr">
        <is>
          <t>Alternative material</t>
        </is>
      </c>
      <c r="AK342" s="148" t="inlineStr">
        <is>
          <t>Sheet set in Microfiber / polyester (product page material: Polyester); ours is Satin (polyester) (our listing: polyester satin). Shopper may cross-shop, but not like-for-like.</t>
        </is>
      </c>
    </row>
    <row r="343">
      <c r="A343" s="148">
        <f>AND(E343="US",OR('US Dashboard'!$C$4="All",'US Dashboard'!$C$4=D343),OR('US Dashboard'!$C$5="All",'US Dashboard'!$C$5=G343),OR('US Dashboard'!$C$6="All",'US Dashboard'!$C$6=H343),OR('US Dashboard'!$C$7="All",'US Dashboard'!$C$7=F343),OR('US Dashboard'!$C$8="All",'US Dashboard'!$C$8=AJ343))</f>
        <v/>
      </c>
      <c r="B343" s="148">
        <f>IF(A343,B342+1,B342)</f>
        <v/>
      </c>
      <c r="C343" s="148" t="n">
        <v>39</v>
      </c>
      <c r="D343" s="148" t="inlineStr">
        <is>
          <t>SSS4</t>
        </is>
      </c>
      <c r="E343" s="148" t="inlineStr">
        <is>
          <t>US</t>
        </is>
      </c>
      <c r="F343" s="148" t="inlineStr">
        <is>
          <t>Satin</t>
        </is>
      </c>
      <c r="G343" s="148" t="inlineStr">
        <is>
          <t>Juicy Couture</t>
        </is>
      </c>
      <c r="H343" s="148" t="inlineStr">
        <is>
          <t>Beatable</t>
        </is>
      </c>
      <c r="I343" s="148" t="inlineStr">
        <is>
          <t>Juicy Couture Queen Size Satin Bed Sheet Set, Deep Pocket Silky Satin Queen Shee</t>
        </is>
      </c>
      <c r="J343" s="148" t="inlineStr">
        <is>
          <t>https://images-na.ssl-images-amazon.com/images/I/81M3kmoCTLL.jpg</t>
        </is>
      </c>
      <c r="K343" s="148" t="inlineStr">
        <is>
          <t>B0FB47M9WR</t>
        </is>
      </c>
      <c r="L343" s="148" t="inlineStr">
        <is>
          <t>B0BK1WH383</t>
        </is>
      </c>
      <c r="M343" s="148" t="n">
        <v>58</v>
      </c>
      <c r="N343" s="148" t="n">
        <v>5.93</v>
      </c>
      <c r="O343" s="148" t="n"/>
      <c r="P343" s="148">
        <f>IF(AND(ISNUMBER(O343),ISNUMBER(N343),N(N343)&gt;0),O343/N343-1,"")</f>
        <v/>
      </c>
      <c r="Q343" s="148" t="n">
        <v>37.05571428571429</v>
      </c>
      <c r="R343" s="148">
        <f>IF(AND(ISNUMBER(N343),ISNUMBER(Q343),N(Q343)&gt;0),N343/Q343-1,"")</f>
        <v/>
      </c>
      <c r="S343" s="148" t="n">
        <v>80060</v>
      </c>
      <c r="T343" s="148" t="n">
        <v>5</v>
      </c>
      <c r="U343" s="148" t="n">
        <v>4.6</v>
      </c>
      <c r="V343" s="148" t="n">
        <v>46</v>
      </c>
      <c r="W343" s="148" t="n">
        <v>41904</v>
      </c>
      <c r="X343" s="148" t="n">
        <v>0.8273237471363115</v>
      </c>
      <c r="Y343" s="148" t="n">
        <v>156</v>
      </c>
      <c r="Z343" s="148" t="n">
        <v>71</v>
      </c>
      <c r="AA343" s="148" t="n">
        <v>112</v>
      </c>
      <c r="AB343" s="148" t="n"/>
      <c r="AC343" s="148" t="inlineStr">
        <is>
          <t>US SSS4</t>
        </is>
      </c>
      <c r="AD343" s="148">
        <f>'US SSS4'!BF183</f>
        <v/>
      </c>
      <c r="AE343" s="148">
        <f>'US SSS4'!BI183</f>
        <v/>
      </c>
      <c r="AF343" s="148" t="inlineStr">
        <is>
          <t>Standard Pillowcases - 2 Piece Set</t>
        </is>
      </c>
      <c r="AG343" s="148" t="inlineStr">
        <is>
          <t>Pink</t>
        </is>
      </c>
      <c r="AH343" s="148">
        <f>AND(E343="CA",OR('CA Dashboard'!$C$4="All",'CA Dashboard'!$C$4=D343),OR('CA Dashboard'!$C$5="All",'CA Dashboard'!$C$5=G343),OR('CA Dashboard'!$C$6="All",'CA Dashboard'!$C$6=H343),OR('CA Dashboard'!$C$7="All",'CA Dashboard'!$C$7=F343),OR('CA Dashboard'!$C$8="All",'CA Dashboard'!$C$8=AJ343))</f>
        <v/>
      </c>
      <c r="AI343" s="148">
        <f>IF(AH343,AI342+1,AI342)</f>
        <v/>
      </c>
      <c r="AJ343" s="148" t="inlineStr">
        <is>
          <t>Alternative material</t>
        </is>
      </c>
      <c r="AK343" s="148" t="inlineStr">
        <is>
          <t>Sheet set in Microfiber / polyester (product page material: Polyester); ours is Satin (polyester) (our listing: polyester satin). Shopper may cross-shop, but not like-for-like.</t>
        </is>
      </c>
    </row>
    <row r="344">
      <c r="A344" s="148">
        <f>AND(E344="US",OR('US Dashboard'!$C$4="All",'US Dashboard'!$C$4=D344),OR('US Dashboard'!$C$5="All",'US Dashboard'!$C$5=G344),OR('US Dashboard'!$C$6="All",'US Dashboard'!$C$6=H344),OR('US Dashboard'!$C$7="All",'US Dashboard'!$C$7=F344),OR('US Dashboard'!$C$8="All",'US Dashboard'!$C$8=AJ344))</f>
        <v/>
      </c>
      <c r="B344" s="148">
        <f>IF(A344,B343+1,B343)</f>
        <v/>
      </c>
      <c r="C344" s="148" t="n">
        <v>39</v>
      </c>
      <c r="D344" s="148" t="inlineStr">
        <is>
          <t>SSS4</t>
        </is>
      </c>
      <c r="E344" s="148" t="inlineStr">
        <is>
          <t>US</t>
        </is>
      </c>
      <c r="F344" s="148" t="inlineStr">
        <is>
          <t>Satin</t>
        </is>
      </c>
      <c r="G344" s="148" t="inlineStr">
        <is>
          <t>GOLAL</t>
        </is>
      </c>
      <c r="H344" s="148" t="inlineStr">
        <is>
          <t>Poor</t>
        </is>
      </c>
      <c r="I344" s="148" t="inlineStr">
        <is>
          <t>GOLAL Satin Sheets Full Size - 4 Pieces Luxury Silky Soft Bed Sheets, Wrinkle-Free Black Satin Silk Sheet Set with 1 Deep Pocket Fitted Sheet, 1 Flat Sheet, 2 Pillow Cases</t>
        </is>
      </c>
      <c r="J344" s="148" t="inlineStr">
        <is>
          <t>https://images-na.ssl-images-amazon.com/images/I/71r48b+Sh9L.jpg</t>
        </is>
      </c>
      <c r="K344" s="148" t="inlineStr">
        <is>
          <t>B0B1Q2JG5X</t>
        </is>
      </c>
      <c r="L344" s="148" t="inlineStr">
        <is>
          <t>B09G17SQXF</t>
        </is>
      </c>
      <c r="M344" s="148" t="n">
        <v>94</v>
      </c>
      <c r="N344" s="148" t="n">
        <v>21.99</v>
      </c>
      <c r="O344" s="148" t="n"/>
      <c r="P344" s="148">
        <f>IF(AND(ISNUMBER(O344),ISNUMBER(N344),N(N344)&gt;0),O344/N344-1,"")</f>
        <v/>
      </c>
      <c r="Q344" s="148" t="n">
        <v>31.95</v>
      </c>
      <c r="R344" s="148">
        <f>IF(AND(ISNUMBER(N344),ISNUMBER(Q344),N(Q344)&gt;0),N344/Q344-1,"")</f>
        <v/>
      </c>
      <c r="S344" s="148" t="n">
        <v>132024</v>
      </c>
      <c r="T344" s="148" t="n">
        <v>81</v>
      </c>
      <c r="U344" s="148" t="n">
        <v>4.4</v>
      </c>
      <c r="V344" s="148" t="n">
        <v>3943</v>
      </c>
      <c r="W344" s="148" t="n">
        <v>48561</v>
      </c>
      <c r="X344" s="148" t="n">
        <v>0.6641788183933609</v>
      </c>
      <c r="Y344" s="148" t="n">
        <v>118</v>
      </c>
      <c r="Z344" s="148" t="n">
        <v>146</v>
      </c>
      <c r="AA344" s="148" t="n">
        <v>31</v>
      </c>
      <c r="AB344" s="148" t="n">
        <v>0.8779220779220779</v>
      </c>
      <c r="AC344" s="148" t="inlineStr">
        <is>
          <t>US SSS4</t>
        </is>
      </c>
      <c r="AD344" s="148">
        <f>'US SSS4'!BF184</f>
        <v/>
      </c>
      <c r="AE344" s="148">
        <f>'US SSS4'!BI184</f>
        <v/>
      </c>
      <c r="AF344" s="148" t="inlineStr">
        <is>
          <t>Full</t>
        </is>
      </c>
      <c r="AG344" s="148" t="inlineStr">
        <is>
          <t>Black</t>
        </is>
      </c>
      <c r="AH344" s="148">
        <f>AND(E344="CA",OR('CA Dashboard'!$C$4="All",'CA Dashboard'!$C$4=D344),OR('CA Dashboard'!$C$5="All",'CA Dashboard'!$C$5=G344),OR('CA Dashboard'!$C$6="All",'CA Dashboard'!$C$6=H344),OR('CA Dashboard'!$C$7="All",'CA Dashboard'!$C$7=F344),OR('CA Dashboard'!$C$8="All",'CA Dashboard'!$C$8=AJ344))</f>
        <v/>
      </c>
      <c r="AI344" s="148">
        <f>IF(AH344,AI343+1,AI343)</f>
        <v/>
      </c>
      <c r="AJ344" s="148" t="inlineStr">
        <is>
          <t>Alternative material</t>
        </is>
      </c>
      <c r="AK344" s="148" t="inlineStr">
        <is>
          <t>Sheet set in Silk (title: GOLAL Satin Sheets Full Size - 4 Pieces Luxury Silky Soft Be); ours is Satin (polyester) (our listing: polyester satin). Shopper may cross-shop, but not like-for-like.</t>
        </is>
      </c>
    </row>
    <row r="345">
      <c r="A345" s="148">
        <f>AND(E345="US",OR('US Dashboard'!$C$4="All",'US Dashboard'!$C$4=D345),OR('US Dashboard'!$C$5="All",'US Dashboard'!$C$5=G345),OR('US Dashboard'!$C$6="All",'US Dashboard'!$C$6=H345),OR('US Dashboard'!$C$7="All",'US Dashboard'!$C$7=F345),OR('US Dashboard'!$C$8="All",'US Dashboard'!$C$8=AJ345))</f>
        <v/>
      </c>
      <c r="B345" s="148">
        <f>IF(A345,B344+1,B344)</f>
        <v/>
      </c>
      <c r="C345" s="148" t="n">
        <v>39</v>
      </c>
      <c r="D345" s="148" t="inlineStr">
        <is>
          <t>SSS4</t>
        </is>
      </c>
      <c r="E345" s="148" t="inlineStr">
        <is>
          <t>US</t>
        </is>
      </c>
      <c r="F345" s="148" t="inlineStr">
        <is>
          <t>Satin</t>
        </is>
      </c>
      <c r="G345" s="148" t="inlineStr">
        <is>
          <t>Cobedzy</t>
        </is>
      </c>
      <c r="H345" s="148" t="inlineStr">
        <is>
          <t>Poor</t>
        </is>
      </c>
      <c r="I345" s="148" t="inlineStr">
        <is>
          <t>Satin Sheets</t>
        </is>
      </c>
      <c r="J345" s="148" t="inlineStr">
        <is>
          <t>https://images-na.ssl-images-amazon.com/images/I/61QL2B3WPsL.jpg</t>
        </is>
      </c>
      <c r="K345" s="148" t="inlineStr">
        <is>
          <t>B099PPQ7T3</t>
        </is>
      </c>
      <c r="L345" s="148" t="inlineStr">
        <is>
          <t>B087CSRQQ4</t>
        </is>
      </c>
      <c r="M345" s="148" t="n">
        <v>18</v>
      </c>
      <c r="N345" s="148" t="n">
        <v>24.99</v>
      </c>
      <c r="O345" s="148" t="n"/>
      <c r="P345" s="148">
        <f>IF(AND(ISNUMBER(O345),ISNUMBER(N345),N(N345)&gt;0),O345/N345-1,"")</f>
        <v/>
      </c>
      <c r="Q345" s="148" t="n">
        <v>33.95</v>
      </c>
      <c r="R345" s="148">
        <f>IF(AND(ISNUMBER(N345),ISNUMBER(Q345),N(Q345)&gt;0),N345/Q345-1,"")</f>
        <v/>
      </c>
      <c r="S345" s="148" t="n">
        <v>68667</v>
      </c>
      <c r="T345" s="148" t="n">
        <v>35</v>
      </c>
      <c r="U345" s="148" t="n">
        <v>4.4</v>
      </c>
      <c r="V345" s="148" t="n">
        <v>2838</v>
      </c>
      <c r="W345" s="148" t="n">
        <v>21925</v>
      </c>
      <c r="X345" s="148" t="n">
        <v>0.9295306681870016</v>
      </c>
      <c r="Y345" s="148" t="n">
        <v>154</v>
      </c>
      <c r="Z345" s="148" t="n">
        <v>80</v>
      </c>
      <c r="AA345" s="148" t="n">
        <v>39</v>
      </c>
      <c r="AB345" s="148" t="n">
        <v>0.8934169278996865</v>
      </c>
      <c r="AC345" s="148" t="inlineStr">
        <is>
          <t>US SSS4</t>
        </is>
      </c>
      <c r="AD345" s="148">
        <f>'US SSS4'!BF185</f>
        <v/>
      </c>
      <c r="AE345" s="148">
        <f>'US SSS4'!BI185</f>
        <v/>
      </c>
      <c r="AF345" s="148" t="inlineStr">
        <is>
          <t>Queen</t>
        </is>
      </c>
      <c r="AG345" s="148" t="inlineStr">
        <is>
          <t>Blush Pink</t>
        </is>
      </c>
      <c r="AH345" s="148">
        <f>AND(E345="CA",OR('CA Dashboard'!$C$4="All",'CA Dashboard'!$C$4=D345),OR('CA Dashboard'!$C$5="All",'CA Dashboard'!$C$5=G345),OR('CA Dashboard'!$C$6="All",'CA Dashboard'!$C$6=H345),OR('CA Dashboard'!$C$7="All",'CA Dashboard'!$C$7=F345),OR('CA Dashboard'!$C$8="All",'CA Dashboard'!$C$8=AJ345))</f>
        <v/>
      </c>
      <c r="AI345" s="148">
        <f>IF(AH345,AI344+1,AI344)</f>
        <v/>
      </c>
      <c r="AJ345" s="148" t="inlineStr">
        <is>
          <t>Alternative material</t>
        </is>
      </c>
      <c r="AK345" s="148" t="inlineStr">
        <is>
          <t>Sheet set in Microfiber / polyester (product page material: Polyester); ours is Satin (polyester) (our listing: polyester satin). Shopper may cross-shop, but not like-for-like.</t>
        </is>
      </c>
    </row>
    <row r="346">
      <c r="A346" s="148">
        <f>AND(E346="US",OR('US Dashboard'!$C$4="All",'US Dashboard'!$C$4=D346),OR('US Dashboard'!$C$5="All",'US Dashboard'!$C$5=G346),OR('US Dashboard'!$C$6="All",'US Dashboard'!$C$6=H346),OR('US Dashboard'!$C$7="All",'US Dashboard'!$C$7=F346),OR('US Dashboard'!$C$8="All",'US Dashboard'!$C$8=AJ346))</f>
        <v/>
      </c>
      <c r="B346" s="148">
        <f>IF(A346,B345+1,B345)</f>
        <v/>
      </c>
      <c r="C346" s="148" t="n">
        <v>39</v>
      </c>
      <c r="D346" s="148" t="inlineStr">
        <is>
          <t>SSS4</t>
        </is>
      </c>
      <c r="E346" s="148" t="inlineStr">
        <is>
          <t>US</t>
        </is>
      </c>
      <c r="F346" s="148" t="inlineStr">
        <is>
          <t>Satin</t>
        </is>
      </c>
      <c r="G346" s="148" t="inlineStr">
        <is>
          <t>Vonty</t>
        </is>
      </c>
      <c r="H346" s="148" t="inlineStr">
        <is>
          <t>Poor</t>
        </is>
      </c>
      <c r="I346" s="148" t="inlineStr">
        <is>
          <t>Satin Sheets</t>
        </is>
      </c>
      <c r="J346" s="148" t="inlineStr">
        <is>
          <t>https://m.media-amazon.com/images/I/71HVTciZ9oL._AC_SL1500_.jpg</t>
        </is>
      </c>
      <c r="K346" s="148" t="inlineStr">
        <is>
          <t>B0BDDJM9RW</t>
        </is>
      </c>
      <c r="L346" s="148" t="inlineStr">
        <is>
          <t>B0BDDGJ38X</t>
        </is>
      </c>
      <c r="M346" s="148" t="n">
        <v>22</v>
      </c>
      <c r="N346" s="148" t="n">
        <v>30.99</v>
      </c>
      <c r="O346" s="148" t="n"/>
      <c r="P346" s="148">
        <f>IF(AND(ISNUMBER(O346),ISNUMBER(N346),N(N346)&gt;0),O346/N346-1,"")</f>
        <v/>
      </c>
      <c r="Q346" s="148" t="n">
        <v>35.95</v>
      </c>
      <c r="R346" s="148">
        <f>IF(AND(ISNUMBER(N346),ISNUMBER(Q346),N(Q346)&gt;0),N346/Q346-1,"")</f>
        <v/>
      </c>
      <c r="S346" s="148" t="n">
        <v>83620</v>
      </c>
      <c r="T346" s="148" t="n">
        <v>35</v>
      </c>
      <c r="U346" s="148" t="n">
        <v>4.2</v>
      </c>
      <c r="V346" s="148" t="n">
        <v>909</v>
      </c>
      <c r="W346" s="148" t="n">
        <v>11441</v>
      </c>
      <c r="X346" s="148" t="n">
        <v>0.9484301110042829</v>
      </c>
      <c r="Y346" s="148" t="n">
        <v>143</v>
      </c>
      <c r="Z346" s="148" t="n">
        <v>45</v>
      </c>
      <c r="AA346" s="148" t="n">
        <v>15</v>
      </c>
      <c r="AB346" s="148" t="n">
        <v>0.9861111111111112</v>
      </c>
      <c r="AC346" s="148" t="inlineStr">
        <is>
          <t>US SSS4</t>
        </is>
      </c>
      <c r="AD346" s="148">
        <f>'US SSS4'!BF186</f>
        <v/>
      </c>
      <c r="AE346" s="148">
        <f>'US SSS4'!BI186</f>
        <v/>
      </c>
      <c r="AF346" s="148" t="inlineStr">
        <is>
          <t>King - Extra Deep Pocket</t>
        </is>
      </c>
      <c r="AG346" s="148" t="inlineStr">
        <is>
          <t>Black</t>
        </is>
      </c>
      <c r="AH346" s="148">
        <f>AND(E346="CA",OR('CA Dashboard'!$C$4="All",'CA Dashboard'!$C$4=D346),OR('CA Dashboard'!$C$5="All",'CA Dashboard'!$C$5=G346),OR('CA Dashboard'!$C$6="All",'CA Dashboard'!$C$6=H346),OR('CA Dashboard'!$C$7="All",'CA Dashboard'!$C$7=F346),OR('CA Dashboard'!$C$8="All",'CA Dashboard'!$C$8=AJ346))</f>
        <v/>
      </c>
      <c r="AI346" s="148">
        <f>IF(AH346,AI345+1,AI345)</f>
        <v/>
      </c>
      <c r="AJ346" s="148" t="inlineStr">
        <is>
          <t>Alternative material</t>
        </is>
      </c>
      <c r="AK346" s="148" t="inlineStr">
        <is>
          <t>Sheet set in Microfiber / polyester (product page material: Polyester); ours is Satin (polyester) (our listing: polyester satin). Shopper may cross-shop, but not like-for-like.</t>
        </is>
      </c>
    </row>
    <row r="347">
      <c r="A347" s="148">
        <f>AND(E347="US",OR('US Dashboard'!$C$4="All",'US Dashboard'!$C$4=D347),OR('US Dashboard'!$C$5="All",'US Dashboard'!$C$5=G347),OR('US Dashboard'!$C$6="All",'US Dashboard'!$C$6=H347),OR('US Dashboard'!$C$7="All",'US Dashboard'!$C$7=F347),OR('US Dashboard'!$C$8="All",'US Dashboard'!$C$8=AJ347))</f>
        <v/>
      </c>
      <c r="B347" s="148">
        <f>IF(A347,B346+1,B346)</f>
        <v/>
      </c>
      <c r="C347" s="148" t="n">
        <v>39</v>
      </c>
      <c r="D347" s="148" t="inlineStr">
        <is>
          <t>SSS4</t>
        </is>
      </c>
      <c r="E347" s="148" t="inlineStr">
        <is>
          <t>US</t>
        </is>
      </c>
      <c r="F347" s="148" t="inlineStr">
        <is>
          <t>Satin</t>
        </is>
      </c>
      <c r="G347" s="148" t="inlineStr">
        <is>
          <t>Martex</t>
        </is>
      </c>
      <c r="H347" s="148" t="inlineStr">
        <is>
          <t>Poor</t>
        </is>
      </c>
      <c r="I347" s="148" t="inlineStr">
        <is>
          <t>Satin Sheets</t>
        </is>
      </c>
      <c r="J347" s="148" t="inlineStr">
        <is>
          <t>https://m.media-amazon.com/images/I/71kVc8L0urL._AC_SL1500_.jpg</t>
        </is>
      </c>
      <c r="K347" s="148" t="inlineStr">
        <is>
          <t>B0DLGX8P9D</t>
        </is>
      </c>
      <c r="L347" s="148" t="inlineStr">
        <is>
          <t>B07X49LFDC</t>
        </is>
      </c>
      <c r="M347" s="148" t="n"/>
      <c r="N347" s="148" t="n">
        <v>23.34</v>
      </c>
      <c r="O347" s="148" t="n"/>
      <c r="P347" s="148">
        <f>IF(AND(ISNUMBER(O347),ISNUMBER(N347),N(N347)&gt;0),O347/N347-1,"")</f>
        <v/>
      </c>
      <c r="Q347" s="148" t="n">
        <v>33.95</v>
      </c>
      <c r="R347" s="148">
        <f>IF(AND(ISNUMBER(N347),ISNUMBER(Q347),N(Q347)&gt;0),N347/Q347-1,"")</f>
        <v/>
      </c>
      <c r="S347" s="148" t="n">
        <v>52458</v>
      </c>
      <c r="T347" s="148" t="n">
        <v>5</v>
      </c>
      <c r="U347" s="148" t="n">
        <v>4.3</v>
      </c>
      <c r="V347" s="148" t="n">
        <v>2260</v>
      </c>
      <c r="W347" s="148" t="n"/>
      <c r="X347" s="148" t="n"/>
      <c r="Y347" s="148" t="n"/>
      <c r="Z347" s="148" t="n"/>
      <c r="AA347" s="148" t="n"/>
      <c r="AB347" s="148" t="n"/>
      <c r="AC347" s="148" t="inlineStr">
        <is>
          <t>US SSS4</t>
        </is>
      </c>
      <c r="AD347" s="148">
        <f>'US SSS4'!BF187</f>
        <v/>
      </c>
      <c r="AE347" s="148">
        <f>'US SSS4'!BI187</f>
        <v/>
      </c>
      <c r="AF347" s="148" t="inlineStr">
        <is>
          <t>Queen</t>
        </is>
      </c>
      <c r="AG347" s="148" t="inlineStr">
        <is>
          <t>Pink</t>
        </is>
      </c>
      <c r="AH347" s="148">
        <f>AND(E347="CA",OR('CA Dashboard'!$C$4="All",'CA Dashboard'!$C$4=D347),OR('CA Dashboard'!$C$5="All",'CA Dashboard'!$C$5=G347),OR('CA Dashboard'!$C$6="All",'CA Dashboard'!$C$6=H347),OR('CA Dashboard'!$C$7="All",'CA Dashboard'!$C$7=F347),OR('CA Dashboard'!$C$8="All",'CA Dashboard'!$C$8=AJ347))</f>
        <v/>
      </c>
      <c r="AI347" s="148">
        <f>IF(AH347,AI346+1,AI346)</f>
        <v/>
      </c>
      <c r="AJ347" s="148" t="inlineStr">
        <is>
          <t>Alternative material</t>
        </is>
      </c>
      <c r="AK347" s="148" t="inlineStr">
        <is>
          <t>Sheet set in Microfiber / polyester (product page material: Polyester); ours is Satin (polyester) (our listing: polyester satin). Shopper may cross-shop, but not like-for-like.</t>
        </is>
      </c>
    </row>
    <row r="348">
      <c r="A348" s="148">
        <f>AND(E348="US",OR('US Dashboard'!$C$4="All",'US Dashboard'!$C$4=D348),OR('US Dashboard'!$C$5="All",'US Dashboard'!$C$5=G348),OR('US Dashboard'!$C$6="All",'US Dashboard'!$C$6=H348),OR('US Dashboard'!$C$7="All",'US Dashboard'!$C$7=F348),OR('US Dashboard'!$C$8="All",'US Dashboard'!$C$8=AJ348))</f>
        <v/>
      </c>
      <c r="B348" s="148">
        <f>IF(A348,B347+1,B347)</f>
        <v/>
      </c>
      <c r="C348" s="148" t="n">
        <v>39</v>
      </c>
      <c r="D348" s="148" t="inlineStr">
        <is>
          <t>SSS4</t>
        </is>
      </c>
      <c r="E348" s="148" t="inlineStr">
        <is>
          <t>CA</t>
        </is>
      </c>
      <c r="F348" s="148" t="inlineStr">
        <is>
          <t>Satin</t>
        </is>
      </c>
      <c r="G348" s="148" t="inlineStr">
        <is>
          <t>Sasttie</t>
        </is>
      </c>
      <c r="H348" s="148" t="inlineStr">
        <is>
          <t>Untiered</t>
        </is>
      </c>
      <c r="I348" s="148" t="inlineStr">
        <is>
          <t>Sasttie Satin Sheets Queen - 4 Pieces Luxury Soft Black Silky Bed Sheets Set with Pillowcases - Smooth Silk-Like Drap Satin Fabric, Reinforced 14 Inches Pocket, Oeko-Tex Certified</t>
        </is>
      </c>
      <c r="J348" s="148" t="inlineStr">
        <is>
          <t>https://m.media-amazon.com/images/I/71MADUOjsFL.jpg</t>
        </is>
      </c>
      <c r="K348" s="148" t="inlineStr">
        <is>
          <t>B0F2HNJ52T</t>
        </is>
      </c>
      <c r="L348" s="148" t="inlineStr">
        <is>
          <t>B0F2H8LPB3</t>
        </is>
      </c>
      <c r="M348" s="148" t="n">
        <v>83</v>
      </c>
      <c r="N348" s="148" t="n">
        <v>31.99</v>
      </c>
      <c r="O348" s="148" t="n"/>
      <c r="P348" s="148">
        <f>IF(AND(ISNUMBER(O348),ISNUMBER(N348),N(N348)&gt;0),O348/N348-1,"")</f>
        <v/>
      </c>
      <c r="Q348" s="148" t="n">
        <v>46.95</v>
      </c>
      <c r="R348" s="148">
        <f>IF(AND(ISNUMBER(N348),ISNUMBER(Q348),N(Q348)&gt;0),N348/Q348-1,"")</f>
        <v/>
      </c>
      <c r="S348" s="148" t="n">
        <v>1428</v>
      </c>
      <c r="T348" s="148" t="n"/>
      <c r="U348" s="148" t="n">
        <v>4.2</v>
      </c>
      <c r="V348" s="148" t="n">
        <v>962</v>
      </c>
      <c r="W348" s="148" t="n"/>
      <c r="X348" s="148" t="n"/>
      <c r="Y348" s="148" t="n"/>
      <c r="Z348" s="148" t="n"/>
      <c r="AA348" s="148" t="n"/>
      <c r="AB348" s="148" t="n"/>
      <c r="AC348" s="148" t="inlineStr">
        <is>
          <t>CA SSS4</t>
        </is>
      </c>
      <c r="AD348" s="148">
        <f>'CA SSS4'!BF169</f>
        <v/>
      </c>
      <c r="AE348" s="148">
        <f>'CA SSS4'!BI169</f>
        <v/>
      </c>
      <c r="AF348" s="148" t="inlineStr">
        <is>
          <t>Queen</t>
        </is>
      </c>
      <c r="AG348" s="148" t="inlineStr">
        <is>
          <t>Black</t>
        </is>
      </c>
      <c r="AH348" s="148">
        <f>AND(E348="CA",OR('CA Dashboard'!$C$4="All",'CA Dashboard'!$C$4=D348),OR('CA Dashboard'!$C$5="All",'CA Dashboard'!$C$5=G348),OR('CA Dashboard'!$C$6="All",'CA Dashboard'!$C$6=H348),OR('CA Dashboard'!$C$7="All",'CA Dashboard'!$C$7=F348),OR('CA Dashboard'!$C$8="All",'CA Dashboard'!$C$8=AJ348))</f>
        <v/>
      </c>
      <c r="AI348" s="148">
        <f>IF(AH348,AI347+1,AI347)</f>
        <v/>
      </c>
      <c r="AJ348" s="148" t="inlineStr">
        <is>
          <t>Alternative material</t>
        </is>
      </c>
      <c r="AK348" s="148" t="inlineStr">
        <is>
          <t>Sheet set in Silk (title: Sasttie Satin Sheets Queen - 4 Pieces Luxury Soft Black Silk); ours is Satin (polyester) (our listing: polyester satin). Shopper may cross-shop, but not like-for-like.</t>
        </is>
      </c>
    </row>
    <row r="349">
      <c r="A349" s="148">
        <f>AND(E349="US",OR('US Dashboard'!$C$4="All",'US Dashboard'!$C$4=D349),OR('US Dashboard'!$C$5="All",'US Dashboard'!$C$5=G349),OR('US Dashboard'!$C$6="All",'US Dashboard'!$C$6=H349),OR('US Dashboard'!$C$7="All",'US Dashboard'!$C$7=F349),OR('US Dashboard'!$C$8="All",'US Dashboard'!$C$8=AJ349))</f>
        <v/>
      </c>
      <c r="B349" s="148">
        <f>IF(A349,B348+1,B348)</f>
        <v/>
      </c>
      <c r="C349" s="148" t="n">
        <v>39</v>
      </c>
      <c r="D349" s="148" t="inlineStr">
        <is>
          <t>SSS4</t>
        </is>
      </c>
      <c r="E349" s="148" t="inlineStr">
        <is>
          <t>CA</t>
        </is>
      </c>
      <c r="F349" s="148" t="inlineStr">
        <is>
          <t>Satin</t>
        </is>
      </c>
      <c r="G349" s="148" t="inlineStr">
        <is>
          <t>LIFCOM</t>
        </is>
      </c>
      <c r="H349" s="148" t="inlineStr">
        <is>
          <t>Untiered</t>
        </is>
      </c>
      <c r="I349" s="148" t="inlineStr">
        <is>
          <t>Satin Sheets Queen Size Bed Set,Similar to Silk Sheets,4Pcs Luxury Satin Sheet Set with 15 Inches Deep Pocket (Queen, Dark Grey)</t>
        </is>
      </c>
      <c r="J349" s="148" t="inlineStr">
        <is>
          <t>https://m.media-amazon.com/images/I/71tkklWokTL.jpg</t>
        </is>
      </c>
      <c r="K349" s="148" t="inlineStr">
        <is>
          <t>B0DJXBHN44</t>
        </is>
      </c>
      <c r="L349" s="148" t="inlineStr">
        <is>
          <t>B0DCC37WB3</t>
        </is>
      </c>
      <c r="M349" s="148" t="n">
        <v>70</v>
      </c>
      <c r="N349" s="148" t="n">
        <v>42.74</v>
      </c>
      <c r="O349" s="148" t="n"/>
      <c r="P349" s="148">
        <f>IF(AND(ISNUMBER(O349),ISNUMBER(N349),N(N349)&gt;0),O349/N349-1,"")</f>
        <v/>
      </c>
      <c r="Q349" s="148" t="n">
        <v>46.95</v>
      </c>
      <c r="R349" s="148">
        <f>IF(AND(ISNUMBER(N349),ISNUMBER(Q349),N(Q349)&gt;0),N349/Q349-1,"")</f>
        <v/>
      </c>
      <c r="S349" s="148" t="n">
        <v>72861</v>
      </c>
      <c r="T349" s="148" t="n"/>
      <c r="U349" s="148" t="n">
        <v>4.3</v>
      </c>
      <c r="V349" s="148" t="n">
        <v>351</v>
      </c>
      <c r="W349" s="148" t="n"/>
      <c r="X349" s="148" t="n"/>
      <c r="Y349" s="148" t="n"/>
      <c r="Z349" s="148" t="n"/>
      <c r="AA349" s="148" t="n"/>
      <c r="AB349" s="148" t="n"/>
      <c r="AC349" s="148" t="inlineStr">
        <is>
          <t>CA SSS4</t>
        </is>
      </c>
      <c r="AD349" s="148">
        <f>'CA SSS4'!BF170</f>
        <v/>
      </c>
      <c r="AE349" s="148">
        <f>'CA SSS4'!BI170</f>
        <v/>
      </c>
      <c r="AF349" s="148" t="inlineStr">
        <is>
          <t>Queen</t>
        </is>
      </c>
      <c r="AG349" s="148" t="inlineStr">
        <is>
          <t>Dark Grey</t>
        </is>
      </c>
      <c r="AH349" s="148">
        <f>AND(E349="CA",OR('CA Dashboard'!$C$4="All",'CA Dashboard'!$C$4=D349),OR('CA Dashboard'!$C$5="All",'CA Dashboard'!$C$5=G349),OR('CA Dashboard'!$C$6="All",'CA Dashboard'!$C$6=H349),OR('CA Dashboard'!$C$7="All",'CA Dashboard'!$C$7=F349),OR('CA Dashboard'!$C$8="All",'CA Dashboard'!$C$8=AJ349))</f>
        <v/>
      </c>
      <c r="AI349" s="148">
        <f>IF(AH349,AI348+1,AI348)</f>
        <v/>
      </c>
      <c r="AJ349" s="148" t="inlineStr">
        <is>
          <t>Alternative material</t>
        </is>
      </c>
      <c r="AK349" s="148" t="inlineStr">
        <is>
          <t>Sheet set in Silk (title: Satin Sheets Queen Size Bed Set,Similar to Silk Sheets,4Pcs ); ours is Satin (polyester) (our listing: polyester satin). Shopper may cross-shop, but not like-for-like.</t>
        </is>
      </c>
    </row>
    <row r="350">
      <c r="A350" s="148">
        <f>AND(E350="US",OR('US Dashboard'!$C$4="All",'US Dashboard'!$C$4=D350),OR('US Dashboard'!$C$5="All",'US Dashboard'!$C$5=G350),OR('US Dashboard'!$C$6="All",'US Dashboard'!$C$6=H350),OR('US Dashboard'!$C$7="All",'US Dashboard'!$C$7=F350),OR('US Dashboard'!$C$8="All",'US Dashboard'!$C$8=AJ350))</f>
        <v/>
      </c>
      <c r="B350" s="148">
        <f>IF(A350,B349+1,B349)</f>
        <v/>
      </c>
      <c r="C350" s="148" t="n">
        <v>39</v>
      </c>
      <c r="D350" s="148" t="inlineStr">
        <is>
          <t>SSS4</t>
        </is>
      </c>
      <c r="E350" s="148" t="inlineStr">
        <is>
          <t>CA</t>
        </is>
      </c>
      <c r="F350" s="148" t="inlineStr">
        <is>
          <t>Satin</t>
        </is>
      </c>
      <c r="G350" s="148" t="inlineStr">
        <is>
          <t>Lanest Housing</t>
        </is>
      </c>
      <c r="H350" s="148" t="inlineStr">
        <is>
          <t>Untiered</t>
        </is>
      </c>
      <c r="I350" s="148" t="inlineStr">
        <is>
          <t>Lanest Housing Silk Satin Sheets, 4-Piece Queen Size Satin Bed Sheet Set with Deep Pockets, Cooling Soft and Hypoallergenic Satin Sheets Queen - Black</t>
        </is>
      </c>
      <c r="J350" s="148" t="inlineStr">
        <is>
          <t>https://m.media-amazon.com/images/I/71Ilt8ijNsL.jpg</t>
        </is>
      </c>
      <c r="K350" s="148" t="inlineStr">
        <is>
          <t>B07WD4MJHW</t>
        </is>
      </c>
      <c r="L350" s="148" t="inlineStr">
        <is>
          <t>B07VWFV7MB</t>
        </is>
      </c>
      <c r="M350" s="148" t="n">
        <v>146</v>
      </c>
      <c r="N350" s="148" t="n">
        <v>43.77</v>
      </c>
      <c r="O350" s="148" t="n"/>
      <c r="P350" s="148">
        <f>IF(AND(ISNUMBER(O350),ISNUMBER(N350),N(N350)&gt;0),O350/N350-1,"")</f>
        <v/>
      </c>
      <c r="Q350" s="148" t="n">
        <v>46.95</v>
      </c>
      <c r="R350" s="148">
        <f>IF(AND(ISNUMBER(N350),ISNUMBER(Q350),N(Q350)&gt;0),N350/Q350-1,"")</f>
        <v/>
      </c>
      <c r="S350" s="148" t="n">
        <v>153252</v>
      </c>
      <c r="T350" s="148" t="n"/>
      <c r="U350" s="148" t="n">
        <v>4.2</v>
      </c>
      <c r="V350" s="148" t="n">
        <v>5574</v>
      </c>
      <c r="W350" s="148" t="n"/>
      <c r="X350" s="148" t="n"/>
      <c r="Y350" s="148" t="n"/>
      <c r="Z350" s="148" t="n"/>
      <c r="AA350" s="148" t="n"/>
      <c r="AB350" s="148" t="n"/>
      <c r="AC350" s="148" t="inlineStr">
        <is>
          <t>CA SSS4</t>
        </is>
      </c>
      <c r="AD350" s="148">
        <f>'CA SSS4'!BF171</f>
        <v/>
      </c>
      <c r="AE350" s="148">
        <f>'CA SSS4'!BI171</f>
        <v/>
      </c>
      <c r="AF350" s="148" t="inlineStr">
        <is>
          <t>Queen</t>
        </is>
      </c>
      <c r="AG350" s="148" t="inlineStr">
        <is>
          <t>Black</t>
        </is>
      </c>
      <c r="AH350" s="148">
        <f>AND(E350="CA",OR('CA Dashboard'!$C$4="All",'CA Dashboard'!$C$4=D350),OR('CA Dashboard'!$C$5="All",'CA Dashboard'!$C$5=G350),OR('CA Dashboard'!$C$6="All",'CA Dashboard'!$C$6=H350),OR('CA Dashboard'!$C$7="All",'CA Dashboard'!$C$7=F350),OR('CA Dashboard'!$C$8="All",'CA Dashboard'!$C$8=AJ350))</f>
        <v/>
      </c>
      <c r="AI350" s="148">
        <f>IF(AH350,AI349+1,AI349)</f>
        <v/>
      </c>
      <c r="AJ350" s="148" t="inlineStr">
        <is>
          <t>Alternative material</t>
        </is>
      </c>
      <c r="AK350" s="148" t="inlineStr">
        <is>
          <t>Sheet set in Silk (title: Lanest Housing Silk Satin Sheets, 4-Piece Queen Size Satin B); ours is Satin (polyester) (our listing: polyester satin). Shopper may cross-shop, but not like-for-like.</t>
        </is>
      </c>
    </row>
    <row r="351">
      <c r="A351" s="148">
        <f>AND(E351="US",OR('US Dashboard'!$C$4="All",'US Dashboard'!$C$4=D351),OR('US Dashboard'!$C$5="All",'US Dashboard'!$C$5=G351),OR('US Dashboard'!$C$6="All",'US Dashboard'!$C$6=H351),OR('US Dashboard'!$C$7="All",'US Dashboard'!$C$7=F351),OR('US Dashboard'!$C$8="All",'US Dashboard'!$C$8=AJ351))</f>
        <v/>
      </c>
      <c r="B351" s="148">
        <f>IF(A351,B350+1,B350)</f>
        <v/>
      </c>
      <c r="C351" s="148" t="n">
        <v>39</v>
      </c>
      <c r="D351" s="148" t="inlineStr">
        <is>
          <t>SSS4</t>
        </is>
      </c>
      <c r="E351" s="148" t="inlineStr">
        <is>
          <t>CA</t>
        </is>
      </c>
      <c r="F351" s="148" t="inlineStr">
        <is>
          <t>Satin</t>
        </is>
      </c>
      <c r="G351" s="148" t="inlineStr">
        <is>
          <t>Bare Home</t>
        </is>
      </c>
      <c r="H351" s="148" t="inlineStr">
        <is>
          <t>Untiered</t>
        </is>
      </c>
      <c r="I351" s="148" t="inlineStr">
        <is>
          <t>Bare Home Poly Satin Sheet Set Similar to Silk (Queen, Blush)</t>
        </is>
      </c>
      <c r="J351" s="148" t="inlineStr">
        <is>
          <t>https://m.media-amazon.com/images/I/61WvjxRfgdL.jpg</t>
        </is>
      </c>
      <c r="K351" s="148" t="inlineStr">
        <is>
          <t>B0DJHFP2WL</t>
        </is>
      </c>
      <c r="L351" s="148" t="inlineStr">
        <is>
          <t>B0DJDXH65M</t>
        </is>
      </c>
      <c r="M351" s="148" t="n">
        <v>37</v>
      </c>
      <c r="N351" s="148" t="n">
        <v>63.99</v>
      </c>
      <c r="O351" s="148" t="n"/>
      <c r="P351" s="148">
        <f>IF(AND(ISNUMBER(O351),ISNUMBER(N351),N(N351)&gt;0),O351/N351-1,"")</f>
        <v/>
      </c>
      <c r="Q351" s="148" t="n">
        <v>46.95</v>
      </c>
      <c r="R351" s="148">
        <f>IF(AND(ISNUMBER(N351),ISNUMBER(Q351),N(Q351)&gt;0),N351/Q351-1,"")</f>
        <v/>
      </c>
      <c r="S351" s="148" t="n">
        <v>55879</v>
      </c>
      <c r="T351" s="148" t="n"/>
      <c r="U351" s="148" t="n">
        <v>3.6</v>
      </c>
      <c r="V351" s="148" t="n">
        <v>114</v>
      </c>
      <c r="W351" s="148" t="n"/>
      <c r="X351" s="148" t="n"/>
      <c r="Y351" s="148" t="n"/>
      <c r="Z351" s="148" t="n"/>
      <c r="AA351" s="148" t="n"/>
      <c r="AB351" s="148" t="n"/>
      <c r="AC351" s="148" t="inlineStr">
        <is>
          <t>CA SSS4</t>
        </is>
      </c>
      <c r="AD351" s="148">
        <f>'CA SSS4'!BF172</f>
        <v/>
      </c>
      <c r="AE351" s="148">
        <f>'CA SSS4'!BI172</f>
        <v/>
      </c>
      <c r="AF351" s="148" t="inlineStr">
        <is>
          <t>Queen</t>
        </is>
      </c>
      <c r="AG351" s="148" t="inlineStr">
        <is>
          <t>05 - Blush</t>
        </is>
      </c>
      <c r="AH351" s="148">
        <f>AND(E351="CA",OR('CA Dashboard'!$C$4="All",'CA Dashboard'!$C$4=D351),OR('CA Dashboard'!$C$5="All",'CA Dashboard'!$C$5=G351),OR('CA Dashboard'!$C$6="All",'CA Dashboard'!$C$6=H351),OR('CA Dashboard'!$C$7="All",'CA Dashboard'!$C$7=F351),OR('CA Dashboard'!$C$8="All",'CA Dashboard'!$C$8=AJ351))</f>
        <v/>
      </c>
      <c r="AI351" s="148">
        <f>IF(AH351,AI350+1,AI350)</f>
        <v/>
      </c>
      <c r="AJ351" s="148" t="inlineStr">
        <is>
          <t>Alternative material</t>
        </is>
      </c>
      <c r="AK351" s="148" t="inlineStr">
        <is>
          <t>Sheet set in Silk (title: Bare Home Poly Satin Sheet Set Similar to Silk (Queen, Blush); ours is Satin (polyester) (our listing: polyester satin). Shopper may cross-shop, but not like-for-like.</t>
        </is>
      </c>
    </row>
    <row r="352">
      <c r="A352" s="148">
        <f>AND(E352="US",OR('US Dashboard'!$C$4="All",'US Dashboard'!$C$4=D352),OR('US Dashboard'!$C$5="All",'US Dashboard'!$C$5=G352),OR('US Dashboard'!$C$6="All",'US Dashboard'!$C$6=H352),OR('US Dashboard'!$C$7="All",'US Dashboard'!$C$7=F352),OR('US Dashboard'!$C$8="All",'US Dashboard'!$C$8=AJ352))</f>
        <v/>
      </c>
      <c r="B352" s="148">
        <f>IF(A352,B351+1,B351)</f>
        <v/>
      </c>
      <c r="C352" s="148" t="n">
        <v>74</v>
      </c>
      <c r="D352" s="148" t="inlineStr">
        <is>
          <t>SL Satin 6pc</t>
        </is>
      </c>
      <c r="E352" s="148" t="inlineStr">
        <is>
          <t>US</t>
        </is>
      </c>
      <c r="F352" s="148" t="inlineStr">
        <is>
          <t>Satin</t>
        </is>
      </c>
      <c r="G352" s="148" t="inlineStr">
        <is>
          <t>BEDELITE</t>
        </is>
      </c>
      <c r="H352" s="148" t="inlineStr">
        <is>
          <t>Untiered</t>
        </is>
      </c>
      <c r="I352" s="148" t="inlineStr">
        <is>
          <t>BEDELITE Satin Sheets Queen Size Bed Set, Black, 4 Pieces</t>
        </is>
      </c>
      <c r="J352" s="148" t="inlineStr">
        <is>
          <t>https://images-na.ssl-images-amazon.com/images/I/71ujt2CgaQL.jpg</t>
        </is>
      </c>
      <c r="K352" s="148" t="inlineStr">
        <is>
          <t>B0FNMNMZ9T</t>
        </is>
      </c>
      <c r="L352" s="148" t="inlineStr">
        <is>
          <t>B0CSFTRP2X</t>
        </is>
      </c>
      <c r="M352" s="148" t="n">
        <v>141</v>
      </c>
      <c r="N352" s="148" t="n">
        <v>17.99</v>
      </c>
      <c r="O352" s="148" t="n"/>
      <c r="P352" s="148">
        <f>IF(AND(ISNUMBER(O352),ISNUMBER(N352),N(N352)&gt;0),O352/N352-1,"")</f>
        <v/>
      </c>
      <c r="Q352" s="148" t="n"/>
      <c r="R352" s="148">
        <f>IF(AND(ISNUMBER(N352),ISNUMBER(Q352),N(Q352)&gt;0),N352/Q352-1,"")</f>
        <v/>
      </c>
      <c r="S352" s="148" t="n">
        <v>497</v>
      </c>
      <c r="T352" s="148" t="n">
        <v>1963</v>
      </c>
      <c r="U352" s="148" t="n">
        <v>4.3</v>
      </c>
      <c r="V352" s="148" t="n">
        <v>6297</v>
      </c>
      <c r="W352" s="148" t="n">
        <v>997443</v>
      </c>
      <c r="X352" s="148" t="n">
        <v>0.8161266415223724</v>
      </c>
      <c r="Y352" s="148" t="n"/>
      <c r="Z352" s="148" t="n"/>
      <c r="AA352" s="148" t="n"/>
      <c r="AB352" s="148" t="n">
        <v>1.114785561378903</v>
      </c>
      <c r="AC352" s="148" t="inlineStr">
        <is>
          <t>US SL Satin 6pc</t>
        </is>
      </c>
      <c r="AD352" s="148">
        <f>'US SL Satin 6pc'!BF148</f>
        <v/>
      </c>
      <c r="AE352" s="148">
        <f>'US SL Satin 6pc'!BI148</f>
        <v/>
      </c>
      <c r="AF352" s="148" t="inlineStr">
        <is>
          <t>Queen</t>
        </is>
      </c>
      <c r="AG352" s="148" t="inlineStr">
        <is>
          <t>Black</t>
        </is>
      </c>
      <c r="AH352" s="148">
        <f>AND(E352="CA",OR('CA Dashboard'!$C$4="All",'CA Dashboard'!$C$4=D352),OR('CA Dashboard'!$C$5="All",'CA Dashboard'!$C$5=G352),OR('CA Dashboard'!$C$6="All",'CA Dashboard'!$C$6=H352),OR('CA Dashboard'!$C$7="All",'CA Dashboard'!$C$7=F352),OR('CA Dashboard'!$C$8="All",'CA Dashboard'!$C$8=AJ352))</f>
        <v/>
      </c>
      <c r="AI352" s="148">
        <f>IF(AH352,AI351+1,AI351)</f>
        <v/>
      </c>
      <c r="AJ352" s="148" t="inlineStr">
        <is>
          <t>Direct</t>
        </is>
      </c>
      <c r="AK352" s="148" t="inlineStr">
        <is>
          <t>Same product (sheet set) in the same material family: Satin (polyester) (title: BEDELITE Satin Sheets Queen Size Bed Set, Black, 4 Pieces); ours: our listing: polyester satin.</t>
        </is>
      </c>
    </row>
    <row r="353">
      <c r="A353" s="148">
        <f>AND(E353="US",OR('US Dashboard'!$C$4="All",'US Dashboard'!$C$4=D353),OR('US Dashboard'!$C$5="All",'US Dashboard'!$C$5=G353),OR('US Dashboard'!$C$6="All",'US Dashboard'!$C$6=H353),OR('US Dashboard'!$C$7="All",'US Dashboard'!$C$7=F353),OR('US Dashboard'!$C$8="All",'US Dashboard'!$C$8=AJ353))</f>
        <v/>
      </c>
      <c r="B353" s="148">
        <f>IF(A353,B352+1,B352)</f>
        <v/>
      </c>
      <c r="C353" s="148" t="n">
        <v>74</v>
      </c>
      <c r="D353" s="148" t="inlineStr">
        <is>
          <t>SL Satin 6pc</t>
        </is>
      </c>
      <c r="E353" s="148" t="inlineStr">
        <is>
          <t>US</t>
        </is>
      </c>
      <c r="F353" s="148" t="inlineStr">
        <is>
          <t>Satin</t>
        </is>
      </c>
      <c r="G353" s="148" t="inlineStr">
        <is>
          <t>Love's cabin</t>
        </is>
      </c>
      <c r="H353" s="148" t="inlineStr">
        <is>
          <t>Untiered</t>
        </is>
      </c>
      <c r="I353" s="148" t="inlineStr">
        <is>
          <t>Love's cabin Satin Queen Sheets Set, 4 Pieces, Pink, 15" Deep Pocket</t>
        </is>
      </c>
      <c r="J353" s="148" t="inlineStr">
        <is>
          <t>https://images-na.ssl-images-amazon.com/images/I/81C-fXI71XL.jpg</t>
        </is>
      </c>
      <c r="K353" s="148" t="inlineStr">
        <is>
          <t>B08DHTB63X</t>
        </is>
      </c>
      <c r="L353" s="148" t="inlineStr">
        <is>
          <t>B0BNMC5G8R</t>
        </is>
      </c>
      <c r="M353" s="148" t="n">
        <v>128</v>
      </c>
      <c r="N353" s="148" t="n">
        <v>16.13</v>
      </c>
      <c r="O353" s="148" t="n">
        <v>19.99</v>
      </c>
      <c r="P353" s="148">
        <f>IF(AND(ISNUMBER(O353),ISNUMBER(N353),N(N353)&gt;0),O353/N353-1,"")</f>
        <v/>
      </c>
      <c r="Q353" s="148" t="n"/>
      <c r="R353" s="148">
        <f>IF(AND(ISNUMBER(N353),ISNUMBER(Q353),N(Q353)&gt;0),N353/Q353-1,"")</f>
        <v/>
      </c>
      <c r="S353" s="148" t="n">
        <v>949</v>
      </c>
      <c r="T353" s="148" t="n">
        <v>809</v>
      </c>
      <c r="U353" s="148" t="n">
        <v>4.5</v>
      </c>
      <c r="V353" s="148" t="n">
        <v>5747</v>
      </c>
      <c r="W353" s="148" t="n">
        <v>385363</v>
      </c>
      <c r="X353" s="148" t="n">
        <v>0.8181775938530695</v>
      </c>
      <c r="Y353" s="148" t="n"/>
      <c r="Z353" s="148" t="n"/>
      <c r="AA353" s="148" t="n"/>
      <c r="AB353" s="148" t="n">
        <v>1.036399938565504</v>
      </c>
      <c r="AC353" s="148" t="inlineStr">
        <is>
          <t>US SL Satin 6pc</t>
        </is>
      </c>
      <c r="AD353" s="148">
        <f>'US SL Satin 6pc'!BF149</f>
        <v/>
      </c>
      <c r="AE353" s="148">
        <f>'US SL Satin 6pc'!BI149</f>
        <v/>
      </c>
      <c r="AF353" s="148" t="inlineStr">
        <is>
          <t>Queen</t>
        </is>
      </c>
      <c r="AG353" s="148" t="inlineStr">
        <is>
          <t>Pink</t>
        </is>
      </c>
      <c r="AH353" s="148">
        <f>AND(E353="CA",OR('CA Dashboard'!$C$4="All",'CA Dashboard'!$C$4=D353),OR('CA Dashboard'!$C$5="All",'CA Dashboard'!$C$5=G353),OR('CA Dashboard'!$C$6="All",'CA Dashboard'!$C$6=H353),OR('CA Dashboard'!$C$7="All",'CA Dashboard'!$C$7=F353),OR('CA Dashboard'!$C$8="All",'CA Dashboard'!$C$8=AJ353))</f>
        <v/>
      </c>
      <c r="AI353" s="148">
        <f>IF(AH353,AI352+1,AI352)</f>
        <v/>
      </c>
      <c r="AJ353" s="148" t="inlineStr">
        <is>
          <t>Direct</t>
        </is>
      </c>
      <c r="AK353" s="148" t="inlineStr">
        <is>
          <t>Same product (sheet set) in the same material family: Satin (polyester) (title: Love's cabin Satin Queen Sheets Set, 4 Pieces, Pink, 15" Dee); ours: our listing: polyester satin.</t>
        </is>
      </c>
    </row>
    <row r="354">
      <c r="A354" s="148">
        <f>AND(E354="US",OR('US Dashboard'!$C$4="All",'US Dashboard'!$C$4=D354),OR('US Dashboard'!$C$5="All",'US Dashboard'!$C$5=G354),OR('US Dashboard'!$C$6="All",'US Dashboard'!$C$6=H354),OR('US Dashboard'!$C$7="All",'US Dashboard'!$C$7=F354),OR('US Dashboard'!$C$8="All",'US Dashboard'!$C$8=AJ354))</f>
        <v/>
      </c>
      <c r="B354" s="148">
        <f>IF(A354,B353+1,B353)</f>
        <v/>
      </c>
      <c r="C354" s="148" t="n">
        <v>74</v>
      </c>
      <c r="D354" s="148" t="inlineStr">
        <is>
          <t>SL Satin 6pc</t>
        </is>
      </c>
      <c r="E354" s="148" t="inlineStr">
        <is>
          <t>US</t>
        </is>
      </c>
      <c r="F354" s="148" t="inlineStr">
        <is>
          <t>Satin</t>
        </is>
      </c>
      <c r="G354" s="148" t="inlineStr">
        <is>
          <t>MR&amp;HM</t>
        </is>
      </c>
      <c r="H354" s="148" t="inlineStr">
        <is>
          <t>Untiered</t>
        </is>
      </c>
      <c r="I354" s="148" t="inlineStr">
        <is>
          <t>MR&amp;HM Satin Sheets Queen Size with Elastic Corner Straps, Black</t>
        </is>
      </c>
      <c r="J354" s="148" t="inlineStr">
        <is>
          <t>https://images-na.ssl-images-amazon.com/images/I/71zGuoeuSrL.jpg</t>
        </is>
      </c>
      <c r="K354" s="148" t="inlineStr">
        <is>
          <t>B08NQ3W7PG</t>
        </is>
      </c>
      <c r="L354" s="148" t="inlineStr">
        <is>
          <t>B08HM6WT6X</t>
        </is>
      </c>
      <c r="M354" s="148" t="n">
        <v>183</v>
      </c>
      <c r="N354" s="148" t="n">
        <v>19.99</v>
      </c>
      <c r="O354" s="148" t="n"/>
      <c r="P354" s="148">
        <f>IF(AND(ISNUMBER(O354),ISNUMBER(N354),N(N354)&gt;0),O354/N354-1,"")</f>
        <v/>
      </c>
      <c r="Q354" s="148" t="n"/>
      <c r="R354" s="148">
        <f>IF(AND(ISNUMBER(N354),ISNUMBER(Q354),N(Q354)&gt;0),N354/Q354-1,"")</f>
        <v/>
      </c>
      <c r="S354" s="148" t="n">
        <v>2025</v>
      </c>
      <c r="T354" s="148" t="n">
        <v>809</v>
      </c>
      <c r="U354" s="148" t="n">
        <v>4.4</v>
      </c>
      <c r="V354" s="148" t="n">
        <v>17886</v>
      </c>
      <c r="W354" s="148" t="n">
        <v>356457</v>
      </c>
      <c r="X354" s="148" t="n">
        <v>0.7964633734223203</v>
      </c>
      <c r="Y354" s="148" t="n"/>
      <c r="Z354" s="148" t="n"/>
      <c r="AA354" s="148" t="n"/>
      <c r="AB354" s="148" t="n">
        <v>0.9844138242602214</v>
      </c>
      <c r="AC354" s="148" t="inlineStr">
        <is>
          <t>US SL Satin 6pc</t>
        </is>
      </c>
      <c r="AD354" s="148">
        <f>'US SL Satin 6pc'!BF150</f>
        <v/>
      </c>
      <c r="AE354" s="148">
        <f>'US SL Satin 6pc'!BI150</f>
        <v/>
      </c>
      <c r="AF354" s="148" t="inlineStr">
        <is>
          <t>Queen</t>
        </is>
      </c>
      <c r="AG354" s="148" t="inlineStr">
        <is>
          <t>Black</t>
        </is>
      </c>
      <c r="AH354" s="148">
        <f>AND(E354="CA",OR('CA Dashboard'!$C$4="All",'CA Dashboard'!$C$4=D354),OR('CA Dashboard'!$C$5="All",'CA Dashboard'!$C$5=G354),OR('CA Dashboard'!$C$6="All",'CA Dashboard'!$C$6=H354),OR('CA Dashboard'!$C$7="All",'CA Dashboard'!$C$7=F354),OR('CA Dashboard'!$C$8="All",'CA Dashboard'!$C$8=AJ354))</f>
        <v/>
      </c>
      <c r="AI354" s="148">
        <f>IF(AH354,AI353+1,AI353)</f>
        <v/>
      </c>
      <c r="AJ354" s="148" t="inlineStr">
        <is>
          <t>Direct</t>
        </is>
      </c>
      <c r="AK354" s="148" t="inlineStr">
        <is>
          <t>Same product (sheet set) in the same material family: Satin (polyester) (title: MR&amp;HM Satin Sheets Queen Size with Elastic Corner Straps, Bl); ours: our listing: polyester satin.</t>
        </is>
      </c>
    </row>
    <row r="355">
      <c r="A355" s="148">
        <f>AND(E355="US",OR('US Dashboard'!$C$4="All",'US Dashboard'!$C$4=D355),OR('US Dashboard'!$C$5="All",'US Dashboard'!$C$5=G355),OR('US Dashboard'!$C$6="All",'US Dashboard'!$C$6=H355),OR('US Dashboard'!$C$7="All",'US Dashboard'!$C$7=F355),OR('US Dashboard'!$C$8="All",'US Dashboard'!$C$8=AJ355))</f>
        <v/>
      </c>
      <c r="B355" s="148">
        <f>IF(A355,B354+1,B354)</f>
        <v/>
      </c>
      <c r="C355" s="148" t="n">
        <v>74</v>
      </c>
      <c r="D355" s="148" t="inlineStr">
        <is>
          <t>SL Satin 6pc</t>
        </is>
      </c>
      <c r="E355" s="148" t="inlineStr">
        <is>
          <t>US</t>
        </is>
      </c>
      <c r="F355" s="148" t="inlineStr">
        <is>
          <t>Satin</t>
        </is>
      </c>
      <c r="G355" s="148" t="inlineStr">
        <is>
          <t>BEDELITE</t>
        </is>
      </c>
      <c r="H355" s="148" t="inlineStr">
        <is>
          <t>Untiered</t>
        </is>
      </c>
      <c r="I355" s="148" t="inlineStr">
        <is>
          <t>BEDELITE Satin Queen Fitted Sheet &amp; Pillowcases Set, Black, 3 Pieces</t>
        </is>
      </c>
      <c r="J355" s="148" t="inlineStr">
        <is>
          <t>https://images-na.ssl-images-amazon.com/images/I/71Jlvkv3rfL.jpg</t>
        </is>
      </c>
      <c r="K355" s="148" t="inlineStr">
        <is>
          <t>B0FPCM7DL3</t>
        </is>
      </c>
      <c r="L355" s="148" t="inlineStr">
        <is>
          <t>B0CSFV4FXW</t>
        </is>
      </c>
      <c r="M355" s="148" t="n">
        <v>107</v>
      </c>
      <c r="N355" s="148" t="n">
        <v>15.98</v>
      </c>
      <c r="O355" s="148" t="n">
        <v>19.99</v>
      </c>
      <c r="P355" s="148">
        <f>IF(AND(ISNUMBER(O355),ISNUMBER(N355),N(N355)&gt;0),O355/N355-1,"")</f>
        <v/>
      </c>
      <c r="Q355" s="148" t="n"/>
      <c r="R355" s="148">
        <f>IF(AND(ISNUMBER(N355),ISNUMBER(Q355),N(Q355)&gt;0),N355/Q355-1,"")</f>
        <v/>
      </c>
      <c r="S355" s="148" t="n">
        <v>4306</v>
      </c>
      <c r="T355" s="148" t="n">
        <v>208</v>
      </c>
      <c r="U355" s="148" t="n">
        <v>4.4</v>
      </c>
      <c r="V355" s="148" t="n">
        <v>1858</v>
      </c>
      <c r="W355" s="148" t="n">
        <v>179643</v>
      </c>
      <c r="X355" s="148" t="n">
        <v>0.4557323781054652</v>
      </c>
      <c r="Y355" s="148" t="n"/>
      <c r="Z355" s="148" t="n"/>
      <c r="AA355" s="148" t="n"/>
      <c r="AB355" s="148" t="n">
        <v>1.118721461187214</v>
      </c>
      <c r="AC355" s="148" t="inlineStr">
        <is>
          <t>US SL Satin 6pc</t>
        </is>
      </c>
      <c r="AD355" s="148">
        <f>'US SL Satin 6pc'!BF151</f>
        <v/>
      </c>
      <c r="AE355" s="148">
        <f>'US SL Satin 6pc'!BI151</f>
        <v/>
      </c>
      <c r="AF355" s="148" t="inlineStr">
        <is>
          <t>Queen</t>
        </is>
      </c>
      <c r="AG355" s="148" t="inlineStr">
        <is>
          <t>Black</t>
        </is>
      </c>
      <c r="AH355" s="148">
        <f>AND(E355="CA",OR('CA Dashboard'!$C$4="All",'CA Dashboard'!$C$4=D355),OR('CA Dashboard'!$C$5="All",'CA Dashboard'!$C$5=G355),OR('CA Dashboard'!$C$6="All",'CA Dashboard'!$C$6=H355),OR('CA Dashboard'!$C$7="All",'CA Dashboard'!$C$7=F355),OR('CA Dashboard'!$C$8="All",'CA Dashboard'!$C$8=AJ355))</f>
        <v/>
      </c>
      <c r="AI355" s="148">
        <f>IF(AH355,AI354+1,AI354)</f>
        <v/>
      </c>
      <c r="AJ355" s="148" t="inlineStr">
        <is>
          <t>Direct</t>
        </is>
      </c>
      <c r="AK355" s="148" t="inlineStr">
        <is>
          <t>Same product (sheet set) in the same material family: Satin (polyester) (title: BEDELITE Satin Queen Fitted Sheet &amp; Pillowcases Set, Black); ours: our listing: polyester satin.</t>
        </is>
      </c>
    </row>
    <row r="356">
      <c r="A356" s="148">
        <f>AND(E356="US",OR('US Dashboard'!$C$4="All",'US Dashboard'!$C$4=D356),OR('US Dashboard'!$C$5="All",'US Dashboard'!$C$5=G356),OR('US Dashboard'!$C$6="All",'US Dashboard'!$C$6=H356),OR('US Dashboard'!$C$7="All",'US Dashboard'!$C$7=F356),OR('US Dashboard'!$C$8="All",'US Dashboard'!$C$8=AJ356))</f>
        <v/>
      </c>
      <c r="B356" s="148">
        <f>IF(A356,B355+1,B355)</f>
        <v/>
      </c>
      <c r="C356" s="148" t="n">
        <v>74</v>
      </c>
      <c r="D356" s="148" t="inlineStr">
        <is>
          <t>SL Satin 6pc</t>
        </is>
      </c>
      <c r="E356" s="148" t="inlineStr">
        <is>
          <t>US</t>
        </is>
      </c>
      <c r="F356" s="148" t="inlineStr">
        <is>
          <t>Satin</t>
        </is>
      </c>
      <c r="G356" s="148" t="inlineStr">
        <is>
          <t>FreshCulture</t>
        </is>
      </c>
      <c r="H356" s="148" t="inlineStr">
        <is>
          <t>Untiered</t>
        </is>
      </c>
      <c r="I356" s="148" t="inlineStr">
        <is>
          <t>Satin Sheets</t>
        </is>
      </c>
      <c r="J356" s="148" t="inlineStr">
        <is>
          <t>https://images-na.ssl-images-amazon.com/images/I/810d6GzTlfL.jpg</t>
        </is>
      </c>
      <c r="K356" s="148" t="inlineStr">
        <is>
          <t>B0D9B18P6N</t>
        </is>
      </c>
      <c r="L356" s="148" t="inlineStr">
        <is>
          <t>B0D9BD63QH</t>
        </is>
      </c>
      <c r="M356" s="148" t="n">
        <v>54</v>
      </c>
      <c r="N356" s="148" t="n">
        <v>23.99</v>
      </c>
      <c r="O356" s="148" t="n"/>
      <c r="P356" s="148">
        <f>IF(AND(ISNUMBER(O356),ISNUMBER(N356),N(N356)&gt;0),O356/N356-1,"")</f>
        <v/>
      </c>
      <c r="Q356" s="148" t="n"/>
      <c r="R356" s="148">
        <f>IF(AND(ISNUMBER(N356),ISNUMBER(Q356),N(Q356)&gt;0),N356/Q356-1,"")</f>
        <v/>
      </c>
      <c r="S356" s="148" t="n">
        <v>17918</v>
      </c>
      <c r="T356" s="148" t="n">
        <v>104</v>
      </c>
      <c r="U356" s="148" t="n">
        <v>4.4</v>
      </c>
      <c r="V356" s="148" t="n">
        <v>780</v>
      </c>
      <c r="W356" s="148" t="n">
        <v>99046</v>
      </c>
      <c r="X356" s="148" t="n">
        <v>0.9634387880378817</v>
      </c>
      <c r="Y356" s="148" t="n"/>
      <c r="Z356" s="148" t="n"/>
      <c r="AA356" s="148" t="n"/>
      <c r="AB356" s="148" t="n"/>
      <c r="AC356" s="148" t="inlineStr">
        <is>
          <t>US SL Satin 6pc</t>
        </is>
      </c>
      <c r="AD356" s="148">
        <f>'US SL Satin 6pc'!BF152</f>
        <v/>
      </c>
      <c r="AE356" s="148">
        <f>'US SL Satin 6pc'!BI152</f>
        <v/>
      </c>
      <c r="AF356" s="148" t="inlineStr">
        <is>
          <t>Full</t>
        </is>
      </c>
      <c r="AG356" s="148" t="inlineStr">
        <is>
          <t>Black</t>
        </is>
      </c>
      <c r="AH356" s="148">
        <f>AND(E356="CA",OR('CA Dashboard'!$C$4="All",'CA Dashboard'!$C$4=D356),OR('CA Dashboard'!$C$5="All",'CA Dashboard'!$C$5=G356),OR('CA Dashboard'!$C$6="All",'CA Dashboard'!$C$6=H356),OR('CA Dashboard'!$C$7="All",'CA Dashboard'!$C$7=F356),OR('CA Dashboard'!$C$8="All",'CA Dashboard'!$C$8=AJ356))</f>
        <v/>
      </c>
      <c r="AI356" s="148">
        <f>IF(AH356,AI355+1,AI355)</f>
        <v/>
      </c>
      <c r="AJ356" s="148" t="inlineStr">
        <is>
          <t>Direct</t>
        </is>
      </c>
      <c r="AK356" s="148" t="inlineStr">
        <is>
          <t>Same product (sheet set) in the same material family: Satin (polyester) (product page material: Polyester Satin); ours: our listing: polyester satin.</t>
        </is>
      </c>
    </row>
    <row r="357">
      <c r="A357" s="148">
        <f>AND(E357="US",OR('US Dashboard'!$C$4="All",'US Dashboard'!$C$4=D357),OR('US Dashboard'!$C$5="All",'US Dashboard'!$C$5=G357),OR('US Dashboard'!$C$6="All",'US Dashboard'!$C$6=H357),OR('US Dashboard'!$C$7="All",'US Dashboard'!$C$7=F357),OR('US Dashboard'!$C$8="All",'US Dashboard'!$C$8=AJ357))</f>
        <v/>
      </c>
      <c r="B357" s="148">
        <f>IF(A357,B356+1,B356)</f>
        <v/>
      </c>
      <c r="C357" s="148" t="n">
        <v>74</v>
      </c>
      <c r="D357" s="148" t="inlineStr">
        <is>
          <t>SL Satin 6pc</t>
        </is>
      </c>
      <c r="E357" s="148" t="inlineStr">
        <is>
          <t>US</t>
        </is>
      </c>
      <c r="F357" s="148" t="inlineStr">
        <is>
          <t>Satin</t>
        </is>
      </c>
      <c r="G357" s="148" t="inlineStr">
        <is>
          <t>P Pothuiny</t>
        </is>
      </c>
      <c r="H357" s="148" t="inlineStr">
        <is>
          <t>Untiered</t>
        </is>
      </c>
      <c r="I357" s="148" t="inlineStr">
        <is>
          <t>P Pothuiny 6-Piece Queen Satin Sheet Set Burgundy Silky Sheets</t>
        </is>
      </c>
      <c r="J357" s="148" t="inlineStr">
        <is>
          <t>https://images-na.ssl-images-amazon.com/images/I/71TbH0l5XfL.jpg</t>
        </is>
      </c>
      <c r="K357" s="148" t="inlineStr">
        <is>
          <t>B096P2MYZQ</t>
        </is>
      </c>
      <c r="L357" s="148" t="inlineStr">
        <is>
          <t>B08QMF6D5W</t>
        </is>
      </c>
      <c r="M357" s="148" t="n">
        <v>47</v>
      </c>
      <c r="N357" s="148" t="n">
        <v>26.99</v>
      </c>
      <c r="O357" s="148" t="n"/>
      <c r="P357" s="148">
        <f>IF(AND(ISNUMBER(O357),ISNUMBER(N357),N(N357)&gt;0),O357/N357-1,"")</f>
        <v/>
      </c>
      <c r="Q357" s="148" t="n"/>
      <c r="R357" s="148">
        <f>IF(AND(ISNUMBER(N357),ISNUMBER(Q357),N(Q357)&gt;0),N357/Q357-1,"")</f>
        <v/>
      </c>
      <c r="S357" s="148" t="n">
        <v>20031</v>
      </c>
      <c r="T357" s="148" t="n">
        <v>104</v>
      </c>
      <c r="U357" s="148" t="n">
        <v>4.4</v>
      </c>
      <c r="V357" s="148" t="n">
        <v>4031</v>
      </c>
      <c r="W357" s="148" t="n">
        <v>66544</v>
      </c>
      <c r="X357" s="148" t="n">
        <v>0.9166959214955518</v>
      </c>
      <c r="Y357" s="148" t="n"/>
      <c r="Z357" s="148" t="n"/>
      <c r="AA357" s="148" t="n"/>
      <c r="AB357" s="148" t="n">
        <v>1.171497584541063</v>
      </c>
      <c r="AC357" s="148" t="inlineStr">
        <is>
          <t>US SL Satin 6pc</t>
        </is>
      </c>
      <c r="AD357" s="148">
        <f>'US SL Satin 6pc'!BF153</f>
        <v/>
      </c>
      <c r="AE357" s="148">
        <f>'US SL Satin 6pc'!BI153</f>
        <v/>
      </c>
      <c r="AF357" s="148" t="inlineStr">
        <is>
          <t>Queen</t>
        </is>
      </c>
      <c r="AG357" s="148" t="inlineStr">
        <is>
          <t>Burgundy</t>
        </is>
      </c>
      <c r="AH357" s="148">
        <f>AND(E357="CA",OR('CA Dashboard'!$C$4="All",'CA Dashboard'!$C$4=D357),OR('CA Dashboard'!$C$5="All",'CA Dashboard'!$C$5=G357),OR('CA Dashboard'!$C$6="All",'CA Dashboard'!$C$6=H357),OR('CA Dashboard'!$C$7="All",'CA Dashboard'!$C$7=F357),OR('CA Dashboard'!$C$8="All",'CA Dashboard'!$C$8=AJ357))</f>
        <v/>
      </c>
      <c r="AI357" s="148">
        <f>IF(AH357,AI356+1,AI356)</f>
        <v/>
      </c>
      <c r="AJ357" s="148" t="inlineStr">
        <is>
          <t>Direct</t>
        </is>
      </c>
      <c r="AK357" s="148" t="inlineStr">
        <is>
          <t>Same product (sheet set) in the same material family: Satin (polyester) (title: P Pothuiny 6-Piece Queen Satin Sheet Set Burgundy Silky Shee); ours: our listing: polyester satin.</t>
        </is>
      </c>
    </row>
    <row r="358">
      <c r="A358" s="148">
        <f>AND(E358="US",OR('US Dashboard'!$C$4="All",'US Dashboard'!$C$4=D358),OR('US Dashboard'!$C$5="All",'US Dashboard'!$C$5=G358),OR('US Dashboard'!$C$6="All",'US Dashboard'!$C$6=H358),OR('US Dashboard'!$C$7="All",'US Dashboard'!$C$7=F358),OR('US Dashboard'!$C$8="All",'US Dashboard'!$C$8=AJ358))</f>
        <v/>
      </c>
      <c r="B358" s="148">
        <f>IF(A358,B357+1,B357)</f>
        <v/>
      </c>
      <c r="C358" s="148" t="n">
        <v>74</v>
      </c>
      <c r="D358" s="148" t="inlineStr">
        <is>
          <t>SL Satin 6pc</t>
        </is>
      </c>
      <c r="E358" s="148" t="inlineStr">
        <is>
          <t>US</t>
        </is>
      </c>
      <c r="F358" s="148" t="inlineStr">
        <is>
          <t>Satin</t>
        </is>
      </c>
      <c r="G358" s="148" t="inlineStr">
        <is>
          <t>Pure Bedding</t>
        </is>
      </c>
      <c r="H358" s="148" t="inlineStr">
        <is>
          <t>Untiered</t>
        </is>
      </c>
      <c r="I358" s="148" t="inlineStr">
        <is>
          <t>Pure Bedding Satin Sheets Queen [4-Piece, Black] Hotel Luxury Silky Bed Sheets - Extra Soft 1800 Microfiber Sheet Set, Wrinkle, Fade, Deep Pocket Fitted Sheet, Flat Sheet, Pillow Cases</t>
        </is>
      </c>
      <c r="J358" s="148" t="inlineStr">
        <is>
          <t>https://images-na.ssl-images-amazon.com/images/I/81zLU1W0e8L.jpg</t>
        </is>
      </c>
      <c r="K358" s="148" t="inlineStr">
        <is>
          <t>B0FMPQYB2J</t>
        </is>
      </c>
      <c r="L358" s="148" t="inlineStr">
        <is>
          <t>B083G81VSH</t>
        </is>
      </c>
      <c r="M358" s="148" t="n">
        <v>146</v>
      </c>
      <c r="N358" s="148" t="n">
        <v>20.99</v>
      </c>
      <c r="O358" s="148" t="n"/>
      <c r="P358" s="148">
        <f>IF(AND(ISNUMBER(O358),ISNUMBER(N358),N(N358)&gt;0),O358/N358-1,"")</f>
        <v/>
      </c>
      <c r="Q358" s="148" t="n"/>
      <c r="R358" s="148">
        <f>IF(AND(ISNUMBER(N358),ISNUMBER(Q358),N(Q358)&gt;0),N358/Q358-1,"")</f>
        <v/>
      </c>
      <c r="S358" s="148" t="n">
        <v>30991</v>
      </c>
      <c r="T358" s="148" t="n">
        <v>92</v>
      </c>
      <c r="U358" s="148" t="n">
        <v>4.4</v>
      </c>
      <c r="V358" s="148" t="n">
        <v>9828</v>
      </c>
      <c r="W358" s="148" t="n">
        <v>119531</v>
      </c>
      <c r="X358" s="148" t="n">
        <v>0.6204180681162206</v>
      </c>
      <c r="Y358" s="148" t="n"/>
      <c r="Z358" s="148" t="n"/>
      <c r="AA358" s="148" t="n"/>
      <c r="AB358" s="148" t="n">
        <v>0.7574960547080484</v>
      </c>
      <c r="AC358" s="148" t="inlineStr">
        <is>
          <t>US SL Satin 6pc</t>
        </is>
      </c>
      <c r="AD358" s="148">
        <f>'US SL Satin 6pc'!BF154</f>
        <v/>
      </c>
      <c r="AE358" s="148">
        <f>'US SL Satin 6pc'!BI154</f>
        <v/>
      </c>
      <c r="AF358" s="148" t="inlineStr">
        <is>
          <t>Queen</t>
        </is>
      </c>
      <c r="AG358" s="148" t="inlineStr">
        <is>
          <t>Black</t>
        </is>
      </c>
      <c r="AH358" s="148">
        <f>AND(E358="CA",OR('CA Dashboard'!$C$4="All",'CA Dashboard'!$C$4=D358),OR('CA Dashboard'!$C$5="All",'CA Dashboard'!$C$5=G358),OR('CA Dashboard'!$C$6="All",'CA Dashboard'!$C$6=H358),OR('CA Dashboard'!$C$7="All",'CA Dashboard'!$C$7=F358),OR('CA Dashboard'!$C$8="All",'CA Dashboard'!$C$8=AJ358))</f>
        <v/>
      </c>
      <c r="AI358" s="148">
        <f>IF(AH358,AI357+1,AI357)</f>
        <v/>
      </c>
      <c r="AJ358" s="148" t="inlineStr">
        <is>
          <t>Direct</t>
        </is>
      </c>
      <c r="AK358" s="148" t="inlineStr">
        <is>
          <t>Same product (sheet set) in the same material family: Satin (polyester) (title: Pure Bedding Satin Sheets Queen [4-Piece, Black] Hotel Luxur); ours: our listing: polyester satin.</t>
        </is>
      </c>
    </row>
    <row r="359">
      <c r="A359" s="148">
        <f>AND(E359="US",OR('US Dashboard'!$C$4="All",'US Dashboard'!$C$4=D359),OR('US Dashboard'!$C$5="All",'US Dashboard'!$C$5=G359),OR('US Dashboard'!$C$6="All",'US Dashboard'!$C$6=H359),OR('US Dashboard'!$C$7="All",'US Dashboard'!$C$7=F359),OR('US Dashboard'!$C$8="All",'US Dashboard'!$C$8=AJ359))</f>
        <v/>
      </c>
      <c r="B359" s="148">
        <f>IF(A359,B358+1,B358)</f>
        <v/>
      </c>
      <c r="C359" s="148" t="n">
        <v>74</v>
      </c>
      <c r="D359" s="148" t="inlineStr">
        <is>
          <t>SL Satin 6pc</t>
        </is>
      </c>
      <c r="E359" s="148" t="inlineStr">
        <is>
          <t>US</t>
        </is>
      </c>
      <c r="F359" s="148" t="inlineStr">
        <is>
          <t>Satin</t>
        </is>
      </c>
      <c r="G359" s="148" t="inlineStr">
        <is>
          <t>SiinvdaBZX</t>
        </is>
      </c>
      <c r="H359" s="148" t="inlineStr">
        <is>
          <t>Untiered</t>
        </is>
      </c>
      <c r="I359" s="148" t="inlineStr">
        <is>
          <t>SiinvdaBZX 4Pcs Satin Sheet Set Queen Size 15-Inch Deep Pocket, Beige</t>
        </is>
      </c>
      <c r="J359" s="148" t="inlineStr">
        <is>
          <t>https://images-na.ssl-images-amazon.com/images/I/71ZrkfMtWLL.jpg</t>
        </is>
      </c>
      <c r="K359" s="148" t="inlineStr">
        <is>
          <t>B0DD37S32L</t>
        </is>
      </c>
      <c r="L359" s="148" t="inlineStr">
        <is>
          <t>B08JP9DG5Z</t>
        </is>
      </c>
      <c r="M359" s="148" t="n">
        <v>96</v>
      </c>
      <c r="N359" s="148" t="n">
        <v>22.99</v>
      </c>
      <c r="O359" s="148" t="n"/>
      <c r="P359" s="148">
        <f>IF(AND(ISNUMBER(O359),ISNUMBER(N359),N(N359)&gt;0),O359/N359-1,"")</f>
        <v/>
      </c>
      <c r="Q359" s="148" t="n"/>
      <c r="R359" s="148">
        <f>IF(AND(ISNUMBER(N359),ISNUMBER(Q359),N(Q359)&gt;0),N359/Q359-1,"")</f>
        <v/>
      </c>
      <c r="S359" s="148" t="n">
        <v>23154</v>
      </c>
      <c r="T359" s="148" t="n">
        <v>92</v>
      </c>
      <c r="U359" s="148" t="n">
        <v>4.4</v>
      </c>
      <c r="V359" s="148" t="n">
        <v>6981</v>
      </c>
      <c r="W359" s="148" t="n">
        <v>47722</v>
      </c>
      <c r="X359" s="148" t="n">
        <v>0.8752176061355349</v>
      </c>
      <c r="Y359" s="148" t="n"/>
      <c r="Z359" s="148" t="n"/>
      <c r="AA359" s="148" t="n"/>
      <c r="AB359" s="148" t="n">
        <v>1.035928143712575</v>
      </c>
      <c r="AC359" s="148" t="inlineStr">
        <is>
          <t>US SL Satin 6pc</t>
        </is>
      </c>
      <c r="AD359" s="148">
        <f>'US SL Satin 6pc'!BF155</f>
        <v/>
      </c>
      <c r="AE359" s="148">
        <f>'US SL Satin 6pc'!BI155</f>
        <v/>
      </c>
      <c r="AF359" s="148" t="inlineStr">
        <is>
          <t>Queen</t>
        </is>
      </c>
      <c r="AG359" s="148" t="inlineStr">
        <is>
          <t>Beige</t>
        </is>
      </c>
      <c r="AH359" s="148">
        <f>AND(E359="CA",OR('CA Dashboard'!$C$4="All",'CA Dashboard'!$C$4=D359),OR('CA Dashboard'!$C$5="All",'CA Dashboard'!$C$5=G359),OR('CA Dashboard'!$C$6="All",'CA Dashboard'!$C$6=H359),OR('CA Dashboard'!$C$7="All",'CA Dashboard'!$C$7=F359),OR('CA Dashboard'!$C$8="All",'CA Dashboard'!$C$8=AJ359))</f>
        <v/>
      </c>
      <c r="AI359" s="148">
        <f>IF(AH359,AI358+1,AI358)</f>
        <v/>
      </c>
      <c r="AJ359" s="148" t="inlineStr">
        <is>
          <t>Direct</t>
        </is>
      </c>
      <c r="AK359" s="148" t="inlineStr">
        <is>
          <t>Same product (sheet set) in the same material family: Satin (polyester) (title: SiinvdaBZX 4Pcs Satin Sheet Set Queen Size 15-Inch Deep Pock); ours: our listing: polyester satin.</t>
        </is>
      </c>
    </row>
    <row r="360">
      <c r="A360" s="148">
        <f>AND(E360="US",OR('US Dashboard'!$C$4="All",'US Dashboard'!$C$4=D360),OR('US Dashboard'!$C$5="All",'US Dashboard'!$C$5=G360),OR('US Dashboard'!$C$6="All",'US Dashboard'!$C$6=H360),OR('US Dashboard'!$C$7="All",'US Dashboard'!$C$7=F360),OR('US Dashboard'!$C$8="All",'US Dashboard'!$C$8=AJ360))</f>
        <v/>
      </c>
      <c r="B360" s="148">
        <f>IF(A360,B359+1,B359)</f>
        <v/>
      </c>
      <c r="C360" s="148" t="n">
        <v>74</v>
      </c>
      <c r="D360" s="148" t="inlineStr">
        <is>
          <t>SL Satin 6pc</t>
        </is>
      </c>
      <c r="E360" s="148" t="inlineStr">
        <is>
          <t>US</t>
        </is>
      </c>
      <c r="F360" s="148" t="inlineStr">
        <is>
          <t>Satin</t>
        </is>
      </c>
      <c r="G360" s="148" t="inlineStr">
        <is>
          <t>VACVELT</t>
        </is>
      </c>
      <c r="H360" s="148" t="inlineStr">
        <is>
          <t>Untiered</t>
        </is>
      </c>
      <c r="I360" s="148" t="inlineStr">
        <is>
          <t>VACVELT 3pcs Queen Black Extra Deep Pocket Satin Fitted Sheet Set</t>
        </is>
      </c>
      <c r="J360" s="148" t="inlineStr">
        <is>
          <t>https://images-na.ssl-images-amazon.com/images/I/71d2-R2XfJL.jpg</t>
        </is>
      </c>
      <c r="K360" s="148" t="inlineStr">
        <is>
          <t>B0BWJ4PYLN</t>
        </is>
      </c>
      <c r="L360" s="148" t="inlineStr">
        <is>
          <t>B0BWJ4MLLZ</t>
        </is>
      </c>
      <c r="M360" s="148" t="n">
        <v>40</v>
      </c>
      <c r="N360" s="148" t="n">
        <v>18.99</v>
      </c>
      <c r="O360" s="148" t="n"/>
      <c r="P360" s="148">
        <f>IF(AND(ISNUMBER(O360),ISNUMBER(N360),N(N360)&gt;0),O360/N360-1,"")</f>
        <v/>
      </c>
      <c r="Q360" s="148" t="n"/>
      <c r="R360" s="148">
        <f>IF(AND(ISNUMBER(N360),ISNUMBER(Q360),N(Q360)&gt;0),N360/Q360-1,"")</f>
        <v/>
      </c>
      <c r="S360" s="148" t="n">
        <v>49291</v>
      </c>
      <c r="T360" s="148" t="n">
        <v>92</v>
      </c>
      <c r="U360" s="148" t="n">
        <v>4.2</v>
      </c>
      <c r="V360" s="148" t="n">
        <v>747</v>
      </c>
      <c r="W360" s="148" t="n">
        <v>25451</v>
      </c>
      <c r="X360" s="148" t="n">
        <v>0.9999606773800636</v>
      </c>
      <c r="Y360" s="148" t="n"/>
      <c r="Z360" s="148" t="n"/>
      <c r="AA360" s="148" t="n"/>
      <c r="AB360" s="148" t="n">
        <v>1.145341614906832</v>
      </c>
      <c r="AC360" s="148" t="inlineStr">
        <is>
          <t>US SL Satin 6pc</t>
        </is>
      </c>
      <c r="AD360" s="148">
        <f>'US SL Satin 6pc'!BF156</f>
        <v/>
      </c>
      <c r="AE360" s="148">
        <f>'US SL Satin 6pc'!BI156</f>
        <v/>
      </c>
      <c r="AF360" s="148" t="inlineStr">
        <is>
          <t>Queen</t>
        </is>
      </c>
      <c r="AG360" s="148" t="inlineStr">
        <is>
          <t>Black</t>
        </is>
      </c>
      <c r="AH360" s="148">
        <f>AND(E360="CA",OR('CA Dashboard'!$C$4="All",'CA Dashboard'!$C$4=D360),OR('CA Dashboard'!$C$5="All",'CA Dashboard'!$C$5=G360),OR('CA Dashboard'!$C$6="All",'CA Dashboard'!$C$6=H360),OR('CA Dashboard'!$C$7="All",'CA Dashboard'!$C$7=F360),OR('CA Dashboard'!$C$8="All",'CA Dashboard'!$C$8=AJ360))</f>
        <v/>
      </c>
      <c r="AI360" s="148">
        <f>IF(AH360,AI359+1,AI359)</f>
        <v/>
      </c>
      <c r="AJ360" s="148" t="inlineStr">
        <is>
          <t>Direct</t>
        </is>
      </c>
      <c r="AK360" s="148" t="inlineStr">
        <is>
          <t>Same product (sheet set) in the same material family: Satin (polyester) (title: VACVELT 3pcs Queen Black Extra Deep Pocket Satin Fitted Shee); ours: our listing: polyester satin.</t>
        </is>
      </c>
    </row>
    <row r="361">
      <c r="A361" s="148">
        <f>AND(E361="US",OR('US Dashboard'!$C$4="All",'US Dashboard'!$C$4=D361),OR('US Dashboard'!$C$5="All",'US Dashboard'!$C$5=G361),OR('US Dashboard'!$C$6="All",'US Dashboard'!$C$6=H361),OR('US Dashboard'!$C$7="All",'US Dashboard'!$C$7=F361),OR('US Dashboard'!$C$8="All",'US Dashboard'!$C$8=AJ361))</f>
        <v/>
      </c>
      <c r="B361" s="148">
        <f>IF(A361,B360+1,B360)</f>
        <v/>
      </c>
      <c r="C361" s="148" t="n">
        <v>74</v>
      </c>
      <c r="D361" s="148" t="inlineStr">
        <is>
          <t>SL Satin 6pc</t>
        </is>
      </c>
      <c r="E361" s="148" t="inlineStr">
        <is>
          <t>US</t>
        </is>
      </c>
      <c r="F361" s="148" t="inlineStr">
        <is>
          <t>Satin</t>
        </is>
      </c>
      <c r="G361" s="148" t="inlineStr">
        <is>
          <t>Horbaunal</t>
        </is>
      </c>
      <c r="H361" s="148" t="inlineStr">
        <is>
          <t>Untiered</t>
        </is>
      </c>
      <c r="I361" s="148" t="inlineStr">
        <is>
          <t>Horbaunal 6 Piece Satin Sheet Set Queen, Emerald Green Queen Bed Sheets</t>
        </is>
      </c>
      <c r="J361" s="148" t="inlineStr">
        <is>
          <t>https://images-na.ssl-images-amazon.com/images/I/813TGJ9FKjL.jpg</t>
        </is>
      </c>
      <c r="K361" s="148" t="inlineStr">
        <is>
          <t>B0B4MQCT87</t>
        </is>
      </c>
      <c r="L361" s="148" t="inlineStr">
        <is>
          <t>B0B4MQ1PP1</t>
        </is>
      </c>
      <c r="M361" s="148" t="n">
        <v>23</v>
      </c>
      <c r="N361" s="148" t="n">
        <v>28.99</v>
      </c>
      <c r="O361" s="148" t="n"/>
      <c r="P361" s="148">
        <f>IF(AND(ISNUMBER(O361),ISNUMBER(N361),N(N361)&gt;0),O361/N361-1,"")</f>
        <v/>
      </c>
      <c r="Q361" s="148" t="n"/>
      <c r="R361" s="148">
        <f>IF(AND(ISNUMBER(N361),ISNUMBER(Q361),N(Q361)&gt;0),N361/Q361-1,"")</f>
        <v/>
      </c>
      <c r="S361" s="148" t="n">
        <v>110638</v>
      </c>
      <c r="T361" s="148" t="n">
        <v>35</v>
      </c>
      <c r="U361" s="148" t="n">
        <v>4.4</v>
      </c>
      <c r="V361" s="148" t="n">
        <v>772</v>
      </c>
      <c r="W361" s="148" t="n"/>
      <c r="X361" s="148" t="n"/>
      <c r="Y361" s="148" t="n"/>
      <c r="Z361" s="148" t="n"/>
      <c r="AA361" s="148" t="n"/>
      <c r="AB361" s="148" t="n"/>
      <c r="AC361" s="148" t="inlineStr">
        <is>
          <t>US SL Satin 6pc</t>
        </is>
      </c>
      <c r="AD361" s="148">
        <f>'US SL Satin 6pc'!BF157</f>
        <v/>
      </c>
      <c r="AE361" s="148">
        <f>'US SL Satin 6pc'!BI157</f>
        <v/>
      </c>
      <c r="AF361" s="148" t="inlineStr">
        <is>
          <t>Queen</t>
        </is>
      </c>
      <c r="AG361" s="148" t="inlineStr">
        <is>
          <t>Green</t>
        </is>
      </c>
      <c r="AH361" s="148">
        <f>AND(E361="CA",OR('CA Dashboard'!$C$4="All",'CA Dashboard'!$C$4=D361),OR('CA Dashboard'!$C$5="All",'CA Dashboard'!$C$5=G361),OR('CA Dashboard'!$C$6="All",'CA Dashboard'!$C$6=H361),OR('CA Dashboard'!$C$7="All",'CA Dashboard'!$C$7=F361),OR('CA Dashboard'!$C$8="All",'CA Dashboard'!$C$8=AJ361))</f>
        <v/>
      </c>
      <c r="AI361" s="148">
        <f>IF(AH361,AI360+1,AI360)</f>
        <v/>
      </c>
      <c r="AJ361" s="148" t="inlineStr">
        <is>
          <t>Direct</t>
        </is>
      </c>
      <c r="AK361" s="148" t="inlineStr">
        <is>
          <t>Same product (sheet set) in the same material family: Satin (polyester) (title: Horbaunal 6 Piece Satin Sheet Set Queen, Emerald Green Queen); ours: our listing: polyester satin.</t>
        </is>
      </c>
    </row>
    <row r="362">
      <c r="A362" s="148">
        <f>AND(E362="US",OR('US Dashboard'!$C$4="All",'US Dashboard'!$C$4=D362),OR('US Dashboard'!$C$5="All",'US Dashboard'!$C$5=G362),OR('US Dashboard'!$C$6="All",'US Dashboard'!$C$6=H362),OR('US Dashboard'!$C$7="All",'US Dashboard'!$C$7=F362),OR('US Dashboard'!$C$8="All",'US Dashboard'!$C$8=AJ362))</f>
        <v/>
      </c>
      <c r="B362" s="148">
        <f>IF(A362,B361+1,B361)</f>
        <v/>
      </c>
      <c r="C362" s="148" t="n">
        <v>74</v>
      </c>
      <c r="D362" s="148" t="inlineStr">
        <is>
          <t>SL Satin 6pc</t>
        </is>
      </c>
      <c r="E362" s="148" t="inlineStr">
        <is>
          <t>US</t>
        </is>
      </c>
      <c r="F362" s="148" t="inlineStr">
        <is>
          <t>Satin</t>
        </is>
      </c>
      <c r="G362" s="148" t="inlineStr">
        <is>
          <t>VACVELT</t>
        </is>
      </c>
      <c r="H362" s="148" t="inlineStr">
        <is>
          <t>Untiered</t>
        </is>
      </c>
      <c r="I362" s="148" t="inlineStr">
        <is>
          <t>Satin Sheets</t>
        </is>
      </c>
      <c r="J362" s="148" t="inlineStr">
        <is>
          <t>https://m.media-amazon.com/images/I/81Ct-nDEEnL._AC_SL1500_.jpg</t>
        </is>
      </c>
      <c r="K362" s="148" t="inlineStr">
        <is>
          <t>B0C9T1VY8J</t>
        </is>
      </c>
      <c r="L362" s="148" t="inlineStr">
        <is>
          <t>B0C1GJZB6F</t>
        </is>
      </c>
      <c r="M362" s="148" t="n">
        <v>35</v>
      </c>
      <c r="N362" s="148" t="n">
        <v>21.99</v>
      </c>
      <c r="O362" s="148" t="n"/>
      <c r="P362" s="148">
        <f>IF(AND(ISNUMBER(O362),ISNUMBER(N362),N(N362)&gt;0),O362/N362-1,"")</f>
        <v/>
      </c>
      <c r="Q362" s="148" t="n"/>
      <c r="R362" s="148">
        <f>IF(AND(ISNUMBER(N362),ISNUMBER(Q362),N(Q362)&gt;0),N362/Q362-1,"")</f>
        <v/>
      </c>
      <c r="S362" s="148" t="n">
        <v>57010</v>
      </c>
      <c r="T362" s="148" t="n">
        <v>35</v>
      </c>
      <c r="U362" s="148" t="n">
        <v>4.5</v>
      </c>
      <c r="V362" s="148" t="n">
        <v>1017</v>
      </c>
      <c r="W362" s="148" t="n">
        <v>23621</v>
      </c>
      <c r="X362" s="148" t="n">
        <v>0.9628617755387157</v>
      </c>
      <c r="Y362" s="148" t="n"/>
      <c r="Z362" s="148" t="n"/>
      <c r="AA362" s="148" t="n"/>
      <c r="AB362" s="148" t="n">
        <v>1</v>
      </c>
      <c r="AC362" s="148" t="inlineStr">
        <is>
          <t>US SL Satin 6pc</t>
        </is>
      </c>
      <c r="AD362" s="148">
        <f>'US SL Satin 6pc'!BF158</f>
        <v/>
      </c>
      <c r="AE362" s="148">
        <f>'US SL Satin 6pc'!BI158</f>
        <v/>
      </c>
      <c r="AF362" s="148" t="inlineStr">
        <is>
          <t>Full</t>
        </is>
      </c>
      <c r="AG362" s="148" t="inlineStr">
        <is>
          <t>Hot Pink</t>
        </is>
      </c>
      <c r="AH362" s="148">
        <f>AND(E362="CA",OR('CA Dashboard'!$C$4="All",'CA Dashboard'!$C$4=D362),OR('CA Dashboard'!$C$5="All",'CA Dashboard'!$C$5=G362),OR('CA Dashboard'!$C$6="All",'CA Dashboard'!$C$6=H362),OR('CA Dashboard'!$C$7="All",'CA Dashboard'!$C$7=F362),OR('CA Dashboard'!$C$8="All",'CA Dashboard'!$C$8=AJ362))</f>
        <v/>
      </c>
      <c r="AI362" s="148">
        <f>IF(AH362,AI361+1,AI361)</f>
        <v/>
      </c>
      <c r="AJ362" s="148" t="inlineStr">
        <is>
          <t>Direct</t>
        </is>
      </c>
      <c r="AK362" s="148" t="inlineStr">
        <is>
          <t>Same product (sheet set) in the same material family: Satin (polyester) (product page material: Satin); ours: our listing: polyester satin.</t>
        </is>
      </c>
    </row>
    <row r="363">
      <c r="A363" s="148">
        <f>AND(E363="US",OR('US Dashboard'!$C$4="All",'US Dashboard'!$C$4=D363),OR('US Dashboard'!$C$5="All",'US Dashboard'!$C$5=G363),OR('US Dashboard'!$C$6="All",'US Dashboard'!$C$6=H363),OR('US Dashboard'!$C$7="All",'US Dashboard'!$C$7=F363),OR('US Dashboard'!$C$8="All",'US Dashboard'!$C$8=AJ363))</f>
        <v/>
      </c>
      <c r="B363" s="148">
        <f>IF(A363,B362+1,B362)</f>
        <v/>
      </c>
      <c r="C363" s="148" t="n">
        <v>74</v>
      </c>
      <c r="D363" s="148" t="inlineStr">
        <is>
          <t>SL Satin 6pc</t>
        </is>
      </c>
      <c r="E363" s="148" t="inlineStr">
        <is>
          <t>US</t>
        </is>
      </c>
      <c r="F363" s="148" t="inlineStr">
        <is>
          <t>Satin</t>
        </is>
      </c>
      <c r="G363" s="148" t="inlineStr">
        <is>
          <t>Homiest</t>
        </is>
      </c>
      <c r="H363" s="148" t="inlineStr">
        <is>
          <t>Untiered</t>
        </is>
      </c>
      <c r="I363" s="148" t="inlineStr">
        <is>
          <t>Satin Sheets</t>
        </is>
      </c>
      <c r="J363" s="148" t="inlineStr">
        <is>
          <t>https://m.media-amazon.com/images/I/71NLoiG0PKL._AC_SL1500_.jpg</t>
        </is>
      </c>
      <c r="K363" s="148" t="inlineStr">
        <is>
          <t>B0DYJKM99H</t>
        </is>
      </c>
      <c r="L363" s="148" t="inlineStr">
        <is>
          <t>B0DYJHHJQL</t>
        </is>
      </c>
      <c r="M363" s="148" t="n"/>
      <c r="N363" s="148" t="n">
        <v>27.99</v>
      </c>
      <c r="O363" s="148" t="n"/>
      <c r="P363" s="148">
        <f>IF(AND(ISNUMBER(O363),ISNUMBER(N363),N(N363)&gt;0),O363/N363-1,"")</f>
        <v/>
      </c>
      <c r="Q363" s="148" t="n"/>
      <c r="R363" s="148">
        <f>IF(AND(ISNUMBER(N363),ISNUMBER(Q363),N(Q363)&gt;0),N363/Q363-1,"")</f>
        <v/>
      </c>
      <c r="S363" s="148" t="n">
        <v>89437</v>
      </c>
      <c r="T363" s="148" t="n">
        <v>18</v>
      </c>
      <c r="U363" s="148" t="n">
        <v>4.5</v>
      </c>
      <c r="V363" s="148" t="n">
        <v>205</v>
      </c>
      <c r="W363" s="148" t="n"/>
      <c r="X363" s="148" t="n"/>
      <c r="Y363" s="148" t="n"/>
      <c r="Z363" s="148" t="n"/>
      <c r="AA363" s="148" t="n"/>
      <c r="AB363" s="148" t="n"/>
      <c r="AC363" s="148" t="inlineStr">
        <is>
          <t>US SL Satin 6pc</t>
        </is>
      </c>
      <c r="AD363" s="148">
        <f>'US SL Satin 6pc'!BF159</f>
        <v/>
      </c>
      <c r="AE363" s="148">
        <f>'US SL Satin 6pc'!BI159</f>
        <v/>
      </c>
      <c r="AF363" s="148" t="inlineStr">
        <is>
          <t>Queen</t>
        </is>
      </c>
      <c r="AG363" s="148" t="inlineStr">
        <is>
          <t>Blush Pink</t>
        </is>
      </c>
      <c r="AH363" s="148">
        <f>AND(E363="CA",OR('CA Dashboard'!$C$4="All",'CA Dashboard'!$C$4=D363),OR('CA Dashboard'!$C$5="All",'CA Dashboard'!$C$5=G363),OR('CA Dashboard'!$C$6="All",'CA Dashboard'!$C$6=H363),OR('CA Dashboard'!$C$7="All",'CA Dashboard'!$C$7=F363),OR('CA Dashboard'!$C$8="All",'CA Dashboard'!$C$8=AJ363))</f>
        <v/>
      </c>
      <c r="AI363" s="148">
        <f>IF(AH363,AI362+1,AI362)</f>
        <v/>
      </c>
      <c r="AJ363" s="148" t="inlineStr">
        <is>
          <t>Direct</t>
        </is>
      </c>
      <c r="AK363" s="148" t="inlineStr">
        <is>
          <t>Same product (sheet set) in the same material family: Satin (polyester) (product page material: Satin); ours: our listing: polyester satin.</t>
        </is>
      </c>
    </row>
    <row r="364">
      <c r="A364" s="148">
        <f>AND(E364="US",OR('US Dashboard'!$C$4="All",'US Dashboard'!$C$4=D364),OR('US Dashboard'!$C$5="All",'US Dashboard'!$C$5=G364),OR('US Dashboard'!$C$6="All",'US Dashboard'!$C$6=H364),OR('US Dashboard'!$C$7="All",'US Dashboard'!$C$7=F364),OR('US Dashboard'!$C$8="All",'US Dashboard'!$C$8=AJ364))</f>
        <v/>
      </c>
      <c r="B364" s="148">
        <f>IF(A364,B363+1,B363)</f>
        <v/>
      </c>
      <c r="C364" s="148" t="n">
        <v>74</v>
      </c>
      <c r="D364" s="148" t="inlineStr">
        <is>
          <t>SL Satin 6pc</t>
        </is>
      </c>
      <c r="E364" s="148" t="inlineStr">
        <is>
          <t>US</t>
        </is>
      </c>
      <c r="F364" s="148" t="inlineStr">
        <is>
          <t>Satin</t>
        </is>
      </c>
      <c r="G364" s="148" t="inlineStr">
        <is>
          <t>HommxJF</t>
        </is>
      </c>
      <c r="H364" s="148" t="inlineStr">
        <is>
          <t>Untiered</t>
        </is>
      </c>
      <c r="I364" s="148" t="inlineStr">
        <is>
          <t>Satin Sheets</t>
        </is>
      </c>
      <c r="J364" s="148" t="inlineStr">
        <is>
          <t>https://m.media-amazon.com/images/I/91BOC0gJVXL._AC_SL1500_.jpg</t>
        </is>
      </c>
      <c r="K364" s="148" t="inlineStr">
        <is>
          <t>B0BJZT93SL</t>
        </is>
      </c>
      <c r="L364" s="148" t="inlineStr">
        <is>
          <t>B09V52BVJB</t>
        </is>
      </c>
      <c r="M364" s="148" t="n">
        <v>32</v>
      </c>
      <c r="N364" s="148" t="n">
        <v>24.99</v>
      </c>
      <c r="O364" s="148" t="n"/>
      <c r="P364" s="148">
        <f>IF(AND(ISNUMBER(O364),ISNUMBER(N364),N(N364)&gt;0),O364/N364-1,"")</f>
        <v/>
      </c>
      <c r="Q364" s="148" t="n"/>
      <c r="R364" s="148">
        <f>IF(AND(ISNUMBER(N364),ISNUMBER(Q364),N(Q364)&gt;0),N364/Q364-1,"")</f>
        <v/>
      </c>
      <c r="S364" s="148" t="n">
        <v>180867</v>
      </c>
      <c r="T364" s="148" t="n">
        <v>18</v>
      </c>
      <c r="U364" s="148" t="n">
        <v>4.3</v>
      </c>
      <c r="V364" s="148" t="n">
        <v>1032</v>
      </c>
      <c r="W364" s="148" t="n">
        <v>16567</v>
      </c>
      <c r="X364" s="148" t="n">
        <v>0.8554338745699279</v>
      </c>
      <c r="Y364" s="148" t="n"/>
      <c r="Z364" s="148" t="n"/>
      <c r="AA364" s="148" t="n"/>
      <c r="AB364" s="148" t="n">
        <v>1.017857142857143</v>
      </c>
      <c r="AC364" s="148" t="inlineStr">
        <is>
          <t>US SL Satin 6pc</t>
        </is>
      </c>
      <c r="AD364" s="148">
        <f>'US SL Satin 6pc'!BF160</f>
        <v/>
      </c>
      <c r="AE364" s="148">
        <f>'US SL Satin 6pc'!BI160</f>
        <v/>
      </c>
      <c r="AF364" s="148" t="inlineStr">
        <is>
          <t>Full</t>
        </is>
      </c>
      <c r="AG364" s="148" t="inlineStr">
        <is>
          <t>Blush Pink</t>
        </is>
      </c>
      <c r="AH364" s="148">
        <f>AND(E364="CA",OR('CA Dashboard'!$C$4="All",'CA Dashboard'!$C$4=D364),OR('CA Dashboard'!$C$5="All",'CA Dashboard'!$C$5=G364),OR('CA Dashboard'!$C$6="All",'CA Dashboard'!$C$6=H364),OR('CA Dashboard'!$C$7="All",'CA Dashboard'!$C$7=F364),OR('CA Dashboard'!$C$8="All",'CA Dashboard'!$C$8=AJ364))</f>
        <v/>
      </c>
      <c r="AI364" s="148">
        <f>IF(AH364,AI363+1,AI363)</f>
        <v/>
      </c>
      <c r="AJ364" s="148" t="inlineStr">
        <is>
          <t>Direct</t>
        </is>
      </c>
      <c r="AK364" s="148" t="inlineStr">
        <is>
          <t>Same product (sheet set) in the same material family: Satin (polyester) (product page material: Satin); ours: our listing: polyester satin.</t>
        </is>
      </c>
    </row>
    <row r="365">
      <c r="A365" s="148">
        <f>AND(E365="US",OR('US Dashboard'!$C$4="All",'US Dashboard'!$C$4=D365),OR('US Dashboard'!$C$5="All",'US Dashboard'!$C$5=G365),OR('US Dashboard'!$C$6="All",'US Dashboard'!$C$6=H365),OR('US Dashboard'!$C$7="All",'US Dashboard'!$C$7=F365),OR('US Dashboard'!$C$8="All",'US Dashboard'!$C$8=AJ365))</f>
        <v/>
      </c>
      <c r="B365" s="148">
        <f>IF(A365,B364+1,B364)</f>
        <v/>
      </c>
      <c r="C365" s="148" t="n">
        <v>74</v>
      </c>
      <c r="D365" s="148" t="inlineStr">
        <is>
          <t>SL Satin 6pc</t>
        </is>
      </c>
      <c r="E365" s="148" t="inlineStr">
        <is>
          <t>US</t>
        </is>
      </c>
      <c r="F365" s="148" t="inlineStr">
        <is>
          <t>Satin</t>
        </is>
      </c>
      <c r="G365" s="148" t="inlineStr">
        <is>
          <t>MK Home</t>
        </is>
      </c>
      <c r="H365" s="148" t="inlineStr">
        <is>
          <t>Untiered</t>
        </is>
      </c>
      <c r="I365" s="148" t="inlineStr">
        <is>
          <t>Satin Sheets</t>
        </is>
      </c>
      <c r="J365" s="148" t="inlineStr">
        <is>
          <t>https://m.media-amazon.com/images/I/71ImrNlbFKL._AC_SL1500_.jpg</t>
        </is>
      </c>
      <c r="K365" s="148" t="inlineStr">
        <is>
          <t>B07H522QXD</t>
        </is>
      </c>
      <c r="L365" s="148" t="inlineStr">
        <is>
          <t>B07FGFRZ94</t>
        </is>
      </c>
      <c r="M365" s="148" t="n"/>
      <c r="N365" s="148" t="n">
        <v>18.99</v>
      </c>
      <c r="O365" s="148" t="n"/>
      <c r="P365" s="148">
        <f>IF(AND(ISNUMBER(O365),ISNUMBER(N365),N(N365)&gt;0),O365/N365-1,"")</f>
        <v/>
      </c>
      <c r="Q365" s="148" t="n"/>
      <c r="R365" s="148">
        <f>IF(AND(ISNUMBER(N365),ISNUMBER(Q365),N(Q365)&gt;0),N365/Q365-1,"")</f>
        <v/>
      </c>
      <c r="S365" s="148" t="n">
        <v>59039</v>
      </c>
      <c r="T365" s="148" t="n">
        <v>18</v>
      </c>
      <c r="U365" s="148" t="n">
        <v>4.3</v>
      </c>
      <c r="V365" s="148" t="n">
        <v>10761</v>
      </c>
      <c r="W365" s="148" t="n"/>
      <c r="X365" s="148" t="n"/>
      <c r="Y365" s="148" t="n"/>
      <c r="Z365" s="148" t="n"/>
      <c r="AA365" s="148" t="n"/>
      <c r="AB365" s="148" t="n"/>
      <c r="AC365" s="148" t="inlineStr">
        <is>
          <t>US SL Satin 6pc</t>
        </is>
      </c>
      <c r="AD365" s="148">
        <f>'US SL Satin 6pc'!BF161</f>
        <v/>
      </c>
      <c r="AE365" s="148">
        <f>'US SL Satin 6pc'!BI161</f>
        <v/>
      </c>
      <c r="AF365" s="148" t="inlineStr">
        <is>
          <t>Queen</t>
        </is>
      </c>
      <c r="AG365" s="148" t="inlineStr">
        <is>
          <t>Red</t>
        </is>
      </c>
      <c r="AH365" s="148">
        <f>AND(E365="CA",OR('CA Dashboard'!$C$4="All",'CA Dashboard'!$C$4=D365),OR('CA Dashboard'!$C$5="All",'CA Dashboard'!$C$5=G365),OR('CA Dashboard'!$C$6="All",'CA Dashboard'!$C$6=H365),OR('CA Dashboard'!$C$7="All",'CA Dashboard'!$C$7=F365),OR('CA Dashboard'!$C$8="All",'CA Dashboard'!$C$8=AJ365))</f>
        <v/>
      </c>
      <c r="AI365" s="148">
        <f>IF(AH365,AI364+1,AI364)</f>
        <v/>
      </c>
      <c r="AJ365" s="148" t="inlineStr">
        <is>
          <t>Direct</t>
        </is>
      </c>
      <c r="AK365" s="148" t="inlineStr">
        <is>
          <t>Same product (sheet set) in the same material family: Satin (polyester) (product page material: Soft Silky Satin); ours: our listing: polyester satin.</t>
        </is>
      </c>
    </row>
    <row r="366">
      <c r="A366" s="148">
        <f>AND(E366="US",OR('US Dashboard'!$C$4="All",'US Dashboard'!$C$4=D366),OR('US Dashboard'!$C$5="All",'US Dashboard'!$C$5=G366),OR('US Dashboard'!$C$6="All",'US Dashboard'!$C$6=H366),OR('US Dashboard'!$C$7="All",'US Dashboard'!$C$7=F366),OR('US Dashboard'!$C$8="All",'US Dashboard'!$C$8=AJ366))</f>
        <v/>
      </c>
      <c r="B366" s="148">
        <f>IF(A366,B365+1,B365)</f>
        <v/>
      </c>
      <c r="C366" s="148" t="n">
        <v>74</v>
      </c>
      <c r="D366" s="148" t="inlineStr">
        <is>
          <t>SL Satin 6pc</t>
        </is>
      </c>
      <c r="E366" s="148" t="inlineStr">
        <is>
          <t>US</t>
        </is>
      </c>
      <c r="F366" s="148" t="inlineStr">
        <is>
          <t>Satin</t>
        </is>
      </c>
      <c r="G366" s="148" t="inlineStr">
        <is>
          <t>VACVELT</t>
        </is>
      </c>
      <c r="H366" s="148" t="inlineStr">
        <is>
          <t>Untiered</t>
        </is>
      </c>
      <c r="I366" s="148" t="inlineStr">
        <is>
          <t>Satin Sheets</t>
        </is>
      </c>
      <c r="J366" s="148" t="inlineStr">
        <is>
          <t>https://m.media-amazon.com/images/I/61ShIpqvBXL._AC_SL1500_.jpg</t>
        </is>
      </c>
      <c r="K366" s="148" t="inlineStr">
        <is>
          <t>B0F7XQDVJY</t>
        </is>
      </c>
      <c r="L366" s="148" t="inlineStr">
        <is>
          <t>B0F7XRNKQY</t>
        </is>
      </c>
      <c r="M366" s="148" t="n">
        <v>31</v>
      </c>
      <c r="N366" s="148" t="n">
        <v>17.99</v>
      </c>
      <c r="O366" s="148" t="n"/>
      <c r="P366" s="148">
        <f>IF(AND(ISNUMBER(O366),ISNUMBER(N366),N(N366)&gt;0),O366/N366-1,"")</f>
        <v/>
      </c>
      <c r="Q366" s="148" t="n"/>
      <c r="R366" s="148">
        <f>IF(AND(ISNUMBER(N366),ISNUMBER(Q366),N(Q366)&gt;0),N366/Q366-1,"")</f>
        <v/>
      </c>
      <c r="S366" s="148" t="n">
        <v>79028</v>
      </c>
      <c r="T366" s="148" t="n">
        <v>18</v>
      </c>
      <c r="U366" s="148" t="n">
        <v>4.4</v>
      </c>
      <c r="V366" s="148" t="n">
        <v>209</v>
      </c>
      <c r="W366" s="148" t="n">
        <v>21912</v>
      </c>
      <c r="X366" s="148" t="n">
        <v>0.9845742834976268</v>
      </c>
      <c r="Y366" s="148" t="n"/>
      <c r="Z366" s="148" t="n"/>
      <c r="AA366" s="148" t="n"/>
      <c r="AB366" s="148" t="n">
        <v>1.707818930041152</v>
      </c>
      <c r="AC366" s="148" t="inlineStr">
        <is>
          <t>US SL Satin 6pc</t>
        </is>
      </c>
      <c r="AD366" s="148">
        <f>'US SL Satin 6pc'!BF162</f>
        <v/>
      </c>
      <c r="AE366" s="148">
        <f>'US SL Satin 6pc'!BI162</f>
        <v/>
      </c>
      <c r="AF366" s="148" t="inlineStr">
        <is>
          <t>Queen</t>
        </is>
      </c>
      <c r="AG366" s="148" t="inlineStr">
        <is>
          <t>Beige</t>
        </is>
      </c>
      <c r="AH366" s="148">
        <f>AND(E366="CA",OR('CA Dashboard'!$C$4="All",'CA Dashboard'!$C$4=D366),OR('CA Dashboard'!$C$5="All",'CA Dashboard'!$C$5=G366),OR('CA Dashboard'!$C$6="All",'CA Dashboard'!$C$6=H366),OR('CA Dashboard'!$C$7="All",'CA Dashboard'!$C$7=F366),OR('CA Dashboard'!$C$8="All",'CA Dashboard'!$C$8=AJ366))</f>
        <v/>
      </c>
      <c r="AI366" s="148">
        <f>IF(AH366,AI365+1,AI365)</f>
        <v/>
      </c>
      <c r="AJ366" s="148" t="inlineStr">
        <is>
          <t>Direct</t>
        </is>
      </c>
      <c r="AK366" s="148" t="inlineStr">
        <is>
          <t>Same product (sheet set) in the same material family: Satin (polyester) (product page material: Satin); ours: our listing: polyester satin.</t>
        </is>
      </c>
    </row>
    <row r="367">
      <c r="A367" s="148">
        <f>AND(E367="US",OR('US Dashboard'!$C$4="All",'US Dashboard'!$C$4=D367),OR('US Dashboard'!$C$5="All",'US Dashboard'!$C$5=G367),OR('US Dashboard'!$C$6="All",'US Dashboard'!$C$6=H367),OR('US Dashboard'!$C$7="All",'US Dashboard'!$C$7=F367),OR('US Dashboard'!$C$8="All",'US Dashboard'!$C$8=AJ367))</f>
        <v/>
      </c>
      <c r="B367" s="148">
        <f>IF(A367,B366+1,B366)</f>
        <v/>
      </c>
      <c r="C367" s="148" t="n">
        <v>74</v>
      </c>
      <c r="D367" s="148" t="inlineStr">
        <is>
          <t>SL Satin 6pc</t>
        </is>
      </c>
      <c r="E367" s="148" t="inlineStr">
        <is>
          <t>US</t>
        </is>
      </c>
      <c r="F367" s="148" t="inlineStr">
        <is>
          <t>Satin</t>
        </is>
      </c>
      <c r="G367" s="148" t="inlineStr">
        <is>
          <t>Candoury</t>
        </is>
      </c>
      <c r="H367" s="148" t="inlineStr">
        <is>
          <t>Untiered</t>
        </is>
      </c>
      <c r="I367" s="148" t="inlineStr">
        <is>
          <t>Satin Sheets</t>
        </is>
      </c>
      <c r="J367" s="148" t="inlineStr">
        <is>
          <t>https://m.media-amazon.com/images/I/71PuS2XyTRL._AC_SL1500_.jpg</t>
        </is>
      </c>
      <c r="K367" s="148" t="inlineStr">
        <is>
          <t>B08RHZ9TMQ</t>
        </is>
      </c>
      <c r="L367" s="148" t="inlineStr">
        <is>
          <t>B08JKWGXZ9</t>
        </is>
      </c>
      <c r="M367" s="148" t="n"/>
      <c r="N367" s="148" t="n">
        <v>15.99</v>
      </c>
      <c r="O367" s="148" t="n"/>
      <c r="P367" s="148">
        <f>IF(AND(ISNUMBER(O367),ISNUMBER(N367),N(N367)&gt;0),O367/N367-1,"")</f>
        <v/>
      </c>
      <c r="Q367" s="148" t="n"/>
      <c r="R367" s="148">
        <f>IF(AND(ISNUMBER(N367),ISNUMBER(Q367),N(Q367)&gt;0),N367/Q367-1,"")</f>
        <v/>
      </c>
      <c r="S367" s="148" t="n">
        <v>420044</v>
      </c>
      <c r="T367" s="148" t="n">
        <v>5</v>
      </c>
      <c r="U367" s="148" t="n">
        <v>4.3</v>
      </c>
      <c r="V367" s="148" t="n">
        <v>5277</v>
      </c>
      <c r="W367" s="148" t="n"/>
      <c r="X367" s="148" t="n"/>
      <c r="Y367" s="148" t="n"/>
      <c r="Z367" s="148" t="n"/>
      <c r="AA367" s="148" t="n"/>
      <c r="AB367" s="148" t="n"/>
      <c r="AC367" s="148" t="inlineStr">
        <is>
          <t>US SL Satin 6pc</t>
        </is>
      </c>
      <c r="AD367" s="148">
        <f>'US SL Satin 6pc'!BF163</f>
        <v/>
      </c>
      <c r="AE367" s="148">
        <f>'US SL Satin 6pc'!BI163</f>
        <v/>
      </c>
      <c r="AF367" s="148" t="inlineStr">
        <is>
          <t>Queen</t>
        </is>
      </c>
      <c r="AG367" s="148" t="inlineStr">
        <is>
          <t>Black</t>
        </is>
      </c>
      <c r="AH367" s="148">
        <f>AND(E367="CA",OR('CA Dashboard'!$C$4="All",'CA Dashboard'!$C$4=D367),OR('CA Dashboard'!$C$5="All",'CA Dashboard'!$C$5=G367),OR('CA Dashboard'!$C$6="All",'CA Dashboard'!$C$6=H367),OR('CA Dashboard'!$C$7="All",'CA Dashboard'!$C$7=F367),OR('CA Dashboard'!$C$8="All",'CA Dashboard'!$C$8=AJ367))</f>
        <v/>
      </c>
      <c r="AI367" s="148">
        <f>IF(AH367,AI366+1,AI366)</f>
        <v/>
      </c>
      <c r="AJ367" s="148" t="inlineStr">
        <is>
          <t>Direct</t>
        </is>
      </c>
      <c r="AK367" s="148" t="inlineStr">
        <is>
          <t>Same product (sheet set) in the same material family: Satin (polyester) (product page material: Satin polyester); ours: our listing: polyester satin.</t>
        </is>
      </c>
    </row>
    <row r="368">
      <c r="A368" s="148">
        <f>AND(E368="US",OR('US Dashboard'!$C$4="All",'US Dashboard'!$C$4=D368),OR('US Dashboard'!$C$5="All",'US Dashboard'!$C$5=G368),OR('US Dashboard'!$C$6="All",'US Dashboard'!$C$6=H368),OR('US Dashboard'!$C$7="All",'US Dashboard'!$C$7=F368),OR('US Dashboard'!$C$8="All",'US Dashboard'!$C$8=AJ368))</f>
        <v/>
      </c>
      <c r="B368" s="148">
        <f>IF(A368,B367+1,B367)</f>
        <v/>
      </c>
      <c r="C368" s="148" t="n">
        <v>74</v>
      </c>
      <c r="D368" s="148" t="inlineStr">
        <is>
          <t>SL Satin 6pc</t>
        </is>
      </c>
      <c r="E368" s="148" t="inlineStr">
        <is>
          <t>US</t>
        </is>
      </c>
      <c r="F368" s="148" t="inlineStr">
        <is>
          <t>Satin</t>
        </is>
      </c>
      <c r="G368" s="148" t="inlineStr">
        <is>
          <t>Homiest</t>
        </is>
      </c>
      <c r="H368" s="148" t="inlineStr">
        <is>
          <t>Untiered</t>
        </is>
      </c>
      <c r="I368" s="148" t="inlineStr">
        <is>
          <t>Satin Sheets</t>
        </is>
      </c>
      <c r="J368" s="148" t="inlineStr">
        <is>
          <t>https://images-na.ssl-images-amazon.com/images/I/71Upo7a638S.jpg</t>
        </is>
      </c>
      <c r="K368" s="148" t="inlineStr">
        <is>
          <t>B07XBR22W1</t>
        </is>
      </c>
      <c r="L368" s="148" t="inlineStr">
        <is>
          <t>B0B5Z2B9NN</t>
        </is>
      </c>
      <c r="M368" s="148" t="n">
        <v>70</v>
      </c>
      <c r="N368" s="148" t="n">
        <v>23.99</v>
      </c>
      <c r="O368" s="148" t="n">
        <v>25.99</v>
      </c>
      <c r="P368" s="148">
        <f>IF(AND(ISNUMBER(O368),ISNUMBER(N368),N(N368)&gt;0),O368/N368-1,"")</f>
        <v/>
      </c>
      <c r="Q368" s="148" t="n"/>
      <c r="R368" s="148">
        <f>IF(AND(ISNUMBER(N368),ISNUMBER(Q368),N(Q368)&gt;0),N368/Q368-1,"")</f>
        <v/>
      </c>
      <c r="S368" s="148" t="n">
        <v>28165</v>
      </c>
      <c r="T368" s="148" t="n">
        <v>5</v>
      </c>
      <c r="U368" s="148" t="n">
        <v>4.4</v>
      </c>
      <c r="V368" s="148" t="n">
        <v>12125</v>
      </c>
      <c r="W368" s="148" t="n">
        <v>20002</v>
      </c>
      <c r="X368" s="148" t="n">
        <v>1</v>
      </c>
      <c r="Y368" s="148" t="n"/>
      <c r="Z368" s="148" t="n"/>
      <c r="AA368" s="148" t="n"/>
      <c r="AB368" s="148" t="n"/>
      <c r="AC368" s="148" t="inlineStr">
        <is>
          <t>US SL Satin 6pc</t>
        </is>
      </c>
      <c r="AD368" s="148">
        <f>'US SL Satin 6pc'!BF164</f>
        <v/>
      </c>
      <c r="AE368" s="148">
        <f>'US SL Satin 6pc'!BI164</f>
        <v/>
      </c>
      <c r="AF368" s="148" t="inlineStr">
        <is>
          <t>EXTRA DEEP pocket - Full size</t>
        </is>
      </c>
      <c r="AG368" s="148" t="inlineStr">
        <is>
          <t>Blackish Green</t>
        </is>
      </c>
      <c r="AH368" s="148">
        <f>AND(E368="CA",OR('CA Dashboard'!$C$4="All",'CA Dashboard'!$C$4=D368),OR('CA Dashboard'!$C$5="All",'CA Dashboard'!$C$5=G368),OR('CA Dashboard'!$C$6="All",'CA Dashboard'!$C$6=H368),OR('CA Dashboard'!$C$7="All",'CA Dashboard'!$C$7=F368),OR('CA Dashboard'!$C$8="All",'CA Dashboard'!$C$8=AJ368))</f>
        <v/>
      </c>
      <c r="AI368" s="148">
        <f>IF(AH368,AI367+1,AI367)</f>
        <v/>
      </c>
      <c r="AJ368" s="148" t="inlineStr">
        <is>
          <t>Direct</t>
        </is>
      </c>
      <c r="AK368" s="148" t="inlineStr">
        <is>
          <t>Same product (sheet set) in the same material family: Satin (polyester) (product page material: Satin); ours: our listing: polyester satin.</t>
        </is>
      </c>
    </row>
    <row r="369">
      <c r="A369" s="148">
        <f>AND(E369="US",OR('US Dashboard'!$C$4="All",'US Dashboard'!$C$4=D369),OR('US Dashboard'!$C$5="All",'US Dashboard'!$C$5=G369),OR('US Dashboard'!$C$6="All",'US Dashboard'!$C$6=H369),OR('US Dashboard'!$C$7="All",'US Dashboard'!$C$7=F369),OR('US Dashboard'!$C$8="All",'US Dashboard'!$C$8=AJ369))</f>
        <v/>
      </c>
      <c r="B369" s="148">
        <f>IF(A369,B368+1,B368)</f>
        <v/>
      </c>
      <c r="C369" s="148" t="n">
        <v>74</v>
      </c>
      <c r="D369" s="148" t="inlineStr">
        <is>
          <t>SL Satin 6pc</t>
        </is>
      </c>
      <c r="E369" s="148" t="inlineStr">
        <is>
          <t>US</t>
        </is>
      </c>
      <c r="F369" s="148" t="inlineStr">
        <is>
          <t>Satin</t>
        </is>
      </c>
      <c r="G369" s="148" t="inlineStr">
        <is>
          <t>Manyshofu</t>
        </is>
      </c>
      <c r="H369" s="148" t="inlineStr">
        <is>
          <t>Untiered</t>
        </is>
      </c>
      <c r="I369" s="148" t="inlineStr">
        <is>
          <t>Satin Sheets</t>
        </is>
      </c>
      <c r="J369" s="148" t="inlineStr">
        <is>
          <t>https://m.media-amazon.com/images/I/81fhEyi-eTL._AC_SL1500_.jpg</t>
        </is>
      </c>
      <c r="K369" s="148" t="inlineStr">
        <is>
          <t>B09YQW7HBK</t>
        </is>
      </c>
      <c r="L369" s="148" t="inlineStr">
        <is>
          <t>B09S5RNLN9</t>
        </is>
      </c>
      <c r="M369" s="148" t="n"/>
      <c r="N369" s="148" t="n">
        <v>31.99</v>
      </c>
      <c r="O369" s="148" t="n"/>
      <c r="P369" s="148">
        <f>IF(AND(ISNUMBER(O369),ISNUMBER(N369),N(N369)&gt;0),O369/N369-1,"")</f>
        <v/>
      </c>
      <c r="Q369" s="148" t="n"/>
      <c r="R369" s="148">
        <f>IF(AND(ISNUMBER(N369),ISNUMBER(Q369),N(Q369)&gt;0),N369/Q369-1,"")</f>
        <v/>
      </c>
      <c r="S369" s="148" t="n">
        <v>300374</v>
      </c>
      <c r="T369" s="148" t="n">
        <v>5</v>
      </c>
      <c r="U369" s="148" t="n">
        <v>4.3</v>
      </c>
      <c r="V369" s="148" t="n">
        <v>907</v>
      </c>
      <c r="W369" s="148" t="n"/>
      <c r="X369" s="148" t="n"/>
      <c r="Y369" s="148" t="n"/>
      <c r="Z369" s="148" t="n"/>
      <c r="AA369" s="148" t="n"/>
      <c r="AB369" s="148" t="n"/>
      <c r="AC369" s="148" t="inlineStr">
        <is>
          <t>US SL Satin 6pc</t>
        </is>
      </c>
      <c r="AD369" s="148">
        <f>'US SL Satin 6pc'!BF165</f>
        <v/>
      </c>
      <c r="AE369" s="148">
        <f>'US SL Satin 6pc'!BI165</f>
        <v/>
      </c>
      <c r="AF369" s="148" t="inlineStr">
        <is>
          <t>California King</t>
        </is>
      </c>
      <c r="AG369" s="148" t="inlineStr">
        <is>
          <t>Dark Green</t>
        </is>
      </c>
      <c r="AH369" s="148">
        <f>AND(E369="CA",OR('CA Dashboard'!$C$4="All",'CA Dashboard'!$C$4=D369),OR('CA Dashboard'!$C$5="All",'CA Dashboard'!$C$5=G369),OR('CA Dashboard'!$C$6="All",'CA Dashboard'!$C$6=H369),OR('CA Dashboard'!$C$7="All",'CA Dashboard'!$C$7=F369),OR('CA Dashboard'!$C$8="All",'CA Dashboard'!$C$8=AJ369))</f>
        <v/>
      </c>
      <c r="AI369" s="148">
        <f>IF(AH369,AI368+1,AI368)</f>
        <v/>
      </c>
      <c r="AJ369" s="148" t="inlineStr">
        <is>
          <t>Direct</t>
        </is>
      </c>
      <c r="AK369" s="148" t="inlineStr">
        <is>
          <t>Same product (sheet set) in the same material family: Satin (polyester) (product page material: Satin); ours: our listing: polyester satin.</t>
        </is>
      </c>
    </row>
    <row r="370">
      <c r="A370" s="148">
        <f>AND(E370="US",OR('US Dashboard'!$C$4="All",'US Dashboard'!$C$4=D370),OR('US Dashboard'!$C$5="All",'US Dashboard'!$C$5=G370),OR('US Dashboard'!$C$6="All",'US Dashboard'!$C$6=H370),OR('US Dashboard'!$C$7="All",'US Dashboard'!$C$7=F370),OR('US Dashboard'!$C$8="All",'US Dashboard'!$C$8=AJ370))</f>
        <v/>
      </c>
      <c r="B370" s="148">
        <f>IF(A370,B369+1,B369)</f>
        <v/>
      </c>
      <c r="C370" s="148" t="n">
        <v>74</v>
      </c>
      <c r="D370" s="148" t="inlineStr">
        <is>
          <t>SL Satin 6pc</t>
        </is>
      </c>
      <c r="E370" s="148" t="inlineStr">
        <is>
          <t>US</t>
        </is>
      </c>
      <c r="F370" s="148" t="inlineStr">
        <is>
          <t>Satin</t>
        </is>
      </c>
      <c r="G370" s="148" t="inlineStr">
        <is>
          <t>CozyLux</t>
        </is>
      </c>
      <c r="H370" s="148" t="inlineStr">
        <is>
          <t>Untiered</t>
        </is>
      </c>
      <c r="I370" s="148" t="inlineStr">
        <is>
          <t>CozyLux Satin Sheets Queen, 4-Piece 14-Inch Deep Pocket Sheet Set</t>
        </is>
      </c>
      <c r="J370" s="148" t="inlineStr">
        <is>
          <t>https://images-na.ssl-images-amazon.com/images/I/71QlFwpmpcL.jpg</t>
        </is>
      </c>
      <c r="K370" s="148" t="inlineStr">
        <is>
          <t>B08CQKS3KP</t>
        </is>
      </c>
      <c r="L370" s="148" t="inlineStr">
        <is>
          <t>B08P16XLP2</t>
        </is>
      </c>
      <c r="M370" s="148" t="n">
        <v>115</v>
      </c>
      <c r="N370" s="148" t="n">
        <v>13.99</v>
      </c>
      <c r="O370" s="148" t="n">
        <v>18.99</v>
      </c>
      <c r="P370" s="148">
        <f>IF(AND(ISNUMBER(O370),ISNUMBER(N370),N(N370)&gt;0),O370/N370-1,"")</f>
        <v/>
      </c>
      <c r="Q370" s="148" t="n"/>
      <c r="R370" s="148">
        <f>IF(AND(ISNUMBER(N370),ISNUMBER(Q370),N(Q370)&gt;0),N370/Q370-1,"")</f>
        <v/>
      </c>
      <c r="S370" s="148" t="n">
        <v>3102</v>
      </c>
      <c r="T370" s="148" t="n">
        <v>347</v>
      </c>
      <c r="U370" s="148" t="n">
        <v>4.3</v>
      </c>
      <c r="V370" s="148" t="n">
        <v>7075</v>
      </c>
      <c r="W370" s="148" t="n">
        <v>164434</v>
      </c>
      <c r="X370" s="148" t="n">
        <v>0.724298132381382</v>
      </c>
      <c r="Y370" s="148" t="n"/>
      <c r="Z370" s="148" t="n"/>
      <c r="AA370" s="148" t="n"/>
      <c r="AB370" s="148" t="n">
        <v>0.8168981481481481</v>
      </c>
      <c r="AC370" s="148" t="inlineStr">
        <is>
          <t>US SL Satin 6pc</t>
        </is>
      </c>
      <c r="AD370" s="148">
        <f>'US SL Satin 6pc'!BF166</f>
        <v/>
      </c>
      <c r="AE370" s="148">
        <f>'US SL Satin 6pc'!BI166</f>
        <v/>
      </c>
      <c r="AF370" s="148" t="inlineStr">
        <is>
          <t>Queen</t>
        </is>
      </c>
      <c r="AG370" s="148" t="inlineStr">
        <is>
          <t>Black</t>
        </is>
      </c>
      <c r="AH370" s="148">
        <f>AND(E370="CA",OR('CA Dashboard'!$C$4="All",'CA Dashboard'!$C$4=D370),OR('CA Dashboard'!$C$5="All",'CA Dashboard'!$C$5=G370),OR('CA Dashboard'!$C$6="All",'CA Dashboard'!$C$6=H370),OR('CA Dashboard'!$C$7="All",'CA Dashboard'!$C$7=F370),OR('CA Dashboard'!$C$8="All",'CA Dashboard'!$C$8=AJ370))</f>
        <v/>
      </c>
      <c r="AI370" s="148">
        <f>IF(AH370,AI369+1,AI369)</f>
        <v/>
      </c>
      <c r="AJ370" s="148" t="inlineStr">
        <is>
          <t>Alternative material</t>
        </is>
      </c>
      <c r="AK370" s="148" t="inlineStr">
        <is>
          <t>Sheet set in Microfiber / polyester (product page material: Polyester microfiber); ours is Satin (polyester) (our listing: polyester satin). Shopper may cross-shop, but not like-for-like.</t>
        </is>
      </c>
    </row>
    <row r="371">
      <c r="A371" s="148">
        <f>AND(E371="US",OR('US Dashboard'!$C$4="All",'US Dashboard'!$C$4=D371),OR('US Dashboard'!$C$5="All",'US Dashboard'!$C$5=G371),OR('US Dashboard'!$C$6="All",'US Dashboard'!$C$6=H371),OR('US Dashboard'!$C$7="All",'US Dashboard'!$C$7=F371),OR('US Dashboard'!$C$8="All",'US Dashboard'!$C$8=AJ371))</f>
        <v/>
      </c>
      <c r="B371" s="148">
        <f>IF(A371,B370+1,B370)</f>
        <v/>
      </c>
      <c r="C371" s="148" t="n">
        <v>74</v>
      </c>
      <c r="D371" s="148" t="inlineStr">
        <is>
          <t>SL Satin 6pc</t>
        </is>
      </c>
      <c r="E371" s="148" t="inlineStr">
        <is>
          <t>US</t>
        </is>
      </c>
      <c r="F371" s="148" t="inlineStr">
        <is>
          <t>Satin</t>
        </is>
      </c>
      <c r="G371" s="148" t="inlineStr">
        <is>
          <t>Lanest Housing</t>
        </is>
      </c>
      <c r="H371" s="148" t="inlineStr">
        <is>
          <t>Untiered</t>
        </is>
      </c>
      <c r="I371" s="148" t="inlineStr">
        <is>
          <t>Lanest Housing Silk Satin Sheets, Queen Size Satin Bed Sheet Set with Deep Pockets, Cooling Soft and Hypoallergenic Satin Sheets Queen - Light Gray</t>
        </is>
      </c>
      <c r="J371" s="148" t="inlineStr">
        <is>
          <t>https://images-na.ssl-images-amazon.com/images/I/71PMIXXTc0L.jpg</t>
        </is>
      </c>
      <c r="K371" s="148" t="inlineStr">
        <is>
          <t>B0DC3MX1DP</t>
        </is>
      </c>
      <c r="L371" s="148" t="inlineStr">
        <is>
          <t>B082B5CY3D</t>
        </is>
      </c>
      <c r="M371" s="148" t="n">
        <v>154</v>
      </c>
      <c r="N371" s="148" t="n">
        <v>22.99</v>
      </c>
      <c r="O371" s="148" t="n"/>
      <c r="P371" s="148">
        <f>IF(AND(ISNUMBER(O371),ISNUMBER(N371),N(N371)&gt;0),O371/N371-1,"")</f>
        <v/>
      </c>
      <c r="Q371" s="148" t="n"/>
      <c r="R371" s="148">
        <f>IF(AND(ISNUMBER(N371),ISNUMBER(Q371),N(Q371)&gt;0),N371/Q371-1,"")</f>
        <v/>
      </c>
      <c r="S371" s="148" t="n">
        <v>4671</v>
      </c>
      <c r="T371" s="148" t="n">
        <v>208</v>
      </c>
      <c r="U371" s="148" t="n">
        <v>4.3</v>
      </c>
      <c r="V371" s="148" t="n">
        <v>5837</v>
      </c>
      <c r="W371" s="148" t="n">
        <v>163454</v>
      </c>
      <c r="X371" s="148" t="n">
        <v>0.511816095659941</v>
      </c>
      <c r="Y371" s="148" t="n"/>
      <c r="Z371" s="148" t="n"/>
      <c r="AA371" s="148" t="n"/>
      <c r="AB371" s="148" t="n">
        <v>0.4183908045977011</v>
      </c>
      <c r="AC371" s="148" t="inlineStr">
        <is>
          <t>US SL Satin 6pc</t>
        </is>
      </c>
      <c r="AD371" s="148">
        <f>'US SL Satin 6pc'!BF167</f>
        <v/>
      </c>
      <c r="AE371" s="148">
        <f>'US SL Satin 6pc'!BI167</f>
        <v/>
      </c>
      <c r="AF371" s="148" t="inlineStr">
        <is>
          <t>Queen</t>
        </is>
      </c>
      <c r="AG371" s="148" t="inlineStr">
        <is>
          <t>Gray</t>
        </is>
      </c>
      <c r="AH371" s="148">
        <f>AND(E371="CA",OR('CA Dashboard'!$C$4="All",'CA Dashboard'!$C$4=D371),OR('CA Dashboard'!$C$5="All",'CA Dashboard'!$C$5=G371),OR('CA Dashboard'!$C$6="All",'CA Dashboard'!$C$6=H371),OR('CA Dashboard'!$C$7="All",'CA Dashboard'!$C$7=F371),OR('CA Dashboard'!$C$8="All",'CA Dashboard'!$C$8=AJ371))</f>
        <v/>
      </c>
      <c r="AI371" s="148">
        <f>IF(AH371,AI370+1,AI370)</f>
        <v/>
      </c>
      <c r="AJ371" s="148" t="inlineStr">
        <is>
          <t>Alternative material</t>
        </is>
      </c>
      <c r="AK371" s="148" t="inlineStr">
        <is>
          <t>Sheet set in Silk (title: Lanest Housing Silk Satin Sheets, Queen Size Satin Bed Sheet); ours is Satin (polyester) (our listing: polyester satin). Shopper may cross-shop, but not like-for-like.</t>
        </is>
      </c>
    </row>
    <row r="372">
      <c r="A372" s="148">
        <f>AND(E372="US",OR('US Dashboard'!$C$4="All",'US Dashboard'!$C$4=D372),OR('US Dashboard'!$C$5="All",'US Dashboard'!$C$5=G372),OR('US Dashboard'!$C$6="All",'US Dashboard'!$C$6=H372),OR('US Dashboard'!$C$7="All",'US Dashboard'!$C$7=F372),OR('US Dashboard'!$C$8="All",'US Dashboard'!$C$8=AJ372))</f>
        <v/>
      </c>
      <c r="B372" s="148">
        <f>IF(A372,B371+1,B371)</f>
        <v/>
      </c>
      <c r="C372" s="148" t="n">
        <v>74</v>
      </c>
      <c r="D372" s="148" t="inlineStr">
        <is>
          <t>SL Satin 6pc</t>
        </is>
      </c>
      <c r="E372" s="148" t="inlineStr">
        <is>
          <t>US</t>
        </is>
      </c>
      <c r="F372" s="148" t="inlineStr">
        <is>
          <t>Satin</t>
        </is>
      </c>
      <c r="G372" s="148" t="inlineStr">
        <is>
          <t>Bedsure</t>
        </is>
      </c>
      <c r="H372" s="148" t="inlineStr">
        <is>
          <t>Untiered</t>
        </is>
      </c>
      <c r="I372" s="148" t="inlineStr">
        <is>
          <t>Satin Sheets</t>
        </is>
      </c>
      <c r="J372" s="148" t="inlineStr">
        <is>
          <t>https://images-na.ssl-images-amazon.com/images/I/81zMSoUAMJL.jpg</t>
        </is>
      </c>
      <c r="K372" s="148" t="inlineStr">
        <is>
          <t>B0DCZYNBYS</t>
        </is>
      </c>
      <c r="L372" s="148" t="inlineStr">
        <is>
          <t>B0CJ8RYNTS</t>
        </is>
      </c>
      <c r="M372" s="148" t="n">
        <v>32</v>
      </c>
      <c r="N372" s="148" t="n">
        <v>19.99</v>
      </c>
      <c r="O372" s="148" t="n"/>
      <c r="P372" s="148">
        <f>IF(AND(ISNUMBER(O372),ISNUMBER(N372),N(N372)&gt;0),O372/N372-1,"")</f>
        <v/>
      </c>
      <c r="Q372" s="148" t="n"/>
      <c r="R372" s="148">
        <f>IF(AND(ISNUMBER(N372),ISNUMBER(Q372),N(Q372)&gt;0),N372/Q372-1,"")</f>
        <v/>
      </c>
      <c r="S372" s="148" t="n">
        <v>22342</v>
      </c>
      <c r="T372" s="148" t="n">
        <v>92</v>
      </c>
      <c r="U372" s="148" t="n">
        <v>4.3</v>
      </c>
      <c r="V372" s="148" t="n">
        <v>2745</v>
      </c>
      <c r="W372" s="148" t="n">
        <v>89691</v>
      </c>
      <c r="X372" s="148" t="n">
        <v>0.6850140036347012</v>
      </c>
      <c r="Y372" s="148" t="n"/>
      <c r="Z372" s="148" t="n"/>
      <c r="AA372" s="148" t="n"/>
      <c r="AB372" s="148" t="n">
        <v>1.528846153846154</v>
      </c>
      <c r="AC372" s="148" t="inlineStr">
        <is>
          <t>US SL Satin 6pc</t>
        </is>
      </c>
      <c r="AD372" s="148">
        <f>'US SL Satin 6pc'!BF168</f>
        <v/>
      </c>
      <c r="AE372" s="148">
        <f>'US SL Satin 6pc'!BI168</f>
        <v/>
      </c>
      <c r="AF372" s="148" t="inlineStr">
        <is>
          <t>Queen</t>
        </is>
      </c>
      <c r="AG372" s="148" t="inlineStr">
        <is>
          <t>02 - Black</t>
        </is>
      </c>
      <c r="AH372" s="148">
        <f>AND(E372="CA",OR('CA Dashboard'!$C$4="All",'CA Dashboard'!$C$4=D372),OR('CA Dashboard'!$C$5="All",'CA Dashboard'!$C$5=G372),OR('CA Dashboard'!$C$6="All",'CA Dashboard'!$C$6=H372),OR('CA Dashboard'!$C$7="All",'CA Dashboard'!$C$7=F372),OR('CA Dashboard'!$C$8="All",'CA Dashboard'!$C$8=AJ372))</f>
        <v/>
      </c>
      <c r="AI372" s="148">
        <f>IF(AH372,AI371+1,AI371)</f>
        <v/>
      </c>
      <c r="AJ372" s="148" t="inlineStr">
        <is>
          <t>Alternative material</t>
        </is>
      </c>
      <c r="AK372" s="148" t="inlineStr">
        <is>
          <t>Sheet set in Microfiber / polyester (product page material: Polyester); ours is Satin (polyester) (our listing: polyester satin). Shopper may cross-shop, but not like-for-like.</t>
        </is>
      </c>
    </row>
    <row r="373">
      <c r="A373" s="148">
        <f>AND(E373="US",OR('US Dashboard'!$C$4="All",'US Dashboard'!$C$4=D373),OR('US Dashboard'!$C$5="All",'US Dashboard'!$C$5=G373),OR('US Dashboard'!$C$6="All",'US Dashboard'!$C$6=H373),OR('US Dashboard'!$C$7="All",'US Dashboard'!$C$7=F373),OR('US Dashboard'!$C$8="All",'US Dashboard'!$C$8=AJ373))</f>
        <v/>
      </c>
      <c r="B373" s="148">
        <f>IF(A373,B372+1,B372)</f>
        <v/>
      </c>
      <c r="C373" s="148" t="n">
        <v>74</v>
      </c>
      <c r="D373" s="148" t="inlineStr">
        <is>
          <t>SL Satin 6pc</t>
        </is>
      </c>
      <c r="E373" s="148" t="inlineStr">
        <is>
          <t>US</t>
        </is>
      </c>
      <c r="F373" s="148" t="inlineStr">
        <is>
          <t>Satin</t>
        </is>
      </c>
      <c r="G373" s="148" t="inlineStr">
        <is>
          <t>GOLAL</t>
        </is>
      </c>
      <c r="H373" s="148" t="inlineStr">
        <is>
          <t>Untiered</t>
        </is>
      </c>
      <c r="I373" s="148" t="inlineStr">
        <is>
          <t>GOLAL Satin Sheets Full Size - 4 Pieces Luxury Silky Soft Bed Sheets, Wrinkle-Free Black Satin Silk Sheet Set with 1 Deep Pocket Fitted Sheet, 1 Flat Sheet, 2 Pillow Cases</t>
        </is>
      </c>
      <c r="J373" s="148" t="inlineStr">
        <is>
          <t>https://images-na.ssl-images-amazon.com/images/I/71r48b+Sh9L.jpg</t>
        </is>
      </c>
      <c r="K373" s="148" t="inlineStr">
        <is>
          <t>B0B1Q2JG5X</t>
        </is>
      </c>
      <c r="L373" s="148" t="inlineStr">
        <is>
          <t>B09G17SQXF</t>
        </is>
      </c>
      <c r="M373" s="148" t="n">
        <v>94</v>
      </c>
      <c r="N373" s="148" t="n">
        <v>21.99</v>
      </c>
      <c r="O373" s="148" t="n"/>
      <c r="P373" s="148">
        <f>IF(AND(ISNUMBER(O373),ISNUMBER(N373),N(N373)&gt;0),O373/N373-1,"")</f>
        <v/>
      </c>
      <c r="Q373" s="148" t="n"/>
      <c r="R373" s="148">
        <f>IF(AND(ISNUMBER(N373),ISNUMBER(Q373),N(Q373)&gt;0),N373/Q373-1,"")</f>
        <v/>
      </c>
      <c r="S373" s="148" t="n">
        <v>132024</v>
      </c>
      <c r="T373" s="148" t="n">
        <v>81</v>
      </c>
      <c r="U373" s="148" t="n">
        <v>4.4</v>
      </c>
      <c r="V373" s="148" t="n">
        <v>3943</v>
      </c>
      <c r="W373" s="148" t="n">
        <v>48561</v>
      </c>
      <c r="X373" s="148" t="n">
        <v>0.6641788183933609</v>
      </c>
      <c r="Y373" s="148" t="n"/>
      <c r="Z373" s="148" t="n"/>
      <c r="AA373" s="148" t="n"/>
      <c r="AB373" s="148" t="n">
        <v>0.8779220779220779</v>
      </c>
      <c r="AC373" s="148" t="inlineStr">
        <is>
          <t>US SL Satin 6pc</t>
        </is>
      </c>
      <c r="AD373" s="148">
        <f>'US SL Satin 6pc'!BF169</f>
        <v/>
      </c>
      <c r="AE373" s="148">
        <f>'US SL Satin 6pc'!BI169</f>
        <v/>
      </c>
      <c r="AF373" s="148" t="inlineStr">
        <is>
          <t>Full</t>
        </is>
      </c>
      <c r="AG373" s="148" t="inlineStr">
        <is>
          <t>Black</t>
        </is>
      </c>
      <c r="AH373" s="148">
        <f>AND(E373="CA",OR('CA Dashboard'!$C$4="All",'CA Dashboard'!$C$4=D373),OR('CA Dashboard'!$C$5="All",'CA Dashboard'!$C$5=G373),OR('CA Dashboard'!$C$6="All",'CA Dashboard'!$C$6=H373),OR('CA Dashboard'!$C$7="All",'CA Dashboard'!$C$7=F373),OR('CA Dashboard'!$C$8="All",'CA Dashboard'!$C$8=AJ373))</f>
        <v/>
      </c>
      <c r="AI373" s="148">
        <f>IF(AH373,AI372+1,AI372)</f>
        <v/>
      </c>
      <c r="AJ373" s="148" t="inlineStr">
        <is>
          <t>Alternative material</t>
        </is>
      </c>
      <c r="AK373" s="148" t="inlineStr">
        <is>
          <t>Sheet set in Silk (title: GOLAL Satin Sheets Full Size - 4 Pieces Luxury Silky Soft Be); ours is Satin (polyester) (our listing: polyester satin). Shopper may cross-shop, but not like-for-like.</t>
        </is>
      </c>
    </row>
    <row r="374">
      <c r="A374" s="148">
        <f>AND(E374="US",OR('US Dashboard'!$C$4="All",'US Dashboard'!$C$4=D374),OR('US Dashboard'!$C$5="All",'US Dashboard'!$C$5=G374),OR('US Dashboard'!$C$6="All",'US Dashboard'!$C$6=H374),OR('US Dashboard'!$C$7="All",'US Dashboard'!$C$7=F374),OR('US Dashboard'!$C$8="All",'US Dashboard'!$C$8=AJ374))</f>
        <v/>
      </c>
      <c r="B374" s="148">
        <f>IF(A374,B373+1,B373)</f>
        <v/>
      </c>
      <c r="C374" s="148" t="n">
        <v>74</v>
      </c>
      <c r="D374" s="148" t="inlineStr">
        <is>
          <t>SL Satin 6pc</t>
        </is>
      </c>
      <c r="E374" s="148" t="inlineStr">
        <is>
          <t>US</t>
        </is>
      </c>
      <c r="F374" s="148" t="inlineStr">
        <is>
          <t>Satin</t>
        </is>
      </c>
      <c r="G374" s="148" t="inlineStr">
        <is>
          <t>Cobedzy</t>
        </is>
      </c>
      <c r="H374" s="148" t="inlineStr">
        <is>
          <t>Untiered</t>
        </is>
      </c>
      <c r="I374" s="148" t="inlineStr">
        <is>
          <t>Satin Sheets</t>
        </is>
      </c>
      <c r="J374" s="148" t="inlineStr">
        <is>
          <t>https://images-na.ssl-images-amazon.com/images/I/61QL2B3WPsL.jpg</t>
        </is>
      </c>
      <c r="K374" s="148" t="inlineStr">
        <is>
          <t>B099PPQ7T3</t>
        </is>
      </c>
      <c r="L374" s="148" t="inlineStr">
        <is>
          <t>B087CSRQQ4</t>
        </is>
      </c>
      <c r="M374" s="148" t="n">
        <v>18</v>
      </c>
      <c r="N374" s="148" t="n">
        <v>24.99</v>
      </c>
      <c r="O374" s="148" t="n"/>
      <c r="P374" s="148">
        <f>IF(AND(ISNUMBER(O374),ISNUMBER(N374),N(N374)&gt;0),O374/N374-1,"")</f>
        <v/>
      </c>
      <c r="Q374" s="148" t="n"/>
      <c r="R374" s="148">
        <f>IF(AND(ISNUMBER(N374),ISNUMBER(Q374),N(Q374)&gt;0),N374/Q374-1,"")</f>
        <v/>
      </c>
      <c r="S374" s="148" t="n">
        <v>68667</v>
      </c>
      <c r="T374" s="148" t="n">
        <v>35</v>
      </c>
      <c r="U374" s="148" t="n">
        <v>4.4</v>
      </c>
      <c r="V374" s="148" t="n">
        <v>2838</v>
      </c>
      <c r="W374" s="148" t="n">
        <v>21925</v>
      </c>
      <c r="X374" s="148" t="n">
        <v>0.9295306681870016</v>
      </c>
      <c r="Y374" s="148" t="n"/>
      <c r="Z374" s="148" t="n"/>
      <c r="AA374" s="148" t="n"/>
      <c r="AB374" s="148" t="n">
        <v>0.8934169278996865</v>
      </c>
      <c r="AC374" s="148" t="inlineStr">
        <is>
          <t>US SL Satin 6pc</t>
        </is>
      </c>
      <c r="AD374" s="148">
        <f>'US SL Satin 6pc'!BF170</f>
        <v/>
      </c>
      <c r="AE374" s="148">
        <f>'US SL Satin 6pc'!BI170</f>
        <v/>
      </c>
      <c r="AF374" s="148" t="inlineStr">
        <is>
          <t>Queen</t>
        </is>
      </c>
      <c r="AG374" s="148" t="inlineStr">
        <is>
          <t>Blush Pink</t>
        </is>
      </c>
      <c r="AH374" s="148">
        <f>AND(E374="CA",OR('CA Dashboard'!$C$4="All",'CA Dashboard'!$C$4=D374),OR('CA Dashboard'!$C$5="All",'CA Dashboard'!$C$5=G374),OR('CA Dashboard'!$C$6="All",'CA Dashboard'!$C$6=H374),OR('CA Dashboard'!$C$7="All",'CA Dashboard'!$C$7=F374),OR('CA Dashboard'!$C$8="All",'CA Dashboard'!$C$8=AJ374))</f>
        <v/>
      </c>
      <c r="AI374" s="148">
        <f>IF(AH374,AI373+1,AI373)</f>
        <v/>
      </c>
      <c r="AJ374" s="148" t="inlineStr">
        <is>
          <t>Alternative material</t>
        </is>
      </c>
      <c r="AK374" s="148" t="inlineStr">
        <is>
          <t>Sheet set in Microfiber / polyester (product page material: Polyester); ours is Satin (polyester) (our listing: polyester satin). Shopper may cross-shop, but not like-for-like.</t>
        </is>
      </c>
    </row>
    <row r="375">
      <c r="A375" s="148">
        <f>AND(E375="US",OR('US Dashboard'!$C$4="All",'US Dashboard'!$C$4=D375),OR('US Dashboard'!$C$5="All",'US Dashboard'!$C$5=G375),OR('US Dashboard'!$C$6="All",'US Dashboard'!$C$6=H375),OR('US Dashboard'!$C$7="All",'US Dashboard'!$C$7=F375),OR('US Dashboard'!$C$8="All",'US Dashboard'!$C$8=AJ375))</f>
        <v/>
      </c>
      <c r="B375" s="148">
        <f>IF(A375,B374+1,B374)</f>
        <v/>
      </c>
      <c r="C375" s="148" t="n">
        <v>74</v>
      </c>
      <c r="D375" s="148" t="inlineStr">
        <is>
          <t>SL Satin 6pc</t>
        </is>
      </c>
      <c r="E375" s="148" t="inlineStr">
        <is>
          <t>US</t>
        </is>
      </c>
      <c r="F375" s="148" t="inlineStr">
        <is>
          <t>Satin</t>
        </is>
      </c>
      <c r="G375" s="148" t="inlineStr">
        <is>
          <t>Sasttie</t>
        </is>
      </c>
      <c r="H375" s="148" t="inlineStr">
        <is>
          <t>Untiered</t>
        </is>
      </c>
      <c r="I375" s="148" t="inlineStr">
        <is>
          <t>Sasttie Satin Sheets Queen Size - 4 Pieces Luxury Soft Black Silky Bed Sheets Set with Pillowcases - Smooth Silk-Like Satin Fabric, Reinforced 14 Inches Pocket, Oeko-Tex Certified</t>
        </is>
      </c>
      <c r="J375" s="148" t="inlineStr">
        <is>
          <t>https://images-na.ssl-images-amazon.com/images/I/71MADUOjsFL.jpg</t>
        </is>
      </c>
      <c r="K375" s="148" t="inlineStr">
        <is>
          <t>B0F2H9HX69</t>
        </is>
      </c>
      <c r="L375" s="148" t="inlineStr">
        <is>
          <t>B0F2H8LPB3</t>
        </is>
      </c>
      <c r="M375" s="148" t="n">
        <v>47</v>
      </c>
      <c r="N375" s="148" t="n">
        <v>15.99</v>
      </c>
      <c r="O375" s="148" t="n"/>
      <c r="P375" s="148">
        <f>IF(AND(ISNUMBER(O375),ISNUMBER(N375),N(N375)&gt;0),O375/N375-1,"")</f>
        <v/>
      </c>
      <c r="Q375" s="148" t="n"/>
      <c r="R375" s="148">
        <f>IF(AND(ISNUMBER(N375),ISNUMBER(Q375),N(Q375)&gt;0),N375/Q375-1,"")</f>
        <v/>
      </c>
      <c r="S375" s="148" t="n">
        <v>58723</v>
      </c>
      <c r="T375" s="148" t="n">
        <v>35</v>
      </c>
      <c r="U375" s="148" t="n">
        <v>4.5</v>
      </c>
      <c r="V375" s="148" t="n">
        <v>968</v>
      </c>
      <c r="W375" s="148" t="n">
        <v>26952</v>
      </c>
      <c r="X375" s="148" t="n">
        <v>0.9879767104482041</v>
      </c>
      <c r="Y375" s="148" t="n"/>
      <c r="Z375" s="148" t="n"/>
      <c r="AA375" s="148" t="n"/>
      <c r="AB375" s="148" t="n">
        <v>1.063356164383562</v>
      </c>
      <c r="AC375" s="148" t="inlineStr">
        <is>
          <t>US SL Satin 6pc</t>
        </is>
      </c>
      <c r="AD375" s="148">
        <f>'US SL Satin 6pc'!BF171</f>
        <v/>
      </c>
      <c r="AE375" s="148">
        <f>'US SL Satin 6pc'!BI171</f>
        <v/>
      </c>
      <c r="AF375" s="148" t="inlineStr">
        <is>
          <t>Queen</t>
        </is>
      </c>
      <c r="AG375" s="148" t="inlineStr">
        <is>
          <t>Black</t>
        </is>
      </c>
      <c r="AH375" s="148">
        <f>AND(E375="CA",OR('CA Dashboard'!$C$4="All",'CA Dashboard'!$C$4=D375),OR('CA Dashboard'!$C$5="All",'CA Dashboard'!$C$5=G375),OR('CA Dashboard'!$C$6="All",'CA Dashboard'!$C$6=H375),OR('CA Dashboard'!$C$7="All",'CA Dashboard'!$C$7=F375),OR('CA Dashboard'!$C$8="All",'CA Dashboard'!$C$8=AJ375))</f>
        <v/>
      </c>
      <c r="AI375" s="148">
        <f>IF(AH375,AI374+1,AI374)</f>
        <v/>
      </c>
      <c r="AJ375" s="148" t="inlineStr">
        <is>
          <t>Alternative material</t>
        </is>
      </c>
      <c r="AK375" s="148" t="inlineStr">
        <is>
          <t>Sheet set in Silk (title: Sasttie Satin Sheets Queen Size - 4 Pieces Luxury Soft Black); ours is Satin (polyester) (our listing: polyester satin). Shopper may cross-shop, but not like-for-like.</t>
        </is>
      </c>
    </row>
    <row r="376">
      <c r="A376" s="148">
        <f>AND(E376="US",OR('US Dashboard'!$C$4="All",'US Dashboard'!$C$4=D376),OR('US Dashboard'!$C$5="All",'US Dashboard'!$C$5=G376),OR('US Dashboard'!$C$6="All",'US Dashboard'!$C$6=H376),OR('US Dashboard'!$C$7="All",'US Dashboard'!$C$7=F376),OR('US Dashboard'!$C$8="All",'US Dashboard'!$C$8=AJ376))</f>
        <v/>
      </c>
      <c r="B376" s="148">
        <f>IF(A376,B375+1,B375)</f>
        <v/>
      </c>
      <c r="C376" s="148" t="n">
        <v>74</v>
      </c>
      <c r="D376" s="148" t="inlineStr">
        <is>
          <t>SL Satin 6pc</t>
        </is>
      </c>
      <c r="E376" s="148" t="inlineStr">
        <is>
          <t>US</t>
        </is>
      </c>
      <c r="F376" s="148" t="inlineStr">
        <is>
          <t>Satin</t>
        </is>
      </c>
      <c r="G376" s="148" t="inlineStr">
        <is>
          <t>Vonty</t>
        </is>
      </c>
      <c r="H376" s="148" t="inlineStr">
        <is>
          <t>Untiered</t>
        </is>
      </c>
      <c r="I376" s="148" t="inlineStr">
        <is>
          <t>Satin Sheets</t>
        </is>
      </c>
      <c r="J376" s="148" t="inlineStr">
        <is>
          <t>https://m.media-amazon.com/images/I/71HVTciZ9oL._AC_SL1500_.jpg</t>
        </is>
      </c>
      <c r="K376" s="148" t="inlineStr">
        <is>
          <t>B0BDDJM9RW</t>
        </is>
      </c>
      <c r="L376" s="148" t="inlineStr">
        <is>
          <t>B0BDDGJ38X</t>
        </is>
      </c>
      <c r="M376" s="148" t="n">
        <v>22</v>
      </c>
      <c r="N376" s="148" t="n">
        <v>30.99</v>
      </c>
      <c r="O376" s="148" t="n"/>
      <c r="P376" s="148">
        <f>IF(AND(ISNUMBER(O376),ISNUMBER(N376),N(N376)&gt;0),O376/N376-1,"")</f>
        <v/>
      </c>
      <c r="Q376" s="148" t="n"/>
      <c r="R376" s="148">
        <f>IF(AND(ISNUMBER(N376),ISNUMBER(Q376),N(Q376)&gt;0),N376/Q376-1,"")</f>
        <v/>
      </c>
      <c r="S376" s="148" t="n">
        <v>83620</v>
      </c>
      <c r="T376" s="148" t="n">
        <v>35</v>
      </c>
      <c r="U376" s="148" t="n">
        <v>4.2</v>
      </c>
      <c r="V376" s="148" t="n">
        <v>909</v>
      </c>
      <c r="W376" s="148" t="n">
        <v>11441</v>
      </c>
      <c r="X376" s="148" t="n">
        <v>0.9484301110042829</v>
      </c>
      <c r="Y376" s="148" t="n"/>
      <c r="Z376" s="148" t="n"/>
      <c r="AA376" s="148" t="n"/>
      <c r="AB376" s="148" t="n">
        <v>0.9861111111111112</v>
      </c>
      <c r="AC376" s="148" t="inlineStr">
        <is>
          <t>US SL Satin 6pc</t>
        </is>
      </c>
      <c r="AD376" s="148">
        <f>'US SL Satin 6pc'!BF172</f>
        <v/>
      </c>
      <c r="AE376" s="148">
        <f>'US SL Satin 6pc'!BI172</f>
        <v/>
      </c>
      <c r="AF376" s="148" t="inlineStr">
        <is>
          <t>King - Extra Deep Pocket</t>
        </is>
      </c>
      <c r="AG376" s="148" t="inlineStr">
        <is>
          <t>Black</t>
        </is>
      </c>
      <c r="AH376" s="148">
        <f>AND(E376="CA",OR('CA Dashboard'!$C$4="All",'CA Dashboard'!$C$4=D376),OR('CA Dashboard'!$C$5="All",'CA Dashboard'!$C$5=G376),OR('CA Dashboard'!$C$6="All",'CA Dashboard'!$C$6=H376),OR('CA Dashboard'!$C$7="All",'CA Dashboard'!$C$7=F376),OR('CA Dashboard'!$C$8="All",'CA Dashboard'!$C$8=AJ376))</f>
        <v/>
      </c>
      <c r="AI376" s="148">
        <f>IF(AH376,AI375+1,AI375)</f>
        <v/>
      </c>
      <c r="AJ376" s="148" t="inlineStr">
        <is>
          <t>Alternative material</t>
        </is>
      </c>
      <c r="AK376" s="148" t="inlineStr">
        <is>
          <t>Sheet set in Microfiber / polyester (product page material: Polyester); ours is Satin (polyester) (our listing: polyester satin). Shopper may cross-shop, but not like-for-like.</t>
        </is>
      </c>
    </row>
    <row r="377">
      <c r="A377" s="148">
        <f>AND(E377="US",OR('US Dashboard'!$C$4="All",'US Dashboard'!$C$4=D377),OR('US Dashboard'!$C$5="All",'US Dashboard'!$C$5=G377),OR('US Dashboard'!$C$6="All",'US Dashboard'!$C$6=H377),OR('US Dashboard'!$C$7="All",'US Dashboard'!$C$7=F377),OR('US Dashboard'!$C$8="All",'US Dashboard'!$C$8=AJ377))</f>
        <v/>
      </c>
      <c r="B377" s="148">
        <f>IF(A377,B376+1,B376)</f>
        <v/>
      </c>
      <c r="C377" s="148" t="n">
        <v>74</v>
      </c>
      <c r="D377" s="148" t="inlineStr">
        <is>
          <t>SL Satin 6pc</t>
        </is>
      </c>
      <c r="E377" s="148" t="inlineStr">
        <is>
          <t>US</t>
        </is>
      </c>
      <c r="F377" s="148" t="inlineStr">
        <is>
          <t>Satin</t>
        </is>
      </c>
      <c r="G377" s="148" t="inlineStr">
        <is>
          <t>Madison Park</t>
        </is>
      </c>
      <c r="H377" s="148" t="inlineStr">
        <is>
          <t>Untiered</t>
        </is>
      </c>
      <c r="I377" s="148" t="inlineStr">
        <is>
          <t>Satin Sheets</t>
        </is>
      </c>
      <c r="J377" s="148" t="inlineStr">
        <is>
          <t>https://images-na.ssl-images-amazon.com/images/I/81HS7e6wrTL.jpg</t>
        </is>
      </c>
      <c r="K377" s="148" t="inlineStr">
        <is>
          <t>B0DJ2HJ9M4</t>
        </is>
      </c>
      <c r="L377" s="148" t="inlineStr">
        <is>
          <t>B09HVCPNLX</t>
        </is>
      </c>
      <c r="M377" s="148" t="n">
        <v>44</v>
      </c>
      <c r="N377" s="148" t="n">
        <v>26.99</v>
      </c>
      <c r="O377" s="148" t="n"/>
      <c r="P377" s="148">
        <f>IF(AND(ISNUMBER(O377),ISNUMBER(N377),N(N377)&gt;0),O377/N377-1,"")</f>
        <v/>
      </c>
      <c r="Q377" s="148" t="n"/>
      <c r="R377" s="148">
        <f>IF(AND(ISNUMBER(N377),ISNUMBER(Q377),N(Q377)&gt;0),N377/Q377-1,"")</f>
        <v/>
      </c>
      <c r="S377" s="148" t="n">
        <v>76753</v>
      </c>
      <c r="T377" s="148" t="n">
        <v>18</v>
      </c>
      <c r="U377" s="148" t="n">
        <v>4.5</v>
      </c>
      <c r="V377" s="148" t="n">
        <v>127</v>
      </c>
      <c r="W377" s="148" t="n">
        <v>35631</v>
      </c>
      <c r="X377" s="148" t="n">
        <v>0.9497345738261626</v>
      </c>
      <c r="Y377" s="148" t="n"/>
      <c r="Z377" s="148" t="n"/>
      <c r="AA377" s="148" t="n"/>
      <c r="AB377" s="148" t="n">
        <v>0.6901408450704226</v>
      </c>
      <c r="AC377" s="148" t="inlineStr">
        <is>
          <t>US SL Satin 6pc</t>
        </is>
      </c>
      <c r="AD377" s="148">
        <f>'US SL Satin 6pc'!BF173</f>
        <v/>
      </c>
      <c r="AE377" s="148">
        <f>'US SL Satin 6pc'!BI173</f>
        <v/>
      </c>
      <c r="AF377" s="148" t="inlineStr">
        <is>
          <t>Queen</t>
        </is>
      </c>
      <c r="AG377" s="148" t="inlineStr">
        <is>
          <t>Ivory</t>
        </is>
      </c>
      <c r="AH377" s="148">
        <f>AND(E377="CA",OR('CA Dashboard'!$C$4="All",'CA Dashboard'!$C$4=D377),OR('CA Dashboard'!$C$5="All",'CA Dashboard'!$C$5=G377),OR('CA Dashboard'!$C$6="All",'CA Dashboard'!$C$6=H377),OR('CA Dashboard'!$C$7="All",'CA Dashboard'!$C$7=F377),OR('CA Dashboard'!$C$8="All",'CA Dashboard'!$C$8=AJ377))</f>
        <v/>
      </c>
      <c r="AI377" s="148">
        <f>IF(AH377,AI376+1,AI376)</f>
        <v/>
      </c>
      <c r="AJ377" s="148" t="inlineStr">
        <is>
          <t>Alternative material</t>
        </is>
      </c>
      <c r="AK377" s="148" t="inlineStr">
        <is>
          <t>Sheet set in Microfiber / polyester (product page material: Polyester); ours is Satin (polyester) (our listing: polyester satin). Shopper may cross-shop, but not like-for-like.</t>
        </is>
      </c>
    </row>
    <row r="378">
      <c r="A378" s="148">
        <f>AND(E378="US",OR('US Dashboard'!$C$4="All",'US Dashboard'!$C$4=D378),OR('US Dashboard'!$C$5="All",'US Dashboard'!$C$5=G378),OR('US Dashboard'!$C$6="All",'US Dashboard'!$C$6=H378),OR('US Dashboard'!$C$7="All",'US Dashboard'!$C$7=F378),OR('US Dashboard'!$C$8="All",'US Dashboard'!$C$8=AJ378))</f>
        <v/>
      </c>
      <c r="B378" s="148">
        <f>IF(A378,B377+1,B377)</f>
        <v/>
      </c>
      <c r="C378" s="148" t="n">
        <v>74</v>
      </c>
      <c r="D378" s="148" t="inlineStr">
        <is>
          <t>SL Satin 6pc</t>
        </is>
      </c>
      <c r="E378" s="148" t="inlineStr">
        <is>
          <t>US</t>
        </is>
      </c>
      <c r="F378" s="148" t="inlineStr">
        <is>
          <t>Satin</t>
        </is>
      </c>
      <c r="G378" s="148" t="inlineStr">
        <is>
          <t>Martex</t>
        </is>
      </c>
      <c r="H378" s="148" t="inlineStr">
        <is>
          <t>Untiered</t>
        </is>
      </c>
      <c r="I378" s="148" t="inlineStr">
        <is>
          <t>Satin Sheets</t>
        </is>
      </c>
      <c r="J378" s="148" t="inlineStr">
        <is>
          <t>https://m.media-amazon.com/images/I/71kVc8L0urL._AC_SL1500_.jpg</t>
        </is>
      </c>
      <c r="K378" s="148" t="inlineStr">
        <is>
          <t>B0DLGX8P9D</t>
        </is>
      </c>
      <c r="L378" s="148" t="inlineStr">
        <is>
          <t>B07X49LFDC</t>
        </is>
      </c>
      <c r="M378" s="148" t="n"/>
      <c r="N378" s="148" t="n">
        <v>23.34</v>
      </c>
      <c r="O378" s="148" t="n"/>
      <c r="P378" s="148">
        <f>IF(AND(ISNUMBER(O378),ISNUMBER(N378),N(N378)&gt;0),O378/N378-1,"")</f>
        <v/>
      </c>
      <c r="Q378" s="148" t="n"/>
      <c r="R378" s="148">
        <f>IF(AND(ISNUMBER(N378),ISNUMBER(Q378),N(Q378)&gt;0),N378/Q378-1,"")</f>
        <v/>
      </c>
      <c r="S378" s="148" t="n">
        <v>52458</v>
      </c>
      <c r="T378" s="148" t="n">
        <v>5</v>
      </c>
      <c r="U378" s="148" t="n">
        <v>4.3</v>
      </c>
      <c r="V378" s="148" t="n">
        <v>2260</v>
      </c>
      <c r="W378" s="148" t="n"/>
      <c r="X378" s="148" t="n"/>
      <c r="Y378" s="148" t="n"/>
      <c r="Z378" s="148" t="n"/>
      <c r="AA378" s="148" t="n"/>
      <c r="AB378" s="148" t="n"/>
      <c r="AC378" s="148" t="inlineStr">
        <is>
          <t>US SL Satin 6pc</t>
        </is>
      </c>
      <c r="AD378" s="148">
        <f>'US SL Satin 6pc'!BF174</f>
        <v/>
      </c>
      <c r="AE378" s="148">
        <f>'US SL Satin 6pc'!BI174</f>
        <v/>
      </c>
      <c r="AF378" s="148" t="inlineStr">
        <is>
          <t>Queen</t>
        </is>
      </c>
      <c r="AG378" s="148" t="inlineStr">
        <is>
          <t>Pink</t>
        </is>
      </c>
      <c r="AH378" s="148">
        <f>AND(E378="CA",OR('CA Dashboard'!$C$4="All",'CA Dashboard'!$C$4=D378),OR('CA Dashboard'!$C$5="All",'CA Dashboard'!$C$5=G378),OR('CA Dashboard'!$C$6="All",'CA Dashboard'!$C$6=H378),OR('CA Dashboard'!$C$7="All",'CA Dashboard'!$C$7=F378),OR('CA Dashboard'!$C$8="All",'CA Dashboard'!$C$8=AJ378))</f>
        <v/>
      </c>
      <c r="AI378" s="148">
        <f>IF(AH378,AI377+1,AI377)</f>
        <v/>
      </c>
      <c r="AJ378" s="148" t="inlineStr">
        <is>
          <t>Alternative material</t>
        </is>
      </c>
      <c r="AK378" s="148" t="inlineStr">
        <is>
          <t>Sheet set in Microfiber / polyester (product page material: Polyester); ours is Satin (polyester) (our listing: polyester satin). Shopper may cross-shop, but not like-for-like.</t>
        </is>
      </c>
    </row>
    <row r="379">
      <c r="A379" s="148">
        <f>AND(E379="US",OR('US Dashboard'!$C$4="All",'US Dashboard'!$C$4=D379),OR('US Dashboard'!$C$5="All",'US Dashboard'!$C$5=G379),OR('US Dashboard'!$C$6="All",'US Dashboard'!$C$6=H379),OR('US Dashboard'!$C$7="All",'US Dashboard'!$C$7=F379),OR('US Dashboard'!$C$8="All",'US Dashboard'!$C$8=AJ379))</f>
        <v/>
      </c>
      <c r="B379" s="148">
        <f>IF(A379,B378+1,B378)</f>
        <v/>
      </c>
      <c r="C379" s="148" t="n">
        <v>38</v>
      </c>
      <c r="D379" s="148" t="inlineStr">
        <is>
          <t>DC Satin Fitted</t>
        </is>
      </c>
      <c r="E379" s="148" t="inlineStr">
        <is>
          <t>US</t>
        </is>
      </c>
      <c r="F379" s="148" t="inlineStr">
        <is>
          <t>Satin</t>
        </is>
      </c>
      <c r="G379" s="148" t="inlineStr">
        <is>
          <t>BEDELITE</t>
        </is>
      </c>
      <c r="H379" s="148" t="inlineStr">
        <is>
          <t>Beatable</t>
        </is>
      </c>
      <c r="I379" s="148" t="inlineStr">
        <is>
          <t>Satin Fitted Sheet</t>
        </is>
      </c>
      <c r="J379" s="148" t="inlineStr">
        <is>
          <t>https://m.media-amazon.com/images/I/61ctdtmfhML._AC_SL1500_.jpg</t>
        </is>
      </c>
      <c r="K379" s="148" t="inlineStr">
        <is>
          <t>B0FNMFHHW7</t>
        </is>
      </c>
      <c r="L379" s="148" t="inlineStr">
        <is>
          <t>B0FL2BK9CR</t>
        </is>
      </c>
      <c r="M379" s="148" t="n">
        <v>30</v>
      </c>
      <c r="N379" s="148" t="n">
        <v>13.99</v>
      </c>
      <c r="O379" s="148" t="n"/>
      <c r="P379" s="148">
        <f>IF(AND(ISNUMBER(O379),ISNUMBER(N379),N(N379)&gt;0),O379/N379-1,"")</f>
        <v/>
      </c>
      <c r="Q379" s="148" t="n">
        <v>21.95</v>
      </c>
      <c r="R379" s="148">
        <f>IF(AND(ISNUMBER(N379),ISNUMBER(Q379),N(Q379)&gt;0),N379/Q379-1,"")</f>
        <v/>
      </c>
      <c r="S379" s="148" t="n">
        <v>11489</v>
      </c>
      <c r="T379" s="148" t="n">
        <v>208</v>
      </c>
      <c r="U379" s="148" t="n">
        <v>4.4</v>
      </c>
      <c r="V379" s="148" t="n">
        <v>528</v>
      </c>
      <c r="W379" s="148" t="n">
        <v>91747</v>
      </c>
      <c r="X379" s="148" t="n">
        <v>0.6396661122434514</v>
      </c>
      <c r="Y379" s="148" t="n">
        <v>171</v>
      </c>
      <c r="Z379" s="148" t="n">
        <v>219</v>
      </c>
      <c r="AA379" s="148" t="n">
        <v>93</v>
      </c>
      <c r="AB379" s="148" t="n">
        <v>1.227166276346604</v>
      </c>
      <c r="AC379" s="148" t="inlineStr">
        <is>
          <t>US DC Satin Fitted</t>
        </is>
      </c>
      <c r="AD379" s="148">
        <f>'US DC Satin Fitted'!BF112</f>
        <v/>
      </c>
      <c r="AE379" s="148">
        <f>'US DC Satin Fitted'!BI112</f>
        <v/>
      </c>
      <c r="AF379" s="148" t="inlineStr">
        <is>
          <t>Queen</t>
        </is>
      </c>
      <c r="AG379" s="148" t="inlineStr">
        <is>
          <t>Black</t>
        </is>
      </c>
      <c r="AH379" s="148">
        <f>AND(E379="CA",OR('CA Dashboard'!$C$4="All",'CA Dashboard'!$C$4=D379),OR('CA Dashboard'!$C$5="All",'CA Dashboard'!$C$5=G379),OR('CA Dashboard'!$C$6="All",'CA Dashboard'!$C$6=H379),OR('CA Dashboard'!$C$7="All",'CA Dashboard'!$C$7=F379),OR('CA Dashboard'!$C$8="All",'CA Dashboard'!$C$8=AJ379))</f>
        <v/>
      </c>
      <c r="AI379" s="148">
        <f>IF(AH379,AI378+1,AI378)</f>
        <v/>
      </c>
      <c r="AJ379" s="148" t="inlineStr">
        <is>
          <t>Direct</t>
        </is>
      </c>
      <c r="AK379" s="148" t="inlineStr">
        <is>
          <t>Same product (fitted sheet) in the same material family: Satin (polyester) (product page material: Satin); ours: our listing: polyester satin.</t>
        </is>
      </c>
    </row>
    <row r="380">
      <c r="A380" s="148">
        <f>AND(E380="US",OR('US Dashboard'!$C$4="All",'US Dashboard'!$C$4=D380),OR('US Dashboard'!$C$5="All",'US Dashboard'!$C$5=G380),OR('US Dashboard'!$C$6="All",'US Dashboard'!$C$6=H380),OR('US Dashboard'!$C$7="All",'US Dashboard'!$C$7=F380),OR('US Dashboard'!$C$8="All",'US Dashboard'!$C$8=AJ380))</f>
        <v/>
      </c>
      <c r="B380" s="148">
        <f>IF(A380,B379+1,B379)</f>
        <v/>
      </c>
      <c r="C380" s="148" t="n">
        <v>38</v>
      </c>
      <c r="D380" s="148" t="inlineStr">
        <is>
          <t>DC Satin Fitted</t>
        </is>
      </c>
      <c r="E380" s="148" t="inlineStr">
        <is>
          <t>US</t>
        </is>
      </c>
      <c r="F380" s="148" t="inlineStr">
        <is>
          <t>Satin</t>
        </is>
      </c>
      <c r="G380" s="148" t="inlineStr">
        <is>
          <t>Bedsure</t>
        </is>
      </c>
      <c r="H380" s="148" t="inlineStr">
        <is>
          <t>Poor</t>
        </is>
      </c>
      <c r="I380" s="148" t="inlineStr">
        <is>
          <t>Satin Fitted Sheet</t>
        </is>
      </c>
      <c r="J380" s="148" t="n"/>
      <c r="K380" s="148" t="inlineStr">
        <is>
          <t>B0DG238XCM</t>
        </is>
      </c>
      <c r="L380" s="148" t="inlineStr">
        <is>
          <t>B0DG2HRZKK</t>
        </is>
      </c>
      <c r="M380" s="148" t="n"/>
      <c r="N380" s="148" t="n">
        <v>21.95</v>
      </c>
      <c r="O380" s="148" t="n"/>
      <c r="P380" s="148">
        <f>IF(AND(ISNUMBER(O380),ISNUMBER(N380),N(N380)&gt;0),O380/N380-1,"")</f>
        <v/>
      </c>
      <c r="Q380" s="148" t="n">
        <v>21.95</v>
      </c>
      <c r="R380" s="148">
        <f>IF(AND(ISNUMBER(N380),ISNUMBER(Q380),N(Q380)&gt;0),N380/Q380-1,"")</f>
        <v/>
      </c>
      <c r="S380" s="148" t="n">
        <v>732930</v>
      </c>
      <c r="T380" s="148" t="n">
        <v>5</v>
      </c>
      <c r="U380" s="148" t="n">
        <v>4.5</v>
      </c>
      <c r="V380" s="148" t="n">
        <v>223</v>
      </c>
      <c r="W380" s="148" t="n"/>
      <c r="X380" s="148" t="n"/>
      <c r="Y380" s="148" t="n"/>
      <c r="Z380" s="148" t="n"/>
      <c r="AA380" s="148" t="n"/>
      <c r="AB380" s="148" t="n"/>
      <c r="AC380" s="148" t="inlineStr">
        <is>
          <t>US DC Satin Fitted</t>
        </is>
      </c>
      <c r="AD380" s="148">
        <f>'US DC Satin Fitted'!BF113</f>
        <v/>
      </c>
      <c r="AE380" s="148">
        <f>'US DC Satin Fitted'!BI113</f>
        <v/>
      </c>
      <c r="AF380" s="148" t="n"/>
      <c r="AG380" s="148" t="n"/>
      <c r="AH380" s="148">
        <f>AND(E380="CA",OR('CA Dashboard'!$C$4="All",'CA Dashboard'!$C$4=D380),OR('CA Dashboard'!$C$5="All",'CA Dashboard'!$C$5=G380),OR('CA Dashboard'!$C$6="All",'CA Dashboard'!$C$6=H380),OR('CA Dashboard'!$C$7="All",'CA Dashboard'!$C$7=F380),OR('CA Dashboard'!$C$8="All",'CA Dashboard'!$C$8=AJ380))</f>
        <v/>
      </c>
      <c r="AI380" s="148">
        <f>IF(AH380,AI379+1,AI379)</f>
        <v/>
      </c>
      <c r="AJ380" s="148" t="inlineStr">
        <is>
          <t>Direct</t>
        </is>
      </c>
      <c r="AK380" s="148" t="inlineStr">
        <is>
          <t>Same product (fitted sheet) in the same material family: Satin (polyester) (title: Satin Fitted Sheet); ours: our listing: polyester satin.</t>
        </is>
      </c>
    </row>
    <row r="381">
      <c r="A381" s="148">
        <f>AND(E381="US",OR('US Dashboard'!$C$4="All",'US Dashboard'!$C$4=D381),OR('US Dashboard'!$C$5="All",'US Dashboard'!$C$5=G381),OR('US Dashboard'!$C$6="All",'US Dashboard'!$C$6=H381),OR('US Dashboard'!$C$7="All",'US Dashboard'!$C$7=F381),OR('US Dashboard'!$C$8="All",'US Dashboard'!$C$8=AJ381))</f>
        <v/>
      </c>
      <c r="B381" s="148">
        <f>IF(A381,B380+1,B380)</f>
        <v/>
      </c>
      <c r="C381" s="148" t="n">
        <v>38</v>
      </c>
      <c r="D381" s="148" t="inlineStr">
        <is>
          <t>DC Satin Fitted</t>
        </is>
      </c>
      <c r="E381" s="148" t="inlineStr">
        <is>
          <t>US</t>
        </is>
      </c>
      <c r="F381" s="148" t="inlineStr">
        <is>
          <t>Satin</t>
        </is>
      </c>
      <c r="G381" s="148" t="inlineStr">
        <is>
          <t>Lirex</t>
        </is>
      </c>
      <c r="H381" s="148" t="inlineStr">
        <is>
          <t>Poor</t>
        </is>
      </c>
      <c r="I381" s="148" t="inlineStr">
        <is>
          <t>Satin Fitted Sheet</t>
        </is>
      </c>
      <c r="J381" s="148" t="inlineStr">
        <is>
          <t>https://m.media-amazon.com/images/I/61La30TgAgL._AC_SL1500_.jpg</t>
        </is>
      </c>
      <c r="K381" s="148" t="inlineStr">
        <is>
          <t>B0D62YKYKZ</t>
        </is>
      </c>
      <c r="L381" s="148" t="inlineStr">
        <is>
          <t>B0D62TQYPX</t>
        </is>
      </c>
      <c r="M381" s="148" t="n"/>
      <c r="N381" s="148" t="n">
        <v>12.99</v>
      </c>
      <c r="O381" s="148" t="n"/>
      <c r="P381" s="148">
        <f>IF(AND(ISNUMBER(O381),ISNUMBER(N381),N(N381)&gt;0),O381/N381-1,"")</f>
        <v/>
      </c>
      <c r="Q381" s="148" t="n">
        <v>19.95</v>
      </c>
      <c r="R381" s="148">
        <f>IF(AND(ISNUMBER(N381),ISNUMBER(Q381),N(Q381)&gt;0),N381/Q381-1,"")</f>
        <v/>
      </c>
      <c r="S381" s="148" t="n">
        <v>308243</v>
      </c>
      <c r="T381" s="148" t="n">
        <v>5</v>
      </c>
      <c r="U381" s="148" t="n">
        <v>4.5</v>
      </c>
      <c r="V381" s="148" t="n">
        <v>733</v>
      </c>
      <c r="W381" s="148" t="n"/>
      <c r="X381" s="148" t="n"/>
      <c r="Y381" s="148" t="n"/>
      <c r="Z381" s="148" t="n"/>
      <c r="AA381" s="148" t="n"/>
      <c r="AB381" s="148" t="n"/>
      <c r="AC381" s="148" t="inlineStr">
        <is>
          <t>US DC Satin Fitted</t>
        </is>
      </c>
      <c r="AD381" s="148">
        <f>'US DC Satin Fitted'!BF114</f>
        <v/>
      </c>
      <c r="AE381" s="148">
        <f>'US DC Satin Fitted'!BI114</f>
        <v/>
      </c>
      <c r="AF381" s="148" t="inlineStr">
        <is>
          <t>Twin</t>
        </is>
      </c>
      <c r="AG381" s="148" t="inlineStr">
        <is>
          <t>Light Grey</t>
        </is>
      </c>
      <c r="AH381" s="148">
        <f>AND(E381="CA",OR('CA Dashboard'!$C$4="All",'CA Dashboard'!$C$4=D381),OR('CA Dashboard'!$C$5="All",'CA Dashboard'!$C$5=G381),OR('CA Dashboard'!$C$6="All",'CA Dashboard'!$C$6=H381),OR('CA Dashboard'!$C$7="All",'CA Dashboard'!$C$7=F381),OR('CA Dashboard'!$C$8="All",'CA Dashboard'!$C$8=AJ381))</f>
        <v/>
      </c>
      <c r="AI381" s="148">
        <f>IF(AH381,AI380+1,AI380)</f>
        <v/>
      </c>
      <c r="AJ381" s="148" t="inlineStr">
        <is>
          <t>Direct</t>
        </is>
      </c>
      <c r="AK381" s="148" t="inlineStr">
        <is>
          <t>Same product (fitted sheet) in the same material family: Satin (polyester) (title: Satin Fitted Sheet); ours: our listing: polyester satin.</t>
        </is>
      </c>
    </row>
    <row r="382">
      <c r="A382" s="148">
        <f>AND(E382="US",OR('US Dashboard'!$C$4="All",'US Dashboard'!$C$4=D382),OR('US Dashboard'!$C$5="All",'US Dashboard'!$C$5=G382),OR('US Dashboard'!$C$6="All",'US Dashboard'!$C$6=H382),OR('US Dashboard'!$C$7="All",'US Dashboard'!$C$7=F382),OR('US Dashboard'!$C$8="All",'US Dashboard'!$C$8=AJ382))</f>
        <v/>
      </c>
      <c r="B382" s="148">
        <f>IF(A382,B381+1,B381)</f>
        <v/>
      </c>
      <c r="C382" s="148" t="n">
        <v>38</v>
      </c>
      <c r="D382" s="148" t="inlineStr">
        <is>
          <t>DC Satin Fitted</t>
        </is>
      </c>
      <c r="E382" s="148" t="inlineStr">
        <is>
          <t>US</t>
        </is>
      </c>
      <c r="F382" s="148" t="inlineStr">
        <is>
          <t>Satin</t>
        </is>
      </c>
      <c r="G382" s="148" t="inlineStr">
        <is>
          <t>Love's cabin</t>
        </is>
      </c>
      <c r="H382" s="148" t="inlineStr">
        <is>
          <t>Poor</t>
        </is>
      </c>
      <c r="I382" s="148" t="inlineStr">
        <is>
          <t>Satin Fitted Sheet</t>
        </is>
      </c>
      <c r="J382" s="148" t="inlineStr">
        <is>
          <t>https://m.media-amazon.com/images/I/71KXVgjEKtL._AC_SL1500_.jpg</t>
        </is>
      </c>
      <c r="K382" s="148" t="inlineStr">
        <is>
          <t>B0DWSHT8CF</t>
        </is>
      </c>
      <c r="L382" s="148" t="inlineStr">
        <is>
          <t>B0DWSK45RC</t>
        </is>
      </c>
      <c r="M382" s="148" t="n"/>
      <c r="N382" s="148" t="n">
        <v>18.38</v>
      </c>
      <c r="O382" s="148" t="n"/>
      <c r="P382" s="148">
        <f>IF(AND(ISNUMBER(O382),ISNUMBER(N382),N(N382)&gt;0),O382/N382-1,"")</f>
        <v/>
      </c>
      <c r="Q382" s="148" t="n">
        <v>21.95</v>
      </c>
      <c r="R382" s="148">
        <f>IF(AND(ISNUMBER(N382),ISNUMBER(Q382),N(Q382)&gt;0),N382/Q382-1,"")</f>
        <v/>
      </c>
      <c r="S382" s="148" t="n">
        <v>1112453</v>
      </c>
      <c r="T382" s="148" t="n">
        <v>5</v>
      </c>
      <c r="U382" s="148" t="n">
        <v>4.3</v>
      </c>
      <c r="V382" s="148" t="n">
        <v>81</v>
      </c>
      <c r="W382" s="148" t="n"/>
      <c r="X382" s="148" t="n"/>
      <c r="Y382" s="148" t="n"/>
      <c r="Z382" s="148" t="n"/>
      <c r="AA382" s="148" t="n"/>
      <c r="AB382" s="148" t="n"/>
      <c r="AC382" s="148" t="inlineStr">
        <is>
          <t>US DC Satin Fitted</t>
        </is>
      </c>
      <c r="AD382" s="148">
        <f>'US DC Satin Fitted'!BF115</f>
        <v/>
      </c>
      <c r="AE382" s="148">
        <f>'US DC Satin Fitted'!BI115</f>
        <v/>
      </c>
      <c r="AF382" s="148" t="inlineStr">
        <is>
          <t>Queen</t>
        </is>
      </c>
      <c r="AG382" s="148" t="inlineStr">
        <is>
          <t>White</t>
        </is>
      </c>
      <c r="AH382" s="148">
        <f>AND(E382="CA",OR('CA Dashboard'!$C$4="All",'CA Dashboard'!$C$4=D382),OR('CA Dashboard'!$C$5="All",'CA Dashboard'!$C$5=G382),OR('CA Dashboard'!$C$6="All",'CA Dashboard'!$C$6=H382),OR('CA Dashboard'!$C$7="All",'CA Dashboard'!$C$7=F382),OR('CA Dashboard'!$C$8="All",'CA Dashboard'!$C$8=AJ382))</f>
        <v/>
      </c>
      <c r="AI382" s="148">
        <f>IF(AH382,AI381+1,AI381)</f>
        <v/>
      </c>
      <c r="AJ382" s="148" t="inlineStr">
        <is>
          <t>Direct</t>
        </is>
      </c>
      <c r="AK382" s="148" t="inlineStr">
        <is>
          <t>Same product (fitted sheet) in the same material family: Satin (polyester) (product page material: Satin); ours: our listing: polyester satin.</t>
        </is>
      </c>
    </row>
    <row r="383">
      <c r="A383" s="148">
        <f>AND(E383="US",OR('US Dashboard'!$C$4="All",'US Dashboard'!$C$4=D383),OR('US Dashboard'!$C$5="All",'US Dashboard'!$C$5=G383),OR('US Dashboard'!$C$6="All",'US Dashboard'!$C$6=H383),OR('US Dashboard'!$C$7="All",'US Dashboard'!$C$7=F383),OR('US Dashboard'!$C$8="All",'US Dashboard'!$C$8=AJ383))</f>
        <v/>
      </c>
      <c r="B383" s="148">
        <f>IF(A383,B382+1,B382)</f>
        <v/>
      </c>
      <c r="C383" s="148" t="n">
        <v>38</v>
      </c>
      <c r="D383" s="148" t="inlineStr">
        <is>
          <t>DC Satin Fitted</t>
        </is>
      </c>
      <c r="E383" s="148" t="inlineStr">
        <is>
          <t>US</t>
        </is>
      </c>
      <c r="F383" s="148" t="inlineStr">
        <is>
          <t>Satin</t>
        </is>
      </c>
      <c r="G383" s="148" t="inlineStr">
        <is>
          <t>P Pothuiny</t>
        </is>
      </c>
      <c r="H383" s="148" t="inlineStr">
        <is>
          <t>Poor</t>
        </is>
      </c>
      <c r="I383" s="148" t="inlineStr">
        <is>
          <t>Satin Fitted Sheet</t>
        </is>
      </c>
      <c r="J383" s="148" t="inlineStr">
        <is>
          <t>https://m.media-amazon.com/images/I/71dQwvMkQ+L._AC_SL1500_.jpg</t>
        </is>
      </c>
      <c r="K383" s="148" t="inlineStr">
        <is>
          <t>B09W5W7VCC</t>
        </is>
      </c>
      <c r="L383" s="148" t="inlineStr">
        <is>
          <t>B09W5W7VCC</t>
        </is>
      </c>
      <c r="M383" s="148" t="n"/>
      <c r="N383" s="148" t="n">
        <v>12.99</v>
      </c>
      <c r="O383" s="148" t="n"/>
      <c r="P383" s="148">
        <f>IF(AND(ISNUMBER(O383),ISNUMBER(N383),N(N383)&gt;0),O383/N383-1,"")</f>
        <v/>
      </c>
      <c r="Q383" s="148" t="n">
        <v>21.95</v>
      </c>
      <c r="R383" s="148">
        <f>IF(AND(ISNUMBER(N383),ISNUMBER(Q383),N(Q383)&gt;0),N383/Q383-1,"")</f>
        <v/>
      </c>
      <c r="S383" s="148" t="n"/>
      <c r="T383" s="148" t="n">
        <v>5</v>
      </c>
      <c r="U383" s="148" t="n">
        <v>4.4</v>
      </c>
      <c r="V383" s="148" t="n">
        <v>8</v>
      </c>
      <c r="W383" s="148" t="n"/>
      <c r="X383" s="148" t="n"/>
      <c r="Y383" s="148" t="n"/>
      <c r="Z383" s="148" t="n"/>
      <c r="AA383" s="148" t="n"/>
      <c r="AB383" s="148" t="n"/>
      <c r="AC383" s="148" t="inlineStr">
        <is>
          <t>US DC Satin Fitted</t>
        </is>
      </c>
      <c r="AD383" s="148">
        <f>'US DC Satin Fitted'!BF116</f>
        <v/>
      </c>
      <c r="AE383" s="148">
        <f>'US DC Satin Fitted'!BI116</f>
        <v/>
      </c>
      <c r="AF383" s="148" t="n"/>
      <c r="AG383" s="148" t="inlineStr">
        <is>
          <t>Ivory White</t>
        </is>
      </c>
      <c r="AH383" s="148">
        <f>AND(E383="CA",OR('CA Dashboard'!$C$4="All",'CA Dashboard'!$C$4=D383),OR('CA Dashboard'!$C$5="All",'CA Dashboard'!$C$5=G383),OR('CA Dashboard'!$C$6="All",'CA Dashboard'!$C$6=H383),OR('CA Dashboard'!$C$7="All",'CA Dashboard'!$C$7=F383),OR('CA Dashboard'!$C$8="All",'CA Dashboard'!$C$8=AJ383))</f>
        <v/>
      </c>
      <c r="AI383" s="148">
        <f>IF(AH383,AI382+1,AI382)</f>
        <v/>
      </c>
      <c r="AJ383" s="148" t="inlineStr">
        <is>
          <t>Direct</t>
        </is>
      </c>
      <c r="AK383" s="148" t="inlineStr">
        <is>
          <t>Same product (fitted sheet) in the same material family: Satin (polyester) (product page material: Silky,satin,100 % Polyester); ours: our listing: polyester satin.</t>
        </is>
      </c>
    </row>
    <row r="384">
      <c r="A384" s="148">
        <f>AND(E384="US",OR('US Dashboard'!$C$4="All",'US Dashboard'!$C$4=D384),OR('US Dashboard'!$C$5="All",'US Dashboard'!$C$5=G384),OR('US Dashboard'!$C$6="All",'US Dashboard'!$C$6=H384),OR('US Dashboard'!$C$7="All",'US Dashboard'!$C$7=F384),OR('US Dashboard'!$C$8="All",'US Dashboard'!$C$8=AJ384))</f>
        <v/>
      </c>
      <c r="B384" s="148">
        <f>IF(A384,B383+1,B383)</f>
        <v/>
      </c>
      <c r="C384" s="148" t="n">
        <v>38</v>
      </c>
      <c r="D384" s="148" t="inlineStr">
        <is>
          <t>DC Satin Fitted</t>
        </is>
      </c>
      <c r="E384" s="148" t="inlineStr">
        <is>
          <t>CA</t>
        </is>
      </c>
      <c r="F384" s="148" t="inlineStr">
        <is>
          <t>Satin</t>
        </is>
      </c>
      <c r="G384" s="148" t="inlineStr">
        <is>
          <t>MR&amp;HM</t>
        </is>
      </c>
      <c r="H384" s="148" t="inlineStr">
        <is>
          <t>Untiered</t>
        </is>
      </c>
      <c r="I384" s="148" t="inlineStr">
        <is>
          <t>MR&amp;HM Satin Fitted Sheet Queen Size with Elastic Corner Straps, Black</t>
        </is>
      </c>
      <c r="J384" s="148" t="inlineStr">
        <is>
          <t>https://m.media-amazon.com/images/I/71HGO27j0uL.jpg</t>
        </is>
      </c>
      <c r="K384" s="148" t="inlineStr">
        <is>
          <t>B099M1HTWC</t>
        </is>
      </c>
      <c r="L384" s="148" t="inlineStr">
        <is>
          <t>B095PBLXD1</t>
        </is>
      </c>
      <c r="M384" s="148" t="n">
        <v>132</v>
      </c>
      <c r="N384" s="148" t="n">
        <v>21.59</v>
      </c>
      <c r="O384" s="148" t="n"/>
      <c r="P384" s="148">
        <f>IF(AND(ISNUMBER(O384),ISNUMBER(N384),N(N384)&gt;0),O384/N384-1,"")</f>
        <v/>
      </c>
      <c r="Q384" s="148" t="n">
        <v>23.95</v>
      </c>
      <c r="R384" s="148">
        <f>IF(AND(ISNUMBER(N384),ISNUMBER(Q384),N(Q384)&gt;0),N384/Q384-1,"")</f>
        <v/>
      </c>
      <c r="S384" s="148" t="n">
        <v>1676</v>
      </c>
      <c r="T384" s="148" t="n"/>
      <c r="U384" s="148" t="n">
        <v>3.9</v>
      </c>
      <c r="V384" s="148" t="n">
        <v>648</v>
      </c>
      <c r="W384" s="148" t="n"/>
      <c r="X384" s="148" t="n"/>
      <c r="Y384" s="148" t="n"/>
      <c r="Z384" s="148" t="n"/>
      <c r="AA384" s="148" t="n"/>
      <c r="AB384" s="148" t="n"/>
      <c r="AC384" s="148" t="inlineStr">
        <is>
          <t>CA DC Satin Fitted</t>
        </is>
      </c>
      <c r="AD384" s="148">
        <f>'CA DC Satin Fitted'!BF110</f>
        <v/>
      </c>
      <c r="AE384" s="148">
        <f>'CA DC Satin Fitted'!BI110</f>
        <v/>
      </c>
      <c r="AF384" s="148" t="inlineStr">
        <is>
          <t>Queen</t>
        </is>
      </c>
      <c r="AG384" s="148" t="inlineStr">
        <is>
          <t>01 - Black</t>
        </is>
      </c>
      <c r="AH384" s="148">
        <f>AND(E384="CA",OR('CA Dashboard'!$C$4="All",'CA Dashboard'!$C$4=D384),OR('CA Dashboard'!$C$5="All",'CA Dashboard'!$C$5=G384),OR('CA Dashboard'!$C$6="All",'CA Dashboard'!$C$6=H384),OR('CA Dashboard'!$C$7="All",'CA Dashboard'!$C$7=F384),OR('CA Dashboard'!$C$8="All",'CA Dashboard'!$C$8=AJ384))</f>
        <v/>
      </c>
      <c r="AI384" s="148">
        <f>IF(AH384,AI383+1,AI383)</f>
        <v/>
      </c>
      <c r="AJ384" s="148" t="inlineStr">
        <is>
          <t>Direct</t>
        </is>
      </c>
      <c r="AK384" s="148" t="inlineStr">
        <is>
          <t>Same product (fitted sheet) in the same material family: Satin (polyester) (title: MR&amp;HM Satin Fitted Sheet Queen Size with Elastic Corner Stra); ours: our listing: polyester satin.</t>
        </is>
      </c>
    </row>
    <row r="385">
      <c r="A385" s="148">
        <f>AND(E385="US",OR('US Dashboard'!$C$4="All",'US Dashboard'!$C$4=D385),OR('US Dashboard'!$C$5="All",'US Dashboard'!$C$5=G385),OR('US Dashboard'!$C$6="All",'US Dashboard'!$C$6=H385),OR('US Dashboard'!$C$7="All",'US Dashboard'!$C$7=F385),OR('US Dashboard'!$C$8="All",'US Dashboard'!$C$8=AJ385))</f>
        <v/>
      </c>
      <c r="B385" s="148">
        <f>IF(A385,B384+1,B384)</f>
        <v/>
      </c>
      <c r="C385" s="148" t="n">
        <v>38</v>
      </c>
      <c r="D385" s="148" t="inlineStr">
        <is>
          <t>DC Satin Fitted</t>
        </is>
      </c>
      <c r="E385" s="148" t="inlineStr">
        <is>
          <t>CA</t>
        </is>
      </c>
      <c r="F385" s="148" t="inlineStr">
        <is>
          <t>Satin</t>
        </is>
      </c>
      <c r="G385" s="148" t="inlineStr">
        <is>
          <t>FLCA</t>
        </is>
      </c>
      <c r="H385" s="148" t="inlineStr">
        <is>
          <t>Untiered</t>
        </is>
      </c>
      <c r="I385" s="148" t="inlineStr">
        <is>
          <t>Solid Fitted Sheet - Deep Pocket Satin Bed Sheet, Breathable Soft and Comfortable - Wrinkle, Fade, Stain and Abrasion Resistant (White, Queen)</t>
        </is>
      </c>
      <c r="J385" s="148" t="inlineStr">
        <is>
          <t>https://m.media-amazon.com/images/I/515KUtM8t+L.jpg</t>
        </is>
      </c>
      <c r="K385" s="148" t="inlineStr">
        <is>
          <t>B07Q7QZC68</t>
        </is>
      </c>
      <c r="L385" s="148" t="inlineStr">
        <is>
          <t>B07Q7PR1MD</t>
        </is>
      </c>
      <c r="M385" s="148" t="n">
        <v>18</v>
      </c>
      <c r="N385" s="148" t="n">
        <v>17.99</v>
      </c>
      <c r="O385" s="148" t="n"/>
      <c r="P385" s="148">
        <f>IF(AND(ISNUMBER(O385),ISNUMBER(N385),N(N385)&gt;0),O385/N385-1,"")</f>
        <v/>
      </c>
      <c r="Q385" s="148" t="n">
        <v>23.95</v>
      </c>
      <c r="R385" s="148">
        <f>IF(AND(ISNUMBER(N385),ISNUMBER(Q385),N(Q385)&gt;0),N385/Q385-1,"")</f>
        <v/>
      </c>
      <c r="S385" s="148" t="n">
        <v>25714</v>
      </c>
      <c r="T385" s="148" t="n"/>
      <c r="U385" s="148" t="n">
        <v>3.8</v>
      </c>
      <c r="V385" s="148" t="n">
        <v>242</v>
      </c>
      <c r="W385" s="148" t="n"/>
      <c r="X385" s="148" t="n"/>
      <c r="Y385" s="148" t="n"/>
      <c r="Z385" s="148" t="n"/>
      <c r="AA385" s="148" t="n"/>
      <c r="AB385" s="148" t="n"/>
      <c r="AC385" s="148" t="inlineStr">
        <is>
          <t>CA DC Satin Fitted</t>
        </is>
      </c>
      <c r="AD385" s="148">
        <f>'CA DC Satin Fitted'!BF111</f>
        <v/>
      </c>
      <c r="AE385" s="148">
        <f>'CA DC Satin Fitted'!BI111</f>
        <v/>
      </c>
      <c r="AF385" s="148" t="inlineStr">
        <is>
          <t>Queen</t>
        </is>
      </c>
      <c r="AG385" s="148" t="inlineStr">
        <is>
          <t>White</t>
        </is>
      </c>
      <c r="AH385" s="148">
        <f>AND(E385="CA",OR('CA Dashboard'!$C$4="All",'CA Dashboard'!$C$4=D385),OR('CA Dashboard'!$C$5="All",'CA Dashboard'!$C$5=G385),OR('CA Dashboard'!$C$6="All",'CA Dashboard'!$C$6=H385),OR('CA Dashboard'!$C$7="All",'CA Dashboard'!$C$7=F385),OR('CA Dashboard'!$C$8="All",'CA Dashboard'!$C$8=AJ385))</f>
        <v/>
      </c>
      <c r="AI385" s="148">
        <f>IF(AH385,AI384+1,AI384)</f>
        <v/>
      </c>
      <c r="AJ385" s="148" t="inlineStr">
        <is>
          <t>Direct</t>
        </is>
      </c>
      <c r="AK385" s="148" t="inlineStr">
        <is>
          <t>Same product (fitted sheet) in the same material family: Satin (polyester) (title: Solid Fitted Sheet - Deep Pocket Satin Bed Sheet, Breathable); ours: our listing: polyester satin.</t>
        </is>
      </c>
    </row>
    <row r="386">
      <c r="A386" s="148">
        <f>AND(E386="US",OR('US Dashboard'!$C$4="All",'US Dashboard'!$C$4=D386),OR('US Dashboard'!$C$5="All",'US Dashboard'!$C$5=G386),OR('US Dashboard'!$C$6="All",'US Dashboard'!$C$6=H386),OR('US Dashboard'!$C$7="All",'US Dashboard'!$C$7=F386),OR('US Dashboard'!$C$8="All",'US Dashboard'!$C$8=AJ386))</f>
        <v/>
      </c>
      <c r="B386" s="148">
        <f>IF(A386,B385+1,B385)</f>
        <v/>
      </c>
      <c r="C386" s="148" t="n">
        <v>38</v>
      </c>
      <c r="D386" s="148" t="inlineStr">
        <is>
          <t>DC Satin Fitted</t>
        </is>
      </c>
      <c r="E386" s="148" t="inlineStr">
        <is>
          <t>CA</t>
        </is>
      </c>
      <c r="F386" s="148" t="inlineStr">
        <is>
          <t>Satin</t>
        </is>
      </c>
      <c r="G386" s="148" t="inlineStr">
        <is>
          <t>JUWENIN</t>
        </is>
      </c>
      <c r="H386" s="148" t="inlineStr">
        <is>
          <t>Untiered</t>
        </is>
      </c>
      <c r="I386" s="148" t="inlineStr">
        <is>
          <t>Fitted Sheet - Luxury Silky Soft Satin Bottom Sheet - Deep Pockets, Shrinkage and Fade Resistant - Easy Care - 1 Fitted Sheet Only (Navy, Queen)</t>
        </is>
      </c>
      <c r="J386" s="148" t="inlineStr">
        <is>
          <t>https://m.media-amazon.com/images/I/61NzrVgRCaL.jpg</t>
        </is>
      </c>
      <c r="K386" s="148" t="inlineStr">
        <is>
          <t>B0B1P3PGQD</t>
        </is>
      </c>
      <c r="L386" s="148" t="inlineStr">
        <is>
          <t>B0B1NWTYMT</t>
        </is>
      </c>
      <c r="M386" s="148" t="n">
        <v>19</v>
      </c>
      <c r="N386" s="148" t="n">
        <v>19.99</v>
      </c>
      <c r="O386" s="148" t="n"/>
      <c r="P386" s="148">
        <f>IF(AND(ISNUMBER(O386),ISNUMBER(N386),N(N386)&gt;0),O386/N386-1,"")</f>
        <v/>
      </c>
      <c r="Q386" s="148" t="n">
        <v>23.95</v>
      </c>
      <c r="R386" s="148">
        <f>IF(AND(ISNUMBER(N386),ISNUMBER(Q386),N(Q386)&gt;0),N386/Q386-1,"")</f>
        <v/>
      </c>
      <c r="S386" s="148" t="n">
        <v>53472</v>
      </c>
      <c r="T386" s="148" t="n"/>
      <c r="U386" s="148" t="n">
        <v>4.2</v>
      </c>
      <c r="V386" s="148" t="n">
        <v>125</v>
      </c>
      <c r="W386" s="148" t="n"/>
      <c r="X386" s="148" t="n"/>
      <c r="Y386" s="148" t="n"/>
      <c r="Z386" s="148" t="n"/>
      <c r="AA386" s="148" t="n"/>
      <c r="AB386" s="148" t="n"/>
      <c r="AC386" s="148" t="inlineStr">
        <is>
          <t>CA DC Satin Fitted</t>
        </is>
      </c>
      <c r="AD386" s="148">
        <f>'CA DC Satin Fitted'!BF112</f>
        <v/>
      </c>
      <c r="AE386" s="148">
        <f>'CA DC Satin Fitted'!BI112</f>
        <v/>
      </c>
      <c r="AF386" s="148" t="inlineStr">
        <is>
          <t>Queen</t>
        </is>
      </c>
      <c r="AG386" s="148" t="inlineStr">
        <is>
          <t>Navy</t>
        </is>
      </c>
      <c r="AH386" s="148">
        <f>AND(E386="CA",OR('CA Dashboard'!$C$4="All",'CA Dashboard'!$C$4=D386),OR('CA Dashboard'!$C$5="All",'CA Dashboard'!$C$5=G386),OR('CA Dashboard'!$C$6="All",'CA Dashboard'!$C$6=H386),OR('CA Dashboard'!$C$7="All",'CA Dashboard'!$C$7=F386),OR('CA Dashboard'!$C$8="All",'CA Dashboard'!$C$8=AJ386))</f>
        <v/>
      </c>
      <c r="AI386" s="148">
        <f>IF(AH386,AI385+1,AI385)</f>
        <v/>
      </c>
      <c r="AJ386" s="148" t="inlineStr">
        <is>
          <t>Direct</t>
        </is>
      </c>
      <c r="AK386" s="148" t="inlineStr">
        <is>
          <t>Same product (fitted sheet) in the same material family: Satin (polyester) (title: Fitted Sheet - Luxury Silky Soft Satin Bottom Sheet - Deep P); ours: our listing: polyester satin.</t>
        </is>
      </c>
    </row>
    <row r="387">
      <c r="A387" s="148">
        <f>AND(E387="US",OR('US Dashboard'!$C$4="All",'US Dashboard'!$C$4=D387),OR('US Dashboard'!$C$5="All",'US Dashboard'!$C$5=G387),OR('US Dashboard'!$C$6="All",'US Dashboard'!$C$6=H387),OR('US Dashboard'!$C$7="All",'US Dashboard'!$C$7=F387),OR('US Dashboard'!$C$8="All",'US Dashboard'!$C$8=AJ387))</f>
        <v/>
      </c>
      <c r="B387" s="148">
        <f>IF(A387,B386+1,B386)</f>
        <v/>
      </c>
      <c r="C387" s="148" t="n">
        <v>38</v>
      </c>
      <c r="D387" s="148" t="inlineStr">
        <is>
          <t>DC Satin Fitted</t>
        </is>
      </c>
      <c r="E387" s="148" t="inlineStr">
        <is>
          <t>CA</t>
        </is>
      </c>
      <c r="F387" s="148" t="inlineStr">
        <is>
          <t>Satin</t>
        </is>
      </c>
      <c r="G387" s="148" t="inlineStr">
        <is>
          <t>Lirex</t>
        </is>
      </c>
      <c r="H387" s="148" t="inlineStr">
        <is>
          <t>Untiered</t>
        </is>
      </c>
      <c r="I387" s="148" t="inlineStr">
        <is>
          <t>Lirex Satin Fitted Sheet, Luxurious Silky Smooth Polyester Bedding Soft Deep Pocket Bed Sheets Mattress Cover, Queen, Black</t>
        </is>
      </c>
      <c r="J387" s="148" t="inlineStr">
        <is>
          <t>https://m.media-amazon.com/images/I/61YaWaN38uL.jpg</t>
        </is>
      </c>
      <c r="K387" s="148" t="inlineStr">
        <is>
          <t>B0D62TXWHW</t>
        </is>
      </c>
      <c r="L387" s="148" t="inlineStr">
        <is>
          <t>B0D62VPSSW</t>
        </is>
      </c>
      <c r="M387" s="148" t="n">
        <v>63</v>
      </c>
      <c r="N387" s="148" t="n">
        <v>36.29</v>
      </c>
      <c r="O387" s="148" t="n"/>
      <c r="P387" s="148">
        <f>IF(AND(ISNUMBER(O387),ISNUMBER(N387),N(N387)&gt;0),O387/N387-1,"")</f>
        <v/>
      </c>
      <c r="Q387" s="148" t="n">
        <v>23.95</v>
      </c>
      <c r="R387" s="148">
        <f>IF(AND(ISNUMBER(N387),ISNUMBER(Q387),N(Q387)&gt;0),N387/Q387-1,"")</f>
        <v/>
      </c>
      <c r="S387" s="148" t="n">
        <v>35710</v>
      </c>
      <c r="T387" s="148" t="n"/>
      <c r="U387" s="148" t="n">
        <v>4.4</v>
      </c>
      <c r="V387" s="148" t="n">
        <v>430</v>
      </c>
      <c r="W387" s="148" t="n"/>
      <c r="X387" s="148" t="n"/>
      <c r="Y387" s="148" t="n"/>
      <c r="Z387" s="148" t="n"/>
      <c r="AA387" s="148" t="n"/>
      <c r="AB387" s="148" t="n"/>
      <c r="AC387" s="148" t="inlineStr">
        <is>
          <t>CA DC Satin Fitted</t>
        </is>
      </c>
      <c r="AD387" s="148">
        <f>'CA DC Satin Fitted'!BF113</f>
        <v/>
      </c>
      <c r="AE387" s="148">
        <f>'CA DC Satin Fitted'!BI113</f>
        <v/>
      </c>
      <c r="AF387" s="148" t="inlineStr">
        <is>
          <t>Queen</t>
        </is>
      </c>
      <c r="AG387" s="148" t="inlineStr">
        <is>
          <t>Black</t>
        </is>
      </c>
      <c r="AH387" s="148">
        <f>AND(E387="CA",OR('CA Dashboard'!$C$4="All",'CA Dashboard'!$C$4=D387),OR('CA Dashboard'!$C$5="All",'CA Dashboard'!$C$5=G387),OR('CA Dashboard'!$C$6="All",'CA Dashboard'!$C$6=H387),OR('CA Dashboard'!$C$7="All",'CA Dashboard'!$C$7=F387),OR('CA Dashboard'!$C$8="All",'CA Dashboard'!$C$8=AJ387))</f>
        <v/>
      </c>
      <c r="AI387" s="148">
        <f>IF(AH387,AI386+1,AI386)</f>
        <v/>
      </c>
      <c r="AJ387" s="148" t="inlineStr">
        <is>
          <t>Direct</t>
        </is>
      </c>
      <c r="AK387" s="148" t="inlineStr">
        <is>
          <t>Same product (fitted sheet) in the same material family: Satin (polyester) (title: Lirex Satin Fitted Sheet, Luxurious Silky Smooth Polyester B); ours: our listing: polyester satin.</t>
        </is>
      </c>
    </row>
    <row r="388">
      <c r="A388" s="148">
        <f>AND(E388="US",OR('US Dashboard'!$C$4="All",'US Dashboard'!$C$4=D388),OR('US Dashboard'!$C$5="All",'US Dashboard'!$C$5=G388),OR('US Dashboard'!$C$6="All",'US Dashboard'!$C$6=H388),OR('US Dashboard'!$C$7="All",'US Dashboard'!$C$7=F388),OR('US Dashboard'!$C$8="All",'US Dashboard'!$C$8=AJ388))</f>
        <v/>
      </c>
      <c r="B388" s="148">
        <f>IF(A388,B387+1,B387)</f>
        <v/>
      </c>
      <c r="C388" s="148" t="n">
        <v>38</v>
      </c>
      <c r="D388" s="148" t="inlineStr">
        <is>
          <t>DC Satin Fitted</t>
        </is>
      </c>
      <c r="E388" s="148" t="inlineStr">
        <is>
          <t>CA</t>
        </is>
      </c>
      <c r="F388" s="148" t="inlineStr">
        <is>
          <t>Satin</t>
        </is>
      </c>
      <c r="G388" s="148" t="inlineStr">
        <is>
          <t>Lirex</t>
        </is>
      </c>
      <c r="H388" s="148" t="inlineStr">
        <is>
          <t>Untiered</t>
        </is>
      </c>
      <c r="I388" s="148" t="inlineStr">
        <is>
          <t>Lirex Satin Fitted Sheet, Silky &amp; Soft Polyester Satin Weave Bed Sheets, 14"/36 cm Deep Pocket with Elastic Corner Straps, Queen, Navy Blue Stripes</t>
        </is>
      </c>
      <c r="J388" s="148" t="inlineStr">
        <is>
          <t>https://m.media-amazon.com/images/I/71rymABpYeL.jpg</t>
        </is>
      </c>
      <c r="K388" s="148" t="inlineStr">
        <is>
          <t>B0F7R3DZ72</t>
        </is>
      </c>
      <c r="L388" s="148" t="inlineStr">
        <is>
          <t>B0F7R36H12</t>
        </is>
      </c>
      <c r="M388" s="148" t="n">
        <v>57</v>
      </c>
      <c r="N388" s="148" t="n">
        <v>26.21</v>
      </c>
      <c r="O388" s="148" t="n"/>
      <c r="P388" s="148">
        <f>IF(AND(ISNUMBER(O388),ISNUMBER(N388),N(N388)&gt;0),O388/N388-1,"")</f>
        <v/>
      </c>
      <c r="Q388" s="148" t="n">
        <v>23.95</v>
      </c>
      <c r="R388" s="148">
        <f>IF(AND(ISNUMBER(N388),ISNUMBER(Q388),N(Q388)&gt;0),N388/Q388-1,"")</f>
        <v/>
      </c>
      <c r="S388" s="148" t="n">
        <v>38918</v>
      </c>
      <c r="T388" s="148" t="n"/>
      <c r="U388" s="148" t="n">
        <v>4.1</v>
      </c>
      <c r="V388" s="148" t="n">
        <v>39</v>
      </c>
      <c r="W388" s="148" t="n"/>
      <c r="X388" s="148" t="n"/>
      <c r="Y388" s="148" t="n"/>
      <c r="Z388" s="148" t="n"/>
      <c r="AA388" s="148" t="n"/>
      <c r="AB388" s="148" t="n"/>
      <c r="AC388" s="148" t="inlineStr">
        <is>
          <t>CA DC Satin Fitted</t>
        </is>
      </c>
      <c r="AD388" s="148">
        <f>'CA DC Satin Fitted'!BF114</f>
        <v/>
      </c>
      <c r="AE388" s="148">
        <f>'CA DC Satin Fitted'!BI114</f>
        <v/>
      </c>
      <c r="AF388" s="148" t="inlineStr">
        <is>
          <t>Queen</t>
        </is>
      </c>
      <c r="AG388" s="148" t="inlineStr">
        <is>
          <t>Navy Blue Stripes</t>
        </is>
      </c>
      <c r="AH388" s="148">
        <f>AND(E388="CA",OR('CA Dashboard'!$C$4="All",'CA Dashboard'!$C$4=D388),OR('CA Dashboard'!$C$5="All",'CA Dashboard'!$C$5=G388),OR('CA Dashboard'!$C$6="All",'CA Dashboard'!$C$6=H388),OR('CA Dashboard'!$C$7="All",'CA Dashboard'!$C$7=F388),OR('CA Dashboard'!$C$8="All",'CA Dashboard'!$C$8=AJ388))</f>
        <v/>
      </c>
      <c r="AI388" s="148">
        <f>IF(AH388,AI387+1,AI387)</f>
        <v/>
      </c>
      <c r="AJ388" s="148" t="inlineStr">
        <is>
          <t>Direct</t>
        </is>
      </c>
      <c r="AK388" s="148" t="inlineStr">
        <is>
          <t>Same product (fitted sheet) in the same material family: Satin (polyester) (title: Lirex Satin Fitted Sheet, Silky &amp; Soft Polyester Satin Weave); ours: our listing: polyester satin.</t>
        </is>
      </c>
    </row>
    <row r="389">
      <c r="A389" s="148">
        <f>AND(E389="US",OR('US Dashboard'!$C$4="All",'US Dashboard'!$C$4=D389),OR('US Dashboard'!$C$5="All",'US Dashboard'!$C$5=G389),OR('US Dashboard'!$C$6="All",'US Dashboard'!$C$6=H389),OR('US Dashboard'!$C$7="All",'US Dashboard'!$C$7=F389),OR('US Dashboard'!$C$8="All",'US Dashboard'!$C$8=AJ389))</f>
        <v/>
      </c>
      <c r="B389" s="148">
        <f>IF(A389,B388+1,B388)</f>
        <v/>
      </c>
      <c r="C389" s="148" t="n">
        <v>38</v>
      </c>
      <c r="D389" s="148" t="inlineStr">
        <is>
          <t>DC Satin Fitted</t>
        </is>
      </c>
      <c r="E389" s="148" t="inlineStr">
        <is>
          <t>CA</t>
        </is>
      </c>
      <c r="F389" s="148" t="inlineStr">
        <is>
          <t>Satin</t>
        </is>
      </c>
      <c r="G389" s="148" t="inlineStr">
        <is>
          <t>JUWENIN</t>
        </is>
      </c>
      <c r="H389" s="148" t="inlineStr">
        <is>
          <t>Untiered</t>
        </is>
      </c>
      <c r="I389" s="148" t="inlineStr">
        <is>
          <t>Fitted Sheet - Luxury Silky Soft Satin Bottom Sheet - Deep Pockets, Shrinkage and Fade Resistant - Easy Care - 1 Fitted Sheet Only (Grey, Queen)</t>
        </is>
      </c>
      <c r="J389" s="148" t="inlineStr">
        <is>
          <t>https://m.media-amazon.com/images/I/61BFwnmnIIL.jpg</t>
        </is>
      </c>
      <c r="K389" s="148" t="inlineStr">
        <is>
          <t>B0B5MSKV3D</t>
        </is>
      </c>
      <c r="L389" s="148" t="inlineStr">
        <is>
          <t>B0B1DVR7MV</t>
        </is>
      </c>
      <c r="M389" s="148" t="n">
        <v>9</v>
      </c>
      <c r="N389" s="148" t="n">
        <v>18.99</v>
      </c>
      <c r="O389" s="148" t="n"/>
      <c r="P389" s="148">
        <f>IF(AND(ISNUMBER(O389),ISNUMBER(N389),N(N389)&gt;0),O389/N389-1,"")</f>
        <v/>
      </c>
      <c r="Q389" s="148" t="n">
        <v>23.95</v>
      </c>
      <c r="R389" s="148">
        <f>IF(AND(ISNUMBER(N389),ISNUMBER(Q389),N(Q389)&gt;0),N389/Q389-1,"")</f>
        <v/>
      </c>
      <c r="S389" s="148" t="n">
        <v>190992</v>
      </c>
      <c r="T389" s="148" t="n"/>
      <c r="U389" s="148" t="n">
        <v>3.7</v>
      </c>
      <c r="V389" s="148" t="n">
        <v>26</v>
      </c>
      <c r="W389" s="148" t="n"/>
      <c r="X389" s="148" t="n"/>
      <c r="Y389" s="148" t="n"/>
      <c r="Z389" s="148" t="n"/>
      <c r="AA389" s="148" t="n"/>
      <c r="AB389" s="148" t="n"/>
      <c r="AC389" s="148" t="inlineStr">
        <is>
          <t>CA DC Satin Fitted</t>
        </is>
      </c>
      <c r="AD389" s="148">
        <f>'CA DC Satin Fitted'!BF115</f>
        <v/>
      </c>
      <c r="AE389" s="148">
        <f>'CA DC Satin Fitted'!BI115</f>
        <v/>
      </c>
      <c r="AF389" s="148" t="inlineStr">
        <is>
          <t>Queen</t>
        </is>
      </c>
      <c r="AG389" s="148" t="inlineStr">
        <is>
          <t>Grey</t>
        </is>
      </c>
      <c r="AH389" s="148">
        <f>AND(E389="CA",OR('CA Dashboard'!$C$4="All",'CA Dashboard'!$C$4=D389),OR('CA Dashboard'!$C$5="All",'CA Dashboard'!$C$5=G389),OR('CA Dashboard'!$C$6="All",'CA Dashboard'!$C$6=H389),OR('CA Dashboard'!$C$7="All",'CA Dashboard'!$C$7=F389),OR('CA Dashboard'!$C$8="All",'CA Dashboard'!$C$8=AJ389))</f>
        <v/>
      </c>
      <c r="AI389" s="148">
        <f>IF(AH389,AI388+1,AI388)</f>
        <v/>
      </c>
      <c r="AJ389" s="148" t="inlineStr">
        <is>
          <t>Direct</t>
        </is>
      </c>
      <c r="AK389" s="148" t="inlineStr">
        <is>
          <t>Same product (fitted sheet) in the same material family: Satin (polyester) (title: Fitted Sheet - Luxury Silky Soft Satin Bottom Sheet - Deep P); ours: our listing: polyester satin.</t>
        </is>
      </c>
    </row>
    <row r="390">
      <c r="A390" s="148">
        <f>AND(E390="US",OR('US Dashboard'!$C$4="All",'US Dashboard'!$C$4=D390),OR('US Dashboard'!$C$5="All",'US Dashboard'!$C$5=G390),OR('US Dashboard'!$C$6="All",'US Dashboard'!$C$6=H390),OR('US Dashboard'!$C$7="All",'US Dashboard'!$C$7=F390),OR('US Dashboard'!$C$8="All",'US Dashboard'!$C$8=AJ390))</f>
        <v/>
      </c>
      <c r="B390" s="148">
        <f>IF(A390,B389+1,B389)</f>
        <v/>
      </c>
      <c r="C390" s="148" t="n">
        <v>38</v>
      </c>
      <c r="D390" s="148" t="inlineStr">
        <is>
          <t>DC Satin Fitted</t>
        </is>
      </c>
      <c r="E390" s="148" t="inlineStr">
        <is>
          <t>CA</t>
        </is>
      </c>
      <c r="F390" s="148" t="inlineStr">
        <is>
          <t>Satin</t>
        </is>
      </c>
      <c r="G390" s="148" t="inlineStr">
        <is>
          <t>uxcell</t>
        </is>
      </c>
      <c r="H390" s="148" t="inlineStr">
        <is>
          <t>Untiered</t>
        </is>
      </c>
      <c r="I390" s="148" t="inlineStr">
        <is>
          <t>uxcell Satin Fitted Sheet Queen Size, Solid Silky 12" Deep Pocket for Bed Sheet, Soft Breathable Bed Fitted Sheet 79"x60" Gloden Tone</t>
        </is>
      </c>
      <c r="J390" s="148" t="inlineStr">
        <is>
          <t>https://m.media-amazon.com/images/I/51KSNCJ2dvL.jpg</t>
        </is>
      </c>
      <c r="K390" s="148" t="n"/>
      <c r="L390" s="148" t="inlineStr">
        <is>
          <t>B07JVFGW71</t>
        </is>
      </c>
      <c r="M390" s="148" t="n"/>
      <c r="N390" s="148" t="n">
        <v>13.49</v>
      </c>
      <c r="O390" s="148" t="n"/>
      <c r="P390" s="148">
        <f>IF(AND(ISNUMBER(O390),ISNUMBER(N390),N(N390)&gt;0),O390/N390-1,"")</f>
        <v/>
      </c>
      <c r="Q390" s="148" t="n">
        <v>23.95</v>
      </c>
      <c r="R390" s="148">
        <f>IF(AND(ISNUMBER(N390),ISNUMBER(Q390),N(Q390)&gt;0),N390/Q390-1,"")</f>
        <v/>
      </c>
      <c r="S390" s="148" t="n"/>
      <c r="T390" s="148" t="n"/>
      <c r="U390" s="148" t="n">
        <v>3.6</v>
      </c>
      <c r="V390" s="148" t="n">
        <v>7</v>
      </c>
      <c r="W390" s="148" t="n"/>
      <c r="X390" s="148" t="n"/>
      <c r="Y390" s="148" t="n"/>
      <c r="Z390" s="148" t="n"/>
      <c r="AA390" s="148" t="n"/>
      <c r="AB390" s="148" t="n"/>
      <c r="AC390" s="148" t="inlineStr">
        <is>
          <t>CA DC Satin Fitted</t>
        </is>
      </c>
      <c r="AD390" s="148">
        <f>'CA DC Satin Fitted'!BF116</f>
        <v/>
      </c>
      <c r="AE390" s="148">
        <f>'CA DC Satin Fitted'!BI116</f>
        <v/>
      </c>
      <c r="AF390" s="148" t="inlineStr">
        <is>
          <t>Queen</t>
        </is>
      </c>
      <c r="AG390" s="148" t="inlineStr">
        <is>
          <t>White</t>
        </is>
      </c>
      <c r="AH390" s="148">
        <f>AND(E390="CA",OR('CA Dashboard'!$C$4="All",'CA Dashboard'!$C$4=D390),OR('CA Dashboard'!$C$5="All",'CA Dashboard'!$C$5=G390),OR('CA Dashboard'!$C$6="All",'CA Dashboard'!$C$6=H390),OR('CA Dashboard'!$C$7="All",'CA Dashboard'!$C$7=F390),OR('CA Dashboard'!$C$8="All",'CA Dashboard'!$C$8=AJ390))</f>
        <v/>
      </c>
      <c r="AI390" s="148">
        <f>IF(AH390,AI389+1,AI389)</f>
        <v/>
      </c>
      <c r="AJ390" s="148" t="inlineStr">
        <is>
          <t>Direct</t>
        </is>
      </c>
      <c r="AK390" s="148" t="inlineStr">
        <is>
          <t>Same product (fitted sheet) in the same material family: Satin (polyester) (title: uxcell Satin Fitted Sheet Queen Size, Solid Silky 12" Deep P); ours: our listing: polyester satin.</t>
        </is>
      </c>
    </row>
    <row r="391">
      <c r="A391" s="148">
        <f>AND(E391="US",OR('US Dashboard'!$C$4="All",'US Dashboard'!$C$4=D391),OR('US Dashboard'!$C$5="All",'US Dashboard'!$C$5=G391),OR('US Dashboard'!$C$6="All",'US Dashboard'!$C$6=H391),OR('US Dashboard'!$C$7="All",'US Dashboard'!$C$7=F391),OR('US Dashboard'!$C$8="All",'US Dashboard'!$C$8=AJ391))</f>
        <v/>
      </c>
      <c r="B391" s="148">
        <f>IF(A391,B390+1,B390)</f>
        <v/>
      </c>
      <c r="C391" s="148" t="n">
        <v>38</v>
      </c>
      <c r="D391" s="148" t="inlineStr">
        <is>
          <t>DC Satin Fitted</t>
        </is>
      </c>
      <c r="E391" s="148" t="inlineStr">
        <is>
          <t>CA</t>
        </is>
      </c>
      <c r="F391" s="148" t="inlineStr">
        <is>
          <t>Satin</t>
        </is>
      </c>
      <c r="G391" s="148" t="inlineStr">
        <is>
          <t>P Pothuiny</t>
        </is>
      </c>
      <c r="H391" s="148" t="inlineStr">
        <is>
          <t>Untiered</t>
        </is>
      </c>
      <c r="I391" s="148" t="inlineStr">
        <is>
          <t>P Pothuiny Satin Fitted Sheet Queen Black Single Mattress Cover Only</t>
        </is>
      </c>
      <c r="J391" s="148" t="inlineStr">
        <is>
          <t>https://m.media-amazon.com/images/I/71iEmNjDaLL.jpg</t>
        </is>
      </c>
      <c r="K391" s="148" t="inlineStr">
        <is>
          <t>B09Z6L6RC7</t>
        </is>
      </c>
      <c r="L391" s="148" t="inlineStr">
        <is>
          <t>B09W5X43TM</t>
        </is>
      </c>
      <c r="M391" s="148" t="n">
        <v>16</v>
      </c>
      <c r="N391" s="148" t="n">
        <v>33.48</v>
      </c>
      <c r="O391" s="148" t="n"/>
      <c r="P391" s="148">
        <f>IF(AND(ISNUMBER(O391),ISNUMBER(N391),N(N391)&gt;0),O391/N391-1,"")</f>
        <v/>
      </c>
      <c r="Q391" s="148" t="n">
        <v>23.95</v>
      </c>
      <c r="R391" s="148">
        <f>IF(AND(ISNUMBER(N391),ISNUMBER(Q391),N(Q391)&gt;0),N391/Q391-1,"")</f>
        <v/>
      </c>
      <c r="S391" s="148" t="n">
        <v>641725</v>
      </c>
      <c r="T391" s="148" t="n"/>
      <c r="U391" s="148" t="n">
        <v>4.4</v>
      </c>
      <c r="V391" s="148" t="n">
        <v>534</v>
      </c>
      <c r="W391" s="148" t="n"/>
      <c r="X391" s="148" t="n"/>
      <c r="Y391" s="148" t="n"/>
      <c r="Z391" s="148" t="n"/>
      <c r="AA391" s="148" t="n"/>
      <c r="AB391" s="148" t="n"/>
      <c r="AC391" s="148" t="inlineStr">
        <is>
          <t>CA DC Satin Fitted</t>
        </is>
      </c>
      <c r="AD391" s="148">
        <f>'CA DC Satin Fitted'!BF117</f>
        <v/>
      </c>
      <c r="AE391" s="148">
        <f>'CA DC Satin Fitted'!BI117</f>
        <v/>
      </c>
      <c r="AF391" s="148" t="inlineStr">
        <is>
          <t>Queen</t>
        </is>
      </c>
      <c r="AG391" s="148" t="inlineStr">
        <is>
          <t>Black</t>
        </is>
      </c>
      <c r="AH391" s="148">
        <f>AND(E391="CA",OR('CA Dashboard'!$C$4="All",'CA Dashboard'!$C$4=D391),OR('CA Dashboard'!$C$5="All",'CA Dashboard'!$C$5=G391),OR('CA Dashboard'!$C$6="All",'CA Dashboard'!$C$6=H391),OR('CA Dashboard'!$C$7="All",'CA Dashboard'!$C$7=F391),OR('CA Dashboard'!$C$8="All",'CA Dashboard'!$C$8=AJ391))</f>
        <v/>
      </c>
      <c r="AI391" s="148">
        <f>IF(AH391,AI390+1,AI390)</f>
        <v/>
      </c>
      <c r="AJ391" s="148" t="inlineStr">
        <is>
          <t>Direct</t>
        </is>
      </c>
      <c r="AK391" s="148" t="inlineStr">
        <is>
          <t>Same product (fitted sheet) in the same material family: Satin (polyester) (title: P Pothuiny Satin Fitted Sheet Queen Black Single Mattress Co); ours: our listing: polyester satin.</t>
        </is>
      </c>
    </row>
    <row r="392">
      <c r="A392" s="148">
        <f>AND(E392="US",OR('US Dashboard'!$C$4="All",'US Dashboard'!$C$4=D392),OR('US Dashboard'!$C$5="All",'US Dashboard'!$C$5=G392),OR('US Dashboard'!$C$6="All",'US Dashboard'!$C$6=H392),OR('US Dashboard'!$C$7="All",'US Dashboard'!$C$7=F392),OR('US Dashboard'!$C$8="All",'US Dashboard'!$C$8=AJ392))</f>
        <v/>
      </c>
      <c r="B392" s="148">
        <f>IF(A392,B391+1,B391)</f>
        <v/>
      </c>
      <c r="C392" s="148" t="n">
        <v>38</v>
      </c>
      <c r="D392" s="148" t="inlineStr">
        <is>
          <t>DC Satin Fitted</t>
        </is>
      </c>
      <c r="E392" s="148" t="inlineStr">
        <is>
          <t>CA</t>
        </is>
      </c>
      <c r="F392" s="148" t="inlineStr">
        <is>
          <t>Satin</t>
        </is>
      </c>
      <c r="G392" s="148" t="inlineStr">
        <is>
          <t>Homiest</t>
        </is>
      </c>
      <c r="H392" s="148" t="inlineStr">
        <is>
          <t>Untiered</t>
        </is>
      </c>
      <c r="I392" s="148" t="inlineStr">
        <is>
          <t>Homiest Black Satin Fitted Sheet Queen Size Deep Pocket Luxury Ultra Soft Bedding</t>
        </is>
      </c>
      <c r="J392" s="148" t="inlineStr">
        <is>
          <t>https://m.media-amazon.com/images/I/81MYmoOAtUL.jpg</t>
        </is>
      </c>
      <c r="K392" s="148" t="inlineStr">
        <is>
          <t>B0B15DCTV8</t>
        </is>
      </c>
      <c r="L392" s="148" t="inlineStr">
        <is>
          <t>B09WH4B2BD</t>
        </is>
      </c>
      <c r="M392" s="148" t="n">
        <v>98</v>
      </c>
      <c r="N392" s="148" t="n">
        <v>34.53</v>
      </c>
      <c r="O392" s="148" t="n"/>
      <c r="P392" s="148">
        <f>IF(AND(ISNUMBER(O392),ISNUMBER(N392),N(N392)&gt;0),O392/N392-1,"")</f>
        <v/>
      </c>
      <c r="Q392" s="148" t="n">
        <v>23.95</v>
      </c>
      <c r="R392" s="148">
        <f>IF(AND(ISNUMBER(N392),ISNUMBER(Q392),N(Q392)&gt;0),N392/Q392-1,"")</f>
        <v/>
      </c>
      <c r="S392" s="148" t="n">
        <v>114075</v>
      </c>
      <c r="T392" s="148" t="n"/>
      <c r="U392" s="148" t="n">
        <v>4.5</v>
      </c>
      <c r="V392" s="148" t="n">
        <v>484</v>
      </c>
      <c r="W392" s="148" t="n"/>
      <c r="X392" s="148" t="n"/>
      <c r="Y392" s="148" t="n"/>
      <c r="Z392" s="148" t="n"/>
      <c r="AA392" s="148" t="n"/>
      <c r="AB392" s="148" t="n"/>
      <c r="AC392" s="148" t="inlineStr">
        <is>
          <t>CA DC Satin Fitted</t>
        </is>
      </c>
      <c r="AD392" s="148">
        <f>'CA DC Satin Fitted'!BF118</f>
        <v/>
      </c>
      <c r="AE392" s="148">
        <f>'CA DC Satin Fitted'!BI118</f>
        <v/>
      </c>
      <c r="AF392" s="148" t="inlineStr">
        <is>
          <t>Queen</t>
        </is>
      </c>
      <c r="AG392" s="148" t="inlineStr">
        <is>
          <t>Brown</t>
        </is>
      </c>
      <c r="AH392" s="148">
        <f>AND(E392="CA",OR('CA Dashboard'!$C$4="All",'CA Dashboard'!$C$4=D392),OR('CA Dashboard'!$C$5="All",'CA Dashboard'!$C$5=G392),OR('CA Dashboard'!$C$6="All",'CA Dashboard'!$C$6=H392),OR('CA Dashboard'!$C$7="All",'CA Dashboard'!$C$7=F392),OR('CA Dashboard'!$C$8="All",'CA Dashboard'!$C$8=AJ392))</f>
        <v/>
      </c>
      <c r="AI392" s="148">
        <f>IF(AH392,AI391+1,AI391)</f>
        <v/>
      </c>
      <c r="AJ392" s="148" t="inlineStr">
        <is>
          <t>Direct</t>
        </is>
      </c>
      <c r="AK392" s="148" t="inlineStr">
        <is>
          <t>Same product (fitted sheet) in the same material family: Satin (polyester) (title: Homiest Black Satin Fitted Sheet Queen Size Deep Pocket Luxu); ours: our listing: polyester satin.</t>
        </is>
      </c>
    </row>
    <row r="393">
      <c r="A393" s="148">
        <f>AND(E393="US",OR('US Dashboard'!$C$4="All",'US Dashboard'!$C$4=D393),OR('US Dashboard'!$C$5="All",'US Dashboard'!$C$5=G393),OR('US Dashboard'!$C$6="All",'US Dashboard'!$C$6=H393),OR('US Dashboard'!$C$7="All",'US Dashboard'!$C$7=F393),OR('US Dashboard'!$C$8="All",'US Dashboard'!$C$8=AJ393))</f>
        <v/>
      </c>
      <c r="B393" s="148">
        <f>IF(A393,B392+1,B392)</f>
        <v/>
      </c>
      <c r="C393" s="148" t="n">
        <v>38</v>
      </c>
      <c r="D393" s="148" t="inlineStr">
        <is>
          <t>DC Satin Fitted</t>
        </is>
      </c>
      <c r="E393" s="148" t="inlineStr">
        <is>
          <t>CA</t>
        </is>
      </c>
      <c r="F393" s="148" t="inlineStr">
        <is>
          <t>Satin</t>
        </is>
      </c>
      <c r="G393" s="148" t="inlineStr">
        <is>
          <t>uxcell</t>
        </is>
      </c>
      <c r="H393" s="148" t="inlineStr">
        <is>
          <t>Untiered</t>
        </is>
      </c>
      <c r="I393" s="148" t="inlineStr">
        <is>
          <t>uxcell Satin Fitted Sheet Queen Size, Solid Silky 12" Deep Pocket for Bed Sheet, Soft Breathable Bed Fitted Sheet 79"x60" Gray</t>
        </is>
      </c>
      <c r="J393" s="148" t="inlineStr">
        <is>
          <t>https://m.media-amazon.com/images/I/51u7qE48BAL.jpg</t>
        </is>
      </c>
      <c r="K393" s="148" t="n"/>
      <c r="L393" s="148" t="inlineStr">
        <is>
          <t>B07LFCM1J3</t>
        </is>
      </c>
      <c r="M393" s="148" t="n"/>
      <c r="N393" s="148" t="n">
        <v>26.99</v>
      </c>
      <c r="O393" s="148" t="n"/>
      <c r="P393" s="148">
        <f>IF(AND(ISNUMBER(O393),ISNUMBER(N393),N(N393)&gt;0),O393/N393-1,"")</f>
        <v/>
      </c>
      <c r="Q393" s="148" t="n">
        <v>23.95</v>
      </c>
      <c r="R393" s="148">
        <f>IF(AND(ISNUMBER(N393),ISNUMBER(Q393),N(Q393)&gt;0),N393/Q393-1,"")</f>
        <v/>
      </c>
      <c r="S393" s="148" t="n"/>
      <c r="T393" s="148" t="n"/>
      <c r="U393" s="148" t="n">
        <v>3.8</v>
      </c>
      <c r="V393" s="148" t="n">
        <v>22</v>
      </c>
      <c r="W393" s="148" t="n"/>
      <c r="X393" s="148" t="n"/>
      <c r="Y393" s="148" t="n"/>
      <c r="Z393" s="148" t="n"/>
      <c r="AA393" s="148" t="n"/>
      <c r="AB393" s="148" t="n"/>
      <c r="AC393" s="148" t="inlineStr">
        <is>
          <t>CA DC Satin Fitted</t>
        </is>
      </c>
      <c r="AD393" s="148">
        <f>'CA DC Satin Fitted'!BF119</f>
        <v/>
      </c>
      <c r="AE393" s="148">
        <f>'CA DC Satin Fitted'!BI119</f>
        <v/>
      </c>
      <c r="AF393" s="148" t="inlineStr">
        <is>
          <t>Queen</t>
        </is>
      </c>
      <c r="AG393" s="148" t="inlineStr">
        <is>
          <t>White</t>
        </is>
      </c>
      <c r="AH393" s="148">
        <f>AND(E393="CA",OR('CA Dashboard'!$C$4="All",'CA Dashboard'!$C$4=D393),OR('CA Dashboard'!$C$5="All",'CA Dashboard'!$C$5=G393),OR('CA Dashboard'!$C$6="All",'CA Dashboard'!$C$6=H393),OR('CA Dashboard'!$C$7="All",'CA Dashboard'!$C$7=F393),OR('CA Dashboard'!$C$8="All",'CA Dashboard'!$C$8=AJ393))</f>
        <v/>
      </c>
      <c r="AI393" s="148">
        <f>IF(AH393,AI392+1,AI392)</f>
        <v/>
      </c>
      <c r="AJ393" s="148" t="inlineStr">
        <is>
          <t>Direct</t>
        </is>
      </c>
      <c r="AK393" s="148" t="inlineStr">
        <is>
          <t>Same product (fitted sheet) in the same material family: Satin (polyester) (title: uxcell Satin Fitted Sheet Queen Size, Solid Silky 12" Deep P); ours: our listing: polyester satin.</t>
        </is>
      </c>
    </row>
    <row r="394">
      <c r="A394" s="148">
        <f>AND(E394="US",OR('US Dashboard'!$C$4="All",'US Dashboard'!$C$4=D394),OR('US Dashboard'!$C$5="All",'US Dashboard'!$C$5=G394),OR('US Dashboard'!$C$6="All",'US Dashboard'!$C$6=H394),OR('US Dashboard'!$C$7="All",'US Dashboard'!$C$7=F394),OR('US Dashboard'!$C$8="All",'US Dashboard'!$C$8=AJ394))</f>
        <v/>
      </c>
      <c r="B394" s="148">
        <f>IF(A394,B393+1,B393)</f>
        <v/>
      </c>
      <c r="C394" s="148" t="n">
        <v>38</v>
      </c>
      <c r="D394" s="148" t="inlineStr">
        <is>
          <t>DC Satin Fitted</t>
        </is>
      </c>
      <c r="E394" s="148" t="inlineStr">
        <is>
          <t>US</t>
        </is>
      </c>
      <c r="F394" s="148" t="inlineStr">
        <is>
          <t>Satin</t>
        </is>
      </c>
      <c r="G394" s="148" t="inlineStr">
        <is>
          <t>Homiest</t>
        </is>
      </c>
      <c r="H394" s="148" t="inlineStr">
        <is>
          <t>Beatable</t>
        </is>
      </c>
      <c r="I394" s="148" t="inlineStr">
        <is>
          <t>Satin Fitted Sheet</t>
        </is>
      </c>
      <c r="J394" s="148" t="inlineStr">
        <is>
          <t>https://images-na.ssl-images-amazon.com/images/I/81MYmoOAtUL.jpg</t>
        </is>
      </c>
      <c r="K394" s="148" t="inlineStr">
        <is>
          <t>B09WGRB6MD</t>
        </is>
      </c>
      <c r="L394" s="148" t="inlineStr">
        <is>
          <t>B09WHDR231</t>
        </is>
      </c>
      <c r="M394" s="148" t="n">
        <v>55</v>
      </c>
      <c r="N394" s="148" t="n">
        <v>12.99</v>
      </c>
      <c r="O394" s="148" t="n"/>
      <c r="P394" s="148">
        <f>IF(AND(ISNUMBER(O394),ISNUMBER(N394),N(N394)&gt;0),O394/N394-1,"")</f>
        <v/>
      </c>
      <c r="Q394" s="148" t="n">
        <v>19.95</v>
      </c>
      <c r="R394" s="148">
        <f>IF(AND(ISNUMBER(N394),ISNUMBER(Q394),N(Q394)&gt;0),N394/Q394-1,"")</f>
        <v/>
      </c>
      <c r="S394" s="148" t="n">
        <v>18176</v>
      </c>
      <c r="T394" s="148" t="n">
        <v>35</v>
      </c>
      <c r="U394" s="148" t="n">
        <v>4.7</v>
      </c>
      <c r="V394" s="148" t="n">
        <v>357</v>
      </c>
      <c r="W394" s="148" t="n">
        <v>41522</v>
      </c>
      <c r="X394" s="148" t="n">
        <v>0.9561438081017288</v>
      </c>
      <c r="Y394" s="148" t="n">
        <v>221</v>
      </c>
      <c r="Z394" s="148" t="n">
        <v>157</v>
      </c>
      <c r="AA394" s="148" t="n">
        <v>23</v>
      </c>
      <c r="AB394" s="148" t="n">
        <v>0.960591133004926</v>
      </c>
      <c r="AC394" s="148" t="inlineStr">
        <is>
          <t>US DC Satin Fitted</t>
        </is>
      </c>
      <c r="AD394" s="148">
        <f>'US DC Satin Fitted'!BF117</f>
        <v/>
      </c>
      <c r="AE394" s="148">
        <f>'US DC Satin Fitted'!BI117</f>
        <v/>
      </c>
      <c r="AF394" s="148" t="inlineStr">
        <is>
          <t>Twin - Fitted</t>
        </is>
      </c>
      <c r="AG394" s="148" t="inlineStr">
        <is>
          <t>Black</t>
        </is>
      </c>
      <c r="AH394" s="148">
        <f>AND(E394="CA",OR('CA Dashboard'!$C$4="All",'CA Dashboard'!$C$4=D394),OR('CA Dashboard'!$C$5="All",'CA Dashboard'!$C$5=G394),OR('CA Dashboard'!$C$6="All",'CA Dashboard'!$C$6=H394),OR('CA Dashboard'!$C$7="All",'CA Dashboard'!$C$7=F394),OR('CA Dashboard'!$C$8="All",'CA Dashboard'!$C$8=AJ394))</f>
        <v/>
      </c>
      <c r="AI394" s="148">
        <f>IF(AH394,AI393+1,AI393)</f>
        <v/>
      </c>
      <c r="AJ394" s="148" t="inlineStr">
        <is>
          <t>Alternative material</t>
        </is>
      </c>
      <c r="AK394" s="148" t="inlineStr">
        <is>
          <t>Fitted sheet in Microfiber / polyester (product page material: Polyester); ours is Satin (polyester) (our listing: polyester satin). Shopper may cross-shop, but not like-for-like.</t>
        </is>
      </c>
    </row>
    <row r="395">
      <c r="A395" s="148">
        <f>AND(E395="US",OR('US Dashboard'!$C$4="All",'US Dashboard'!$C$4=D395),OR('US Dashboard'!$C$5="All",'US Dashboard'!$C$5=G395),OR('US Dashboard'!$C$6="All",'US Dashboard'!$C$6=H395),OR('US Dashboard'!$C$7="All",'US Dashboard'!$C$7=F395),OR('US Dashboard'!$C$8="All",'US Dashboard'!$C$8=AJ395))</f>
        <v/>
      </c>
      <c r="B395" s="148">
        <f>IF(A395,B394+1,B394)</f>
        <v/>
      </c>
      <c r="C395" s="148" t="n">
        <v>38</v>
      </c>
      <c r="D395" s="148" t="inlineStr">
        <is>
          <t>DC Satin Fitted</t>
        </is>
      </c>
      <c r="E395" s="148" t="inlineStr">
        <is>
          <t>US</t>
        </is>
      </c>
      <c r="F395" s="148" t="inlineStr">
        <is>
          <t>Satin</t>
        </is>
      </c>
      <c r="G395" s="148" t="inlineStr">
        <is>
          <t>NSGZ</t>
        </is>
      </c>
      <c r="H395" s="148" t="inlineStr">
        <is>
          <t>Poor</t>
        </is>
      </c>
      <c r="I395" s="148" t="inlineStr">
        <is>
          <t>Satin Fitted Sheet</t>
        </is>
      </c>
      <c r="J395" s="148" t="inlineStr">
        <is>
          <t>https://m.media-amazon.com/images/I/71bg4AJEQpL._AC_SL1500_.jpg</t>
        </is>
      </c>
      <c r="K395" s="148" t="inlineStr">
        <is>
          <t>B0BV1JFXC4</t>
        </is>
      </c>
      <c r="L395" s="148" t="inlineStr">
        <is>
          <t>B0BV1HW54C</t>
        </is>
      </c>
      <c r="M395" s="148" t="n"/>
      <c r="N395" s="148" t="n">
        <v>13.49</v>
      </c>
      <c r="O395" s="148" t="n"/>
      <c r="P395" s="148">
        <f>IF(AND(ISNUMBER(O395),ISNUMBER(N395),N(N395)&gt;0),O395/N395-1,"")</f>
        <v/>
      </c>
      <c r="Q395" s="148" t="n">
        <v>20.95</v>
      </c>
      <c r="R395" s="148">
        <f>IF(AND(ISNUMBER(N395),ISNUMBER(Q395),N(Q395)&gt;0),N395/Q395-1,"")</f>
        <v/>
      </c>
      <c r="S395" s="148" t="n">
        <v>49470</v>
      </c>
      <c r="T395" s="148" t="n">
        <v>81</v>
      </c>
      <c r="U395" s="148" t="n">
        <v>4.4</v>
      </c>
      <c r="V395" s="148" t="n">
        <v>601</v>
      </c>
      <c r="W395" s="148" t="n"/>
      <c r="X395" s="148" t="n"/>
      <c r="Y395" s="148" t="n"/>
      <c r="Z395" s="148" t="n"/>
      <c r="AA395" s="148" t="n"/>
      <c r="AB395" s="148" t="n"/>
      <c r="AC395" s="148" t="inlineStr">
        <is>
          <t>US DC Satin Fitted</t>
        </is>
      </c>
      <c r="AD395" s="148">
        <f>'US DC Satin Fitted'!BF118</f>
        <v/>
      </c>
      <c r="AE395" s="148">
        <f>'US DC Satin Fitted'!BI118</f>
        <v/>
      </c>
      <c r="AF395" s="148" t="inlineStr">
        <is>
          <t>Full</t>
        </is>
      </c>
      <c r="AG395" s="148" t="inlineStr">
        <is>
          <t>Pink</t>
        </is>
      </c>
      <c r="AH395" s="148">
        <f>AND(E395="CA",OR('CA Dashboard'!$C$4="All",'CA Dashboard'!$C$4=D395),OR('CA Dashboard'!$C$5="All",'CA Dashboard'!$C$5=G395),OR('CA Dashboard'!$C$6="All",'CA Dashboard'!$C$6=H395),OR('CA Dashboard'!$C$7="All",'CA Dashboard'!$C$7=F395),OR('CA Dashboard'!$C$8="All",'CA Dashboard'!$C$8=AJ395))</f>
        <v/>
      </c>
      <c r="AI395" s="148">
        <f>IF(AH395,AI394+1,AI394)</f>
        <v/>
      </c>
      <c r="AJ395" s="148" t="inlineStr">
        <is>
          <t>Alternative material</t>
        </is>
      </c>
      <c r="AK395" s="148" t="inlineStr">
        <is>
          <t>Fitted sheet in Microfiber / polyester (product page material: Polyester); ours is Satin (polyester) (our listing: polyester satin). Shopper may cross-shop, but not like-for-like.</t>
        </is>
      </c>
    </row>
    <row r="396">
      <c r="A396" s="148">
        <f>AND(E396="US",OR('US Dashboard'!$C$4="All",'US Dashboard'!$C$4=D396),OR('US Dashboard'!$C$5="All",'US Dashboard'!$C$5=G396),OR('US Dashboard'!$C$6="All",'US Dashboard'!$C$6=H396),OR('US Dashboard'!$C$7="All",'US Dashboard'!$C$7=F396),OR('US Dashboard'!$C$8="All",'US Dashboard'!$C$8=AJ396))</f>
        <v/>
      </c>
      <c r="B396" s="148">
        <f>IF(A396,B395+1,B395)</f>
        <v/>
      </c>
      <c r="C396" s="148" t="n">
        <v>38</v>
      </c>
      <c r="D396" s="148" t="inlineStr">
        <is>
          <t>DC Satin Fitted</t>
        </is>
      </c>
      <c r="E396" s="148" t="inlineStr">
        <is>
          <t>US</t>
        </is>
      </c>
      <c r="F396" s="148" t="inlineStr">
        <is>
          <t>Satin</t>
        </is>
      </c>
      <c r="G396" s="148" t="inlineStr">
        <is>
          <t>JUWENIN</t>
        </is>
      </c>
      <c r="H396" s="148" t="inlineStr">
        <is>
          <t>Untiered</t>
        </is>
      </c>
      <c r="I396" s="148" t="inlineStr">
        <is>
          <t>Satin Fitted Sheet</t>
        </is>
      </c>
      <c r="J396" s="148" t="inlineStr">
        <is>
          <t>https://m.media-amazon.com/images/I/61YnyaGH00L._AC_SL1200_.jpg</t>
        </is>
      </c>
      <c r="K396" s="148" t="inlineStr">
        <is>
          <t>B0B1DX9FRV</t>
        </is>
      </c>
      <c r="L396" s="148" t="inlineStr">
        <is>
          <t>B0B1DVKHSJ</t>
        </is>
      </c>
      <c r="M396" s="148" t="n">
        <v>19</v>
      </c>
      <c r="N396" s="148" t="n">
        <v>9.99</v>
      </c>
      <c r="O396" s="148" t="n"/>
      <c r="P396" s="148">
        <f>IF(AND(ISNUMBER(O396),ISNUMBER(N396),N(N396)&gt;0),O396/N396-1,"")</f>
        <v/>
      </c>
      <c r="Q396" s="148" t="n">
        <v>19.95</v>
      </c>
      <c r="R396" s="148">
        <f>IF(AND(ISNUMBER(N396),ISNUMBER(Q396),N(Q396)&gt;0),N396/Q396-1,"")</f>
        <v/>
      </c>
      <c r="S396" s="148" t="n">
        <v>251642</v>
      </c>
      <c r="T396" s="148" t="n">
        <v>5</v>
      </c>
      <c r="U396" s="148" t="n">
        <v>4.4</v>
      </c>
      <c r="V396" s="148" t="n">
        <v>256</v>
      </c>
      <c r="W396" s="148" t="n">
        <v>2799</v>
      </c>
      <c r="X396" s="148" t="n">
        <v>0.9278307967131119</v>
      </c>
      <c r="Y396" s="148" t="n">
        <v>119</v>
      </c>
      <c r="Z396" s="148" t="n">
        <v>19</v>
      </c>
      <c r="AA396" s="148" t="n">
        <v>2</v>
      </c>
      <c r="AB396" s="148" t="n"/>
      <c r="AC396" s="148" t="inlineStr">
        <is>
          <t>US DC Satin Fitted</t>
        </is>
      </c>
      <c r="AD396" s="148">
        <f>'US DC Satin Fitted'!BF119</f>
        <v/>
      </c>
      <c r="AE396" s="148">
        <f>'US DC Satin Fitted'!BI119</f>
        <v/>
      </c>
      <c r="AF396" s="148" t="inlineStr">
        <is>
          <t>Twin/TwinXL</t>
        </is>
      </c>
      <c r="AG396" s="148" t="inlineStr">
        <is>
          <t>Pink</t>
        </is>
      </c>
      <c r="AH396" s="148">
        <f>AND(E396="CA",OR('CA Dashboard'!$C$4="All",'CA Dashboard'!$C$4=D396),OR('CA Dashboard'!$C$5="All",'CA Dashboard'!$C$5=G396),OR('CA Dashboard'!$C$6="All",'CA Dashboard'!$C$6=H396),OR('CA Dashboard'!$C$7="All",'CA Dashboard'!$C$7=F396),OR('CA Dashboard'!$C$8="All",'CA Dashboard'!$C$8=AJ396))</f>
        <v/>
      </c>
      <c r="AI396" s="148">
        <f>IF(AH396,AI395+1,AI395)</f>
        <v/>
      </c>
      <c r="AJ396" s="148" t="inlineStr">
        <is>
          <t>Alternative material</t>
        </is>
      </c>
      <c r="AK396" s="148" t="inlineStr">
        <is>
          <t>Fitted sheet in Microfiber / polyester (product page material: Polyester); ours is Satin (polyester) (our listing: polyester satin). Shopper may cross-shop, but not like-for-like.</t>
        </is>
      </c>
    </row>
    <row r="397">
      <c r="A397" s="148">
        <f>AND(E397="US",OR('US Dashboard'!$C$4="All",'US Dashboard'!$C$4=D397),OR('US Dashboard'!$C$5="All",'US Dashboard'!$C$5=G397),OR('US Dashboard'!$C$6="All",'US Dashboard'!$C$6=H397),OR('US Dashboard'!$C$7="All",'US Dashboard'!$C$7=F397),OR('US Dashboard'!$C$8="All",'US Dashboard'!$C$8=AJ397))</f>
        <v/>
      </c>
      <c r="B397" s="148">
        <f>IF(A397,B396+1,B396)</f>
        <v/>
      </c>
      <c r="C397" s="148" t="n">
        <v>38</v>
      </c>
      <c r="D397" s="148" t="inlineStr">
        <is>
          <t>DC Satin Fitted</t>
        </is>
      </c>
      <c r="E397" s="148" t="inlineStr">
        <is>
          <t>CA</t>
        </is>
      </c>
      <c r="F397" s="148" t="inlineStr">
        <is>
          <t>Satin</t>
        </is>
      </c>
      <c r="G397" s="148" t="inlineStr">
        <is>
          <t>Lanest Housing</t>
        </is>
      </c>
      <c r="H397" s="148" t="inlineStr">
        <is>
          <t>Untiered</t>
        </is>
      </c>
      <c r="I397" s="148" t="inlineStr">
        <is>
          <t>Queen Silk Satin Fitted Sheet, Soft Deep Pocket Single Bottom Bed Sheets Sold Separately, Wrinkle Free, Non- Fading, Breathable, Fully Elasticized(Queen Size, Dark Grey)</t>
        </is>
      </c>
      <c r="J397" s="148" t="inlineStr">
        <is>
          <t>https://m.media-amazon.com/images/I/71E6gxishcL.jpg</t>
        </is>
      </c>
      <c r="K397" s="148" t="inlineStr">
        <is>
          <t>B09HQK4K21</t>
        </is>
      </c>
      <c r="L397" s="148" t="inlineStr">
        <is>
          <t>B09CL6BLJC</t>
        </is>
      </c>
      <c r="M397" s="148" t="n">
        <v>82</v>
      </c>
      <c r="N397" s="148" t="n">
        <v>41.44</v>
      </c>
      <c r="O397" s="148" t="n"/>
      <c r="P397" s="148">
        <f>IF(AND(ISNUMBER(O397),ISNUMBER(N397),N(N397)&gt;0),O397/N397-1,"")</f>
        <v/>
      </c>
      <c r="Q397" s="148" t="n">
        <v>23.95</v>
      </c>
      <c r="R397" s="148">
        <f>IF(AND(ISNUMBER(N397),ISNUMBER(Q397),N(Q397)&gt;0),N397/Q397-1,"")</f>
        <v/>
      </c>
      <c r="S397" s="148" t="n">
        <v>277266</v>
      </c>
      <c r="T397" s="148" t="n"/>
      <c r="U397" s="148" t="n">
        <v>4</v>
      </c>
      <c r="V397" s="148" t="n">
        <v>4038</v>
      </c>
      <c r="W397" s="148" t="n"/>
      <c r="X397" s="148" t="n"/>
      <c r="Y397" s="148" t="n"/>
      <c r="Z397" s="148" t="n"/>
      <c r="AA397" s="148" t="n"/>
      <c r="AB397" s="148" t="n"/>
      <c r="AC397" s="148" t="inlineStr">
        <is>
          <t>CA DC Satin Fitted</t>
        </is>
      </c>
      <c r="AD397" s="148">
        <f>'CA DC Satin Fitted'!BF120</f>
        <v/>
      </c>
      <c r="AE397" s="148">
        <f>'CA DC Satin Fitted'!BI120</f>
        <v/>
      </c>
      <c r="AF397" s="148" t="inlineStr">
        <is>
          <t>Queen</t>
        </is>
      </c>
      <c r="AG397" s="148" t="inlineStr">
        <is>
          <t>Grey</t>
        </is>
      </c>
      <c r="AH397" s="148">
        <f>AND(E397="CA",OR('CA Dashboard'!$C$4="All",'CA Dashboard'!$C$4=D397),OR('CA Dashboard'!$C$5="All",'CA Dashboard'!$C$5=G397),OR('CA Dashboard'!$C$6="All",'CA Dashboard'!$C$6=H397),OR('CA Dashboard'!$C$7="All",'CA Dashboard'!$C$7=F397),OR('CA Dashboard'!$C$8="All",'CA Dashboard'!$C$8=AJ397))</f>
        <v/>
      </c>
      <c r="AI397" s="148">
        <f>IF(AH397,AI396+1,AI396)</f>
        <v/>
      </c>
      <c r="AJ397" s="148" t="inlineStr">
        <is>
          <t>Alternative material</t>
        </is>
      </c>
      <c r="AK397" s="148" t="inlineStr">
        <is>
          <t>Fitted sheet in Silk (title: Queen Silk Satin Fitted Sheet, Soft Deep Pocket Single Botto); ours is Satin (polyester) (our listing: polyester satin). Shopper may cross-shop, but not like-for-like.</t>
        </is>
      </c>
    </row>
    <row r="398">
      <c r="A398" s="148">
        <f>AND(E398="US",OR('US Dashboard'!$C$4="All",'US Dashboard'!$C$4=D398),OR('US Dashboard'!$C$5="All",'US Dashboard'!$C$5=G398),OR('US Dashboard'!$C$6="All",'US Dashboard'!$C$6=H398),OR('US Dashboard'!$C$7="All",'US Dashboard'!$C$7=F398),OR('US Dashboard'!$C$8="All",'US Dashboard'!$C$8=AJ398))</f>
        <v/>
      </c>
      <c r="B398" s="148">
        <f>IF(A398,B397+1,B397)</f>
        <v/>
      </c>
      <c r="C398" s="148" t="n">
        <v>38</v>
      </c>
      <c r="D398" s="148" t="inlineStr">
        <is>
          <t>DC Satin Fitted</t>
        </is>
      </c>
      <c r="E398" s="148" t="inlineStr">
        <is>
          <t>CA</t>
        </is>
      </c>
      <c r="F398" s="148" t="inlineStr">
        <is>
          <t>Satin</t>
        </is>
      </c>
      <c r="G398" s="148" t="inlineStr">
        <is>
          <t>Luxbedding</t>
        </is>
      </c>
      <c r="H398" s="148" t="inlineStr">
        <is>
          <t>Untiered</t>
        </is>
      </c>
      <c r="I398" s="148" t="inlineStr">
        <is>
          <t>LuxBedding Satin Fitted Bed Sheet Only, Soft as Silk, Queue, Burgundy</t>
        </is>
      </c>
      <c r="J398" s="148" t="inlineStr">
        <is>
          <t>https://m.media-amazon.com/images/I/71V4-nmuDoS.jpg</t>
        </is>
      </c>
      <c r="K398" s="148" t="inlineStr">
        <is>
          <t>B093WZY75P</t>
        </is>
      </c>
      <c r="L398" s="148" t="inlineStr">
        <is>
          <t>B08QF4WDWL</t>
        </is>
      </c>
      <c r="M398" s="148" t="n">
        <v>45</v>
      </c>
      <c r="N398" s="148" t="n">
        <v>46.69</v>
      </c>
      <c r="O398" s="148" t="n"/>
      <c r="P398" s="148">
        <f>IF(AND(ISNUMBER(O398),ISNUMBER(N398),N(N398)&gt;0),O398/N398-1,"")</f>
        <v/>
      </c>
      <c r="Q398" s="148" t="n">
        <v>23.95</v>
      </c>
      <c r="R398" s="148">
        <f>IF(AND(ISNUMBER(N398),ISNUMBER(Q398),N(Q398)&gt;0),N398/Q398-1,"")</f>
        <v/>
      </c>
      <c r="S398" s="148" t="n">
        <v>210282</v>
      </c>
      <c r="T398" s="148" t="n"/>
      <c r="U398" s="148" t="n">
        <v>4.3</v>
      </c>
      <c r="V398" s="148" t="n">
        <v>1600</v>
      </c>
      <c r="W398" s="148" t="n"/>
      <c r="X398" s="148" t="n"/>
      <c r="Y398" s="148" t="n"/>
      <c r="Z398" s="148" t="n"/>
      <c r="AA398" s="148" t="n"/>
      <c r="AB398" s="148" t="n"/>
      <c r="AC398" s="148" t="inlineStr">
        <is>
          <t>CA DC Satin Fitted</t>
        </is>
      </c>
      <c r="AD398" s="148">
        <f>'CA DC Satin Fitted'!BF121</f>
        <v/>
      </c>
      <c r="AE398" s="148">
        <f>'CA DC Satin Fitted'!BI121</f>
        <v/>
      </c>
      <c r="AF398" s="148" t="inlineStr">
        <is>
          <t>Queen</t>
        </is>
      </c>
      <c r="AG398" s="148" t="inlineStr">
        <is>
          <t>Red</t>
        </is>
      </c>
      <c r="AH398" s="148">
        <f>AND(E398="CA",OR('CA Dashboard'!$C$4="All",'CA Dashboard'!$C$4=D398),OR('CA Dashboard'!$C$5="All",'CA Dashboard'!$C$5=G398),OR('CA Dashboard'!$C$6="All",'CA Dashboard'!$C$6=H398),OR('CA Dashboard'!$C$7="All",'CA Dashboard'!$C$7=F398),OR('CA Dashboard'!$C$8="All",'CA Dashboard'!$C$8=AJ398))</f>
        <v/>
      </c>
      <c r="AI398" s="148">
        <f>IF(AH398,AI397+1,AI397)</f>
        <v/>
      </c>
      <c r="AJ398" s="148" t="inlineStr">
        <is>
          <t>Alternative material</t>
        </is>
      </c>
      <c r="AK398" s="148" t="inlineStr">
        <is>
          <t>Fitted sheet in Silk (title: LuxBedding Satin Fitted Bed Sheet Only, Soft as Silk, Queue); ours is Satin (polyester) (our listing: polyester satin). Shopper may cross-shop, but not like-for-like.</t>
        </is>
      </c>
    </row>
    <row r="399">
      <c r="A399" s="148">
        <f>AND(E399="US",OR('US Dashboard'!$C$4="All",'US Dashboard'!$C$4=D399),OR('US Dashboard'!$C$5="All",'US Dashboard'!$C$5=G399),OR('US Dashboard'!$C$6="All",'US Dashboard'!$C$6=H399),OR('US Dashboard'!$C$7="All",'US Dashboard'!$C$7=F399),OR('US Dashboard'!$C$8="All",'US Dashboard'!$C$8=AJ399))</f>
        <v/>
      </c>
      <c r="B399" s="148">
        <f>IF(A399,B398+1,B398)</f>
        <v/>
      </c>
      <c r="C399" s="148" t="n">
        <v>38</v>
      </c>
      <c r="D399" s="148" t="inlineStr">
        <is>
          <t>DC Satin Fitted</t>
        </is>
      </c>
      <c r="E399" s="148" t="inlineStr">
        <is>
          <t>CA</t>
        </is>
      </c>
      <c r="F399" s="148" t="inlineStr">
        <is>
          <t>Satin</t>
        </is>
      </c>
      <c r="G399" s="148" t="inlineStr">
        <is>
          <t>BEDELITE</t>
        </is>
      </c>
      <c r="H399" s="148" t="inlineStr">
        <is>
          <t>Untiered</t>
        </is>
      </c>
      <c r="I399" s="148" t="inlineStr">
        <is>
          <t>BEDELITE Satin Fitted Sheet Queen Size for Hair &amp; Skin, Luxury Soft Silk-Like Bed Sheet with Elastic Corner Straps, 1 Deep Pocket Fitted Sheet Only Fits 15" Mattress, Fade &amp; Wrinkle Resistant, Ivory</t>
        </is>
      </c>
      <c r="J399" s="148" t="inlineStr">
        <is>
          <t>https://m.media-amazon.com/images/I/61KHLNuBD4L.jpg</t>
        </is>
      </c>
      <c r="K399" s="148" t="inlineStr">
        <is>
          <t>B0FSN6J3TP</t>
        </is>
      </c>
      <c r="L399" s="148" t="inlineStr">
        <is>
          <t>B0FL2BKPPN</t>
        </is>
      </c>
      <c r="M399" s="148" t="n">
        <v>42</v>
      </c>
      <c r="N399" s="148" t="n">
        <v>45.6</v>
      </c>
      <c r="O399" s="148" t="n"/>
      <c r="P399" s="148">
        <f>IF(AND(ISNUMBER(O399),ISNUMBER(N399),N(N399)&gt;0),O399/N399-1,"")</f>
        <v/>
      </c>
      <c r="Q399" s="148" t="n">
        <v>23.95</v>
      </c>
      <c r="R399" s="148">
        <f>IF(AND(ISNUMBER(N399),ISNUMBER(Q399),N(Q399)&gt;0),N399/Q399-1,"")</f>
        <v/>
      </c>
      <c r="S399" s="148" t="n">
        <v>282249</v>
      </c>
      <c r="T399" s="148" t="n"/>
      <c r="U399" s="148" t="n">
        <v>4.5</v>
      </c>
      <c r="V399" s="148" t="n">
        <v>490</v>
      </c>
      <c r="W399" s="148" t="n"/>
      <c r="X399" s="148" t="n"/>
      <c r="Y399" s="148" t="n"/>
      <c r="Z399" s="148" t="n"/>
      <c r="AA399" s="148" t="n"/>
      <c r="AB399" s="148" t="n"/>
      <c r="AC399" s="148" t="inlineStr">
        <is>
          <t>CA DC Satin Fitted</t>
        </is>
      </c>
      <c r="AD399" s="148">
        <f>'CA DC Satin Fitted'!BF122</f>
        <v/>
      </c>
      <c r="AE399" s="148">
        <f>'CA DC Satin Fitted'!BI122</f>
        <v/>
      </c>
      <c r="AF399" s="148" t="inlineStr">
        <is>
          <t>Queen</t>
        </is>
      </c>
      <c r="AG399" s="148" t="inlineStr">
        <is>
          <t>Ivory</t>
        </is>
      </c>
      <c r="AH399" s="148">
        <f>AND(E399="CA",OR('CA Dashboard'!$C$4="All",'CA Dashboard'!$C$4=D399),OR('CA Dashboard'!$C$5="All",'CA Dashboard'!$C$5=G399),OR('CA Dashboard'!$C$6="All",'CA Dashboard'!$C$6=H399),OR('CA Dashboard'!$C$7="All",'CA Dashboard'!$C$7=F399),OR('CA Dashboard'!$C$8="All",'CA Dashboard'!$C$8=AJ399))</f>
        <v/>
      </c>
      <c r="AI399" s="148">
        <f>IF(AH399,AI398+1,AI398)</f>
        <v/>
      </c>
      <c r="AJ399" s="148" t="inlineStr">
        <is>
          <t>Alternative material</t>
        </is>
      </c>
      <c r="AK399" s="148" t="inlineStr">
        <is>
          <t>Fitted sheet in Silk (title: BEDELITE Satin Fitted Sheet Queen Size for Hair &amp; Skin, Luxu); ours is Satin (polyester) (our listing: polyester satin). Shopper may cross-shop, but not like-for-like.</t>
        </is>
      </c>
    </row>
    <row r="400">
      <c r="A400" s="148">
        <f>AND(E400="US",OR('US Dashboard'!$C$4="All",'US Dashboard'!$C$4=D400),OR('US Dashboard'!$C$5="All",'US Dashboard'!$C$5=G400),OR('US Dashboard'!$C$6="All",'US Dashboard'!$C$6=H400),OR('US Dashboard'!$C$7="All",'US Dashboard'!$C$7=F400),OR('US Dashboard'!$C$8="All",'US Dashboard'!$C$8=AJ400))</f>
        <v/>
      </c>
      <c r="B400" s="148">
        <f>IF(A400,B399+1,B399)</f>
        <v/>
      </c>
      <c r="C400" s="148" t="n">
        <v>38</v>
      </c>
      <c r="D400" s="148" t="inlineStr">
        <is>
          <t>DC Satin Fitted</t>
        </is>
      </c>
      <c r="E400" s="148" t="inlineStr">
        <is>
          <t>US</t>
        </is>
      </c>
      <c r="F400" s="148" t="inlineStr">
        <is>
          <t>Satin</t>
        </is>
      </c>
      <c r="G400" s="148" t="inlineStr">
        <is>
          <t>BEDELITE</t>
        </is>
      </c>
      <c r="H400" s="148" t="inlineStr">
        <is>
          <t>Beatable</t>
        </is>
      </c>
      <c r="I400" s="148" t="inlineStr">
        <is>
          <t>BEDELITE Satin Queen Fitted Sheet &amp; Pillowcases Set, Black, 3 Pieces</t>
        </is>
      </c>
      <c r="J400" s="148" t="inlineStr">
        <is>
          <t>https://images-na.ssl-images-amazon.com/images/I/71Jlvkv3rfL.jpg</t>
        </is>
      </c>
      <c r="K400" s="148" t="inlineStr">
        <is>
          <t>B0FPCM7DL3</t>
        </is>
      </c>
      <c r="L400" s="148" t="inlineStr">
        <is>
          <t>B0CSFV4FXW</t>
        </is>
      </c>
      <c r="M400" s="148" t="n">
        <v>107</v>
      </c>
      <c r="N400" s="148" t="n">
        <v>15.98</v>
      </c>
      <c r="O400" s="148" t="n">
        <v>19.99</v>
      </c>
      <c r="P400" s="148">
        <f>IF(AND(ISNUMBER(O400),ISNUMBER(N400),N(N400)&gt;0),O400/N400-1,"")</f>
        <v/>
      </c>
      <c r="Q400" s="148" t="n">
        <v>21.95</v>
      </c>
      <c r="R400" s="148">
        <f>IF(AND(ISNUMBER(N400),ISNUMBER(Q400),N(Q400)&gt;0),N400/Q400-1,"")</f>
        <v/>
      </c>
      <c r="S400" s="148" t="n">
        <v>4306</v>
      </c>
      <c r="T400" s="148" t="n">
        <v>208</v>
      </c>
      <c r="U400" s="148" t="n">
        <v>4.4</v>
      </c>
      <c r="V400" s="148" t="n">
        <v>1858</v>
      </c>
      <c r="W400" s="148" t="n">
        <v>179643</v>
      </c>
      <c r="X400" s="148" t="n">
        <v>0.4557323781054652</v>
      </c>
      <c r="Y400" s="148" t="n">
        <v>197</v>
      </c>
      <c r="Z400" s="148" t="n">
        <v>259</v>
      </c>
      <c r="AA400" s="148" t="n">
        <v>499</v>
      </c>
      <c r="AB400" s="148" t="n">
        <v>1.118721461187214</v>
      </c>
      <c r="AC400" s="148" t="inlineStr">
        <is>
          <t>US DC Satin Fitted</t>
        </is>
      </c>
      <c r="AD400" s="148">
        <f>'US DC Satin Fitted'!BF120</f>
        <v/>
      </c>
      <c r="AE400" s="148">
        <f>'US DC Satin Fitted'!BI120</f>
        <v/>
      </c>
      <c r="AF400" s="148" t="inlineStr">
        <is>
          <t>Queen</t>
        </is>
      </c>
      <c r="AG400" s="148" t="inlineStr">
        <is>
          <t>Black</t>
        </is>
      </c>
      <c r="AH400" s="148">
        <f>AND(E400="CA",OR('CA Dashboard'!$C$4="All",'CA Dashboard'!$C$4=D400),OR('CA Dashboard'!$C$5="All",'CA Dashboard'!$C$5=G400),OR('CA Dashboard'!$C$6="All",'CA Dashboard'!$C$6=H400),OR('CA Dashboard'!$C$7="All",'CA Dashboard'!$C$7=F400),OR('CA Dashboard'!$C$8="All",'CA Dashboard'!$C$8=AJ400))</f>
        <v/>
      </c>
      <c r="AI400" s="148">
        <f>IF(AH400,AI399+1,AI399)</f>
        <v/>
      </c>
      <c r="AJ400" s="148" t="inlineStr">
        <is>
          <t>Different product type</t>
        </is>
      </c>
      <c r="AK400" s="148" t="inlineStr">
        <is>
          <t>Sells a sheet set; ours is a fitted sheet.</t>
        </is>
      </c>
    </row>
    <row r="401">
      <c r="A401" s="148">
        <f>AND(E401="US",OR('US Dashboard'!$C$4="All",'US Dashboard'!$C$4=D401),OR('US Dashboard'!$C$5="All",'US Dashboard'!$C$5=G401),OR('US Dashboard'!$C$6="All",'US Dashboard'!$C$6=H401),OR('US Dashboard'!$C$7="All",'US Dashboard'!$C$7=F401),OR('US Dashboard'!$C$8="All",'US Dashboard'!$C$8=AJ401))</f>
        <v/>
      </c>
      <c r="B401" s="148">
        <f>IF(A401,B400+1,B400)</f>
        <v/>
      </c>
      <c r="C401" s="148" t="n">
        <v>38</v>
      </c>
      <c r="D401" s="148" t="inlineStr">
        <is>
          <t>DC Satin Fitted</t>
        </is>
      </c>
      <c r="E401" s="148" t="inlineStr">
        <is>
          <t>US</t>
        </is>
      </c>
      <c r="F401" s="148" t="inlineStr">
        <is>
          <t>Satin</t>
        </is>
      </c>
      <c r="G401" s="148" t="inlineStr">
        <is>
          <t>VACVELT</t>
        </is>
      </c>
      <c r="H401" s="148" t="inlineStr">
        <is>
          <t>Beatable</t>
        </is>
      </c>
      <c r="I401" s="148" t="inlineStr">
        <is>
          <t>VACVELT 3pcs Queen Black Extra Deep Pocket Satin Fitted Sheet Set</t>
        </is>
      </c>
      <c r="J401" s="148" t="inlineStr">
        <is>
          <t>https://images-na.ssl-images-amazon.com/images/I/71d2-R2XfJL.jpg</t>
        </is>
      </c>
      <c r="K401" s="148" t="inlineStr">
        <is>
          <t>B0BWJ4PYLN</t>
        </is>
      </c>
      <c r="L401" s="148" t="inlineStr">
        <is>
          <t>B0BWJ4MLLZ</t>
        </is>
      </c>
      <c r="M401" s="148" t="n">
        <v>40</v>
      </c>
      <c r="N401" s="148" t="n">
        <v>18.99</v>
      </c>
      <c r="O401" s="148" t="n"/>
      <c r="P401" s="148">
        <f>IF(AND(ISNUMBER(O401),ISNUMBER(N401),N(N401)&gt;0),O401/N401-1,"")</f>
        <v/>
      </c>
      <c r="Q401" s="148" t="n">
        <v>21.95</v>
      </c>
      <c r="R401" s="148">
        <f>IF(AND(ISNUMBER(N401),ISNUMBER(Q401),N(Q401)&gt;0),N401/Q401-1,"")</f>
        <v/>
      </c>
      <c r="S401" s="148" t="n">
        <v>49291</v>
      </c>
      <c r="T401" s="148" t="n">
        <v>92</v>
      </c>
      <c r="U401" s="148" t="n">
        <v>4.2</v>
      </c>
      <c r="V401" s="148" t="n">
        <v>747</v>
      </c>
      <c r="W401" s="148" t="n">
        <v>25451</v>
      </c>
      <c r="X401" s="148" t="n">
        <v>0.9999606773800636</v>
      </c>
      <c r="Y401" s="148" t="n">
        <v>180</v>
      </c>
      <c r="Z401" s="148" t="n">
        <v>69</v>
      </c>
      <c r="AA401" s="148" t="n">
        <v>1</v>
      </c>
      <c r="AB401" s="148" t="n">
        <v>1.145341614906832</v>
      </c>
      <c r="AC401" s="148" t="inlineStr">
        <is>
          <t>US DC Satin Fitted</t>
        </is>
      </c>
      <c r="AD401" s="148">
        <f>'US DC Satin Fitted'!BF121</f>
        <v/>
      </c>
      <c r="AE401" s="148">
        <f>'US DC Satin Fitted'!BI121</f>
        <v/>
      </c>
      <c r="AF401" s="148" t="inlineStr">
        <is>
          <t>Queen</t>
        </is>
      </c>
      <c r="AG401" s="148" t="inlineStr">
        <is>
          <t>Black</t>
        </is>
      </c>
      <c r="AH401" s="148">
        <f>AND(E401="CA",OR('CA Dashboard'!$C$4="All",'CA Dashboard'!$C$4=D401),OR('CA Dashboard'!$C$5="All",'CA Dashboard'!$C$5=G401),OR('CA Dashboard'!$C$6="All",'CA Dashboard'!$C$6=H401),OR('CA Dashboard'!$C$7="All",'CA Dashboard'!$C$7=F401),OR('CA Dashboard'!$C$8="All",'CA Dashboard'!$C$8=AJ401))</f>
        <v/>
      </c>
      <c r="AI401" s="148">
        <f>IF(AH401,AI400+1,AI400)</f>
        <v/>
      </c>
      <c r="AJ401" s="148" t="inlineStr">
        <is>
          <t>Different product type</t>
        </is>
      </c>
      <c r="AK401" s="148" t="inlineStr">
        <is>
          <t>Sells a sheet set; ours is a fitted sheet.</t>
        </is>
      </c>
    </row>
    <row r="402">
      <c r="A402" s="148">
        <f>AND(E402="US",OR('US Dashboard'!$C$4="All",'US Dashboard'!$C$4=D402),OR('US Dashboard'!$C$5="All",'US Dashboard'!$C$5=G402),OR('US Dashboard'!$C$6="All",'US Dashboard'!$C$6=H402),OR('US Dashboard'!$C$7="All",'US Dashboard'!$C$7=F402),OR('US Dashboard'!$C$8="All",'US Dashboard'!$C$8=AJ402))</f>
        <v/>
      </c>
      <c r="B402" s="148">
        <f>IF(A402,B401+1,B401)</f>
        <v/>
      </c>
      <c r="C402" s="148" t="n">
        <v>38</v>
      </c>
      <c r="D402" s="148" t="inlineStr">
        <is>
          <t>DC Satin Fitted</t>
        </is>
      </c>
      <c r="E402" s="148" t="inlineStr">
        <is>
          <t>US</t>
        </is>
      </c>
      <c r="F402" s="148" t="inlineStr">
        <is>
          <t>Satin</t>
        </is>
      </c>
      <c r="G402" s="148" t="inlineStr">
        <is>
          <t>VACVELT</t>
        </is>
      </c>
      <c r="H402" s="148" t="inlineStr">
        <is>
          <t>Beatable</t>
        </is>
      </c>
      <c r="I402" s="148" t="inlineStr">
        <is>
          <t>Satin Sheets</t>
        </is>
      </c>
      <c r="J402" s="148" t="inlineStr">
        <is>
          <t>https://m.media-amazon.com/images/I/61ShIpqvBXL._AC_SL1500_.jpg</t>
        </is>
      </c>
      <c r="K402" s="148" t="inlineStr">
        <is>
          <t>B0F7XQDVJY</t>
        </is>
      </c>
      <c r="L402" s="148" t="inlineStr">
        <is>
          <t>B0F7XRNKQY</t>
        </is>
      </c>
      <c r="M402" s="148" t="n">
        <v>31</v>
      </c>
      <c r="N402" s="148" t="n">
        <v>17.99</v>
      </c>
      <c r="O402" s="148" t="n"/>
      <c r="P402" s="148">
        <f>IF(AND(ISNUMBER(O402),ISNUMBER(N402),N(N402)&gt;0),O402/N402-1,"")</f>
        <v/>
      </c>
      <c r="Q402" s="148" t="n">
        <v>21.95</v>
      </c>
      <c r="R402" s="148">
        <f>IF(AND(ISNUMBER(N402),ISNUMBER(Q402),N(Q402)&gt;0),N402/Q402-1,"")</f>
        <v/>
      </c>
      <c r="S402" s="148" t="n">
        <v>79028</v>
      </c>
      <c r="T402" s="148" t="n">
        <v>18</v>
      </c>
      <c r="U402" s="148" t="n">
        <v>4.4</v>
      </c>
      <c r="V402" s="148" t="n">
        <v>209</v>
      </c>
      <c r="W402" s="148" t="n">
        <v>21912</v>
      </c>
      <c r="X402" s="148" t="n">
        <v>0.9845742834976268</v>
      </c>
      <c r="Y402" s="148" t="n">
        <v>231</v>
      </c>
      <c r="Z402" s="148" t="n">
        <v>85</v>
      </c>
      <c r="AA402" s="148" t="n">
        <v>9</v>
      </c>
      <c r="AB402" s="148" t="n">
        <v>1.707818930041152</v>
      </c>
      <c r="AC402" s="148" t="inlineStr">
        <is>
          <t>US DC Satin Fitted</t>
        </is>
      </c>
      <c r="AD402" s="148">
        <f>'US DC Satin Fitted'!BF122</f>
        <v/>
      </c>
      <c r="AE402" s="148">
        <f>'US DC Satin Fitted'!BI122</f>
        <v/>
      </c>
      <c r="AF402" s="148" t="inlineStr">
        <is>
          <t>Queen</t>
        </is>
      </c>
      <c r="AG402" s="148" t="inlineStr">
        <is>
          <t>Beige</t>
        </is>
      </c>
      <c r="AH402" s="148">
        <f>AND(E402="CA",OR('CA Dashboard'!$C$4="All",'CA Dashboard'!$C$4=D402),OR('CA Dashboard'!$C$5="All",'CA Dashboard'!$C$5=G402),OR('CA Dashboard'!$C$6="All",'CA Dashboard'!$C$6=H402),OR('CA Dashboard'!$C$7="All",'CA Dashboard'!$C$7=F402),OR('CA Dashboard'!$C$8="All",'CA Dashboard'!$C$8=AJ402))</f>
        <v/>
      </c>
      <c r="AI402" s="148">
        <f>IF(AH402,AI401+1,AI401)</f>
        <v/>
      </c>
      <c r="AJ402" s="148" t="inlineStr">
        <is>
          <t>Different product type</t>
        </is>
      </c>
      <c r="AK402" s="148" t="inlineStr">
        <is>
          <t>Sells a sheet set; ours is a fitted sheet.</t>
        </is>
      </c>
    </row>
    <row r="403">
      <c r="A403" s="148">
        <f>AND(E403="US",OR('US Dashboard'!$C$4="All",'US Dashboard'!$C$4=D403),OR('US Dashboard'!$C$5="All",'US Dashboard'!$C$5=G403),OR('US Dashboard'!$C$6="All",'US Dashboard'!$C$6=H403),OR('US Dashboard'!$C$7="All",'US Dashboard'!$C$7=F403),OR('US Dashboard'!$C$8="All",'US Dashboard'!$C$8=AJ403))</f>
        <v/>
      </c>
      <c r="B403" s="148">
        <f>IF(A403,B402+1,B402)</f>
        <v/>
      </c>
      <c r="C403" s="148" t="n">
        <v>38</v>
      </c>
      <c r="D403" s="148" t="inlineStr">
        <is>
          <t>DC Satin Fitted</t>
        </is>
      </c>
      <c r="E403" s="148" t="inlineStr">
        <is>
          <t>US</t>
        </is>
      </c>
      <c r="F403" s="148" t="inlineStr">
        <is>
          <t>Satin</t>
        </is>
      </c>
      <c r="G403" s="148" t="inlineStr">
        <is>
          <t>BEDELITE</t>
        </is>
      </c>
      <c r="H403" s="148" t="inlineStr">
        <is>
          <t>Untiered</t>
        </is>
      </c>
      <c r="I403" s="148" t="inlineStr">
        <is>
          <t>BEDELITE Satin Sheets Queen Size Bed Set, Black, 4 Pieces</t>
        </is>
      </c>
      <c r="J403" s="148" t="inlineStr">
        <is>
          <t>https://images-na.ssl-images-amazon.com/images/I/71ujt2CgaQL.jpg</t>
        </is>
      </c>
      <c r="K403" s="148" t="inlineStr">
        <is>
          <t>B0FNMNMZ9T</t>
        </is>
      </c>
      <c r="L403" s="148" t="inlineStr">
        <is>
          <t>B0CSFTRP2X</t>
        </is>
      </c>
      <c r="M403" s="148" t="n">
        <v>141</v>
      </c>
      <c r="N403" s="148" t="n">
        <v>17.99</v>
      </c>
      <c r="O403" s="148" t="n"/>
      <c r="P403" s="148">
        <f>IF(AND(ISNUMBER(O403),ISNUMBER(N403),N(N403)&gt;0),O403/N403-1,"")</f>
        <v/>
      </c>
      <c r="Q403" s="148" t="n">
        <v>21.95</v>
      </c>
      <c r="R403" s="148">
        <f>IF(AND(ISNUMBER(N403),ISNUMBER(Q403),N(Q403)&gt;0),N403/Q403-1,"")</f>
        <v/>
      </c>
      <c r="S403" s="148" t="n">
        <v>497</v>
      </c>
      <c r="T403" s="148" t="n">
        <v>1963</v>
      </c>
      <c r="U403" s="148" t="n">
        <v>4.3</v>
      </c>
      <c r="V403" s="148" t="n">
        <v>6297</v>
      </c>
      <c r="W403" s="148" t="n">
        <v>997443</v>
      </c>
      <c r="X403" s="148" t="n">
        <v>0.8161266415223724</v>
      </c>
      <c r="Y403" s="148" t="n">
        <v>120</v>
      </c>
      <c r="Z403" s="148" t="n">
        <v>367</v>
      </c>
      <c r="AA403" s="148" t="n">
        <v>308</v>
      </c>
      <c r="AB403" s="148" t="n">
        <v>1.114785561378903</v>
      </c>
      <c r="AC403" s="148" t="inlineStr">
        <is>
          <t>US DC Satin Fitted</t>
        </is>
      </c>
      <c r="AD403" s="148">
        <f>'US DC Satin Fitted'!BF123</f>
        <v/>
      </c>
      <c r="AE403" s="148">
        <f>'US DC Satin Fitted'!BI123</f>
        <v/>
      </c>
      <c r="AF403" s="148" t="inlineStr">
        <is>
          <t>Queen</t>
        </is>
      </c>
      <c r="AG403" s="148" t="inlineStr">
        <is>
          <t>Black</t>
        </is>
      </c>
      <c r="AH403" s="148">
        <f>AND(E403="CA",OR('CA Dashboard'!$C$4="All",'CA Dashboard'!$C$4=D403),OR('CA Dashboard'!$C$5="All",'CA Dashboard'!$C$5=G403),OR('CA Dashboard'!$C$6="All",'CA Dashboard'!$C$6=H403),OR('CA Dashboard'!$C$7="All",'CA Dashboard'!$C$7=F403),OR('CA Dashboard'!$C$8="All",'CA Dashboard'!$C$8=AJ403))</f>
        <v/>
      </c>
      <c r="AI403" s="148">
        <f>IF(AH403,AI402+1,AI402)</f>
        <v/>
      </c>
      <c r="AJ403" s="148" t="inlineStr">
        <is>
          <t>Different product type</t>
        </is>
      </c>
      <c r="AK403" s="148" t="inlineStr">
        <is>
          <t>Sells a sheet set; ours is a fitted sheet.</t>
        </is>
      </c>
    </row>
    <row r="404">
      <c r="A404" s="148">
        <f>AND(E404="US",OR('US Dashboard'!$C$4="All",'US Dashboard'!$C$4=D404),OR('US Dashboard'!$C$5="All",'US Dashboard'!$C$5=G404),OR('US Dashboard'!$C$6="All",'US Dashboard'!$C$6=H404),OR('US Dashboard'!$C$7="All",'US Dashboard'!$C$7=F404),OR('US Dashboard'!$C$8="All",'US Dashboard'!$C$8=AJ404))</f>
        <v/>
      </c>
      <c r="B404" s="148">
        <f>IF(A404,B403+1,B403)</f>
        <v/>
      </c>
      <c r="C404" s="148" t="n">
        <v>38</v>
      </c>
      <c r="D404" s="148" t="inlineStr">
        <is>
          <t>DC Satin Fitted</t>
        </is>
      </c>
      <c r="E404" s="148" t="inlineStr">
        <is>
          <t>US</t>
        </is>
      </c>
      <c r="F404" s="148" t="inlineStr">
        <is>
          <t>Satin</t>
        </is>
      </c>
      <c r="G404" s="148" t="inlineStr">
        <is>
          <t>Love's cabin</t>
        </is>
      </c>
      <c r="H404" s="148" t="inlineStr">
        <is>
          <t>Untiered</t>
        </is>
      </c>
      <c r="I404" s="148" t="inlineStr">
        <is>
          <t>Love's cabin Satin Queen Sheets Set, 4 Pieces, Pink, 15" Deep Pocket</t>
        </is>
      </c>
      <c r="J404" s="148" t="inlineStr">
        <is>
          <t>https://images-na.ssl-images-amazon.com/images/I/81C-fXI71XL.jpg</t>
        </is>
      </c>
      <c r="K404" s="148" t="inlineStr">
        <is>
          <t>B08DHTB63X</t>
        </is>
      </c>
      <c r="L404" s="148" t="inlineStr">
        <is>
          <t>B0BNMC5G8R</t>
        </is>
      </c>
      <c r="M404" s="148" t="n">
        <v>128</v>
      </c>
      <c r="N404" s="148" t="n">
        <v>16.13</v>
      </c>
      <c r="O404" s="148" t="n">
        <v>19.99</v>
      </c>
      <c r="P404" s="148">
        <f>IF(AND(ISNUMBER(O404),ISNUMBER(N404),N(N404)&gt;0),O404/N404-1,"")</f>
        <v/>
      </c>
      <c r="Q404" s="148" t="n">
        <v>21.95</v>
      </c>
      <c r="R404" s="148">
        <f>IF(AND(ISNUMBER(N404),ISNUMBER(Q404),N(Q404)&gt;0),N404/Q404-1,"")</f>
        <v/>
      </c>
      <c r="S404" s="148" t="n">
        <v>949</v>
      </c>
      <c r="T404" s="148" t="n">
        <v>809</v>
      </c>
      <c r="U404" s="148" t="n">
        <v>4.5</v>
      </c>
      <c r="V404" s="148" t="n">
        <v>5747</v>
      </c>
      <c r="W404" s="148" t="n">
        <v>385363</v>
      </c>
      <c r="X404" s="148" t="n">
        <v>0.8181775938530695</v>
      </c>
      <c r="Y404" s="148" t="n">
        <v>126</v>
      </c>
      <c r="Z404" s="148" t="n">
        <v>335</v>
      </c>
      <c r="AA404" s="148" t="n">
        <v>375</v>
      </c>
      <c r="AB404" s="148" t="n">
        <v>1.036399938565504</v>
      </c>
      <c r="AC404" s="148" t="inlineStr">
        <is>
          <t>US DC Satin Fitted</t>
        </is>
      </c>
      <c r="AD404" s="148">
        <f>'US DC Satin Fitted'!BF124</f>
        <v/>
      </c>
      <c r="AE404" s="148">
        <f>'US DC Satin Fitted'!BI124</f>
        <v/>
      </c>
      <c r="AF404" s="148" t="inlineStr">
        <is>
          <t>Queen</t>
        </is>
      </c>
      <c r="AG404" s="148" t="inlineStr">
        <is>
          <t>Pink</t>
        </is>
      </c>
      <c r="AH404" s="148">
        <f>AND(E404="CA",OR('CA Dashboard'!$C$4="All",'CA Dashboard'!$C$4=D404),OR('CA Dashboard'!$C$5="All",'CA Dashboard'!$C$5=G404),OR('CA Dashboard'!$C$6="All",'CA Dashboard'!$C$6=H404),OR('CA Dashboard'!$C$7="All",'CA Dashboard'!$C$7=F404),OR('CA Dashboard'!$C$8="All",'CA Dashboard'!$C$8=AJ404))</f>
        <v/>
      </c>
      <c r="AI404" s="148">
        <f>IF(AH404,AI403+1,AI403)</f>
        <v/>
      </c>
      <c r="AJ404" s="148" t="inlineStr">
        <is>
          <t>Different product type</t>
        </is>
      </c>
      <c r="AK404" s="148" t="inlineStr">
        <is>
          <t>Sells a sheet set; ours is a fitted sheet.</t>
        </is>
      </c>
    </row>
    <row r="405">
      <c r="A405" s="148">
        <f>AND(E405="US",OR('US Dashboard'!$C$4="All",'US Dashboard'!$C$4=D405),OR('US Dashboard'!$C$5="All",'US Dashboard'!$C$5=G405),OR('US Dashboard'!$C$6="All",'US Dashboard'!$C$6=H405),OR('US Dashboard'!$C$7="All",'US Dashboard'!$C$7=F405),OR('US Dashboard'!$C$8="All",'US Dashboard'!$C$8=AJ405))</f>
        <v/>
      </c>
      <c r="B405" s="148">
        <f>IF(A405,B404+1,B404)</f>
        <v/>
      </c>
      <c r="C405" s="148" t="n">
        <v>38</v>
      </c>
      <c r="D405" s="148" t="inlineStr">
        <is>
          <t>DC Satin Fitted</t>
        </is>
      </c>
      <c r="E405" s="148" t="inlineStr">
        <is>
          <t>US</t>
        </is>
      </c>
      <c r="F405" s="148" t="inlineStr">
        <is>
          <t>Satin</t>
        </is>
      </c>
      <c r="G405" s="148" t="inlineStr">
        <is>
          <t>MR&amp;HM</t>
        </is>
      </c>
      <c r="H405" s="148" t="inlineStr">
        <is>
          <t>Untiered</t>
        </is>
      </c>
      <c r="I405" s="148" t="inlineStr">
        <is>
          <t>MR&amp;HM Satin Sheets Queen Size with Elastic Corner Straps, Black</t>
        </is>
      </c>
      <c r="J405" s="148" t="inlineStr">
        <is>
          <t>https://images-na.ssl-images-amazon.com/images/I/71zGuoeuSrL.jpg</t>
        </is>
      </c>
      <c r="K405" s="148" t="inlineStr">
        <is>
          <t>B08NQ3W7PG</t>
        </is>
      </c>
      <c r="L405" s="148" t="inlineStr">
        <is>
          <t>B08HM6WT6X</t>
        </is>
      </c>
      <c r="M405" s="148" t="n">
        <v>183</v>
      </c>
      <c r="N405" s="148" t="n">
        <v>19.99</v>
      </c>
      <c r="O405" s="148" t="n"/>
      <c r="P405" s="148">
        <f>IF(AND(ISNUMBER(O405),ISNUMBER(N405),N(N405)&gt;0),O405/N405-1,"")</f>
        <v/>
      </c>
      <c r="Q405" s="148" t="n">
        <v>21.95</v>
      </c>
      <c r="R405" s="148">
        <f>IF(AND(ISNUMBER(N405),ISNUMBER(Q405),N(Q405)&gt;0),N405/Q405-1,"")</f>
        <v/>
      </c>
      <c r="S405" s="148" t="n">
        <v>2025</v>
      </c>
      <c r="T405" s="148" t="n">
        <v>809</v>
      </c>
      <c r="U405" s="148" t="n">
        <v>4.4</v>
      </c>
      <c r="V405" s="148" t="n">
        <v>17886</v>
      </c>
      <c r="W405" s="148" t="n">
        <v>356457</v>
      </c>
      <c r="X405" s="148" t="n">
        <v>0.7964633734223203</v>
      </c>
      <c r="Y405" s="148" t="n">
        <v>147</v>
      </c>
      <c r="Z405" s="148" t="n">
        <v>333</v>
      </c>
      <c r="AA405" s="148" t="n">
        <v>329</v>
      </c>
      <c r="AB405" s="148" t="n">
        <v>0.9844138242602214</v>
      </c>
      <c r="AC405" s="148" t="inlineStr">
        <is>
          <t>US DC Satin Fitted</t>
        </is>
      </c>
      <c r="AD405" s="148">
        <f>'US DC Satin Fitted'!BF125</f>
        <v/>
      </c>
      <c r="AE405" s="148">
        <f>'US DC Satin Fitted'!BI125</f>
        <v/>
      </c>
      <c r="AF405" s="148" t="inlineStr">
        <is>
          <t>Queen</t>
        </is>
      </c>
      <c r="AG405" s="148" t="inlineStr">
        <is>
          <t>Black</t>
        </is>
      </c>
      <c r="AH405" s="148">
        <f>AND(E405="CA",OR('CA Dashboard'!$C$4="All",'CA Dashboard'!$C$4=D405),OR('CA Dashboard'!$C$5="All",'CA Dashboard'!$C$5=G405),OR('CA Dashboard'!$C$6="All",'CA Dashboard'!$C$6=H405),OR('CA Dashboard'!$C$7="All",'CA Dashboard'!$C$7=F405),OR('CA Dashboard'!$C$8="All",'CA Dashboard'!$C$8=AJ405))</f>
        <v/>
      </c>
      <c r="AI405" s="148">
        <f>IF(AH405,AI404+1,AI404)</f>
        <v/>
      </c>
      <c r="AJ405" s="148" t="inlineStr">
        <is>
          <t>Different product type</t>
        </is>
      </c>
      <c r="AK405" s="148" t="inlineStr">
        <is>
          <t>Sells a sheet set; ours is a fitted sheet.</t>
        </is>
      </c>
    </row>
    <row r="406">
      <c r="A406" s="148">
        <f>AND(E406="US",OR('US Dashboard'!$C$4="All",'US Dashboard'!$C$4=D406),OR('US Dashboard'!$C$5="All",'US Dashboard'!$C$5=G406),OR('US Dashboard'!$C$6="All",'US Dashboard'!$C$6=H406),OR('US Dashboard'!$C$7="All",'US Dashboard'!$C$7=F406),OR('US Dashboard'!$C$8="All",'US Dashboard'!$C$8=AJ406))</f>
        <v/>
      </c>
      <c r="B406" s="148">
        <f>IF(A406,B405+1,B405)</f>
        <v/>
      </c>
      <c r="C406" s="148" t="n">
        <v>38</v>
      </c>
      <c r="D406" s="148" t="inlineStr">
        <is>
          <t>DC Satin Fitted</t>
        </is>
      </c>
      <c r="E406" s="148" t="inlineStr">
        <is>
          <t>CA</t>
        </is>
      </c>
      <c r="F406" s="148" t="inlineStr">
        <is>
          <t>Satin</t>
        </is>
      </c>
      <c r="G406" s="148" t="inlineStr">
        <is>
          <t>FLCA</t>
        </is>
      </c>
      <c r="H406" s="148" t="inlineStr">
        <is>
          <t>Untiered</t>
        </is>
      </c>
      <c r="I406" s="148" t="inlineStr">
        <is>
          <t>1 Piece Satin Fitted Sheet Only Classic Luxury Silky Soft Bed Sheets Solid Color (Grey, Fitted Sheet(Queen))</t>
        </is>
      </c>
      <c r="J406" s="148" t="inlineStr">
        <is>
          <t>https://m.media-amazon.com/images/I/61vzu4mSjhL.jpg</t>
        </is>
      </c>
      <c r="K406" s="148" t="inlineStr">
        <is>
          <t>B08KHV3CR8</t>
        </is>
      </c>
      <c r="L406" s="148" t="inlineStr">
        <is>
          <t>B08FCC1QFF</t>
        </is>
      </c>
      <c r="M406" s="148" t="n">
        <v>26</v>
      </c>
      <c r="N406" s="148" t="n">
        <v>27.55</v>
      </c>
      <c r="O406" s="148" t="n"/>
      <c r="P406" s="148">
        <f>IF(AND(ISNUMBER(O406),ISNUMBER(N406),N(N406)&gt;0),O406/N406-1,"")</f>
        <v/>
      </c>
      <c r="Q406" s="148" t="n">
        <v>23.95</v>
      </c>
      <c r="R406" s="148">
        <f>IF(AND(ISNUMBER(N406),ISNUMBER(Q406),N(Q406)&gt;0),N406/Q406-1,"")</f>
        <v/>
      </c>
      <c r="S406" s="148" t="n">
        <v>188692</v>
      </c>
      <c r="T406" s="148" t="n"/>
      <c r="U406" s="148" t="n">
        <v>4.3</v>
      </c>
      <c r="V406" s="148" t="n">
        <v>312</v>
      </c>
      <c r="W406" s="148" t="n"/>
      <c r="X406" s="148" t="n"/>
      <c r="Y406" s="148" t="n"/>
      <c r="Z406" s="148" t="n"/>
      <c r="AA406" s="148" t="n"/>
      <c r="AB406" s="148" t="n"/>
      <c r="AC406" s="148" t="inlineStr">
        <is>
          <t>CA DC Satin Fitted</t>
        </is>
      </c>
      <c r="AD406" s="148">
        <f>'CA DC Satin Fitted'!BF123</f>
        <v/>
      </c>
      <c r="AE406" s="148">
        <f>'CA DC Satin Fitted'!BI123</f>
        <v/>
      </c>
      <c r="AF406" s="148" t="inlineStr">
        <is>
          <t>Queen</t>
        </is>
      </c>
      <c r="AG406" s="148" t="inlineStr">
        <is>
          <t>Grey</t>
        </is>
      </c>
      <c r="AH406" s="148">
        <f>AND(E406="CA",OR('CA Dashboard'!$C$4="All",'CA Dashboard'!$C$4=D406),OR('CA Dashboard'!$C$5="All",'CA Dashboard'!$C$5=G406),OR('CA Dashboard'!$C$6="All",'CA Dashboard'!$C$6=H406),OR('CA Dashboard'!$C$7="All",'CA Dashboard'!$C$7=F406),OR('CA Dashboard'!$C$8="All",'CA Dashboard'!$C$8=AJ406))</f>
        <v/>
      </c>
      <c r="AI406" s="148">
        <f>IF(AH406,AI405+1,AI405)</f>
        <v/>
      </c>
      <c r="AJ406" s="148" t="inlineStr">
        <is>
          <t>Different product type</t>
        </is>
      </c>
      <c r="AK406" s="148" t="inlineStr">
        <is>
          <t>Sells a sheet set; ours is a fitted sheet.</t>
        </is>
      </c>
    </row>
    <row r="407">
      <c r="A407" s="148">
        <f>AND(E407="US",OR('US Dashboard'!$C$4="All",'US Dashboard'!$C$4=D407),OR('US Dashboard'!$C$5="All",'US Dashboard'!$C$5=G407),OR('US Dashboard'!$C$6="All",'US Dashboard'!$C$6=H407),OR('US Dashboard'!$C$7="All",'US Dashboard'!$C$7=F407),OR('US Dashboard'!$C$8="All",'US Dashboard'!$C$8=AJ407))</f>
        <v/>
      </c>
      <c r="B407" s="148">
        <f>IF(A407,B406+1,B406)</f>
        <v/>
      </c>
      <c r="C407" s="148" t="n">
        <v>38</v>
      </c>
      <c r="D407" s="148" t="inlineStr">
        <is>
          <t>DC Satin Fitted</t>
        </is>
      </c>
      <c r="E407" s="148" t="inlineStr">
        <is>
          <t>CA</t>
        </is>
      </c>
      <c r="F407" s="148" t="inlineStr">
        <is>
          <t>Satin</t>
        </is>
      </c>
      <c r="G407" s="148" t="inlineStr">
        <is>
          <t>YASMENG</t>
        </is>
      </c>
      <c r="H407" s="148" t="inlineStr">
        <is>
          <t>Untiered</t>
        </is>
      </c>
      <c r="I407" s="148" t="inlineStr">
        <is>
          <t>Wine Red Queen Satin Fitted Sheets Only with 14" Elastic Deep Pocket</t>
        </is>
      </c>
      <c r="J407" s="148" t="inlineStr">
        <is>
          <t>https://m.media-amazon.com/images/I/71gp4XZlwCL.jpg</t>
        </is>
      </c>
      <c r="K407" s="148" t="inlineStr">
        <is>
          <t>B0CPRZL17M</t>
        </is>
      </c>
      <c r="L407" s="148" t="inlineStr">
        <is>
          <t>B0CPSG8X6G</t>
        </is>
      </c>
      <c r="M407" s="148" t="n">
        <v>32</v>
      </c>
      <c r="N407" s="148" t="n">
        <v>29.99</v>
      </c>
      <c r="O407" s="148" t="n"/>
      <c r="P407" s="148">
        <f>IF(AND(ISNUMBER(O407),ISNUMBER(N407),N(N407)&gt;0),O407/N407-1,"")</f>
        <v/>
      </c>
      <c r="Q407" s="148" t="n">
        <v>23.95</v>
      </c>
      <c r="R407" s="148">
        <f>IF(AND(ISNUMBER(N407),ISNUMBER(Q407),N(Q407)&gt;0),N407/Q407-1,"")</f>
        <v/>
      </c>
      <c r="S407" s="148" t="n">
        <v>18907</v>
      </c>
      <c r="T407" s="148" t="n"/>
      <c r="U407" s="148" t="n">
        <v>4.1</v>
      </c>
      <c r="V407" s="148" t="n">
        <v>153</v>
      </c>
      <c r="W407" s="148" t="n"/>
      <c r="X407" s="148" t="n"/>
      <c r="Y407" s="148" t="n"/>
      <c r="Z407" s="148" t="n"/>
      <c r="AA407" s="148" t="n"/>
      <c r="AB407" s="148" t="n"/>
      <c r="AC407" s="148" t="inlineStr">
        <is>
          <t>CA DC Satin Fitted</t>
        </is>
      </c>
      <c r="AD407" s="148">
        <f>'CA DC Satin Fitted'!BF124</f>
        <v/>
      </c>
      <c r="AE407" s="148">
        <f>'CA DC Satin Fitted'!BI124</f>
        <v/>
      </c>
      <c r="AF407" s="148" t="inlineStr">
        <is>
          <t>Queen</t>
        </is>
      </c>
      <c r="AG407" s="148" t="inlineStr">
        <is>
          <t>Burgundy</t>
        </is>
      </c>
      <c r="AH407" s="148">
        <f>AND(E407="CA",OR('CA Dashboard'!$C$4="All",'CA Dashboard'!$C$4=D407),OR('CA Dashboard'!$C$5="All",'CA Dashboard'!$C$5=G407),OR('CA Dashboard'!$C$6="All",'CA Dashboard'!$C$6=H407),OR('CA Dashboard'!$C$7="All",'CA Dashboard'!$C$7=F407),OR('CA Dashboard'!$C$8="All",'CA Dashboard'!$C$8=AJ407))</f>
        <v/>
      </c>
      <c r="AI407" s="148">
        <f>IF(AH407,AI406+1,AI406)</f>
        <v/>
      </c>
      <c r="AJ407" s="148" t="inlineStr">
        <is>
          <t>Different product type</t>
        </is>
      </c>
      <c r="AK407" s="148" t="inlineStr">
        <is>
          <t>Sells a sheet set; ours is a fitted sheet.</t>
        </is>
      </c>
    </row>
    <row r="408">
      <c r="A408" s="148">
        <f>AND(E408="US",OR('US Dashboard'!$C$4="All",'US Dashboard'!$C$4=D408),OR('US Dashboard'!$C$5="All",'US Dashboard'!$C$5=G408),OR('US Dashboard'!$C$6="All",'US Dashboard'!$C$6=H408),OR('US Dashboard'!$C$7="All",'US Dashboard'!$C$7=F408),OR('US Dashboard'!$C$8="All",'US Dashboard'!$C$8=AJ408))</f>
        <v/>
      </c>
      <c r="B408" s="148">
        <f>IF(A408,B407+1,B407)</f>
        <v/>
      </c>
      <c r="C408" s="148" t="n">
        <v>55</v>
      </c>
      <c r="D408" s="148" t="inlineStr">
        <is>
          <t>DC Silk Pillowcase</t>
        </is>
      </c>
      <c r="E408" s="148" t="inlineStr">
        <is>
          <t>US</t>
        </is>
      </c>
      <c r="F408" s="148" t="inlineStr">
        <is>
          <t>Silk</t>
        </is>
      </c>
      <c r="G408" s="148" t="inlineStr">
        <is>
          <t>INFIIXSO</t>
        </is>
      </c>
      <c r="H408" s="148" t="inlineStr">
        <is>
          <t>Aspirational</t>
        </is>
      </c>
      <c r="I408" s="148" t="inlineStr">
        <is>
          <t>Blissy Silk Pillowcase - 100% Pure Mulberry Silk - 22 Momme 6A High-Grade Fibers - Silk Pillow Cover for Hair &amp; Skin - Regular, Queen &amp; King (Blissy White, Standard)</t>
        </is>
      </c>
      <c r="J408" s="148" t="inlineStr">
        <is>
          <t>https://images-na.ssl-images-amazon.com/images/I/51Tn3ZSyhlL.jpg</t>
        </is>
      </c>
      <c r="K408" s="148" t="inlineStr">
        <is>
          <t>B0D9FCH7Q5</t>
        </is>
      </c>
      <c r="L408" s="148" t="inlineStr">
        <is>
          <t>B0BBSSRNHM</t>
        </is>
      </c>
      <c r="M408" s="148" t="n">
        <v>67</v>
      </c>
      <c r="N408" s="148" t="n">
        <v>57.98</v>
      </c>
      <c r="O408" s="148" t="n"/>
      <c r="P408" s="148">
        <f>IF(AND(ISNUMBER(O408),ISNUMBER(N408),N(N408)&gt;0),O408/N408-1,"")</f>
        <v/>
      </c>
      <c r="Q408" s="148" t="n">
        <v>49.95</v>
      </c>
      <c r="R408" s="148">
        <f>IF(AND(ISNUMBER(N408),ISNUMBER(Q408),N(Q408)&gt;0),N408/Q408-1,"")</f>
        <v/>
      </c>
      <c r="S408" s="148" t="n">
        <v>346</v>
      </c>
      <c r="T408" s="148" t="n">
        <v>1732</v>
      </c>
      <c r="U408" s="148" t="n">
        <v>4.5</v>
      </c>
      <c r="V408" s="148" t="n">
        <v>10441</v>
      </c>
      <c r="W408" s="148" t="n">
        <v>772937</v>
      </c>
      <c r="X408" s="148" t="n">
        <v>0.5177595494846295</v>
      </c>
      <c r="Y408" s="148" t="n">
        <v>11</v>
      </c>
      <c r="Z408" s="148" t="n">
        <v>243</v>
      </c>
      <c r="AA408" s="148" t="n">
        <v>682</v>
      </c>
      <c r="AB408" s="148" t="n">
        <v>1.447018931901667</v>
      </c>
      <c r="AC408" s="148" t="inlineStr">
        <is>
          <t>US DC Silk Pillowcase</t>
        </is>
      </c>
      <c r="AD408" s="148">
        <f>'US DC Silk Pillowcase'!BF61</f>
        <v/>
      </c>
      <c r="AE408" s="148">
        <f>'US DC Silk Pillowcase'!BI61</f>
        <v/>
      </c>
      <c r="AF408" s="148" t="inlineStr">
        <is>
          <t>Queen</t>
        </is>
      </c>
      <c r="AG408" s="148" t="inlineStr">
        <is>
          <t>Blissy White</t>
        </is>
      </c>
      <c r="AH408" s="148">
        <f>AND(E408="CA",OR('CA Dashboard'!$C$4="All",'CA Dashboard'!$C$4=D408),OR('CA Dashboard'!$C$5="All",'CA Dashboard'!$C$5=G408),OR('CA Dashboard'!$C$6="All",'CA Dashboard'!$C$6=H408),OR('CA Dashboard'!$C$7="All",'CA Dashboard'!$C$7=F408),OR('CA Dashboard'!$C$8="All",'CA Dashboard'!$C$8=AJ408))</f>
        <v/>
      </c>
      <c r="AI408" s="148">
        <f>IF(AH408,AI407+1,AI407)</f>
        <v/>
      </c>
      <c r="AJ408" s="148" t="inlineStr">
        <is>
          <t>Direct</t>
        </is>
      </c>
      <c r="AK408" s="148" t="inlineStr">
        <is>
          <t>Same product (pillowcase) in the same material family: Silk (title: Blissy Silk Pillowcase - 100% Pure Mulberry Silk - 22 Momme ); ours: our listing: mulberry silk.</t>
        </is>
      </c>
    </row>
    <row r="409">
      <c r="A409" s="148">
        <f>AND(E409="US",OR('US Dashboard'!$C$4="All",'US Dashboard'!$C$4=D409),OR('US Dashboard'!$C$5="All",'US Dashboard'!$C$5=G409),OR('US Dashboard'!$C$6="All",'US Dashboard'!$C$6=H409),OR('US Dashboard'!$C$7="All",'US Dashboard'!$C$7=F409),OR('US Dashboard'!$C$8="All",'US Dashboard'!$C$8=AJ409))</f>
        <v/>
      </c>
      <c r="B409" s="148">
        <f>IF(A409,B408+1,B408)</f>
        <v/>
      </c>
      <c r="C409" s="148" t="n">
        <v>55</v>
      </c>
      <c r="D409" s="148" t="inlineStr">
        <is>
          <t>DC Silk Pillowcase</t>
        </is>
      </c>
      <c r="E409" s="148" t="inlineStr">
        <is>
          <t>US</t>
        </is>
      </c>
      <c r="F409" s="148" t="inlineStr">
        <is>
          <t>Silk</t>
        </is>
      </c>
      <c r="G409" s="148" t="inlineStr">
        <is>
          <t>ZIMASILK</t>
        </is>
      </c>
      <c r="H409" s="148" t="inlineStr">
        <is>
          <t>Aspirational</t>
        </is>
      </c>
      <c r="I409" s="148" t="inlineStr">
        <is>
          <t>ZIMASILK 100% Pure Mulberry Silk Pillow Cases for Hair and Skin, Soft, Hypoallergenic &amp; Smooth, Both Sides Grade 6A Silk, with Hidden Zipper, Gift for Women Men, 1pc (Queen 20''x30'', Taupe)</t>
        </is>
      </c>
      <c r="J409" s="148" t="inlineStr">
        <is>
          <t>https://images-na.ssl-images-amazon.com/images/I/61h02IUI3OL.jpg</t>
        </is>
      </c>
      <c r="K409" s="148" t="inlineStr">
        <is>
          <t>B01LVZC25I</t>
        </is>
      </c>
      <c r="L409" s="148" t="inlineStr">
        <is>
          <t>B01LVU7THF</t>
        </is>
      </c>
      <c r="M409" s="148" t="n">
        <v>115</v>
      </c>
      <c r="N409" s="148" t="n">
        <v>23.91</v>
      </c>
      <c r="O409" s="148" t="n">
        <v>25.99</v>
      </c>
      <c r="P409" s="148">
        <f>IF(AND(ISNUMBER(O409),ISNUMBER(N409),N(N409)&gt;0),O409/N409-1,"")</f>
        <v/>
      </c>
      <c r="Q409" s="148" t="n">
        <v>49.95</v>
      </c>
      <c r="R409" s="148">
        <f>IF(AND(ISNUMBER(N409),ISNUMBER(Q409),N(Q409)&gt;0),N409/Q409-1,"")</f>
        <v/>
      </c>
      <c r="S409" s="148" t="n">
        <v>532</v>
      </c>
      <c r="T409" s="148" t="n">
        <v>809</v>
      </c>
      <c r="U409" s="148" t="n">
        <v>4.6</v>
      </c>
      <c r="V409" s="148" t="n">
        <v>52198</v>
      </c>
      <c r="W409" s="148" t="n">
        <v>576174</v>
      </c>
      <c r="X409" s="148" t="n">
        <v>0.6856568015911867</v>
      </c>
      <c r="Y409" s="148" t="n">
        <v>12</v>
      </c>
      <c r="Z409" s="148" t="n">
        <v>245</v>
      </c>
      <c r="AA409" s="148" t="n">
        <v>504</v>
      </c>
      <c r="AB409" s="148" t="n">
        <v>0.9883495145631068</v>
      </c>
      <c r="AC409" s="148" t="inlineStr">
        <is>
          <t>US DC Silk Pillowcase</t>
        </is>
      </c>
      <c r="AD409" s="148">
        <f>'US DC Silk Pillowcase'!BF62</f>
        <v/>
      </c>
      <c r="AE409" s="148">
        <f>'US DC Silk Pillowcase'!BI62</f>
        <v/>
      </c>
      <c r="AF409" s="148" t="inlineStr">
        <is>
          <t>Queen</t>
        </is>
      </c>
      <c r="AG409" s="148" t="inlineStr">
        <is>
          <t>Taupe</t>
        </is>
      </c>
      <c r="AH409" s="148">
        <f>AND(E409="CA",OR('CA Dashboard'!$C$4="All",'CA Dashboard'!$C$4=D409),OR('CA Dashboard'!$C$5="All",'CA Dashboard'!$C$5=G409),OR('CA Dashboard'!$C$6="All",'CA Dashboard'!$C$6=H409),OR('CA Dashboard'!$C$7="All",'CA Dashboard'!$C$7=F409),OR('CA Dashboard'!$C$8="All",'CA Dashboard'!$C$8=AJ409))</f>
        <v/>
      </c>
      <c r="AI409" s="148">
        <f>IF(AH409,AI408+1,AI408)</f>
        <v/>
      </c>
      <c r="AJ409" s="148" t="inlineStr">
        <is>
          <t>Direct</t>
        </is>
      </c>
      <c r="AK409" s="148" t="inlineStr">
        <is>
          <t>Same product (pillowcase) in the same material family: Silk (title: ZIMASILK 100% Pure Mulberry Silk Pillow Cases for Hair and S); ours: our listing: mulberry silk.</t>
        </is>
      </c>
    </row>
    <row r="410">
      <c r="A410" s="148">
        <f>AND(E410="US",OR('US Dashboard'!$C$4="All",'US Dashboard'!$C$4=D410),OR('US Dashboard'!$C$5="All",'US Dashboard'!$C$5=G410),OR('US Dashboard'!$C$6="All",'US Dashboard'!$C$6=H410),OR('US Dashboard'!$C$7="All",'US Dashboard'!$C$7=F410),OR('US Dashboard'!$C$8="All",'US Dashboard'!$C$8=AJ410))</f>
        <v/>
      </c>
      <c r="B410" s="148">
        <f>IF(A410,B409+1,B409)</f>
        <v/>
      </c>
      <c r="C410" s="148" t="n">
        <v>55</v>
      </c>
      <c r="D410" s="148" t="inlineStr">
        <is>
          <t>DC Silk Pillowcase</t>
        </is>
      </c>
      <c r="E410" s="148" t="inlineStr">
        <is>
          <t>US</t>
        </is>
      </c>
      <c r="F410" s="148" t="inlineStr">
        <is>
          <t>Silk</t>
        </is>
      </c>
      <c r="G410" s="148" t="inlineStr">
        <is>
          <t>PROMEED</t>
        </is>
      </c>
      <c r="H410" s="148" t="inlineStr">
        <is>
          <t>Aspirational</t>
        </is>
      </c>
      <c r="I410" s="148" t="inlineStr">
        <is>
          <t>Silk Pillowcase</t>
        </is>
      </c>
      <c r="J410" s="148" t="inlineStr">
        <is>
          <t>https://m.media-amazon.com/images/I/71NWYgxPC1L._AC_SL1500_.jpg</t>
        </is>
      </c>
      <c r="K410" s="148" t="inlineStr">
        <is>
          <t>B0HCMWNG9W</t>
        </is>
      </c>
      <c r="L410" s="148" t="inlineStr">
        <is>
          <t>B0B4RH938T</t>
        </is>
      </c>
      <c r="M410" s="148" t="n">
        <v>27</v>
      </c>
      <c r="N410" s="148" t="n">
        <v>24</v>
      </c>
      <c r="O410" s="148" t="n"/>
      <c r="P410" s="148">
        <f>IF(AND(ISNUMBER(O410),ISNUMBER(N410),N(N410)&gt;0),O410/N410-1,"")</f>
        <v/>
      </c>
      <c r="Q410" s="148" t="n">
        <v>50.20344827586207</v>
      </c>
      <c r="R410" s="148">
        <f>IF(AND(ISNUMBER(N410),ISNUMBER(Q410),N(Q410)&gt;0),N410/Q410-1,"")</f>
        <v/>
      </c>
      <c r="S410" s="148" t="n">
        <v>9074</v>
      </c>
      <c r="T410" s="148" t="n">
        <v>173</v>
      </c>
      <c r="U410" s="148" t="n">
        <v>4.5</v>
      </c>
      <c r="V410" s="148" t="n">
        <v>1973</v>
      </c>
      <c r="W410" s="148" t="n">
        <v>122186</v>
      </c>
      <c r="X410" s="148" t="n">
        <v>0.8164780989638751</v>
      </c>
      <c r="Y410" s="148" t="n">
        <v>30</v>
      </c>
      <c r="Z410" s="148" t="n">
        <v>191</v>
      </c>
      <c r="AA410" s="148" t="n">
        <v>163</v>
      </c>
      <c r="AB410" s="148" t="n">
        <v>1.176358798935766</v>
      </c>
      <c r="AC410" s="148" t="inlineStr">
        <is>
          <t>US DC Silk Pillowcase</t>
        </is>
      </c>
      <c r="AD410" s="148">
        <f>'US DC Silk Pillowcase'!BF63</f>
        <v/>
      </c>
      <c r="AE410" s="148">
        <f>'US DC Silk Pillowcase'!BI63</f>
        <v/>
      </c>
      <c r="AF410" s="148" t="inlineStr">
        <is>
          <t>Standard 20"x26"</t>
        </is>
      </c>
      <c r="AG410" s="148" t="inlineStr">
        <is>
          <t>Champagne</t>
        </is>
      </c>
      <c r="AH410" s="148">
        <f>AND(E410="CA",OR('CA Dashboard'!$C$4="All",'CA Dashboard'!$C$4=D410),OR('CA Dashboard'!$C$5="All",'CA Dashboard'!$C$5=G410),OR('CA Dashboard'!$C$6="All",'CA Dashboard'!$C$6=H410),OR('CA Dashboard'!$C$7="All",'CA Dashboard'!$C$7=F410),OR('CA Dashboard'!$C$8="All",'CA Dashboard'!$C$8=AJ410))</f>
        <v/>
      </c>
      <c r="AI410" s="148">
        <f>IF(AH410,AI409+1,AI409)</f>
        <v/>
      </c>
      <c r="AJ410" s="148" t="inlineStr">
        <is>
          <t>Direct</t>
        </is>
      </c>
      <c r="AK410" s="148" t="inlineStr">
        <is>
          <t>Same product (pillowcase) in the same material family: Silk (product page material: Silk); ours: our listing: mulberry silk.</t>
        </is>
      </c>
    </row>
    <row r="411">
      <c r="A411" s="148">
        <f>AND(E411="US",OR('US Dashboard'!$C$4="All",'US Dashboard'!$C$4=D411),OR('US Dashboard'!$C$5="All",'US Dashboard'!$C$5=G411),OR('US Dashboard'!$C$6="All",'US Dashboard'!$C$6=H411),OR('US Dashboard'!$C$7="All",'US Dashboard'!$C$7=F411),OR('US Dashboard'!$C$8="All",'US Dashboard'!$C$8=AJ411))</f>
        <v/>
      </c>
      <c r="B411" s="148">
        <f>IF(A411,B410+1,B410)</f>
        <v/>
      </c>
      <c r="C411" s="148" t="n">
        <v>55</v>
      </c>
      <c r="D411" s="148" t="inlineStr">
        <is>
          <t>DC Silk Pillowcase</t>
        </is>
      </c>
      <c r="E411" s="148" t="inlineStr">
        <is>
          <t>US</t>
        </is>
      </c>
      <c r="F411" s="148" t="inlineStr">
        <is>
          <t>Silk</t>
        </is>
      </c>
      <c r="G411" s="148" t="inlineStr">
        <is>
          <t>ALASKA BEAR</t>
        </is>
      </c>
      <c r="H411" s="148" t="inlineStr">
        <is>
          <t>Aspirational</t>
        </is>
      </c>
      <c r="I411" s="148" t="inlineStr">
        <is>
          <t>Silk Pillowcase</t>
        </is>
      </c>
      <c r="J411" s="148" t="inlineStr">
        <is>
          <t>https://m.media-amazon.com/images/I/51E9UkNnbML._AC_SL1500_.jpg</t>
        </is>
      </c>
      <c r="K411" s="148" t="inlineStr">
        <is>
          <t>B01KFPFUAE</t>
        </is>
      </c>
      <c r="L411" s="148" t="inlineStr">
        <is>
          <t>B00KDL108M</t>
        </is>
      </c>
      <c r="M411" s="148" t="n">
        <v>34</v>
      </c>
      <c r="N411" s="148" t="n">
        <v>25.99</v>
      </c>
      <c r="O411" s="148" t="n"/>
      <c r="P411" s="148">
        <f>IF(AND(ISNUMBER(O411),ISNUMBER(N411),N(N411)&gt;0),O411/N411-1,"")</f>
        <v/>
      </c>
      <c r="Q411" s="148" t="n">
        <v>49.95</v>
      </c>
      <c r="R411" s="148">
        <f>IF(AND(ISNUMBER(N411),ISNUMBER(Q411),N(Q411)&gt;0),N411/Q411-1,"")</f>
        <v/>
      </c>
      <c r="S411" s="148" t="n">
        <v>22910</v>
      </c>
      <c r="T411" s="148" t="n">
        <v>92</v>
      </c>
      <c r="U411" s="148" t="n">
        <v>4.5</v>
      </c>
      <c r="V411" s="148" t="n">
        <v>25340</v>
      </c>
      <c r="W411" s="148" t="n">
        <v>209497</v>
      </c>
      <c r="X411" s="148" t="n">
        <v>0.5683664338868817</v>
      </c>
      <c r="Y411" s="148" t="n">
        <v>27</v>
      </c>
      <c r="Z411" s="148" t="n">
        <v>207</v>
      </c>
      <c r="AA411" s="148" t="n">
        <v>388</v>
      </c>
      <c r="AB411" s="148" t="n">
        <v>0.3642691415313225</v>
      </c>
      <c r="AC411" s="148" t="inlineStr">
        <is>
          <t>US DC Silk Pillowcase</t>
        </is>
      </c>
      <c r="AD411" s="148">
        <f>'US DC Silk Pillowcase'!BF64</f>
        <v/>
      </c>
      <c r="AE411" s="148">
        <f>'US DC Silk Pillowcase'!BI64</f>
        <v/>
      </c>
      <c r="AF411" s="148" t="inlineStr">
        <is>
          <t>Queen 20''x30''</t>
        </is>
      </c>
      <c r="AG411" s="148" t="inlineStr">
        <is>
          <t>White Ivory</t>
        </is>
      </c>
      <c r="AH411" s="148">
        <f>AND(E411="CA",OR('CA Dashboard'!$C$4="All",'CA Dashboard'!$C$4=D411),OR('CA Dashboard'!$C$5="All",'CA Dashboard'!$C$5=G411),OR('CA Dashboard'!$C$6="All",'CA Dashboard'!$C$6=H411),OR('CA Dashboard'!$C$7="All",'CA Dashboard'!$C$7=F411),OR('CA Dashboard'!$C$8="All",'CA Dashboard'!$C$8=AJ411))</f>
        <v/>
      </c>
      <c r="AI411" s="148">
        <f>IF(AH411,AI410+1,AI410)</f>
        <v/>
      </c>
      <c r="AJ411" s="148" t="inlineStr">
        <is>
          <t>Direct</t>
        </is>
      </c>
      <c r="AK411" s="148" t="inlineStr">
        <is>
          <t>Same product (pillowcase) in the same material family: Silk (product page material: Silk); ours: our listing: mulberry silk.</t>
        </is>
      </c>
    </row>
    <row r="412">
      <c r="A412" s="148">
        <f>AND(E412="US",OR('US Dashboard'!$C$4="All",'US Dashboard'!$C$4=D412),OR('US Dashboard'!$C$5="All",'US Dashboard'!$C$5=G412),OR('US Dashboard'!$C$6="All",'US Dashboard'!$C$6=H412),OR('US Dashboard'!$C$7="All",'US Dashboard'!$C$7=F412),OR('US Dashboard'!$C$8="All",'US Dashboard'!$C$8=AJ412))</f>
        <v/>
      </c>
      <c r="B412" s="148">
        <f>IF(A412,B411+1,B411)</f>
        <v/>
      </c>
      <c r="C412" s="148" t="n">
        <v>55</v>
      </c>
      <c r="D412" s="148" t="inlineStr">
        <is>
          <t>DC Silk Pillowcase</t>
        </is>
      </c>
      <c r="E412" s="148" t="inlineStr">
        <is>
          <t>US</t>
        </is>
      </c>
      <c r="F412" s="148" t="inlineStr">
        <is>
          <t>Silk</t>
        </is>
      </c>
      <c r="G412" s="148" t="inlineStr">
        <is>
          <t>Fishers Finery</t>
        </is>
      </c>
      <c r="H412" s="148" t="inlineStr">
        <is>
          <t>Aspirational</t>
        </is>
      </c>
      <c r="I412" s="148" t="inlineStr">
        <is>
          <t>Silk Pillowcase</t>
        </is>
      </c>
      <c r="J412" s="148" t="inlineStr">
        <is>
          <t>https://m.media-amazon.com/images/I/51h6YPERApL._AC_SL1500_.jpg</t>
        </is>
      </c>
      <c r="K412" s="148" t="inlineStr">
        <is>
          <t>B0FKC1MD24</t>
        </is>
      </c>
      <c r="L412" s="148" t="inlineStr">
        <is>
          <t>B00FWZW55Q</t>
        </is>
      </c>
      <c r="M412" s="148" t="n">
        <v>38</v>
      </c>
      <c r="N412" s="148" t="n">
        <v>59.99</v>
      </c>
      <c r="O412" s="148" t="n"/>
      <c r="P412" s="148">
        <f>IF(AND(ISNUMBER(O412),ISNUMBER(N412),N(N412)&gt;0),O412/N412-1,"")</f>
        <v/>
      </c>
      <c r="Q412" s="148" t="n">
        <v>49.95</v>
      </c>
      <c r="R412" s="148">
        <f>IF(AND(ISNUMBER(N412),ISNUMBER(Q412),N(Q412)&gt;0),N412/Q412-1,"")</f>
        <v/>
      </c>
      <c r="S412" s="148" t="n">
        <v>11579</v>
      </c>
      <c r="T412" s="148" t="n">
        <v>92</v>
      </c>
      <c r="U412" s="148" t="n">
        <v>4.6</v>
      </c>
      <c r="V412" s="148" t="n">
        <v>9036</v>
      </c>
      <c r="W412" s="148" t="n">
        <v>220584</v>
      </c>
      <c r="X412" s="148" t="n">
        <v>0.4810484871976213</v>
      </c>
      <c r="Y412" s="148" t="n">
        <v>29</v>
      </c>
      <c r="Z412" s="148" t="n">
        <v>220</v>
      </c>
      <c r="AA412" s="148" t="n">
        <v>505</v>
      </c>
      <c r="AB412" s="148" t="n">
        <v>1.226145038167939</v>
      </c>
      <c r="AC412" s="148" t="inlineStr">
        <is>
          <t>US DC Silk Pillowcase</t>
        </is>
      </c>
      <c r="AD412" s="148">
        <f>'US DC Silk Pillowcase'!BF65</f>
        <v/>
      </c>
      <c r="AE412" s="148">
        <f>'US DC Silk Pillowcase'!BI65</f>
        <v/>
      </c>
      <c r="AF412" s="148" t="inlineStr">
        <is>
          <t>Queen (U.S. Standard)</t>
        </is>
      </c>
      <c r="AG412" s="148" t="inlineStr">
        <is>
          <t>Natural White (Undyed)</t>
        </is>
      </c>
      <c r="AH412" s="148">
        <f>AND(E412="CA",OR('CA Dashboard'!$C$4="All",'CA Dashboard'!$C$4=D412),OR('CA Dashboard'!$C$5="All",'CA Dashboard'!$C$5=G412),OR('CA Dashboard'!$C$6="All",'CA Dashboard'!$C$6=H412),OR('CA Dashboard'!$C$7="All",'CA Dashboard'!$C$7=F412),OR('CA Dashboard'!$C$8="All",'CA Dashboard'!$C$8=AJ412))</f>
        <v/>
      </c>
      <c r="AI412" s="148">
        <f>IF(AH412,AI411+1,AI411)</f>
        <v/>
      </c>
      <c r="AJ412" s="148" t="inlineStr">
        <is>
          <t>Direct</t>
        </is>
      </c>
      <c r="AK412" s="148" t="inlineStr">
        <is>
          <t>Same product (pillowcase) in the same material family: Silk (product page material: Silk); ours: our listing: mulberry silk.</t>
        </is>
      </c>
    </row>
    <row r="413">
      <c r="A413" s="148">
        <f>AND(E413="US",OR('US Dashboard'!$C$4="All",'US Dashboard'!$C$4=D413),OR('US Dashboard'!$C$5="All",'US Dashboard'!$C$5=G413),OR('US Dashboard'!$C$6="All",'US Dashboard'!$C$6=H413),OR('US Dashboard'!$C$7="All",'US Dashboard'!$C$7=F413),OR('US Dashboard'!$C$8="All",'US Dashboard'!$C$8=AJ413))</f>
        <v/>
      </c>
      <c r="B413" s="148">
        <f>IF(A413,B412+1,B412)</f>
        <v/>
      </c>
      <c r="C413" s="148" t="n">
        <v>55</v>
      </c>
      <c r="D413" s="148" t="inlineStr">
        <is>
          <t>DC Silk Pillowcase</t>
        </is>
      </c>
      <c r="E413" s="148" t="inlineStr">
        <is>
          <t>US</t>
        </is>
      </c>
      <c r="F413" s="148" t="inlineStr">
        <is>
          <t>Silk</t>
        </is>
      </c>
      <c r="G413" s="148" t="inlineStr">
        <is>
          <t>ZIMASILK</t>
        </is>
      </c>
      <c r="H413" s="148" t="inlineStr">
        <is>
          <t>Beatable</t>
        </is>
      </c>
      <c r="I413" s="148" t="inlineStr">
        <is>
          <t>Silk Pillowcase</t>
        </is>
      </c>
      <c r="J413" s="148" t="inlineStr">
        <is>
          <t>https://m.media-amazon.com/images/I/51+SWA0DvhL._AC_SL1500_.jpg</t>
        </is>
      </c>
      <c r="K413" s="148" t="inlineStr">
        <is>
          <t>B0GXDFM5TS</t>
        </is>
      </c>
      <c r="L413" s="148" t="inlineStr">
        <is>
          <t>B094XT94FC</t>
        </is>
      </c>
      <c r="M413" s="148" t="n">
        <v>15</v>
      </c>
      <c r="N413" s="148" t="n">
        <v>37.99</v>
      </c>
      <c r="O413" s="148" t="n"/>
      <c r="P413" s="148">
        <f>IF(AND(ISNUMBER(O413),ISNUMBER(N413),N(N413)&gt;0),O413/N413-1,"")</f>
        <v/>
      </c>
      <c r="Q413" s="148" t="n">
        <v>50.20344827586207</v>
      </c>
      <c r="R413" s="148">
        <f>IF(AND(ISNUMBER(N413),ISNUMBER(Q413),N(Q413)&gt;0),N413/Q413-1,"")</f>
        <v/>
      </c>
      <c r="S413" s="148" t="n">
        <v>44854</v>
      </c>
      <c r="T413" s="148" t="n">
        <v>81</v>
      </c>
      <c r="U413" s="148" t="n">
        <v>4.5</v>
      </c>
      <c r="V413" s="148" t="n">
        <v>672</v>
      </c>
      <c r="W413" s="148" t="n">
        <v>108891</v>
      </c>
      <c r="X413" s="148" t="n">
        <v>0.2928209181658722</v>
      </c>
      <c r="Y413" s="148" t="n">
        <v>28</v>
      </c>
      <c r="Z413" s="148" t="n">
        <v>200</v>
      </c>
      <c r="AA413" s="148" t="n">
        <v>222</v>
      </c>
      <c r="AB413" s="148" t="n">
        <v>1.234425176621708</v>
      </c>
      <c r="AC413" s="148" t="inlineStr">
        <is>
          <t>US DC Silk Pillowcase</t>
        </is>
      </c>
      <c r="AD413" s="148">
        <f>'US DC Silk Pillowcase'!BF66</f>
        <v/>
      </c>
      <c r="AE413" s="148">
        <f>'US DC Silk Pillowcase'!BI66</f>
        <v/>
      </c>
      <c r="AF413" s="148" t="inlineStr">
        <is>
          <t>Standard 20"x26"</t>
        </is>
      </c>
      <c r="AG413" s="148" t="inlineStr">
        <is>
          <t>Ivory</t>
        </is>
      </c>
      <c r="AH413" s="148">
        <f>AND(E413="CA",OR('CA Dashboard'!$C$4="All",'CA Dashboard'!$C$4=D413),OR('CA Dashboard'!$C$5="All",'CA Dashboard'!$C$5=G413),OR('CA Dashboard'!$C$6="All",'CA Dashboard'!$C$6=H413),OR('CA Dashboard'!$C$7="All",'CA Dashboard'!$C$7=F413),OR('CA Dashboard'!$C$8="All",'CA Dashboard'!$C$8=AJ413))</f>
        <v/>
      </c>
      <c r="AI413" s="148">
        <f>IF(AH413,AI412+1,AI412)</f>
        <v/>
      </c>
      <c r="AJ413" s="148" t="inlineStr">
        <is>
          <t>Direct</t>
        </is>
      </c>
      <c r="AK413" s="148" t="inlineStr">
        <is>
          <t>Same product (pillowcase) in the same material family: Silk (product page material: Both Sides 100% 22 Momme 6a Mulberry Silk); ours: our listing: mulberry silk.</t>
        </is>
      </c>
    </row>
    <row r="414">
      <c r="A414" s="148">
        <f>AND(E414="US",OR('US Dashboard'!$C$4="All",'US Dashboard'!$C$4=D414),OR('US Dashboard'!$C$5="All",'US Dashboard'!$C$5=G414),OR('US Dashboard'!$C$6="All",'US Dashboard'!$C$6=H414),OR('US Dashboard'!$C$7="All",'US Dashboard'!$C$7=F414),OR('US Dashboard'!$C$8="All",'US Dashboard'!$C$8=AJ414))</f>
        <v/>
      </c>
      <c r="B414" s="148">
        <f>IF(A414,B413+1,B413)</f>
        <v/>
      </c>
      <c r="C414" s="148" t="n">
        <v>55</v>
      </c>
      <c r="D414" s="148" t="inlineStr">
        <is>
          <t>DC Silk Pillowcase</t>
        </is>
      </c>
      <c r="E414" s="148" t="inlineStr">
        <is>
          <t>US</t>
        </is>
      </c>
      <c r="F414" s="148" t="inlineStr">
        <is>
          <t>Silk</t>
        </is>
      </c>
      <c r="G414" s="148" t="inlineStr">
        <is>
          <t>ZIMASILK</t>
        </is>
      </c>
      <c r="H414" s="148" t="inlineStr">
        <is>
          <t>Beatable</t>
        </is>
      </c>
      <c r="I414" s="148" t="inlineStr">
        <is>
          <t>Silk Pillowcase</t>
        </is>
      </c>
      <c r="J414" s="148" t="inlineStr">
        <is>
          <t>https://m.media-amazon.com/images/I/6183+Piu-cL._AC_SL1500_.jpg</t>
        </is>
      </c>
      <c r="K414" s="148" t="inlineStr">
        <is>
          <t>B09ZRJBNY5</t>
        </is>
      </c>
      <c r="L414" s="148" t="inlineStr">
        <is>
          <t>B09NVRZBDJ</t>
        </is>
      </c>
      <c r="M414" s="148" t="n">
        <v>18</v>
      </c>
      <c r="N414" s="148" t="n">
        <v>23.39</v>
      </c>
      <c r="O414" s="148" t="n">
        <v>24.69</v>
      </c>
      <c r="P414" s="148">
        <f>IF(AND(ISNUMBER(O414),ISNUMBER(N414),N(N414)&gt;0),O414/N414-1,"")</f>
        <v/>
      </c>
      <c r="Q414" s="148" t="n">
        <v>50.20344827586207</v>
      </c>
      <c r="R414" s="148">
        <f>IF(AND(ISNUMBER(N414),ISNUMBER(Q414),N(Q414)&gt;0),N414/Q414-1,"")</f>
        <v/>
      </c>
      <c r="S414" s="148" t="n">
        <v>62692</v>
      </c>
      <c r="T414" s="148" t="n">
        <v>81</v>
      </c>
      <c r="U414" s="148" t="n">
        <v>4.5</v>
      </c>
      <c r="V414" s="148" t="n">
        <v>1208</v>
      </c>
      <c r="W414" s="148" t="n">
        <v>66424</v>
      </c>
      <c r="X414" s="148" t="n">
        <v>0.920330772010117</v>
      </c>
      <c r="Y414" s="148" t="n">
        <v>75</v>
      </c>
      <c r="Z414" s="148" t="n">
        <v>144</v>
      </c>
      <c r="AA414" s="148" t="n">
        <v>106</v>
      </c>
      <c r="AB414" s="148" t="n">
        <v>0.9147217235188509</v>
      </c>
      <c r="AC414" s="148" t="inlineStr">
        <is>
          <t>US DC Silk Pillowcase</t>
        </is>
      </c>
      <c r="AD414" s="148">
        <f>'US DC Silk Pillowcase'!BF67</f>
        <v/>
      </c>
      <c r="AE414" s="148">
        <f>'US DC Silk Pillowcase'!BI67</f>
        <v/>
      </c>
      <c r="AF414" s="148" t="inlineStr">
        <is>
          <t>Standard 20"x26"</t>
        </is>
      </c>
      <c r="AG414" s="148" t="inlineStr">
        <is>
          <t>Grey</t>
        </is>
      </c>
      <c r="AH414" s="148">
        <f>AND(E414="CA",OR('CA Dashboard'!$C$4="All",'CA Dashboard'!$C$4=D414),OR('CA Dashboard'!$C$5="All",'CA Dashboard'!$C$5=G414),OR('CA Dashboard'!$C$6="All",'CA Dashboard'!$C$6=H414),OR('CA Dashboard'!$C$7="All",'CA Dashboard'!$C$7=F414),OR('CA Dashboard'!$C$8="All",'CA Dashboard'!$C$8=AJ414))</f>
        <v/>
      </c>
      <c r="AI414" s="148">
        <f>IF(AH414,AI413+1,AI413)</f>
        <v/>
      </c>
      <c r="AJ414" s="148" t="inlineStr">
        <is>
          <t>Direct</t>
        </is>
      </c>
      <c r="AK414" s="148" t="inlineStr">
        <is>
          <t>Same product (pillowcase) in the same material family: Silk (product page material: Silk); ours: our listing: mulberry silk.</t>
        </is>
      </c>
    </row>
    <row r="415">
      <c r="A415" s="148">
        <f>AND(E415="US",OR('US Dashboard'!$C$4="All",'US Dashboard'!$C$4=D415),OR('US Dashboard'!$C$5="All",'US Dashboard'!$C$5=G415),OR('US Dashboard'!$C$6="All",'US Dashboard'!$C$6=H415),OR('US Dashboard'!$C$7="All",'US Dashboard'!$C$7=F415),OR('US Dashboard'!$C$8="All",'US Dashboard'!$C$8=AJ415))</f>
        <v/>
      </c>
      <c r="B415" s="148">
        <f>IF(A415,B414+1,B414)</f>
        <v/>
      </c>
      <c r="C415" s="148" t="n">
        <v>55</v>
      </c>
      <c r="D415" s="148" t="inlineStr">
        <is>
          <t>DC Silk Pillowcase</t>
        </is>
      </c>
      <c r="E415" s="148" t="inlineStr">
        <is>
          <t>US</t>
        </is>
      </c>
      <c r="F415" s="148" t="inlineStr">
        <is>
          <t>Silk</t>
        </is>
      </c>
      <c r="G415" s="148" t="inlineStr">
        <is>
          <t>Colorado Home Co</t>
        </is>
      </c>
      <c r="H415" s="148" t="inlineStr">
        <is>
          <t>Beatable</t>
        </is>
      </c>
      <c r="I415" s="148" t="inlineStr">
        <is>
          <t>Silk Pillowcase</t>
        </is>
      </c>
      <c r="J415" s="148" t="inlineStr">
        <is>
          <t>https://m.media-amazon.com/images/I/71e-Li03I4L._AC_SL1500_.jpg</t>
        </is>
      </c>
      <c r="K415" s="148" t="inlineStr">
        <is>
          <t>B0CTCZGGHP</t>
        </is>
      </c>
      <c r="L415" s="148" t="inlineStr">
        <is>
          <t>B081CTM1T8</t>
        </is>
      </c>
      <c r="M415" s="148" t="n">
        <v>32</v>
      </c>
      <c r="N415" s="148" t="n">
        <v>45.99</v>
      </c>
      <c r="O415" s="148" t="n"/>
      <c r="P415" s="148">
        <f>IF(AND(ISNUMBER(O415),ISNUMBER(N415),N(N415)&gt;0),O415/N415-1,"")</f>
        <v/>
      </c>
      <c r="Q415" s="148" t="n">
        <v>50.20344827586207</v>
      </c>
      <c r="R415" s="148">
        <f>IF(AND(ISNUMBER(N415),ISNUMBER(Q415),N(Q415)&gt;0),N415/Q415-1,"")</f>
        <v/>
      </c>
      <c r="S415" s="148" t="n">
        <v>55124</v>
      </c>
      <c r="T415" s="148" t="n">
        <v>18</v>
      </c>
      <c r="U415" s="148" t="n">
        <v>4.6</v>
      </c>
      <c r="V415" s="148" t="n">
        <v>1971</v>
      </c>
      <c r="W415" s="148" t="n">
        <v>119892</v>
      </c>
      <c r="X415" s="148" t="n">
        <v>0.4231184574450338</v>
      </c>
      <c r="Y415" s="148" t="n">
        <v>45</v>
      </c>
      <c r="Z415" s="148" t="n">
        <v>160</v>
      </c>
      <c r="AA415" s="148" t="n">
        <v>88</v>
      </c>
      <c r="AB415" s="148" t="n"/>
      <c r="AC415" s="148" t="inlineStr">
        <is>
          <t>US DC Silk Pillowcase</t>
        </is>
      </c>
      <c r="AD415" s="148">
        <f>'US DC Silk Pillowcase'!BF68</f>
        <v/>
      </c>
      <c r="AE415" s="148">
        <f>'US DC Silk Pillowcase'!BI68</f>
        <v/>
      </c>
      <c r="AF415" s="148" t="inlineStr">
        <is>
          <t>1 Pack Queen Pillowcase (20" x 30")</t>
        </is>
      </c>
      <c r="AG415" s="148" t="inlineStr">
        <is>
          <t>Off White</t>
        </is>
      </c>
      <c r="AH415" s="148">
        <f>AND(E415="CA",OR('CA Dashboard'!$C$4="All",'CA Dashboard'!$C$4=D415),OR('CA Dashboard'!$C$5="All",'CA Dashboard'!$C$5=G415),OR('CA Dashboard'!$C$6="All",'CA Dashboard'!$C$6=H415),OR('CA Dashboard'!$C$7="All",'CA Dashboard'!$C$7=F415),OR('CA Dashboard'!$C$8="All",'CA Dashboard'!$C$8=AJ415))</f>
        <v/>
      </c>
      <c r="AI415" s="148">
        <f>IF(AH415,AI414+1,AI414)</f>
        <v/>
      </c>
      <c r="AJ415" s="148" t="inlineStr">
        <is>
          <t>Direct</t>
        </is>
      </c>
      <c r="AK415" s="148" t="inlineStr">
        <is>
          <t>Same product (pillowcase) in the same material family: Silk (product page material: Silk); ours: our listing: mulberry silk.</t>
        </is>
      </c>
    </row>
    <row r="416">
      <c r="A416" s="148">
        <f>AND(E416="US",OR('US Dashboard'!$C$4="All",'US Dashboard'!$C$4=D416),OR('US Dashboard'!$C$5="All",'US Dashboard'!$C$5=G416),OR('US Dashboard'!$C$6="All",'US Dashboard'!$C$6=H416),OR('US Dashboard'!$C$7="All",'US Dashboard'!$C$7=F416),OR('US Dashboard'!$C$8="All",'US Dashboard'!$C$8=AJ416))</f>
        <v/>
      </c>
      <c r="B416" s="148">
        <f>IF(A416,B415+1,B415)</f>
        <v/>
      </c>
      <c r="C416" s="148" t="n">
        <v>55</v>
      </c>
      <c r="D416" s="148" t="inlineStr">
        <is>
          <t>DC Silk Pillowcase</t>
        </is>
      </c>
      <c r="E416" s="148" t="inlineStr">
        <is>
          <t>US</t>
        </is>
      </c>
      <c r="F416" s="148" t="inlineStr">
        <is>
          <t>Silk</t>
        </is>
      </c>
      <c r="G416" s="148" t="inlineStr">
        <is>
          <t>Fishers Finery</t>
        </is>
      </c>
      <c r="H416" s="148" t="inlineStr">
        <is>
          <t>Beatable</t>
        </is>
      </c>
      <c r="I416" s="148" t="inlineStr">
        <is>
          <t>Silk Pillowcase</t>
        </is>
      </c>
      <c r="J416" s="148" t="inlineStr">
        <is>
          <t>https://m.media-amazon.com/images/I/615FbOB3UDL._AC_SL1500_.jpg</t>
        </is>
      </c>
      <c r="K416" s="148" t="inlineStr">
        <is>
          <t>B01MQIYMW3</t>
        </is>
      </c>
      <c r="L416" s="148" t="inlineStr">
        <is>
          <t>B01M1CKVJU</t>
        </is>
      </c>
      <c r="M416" s="148" t="n">
        <v>20</v>
      </c>
      <c r="N416" s="148" t="n">
        <v>81.98999999999999</v>
      </c>
      <c r="O416" s="148" t="n"/>
      <c r="P416" s="148">
        <f>IF(AND(ISNUMBER(O416),ISNUMBER(N416),N(N416)&gt;0),O416/N416-1,"")</f>
        <v/>
      </c>
      <c r="Q416" s="148" t="n">
        <v>54.95</v>
      </c>
      <c r="R416" s="148">
        <f>IF(AND(ISNUMBER(N416),ISNUMBER(Q416),N(Q416)&gt;0),N416/Q416-1,"")</f>
        <v/>
      </c>
      <c r="S416" s="148" t="n">
        <v>55705</v>
      </c>
      <c r="T416" s="148" t="n">
        <v>18</v>
      </c>
      <c r="U416" s="148" t="n">
        <v>4.6</v>
      </c>
      <c r="V416" s="148" t="n">
        <v>2700</v>
      </c>
      <c r="W416" s="148" t="n">
        <v>102684</v>
      </c>
      <c r="X416" s="148" t="n">
        <v>0.6705437400179186</v>
      </c>
      <c r="Y416" s="148" t="n">
        <v>55</v>
      </c>
      <c r="Z416" s="148" t="n">
        <v>178</v>
      </c>
      <c r="AA416" s="148" t="n">
        <v>325</v>
      </c>
      <c r="AB416" s="148" t="n"/>
      <c r="AC416" s="148" t="inlineStr">
        <is>
          <t>US DC Silk Pillowcase</t>
        </is>
      </c>
      <c r="AD416" s="148">
        <f>'US DC Silk Pillowcase'!BF69</f>
        <v/>
      </c>
      <c r="AE416" s="148">
        <f>'US DC Silk Pillowcase'!BI69</f>
        <v/>
      </c>
      <c r="AF416" s="148" t="inlineStr">
        <is>
          <t>King - Set of 1</t>
        </is>
      </c>
      <c r="AG416" s="148" t="inlineStr">
        <is>
          <t>Natural White (Undyed)</t>
        </is>
      </c>
      <c r="AH416" s="148">
        <f>AND(E416="CA",OR('CA Dashboard'!$C$4="All",'CA Dashboard'!$C$4=D416),OR('CA Dashboard'!$C$5="All",'CA Dashboard'!$C$5=G416),OR('CA Dashboard'!$C$6="All",'CA Dashboard'!$C$6=H416),OR('CA Dashboard'!$C$7="All",'CA Dashboard'!$C$7=F416),OR('CA Dashboard'!$C$8="All",'CA Dashboard'!$C$8=AJ416))</f>
        <v/>
      </c>
      <c r="AI416" s="148">
        <f>IF(AH416,AI415+1,AI415)</f>
        <v/>
      </c>
      <c r="AJ416" s="148" t="inlineStr">
        <is>
          <t>Direct</t>
        </is>
      </c>
      <c r="AK416" s="148" t="inlineStr">
        <is>
          <t>Same product (pillowcase) in the same material family: Silk (product page material: Silk); ours: our listing: mulberry silk.</t>
        </is>
      </c>
    </row>
    <row r="417">
      <c r="A417" s="148">
        <f>AND(E417="US",OR('US Dashboard'!$C$4="All",'US Dashboard'!$C$4=D417),OR('US Dashboard'!$C$5="All",'US Dashboard'!$C$5=G417),OR('US Dashboard'!$C$6="All",'US Dashboard'!$C$6=H417),OR('US Dashboard'!$C$7="All",'US Dashboard'!$C$7=F417),OR('US Dashboard'!$C$8="All",'US Dashboard'!$C$8=AJ417))</f>
        <v/>
      </c>
      <c r="B417" s="148">
        <f>IF(A417,B416+1,B416)</f>
        <v/>
      </c>
      <c r="C417" s="148" t="n">
        <v>55</v>
      </c>
      <c r="D417" s="148" t="inlineStr">
        <is>
          <t>DC Silk Pillowcase</t>
        </is>
      </c>
      <c r="E417" s="148" t="inlineStr">
        <is>
          <t>US</t>
        </is>
      </c>
      <c r="F417" s="148" t="inlineStr">
        <is>
          <t>Silk</t>
        </is>
      </c>
      <c r="G417" s="148" t="inlineStr">
        <is>
          <t>ROSEWARD</t>
        </is>
      </c>
      <c r="H417" s="148" t="inlineStr">
        <is>
          <t>Beatable</t>
        </is>
      </c>
      <c r="I417" s="148" t="inlineStr">
        <is>
          <t>Silk Pillowcase</t>
        </is>
      </c>
      <c r="J417" s="148" t="inlineStr">
        <is>
          <t>https://m.media-amazon.com/images/I/61Z9zrJhmmL._AC_SL1295_.jpg</t>
        </is>
      </c>
      <c r="K417" s="148" t="inlineStr">
        <is>
          <t>B0BXBPNMVW</t>
        </is>
      </c>
      <c r="L417" s="148" t="inlineStr">
        <is>
          <t>B0BXBN7JMP</t>
        </is>
      </c>
      <c r="M417" s="148" t="n">
        <v>26</v>
      </c>
      <c r="N417" s="148" t="n">
        <v>39.99</v>
      </c>
      <c r="O417" s="148" t="n"/>
      <c r="P417" s="148">
        <f>IF(AND(ISNUMBER(O417),ISNUMBER(N417),N(N417)&gt;0),O417/N417-1,"")</f>
        <v/>
      </c>
      <c r="Q417" s="148" t="n">
        <v>49.95</v>
      </c>
      <c r="R417" s="148">
        <f>IF(AND(ISNUMBER(N417),ISNUMBER(Q417),N(Q417)&gt;0),N417/Q417-1,"")</f>
        <v/>
      </c>
      <c r="S417" s="148" t="n">
        <v>28579</v>
      </c>
      <c r="T417" s="148" t="n">
        <v>18</v>
      </c>
      <c r="U417" s="148" t="n">
        <v>4.4</v>
      </c>
      <c r="V417" s="148" t="n">
        <v>1035</v>
      </c>
      <c r="W417" s="148" t="n">
        <v>58241</v>
      </c>
      <c r="X417" s="148" t="n">
        <v>0.3698189849075394</v>
      </c>
      <c r="Y417" s="148" t="n">
        <v>71</v>
      </c>
      <c r="Z417" s="148" t="n">
        <v>128</v>
      </c>
      <c r="AA417" s="148" t="n">
        <v>100</v>
      </c>
      <c r="AB417" s="148" t="n">
        <v>1.153762268266085</v>
      </c>
      <c r="AC417" s="148" t="inlineStr">
        <is>
          <t>US DC Silk Pillowcase</t>
        </is>
      </c>
      <c r="AD417" s="148">
        <f>'US DC Silk Pillowcase'!BF70</f>
        <v/>
      </c>
      <c r="AE417" s="148">
        <f>'US DC Silk Pillowcase'!BI70</f>
        <v/>
      </c>
      <c r="AF417" s="148" t="inlineStr">
        <is>
          <t>Queen</t>
        </is>
      </c>
      <c r="AG417" s="148" t="inlineStr">
        <is>
          <t>Blue Grey</t>
        </is>
      </c>
      <c r="AH417" s="148">
        <f>AND(E417="CA",OR('CA Dashboard'!$C$4="All",'CA Dashboard'!$C$4=D417),OR('CA Dashboard'!$C$5="All",'CA Dashboard'!$C$5=G417),OR('CA Dashboard'!$C$6="All",'CA Dashboard'!$C$6=H417),OR('CA Dashboard'!$C$7="All",'CA Dashboard'!$C$7=F417),OR('CA Dashboard'!$C$8="All",'CA Dashboard'!$C$8=AJ417))</f>
        <v/>
      </c>
      <c r="AI417" s="148">
        <f>IF(AH417,AI416+1,AI416)</f>
        <v/>
      </c>
      <c r="AJ417" s="148" t="inlineStr">
        <is>
          <t>Direct</t>
        </is>
      </c>
      <c r="AK417" s="148" t="inlineStr">
        <is>
          <t>Same product (pillowcase) in the same material family: Silk (product page material: Silk); ours: our listing: mulberry silk.</t>
        </is>
      </c>
    </row>
    <row r="418">
      <c r="A418" s="148">
        <f>AND(E418="US",OR('US Dashboard'!$C$4="All",'US Dashboard'!$C$4=D418),OR('US Dashboard'!$C$5="All",'US Dashboard'!$C$5=G418),OR('US Dashboard'!$C$6="All",'US Dashboard'!$C$6=H418),OR('US Dashboard'!$C$7="All",'US Dashboard'!$C$7=F418),OR('US Dashboard'!$C$8="All",'US Dashboard'!$C$8=AJ418))</f>
        <v/>
      </c>
      <c r="B418" s="148">
        <f>IF(A418,B417+1,B417)</f>
        <v/>
      </c>
      <c r="C418" s="148" t="n">
        <v>55</v>
      </c>
      <c r="D418" s="148" t="inlineStr">
        <is>
          <t>DC Silk Pillowcase</t>
        </is>
      </c>
      <c r="E418" s="148" t="inlineStr">
        <is>
          <t>US</t>
        </is>
      </c>
      <c r="F418" s="148" t="inlineStr">
        <is>
          <t>Silk</t>
        </is>
      </c>
      <c r="G418" s="148" t="inlineStr">
        <is>
          <t>RENESSY</t>
        </is>
      </c>
      <c r="H418" s="148" t="inlineStr">
        <is>
          <t>Beatable</t>
        </is>
      </c>
      <c r="I418" s="148" t="inlineStr">
        <is>
          <t>Silk Pillowcase</t>
        </is>
      </c>
      <c r="J418" s="148" t="n"/>
      <c r="K418" s="148" t="inlineStr">
        <is>
          <t>B09G8P3X6L</t>
        </is>
      </c>
      <c r="L418" s="148" t="inlineStr">
        <is>
          <t>B09G8P3X6L</t>
        </is>
      </c>
      <c r="M418" s="148" t="n">
        <v>0</v>
      </c>
      <c r="N418" s="148" t="n">
        <v>49.9</v>
      </c>
      <c r="O418" s="148" t="n"/>
      <c r="P418" s="148">
        <f>IF(AND(ISNUMBER(O418),ISNUMBER(N418),N(N418)&gt;0),O418/N418-1,"")</f>
        <v/>
      </c>
      <c r="Q418" s="148" t="n">
        <v>49.95</v>
      </c>
      <c r="R418" s="148">
        <f>IF(AND(ISNUMBER(N418),ISNUMBER(Q418),N(Q418)&gt;0),N418/Q418-1,"")</f>
        <v/>
      </c>
      <c r="S418" s="148" t="n">
        <v>61645</v>
      </c>
      <c r="T418" s="148" t="n"/>
      <c r="U418" s="148" t="n">
        <v>4.6</v>
      </c>
      <c r="V418" s="148" t="n">
        <v>2510</v>
      </c>
      <c r="W418" s="148" t="n">
        <v>0</v>
      </c>
      <c r="X418" s="148" t="n"/>
      <c r="Y418" s="148" t="n">
        <v>59</v>
      </c>
      <c r="Z418" s="148" t="n">
        <v>0</v>
      </c>
      <c r="AA418" s="148" t="n">
        <v>0</v>
      </c>
      <c r="AB418" s="148" t="n"/>
      <c r="AC418" s="148" t="inlineStr">
        <is>
          <t>US DC Silk Pillowcase</t>
        </is>
      </c>
      <c r="AD418" s="148">
        <f>'US DC Silk Pillowcase'!BF71</f>
        <v/>
      </c>
      <c r="AE418" s="148">
        <f>'US DC Silk Pillowcase'!BI71</f>
        <v/>
      </c>
      <c r="AF418" s="148" t="n"/>
      <c r="AG418" s="148" t="n"/>
      <c r="AH418" s="148">
        <f>AND(E418="CA",OR('CA Dashboard'!$C$4="All",'CA Dashboard'!$C$4=D418),OR('CA Dashboard'!$C$5="All",'CA Dashboard'!$C$5=G418),OR('CA Dashboard'!$C$6="All",'CA Dashboard'!$C$6=H418),OR('CA Dashboard'!$C$7="All",'CA Dashboard'!$C$7=F418),OR('CA Dashboard'!$C$8="All",'CA Dashboard'!$C$8=AJ418))</f>
        <v/>
      </c>
      <c r="AI418" s="148">
        <f>IF(AH418,AI417+1,AI417)</f>
        <v/>
      </c>
      <c r="AJ418" s="148" t="inlineStr">
        <is>
          <t>Direct</t>
        </is>
      </c>
      <c r="AK418" s="148" t="inlineStr">
        <is>
          <t>Same product (pillowcase) in the same material family: Silk (title: Silk Pillowcase); ours: our listing: mulberry silk.</t>
        </is>
      </c>
    </row>
    <row r="419">
      <c r="A419" s="148">
        <f>AND(E419="US",OR('US Dashboard'!$C$4="All",'US Dashboard'!$C$4=D419),OR('US Dashboard'!$C$5="All",'US Dashboard'!$C$5=G419),OR('US Dashboard'!$C$6="All",'US Dashboard'!$C$6=H419),OR('US Dashboard'!$C$7="All",'US Dashboard'!$C$7=F419),OR('US Dashboard'!$C$8="All",'US Dashboard'!$C$8=AJ419))</f>
        <v/>
      </c>
      <c r="B419" s="148">
        <f>IF(A419,B418+1,B418)</f>
        <v/>
      </c>
      <c r="C419" s="148" t="n">
        <v>55</v>
      </c>
      <c r="D419" s="148" t="inlineStr">
        <is>
          <t>DC Silk Pillowcase</t>
        </is>
      </c>
      <c r="E419" s="148" t="inlineStr">
        <is>
          <t>US</t>
        </is>
      </c>
      <c r="F419" s="148" t="inlineStr">
        <is>
          <t>Silk</t>
        </is>
      </c>
      <c r="G419" s="148" t="inlineStr">
        <is>
          <t>Brooklinen</t>
        </is>
      </c>
      <c r="H419" s="148" t="inlineStr">
        <is>
          <t>Poor</t>
        </is>
      </c>
      <c r="I419" s="148" t="inlineStr">
        <is>
          <t>Silk Pillowcase</t>
        </is>
      </c>
      <c r="J419" s="148" t="inlineStr">
        <is>
          <t>https://m.media-amazon.com/images/I/71reso2eR9L._AC_SL1500_.jpg</t>
        </is>
      </c>
      <c r="K419" s="148" t="inlineStr">
        <is>
          <t>B0DVCCDL65</t>
        </is>
      </c>
      <c r="L419" s="148" t="inlineStr">
        <is>
          <t>B09NP72NNZ</t>
        </is>
      </c>
      <c r="M419" s="148" t="n"/>
      <c r="N419" s="148" t="n">
        <v>74</v>
      </c>
      <c r="O419" s="148" t="n"/>
      <c r="P419" s="148">
        <f>IF(AND(ISNUMBER(O419),ISNUMBER(N419),N(N419)&gt;0),O419/N419-1,"")</f>
        <v/>
      </c>
      <c r="Q419" s="148" t="n">
        <v>49.95</v>
      </c>
      <c r="R419" s="148">
        <f>IF(AND(ISNUMBER(N419),ISNUMBER(Q419),N(Q419)&gt;0),N419/Q419-1,"")</f>
        <v/>
      </c>
      <c r="S419" s="148" t="n">
        <v>350123</v>
      </c>
      <c r="T419" s="148" t="n">
        <v>5</v>
      </c>
      <c r="U419" s="148" t="n">
        <v>4.4</v>
      </c>
      <c r="V419" s="148" t="n">
        <v>147</v>
      </c>
      <c r="W419" s="148" t="n"/>
      <c r="X419" s="148" t="n"/>
      <c r="Y419" s="148" t="n"/>
      <c r="Z419" s="148" t="n"/>
      <c r="AA419" s="148" t="n"/>
      <c r="AB419" s="148" t="n"/>
      <c r="AC419" s="148" t="inlineStr">
        <is>
          <t>US DC Silk Pillowcase</t>
        </is>
      </c>
      <c r="AD419" s="148">
        <f>'US DC Silk Pillowcase'!BF72</f>
        <v/>
      </c>
      <c r="AE419" s="148">
        <f>'US DC Silk Pillowcase'!BI72</f>
        <v/>
      </c>
      <c r="AF419" s="148" t="n"/>
      <c r="AG419" s="148" t="n"/>
      <c r="AH419" s="148">
        <f>AND(E419="CA",OR('CA Dashboard'!$C$4="All",'CA Dashboard'!$C$4=D419),OR('CA Dashboard'!$C$5="All",'CA Dashboard'!$C$5=G419),OR('CA Dashboard'!$C$6="All",'CA Dashboard'!$C$6=H419),OR('CA Dashboard'!$C$7="All",'CA Dashboard'!$C$7=F419),OR('CA Dashboard'!$C$8="All",'CA Dashboard'!$C$8=AJ419))</f>
        <v/>
      </c>
      <c r="AI419" s="148">
        <f>IF(AH419,AI418+1,AI418)</f>
        <v/>
      </c>
      <c r="AJ419" s="148" t="inlineStr">
        <is>
          <t>Direct</t>
        </is>
      </c>
      <c r="AK419" s="148" t="inlineStr">
        <is>
          <t>Same product (pillowcase) in the same material family: Silk (title: Silk Pillowcase); ours: our listing: mulberry silk.</t>
        </is>
      </c>
    </row>
    <row r="420">
      <c r="A420" s="148">
        <f>AND(E420="US",OR('US Dashboard'!$C$4="All",'US Dashboard'!$C$4=D420),OR('US Dashboard'!$C$5="All",'US Dashboard'!$C$5=G420),OR('US Dashboard'!$C$6="All",'US Dashboard'!$C$6=H420),OR('US Dashboard'!$C$7="All",'US Dashboard'!$C$7=F420),OR('US Dashboard'!$C$8="All",'US Dashboard'!$C$8=AJ420))</f>
        <v/>
      </c>
      <c r="B420" s="148">
        <f>IF(A420,B419+1,B419)</f>
        <v/>
      </c>
      <c r="C420" s="148" t="n">
        <v>55</v>
      </c>
      <c r="D420" s="148" t="inlineStr">
        <is>
          <t>DC Silk Pillowcase</t>
        </is>
      </c>
      <c r="E420" s="148" t="inlineStr">
        <is>
          <t>US</t>
        </is>
      </c>
      <c r="F420" s="148" t="inlineStr">
        <is>
          <t>Silk</t>
        </is>
      </c>
      <c r="G420" s="148" t="inlineStr">
        <is>
          <t>Gabire</t>
        </is>
      </c>
      <c r="H420" s="148" t="inlineStr">
        <is>
          <t>Untiered</t>
        </is>
      </c>
      <c r="I420" s="148" t="inlineStr">
        <is>
          <t>Silk Pillow Cases</t>
        </is>
      </c>
      <c r="J420" s="148" t="inlineStr">
        <is>
          <t>https://m.media-amazon.com/images/I/614vZw1DOtL._AC_SL1500_.jpg</t>
        </is>
      </c>
      <c r="K420" s="148" t="inlineStr">
        <is>
          <t>B0CKPNR7DW</t>
        </is>
      </c>
      <c r="L420" s="148" t="inlineStr">
        <is>
          <t>B0CKPKG71N</t>
        </is>
      </c>
      <c r="M420" s="148" t="n"/>
      <c r="N420" s="148" t="n">
        <v>19.99</v>
      </c>
      <c r="O420" s="148" t="n"/>
      <c r="P420" s="148">
        <f>IF(AND(ISNUMBER(O420),ISNUMBER(N420),N(N420)&gt;0),O420/N420-1,"")</f>
        <v/>
      </c>
      <c r="Q420" s="148" t="n">
        <v>50.20344827586207</v>
      </c>
      <c r="R420" s="148">
        <f>IF(AND(ISNUMBER(N420),ISNUMBER(Q420),N(Q420)&gt;0),N420/Q420-1,"")</f>
        <v/>
      </c>
      <c r="S420" s="148" t="n">
        <v>357</v>
      </c>
      <c r="T420" s="148" t="n">
        <v>1732</v>
      </c>
      <c r="U420" s="148" t="n">
        <v>4.6</v>
      </c>
      <c r="V420" s="148" t="n">
        <v>3189</v>
      </c>
      <c r="W420" s="148" t="n"/>
      <c r="X420" s="148" t="n"/>
      <c r="Y420" s="148" t="n"/>
      <c r="Z420" s="148" t="n"/>
      <c r="AA420" s="148" t="n"/>
      <c r="AB420" s="148" t="n"/>
      <c r="AC420" s="148" t="inlineStr">
        <is>
          <t>US DC Silk Pillowcase</t>
        </is>
      </c>
      <c r="AD420" s="148">
        <f>'US DC Silk Pillowcase'!BF73</f>
        <v/>
      </c>
      <c r="AE420" s="148">
        <f>'US DC Silk Pillowcase'!BI73</f>
        <v/>
      </c>
      <c r="AF420" s="148" t="inlineStr">
        <is>
          <t>Standard (20"×26")</t>
        </is>
      </c>
      <c r="AG420" s="148" t="inlineStr">
        <is>
          <t>4. Black (2 Pack)</t>
        </is>
      </c>
      <c r="AH420" s="148">
        <f>AND(E420="CA",OR('CA Dashboard'!$C$4="All",'CA Dashboard'!$C$4=D420),OR('CA Dashboard'!$C$5="All",'CA Dashboard'!$C$5=G420),OR('CA Dashboard'!$C$6="All",'CA Dashboard'!$C$6=H420),OR('CA Dashboard'!$C$7="All",'CA Dashboard'!$C$7=F420),OR('CA Dashboard'!$C$8="All",'CA Dashboard'!$C$8=AJ420))</f>
        <v/>
      </c>
      <c r="AI420" s="148">
        <f>IF(AH420,AI419+1,AI419)</f>
        <v/>
      </c>
      <c r="AJ420" s="148" t="inlineStr">
        <is>
          <t>Direct</t>
        </is>
      </c>
      <c r="AK420" s="148" t="inlineStr">
        <is>
          <t>Same product (pillowcase) in the same material family: Silk (product page material: Silk); ours: our listing: mulberry silk.</t>
        </is>
      </c>
    </row>
    <row r="421">
      <c r="A421" s="148">
        <f>AND(E421="US",OR('US Dashboard'!$C$4="All",'US Dashboard'!$C$4=D421),OR('US Dashboard'!$C$5="All",'US Dashboard'!$C$5=G421),OR('US Dashboard'!$C$6="All",'US Dashboard'!$C$6=H421),OR('US Dashboard'!$C$7="All",'US Dashboard'!$C$7=F421),OR('US Dashboard'!$C$8="All",'US Dashboard'!$C$8=AJ421))</f>
        <v/>
      </c>
      <c r="B421" s="148">
        <f>IF(A421,B420+1,B420)</f>
        <v/>
      </c>
      <c r="C421" s="148" t="n">
        <v>55</v>
      </c>
      <c r="D421" s="148" t="inlineStr">
        <is>
          <t>DC Silk Pillowcase</t>
        </is>
      </c>
      <c r="E421" s="148" t="inlineStr">
        <is>
          <t>US</t>
        </is>
      </c>
      <c r="F421" s="148" t="inlineStr">
        <is>
          <t>Silk</t>
        </is>
      </c>
      <c r="G421" s="148" t="inlineStr">
        <is>
          <t>INFIIXSO</t>
        </is>
      </c>
      <c r="H421" s="148" t="inlineStr">
        <is>
          <t>Untiered</t>
        </is>
      </c>
      <c r="I421" s="148" t="inlineStr">
        <is>
          <t>INFIIXSO Mulberry Silk Pillowcase for Hair and Skin, Silk Pillow Cases Standard Size with Hidden Zipper 20x26 Inches, Ultra Smooth and Soft Cooling Pillow Cases for Hot Sleepers(Light Grey, 1 Pack)</t>
        </is>
      </c>
      <c r="J421" s="148" t="inlineStr">
        <is>
          <t>https://images-na.ssl-images-amazon.com/images/I/61OwDvEP02L.jpg</t>
        </is>
      </c>
      <c r="K421" s="148" t="inlineStr">
        <is>
          <t>B0DK5G1ZJP</t>
        </is>
      </c>
      <c r="L421" s="148" t="inlineStr">
        <is>
          <t>B0CGLG8CDW</t>
        </is>
      </c>
      <c r="M421" s="148" t="n">
        <v>187</v>
      </c>
      <c r="N421" s="148" t="n">
        <v>7.99</v>
      </c>
      <c r="O421" s="148" t="n"/>
      <c r="P421" s="148">
        <f>IF(AND(ISNUMBER(O421),ISNUMBER(N421),N(N421)&gt;0),O421/N421-1,"")</f>
        <v/>
      </c>
      <c r="Q421" s="148" t="n">
        <v>44.95</v>
      </c>
      <c r="R421" s="148">
        <f>IF(AND(ISNUMBER(N421),ISNUMBER(Q421),N(Q421)&gt;0),N421/Q421-1,"")</f>
        <v/>
      </c>
      <c r="S421" s="148" t="n">
        <v>429</v>
      </c>
      <c r="T421" s="148" t="n">
        <v>1732</v>
      </c>
      <c r="U421" s="148" t="n">
        <v>4.5</v>
      </c>
      <c r="V421" s="148" t="n">
        <v>6271</v>
      </c>
      <c r="W421" s="148" t="n"/>
      <c r="X421" s="148" t="n"/>
      <c r="Y421" s="148" t="n"/>
      <c r="Z421" s="148" t="n"/>
      <c r="AA421" s="148" t="n"/>
      <c r="AB421" s="148" t="n"/>
      <c r="AC421" s="148" t="inlineStr">
        <is>
          <t>US DC Silk Pillowcase</t>
        </is>
      </c>
      <c r="AD421" s="148">
        <f>'US DC Silk Pillowcase'!BF74</f>
        <v/>
      </c>
      <c r="AE421" s="148">
        <f>'US DC Silk Pillowcase'!BI74</f>
        <v/>
      </c>
      <c r="AF421" s="148" t="inlineStr">
        <is>
          <t>Standard</t>
        </is>
      </c>
      <c r="AG421" s="148" t="inlineStr">
        <is>
          <t>Light Grey</t>
        </is>
      </c>
      <c r="AH421" s="148">
        <f>AND(E421="CA",OR('CA Dashboard'!$C$4="All",'CA Dashboard'!$C$4=D421),OR('CA Dashboard'!$C$5="All",'CA Dashboard'!$C$5=G421),OR('CA Dashboard'!$C$6="All",'CA Dashboard'!$C$6=H421),OR('CA Dashboard'!$C$7="All",'CA Dashboard'!$C$7=F421),OR('CA Dashboard'!$C$8="All",'CA Dashboard'!$C$8=AJ421))</f>
        <v/>
      </c>
      <c r="AI421" s="148">
        <f>IF(AH421,AI420+1,AI420)</f>
        <v/>
      </c>
      <c r="AJ421" s="148" t="inlineStr">
        <is>
          <t>Direct</t>
        </is>
      </c>
      <c r="AK421" s="148" t="inlineStr">
        <is>
          <t>Same product (pillowcase) in the same material family: Silk (title: INFIIXSO Mulberry Silk Pillowcase for Hair and Skin, Silk Pi); ours: our listing: mulberry silk.</t>
        </is>
      </c>
    </row>
    <row r="422">
      <c r="A422" s="148">
        <f>AND(E422="US",OR('US Dashboard'!$C$4="All",'US Dashboard'!$C$4=D422),OR('US Dashboard'!$C$5="All",'US Dashboard'!$C$5=G422),OR('US Dashboard'!$C$6="All",'US Dashboard'!$C$6=H422),OR('US Dashboard'!$C$7="All",'US Dashboard'!$C$7=F422),OR('US Dashboard'!$C$8="All",'US Dashboard'!$C$8=AJ422))</f>
        <v/>
      </c>
      <c r="B422" s="148">
        <f>IF(A422,B421+1,B421)</f>
        <v/>
      </c>
      <c r="C422" s="148" t="n">
        <v>55</v>
      </c>
      <c r="D422" s="148" t="inlineStr">
        <is>
          <t>DC Silk Pillowcase</t>
        </is>
      </c>
      <c r="E422" s="148" t="inlineStr">
        <is>
          <t>US</t>
        </is>
      </c>
      <c r="F422" s="148" t="inlineStr">
        <is>
          <t>Silk</t>
        </is>
      </c>
      <c r="G422" s="148" t="inlineStr">
        <is>
          <t>DKBslik</t>
        </is>
      </c>
      <c r="H422" s="148" t="inlineStr">
        <is>
          <t>Untiered</t>
        </is>
      </c>
      <c r="I422" s="148" t="inlineStr">
        <is>
          <t>Silk Pillowcase</t>
        </is>
      </c>
      <c r="J422" s="148" t="inlineStr">
        <is>
          <t>https://m.media-amazon.com/images/I/71ycMPIP54L._AC_SL1500_.jpg</t>
        </is>
      </c>
      <c r="K422" s="148" t="inlineStr">
        <is>
          <t>B0B5WGXZTH</t>
        </is>
      </c>
      <c r="L422" s="148" t="inlineStr">
        <is>
          <t>B0B8DXN3K2</t>
        </is>
      </c>
      <c r="M422" s="148" t="n"/>
      <c r="N422" s="148" t="n">
        <v>7.34</v>
      </c>
      <c r="O422" s="148" t="n"/>
      <c r="P422" s="148">
        <f>IF(AND(ISNUMBER(O422),ISNUMBER(N422),N(N422)&gt;0),O422/N422-1,"")</f>
        <v/>
      </c>
      <c r="Q422" s="148" t="n">
        <v>50.20344827586207</v>
      </c>
      <c r="R422" s="148">
        <f>IF(AND(ISNUMBER(N422),ISNUMBER(Q422),N(Q422)&gt;0),N422/Q422-1,"")</f>
        <v/>
      </c>
      <c r="S422" s="148" t="n">
        <v>198</v>
      </c>
      <c r="T422" s="148" t="n">
        <v>1040</v>
      </c>
      <c r="U422" s="148" t="n">
        <v>4.5</v>
      </c>
      <c r="V422" s="148" t="n">
        <v>21803</v>
      </c>
      <c r="W422" s="148" t="n"/>
      <c r="X422" s="148" t="n"/>
      <c r="Y422" s="148" t="n"/>
      <c r="Z422" s="148" t="n"/>
      <c r="AA422" s="148" t="n"/>
      <c r="AB422" s="148" t="n"/>
      <c r="AC422" s="148" t="inlineStr">
        <is>
          <t>US DC Silk Pillowcase</t>
        </is>
      </c>
      <c r="AD422" s="148">
        <f>'US DC Silk Pillowcase'!BF75</f>
        <v/>
      </c>
      <c r="AE422" s="148">
        <f>'US DC Silk Pillowcase'!BI75</f>
        <v/>
      </c>
      <c r="AF422" s="148" t="inlineStr">
        <is>
          <t>Standard - 20×26 Inch</t>
        </is>
      </c>
      <c r="AG422" s="148" t="inlineStr">
        <is>
          <t>Ash Blue-1pc</t>
        </is>
      </c>
      <c r="AH422" s="148">
        <f>AND(E422="CA",OR('CA Dashboard'!$C$4="All",'CA Dashboard'!$C$4=D422),OR('CA Dashboard'!$C$5="All",'CA Dashboard'!$C$5=G422),OR('CA Dashboard'!$C$6="All",'CA Dashboard'!$C$6=H422),OR('CA Dashboard'!$C$7="All",'CA Dashboard'!$C$7=F422),OR('CA Dashboard'!$C$8="All",'CA Dashboard'!$C$8=AJ422))</f>
        <v/>
      </c>
      <c r="AI422" s="148">
        <f>IF(AH422,AI421+1,AI421)</f>
        <v/>
      </c>
      <c r="AJ422" s="148" t="inlineStr">
        <is>
          <t>Direct</t>
        </is>
      </c>
      <c r="AK422" s="148" t="inlineStr">
        <is>
          <t>Same product (pillowcase) in the same material family: Silk (product page material: Silk); ours: our listing: mulberry silk.</t>
        </is>
      </c>
    </row>
    <row r="423">
      <c r="A423" s="148">
        <f>AND(E423="US",OR('US Dashboard'!$C$4="All",'US Dashboard'!$C$4=D423),OR('US Dashboard'!$C$5="All",'US Dashboard'!$C$5=G423),OR('US Dashboard'!$C$6="All",'US Dashboard'!$C$6=H423),OR('US Dashboard'!$C$7="All",'US Dashboard'!$C$7=F423),OR('US Dashboard'!$C$8="All",'US Dashboard'!$C$8=AJ423))</f>
        <v/>
      </c>
      <c r="B423" s="148">
        <f>IF(A423,B422+1,B422)</f>
        <v/>
      </c>
      <c r="C423" s="148" t="n">
        <v>55</v>
      </c>
      <c r="D423" s="148" t="inlineStr">
        <is>
          <t>DC Silk Pillowcase</t>
        </is>
      </c>
      <c r="E423" s="148" t="inlineStr">
        <is>
          <t>US</t>
        </is>
      </c>
      <c r="F423" s="148" t="inlineStr">
        <is>
          <t>Silk</t>
        </is>
      </c>
      <c r="G423" s="148" t="inlineStr">
        <is>
          <t>Suatien</t>
        </is>
      </c>
      <c r="H423" s="148" t="inlineStr">
        <is>
          <t>Untiered</t>
        </is>
      </c>
      <c r="I423" s="148" t="inlineStr">
        <is>
          <t>Mulberry Silk Pillowcase for Hair and Skin Standard Size 20"X 26" Pillow Case with Hidden Zipper Soft Breathable Smooth Cooling Silk Pillow Covers for Sleeping (Haze Blue,Standard,1Pcs)</t>
        </is>
      </c>
      <c r="J423" s="148" t="inlineStr">
        <is>
          <t>https://images-na.ssl-images-amazon.com/images/I/61aMeMjNdnL.jpg</t>
        </is>
      </c>
      <c r="K423" s="148" t="inlineStr">
        <is>
          <t>B09HZYQK2C</t>
        </is>
      </c>
      <c r="L423" s="148" t="inlineStr">
        <is>
          <t>B09BFQG17F</t>
        </is>
      </c>
      <c r="M423" s="148" t="n">
        <v>143</v>
      </c>
      <c r="N423" s="148" t="n">
        <v>11.99</v>
      </c>
      <c r="O423" s="148" t="n"/>
      <c r="P423" s="148">
        <f>IF(AND(ISNUMBER(O423),ISNUMBER(N423),N(N423)&gt;0),O423/N423-1,"")</f>
        <v/>
      </c>
      <c r="Q423" s="148" t="n">
        <v>44.95</v>
      </c>
      <c r="R423" s="148">
        <f>IF(AND(ISNUMBER(N423),ISNUMBER(Q423),N(Q423)&gt;0),N423/Q423-1,"")</f>
        <v/>
      </c>
      <c r="S423" s="148" t="n">
        <v>499</v>
      </c>
      <c r="T423" s="148" t="n">
        <v>924</v>
      </c>
      <c r="U423" s="148" t="n">
        <v>4.5</v>
      </c>
      <c r="V423" s="148" t="n">
        <v>41661</v>
      </c>
      <c r="W423" s="148" t="n"/>
      <c r="X423" s="148" t="n"/>
      <c r="Y423" s="148" t="n"/>
      <c r="Z423" s="148" t="n"/>
      <c r="AA423" s="148" t="n"/>
      <c r="AB423" s="148" t="n"/>
      <c r="AC423" s="148" t="inlineStr">
        <is>
          <t>US DC Silk Pillowcase</t>
        </is>
      </c>
      <c r="AD423" s="148">
        <f>'US DC Silk Pillowcase'!BF76</f>
        <v/>
      </c>
      <c r="AE423" s="148">
        <f>'US DC Silk Pillowcase'!BI76</f>
        <v/>
      </c>
      <c r="AF423" s="148" t="inlineStr">
        <is>
          <t>Standard</t>
        </is>
      </c>
      <c r="AG423" s="148" t="inlineStr">
        <is>
          <t>Haze Blue</t>
        </is>
      </c>
      <c r="AH423" s="148">
        <f>AND(E423="CA",OR('CA Dashboard'!$C$4="All",'CA Dashboard'!$C$4=D423),OR('CA Dashboard'!$C$5="All",'CA Dashboard'!$C$5=G423),OR('CA Dashboard'!$C$6="All",'CA Dashboard'!$C$6=H423),OR('CA Dashboard'!$C$7="All",'CA Dashboard'!$C$7=F423),OR('CA Dashboard'!$C$8="All",'CA Dashboard'!$C$8=AJ423))</f>
        <v/>
      </c>
      <c r="AI423" s="148">
        <f>IF(AH423,AI422+1,AI422)</f>
        <v/>
      </c>
      <c r="AJ423" s="148" t="inlineStr">
        <is>
          <t>Direct</t>
        </is>
      </c>
      <c r="AK423" s="148" t="inlineStr">
        <is>
          <t>Same product (pillowcase) in the same material family: Silk (title: Mulberry Silk Pillowcase for Hair and Skin Standard Size 20"); ours: our listing: mulberry silk.</t>
        </is>
      </c>
    </row>
    <row r="424">
      <c r="A424" s="148">
        <f>AND(E424="US",OR('US Dashboard'!$C$4="All",'US Dashboard'!$C$4=D424),OR('US Dashboard'!$C$5="All",'US Dashboard'!$C$5=G424),OR('US Dashboard'!$C$6="All",'US Dashboard'!$C$6=H424),OR('US Dashboard'!$C$7="All",'US Dashboard'!$C$7=F424),OR('US Dashboard'!$C$8="All",'US Dashboard'!$C$8=AJ424))</f>
        <v/>
      </c>
      <c r="B424" s="148">
        <f>IF(A424,B423+1,B423)</f>
        <v/>
      </c>
      <c r="C424" s="148" t="n">
        <v>55</v>
      </c>
      <c r="D424" s="148" t="inlineStr">
        <is>
          <t>DC Silk Pillowcase</t>
        </is>
      </c>
      <c r="E424" s="148" t="inlineStr">
        <is>
          <t>US</t>
        </is>
      </c>
      <c r="F424" s="148" t="inlineStr">
        <is>
          <t>Silk</t>
        </is>
      </c>
      <c r="G424" s="148" t="inlineStr">
        <is>
          <t>Casbrove</t>
        </is>
      </c>
      <c r="H424" s="148" t="inlineStr">
        <is>
          <t>Untiered</t>
        </is>
      </c>
      <c r="I424" s="148" t="inlineStr">
        <is>
          <t>Silk Pillowcase</t>
        </is>
      </c>
      <c r="J424" s="148" t="inlineStr">
        <is>
          <t>https://m.media-amazon.com/images/I/61rn5-q-SpL._AC_SL1500_.jpg</t>
        </is>
      </c>
      <c r="K424" s="148" t="inlineStr">
        <is>
          <t>B09V4R7MMZ</t>
        </is>
      </c>
      <c r="L424" s="148" t="inlineStr">
        <is>
          <t>B0BXP2FQYZ</t>
        </is>
      </c>
      <c r="M424" s="148" t="n"/>
      <c r="N424" s="148" t="n">
        <v>9.99</v>
      </c>
      <c r="O424" s="148" t="n"/>
      <c r="P424" s="148">
        <f>IF(AND(ISNUMBER(O424),ISNUMBER(N424),N(N424)&gt;0),O424/N424-1,"")</f>
        <v/>
      </c>
      <c r="Q424" s="148" t="n">
        <v>44.95</v>
      </c>
      <c r="R424" s="148">
        <f>IF(AND(ISNUMBER(N424),ISNUMBER(Q424),N(Q424)&gt;0),N424/Q424-1,"")</f>
        <v/>
      </c>
      <c r="S424" s="148" t="n">
        <v>9597</v>
      </c>
      <c r="T424" s="148" t="n">
        <v>197</v>
      </c>
      <c r="U424" s="148" t="n">
        <v>4.5</v>
      </c>
      <c r="V424" s="148" t="n">
        <v>3879</v>
      </c>
      <c r="W424" s="148" t="n"/>
      <c r="X424" s="148" t="n"/>
      <c r="Y424" s="148" t="n"/>
      <c r="Z424" s="148" t="n"/>
      <c r="AA424" s="148" t="n"/>
      <c r="AB424" s="148" t="n"/>
      <c r="AC424" s="148" t="inlineStr">
        <is>
          <t>US DC Silk Pillowcase</t>
        </is>
      </c>
      <c r="AD424" s="148">
        <f>'US DC Silk Pillowcase'!BF77</f>
        <v/>
      </c>
      <c r="AE424" s="148">
        <f>'US DC Silk Pillowcase'!BI77</f>
        <v/>
      </c>
      <c r="AF424" s="148" t="inlineStr">
        <is>
          <t>Standard</t>
        </is>
      </c>
      <c r="AG424" s="148" t="inlineStr">
        <is>
          <t>Green</t>
        </is>
      </c>
      <c r="AH424" s="148">
        <f>AND(E424="CA",OR('CA Dashboard'!$C$4="All",'CA Dashboard'!$C$4=D424),OR('CA Dashboard'!$C$5="All",'CA Dashboard'!$C$5=G424),OR('CA Dashboard'!$C$6="All",'CA Dashboard'!$C$6=H424),OR('CA Dashboard'!$C$7="All",'CA Dashboard'!$C$7=F424),OR('CA Dashboard'!$C$8="All",'CA Dashboard'!$C$8=AJ424))</f>
        <v/>
      </c>
      <c r="AI424" s="148">
        <f>IF(AH424,AI423+1,AI423)</f>
        <v/>
      </c>
      <c r="AJ424" s="148" t="inlineStr">
        <is>
          <t>Direct</t>
        </is>
      </c>
      <c r="AK424" s="148" t="inlineStr">
        <is>
          <t>Same product (pillowcase) in the same material family: Silk (product page material: Mulberry Silk/100%); ours: our listing: mulberry silk.</t>
        </is>
      </c>
    </row>
    <row r="425">
      <c r="A425" s="148">
        <f>AND(E425="US",OR('US Dashboard'!$C$4="All",'US Dashboard'!$C$4=D425),OR('US Dashboard'!$C$5="All",'US Dashboard'!$C$5=G425),OR('US Dashboard'!$C$6="All",'US Dashboard'!$C$6=H425),OR('US Dashboard'!$C$7="All",'US Dashboard'!$C$7=F425),OR('US Dashboard'!$C$8="All",'US Dashboard'!$C$8=AJ425))</f>
        <v/>
      </c>
      <c r="B425" s="148">
        <f>IF(A425,B424+1,B424)</f>
        <v/>
      </c>
      <c r="C425" s="148" t="n">
        <v>55</v>
      </c>
      <c r="D425" s="148" t="inlineStr">
        <is>
          <t>DC Silk Pillowcase</t>
        </is>
      </c>
      <c r="E425" s="148" t="inlineStr">
        <is>
          <t>US</t>
        </is>
      </c>
      <c r="F425" s="148" t="inlineStr">
        <is>
          <t>Silk</t>
        </is>
      </c>
      <c r="G425" s="148" t="inlineStr">
        <is>
          <t>Adubor</t>
        </is>
      </c>
      <c r="H425" s="148" t="inlineStr">
        <is>
          <t>Untiered</t>
        </is>
      </c>
      <c r="I425" s="148" t="inlineStr">
        <is>
          <t>Adubor 100% Silk Pillowcase - Mulberry Silk Pillow Cases, 22 Momme 6A Grade Fibers, Silk Pillow Case for Hair and Skin Health, with Hidden Zipper (Standard 20''×26'', Ivory White, 1PC)</t>
        </is>
      </c>
      <c r="J425" s="148" t="inlineStr">
        <is>
          <t>https://images-na.ssl-images-amazon.com/images/I/61dObyBs-kL.jpg</t>
        </is>
      </c>
      <c r="K425" s="148" t="inlineStr">
        <is>
          <t>B07XD9468J</t>
        </is>
      </c>
      <c r="L425" s="148" t="inlineStr">
        <is>
          <t>B07VKRTKRM</t>
        </is>
      </c>
      <c r="M425" s="148" t="n">
        <v>65</v>
      </c>
      <c r="N425" s="148" t="n">
        <v>19.99</v>
      </c>
      <c r="O425" s="148" t="n"/>
      <c r="P425" s="148">
        <f>IF(AND(ISNUMBER(O425),ISNUMBER(N425),N(N425)&gt;0),O425/N425-1,"")</f>
        <v/>
      </c>
      <c r="Q425" s="148" t="n">
        <v>44.95</v>
      </c>
      <c r="R425" s="148">
        <f>IF(AND(ISNUMBER(N425),ISNUMBER(Q425),N(Q425)&gt;0),N425/Q425-1,"")</f>
        <v/>
      </c>
      <c r="S425" s="148" t="n">
        <v>11494</v>
      </c>
      <c r="T425" s="148" t="n">
        <v>185</v>
      </c>
      <c r="U425" s="148" t="n">
        <v>4.4</v>
      </c>
      <c r="V425" s="148" t="n">
        <v>18955</v>
      </c>
      <c r="W425" s="148" t="n"/>
      <c r="X425" s="148" t="n"/>
      <c r="Y425" s="148" t="n"/>
      <c r="Z425" s="148" t="n"/>
      <c r="AA425" s="148" t="n"/>
      <c r="AB425" s="148" t="n"/>
      <c r="AC425" s="148" t="inlineStr">
        <is>
          <t>US DC Silk Pillowcase</t>
        </is>
      </c>
      <c r="AD425" s="148">
        <f>'US DC Silk Pillowcase'!BF78</f>
        <v/>
      </c>
      <c r="AE425" s="148">
        <f>'US DC Silk Pillowcase'!BI78</f>
        <v/>
      </c>
      <c r="AF425" s="148" t="inlineStr">
        <is>
          <t>Standard</t>
        </is>
      </c>
      <c r="AG425" s="148" t="inlineStr">
        <is>
          <t>Ivory White</t>
        </is>
      </c>
      <c r="AH425" s="148">
        <f>AND(E425="CA",OR('CA Dashboard'!$C$4="All",'CA Dashboard'!$C$4=D425),OR('CA Dashboard'!$C$5="All",'CA Dashboard'!$C$5=G425),OR('CA Dashboard'!$C$6="All",'CA Dashboard'!$C$6=H425),OR('CA Dashboard'!$C$7="All",'CA Dashboard'!$C$7=F425),OR('CA Dashboard'!$C$8="All",'CA Dashboard'!$C$8=AJ425))</f>
        <v/>
      </c>
      <c r="AI425" s="148">
        <f>IF(AH425,AI424+1,AI424)</f>
        <v/>
      </c>
      <c r="AJ425" s="148" t="inlineStr">
        <is>
          <t>Direct</t>
        </is>
      </c>
      <c r="AK425" s="148" t="inlineStr">
        <is>
          <t>Same product (pillowcase) in the same material family: Silk (title: Adubor 100% Silk Pillowcase - Mulberry Silk Pillow Cases, 22); ours: our listing: mulberry silk.</t>
        </is>
      </c>
    </row>
    <row r="426">
      <c r="A426" s="148">
        <f>AND(E426="US",OR('US Dashboard'!$C$4="All",'US Dashboard'!$C$4=D426),OR('US Dashboard'!$C$5="All",'US Dashboard'!$C$5=G426),OR('US Dashboard'!$C$6="All",'US Dashboard'!$C$6=H426),OR('US Dashboard'!$C$7="All",'US Dashboard'!$C$7=F426),OR('US Dashboard'!$C$8="All",'US Dashboard'!$C$8=AJ426))</f>
        <v/>
      </c>
      <c r="B426" s="148">
        <f>IF(A426,B425+1,B425)</f>
        <v/>
      </c>
      <c r="C426" s="148" t="n">
        <v>55</v>
      </c>
      <c r="D426" s="148" t="inlineStr">
        <is>
          <t>DC Silk Pillowcase</t>
        </is>
      </c>
      <c r="E426" s="148" t="inlineStr">
        <is>
          <t>US</t>
        </is>
      </c>
      <c r="F426" s="148" t="inlineStr">
        <is>
          <t>Silk</t>
        </is>
      </c>
      <c r="G426" s="148" t="inlineStr">
        <is>
          <t>J JIMOO</t>
        </is>
      </c>
      <c r="H426" s="148" t="inlineStr">
        <is>
          <t>Untiered</t>
        </is>
      </c>
      <c r="I426" s="148" t="inlineStr">
        <is>
          <t>100% Mulberry Silk Pillowcase for Hair and Skin, 22 Momme Pure Natural Silk Pillow Case Both Sided with Zipper, Pillow Cover for Women Mom Men (Silver Grey, Standard 20''×26'', 1 Pack)</t>
        </is>
      </c>
      <c r="J426" s="148" t="inlineStr">
        <is>
          <t>https://images-na.ssl-images-amazon.com/images/I/71B1EXVMIiL.jpg</t>
        </is>
      </c>
      <c r="K426" s="148" t="inlineStr">
        <is>
          <t>B0DS1T8ZR7</t>
        </is>
      </c>
      <c r="L426" s="148" t="inlineStr">
        <is>
          <t>B07RGFS927</t>
        </is>
      </c>
      <c r="M426" s="148" t="n">
        <v>43</v>
      </c>
      <c r="N426" s="148" t="n">
        <v>25.99</v>
      </c>
      <c r="O426" s="148" t="n"/>
      <c r="P426" s="148">
        <f>IF(AND(ISNUMBER(O426),ISNUMBER(N426),N(N426)&gt;0),O426/N426-1,"")</f>
        <v/>
      </c>
      <c r="Q426" s="148" t="n">
        <v>44.95</v>
      </c>
      <c r="R426" s="148">
        <f>IF(AND(ISNUMBER(N426),ISNUMBER(Q426),N(Q426)&gt;0),N426/Q426-1,"")</f>
        <v/>
      </c>
      <c r="S426" s="148" t="n">
        <v>5604</v>
      </c>
      <c r="T426" s="148" t="n">
        <v>173</v>
      </c>
      <c r="U426" s="148" t="n">
        <v>4.5</v>
      </c>
      <c r="V426" s="148" t="n">
        <v>31715</v>
      </c>
      <c r="W426" s="148" t="n"/>
      <c r="X426" s="148" t="n"/>
      <c r="Y426" s="148" t="n"/>
      <c r="Z426" s="148" t="n"/>
      <c r="AA426" s="148" t="n"/>
      <c r="AB426" s="148" t="n"/>
      <c r="AC426" s="148" t="inlineStr">
        <is>
          <t>US DC Silk Pillowcase</t>
        </is>
      </c>
      <c r="AD426" s="148">
        <f>'US DC Silk Pillowcase'!BF79</f>
        <v/>
      </c>
      <c r="AE426" s="148">
        <f>'US DC Silk Pillowcase'!BI79</f>
        <v/>
      </c>
      <c r="AF426" s="148" t="inlineStr">
        <is>
          <t>Standard</t>
        </is>
      </c>
      <c r="AG426" s="148" t="inlineStr">
        <is>
          <t>Silver Grey</t>
        </is>
      </c>
      <c r="AH426" s="148">
        <f>AND(E426="CA",OR('CA Dashboard'!$C$4="All",'CA Dashboard'!$C$4=D426),OR('CA Dashboard'!$C$5="All",'CA Dashboard'!$C$5=G426),OR('CA Dashboard'!$C$6="All",'CA Dashboard'!$C$6=H426),OR('CA Dashboard'!$C$7="All",'CA Dashboard'!$C$7=F426),OR('CA Dashboard'!$C$8="All",'CA Dashboard'!$C$8=AJ426))</f>
        <v/>
      </c>
      <c r="AI426" s="148">
        <f>IF(AH426,AI425+1,AI425)</f>
        <v/>
      </c>
      <c r="AJ426" s="148" t="inlineStr">
        <is>
          <t>Direct</t>
        </is>
      </c>
      <c r="AK426" s="148" t="inlineStr">
        <is>
          <t>Same product (pillowcase) in the same material family: Silk (title: 100% Mulberry Silk Pillowcase for Hair and Skin, 22 Momme Pu); ours: our listing: mulberry silk.</t>
        </is>
      </c>
    </row>
    <row r="427">
      <c r="A427" s="148">
        <f>AND(E427="US",OR('US Dashboard'!$C$4="All",'US Dashboard'!$C$4=D427),OR('US Dashboard'!$C$5="All",'US Dashboard'!$C$5=G427),OR('US Dashboard'!$C$6="All",'US Dashboard'!$C$6=H427),OR('US Dashboard'!$C$7="All",'US Dashboard'!$C$7=F427),OR('US Dashboard'!$C$8="All",'US Dashboard'!$C$8=AJ427))</f>
        <v/>
      </c>
      <c r="B427" s="148">
        <f>IF(A427,B426+1,B426)</f>
        <v/>
      </c>
      <c r="C427" s="148" t="n">
        <v>55</v>
      </c>
      <c r="D427" s="148" t="inlineStr">
        <is>
          <t>DC Silk Pillowcase</t>
        </is>
      </c>
      <c r="E427" s="148" t="inlineStr">
        <is>
          <t>US</t>
        </is>
      </c>
      <c r="F427" s="148" t="inlineStr">
        <is>
          <t>Silk</t>
        </is>
      </c>
      <c r="G427" s="148" t="inlineStr">
        <is>
          <t>Ravmix</t>
        </is>
      </c>
      <c r="H427" s="148" t="inlineStr">
        <is>
          <t>Untiered</t>
        </is>
      </c>
      <c r="I427" s="148" t="inlineStr">
        <is>
          <t>Ravmix 100% Silk Pillow Cases with Zipper, 21 Momme Mulberry Silk Pillowcase for Hair Skin Health, Soft Smooth Breathable Cool Pillow Cover for Beauty Sleep(Standard 20"x26", Ivory White) 1PC</t>
        </is>
      </c>
      <c r="J427" s="148" t="inlineStr">
        <is>
          <t>https://images-na.ssl-images-amazon.com/images/I/51jDXAKxi2L.jpg</t>
        </is>
      </c>
      <c r="K427" s="148" t="inlineStr">
        <is>
          <t>B0H9S9ZNL2</t>
        </is>
      </c>
      <c r="L427" s="148" t="inlineStr">
        <is>
          <t>B07KJYP1VC</t>
        </is>
      </c>
      <c r="M427" s="148" t="n">
        <v>65</v>
      </c>
      <c r="N427" s="148" t="n">
        <v>19.99</v>
      </c>
      <c r="O427" s="148" t="n"/>
      <c r="P427" s="148">
        <f>IF(AND(ISNUMBER(O427),ISNUMBER(N427),N(N427)&gt;0),O427/N427-1,"")</f>
        <v/>
      </c>
      <c r="Q427" s="148" t="n">
        <v>44.95</v>
      </c>
      <c r="R427" s="148">
        <f>IF(AND(ISNUMBER(N427),ISNUMBER(Q427),N(Q427)&gt;0),N427/Q427-1,"")</f>
        <v/>
      </c>
      <c r="S427" s="148" t="n">
        <v>17242</v>
      </c>
      <c r="T427" s="148" t="n">
        <v>104</v>
      </c>
      <c r="U427" s="148" t="n">
        <v>4.5</v>
      </c>
      <c r="V427" s="148" t="n">
        <v>33594</v>
      </c>
      <c r="W427" s="148" t="n"/>
      <c r="X427" s="148" t="n"/>
      <c r="Y427" s="148" t="n"/>
      <c r="Z427" s="148" t="n"/>
      <c r="AA427" s="148" t="n"/>
      <c r="AB427" s="148" t="n"/>
      <c r="AC427" s="148" t="inlineStr">
        <is>
          <t>US DC Silk Pillowcase</t>
        </is>
      </c>
      <c r="AD427" s="148">
        <f>'US DC Silk Pillowcase'!BF80</f>
        <v/>
      </c>
      <c r="AE427" s="148">
        <f>'US DC Silk Pillowcase'!BI80</f>
        <v/>
      </c>
      <c r="AF427" s="148" t="inlineStr">
        <is>
          <t>Standard</t>
        </is>
      </c>
      <c r="AG427" s="148" t="inlineStr">
        <is>
          <t>White</t>
        </is>
      </c>
      <c r="AH427" s="148">
        <f>AND(E427="CA",OR('CA Dashboard'!$C$4="All",'CA Dashboard'!$C$4=D427),OR('CA Dashboard'!$C$5="All",'CA Dashboard'!$C$5=G427),OR('CA Dashboard'!$C$6="All",'CA Dashboard'!$C$6=H427),OR('CA Dashboard'!$C$7="All",'CA Dashboard'!$C$7=F427),OR('CA Dashboard'!$C$8="All",'CA Dashboard'!$C$8=AJ427))</f>
        <v/>
      </c>
      <c r="AI427" s="148">
        <f>IF(AH427,AI426+1,AI426)</f>
        <v/>
      </c>
      <c r="AJ427" s="148" t="inlineStr">
        <is>
          <t>Direct</t>
        </is>
      </c>
      <c r="AK427" s="148" t="inlineStr">
        <is>
          <t>Same product (pillowcase) in the same material family: Silk (title: Ravmix 100% Silk Pillow Cases with Zipper, 21 Momme Mulberry); ours: our listing: mulberry silk.</t>
        </is>
      </c>
    </row>
    <row r="428">
      <c r="A428" s="148">
        <f>AND(E428="US",OR('US Dashboard'!$C$4="All",'US Dashboard'!$C$4=D428),OR('US Dashboard'!$C$5="All",'US Dashboard'!$C$5=G428),OR('US Dashboard'!$C$6="All",'US Dashboard'!$C$6=H428),OR('US Dashboard'!$C$7="All",'US Dashboard'!$C$7=F428),OR('US Dashboard'!$C$8="All",'US Dashboard'!$C$8=AJ428))</f>
        <v/>
      </c>
      <c r="B428" s="148">
        <f>IF(A428,B427+1,B427)</f>
        <v/>
      </c>
      <c r="C428" s="148" t="n">
        <v>55</v>
      </c>
      <c r="D428" s="148" t="inlineStr">
        <is>
          <t>DC Silk Pillowcase</t>
        </is>
      </c>
      <c r="E428" s="148" t="inlineStr">
        <is>
          <t>US</t>
        </is>
      </c>
      <c r="F428" s="148" t="inlineStr">
        <is>
          <t>Silk</t>
        </is>
      </c>
      <c r="G428" s="148" t="inlineStr">
        <is>
          <t>INSSL</t>
        </is>
      </c>
      <c r="H428" s="148" t="inlineStr">
        <is>
          <t>Untiered</t>
        </is>
      </c>
      <c r="I428" s="148" t="inlineStr">
        <is>
          <t>Silk Pillowcase</t>
        </is>
      </c>
      <c r="J428" s="148" t="inlineStr">
        <is>
          <t>https://m.media-amazon.com/images/I/61zgTYFkqeL._AC_SL1407_.jpg</t>
        </is>
      </c>
      <c r="K428" s="148" t="inlineStr">
        <is>
          <t>B0BCGZVPCM</t>
        </is>
      </c>
      <c r="L428" s="148" t="inlineStr">
        <is>
          <t>B089SJQP45</t>
        </is>
      </c>
      <c r="M428" s="148" t="n"/>
      <c r="N428" s="148" t="n">
        <v>13.99</v>
      </c>
      <c r="O428" s="148" t="n"/>
      <c r="P428" s="148">
        <f>IF(AND(ISNUMBER(O428),ISNUMBER(N428),N(N428)&gt;0),O428/N428-1,"")</f>
        <v/>
      </c>
      <c r="Q428" s="148" t="n">
        <v>44.95</v>
      </c>
      <c r="R428" s="148">
        <f>IF(AND(ISNUMBER(N428),ISNUMBER(Q428),N(Q428)&gt;0),N428/Q428-1,"")</f>
        <v/>
      </c>
      <c r="S428" s="148" t="n">
        <v>14446</v>
      </c>
      <c r="T428" s="148" t="n">
        <v>92</v>
      </c>
      <c r="U428" s="148" t="n">
        <v>4.5</v>
      </c>
      <c r="V428" s="148" t="n">
        <v>11647</v>
      </c>
      <c r="W428" s="148" t="n"/>
      <c r="X428" s="148" t="n"/>
      <c r="Y428" s="148" t="n"/>
      <c r="Z428" s="148" t="n"/>
      <c r="AA428" s="148" t="n"/>
      <c r="AB428" s="148" t="n"/>
      <c r="AC428" s="148" t="inlineStr">
        <is>
          <t>US DC Silk Pillowcase</t>
        </is>
      </c>
      <c r="AD428" s="148">
        <f>'US DC Silk Pillowcase'!BF81</f>
        <v/>
      </c>
      <c r="AE428" s="148">
        <f>'US DC Silk Pillowcase'!BI81</f>
        <v/>
      </c>
      <c r="AF428" s="148" t="inlineStr">
        <is>
          <t>Standard</t>
        </is>
      </c>
      <c r="AG428" s="148" t="inlineStr">
        <is>
          <t>Dark Purple</t>
        </is>
      </c>
      <c r="AH428" s="148">
        <f>AND(E428="CA",OR('CA Dashboard'!$C$4="All",'CA Dashboard'!$C$4=D428),OR('CA Dashboard'!$C$5="All",'CA Dashboard'!$C$5=G428),OR('CA Dashboard'!$C$6="All",'CA Dashboard'!$C$6=H428),OR('CA Dashboard'!$C$7="All",'CA Dashboard'!$C$7=F428),OR('CA Dashboard'!$C$8="All",'CA Dashboard'!$C$8=AJ428))</f>
        <v/>
      </c>
      <c r="AI428" s="148">
        <f>IF(AH428,AI427+1,AI427)</f>
        <v/>
      </c>
      <c r="AJ428" s="148" t="inlineStr">
        <is>
          <t>Direct</t>
        </is>
      </c>
      <c r="AK428" s="148" t="inlineStr">
        <is>
          <t>Same product (pillowcase) in the same material family: Silk (product page material: Silk); ours: our listing: mulberry silk.</t>
        </is>
      </c>
    </row>
    <row r="429">
      <c r="A429" s="148">
        <f>AND(E429="US",OR('US Dashboard'!$C$4="All",'US Dashboard'!$C$4=D429),OR('US Dashboard'!$C$5="All",'US Dashboard'!$C$5=G429),OR('US Dashboard'!$C$6="All",'US Dashboard'!$C$6=H429),OR('US Dashboard'!$C$7="All",'US Dashboard'!$C$7=F429),OR('US Dashboard'!$C$8="All",'US Dashboard'!$C$8=AJ429))</f>
        <v/>
      </c>
      <c r="B429" s="148">
        <f>IF(A429,B428+1,B428)</f>
        <v/>
      </c>
      <c r="C429" s="148" t="n">
        <v>55</v>
      </c>
      <c r="D429" s="148" t="inlineStr">
        <is>
          <t>DC Silk Pillowcase</t>
        </is>
      </c>
      <c r="E429" s="148" t="inlineStr">
        <is>
          <t>US</t>
        </is>
      </c>
      <c r="F429" s="148" t="inlineStr">
        <is>
          <t>Silk</t>
        </is>
      </c>
      <c r="G429" s="148" t="inlineStr">
        <is>
          <t>SIYUAN</t>
        </is>
      </c>
      <c r="H429" s="148" t="inlineStr">
        <is>
          <t>Untiered</t>
        </is>
      </c>
      <c r="I429" s="148" t="inlineStr">
        <is>
          <t>Silk Pillowcase</t>
        </is>
      </c>
      <c r="J429" s="148" t="inlineStr">
        <is>
          <t>https://m.media-amazon.com/images/I/61vNvMfDkpL._AC_SL1500_.jpg</t>
        </is>
      </c>
      <c r="K429" s="148" t="inlineStr">
        <is>
          <t>B0C395RDGT</t>
        </is>
      </c>
      <c r="L429" s="148" t="inlineStr">
        <is>
          <t>B0BBC1GN6H</t>
        </is>
      </c>
      <c r="M429" s="148" t="n"/>
      <c r="N429" s="148" t="n">
        <v>13.99</v>
      </c>
      <c r="O429" s="148" t="n"/>
      <c r="P429" s="148">
        <f>IF(AND(ISNUMBER(O429),ISNUMBER(N429),N(N429)&gt;0),O429/N429-1,"")</f>
        <v/>
      </c>
      <c r="Q429" s="148" t="n">
        <v>50.20344827586207</v>
      </c>
      <c r="R429" s="148">
        <f>IF(AND(ISNUMBER(N429),ISNUMBER(Q429),N(Q429)&gt;0),N429/Q429-1,"")</f>
        <v/>
      </c>
      <c r="S429" s="148" t="n">
        <v>3332</v>
      </c>
      <c r="T429" s="148" t="n">
        <v>81</v>
      </c>
      <c r="U429" s="148" t="n">
        <v>4.5</v>
      </c>
      <c r="V429" s="148" t="n">
        <v>9825</v>
      </c>
      <c r="W429" s="148" t="n"/>
      <c r="X429" s="148" t="n"/>
      <c r="Y429" s="148" t="n"/>
      <c r="Z429" s="148" t="n"/>
      <c r="AA429" s="148" t="n"/>
      <c r="AB429" s="148" t="n"/>
      <c r="AC429" s="148" t="inlineStr">
        <is>
          <t>US DC Silk Pillowcase</t>
        </is>
      </c>
      <c r="AD429" s="148">
        <f>'US DC Silk Pillowcase'!BF82</f>
        <v/>
      </c>
      <c r="AE429" s="148">
        <f>'US DC Silk Pillowcase'!BI82</f>
        <v/>
      </c>
      <c r="AF429" s="148" t="inlineStr">
        <is>
          <t>Toddler</t>
        </is>
      </c>
      <c r="AG429" s="148" t="inlineStr">
        <is>
          <t>Champagne</t>
        </is>
      </c>
      <c r="AH429" s="148">
        <f>AND(E429="CA",OR('CA Dashboard'!$C$4="All",'CA Dashboard'!$C$4=D429),OR('CA Dashboard'!$C$5="All",'CA Dashboard'!$C$5=G429),OR('CA Dashboard'!$C$6="All",'CA Dashboard'!$C$6=H429),OR('CA Dashboard'!$C$7="All",'CA Dashboard'!$C$7=F429),OR('CA Dashboard'!$C$8="All",'CA Dashboard'!$C$8=AJ429))</f>
        <v/>
      </c>
      <c r="AI429" s="148">
        <f>IF(AH429,AI428+1,AI428)</f>
        <v/>
      </c>
      <c r="AJ429" s="148" t="inlineStr">
        <is>
          <t>Direct</t>
        </is>
      </c>
      <c r="AK429" s="148" t="inlineStr">
        <is>
          <t>Same product (pillowcase) in the same material family: Silk (product page material: Silk); ours: our listing: mulberry silk.</t>
        </is>
      </c>
    </row>
    <row r="430">
      <c r="A430" s="148">
        <f>AND(E430="US",OR('US Dashboard'!$C$4="All",'US Dashboard'!$C$4=D430),OR('US Dashboard'!$C$5="All",'US Dashboard'!$C$5=G430),OR('US Dashboard'!$C$6="All",'US Dashboard'!$C$6=H430),OR('US Dashboard'!$C$7="All",'US Dashboard'!$C$7=F430),OR('US Dashboard'!$C$8="All",'US Dashboard'!$C$8=AJ430))</f>
        <v/>
      </c>
      <c r="B430" s="148">
        <f>IF(A430,B429+1,B429)</f>
        <v/>
      </c>
      <c r="C430" s="148" t="n">
        <v>55</v>
      </c>
      <c r="D430" s="148" t="inlineStr">
        <is>
          <t>DC Silk Pillowcase</t>
        </is>
      </c>
      <c r="E430" s="148" t="inlineStr">
        <is>
          <t>US</t>
        </is>
      </c>
      <c r="F430" s="148" t="inlineStr">
        <is>
          <t>Silk</t>
        </is>
      </c>
      <c r="G430" s="148" t="inlineStr">
        <is>
          <t>WLOSJ</t>
        </is>
      </c>
      <c r="H430" s="148" t="inlineStr">
        <is>
          <t>Untiered</t>
        </is>
      </c>
      <c r="I430" s="148" t="inlineStr">
        <is>
          <t>Silk Pillow</t>
        </is>
      </c>
      <c r="J430" s="148" t="inlineStr">
        <is>
          <t>https://m.media-amazon.com/images/I/61TU5+iRNrL._AC_SL1500_.jpg</t>
        </is>
      </c>
      <c r="K430" s="148" t="inlineStr">
        <is>
          <t>B0CZF5V1W7</t>
        </is>
      </c>
      <c r="L430" s="148" t="inlineStr">
        <is>
          <t>B09T6DV8BB</t>
        </is>
      </c>
      <c r="M430" s="148" t="n"/>
      <c r="N430" s="148" t="n">
        <v>19.99</v>
      </c>
      <c r="O430" s="148" t="n"/>
      <c r="P430" s="148">
        <f>IF(AND(ISNUMBER(O430),ISNUMBER(N430),N(N430)&gt;0),O430/N430-1,"")</f>
        <v/>
      </c>
      <c r="Q430" s="148" t="n">
        <v>49.95</v>
      </c>
      <c r="R430" s="148">
        <f>IF(AND(ISNUMBER(N430),ISNUMBER(Q430),N(Q430)&gt;0),N430/Q430-1,"")</f>
        <v/>
      </c>
      <c r="S430" s="148" t="n">
        <v>19251</v>
      </c>
      <c r="T430" s="148" t="n">
        <v>81</v>
      </c>
      <c r="U430" s="148" t="n">
        <v>4.2</v>
      </c>
      <c r="V430" s="148" t="n">
        <v>1464</v>
      </c>
      <c r="W430" s="148" t="n"/>
      <c r="X430" s="148" t="n"/>
      <c r="Y430" s="148" t="n"/>
      <c r="Z430" s="148" t="n"/>
      <c r="AA430" s="148" t="n"/>
      <c r="AB430" s="148" t="n"/>
      <c r="AC430" s="148" t="inlineStr">
        <is>
          <t>US DC Silk Pillowcase</t>
        </is>
      </c>
      <c r="AD430" s="148">
        <f>'US DC Silk Pillowcase'!BF83</f>
        <v/>
      </c>
      <c r="AE430" s="148">
        <f>'US DC Silk Pillowcase'!BI83</f>
        <v/>
      </c>
      <c r="AF430" s="148" t="inlineStr">
        <is>
          <t>Queen</t>
        </is>
      </c>
      <c r="AG430" s="148" t="inlineStr">
        <is>
          <t>Gray</t>
        </is>
      </c>
      <c r="AH430" s="148">
        <f>AND(E430="CA",OR('CA Dashboard'!$C$4="All",'CA Dashboard'!$C$4=D430),OR('CA Dashboard'!$C$5="All",'CA Dashboard'!$C$5=G430),OR('CA Dashboard'!$C$6="All",'CA Dashboard'!$C$6=H430),OR('CA Dashboard'!$C$7="All",'CA Dashboard'!$C$7=F430),OR('CA Dashboard'!$C$8="All",'CA Dashboard'!$C$8=AJ430))</f>
        <v/>
      </c>
      <c r="AI430" s="148">
        <f>IF(AH430,AI429+1,AI429)</f>
        <v/>
      </c>
      <c r="AJ430" s="148" t="inlineStr">
        <is>
          <t>Direct</t>
        </is>
      </c>
      <c r="AK430" s="148" t="inlineStr">
        <is>
          <t>Same product (pillowcase) in the same material family: Silk (product page material: Silk); ours: our listing: mulberry silk.</t>
        </is>
      </c>
    </row>
    <row r="431">
      <c r="A431" s="148">
        <f>AND(E431="US",OR('US Dashboard'!$C$4="All",'US Dashboard'!$C$4=D431),OR('US Dashboard'!$C$5="All",'US Dashboard'!$C$5=G431),OR('US Dashboard'!$C$6="All",'US Dashboard'!$C$6=H431),OR('US Dashboard'!$C$7="All",'US Dashboard'!$C$7=F431),OR('US Dashboard'!$C$8="All",'US Dashboard'!$C$8=AJ431))</f>
        <v/>
      </c>
      <c r="B431" s="148">
        <f>IF(A431,B430+1,B430)</f>
        <v/>
      </c>
      <c r="C431" s="148" t="n">
        <v>55</v>
      </c>
      <c r="D431" s="148" t="inlineStr">
        <is>
          <t>DC Silk Pillowcase</t>
        </is>
      </c>
      <c r="E431" s="148" t="inlineStr">
        <is>
          <t>US</t>
        </is>
      </c>
      <c r="F431" s="148" t="inlineStr">
        <is>
          <t>Silk</t>
        </is>
      </c>
      <c r="G431" s="148" t="inlineStr">
        <is>
          <t>Kinself</t>
        </is>
      </c>
      <c r="H431" s="148" t="inlineStr">
        <is>
          <t>Untiered</t>
        </is>
      </c>
      <c r="I431" s="148" t="inlineStr">
        <is>
          <t>Silk Pillowcase</t>
        </is>
      </c>
      <c r="J431" s="148" t="inlineStr">
        <is>
          <t>https://m.media-amazon.com/images/I/61y1UOqmn9L._AC_SL1500_.jpg</t>
        </is>
      </c>
      <c r="K431" s="148" t="inlineStr">
        <is>
          <t>B0CM16H4RY</t>
        </is>
      </c>
      <c r="L431" s="148" t="inlineStr">
        <is>
          <t>B0CKLCLQ62</t>
        </is>
      </c>
      <c r="M431" s="148" t="n"/>
      <c r="N431" s="148" t="n">
        <v>20.99</v>
      </c>
      <c r="O431" s="148" t="n"/>
      <c r="P431" s="148">
        <f>IF(AND(ISNUMBER(O431),ISNUMBER(N431),N(N431)&gt;0),O431/N431-1,"")</f>
        <v/>
      </c>
      <c r="Q431" s="148" t="n">
        <v>44.95</v>
      </c>
      <c r="R431" s="148">
        <f>IF(AND(ISNUMBER(N431),ISNUMBER(Q431),N(Q431)&gt;0),N431/Q431-1,"")</f>
        <v/>
      </c>
      <c r="S431" s="148" t="n">
        <v>90616</v>
      </c>
      <c r="T431" s="148" t="n">
        <v>18</v>
      </c>
      <c r="U431" s="148" t="n">
        <v>4.5</v>
      </c>
      <c r="V431" s="148" t="n">
        <v>1457</v>
      </c>
      <c r="W431" s="148" t="n"/>
      <c r="X431" s="148" t="n"/>
      <c r="Y431" s="148" t="n"/>
      <c r="Z431" s="148" t="n"/>
      <c r="AA431" s="148" t="n"/>
      <c r="AB431" s="148" t="n"/>
      <c r="AC431" s="148" t="inlineStr">
        <is>
          <t>US DC Silk Pillowcase</t>
        </is>
      </c>
      <c r="AD431" s="148">
        <f>'US DC Silk Pillowcase'!BF84</f>
        <v/>
      </c>
      <c r="AE431" s="148">
        <f>'US DC Silk Pillowcase'!BI84</f>
        <v/>
      </c>
      <c r="AF431" s="148" t="inlineStr">
        <is>
          <t>Standard</t>
        </is>
      </c>
      <c r="AG431" s="148" t="inlineStr">
        <is>
          <t>Little Blue</t>
        </is>
      </c>
      <c r="AH431" s="148">
        <f>AND(E431="CA",OR('CA Dashboard'!$C$4="All",'CA Dashboard'!$C$4=D431),OR('CA Dashboard'!$C$5="All",'CA Dashboard'!$C$5=G431),OR('CA Dashboard'!$C$6="All",'CA Dashboard'!$C$6=H431),OR('CA Dashboard'!$C$7="All",'CA Dashboard'!$C$7=F431),OR('CA Dashboard'!$C$8="All",'CA Dashboard'!$C$8=AJ431))</f>
        <v/>
      </c>
      <c r="AI431" s="148">
        <f>IF(AH431,AI430+1,AI430)</f>
        <v/>
      </c>
      <c r="AJ431" s="148" t="inlineStr">
        <is>
          <t>Direct</t>
        </is>
      </c>
      <c r="AK431" s="148" t="inlineStr">
        <is>
          <t>Same product (pillowcase) in the same material family: Silk (product page material: Silk); ours: our listing: mulberry silk.</t>
        </is>
      </c>
    </row>
    <row r="432">
      <c r="A432" s="148">
        <f>AND(E432="US",OR('US Dashboard'!$C$4="All",'US Dashboard'!$C$4=D432),OR('US Dashboard'!$C$5="All",'US Dashboard'!$C$5=G432),OR('US Dashboard'!$C$6="All",'US Dashboard'!$C$6=H432),OR('US Dashboard'!$C$7="All",'US Dashboard'!$C$7=F432),OR('US Dashboard'!$C$8="All",'US Dashboard'!$C$8=AJ432))</f>
        <v/>
      </c>
      <c r="B432" s="148">
        <f>IF(A432,B431+1,B431)</f>
        <v/>
      </c>
      <c r="C432" s="148" t="n">
        <v>55</v>
      </c>
      <c r="D432" s="148" t="inlineStr">
        <is>
          <t>DC Silk Pillowcase</t>
        </is>
      </c>
      <c r="E432" s="148" t="inlineStr">
        <is>
          <t>US</t>
        </is>
      </c>
      <c r="F432" s="148" t="inlineStr">
        <is>
          <t>Silk</t>
        </is>
      </c>
      <c r="G432" s="148" t="inlineStr">
        <is>
          <t>Jocoku</t>
        </is>
      </c>
      <c r="H432" s="148" t="inlineStr">
        <is>
          <t>Untiered</t>
        </is>
      </c>
      <c r="I432" s="148" t="inlineStr">
        <is>
          <t>Silk Pillowcase</t>
        </is>
      </c>
      <c r="J432" s="148" t="inlineStr">
        <is>
          <t>https://m.media-amazon.com/images/I/31G6cEPPybL._AC_.jpg</t>
        </is>
      </c>
      <c r="K432" s="148" t="inlineStr">
        <is>
          <t>B08BFG7CNK</t>
        </is>
      </c>
      <c r="L432" s="148" t="inlineStr">
        <is>
          <t>B07JLLJSK5</t>
        </is>
      </c>
      <c r="M432" s="148" t="n"/>
      <c r="N432" s="148" t="n">
        <v>21.99</v>
      </c>
      <c r="O432" s="148" t="n"/>
      <c r="P432" s="148">
        <f>IF(AND(ISNUMBER(O432),ISNUMBER(N432),N(N432)&gt;0),O432/N432-1,"")</f>
        <v/>
      </c>
      <c r="Q432" s="148" t="n">
        <v>44.95</v>
      </c>
      <c r="R432" s="148">
        <f>IF(AND(ISNUMBER(N432),ISNUMBER(Q432),N(Q432)&gt;0),N432/Q432-1,"")</f>
        <v/>
      </c>
      <c r="S432" s="148" t="n">
        <v>83599</v>
      </c>
      <c r="T432" s="148" t="n">
        <v>5</v>
      </c>
      <c r="U432" s="148" t="n">
        <v>4.4</v>
      </c>
      <c r="V432" s="148" t="n">
        <v>14841</v>
      </c>
      <c r="W432" s="148" t="n"/>
      <c r="X432" s="148" t="n"/>
      <c r="Y432" s="148" t="n"/>
      <c r="Z432" s="148" t="n"/>
      <c r="AA432" s="148" t="n"/>
      <c r="AB432" s="148" t="n"/>
      <c r="AC432" s="148" t="inlineStr">
        <is>
          <t>US DC Silk Pillowcase</t>
        </is>
      </c>
      <c r="AD432" s="148">
        <f>'US DC Silk Pillowcase'!BF85</f>
        <v/>
      </c>
      <c r="AE432" s="148">
        <f>'US DC Silk Pillowcase'!BI85</f>
        <v/>
      </c>
      <c r="AF432" s="148" t="inlineStr">
        <is>
          <t>Standard</t>
        </is>
      </c>
      <c r="AG432" s="148" t="inlineStr">
        <is>
          <t>White</t>
        </is>
      </c>
      <c r="AH432" s="148">
        <f>AND(E432="CA",OR('CA Dashboard'!$C$4="All",'CA Dashboard'!$C$4=D432),OR('CA Dashboard'!$C$5="All",'CA Dashboard'!$C$5=G432),OR('CA Dashboard'!$C$6="All",'CA Dashboard'!$C$6=H432),OR('CA Dashboard'!$C$7="All",'CA Dashboard'!$C$7=F432),OR('CA Dashboard'!$C$8="All",'CA Dashboard'!$C$8=AJ432))</f>
        <v/>
      </c>
      <c r="AI432" s="148">
        <f>IF(AH432,AI431+1,AI431)</f>
        <v/>
      </c>
      <c r="AJ432" s="148" t="inlineStr">
        <is>
          <t>Direct</t>
        </is>
      </c>
      <c r="AK432" s="148" t="inlineStr">
        <is>
          <t>Same product (pillowcase) in the same material family: Silk (product page material: Silk); ours: our listing: mulberry silk.</t>
        </is>
      </c>
    </row>
    <row r="433">
      <c r="A433" s="148">
        <f>AND(E433="US",OR('US Dashboard'!$C$4="All",'US Dashboard'!$C$4=D433),OR('US Dashboard'!$C$5="All",'US Dashboard'!$C$5=G433),OR('US Dashboard'!$C$6="All",'US Dashboard'!$C$6=H433),OR('US Dashboard'!$C$7="All",'US Dashboard'!$C$7=F433),OR('US Dashboard'!$C$8="All",'US Dashboard'!$C$8=AJ433))</f>
        <v/>
      </c>
      <c r="B433" s="148">
        <f>IF(A433,B432+1,B432)</f>
        <v/>
      </c>
      <c r="C433" s="148" t="n">
        <v>55</v>
      </c>
      <c r="D433" s="148" t="inlineStr">
        <is>
          <t>DC Silk Pillowcase</t>
        </is>
      </c>
      <c r="E433" s="148" t="inlineStr">
        <is>
          <t>US</t>
        </is>
      </c>
      <c r="F433" s="148" t="inlineStr">
        <is>
          <t>Silk</t>
        </is>
      </c>
      <c r="G433" s="148" t="inlineStr">
        <is>
          <t>JOGJUE</t>
        </is>
      </c>
      <c r="H433" s="148" t="inlineStr">
        <is>
          <t>Untiered</t>
        </is>
      </c>
      <c r="I433" s="148" t="inlineStr">
        <is>
          <t>Silk Pillowcase</t>
        </is>
      </c>
      <c r="J433" s="148" t="inlineStr">
        <is>
          <t>https://m.media-amazon.com/images/I/51fFhUnFoiL._AC_SL1080_.jpg</t>
        </is>
      </c>
      <c r="K433" s="148" t="inlineStr">
        <is>
          <t>B094NS7KFX</t>
        </is>
      </c>
      <c r="L433" s="148" t="inlineStr">
        <is>
          <t>B07S2XV3TG</t>
        </is>
      </c>
      <c r="M433" s="148" t="n"/>
      <c r="N433" s="148" t="n">
        <v>20.99</v>
      </c>
      <c r="O433" s="148" t="n"/>
      <c r="P433" s="148">
        <f>IF(AND(ISNUMBER(O433),ISNUMBER(N433),N(N433)&gt;0),O433/N433-1,"")</f>
        <v/>
      </c>
      <c r="Q433" s="148" t="n">
        <v>44.95</v>
      </c>
      <c r="R433" s="148">
        <f>IF(AND(ISNUMBER(N433),ISNUMBER(Q433),N(Q433)&gt;0),N433/Q433-1,"")</f>
        <v/>
      </c>
      <c r="S433" s="148" t="n">
        <v>135984</v>
      </c>
      <c r="T433" s="148" t="n">
        <v>5</v>
      </c>
      <c r="U433" s="148" t="n">
        <v>4.4</v>
      </c>
      <c r="V433" s="148" t="n">
        <v>8036</v>
      </c>
      <c r="W433" s="148" t="n"/>
      <c r="X433" s="148" t="n"/>
      <c r="Y433" s="148" t="n"/>
      <c r="Z433" s="148" t="n"/>
      <c r="AA433" s="148" t="n"/>
      <c r="AB433" s="148" t="n"/>
      <c r="AC433" s="148" t="inlineStr">
        <is>
          <t>US DC Silk Pillowcase</t>
        </is>
      </c>
      <c r="AD433" s="148">
        <f>'US DC Silk Pillowcase'!BF86</f>
        <v/>
      </c>
      <c r="AE433" s="148">
        <f>'US DC Silk Pillowcase'!BI86</f>
        <v/>
      </c>
      <c r="AF433" s="148" t="inlineStr">
        <is>
          <t>Standard</t>
        </is>
      </c>
      <c r="AG433" s="148" t="inlineStr">
        <is>
          <t>Apricotgray</t>
        </is>
      </c>
      <c r="AH433" s="148">
        <f>AND(E433="CA",OR('CA Dashboard'!$C$4="All",'CA Dashboard'!$C$4=D433),OR('CA Dashboard'!$C$5="All",'CA Dashboard'!$C$5=G433),OR('CA Dashboard'!$C$6="All",'CA Dashboard'!$C$6=H433),OR('CA Dashboard'!$C$7="All",'CA Dashboard'!$C$7=F433),OR('CA Dashboard'!$C$8="All",'CA Dashboard'!$C$8=AJ433))</f>
        <v/>
      </c>
      <c r="AI433" s="148">
        <f>IF(AH433,AI432+1,AI432)</f>
        <v/>
      </c>
      <c r="AJ433" s="148" t="inlineStr">
        <is>
          <t>Direct</t>
        </is>
      </c>
      <c r="AK433" s="148" t="inlineStr">
        <is>
          <t>Same product (pillowcase) in the same material family: Silk (product page material: Silk); ours: our listing: mulberry silk.</t>
        </is>
      </c>
    </row>
    <row r="434">
      <c r="A434" s="148">
        <f>AND(E434="US",OR('US Dashboard'!$C$4="All",'US Dashboard'!$C$4=D434),OR('US Dashboard'!$C$5="All",'US Dashboard'!$C$5=G434),OR('US Dashboard'!$C$6="All",'US Dashboard'!$C$6=H434),OR('US Dashboard'!$C$7="All",'US Dashboard'!$C$7=F434),OR('US Dashboard'!$C$8="All",'US Dashboard'!$C$8=AJ434))</f>
        <v/>
      </c>
      <c r="B434" s="148">
        <f>IF(A434,B433+1,B433)</f>
        <v/>
      </c>
      <c r="C434" s="148" t="n">
        <v>55</v>
      </c>
      <c r="D434" s="148" t="inlineStr">
        <is>
          <t>DC Silk Pillowcase</t>
        </is>
      </c>
      <c r="E434" s="148" t="inlineStr">
        <is>
          <t>US</t>
        </is>
      </c>
      <c r="F434" s="148" t="inlineStr">
        <is>
          <t>Silk</t>
        </is>
      </c>
      <c r="G434" s="148" t="inlineStr">
        <is>
          <t>SGMSILK</t>
        </is>
      </c>
      <c r="H434" s="148" t="inlineStr">
        <is>
          <t>Untiered</t>
        </is>
      </c>
      <c r="I434" s="148" t="inlineStr">
        <is>
          <t>Silk Pillowcase</t>
        </is>
      </c>
      <c r="J434" s="148" t="inlineStr">
        <is>
          <t>https://m.media-amazon.com/images/I/61ODgg0HUBL._AC_SL1500_.jpg</t>
        </is>
      </c>
      <c r="K434" s="148" t="inlineStr">
        <is>
          <t>B0CM9LCN75</t>
        </is>
      </c>
      <c r="L434" s="148" t="inlineStr">
        <is>
          <t>B0CM9N244T</t>
        </is>
      </c>
      <c r="M434" s="148" t="n"/>
      <c r="N434" s="148" t="n">
        <v>20.99</v>
      </c>
      <c r="O434" s="148" t="n"/>
      <c r="P434" s="148">
        <f>IF(AND(ISNUMBER(O434),ISNUMBER(N434),N(N434)&gt;0),O434/N434-1,"")</f>
        <v/>
      </c>
      <c r="Q434" s="148" t="n">
        <v>54.95</v>
      </c>
      <c r="R434" s="148">
        <f>IF(AND(ISNUMBER(N434),ISNUMBER(Q434),N(Q434)&gt;0),N434/Q434-1,"")</f>
        <v/>
      </c>
      <c r="S434" s="148" t="n">
        <v>726721</v>
      </c>
      <c r="T434" s="148" t="n">
        <v>5</v>
      </c>
      <c r="U434" s="148" t="n">
        <v>4.5</v>
      </c>
      <c r="V434" s="148" t="n">
        <v>673</v>
      </c>
      <c r="W434" s="148" t="n"/>
      <c r="X434" s="148" t="n"/>
      <c r="Y434" s="148" t="n"/>
      <c r="Z434" s="148" t="n"/>
      <c r="AA434" s="148" t="n"/>
      <c r="AB434" s="148" t="n"/>
      <c r="AC434" s="148" t="inlineStr">
        <is>
          <t>US DC Silk Pillowcase</t>
        </is>
      </c>
      <c r="AD434" s="148">
        <f>'US DC Silk Pillowcase'!BF87</f>
        <v/>
      </c>
      <c r="AE434" s="148">
        <f>'US DC Silk Pillowcase'!BI87</f>
        <v/>
      </c>
      <c r="AF434" s="148" t="inlineStr">
        <is>
          <t>King 20"x36"</t>
        </is>
      </c>
      <c r="AG434" s="148" t="inlineStr">
        <is>
          <t>Red</t>
        </is>
      </c>
      <c r="AH434" s="148">
        <f>AND(E434="CA",OR('CA Dashboard'!$C$4="All",'CA Dashboard'!$C$4=D434),OR('CA Dashboard'!$C$5="All",'CA Dashboard'!$C$5=G434),OR('CA Dashboard'!$C$6="All",'CA Dashboard'!$C$6=H434),OR('CA Dashboard'!$C$7="All",'CA Dashboard'!$C$7=F434),OR('CA Dashboard'!$C$8="All",'CA Dashboard'!$C$8=AJ434))</f>
        <v/>
      </c>
      <c r="AI434" s="148">
        <f>IF(AH434,AI433+1,AI433)</f>
        <v/>
      </c>
      <c r="AJ434" s="148" t="inlineStr">
        <is>
          <t>Direct</t>
        </is>
      </c>
      <c r="AK434" s="148" t="inlineStr">
        <is>
          <t>Same product (pillowcase) in the same material family: Silk (product page material: Mulberry Silk, Organic Wood Pulp Fiber); ours: our listing: mulberry silk.</t>
        </is>
      </c>
    </row>
    <row r="435">
      <c r="A435" s="148">
        <f>AND(E435="US",OR('US Dashboard'!$C$4="All",'US Dashboard'!$C$4=D435),OR('US Dashboard'!$C$5="All",'US Dashboard'!$C$5=G435),OR('US Dashboard'!$C$6="All",'US Dashboard'!$C$6=H435),OR('US Dashboard'!$C$7="All",'US Dashboard'!$C$7=F435),OR('US Dashboard'!$C$8="All",'US Dashboard'!$C$8=AJ435))</f>
        <v/>
      </c>
      <c r="B435" s="148">
        <f>IF(A435,B434+1,B434)</f>
        <v/>
      </c>
      <c r="C435" s="148" t="n">
        <v>55</v>
      </c>
      <c r="D435" s="148" t="inlineStr">
        <is>
          <t>DC Silk Pillowcase</t>
        </is>
      </c>
      <c r="E435" s="148" t="inlineStr">
        <is>
          <t>US</t>
        </is>
      </c>
      <c r="F435" s="148" t="inlineStr">
        <is>
          <t>Silk</t>
        </is>
      </c>
      <c r="G435" s="148" t="inlineStr">
        <is>
          <t>Slpbaby</t>
        </is>
      </c>
      <c r="H435" s="148" t="inlineStr">
        <is>
          <t>Untiered</t>
        </is>
      </c>
      <c r="I435" s="148" t="inlineStr">
        <is>
          <t>Silk Pillowcase</t>
        </is>
      </c>
      <c r="J435" s="148" t="inlineStr">
        <is>
          <t>https://m.media-amazon.com/images/I/71oeYErDjFL._AC_SL1200_.jpg</t>
        </is>
      </c>
      <c r="K435" s="148" t="inlineStr">
        <is>
          <t>B075CNDRFJ</t>
        </is>
      </c>
      <c r="L435" s="148" t="inlineStr">
        <is>
          <t>B07TV3NVNX</t>
        </is>
      </c>
      <c r="M435" s="148" t="n"/>
      <c r="N435" s="148" t="n">
        <v>22.99</v>
      </c>
      <c r="O435" s="148" t="n"/>
      <c r="P435" s="148">
        <f>IF(AND(ISNUMBER(O435),ISNUMBER(N435),N(N435)&gt;0),O435/N435-1,"")</f>
        <v/>
      </c>
      <c r="Q435" s="148" t="n">
        <v>44.95</v>
      </c>
      <c r="R435" s="148">
        <f>IF(AND(ISNUMBER(N435),ISNUMBER(Q435),N(Q435)&gt;0),N435/Q435-1,"")</f>
        <v/>
      </c>
      <c r="S435" s="148" t="n">
        <v>48946</v>
      </c>
      <c r="T435" s="148" t="n">
        <v>5</v>
      </c>
      <c r="U435" s="148" t="n">
        <v>4.7</v>
      </c>
      <c r="V435" s="148" t="n">
        <v>21427</v>
      </c>
      <c r="W435" s="148" t="n"/>
      <c r="X435" s="148" t="n"/>
      <c r="Y435" s="148" t="n"/>
      <c r="Z435" s="148" t="n"/>
      <c r="AA435" s="148" t="n"/>
      <c r="AB435" s="148" t="n"/>
      <c r="AC435" s="148" t="inlineStr">
        <is>
          <t>US DC Silk Pillowcase</t>
        </is>
      </c>
      <c r="AD435" s="148">
        <f>'US DC Silk Pillowcase'!BF88</f>
        <v/>
      </c>
      <c r="AE435" s="148">
        <f>'US DC Silk Pillowcase'!BI88</f>
        <v/>
      </c>
      <c r="AF435" s="148" t="inlineStr">
        <is>
          <t>Standard</t>
        </is>
      </c>
      <c r="AG435" s="148" t="inlineStr">
        <is>
          <t>Pattern26</t>
        </is>
      </c>
      <c r="AH435" s="148">
        <f>AND(E435="CA",OR('CA Dashboard'!$C$4="All",'CA Dashboard'!$C$4=D435),OR('CA Dashboard'!$C$5="All",'CA Dashboard'!$C$5=G435),OR('CA Dashboard'!$C$6="All",'CA Dashboard'!$C$6=H435),OR('CA Dashboard'!$C$7="All",'CA Dashboard'!$C$7=F435),OR('CA Dashboard'!$C$8="All",'CA Dashboard'!$C$8=AJ435))</f>
        <v/>
      </c>
      <c r="AI435" s="148">
        <f>IF(AH435,AI434+1,AI434)</f>
        <v/>
      </c>
      <c r="AJ435" s="148" t="inlineStr">
        <is>
          <t>Direct</t>
        </is>
      </c>
      <c r="AK435" s="148" t="inlineStr">
        <is>
          <t>Same product (pillowcase) in the same material family: Silk (product page material: Silk); ours: our listing: mulberry silk.</t>
        </is>
      </c>
    </row>
    <row r="436">
      <c r="A436" s="148">
        <f>AND(E436="US",OR('US Dashboard'!$C$4="All",'US Dashboard'!$C$4=D436),OR('US Dashboard'!$C$5="All",'US Dashboard'!$C$5=G436),OR('US Dashboard'!$C$6="All",'US Dashboard'!$C$6=H436),OR('US Dashboard'!$C$7="All",'US Dashboard'!$C$7=F436),OR('US Dashboard'!$C$8="All",'US Dashboard'!$C$8=AJ436))</f>
        <v/>
      </c>
      <c r="B436" s="148">
        <f>IF(A436,B435+1,B435)</f>
        <v/>
      </c>
      <c r="C436" s="148" t="n">
        <v>55</v>
      </c>
      <c r="D436" s="148" t="inlineStr">
        <is>
          <t>DC Silk Pillowcase</t>
        </is>
      </c>
      <c r="E436" s="148" t="inlineStr">
        <is>
          <t>US</t>
        </is>
      </c>
      <c r="F436" s="148" t="inlineStr">
        <is>
          <t>Silk</t>
        </is>
      </c>
      <c r="G436" s="148" t="inlineStr">
        <is>
          <t>BLISSFORD</t>
        </is>
      </c>
      <c r="H436" s="148" t="inlineStr">
        <is>
          <t>Untiered</t>
        </is>
      </c>
      <c r="I436" s="148" t="inlineStr">
        <is>
          <t>Silk Pillowcase</t>
        </is>
      </c>
      <c r="J436" s="148" t="inlineStr">
        <is>
          <t>https://m.media-amazon.com/images/I/51cjk283LDL._AC_SL1000_.jpg</t>
        </is>
      </c>
      <c r="K436" s="148" t="inlineStr">
        <is>
          <t>B0FXBTQ86V</t>
        </is>
      </c>
      <c r="L436" s="148" t="inlineStr">
        <is>
          <t>B01N0Z6HVO</t>
        </is>
      </c>
      <c r="M436" s="148" t="n"/>
      <c r="N436" s="148" t="n">
        <v>13.99</v>
      </c>
      <c r="O436" s="148" t="n"/>
      <c r="P436" s="148">
        <f>IF(AND(ISNUMBER(O436),ISNUMBER(N436),N(N436)&gt;0),O436/N436-1,"")</f>
        <v/>
      </c>
      <c r="Q436" s="148" t="n">
        <v>50.20344827586207</v>
      </c>
      <c r="R436" s="148">
        <f>IF(AND(ISNUMBER(N436),ISNUMBER(Q436),N(Q436)&gt;0),N436/Q436-1,"")</f>
        <v/>
      </c>
      <c r="S436" s="148" t="n">
        <v>2452</v>
      </c>
      <c r="T436" s="148" t="n">
        <v>220</v>
      </c>
      <c r="U436" s="148" t="n">
        <v>4.6</v>
      </c>
      <c r="V436" s="148" t="n">
        <v>55029</v>
      </c>
      <c r="W436" s="148" t="n"/>
      <c r="X436" s="148" t="n"/>
      <c r="Y436" s="148" t="n"/>
      <c r="Z436" s="148" t="n"/>
      <c r="AA436" s="148" t="n"/>
      <c r="AB436" s="148" t="n"/>
      <c r="AC436" s="148" t="inlineStr">
        <is>
          <t>US DC Silk Pillowcase</t>
        </is>
      </c>
      <c r="AD436" s="148">
        <f>'US DC Silk Pillowcase'!BF89</f>
        <v/>
      </c>
      <c r="AE436" s="148">
        <f>'US DC Silk Pillowcase'!BI89</f>
        <v/>
      </c>
      <c r="AF436" s="148" t="inlineStr">
        <is>
          <t>Standard (2-pack)</t>
        </is>
      </c>
      <c r="AG436" s="148" t="inlineStr">
        <is>
          <t>Brown</t>
        </is>
      </c>
      <c r="AH436" s="148">
        <f>AND(E436="CA",OR('CA Dashboard'!$C$4="All",'CA Dashboard'!$C$4=D436),OR('CA Dashboard'!$C$5="All",'CA Dashboard'!$C$5=G436),OR('CA Dashboard'!$C$6="All",'CA Dashboard'!$C$6=H436),OR('CA Dashboard'!$C$7="All",'CA Dashboard'!$C$7=F436),OR('CA Dashboard'!$C$8="All",'CA Dashboard'!$C$8=AJ436))</f>
        <v/>
      </c>
      <c r="AI436" s="148">
        <f>IF(AH436,AI435+1,AI435)</f>
        <v/>
      </c>
      <c r="AJ436" s="148" t="inlineStr">
        <is>
          <t>Alternative material</t>
        </is>
      </c>
      <c r="AK436" s="148" t="inlineStr">
        <is>
          <t>Pillowcase in Microfiber / polyester (product page material: Polyester); ours is Silk (our listing: mulberry silk). Shopper may cross-shop, but not like-for-like.</t>
        </is>
      </c>
    </row>
    <row r="437">
      <c r="A437" s="148">
        <f>AND(E437="US",OR('US Dashboard'!$C$4="All",'US Dashboard'!$C$4=D437),OR('US Dashboard'!$C$5="All",'US Dashboard'!$C$5=G437),OR('US Dashboard'!$C$6="All",'US Dashboard'!$C$6=H437),OR('US Dashboard'!$C$7="All",'US Dashboard'!$C$7=F437),OR('US Dashboard'!$C$8="All",'US Dashboard'!$C$8=AJ437))</f>
        <v/>
      </c>
      <c r="B437" s="148">
        <f>IF(A437,B436+1,B436)</f>
        <v/>
      </c>
      <c r="C437" s="148" t="n">
        <v>56</v>
      </c>
      <c r="D437" s="148" t="inlineStr">
        <is>
          <t>SL Mask Contoured</t>
        </is>
      </c>
      <c r="E437" s="148" t="inlineStr">
        <is>
          <t>US</t>
        </is>
      </c>
      <c r="F437" s="148" t="inlineStr">
        <is>
          <t>Silk</t>
        </is>
      </c>
      <c r="G437" s="148" t="inlineStr">
        <is>
          <t>MZOO</t>
        </is>
      </c>
      <c r="H437" s="148" t="inlineStr">
        <is>
          <t>Aspirational</t>
        </is>
      </c>
      <c r="I437" s="148" t="inlineStr">
        <is>
          <t>SS Silk Sleep Mask - Contoured</t>
        </is>
      </c>
      <c r="J437" s="148" t="inlineStr">
        <is>
          <t>https://m.media-amazon.com/images/I/71SMSJDNOBL._AC_SL1500_.jpg</t>
        </is>
      </c>
      <c r="K437" s="148" t="inlineStr">
        <is>
          <t>B0BQD58J7V</t>
        </is>
      </c>
      <c r="L437" s="148" t="inlineStr">
        <is>
          <t>B07KC5DWCC</t>
        </is>
      </c>
      <c r="M437" s="148" t="n"/>
      <c r="N437" s="148" t="n">
        <v>13.99</v>
      </c>
      <c r="O437" s="148" t="n">
        <v>17.99</v>
      </c>
      <c r="P437" s="148">
        <f>IF(AND(ISNUMBER(O437),ISNUMBER(N437),N(N437)&gt;0),O437/N437-1,"")</f>
        <v/>
      </c>
      <c r="Q437" s="148" t="n">
        <v>25.95</v>
      </c>
      <c r="R437" s="148">
        <f>IF(AND(ISNUMBER(N437),ISNUMBER(Q437),N(Q437)&gt;0),N437/Q437-1,"")</f>
        <v/>
      </c>
      <c r="S437" s="148" t="n">
        <v>263</v>
      </c>
      <c r="T437" s="148" t="n">
        <v>13857</v>
      </c>
      <c r="U437" s="148" t="n">
        <v>4.6</v>
      </c>
      <c r="V437" s="148" t="n">
        <v>101412</v>
      </c>
      <c r="W437" s="148" t="n"/>
      <c r="X437" s="148" t="n"/>
      <c r="Y437" s="148" t="n"/>
      <c r="Z437" s="148" t="n"/>
      <c r="AA437" s="148" t="n"/>
      <c r="AB437" s="148" t="n">
        <v>1.060881633249334</v>
      </c>
      <c r="AC437" s="148" t="inlineStr">
        <is>
          <t>US SL Mask Contoured</t>
        </is>
      </c>
      <c r="AD437" s="148">
        <f>'US SL Mask Contoured'!BF44</f>
        <v/>
      </c>
      <c r="AE437" s="148">
        <f>'US SL Mask Contoured'!BI44</f>
        <v/>
      </c>
      <c r="AF437" s="148" t="n"/>
      <c r="AG437" s="148" t="n"/>
      <c r="AH437" s="148">
        <f>AND(E437="CA",OR('CA Dashboard'!$C$4="All",'CA Dashboard'!$C$4=D437),OR('CA Dashboard'!$C$5="All",'CA Dashboard'!$C$5=G437),OR('CA Dashboard'!$C$6="All",'CA Dashboard'!$C$6=H437),OR('CA Dashboard'!$C$7="All",'CA Dashboard'!$C$7=F437),OR('CA Dashboard'!$C$8="All",'CA Dashboard'!$C$8=AJ437))</f>
        <v/>
      </c>
      <c r="AI437" s="148">
        <f>IF(AH437,AI436+1,AI436)</f>
        <v/>
      </c>
      <c r="AJ437" s="148" t="inlineStr">
        <is>
          <t>Not classified</t>
        </is>
      </c>
      <c r="AK437" s="148" t="inlineStr">
        <is>
          <t>Not a sheet, pillowcase or comforter product; competitors are compared on price and sales only.</t>
        </is>
      </c>
    </row>
    <row r="438">
      <c r="A438" s="148">
        <f>AND(E438="US",OR('US Dashboard'!$C$4="All",'US Dashboard'!$C$4=D438),OR('US Dashboard'!$C$5="All",'US Dashboard'!$C$5=G438),OR('US Dashboard'!$C$6="All",'US Dashboard'!$C$6=H438),OR('US Dashboard'!$C$7="All",'US Dashboard'!$C$7=F438),OR('US Dashboard'!$C$8="All",'US Dashboard'!$C$8=AJ438))</f>
        <v/>
      </c>
      <c r="B438" s="148">
        <f>IF(A438,B437+1,B437)</f>
        <v/>
      </c>
      <c r="C438" s="148" t="n">
        <v>56</v>
      </c>
      <c r="D438" s="148" t="inlineStr">
        <is>
          <t>SL Mask Contoured</t>
        </is>
      </c>
      <c r="E438" s="148" t="inlineStr">
        <is>
          <t>US</t>
        </is>
      </c>
      <c r="F438" s="148" t="inlineStr">
        <is>
          <t>Silk</t>
        </is>
      </c>
      <c r="G438" s="148" t="inlineStr">
        <is>
          <t>LitBear</t>
        </is>
      </c>
      <c r="H438" s="148" t="inlineStr">
        <is>
          <t>Aspirational</t>
        </is>
      </c>
      <c r="I438" s="148" t="inlineStr">
        <is>
          <t>SS Silk Sleep Mask</t>
        </is>
      </c>
      <c r="J438" s="148" t="inlineStr">
        <is>
          <t>https://m.media-amazon.com/images/I/813M0YqSLzL._AC_SL1500_.jpg</t>
        </is>
      </c>
      <c r="K438" s="148" t="inlineStr">
        <is>
          <t>B09YQ2GFGB</t>
        </is>
      </c>
      <c r="L438" s="148" t="inlineStr">
        <is>
          <t>B09H7FZ5JM</t>
        </is>
      </c>
      <c r="M438" s="148" t="n"/>
      <c r="N438" s="148" t="n">
        <v>12.95</v>
      </c>
      <c r="O438" s="148" t="n">
        <v>14.39</v>
      </c>
      <c r="P438" s="148">
        <f>IF(AND(ISNUMBER(O438),ISNUMBER(N438),N(N438)&gt;0),O438/N438-1,"")</f>
        <v/>
      </c>
      <c r="Q438" s="148" t="n">
        <v>25.95</v>
      </c>
      <c r="R438" s="148">
        <f>IF(AND(ISNUMBER(N438),ISNUMBER(Q438),N(Q438)&gt;0),N438/Q438-1,"")</f>
        <v/>
      </c>
      <c r="S438" s="148" t="n">
        <v>1574</v>
      </c>
      <c r="T438" s="148" t="n">
        <v>3464</v>
      </c>
      <c r="U438" s="148" t="n">
        <v>4.7</v>
      </c>
      <c r="V438" s="148" t="n">
        <v>17354</v>
      </c>
      <c r="W438" s="148" t="n"/>
      <c r="X438" s="148" t="n"/>
      <c r="Y438" s="148" t="n"/>
      <c r="Z438" s="148" t="n"/>
      <c r="AA438" s="148" t="n"/>
      <c r="AB438" s="148" t="n">
        <v>0.9930349542112731</v>
      </c>
      <c r="AC438" s="148" t="inlineStr">
        <is>
          <t>US SL Mask Contoured</t>
        </is>
      </c>
      <c r="AD438" s="148">
        <f>'US SL Mask Contoured'!BF45</f>
        <v/>
      </c>
      <c r="AE438" s="148">
        <f>'US SL Mask Contoured'!BI45</f>
        <v/>
      </c>
      <c r="AF438" s="148" t="n"/>
      <c r="AG438" s="148" t="n"/>
      <c r="AH438" s="148">
        <f>AND(E438="CA",OR('CA Dashboard'!$C$4="All",'CA Dashboard'!$C$4=D438),OR('CA Dashboard'!$C$5="All",'CA Dashboard'!$C$5=G438),OR('CA Dashboard'!$C$6="All",'CA Dashboard'!$C$6=H438),OR('CA Dashboard'!$C$7="All",'CA Dashboard'!$C$7=F438),OR('CA Dashboard'!$C$8="All",'CA Dashboard'!$C$8=AJ438))</f>
        <v/>
      </c>
      <c r="AI438" s="148">
        <f>IF(AH438,AI437+1,AI437)</f>
        <v/>
      </c>
      <c r="AJ438" s="148" t="inlineStr">
        <is>
          <t>Not classified</t>
        </is>
      </c>
      <c r="AK438" s="148" t="inlineStr">
        <is>
          <t>Not a sheet, pillowcase or comforter product; competitors are compared on price and sales only.</t>
        </is>
      </c>
    </row>
    <row r="439">
      <c r="A439" s="148">
        <f>AND(E439="US",OR('US Dashboard'!$C$4="All",'US Dashboard'!$C$4=D439),OR('US Dashboard'!$C$5="All",'US Dashboard'!$C$5=G439),OR('US Dashboard'!$C$6="All",'US Dashboard'!$C$6=H439),OR('US Dashboard'!$C$7="All",'US Dashboard'!$C$7=F439),OR('US Dashboard'!$C$8="All",'US Dashboard'!$C$8=AJ439))</f>
        <v/>
      </c>
      <c r="B439" s="148">
        <f>IF(A439,B438+1,B438)</f>
        <v/>
      </c>
      <c r="C439" s="148" t="n">
        <v>56</v>
      </c>
      <c r="D439" s="148" t="inlineStr">
        <is>
          <t>SL Mask Contoured</t>
        </is>
      </c>
      <c r="E439" s="148" t="inlineStr">
        <is>
          <t>US</t>
        </is>
      </c>
      <c r="F439" s="148" t="inlineStr">
        <is>
          <t>Silk</t>
        </is>
      </c>
      <c r="G439" s="148" t="inlineStr">
        <is>
          <t>Kitsch</t>
        </is>
      </c>
      <c r="H439" s="148" t="inlineStr">
        <is>
          <t>Aspirational</t>
        </is>
      </c>
      <c r="I439" s="148" t="inlineStr">
        <is>
          <t>SS Silk Sleep Mask</t>
        </is>
      </c>
      <c r="J439" s="148" t="inlineStr">
        <is>
          <t>https://m.media-amazon.com/images/I/81SKo-F-qLL._AC_SL1500_.jpg</t>
        </is>
      </c>
      <c r="K439" s="148" t="inlineStr">
        <is>
          <t>B0FNPM9ZM4</t>
        </is>
      </c>
      <c r="L439" s="148" t="inlineStr">
        <is>
          <t>B09GYPT47K</t>
        </is>
      </c>
      <c r="M439" s="148" t="n"/>
      <c r="N439" s="148" t="n">
        <v>14.39</v>
      </c>
      <c r="O439" s="148" t="n">
        <v>17.99</v>
      </c>
      <c r="P439" s="148">
        <f>IF(AND(ISNUMBER(O439),ISNUMBER(N439),N(N439)&gt;0),O439/N439-1,"")</f>
        <v/>
      </c>
      <c r="Q439" s="148" t="n">
        <v>25.95</v>
      </c>
      <c r="R439" s="148">
        <f>IF(AND(ISNUMBER(N439),ISNUMBER(Q439),N(Q439)&gt;0),N439/Q439-1,"")</f>
        <v/>
      </c>
      <c r="S439" s="148" t="n">
        <v>1837</v>
      </c>
      <c r="T439" s="148" t="n">
        <v>1848</v>
      </c>
      <c r="U439" s="148" t="n">
        <v>4.3</v>
      </c>
      <c r="V439" s="148" t="n">
        <v>1648</v>
      </c>
      <c r="W439" s="148" t="n"/>
      <c r="X439" s="148" t="n"/>
      <c r="Y439" s="148" t="n"/>
      <c r="Z439" s="148" t="n"/>
      <c r="AA439" s="148" t="n"/>
      <c r="AB439" s="148" t="n"/>
      <c r="AC439" s="148" t="inlineStr">
        <is>
          <t>US SL Mask Contoured</t>
        </is>
      </c>
      <c r="AD439" s="148">
        <f>'US SL Mask Contoured'!BF46</f>
        <v/>
      </c>
      <c r="AE439" s="148">
        <f>'US SL Mask Contoured'!BI46</f>
        <v/>
      </c>
      <c r="AF439" s="148" t="n"/>
      <c r="AG439" s="148" t="n"/>
      <c r="AH439" s="148">
        <f>AND(E439="CA",OR('CA Dashboard'!$C$4="All",'CA Dashboard'!$C$4=D439),OR('CA Dashboard'!$C$5="All",'CA Dashboard'!$C$5=G439),OR('CA Dashboard'!$C$6="All",'CA Dashboard'!$C$6=H439),OR('CA Dashboard'!$C$7="All",'CA Dashboard'!$C$7=F439),OR('CA Dashboard'!$C$8="All",'CA Dashboard'!$C$8=AJ439))</f>
        <v/>
      </c>
      <c r="AI439" s="148">
        <f>IF(AH439,AI438+1,AI438)</f>
        <v/>
      </c>
      <c r="AJ439" s="148" t="inlineStr">
        <is>
          <t>Not classified</t>
        </is>
      </c>
      <c r="AK439" s="148" t="inlineStr">
        <is>
          <t>Not a sheet, pillowcase or comforter product; competitors are compared on price and sales only.</t>
        </is>
      </c>
    </row>
    <row r="440">
      <c r="A440" s="148">
        <f>AND(E440="US",OR('US Dashboard'!$C$4="All",'US Dashboard'!$C$4=D440),OR('US Dashboard'!$C$5="All",'US Dashboard'!$C$5=G440),OR('US Dashboard'!$C$6="All",'US Dashboard'!$C$6=H440),OR('US Dashboard'!$C$7="All",'US Dashboard'!$C$7=F440),OR('US Dashboard'!$C$8="All",'US Dashboard'!$C$8=AJ440))</f>
        <v/>
      </c>
      <c r="B440" s="148">
        <f>IF(A440,B439+1,B439)</f>
        <v/>
      </c>
      <c r="C440" s="148" t="n">
        <v>56</v>
      </c>
      <c r="D440" s="148" t="inlineStr">
        <is>
          <t>SL Mask Contoured</t>
        </is>
      </c>
      <c r="E440" s="148" t="inlineStr">
        <is>
          <t>US</t>
        </is>
      </c>
      <c r="F440" s="148" t="inlineStr">
        <is>
          <t>Silk</t>
        </is>
      </c>
      <c r="G440" s="148" t="inlineStr">
        <is>
          <t>YFONG</t>
        </is>
      </c>
      <c r="H440" s="148" t="inlineStr">
        <is>
          <t>Aspirational</t>
        </is>
      </c>
      <c r="I440" s="148" t="inlineStr">
        <is>
          <t>SS Silk Sleep Mask - Contoured</t>
        </is>
      </c>
      <c r="J440" s="148" t="inlineStr">
        <is>
          <t>https://m.media-amazon.com/images/I/71QDYaolCbL._AC_SL1500_.jpg</t>
        </is>
      </c>
      <c r="K440" s="148" t="inlineStr">
        <is>
          <t>B0F1MYF2WL</t>
        </is>
      </c>
      <c r="L440" s="148" t="inlineStr">
        <is>
          <t>B09C5PD9VD</t>
        </is>
      </c>
      <c r="M440" s="148" t="n"/>
      <c r="N440" s="148" t="n">
        <v>14.39</v>
      </c>
      <c r="O440" s="148" t="n"/>
      <c r="P440" s="148">
        <f>IF(AND(ISNUMBER(O440),ISNUMBER(N440),N(N440)&gt;0),O440/N440-1,"")</f>
        <v/>
      </c>
      <c r="Q440" s="148" t="n">
        <v>25.95</v>
      </c>
      <c r="R440" s="148">
        <f>IF(AND(ISNUMBER(N440),ISNUMBER(Q440),N(Q440)&gt;0),N440/Q440-1,"")</f>
        <v/>
      </c>
      <c r="S440" s="148" t="n">
        <v>5419</v>
      </c>
      <c r="T440" s="148" t="n">
        <v>1848</v>
      </c>
      <c r="U440" s="148" t="n">
        <v>4.6</v>
      </c>
      <c r="V440" s="148" t="n">
        <v>8046</v>
      </c>
      <c r="W440" s="148" t="n"/>
      <c r="X440" s="148" t="n"/>
      <c r="Y440" s="148" t="n"/>
      <c r="Z440" s="148" t="n"/>
      <c r="AA440" s="148" t="n"/>
      <c r="AB440" s="148" t="n">
        <v>1.063945578231293</v>
      </c>
      <c r="AC440" s="148" t="inlineStr">
        <is>
          <t>US SL Mask Contoured</t>
        </is>
      </c>
      <c r="AD440" s="148">
        <f>'US SL Mask Contoured'!BF47</f>
        <v/>
      </c>
      <c r="AE440" s="148">
        <f>'US SL Mask Contoured'!BI47</f>
        <v/>
      </c>
      <c r="AF440" s="148" t="n"/>
      <c r="AG440" s="148" t="n"/>
      <c r="AH440" s="148">
        <f>AND(E440="CA",OR('CA Dashboard'!$C$4="All",'CA Dashboard'!$C$4=D440),OR('CA Dashboard'!$C$5="All",'CA Dashboard'!$C$5=G440),OR('CA Dashboard'!$C$6="All",'CA Dashboard'!$C$6=H440),OR('CA Dashboard'!$C$7="All",'CA Dashboard'!$C$7=F440),OR('CA Dashboard'!$C$8="All",'CA Dashboard'!$C$8=AJ440))</f>
        <v/>
      </c>
      <c r="AI440" s="148">
        <f>IF(AH440,AI439+1,AI439)</f>
        <v/>
      </c>
      <c r="AJ440" s="148" t="inlineStr">
        <is>
          <t>Not classified</t>
        </is>
      </c>
      <c r="AK440" s="148" t="inlineStr">
        <is>
          <t>Not a sheet, pillowcase or comforter product; competitors are compared on price and sales only.</t>
        </is>
      </c>
    </row>
    <row r="441">
      <c r="A441" s="148">
        <f>AND(E441="US",OR('US Dashboard'!$C$4="All",'US Dashboard'!$C$4=D441),OR('US Dashboard'!$C$5="All",'US Dashboard'!$C$5=G441),OR('US Dashboard'!$C$6="All",'US Dashboard'!$C$6=H441),OR('US Dashboard'!$C$7="All",'US Dashboard'!$C$7=F441),OR('US Dashboard'!$C$8="All",'US Dashboard'!$C$8=AJ441))</f>
        <v/>
      </c>
      <c r="B441" s="148">
        <f>IF(A441,B440+1,B440)</f>
        <v/>
      </c>
      <c r="C441" s="148" t="n">
        <v>56</v>
      </c>
      <c r="D441" s="148" t="inlineStr">
        <is>
          <t>SL Mask Contoured</t>
        </is>
      </c>
      <c r="E441" s="148" t="inlineStr">
        <is>
          <t>US</t>
        </is>
      </c>
      <c r="F441" s="148" t="inlineStr">
        <is>
          <t>Silk</t>
        </is>
      </c>
      <c r="G441" s="148" t="inlineStr">
        <is>
          <t>FengXinZi Store</t>
        </is>
      </c>
      <c r="H441" s="148" t="inlineStr">
        <is>
          <t>Aspirational</t>
        </is>
      </c>
      <c r="I441" s="148" t="inlineStr">
        <is>
          <t>SS Silk Sleep Mask - Contoured</t>
        </is>
      </c>
      <c r="J441" s="148" t="inlineStr">
        <is>
          <t>https://m.media-amazon.com/images/I/61vbS5WX-fL._AC_SL1495_.jpg</t>
        </is>
      </c>
      <c r="K441" s="148" t="inlineStr">
        <is>
          <t>B09YRXKX5Z</t>
        </is>
      </c>
      <c r="L441" s="148" t="inlineStr">
        <is>
          <t>B09YRX2F83</t>
        </is>
      </c>
      <c r="M441" s="148" t="n"/>
      <c r="N441" s="148" t="n">
        <v>9.98</v>
      </c>
      <c r="O441" s="148" t="n"/>
      <c r="P441" s="148">
        <f>IF(AND(ISNUMBER(O441),ISNUMBER(N441),N(N441)&gt;0),O441/N441-1,"")</f>
        <v/>
      </c>
      <c r="Q441" s="148" t="n">
        <v>25.95</v>
      </c>
      <c r="R441" s="148">
        <f>IF(AND(ISNUMBER(N441),ISNUMBER(Q441),N(Q441)&gt;0),N441/Q441-1,"")</f>
        <v/>
      </c>
      <c r="S441" s="148" t="n">
        <v>4808</v>
      </c>
      <c r="T441" s="148" t="n">
        <v>1732</v>
      </c>
      <c r="U441" s="148" t="n">
        <v>4.6</v>
      </c>
      <c r="V441" s="148" t="n">
        <v>3765</v>
      </c>
      <c r="W441" s="148" t="n"/>
      <c r="X441" s="148" t="n"/>
      <c r="Y441" s="148" t="n"/>
      <c r="Z441" s="148" t="n"/>
      <c r="AA441" s="148" t="n"/>
      <c r="AB441" s="148" t="n">
        <v>1.008796041781199</v>
      </c>
      <c r="AC441" s="148" t="inlineStr">
        <is>
          <t>US SL Mask Contoured</t>
        </is>
      </c>
      <c r="AD441" s="148">
        <f>'US SL Mask Contoured'!BF48</f>
        <v/>
      </c>
      <c r="AE441" s="148">
        <f>'US SL Mask Contoured'!BI48</f>
        <v/>
      </c>
      <c r="AF441" s="148" t="n"/>
      <c r="AG441" s="148" t="n"/>
      <c r="AH441" s="148">
        <f>AND(E441="CA",OR('CA Dashboard'!$C$4="All",'CA Dashboard'!$C$4=D441),OR('CA Dashboard'!$C$5="All",'CA Dashboard'!$C$5=G441),OR('CA Dashboard'!$C$6="All",'CA Dashboard'!$C$6=H441),OR('CA Dashboard'!$C$7="All",'CA Dashboard'!$C$7=F441),OR('CA Dashboard'!$C$8="All",'CA Dashboard'!$C$8=AJ441))</f>
        <v/>
      </c>
      <c r="AI441" s="148">
        <f>IF(AH441,AI440+1,AI440)</f>
        <v/>
      </c>
      <c r="AJ441" s="148" t="inlineStr">
        <is>
          <t>Not classified</t>
        </is>
      </c>
      <c r="AK441" s="148" t="inlineStr">
        <is>
          <t>Not a sheet, pillowcase or comforter product; competitors are compared on price and sales only.</t>
        </is>
      </c>
    </row>
    <row r="442">
      <c r="A442" s="148">
        <f>AND(E442="US",OR('US Dashboard'!$C$4="All",'US Dashboard'!$C$4=D442),OR('US Dashboard'!$C$5="All",'US Dashboard'!$C$5=G442),OR('US Dashboard'!$C$6="All",'US Dashboard'!$C$6=H442),OR('US Dashboard'!$C$7="All",'US Dashboard'!$C$7=F442),OR('US Dashboard'!$C$8="All",'US Dashboard'!$C$8=AJ442))</f>
        <v/>
      </c>
      <c r="B442" s="148">
        <f>IF(A442,B441+1,B441)</f>
        <v/>
      </c>
      <c r="C442" s="148" t="n">
        <v>56</v>
      </c>
      <c r="D442" s="148" t="inlineStr">
        <is>
          <t>SL Mask Contoured</t>
        </is>
      </c>
      <c r="E442" s="148" t="inlineStr">
        <is>
          <t>US</t>
        </is>
      </c>
      <c r="F442" s="148" t="inlineStr">
        <is>
          <t>Silk</t>
        </is>
      </c>
      <c r="G442" s="148" t="inlineStr">
        <is>
          <t>LULUSILK</t>
        </is>
      </c>
      <c r="H442" s="148" t="inlineStr">
        <is>
          <t>Aspirational</t>
        </is>
      </c>
      <c r="I442" s="148" t="inlineStr">
        <is>
          <t>SS Silk Sleep Mask</t>
        </is>
      </c>
      <c r="J442" s="148" t="inlineStr">
        <is>
          <t>https://m.media-amazon.com/images/I/61obj0CqXCL._AC_SL1500_.jpg</t>
        </is>
      </c>
      <c r="K442" s="148" t="inlineStr">
        <is>
          <t>B074TBH52S</t>
        </is>
      </c>
      <c r="L442" s="148" t="inlineStr">
        <is>
          <t>B074TBYWGS</t>
        </is>
      </c>
      <c r="M442" s="148" t="n">
        <v>7</v>
      </c>
      <c r="N442" s="148" t="n">
        <v>9.99</v>
      </c>
      <c r="O442" s="148" t="n"/>
      <c r="P442" s="148">
        <f>IF(AND(ISNUMBER(O442),ISNUMBER(N442),N(N442)&gt;0),O442/N442-1,"")</f>
        <v/>
      </c>
      <c r="Q442" s="148" t="n">
        <v>25.95</v>
      </c>
      <c r="R442" s="148">
        <f>IF(AND(ISNUMBER(N442),ISNUMBER(Q442),N(Q442)&gt;0),N442/Q442-1,"")</f>
        <v/>
      </c>
      <c r="S442" s="148" t="n">
        <v>8556</v>
      </c>
      <c r="T442" s="148" t="n">
        <v>809</v>
      </c>
      <c r="U442" s="148" t="n">
        <v>4.4</v>
      </c>
      <c r="V442" s="148" t="n">
        <v>12325</v>
      </c>
      <c r="W442" s="148" t="n">
        <v>106430</v>
      </c>
      <c r="X442" s="148" t="n">
        <v>0.9607324494973225</v>
      </c>
      <c r="Y442" s="148" t="n">
        <v>2</v>
      </c>
      <c r="Z442" s="148" t="n">
        <v>34</v>
      </c>
      <c r="AA442" s="148" t="n">
        <v>135</v>
      </c>
      <c r="AB442" s="148" t="n">
        <v>1.562836624775583</v>
      </c>
      <c r="AC442" s="148" t="inlineStr">
        <is>
          <t>US SL Mask Contoured</t>
        </is>
      </c>
      <c r="AD442" s="148">
        <f>'US SL Mask Contoured'!BF49</f>
        <v/>
      </c>
      <c r="AE442" s="148">
        <f>'US SL Mask Contoured'!BI49</f>
        <v/>
      </c>
      <c r="AF442" s="148" t="n"/>
      <c r="AG442" s="148" t="n"/>
      <c r="AH442" s="148">
        <f>AND(E442="CA",OR('CA Dashboard'!$C$4="All",'CA Dashboard'!$C$4=D442),OR('CA Dashboard'!$C$5="All",'CA Dashboard'!$C$5=G442),OR('CA Dashboard'!$C$6="All",'CA Dashboard'!$C$6=H442),OR('CA Dashboard'!$C$7="All",'CA Dashboard'!$C$7=F442),OR('CA Dashboard'!$C$8="All",'CA Dashboard'!$C$8=AJ442))</f>
        <v/>
      </c>
      <c r="AI442" s="148">
        <f>IF(AH442,AI441+1,AI441)</f>
        <v/>
      </c>
      <c r="AJ442" s="148" t="inlineStr">
        <is>
          <t>Not classified</t>
        </is>
      </c>
      <c r="AK442" s="148" t="inlineStr">
        <is>
          <t>Not a sheet, pillowcase or comforter product; competitors are compared on price and sales only.</t>
        </is>
      </c>
    </row>
    <row r="443">
      <c r="A443" s="148">
        <f>AND(E443="US",OR('US Dashboard'!$C$4="All",'US Dashboard'!$C$4=D443),OR('US Dashboard'!$C$5="All",'US Dashboard'!$C$5=G443),OR('US Dashboard'!$C$6="All",'US Dashboard'!$C$6=H443),OR('US Dashboard'!$C$7="All",'US Dashboard'!$C$7=F443),OR('US Dashboard'!$C$8="All",'US Dashboard'!$C$8=AJ443))</f>
        <v/>
      </c>
      <c r="B443" s="148">
        <f>IF(A443,B442+1,B442)</f>
        <v/>
      </c>
      <c r="C443" s="148" t="n">
        <v>56</v>
      </c>
      <c r="D443" s="148" t="inlineStr">
        <is>
          <t>SL Mask Contoured</t>
        </is>
      </c>
      <c r="E443" s="148" t="inlineStr">
        <is>
          <t>US</t>
        </is>
      </c>
      <c r="F443" s="148" t="inlineStr">
        <is>
          <t>Silk</t>
        </is>
      </c>
      <c r="G443" s="148" t="inlineStr">
        <is>
          <t>BLSSNZ</t>
        </is>
      </c>
      <c r="H443" s="148" t="inlineStr">
        <is>
          <t>Aspirational</t>
        </is>
      </c>
      <c r="I443" s="148" t="inlineStr">
        <is>
          <t>SS Silk Sleep Mask - Contoured</t>
        </is>
      </c>
      <c r="J443" s="148" t="inlineStr">
        <is>
          <t>https://m.media-amazon.com/images/I/61R3m7881+L._AC_SL1500_.jpg</t>
        </is>
      </c>
      <c r="K443" s="148" t="inlineStr">
        <is>
          <t>B0H5JPNHHN</t>
        </is>
      </c>
      <c r="L443" s="148" t="inlineStr">
        <is>
          <t>B0C1YYKVDQ</t>
        </is>
      </c>
      <c r="M443" s="148" t="n"/>
      <c r="N443" s="148" t="n">
        <v>9.99</v>
      </c>
      <c r="O443" s="148" t="n"/>
      <c r="P443" s="148">
        <f>IF(AND(ISNUMBER(O443),ISNUMBER(N443),N(N443)&gt;0),O443/N443-1,"")</f>
        <v/>
      </c>
      <c r="Q443" s="148" t="n">
        <v>25.95</v>
      </c>
      <c r="R443" s="148">
        <f>IF(AND(ISNUMBER(N443),ISNUMBER(Q443),N(Q443)&gt;0),N443/Q443-1,"")</f>
        <v/>
      </c>
      <c r="S443" s="148" t="n">
        <v>11877</v>
      </c>
      <c r="T443" s="148" t="n">
        <v>347</v>
      </c>
      <c r="U443" s="148" t="n">
        <v>4.5</v>
      </c>
      <c r="V443" s="148" t="n">
        <v>1593</v>
      </c>
      <c r="W443" s="148" t="n"/>
      <c r="X443" s="148" t="n"/>
      <c r="Y443" s="148" t="n"/>
      <c r="Z443" s="148" t="n"/>
      <c r="AA443" s="148" t="n"/>
      <c r="AB443" s="148" t="n">
        <v>1.312454479242534</v>
      </c>
      <c r="AC443" s="148" t="inlineStr">
        <is>
          <t>US SL Mask Contoured</t>
        </is>
      </c>
      <c r="AD443" s="148">
        <f>'US SL Mask Contoured'!BF50</f>
        <v/>
      </c>
      <c r="AE443" s="148">
        <f>'US SL Mask Contoured'!BI50</f>
        <v/>
      </c>
      <c r="AF443" s="148" t="n"/>
      <c r="AG443" s="148" t="n"/>
      <c r="AH443" s="148">
        <f>AND(E443="CA",OR('CA Dashboard'!$C$4="All",'CA Dashboard'!$C$4=D443),OR('CA Dashboard'!$C$5="All",'CA Dashboard'!$C$5=G443),OR('CA Dashboard'!$C$6="All",'CA Dashboard'!$C$6=H443),OR('CA Dashboard'!$C$7="All",'CA Dashboard'!$C$7=F443),OR('CA Dashboard'!$C$8="All",'CA Dashboard'!$C$8=AJ443))</f>
        <v/>
      </c>
      <c r="AI443" s="148">
        <f>IF(AH443,AI442+1,AI442)</f>
        <v/>
      </c>
      <c r="AJ443" s="148" t="inlineStr">
        <is>
          <t>Not classified</t>
        </is>
      </c>
      <c r="AK443" s="148" t="inlineStr">
        <is>
          <t>Not a sheet, pillowcase or comforter product; competitors are compared on price and sales only.</t>
        </is>
      </c>
    </row>
    <row r="444">
      <c r="A444" s="148">
        <f>AND(E444="US",OR('US Dashboard'!$C$4="All",'US Dashboard'!$C$4=D444),OR('US Dashboard'!$C$5="All",'US Dashboard'!$C$5=G444),OR('US Dashboard'!$C$6="All",'US Dashboard'!$C$6=H444),OR('US Dashboard'!$C$7="All",'US Dashboard'!$C$7=F444),OR('US Dashboard'!$C$8="All",'US Dashboard'!$C$8=AJ444))</f>
        <v/>
      </c>
      <c r="B444" s="148">
        <f>IF(A444,B443+1,B443)</f>
        <v/>
      </c>
      <c r="C444" s="148" t="n">
        <v>56</v>
      </c>
      <c r="D444" s="148" t="inlineStr">
        <is>
          <t>SL Mask Contoured</t>
        </is>
      </c>
      <c r="E444" s="148" t="inlineStr">
        <is>
          <t>US</t>
        </is>
      </c>
      <c r="F444" s="148" t="inlineStr">
        <is>
          <t>Silk</t>
        </is>
      </c>
      <c r="G444" s="148" t="inlineStr">
        <is>
          <t>Zenssia</t>
        </is>
      </c>
      <c r="H444" s="148" t="inlineStr">
        <is>
          <t>Aspirational</t>
        </is>
      </c>
      <c r="I444" s="148" t="inlineStr">
        <is>
          <t>Zenssia 100% Mulberry Silk Sleep Mask Eye Mask for Man and Woman with Adjustable Headband, Full Size Large Sleep Mask &amp; Blindfold for Total Blackout for All Night Sleep, Travel &amp; Nap- Light Plum</t>
        </is>
      </c>
      <c r="J444" s="148" t="inlineStr">
        <is>
          <t>https://images-na.ssl-images-amazon.com/images/I/717uHiZRsrL.jpg</t>
        </is>
      </c>
      <c r="K444" s="148" t="inlineStr">
        <is>
          <t>B0B5K41YD7</t>
        </is>
      </c>
      <c r="L444" s="148" t="inlineStr">
        <is>
          <t>B07V5BCQFW</t>
        </is>
      </c>
      <c r="M444" s="148" t="n">
        <v>6</v>
      </c>
      <c r="N444" s="148" t="n">
        <v>19.99</v>
      </c>
      <c r="O444" s="148" t="n"/>
      <c r="P444" s="148">
        <f>IF(AND(ISNUMBER(O444),ISNUMBER(N444),N(N444)&gt;0),O444/N444-1,"")</f>
        <v/>
      </c>
      <c r="Q444" s="148" t="n">
        <v>25.95</v>
      </c>
      <c r="R444" s="148">
        <f>IF(AND(ISNUMBER(N444),ISNUMBER(Q444),N(Q444)&gt;0),N444/Q444-1,"")</f>
        <v/>
      </c>
      <c r="S444" s="148" t="n">
        <v>11617</v>
      </c>
      <c r="T444" s="148" t="n">
        <v>347</v>
      </c>
      <c r="U444" s="148" t="n">
        <v>4.5</v>
      </c>
      <c r="V444" s="148" t="n">
        <v>1571</v>
      </c>
      <c r="W444" s="148" t="n">
        <v>151964</v>
      </c>
      <c r="X444" s="148" t="n">
        <v>0.8624514049380118</v>
      </c>
      <c r="Y444" s="148" t="n">
        <v>1</v>
      </c>
      <c r="Z444" s="148" t="n">
        <v>35</v>
      </c>
      <c r="AA444" s="148" t="n">
        <v>59</v>
      </c>
      <c r="AB444" s="148" t="n"/>
      <c r="AC444" s="148" t="inlineStr">
        <is>
          <t>US SL Mask Contoured</t>
        </is>
      </c>
      <c r="AD444" s="148">
        <f>'US SL Mask Contoured'!BF51</f>
        <v/>
      </c>
      <c r="AE444" s="148">
        <f>'US SL Mask Contoured'!BI51</f>
        <v/>
      </c>
      <c r="AF444" s="148" t="inlineStr">
        <is>
          <t>Full</t>
        </is>
      </c>
      <c r="AG444" s="148" t="n"/>
      <c r="AH444" s="148">
        <f>AND(E444="CA",OR('CA Dashboard'!$C$4="All",'CA Dashboard'!$C$4=D444),OR('CA Dashboard'!$C$5="All",'CA Dashboard'!$C$5=G444),OR('CA Dashboard'!$C$6="All",'CA Dashboard'!$C$6=H444),OR('CA Dashboard'!$C$7="All",'CA Dashboard'!$C$7=F444),OR('CA Dashboard'!$C$8="All",'CA Dashboard'!$C$8=AJ444))</f>
        <v/>
      </c>
      <c r="AI444" s="148">
        <f>IF(AH444,AI443+1,AI443)</f>
        <v/>
      </c>
      <c r="AJ444" s="148" t="inlineStr">
        <is>
          <t>Not classified</t>
        </is>
      </c>
      <c r="AK444" s="148" t="inlineStr">
        <is>
          <t>Not a sheet, pillowcase or comforter product; competitors are compared on price and sales only.</t>
        </is>
      </c>
    </row>
    <row r="445">
      <c r="A445" s="148">
        <f>AND(E445="US",OR('US Dashboard'!$C$4="All",'US Dashboard'!$C$4=D445),OR('US Dashboard'!$C$5="All",'US Dashboard'!$C$5=G445),OR('US Dashboard'!$C$6="All",'US Dashboard'!$C$6=H445),OR('US Dashboard'!$C$7="All",'US Dashboard'!$C$7=F445),OR('US Dashboard'!$C$8="All",'US Dashboard'!$C$8=AJ445))</f>
        <v/>
      </c>
      <c r="B445" s="148">
        <f>IF(A445,B444+1,B444)</f>
        <v/>
      </c>
      <c r="C445" s="148" t="n">
        <v>56</v>
      </c>
      <c r="D445" s="148" t="inlineStr">
        <is>
          <t>SL Mask Contoured</t>
        </is>
      </c>
      <c r="E445" s="148" t="inlineStr">
        <is>
          <t>US</t>
        </is>
      </c>
      <c r="F445" s="148" t="inlineStr">
        <is>
          <t>Silk</t>
        </is>
      </c>
      <c r="G445" s="148" t="inlineStr">
        <is>
          <t>Jersey Slumber</t>
        </is>
      </c>
      <c r="H445" s="148" t="inlineStr">
        <is>
          <t>Aspirational</t>
        </is>
      </c>
      <c r="I445" s="148" t="inlineStr">
        <is>
          <t>SS Silk Sleep Mask</t>
        </is>
      </c>
      <c r="J445" s="148" t="inlineStr">
        <is>
          <t>https://m.media-amazon.com/images/I/71LL5nkhi5L._AC_SL1500_.jpg</t>
        </is>
      </c>
      <c r="K445" s="148" t="inlineStr">
        <is>
          <t>B0D4MHYD6C</t>
        </is>
      </c>
      <c r="L445" s="148" t="inlineStr">
        <is>
          <t>B014VYD7NW</t>
        </is>
      </c>
      <c r="M445" s="148" t="n"/>
      <c r="N445" s="148" t="n">
        <v>8.890000000000001</v>
      </c>
      <c r="O445" s="148" t="n"/>
      <c r="P445" s="148">
        <f>IF(AND(ISNUMBER(O445),ISNUMBER(N445),N(N445)&gt;0),O445/N445-1,"")</f>
        <v/>
      </c>
      <c r="Q445" s="148" t="n">
        <v>25.95</v>
      </c>
      <c r="R445" s="148">
        <f>IF(AND(ISNUMBER(N445),ISNUMBER(Q445),N(Q445)&gt;0),N445/Q445-1,"")</f>
        <v/>
      </c>
      <c r="S445" s="148" t="n">
        <v>25636</v>
      </c>
      <c r="T445" s="148" t="n">
        <v>220</v>
      </c>
      <c r="U445" s="148" t="n">
        <v>4.5</v>
      </c>
      <c r="V445" s="148" t="n">
        <v>28100</v>
      </c>
      <c r="W445" s="148" t="n"/>
      <c r="X445" s="148" t="n"/>
      <c r="Y445" s="148" t="n"/>
      <c r="Z445" s="148" t="n"/>
      <c r="AA445" s="148" t="n"/>
      <c r="AB445" s="148" t="n">
        <v>0.7335907335907336</v>
      </c>
      <c r="AC445" s="148" t="inlineStr">
        <is>
          <t>US SL Mask Contoured</t>
        </is>
      </c>
      <c r="AD445" s="148">
        <f>'US SL Mask Contoured'!BF52</f>
        <v/>
      </c>
      <c r="AE445" s="148">
        <f>'US SL Mask Contoured'!BI52</f>
        <v/>
      </c>
      <c r="AF445" s="148" t="n"/>
      <c r="AG445" s="148" t="n"/>
      <c r="AH445" s="148">
        <f>AND(E445="CA",OR('CA Dashboard'!$C$4="All",'CA Dashboard'!$C$4=D445),OR('CA Dashboard'!$C$5="All",'CA Dashboard'!$C$5=G445),OR('CA Dashboard'!$C$6="All",'CA Dashboard'!$C$6=H445),OR('CA Dashboard'!$C$7="All",'CA Dashboard'!$C$7=F445),OR('CA Dashboard'!$C$8="All",'CA Dashboard'!$C$8=AJ445))</f>
        <v/>
      </c>
      <c r="AI445" s="148">
        <f>IF(AH445,AI444+1,AI444)</f>
        <v/>
      </c>
      <c r="AJ445" s="148" t="inlineStr">
        <is>
          <t>Not classified</t>
        </is>
      </c>
      <c r="AK445" s="148" t="inlineStr">
        <is>
          <t>Not a sheet, pillowcase or comforter product; competitors are compared on price and sales only.</t>
        </is>
      </c>
    </row>
    <row r="446">
      <c r="A446" s="148">
        <f>AND(E446="US",OR('US Dashboard'!$C$4="All",'US Dashboard'!$C$4=D446),OR('US Dashboard'!$C$5="All",'US Dashboard'!$C$5=G446),OR('US Dashboard'!$C$6="All",'US Dashboard'!$C$6=H446),OR('US Dashboard'!$C$7="All",'US Dashboard'!$C$7=F446),OR('US Dashboard'!$C$8="All",'US Dashboard'!$C$8=AJ446))</f>
        <v/>
      </c>
      <c r="B446" s="148">
        <f>IF(A446,B445+1,B445)</f>
        <v/>
      </c>
      <c r="C446" s="148" t="n">
        <v>56</v>
      </c>
      <c r="D446" s="148" t="inlineStr">
        <is>
          <t>SL Mask Contoured</t>
        </is>
      </c>
      <c r="E446" s="148" t="inlineStr">
        <is>
          <t>US</t>
        </is>
      </c>
      <c r="F446" s="148" t="inlineStr">
        <is>
          <t>Silk</t>
        </is>
      </c>
      <c r="G446" s="148" t="inlineStr">
        <is>
          <t>Umisleep Store</t>
        </is>
      </c>
      <c r="H446" s="148" t="inlineStr">
        <is>
          <t>Aspirational</t>
        </is>
      </c>
      <c r="I446" s="148" t="inlineStr">
        <is>
          <t>SS Silk Sleep Mask</t>
        </is>
      </c>
      <c r="J446" s="148" t="inlineStr">
        <is>
          <t>https://m.media-amazon.com/images/I/71JqI9gpywL._AC_SL1500_.jpg</t>
        </is>
      </c>
      <c r="K446" s="148" t="inlineStr">
        <is>
          <t>B0FBWPMZHX</t>
        </is>
      </c>
      <c r="L446" s="148" t="inlineStr">
        <is>
          <t>B0F7R9NPSW</t>
        </is>
      </c>
      <c r="M446" s="148" t="n">
        <v>3</v>
      </c>
      <c r="N446" s="148" t="n">
        <v>17.99</v>
      </c>
      <c r="O446" s="148" t="n">
        <v>18.99</v>
      </c>
      <c r="P446" s="148">
        <f>IF(AND(ISNUMBER(O446),ISNUMBER(N446),N(N446)&gt;0),O446/N446-1,"")</f>
        <v/>
      </c>
      <c r="Q446" s="148" t="n">
        <v>25.95</v>
      </c>
      <c r="R446" s="148">
        <f>IF(AND(ISNUMBER(N446),ISNUMBER(Q446),N(Q446)&gt;0),N446/Q446-1,"")</f>
        <v/>
      </c>
      <c r="S446" s="148" t="n">
        <v>31138</v>
      </c>
      <c r="T446" s="148" t="n">
        <v>173</v>
      </c>
      <c r="U446" s="148" t="n">
        <v>4.5</v>
      </c>
      <c r="V446" s="148" t="n">
        <v>402</v>
      </c>
      <c r="W446" s="148" t="n">
        <v>66655</v>
      </c>
      <c r="X446" s="148" t="n">
        <v>0.5586979461405747</v>
      </c>
      <c r="Y446" s="148" t="n">
        <v>3</v>
      </c>
      <c r="Z446" s="148" t="n">
        <v>34</v>
      </c>
      <c r="AA446" s="148" t="n">
        <v>178</v>
      </c>
      <c r="AB446" s="148" t="n">
        <v>0.9713988559542381</v>
      </c>
      <c r="AC446" s="148" t="inlineStr">
        <is>
          <t>US SL Mask Contoured</t>
        </is>
      </c>
      <c r="AD446" s="148">
        <f>'US SL Mask Contoured'!BF53</f>
        <v/>
      </c>
      <c r="AE446" s="148">
        <f>'US SL Mask Contoured'!BI53</f>
        <v/>
      </c>
      <c r="AF446" s="148" t="n"/>
      <c r="AG446" s="148" t="n"/>
      <c r="AH446" s="148">
        <f>AND(E446="CA",OR('CA Dashboard'!$C$4="All",'CA Dashboard'!$C$4=D446),OR('CA Dashboard'!$C$5="All",'CA Dashboard'!$C$5=G446),OR('CA Dashboard'!$C$6="All",'CA Dashboard'!$C$6=H446),OR('CA Dashboard'!$C$7="All",'CA Dashboard'!$C$7=F446),OR('CA Dashboard'!$C$8="All",'CA Dashboard'!$C$8=AJ446))</f>
        <v/>
      </c>
      <c r="AI446" s="148">
        <f>IF(AH446,AI445+1,AI445)</f>
        <v/>
      </c>
      <c r="AJ446" s="148" t="inlineStr">
        <is>
          <t>Not classified</t>
        </is>
      </c>
      <c r="AK446" s="148" t="inlineStr">
        <is>
          <t>Not a sheet, pillowcase or comforter product; competitors are compared on price and sales only.</t>
        </is>
      </c>
    </row>
    <row r="447">
      <c r="A447" s="148">
        <f>AND(E447="US",OR('US Dashboard'!$C$4="All",'US Dashboard'!$C$4=D447),OR('US Dashboard'!$C$5="All",'US Dashboard'!$C$5=G447),OR('US Dashboard'!$C$6="All",'US Dashboard'!$C$6=H447),OR('US Dashboard'!$C$7="All",'US Dashboard'!$C$7=F447),OR('US Dashboard'!$C$8="All",'US Dashboard'!$C$8=AJ447))</f>
        <v/>
      </c>
      <c r="B447" s="148">
        <f>IF(A447,B446+1,B446)</f>
        <v/>
      </c>
      <c r="C447" s="148" t="n">
        <v>56</v>
      </c>
      <c r="D447" s="148" t="inlineStr">
        <is>
          <t>SL Mask Contoured</t>
        </is>
      </c>
      <c r="E447" s="148" t="inlineStr">
        <is>
          <t>US</t>
        </is>
      </c>
      <c r="F447" s="148" t="inlineStr">
        <is>
          <t>Silk</t>
        </is>
      </c>
      <c r="G447" s="148" t="inlineStr">
        <is>
          <t>LitBear</t>
        </is>
      </c>
      <c r="H447" s="148" t="inlineStr">
        <is>
          <t>Beatable</t>
        </is>
      </c>
      <c r="I447" s="148" t="inlineStr">
        <is>
          <t>SS Silk Sleep Mask</t>
        </is>
      </c>
      <c r="J447" s="148" t="inlineStr">
        <is>
          <t>https://m.media-amazon.com/images/I/717np3bt88L._AC_SL1500_.jpg</t>
        </is>
      </c>
      <c r="K447" s="148" t="inlineStr">
        <is>
          <t>B0CNX9RTK8</t>
        </is>
      </c>
      <c r="L447" s="148" t="inlineStr">
        <is>
          <t>B0BN559GVG</t>
        </is>
      </c>
      <c r="M447" s="148" t="n">
        <v>4</v>
      </c>
      <c r="N447" s="148" t="n">
        <v>29.99</v>
      </c>
      <c r="O447" s="148" t="n"/>
      <c r="P447" s="148">
        <f>IF(AND(ISNUMBER(O447),ISNUMBER(N447),N(N447)&gt;0),O447/N447-1,"")</f>
        <v/>
      </c>
      <c r="Q447" s="148" t="n">
        <v>25.95</v>
      </c>
      <c r="R447" s="148">
        <f>IF(AND(ISNUMBER(N447),ISNUMBER(Q447),N(Q447)&gt;0),N447/Q447-1,"")</f>
        <v/>
      </c>
      <c r="S447" s="148" t="n">
        <v>9413</v>
      </c>
      <c r="T447" s="148" t="n">
        <v>809</v>
      </c>
      <c r="U447" s="148" t="n">
        <v>4.4</v>
      </c>
      <c r="V447" s="148" t="n">
        <v>2143</v>
      </c>
      <c r="W447" s="148" t="n">
        <v>401761</v>
      </c>
      <c r="X447" s="148" t="n">
        <v>0.7073638471628658</v>
      </c>
      <c r="Y447" s="148" t="n">
        <v>0</v>
      </c>
      <c r="Z447" s="148" t="n">
        <v>41</v>
      </c>
      <c r="AA447" s="148" t="n">
        <v>684</v>
      </c>
      <c r="AB447" s="148" t="n">
        <v>0.8740317977986141</v>
      </c>
      <c r="AC447" s="148" t="inlineStr">
        <is>
          <t>US SL Mask Contoured</t>
        </is>
      </c>
      <c r="AD447" s="148">
        <f>'US SL Mask Contoured'!BF54</f>
        <v/>
      </c>
      <c r="AE447" s="148">
        <f>'US SL Mask Contoured'!BI54</f>
        <v/>
      </c>
      <c r="AF447" s="148" t="n"/>
      <c r="AG447" s="148" t="n"/>
      <c r="AH447" s="148">
        <f>AND(E447="CA",OR('CA Dashboard'!$C$4="All",'CA Dashboard'!$C$4=D447),OR('CA Dashboard'!$C$5="All",'CA Dashboard'!$C$5=G447),OR('CA Dashboard'!$C$6="All",'CA Dashboard'!$C$6=H447),OR('CA Dashboard'!$C$7="All",'CA Dashboard'!$C$7=F447),OR('CA Dashboard'!$C$8="All",'CA Dashboard'!$C$8=AJ447))</f>
        <v/>
      </c>
      <c r="AI447" s="148">
        <f>IF(AH447,AI446+1,AI446)</f>
        <v/>
      </c>
      <c r="AJ447" s="148" t="inlineStr">
        <is>
          <t>Not classified</t>
        </is>
      </c>
      <c r="AK447" s="148" t="inlineStr">
        <is>
          <t>Not a sheet, pillowcase or comforter product; competitors are compared on price and sales only.</t>
        </is>
      </c>
    </row>
    <row r="448">
      <c r="A448" s="148">
        <f>AND(E448="US",OR('US Dashboard'!$C$4="All",'US Dashboard'!$C$4=D448),OR('US Dashboard'!$C$5="All",'US Dashboard'!$C$5=G448),OR('US Dashboard'!$C$6="All",'US Dashboard'!$C$6=H448),OR('US Dashboard'!$C$7="All",'US Dashboard'!$C$7=F448),OR('US Dashboard'!$C$8="All",'US Dashboard'!$C$8=AJ448))</f>
        <v/>
      </c>
      <c r="B448" s="148">
        <f>IF(A448,B447+1,B447)</f>
        <v/>
      </c>
      <c r="C448" s="148" t="n">
        <v>56</v>
      </c>
      <c r="D448" s="148" t="inlineStr">
        <is>
          <t>SL Mask Contoured</t>
        </is>
      </c>
      <c r="E448" s="148" t="inlineStr">
        <is>
          <t>US</t>
        </is>
      </c>
      <c r="F448" s="148" t="inlineStr">
        <is>
          <t>Silk</t>
        </is>
      </c>
      <c r="G448" s="148" t="inlineStr">
        <is>
          <t>BLISSY</t>
        </is>
      </c>
      <c r="H448" s="148" t="inlineStr">
        <is>
          <t>Beatable</t>
        </is>
      </c>
      <c r="I448" s="148" t="inlineStr">
        <is>
          <t>SS Silk Sleep Mask</t>
        </is>
      </c>
      <c r="J448" s="148" t="inlineStr">
        <is>
          <t>https://m.media-amazon.com/images/I/71te+FofMtL._AC_SL1500_.jpg</t>
        </is>
      </c>
      <c r="K448" s="148" t="inlineStr">
        <is>
          <t>B0CWRWR64G</t>
        </is>
      </c>
      <c r="L448" s="148" t="inlineStr">
        <is>
          <t>B0BFDGC7CC</t>
        </is>
      </c>
      <c r="M448" s="148" t="n">
        <v>19</v>
      </c>
      <c r="N448" s="148" t="n">
        <v>27.87</v>
      </c>
      <c r="O448" s="148" t="n">
        <v>49.95</v>
      </c>
      <c r="P448" s="148">
        <f>IF(AND(ISNUMBER(O448),ISNUMBER(N448),N(N448)&gt;0),O448/N448-1,"")</f>
        <v/>
      </c>
      <c r="Q448" s="148" t="n">
        <v>25.95</v>
      </c>
      <c r="R448" s="148">
        <f>IF(AND(ISNUMBER(N448),ISNUMBER(Q448),N(Q448)&gt;0),N448/Q448-1,"")</f>
        <v/>
      </c>
      <c r="S448" s="148" t="n">
        <v>9693</v>
      </c>
      <c r="T448" s="148" t="n">
        <v>347</v>
      </c>
      <c r="U448" s="148" t="n">
        <v>4.4</v>
      </c>
      <c r="V448" s="148" t="n">
        <v>1225</v>
      </c>
      <c r="W448" s="148" t="n">
        <v>150410</v>
      </c>
      <c r="X448" s="148" t="n">
        <v>0.7120334106774815</v>
      </c>
      <c r="Y448" s="148" t="n">
        <v>2</v>
      </c>
      <c r="Z448" s="148" t="n">
        <v>39</v>
      </c>
      <c r="AA448" s="148" t="n">
        <v>227</v>
      </c>
      <c r="AB448" s="148" t="n">
        <v>0.8843343432543218</v>
      </c>
      <c r="AC448" s="148" t="inlineStr">
        <is>
          <t>US SL Mask Contoured</t>
        </is>
      </c>
      <c r="AD448" s="148">
        <f>'US SL Mask Contoured'!BF55</f>
        <v/>
      </c>
      <c r="AE448" s="148">
        <f>'US SL Mask Contoured'!BI55</f>
        <v/>
      </c>
      <c r="AF448" s="148" t="n"/>
      <c r="AG448" s="148" t="n"/>
      <c r="AH448" s="148">
        <f>AND(E448="CA",OR('CA Dashboard'!$C$4="All",'CA Dashboard'!$C$4=D448),OR('CA Dashboard'!$C$5="All",'CA Dashboard'!$C$5=G448),OR('CA Dashboard'!$C$6="All",'CA Dashboard'!$C$6=H448),OR('CA Dashboard'!$C$7="All",'CA Dashboard'!$C$7=F448),OR('CA Dashboard'!$C$8="All",'CA Dashboard'!$C$8=AJ448))</f>
        <v/>
      </c>
      <c r="AI448" s="148">
        <f>IF(AH448,AI447+1,AI447)</f>
        <v/>
      </c>
      <c r="AJ448" s="148" t="inlineStr">
        <is>
          <t>Not classified</t>
        </is>
      </c>
      <c r="AK448" s="148" t="inlineStr">
        <is>
          <t>Not a sheet, pillowcase or comforter product; competitors are compared on price and sales only.</t>
        </is>
      </c>
    </row>
    <row r="449">
      <c r="A449" s="148">
        <f>AND(E449="US",OR('US Dashboard'!$C$4="All",'US Dashboard'!$C$4=D449),OR('US Dashboard'!$C$5="All",'US Dashboard'!$C$5=G449),OR('US Dashboard'!$C$6="All",'US Dashboard'!$C$6=H449),OR('US Dashboard'!$C$7="All",'US Dashboard'!$C$7=F449),OR('US Dashboard'!$C$8="All",'US Dashboard'!$C$8=AJ449))</f>
        <v/>
      </c>
      <c r="B449" s="148">
        <f>IF(A449,B448+1,B448)</f>
        <v/>
      </c>
      <c r="C449" s="148" t="n">
        <v>56</v>
      </c>
      <c r="D449" s="148" t="inlineStr">
        <is>
          <t>SL Mask Contoured</t>
        </is>
      </c>
      <c r="E449" s="148" t="inlineStr">
        <is>
          <t>US</t>
        </is>
      </c>
      <c r="F449" s="148" t="inlineStr">
        <is>
          <t>Silk</t>
        </is>
      </c>
      <c r="G449" s="148" t="inlineStr">
        <is>
          <t>iCooBreeze</t>
        </is>
      </c>
      <c r="H449" s="148" t="inlineStr">
        <is>
          <t>Beatable</t>
        </is>
      </c>
      <c r="I449" s="148" t="inlineStr">
        <is>
          <t>SS Silk Sleep Mask</t>
        </is>
      </c>
      <c r="J449" s="148" t="inlineStr">
        <is>
          <t>https://images-na.ssl-images-amazon.com/images/I/61t7hRnDSTL.jpg</t>
        </is>
      </c>
      <c r="K449" s="148" t="inlineStr">
        <is>
          <t>B0BBN7XTW5</t>
        </is>
      </c>
      <c r="L449" s="148" t="inlineStr">
        <is>
          <t>B0BBN627MK</t>
        </is>
      </c>
      <c r="M449" s="148" t="n">
        <v>4</v>
      </c>
      <c r="N449" s="148" t="n">
        <v>19.99</v>
      </c>
      <c r="O449" s="148" t="n"/>
      <c r="P449" s="148">
        <f>IF(AND(ISNUMBER(O449),ISNUMBER(N449),N(N449)&gt;0),O449/N449-1,"")</f>
        <v/>
      </c>
      <c r="Q449" s="148" t="n">
        <v>25.95</v>
      </c>
      <c r="R449" s="148">
        <f>IF(AND(ISNUMBER(N449),ISNUMBER(Q449),N(Q449)&gt;0),N449/Q449-1,"")</f>
        <v/>
      </c>
      <c r="S449" s="148" t="n">
        <v>12259</v>
      </c>
      <c r="T449" s="148" t="n">
        <v>347</v>
      </c>
      <c r="U449" s="148" t="n">
        <v>4.5</v>
      </c>
      <c r="V449" s="148" t="n">
        <v>2063</v>
      </c>
      <c r="W449" s="148" t="n">
        <v>303791</v>
      </c>
      <c r="X449" s="148" t="n">
        <v>0.556958422402244</v>
      </c>
      <c r="Y449" s="148" t="n">
        <v>3</v>
      </c>
      <c r="Z449" s="148" t="n">
        <v>37</v>
      </c>
      <c r="AA449" s="148" t="n">
        <v>172</v>
      </c>
      <c r="AB449" s="148" t="n">
        <v>0.2928870292887029</v>
      </c>
      <c r="AC449" s="148" t="inlineStr">
        <is>
          <t>US SL Mask Contoured</t>
        </is>
      </c>
      <c r="AD449" s="148">
        <f>'US SL Mask Contoured'!BF56</f>
        <v/>
      </c>
      <c r="AE449" s="148">
        <f>'US SL Mask Contoured'!BI56</f>
        <v/>
      </c>
      <c r="AF449" s="148" t="n"/>
      <c r="AG449" s="148" t="n"/>
      <c r="AH449" s="148">
        <f>AND(E449="CA",OR('CA Dashboard'!$C$4="All",'CA Dashboard'!$C$4=D449),OR('CA Dashboard'!$C$5="All",'CA Dashboard'!$C$5=G449),OR('CA Dashboard'!$C$6="All",'CA Dashboard'!$C$6=H449),OR('CA Dashboard'!$C$7="All",'CA Dashboard'!$C$7=F449),OR('CA Dashboard'!$C$8="All",'CA Dashboard'!$C$8=AJ449))</f>
        <v/>
      </c>
      <c r="AI449" s="148">
        <f>IF(AH449,AI448+1,AI448)</f>
        <v/>
      </c>
      <c r="AJ449" s="148" t="inlineStr">
        <is>
          <t>Not classified</t>
        </is>
      </c>
      <c r="AK449" s="148" t="inlineStr">
        <is>
          <t>Not a sheet, pillowcase or comforter product; competitors are compared on price and sales only.</t>
        </is>
      </c>
    </row>
    <row r="450">
      <c r="A450" s="148">
        <f>AND(E450="US",OR('US Dashboard'!$C$4="All",'US Dashboard'!$C$4=D450),OR('US Dashboard'!$C$5="All",'US Dashboard'!$C$5=G450),OR('US Dashboard'!$C$6="All",'US Dashboard'!$C$6=H450),OR('US Dashboard'!$C$7="All",'US Dashboard'!$C$7=F450),OR('US Dashboard'!$C$8="All",'US Dashboard'!$C$8=AJ450))</f>
        <v/>
      </c>
      <c r="B450" s="148">
        <f>IF(A450,B449+1,B449)</f>
        <v/>
      </c>
      <c r="C450" s="148" t="n">
        <v>56</v>
      </c>
      <c r="D450" s="148" t="inlineStr">
        <is>
          <t>SL Mask Contoured</t>
        </is>
      </c>
      <c r="E450" s="148" t="inlineStr">
        <is>
          <t>US</t>
        </is>
      </c>
      <c r="F450" s="148" t="inlineStr">
        <is>
          <t>Silk</t>
        </is>
      </c>
      <c r="G450" s="148" t="inlineStr">
        <is>
          <t>SECZIPE</t>
        </is>
      </c>
      <c r="H450" s="148" t="inlineStr">
        <is>
          <t>Beatable</t>
        </is>
      </c>
      <c r="I450" s="148" t="inlineStr">
        <is>
          <t>SECZIPE 100% Mulberry Silk Sleep Mask Eye Mask for Women Man with Adjustable Band, for Side Sleeper Blackout Sleep Mask for Travel Rest and Office Large Size (Taupe)</t>
        </is>
      </c>
      <c r="J450" s="148" t="inlineStr">
        <is>
          <t>https://images-na.ssl-images-amazon.com/images/I/61GwSG1wveL.jpg</t>
        </is>
      </c>
      <c r="K450" s="148" t="inlineStr">
        <is>
          <t>B0C6DZRBWV</t>
        </is>
      </c>
      <c r="L450" s="148" t="inlineStr">
        <is>
          <t>B0C6DYG511</t>
        </is>
      </c>
      <c r="M450" s="148" t="n">
        <v>5</v>
      </c>
      <c r="N450" s="148" t="n">
        <v>22.99</v>
      </c>
      <c r="O450" s="148" t="n"/>
      <c r="P450" s="148">
        <f>IF(AND(ISNUMBER(O450),ISNUMBER(N450),N(N450)&gt;0),O450/N450-1,"")</f>
        <v/>
      </c>
      <c r="Q450" s="148" t="n">
        <v>25.95</v>
      </c>
      <c r="R450" s="148">
        <f>IF(AND(ISNUMBER(N450),ISNUMBER(Q450),N(Q450)&gt;0),N450/Q450-1,"")</f>
        <v/>
      </c>
      <c r="S450" s="148" t="n">
        <v>18076</v>
      </c>
      <c r="T450" s="148" t="n">
        <v>220</v>
      </c>
      <c r="U450" s="148" t="n">
        <v>4.5</v>
      </c>
      <c r="V450" s="148" t="n">
        <v>867</v>
      </c>
      <c r="W450" s="148" t="n">
        <v>190502</v>
      </c>
      <c r="X450" s="148" t="n">
        <v>0.3638504939580689</v>
      </c>
      <c r="Y450" s="148" t="n">
        <v>4</v>
      </c>
      <c r="Z450" s="148" t="n">
        <v>37</v>
      </c>
      <c r="AA450" s="148" t="n">
        <v>417</v>
      </c>
      <c r="AB450" s="148" t="n">
        <v>0.9280217292892712</v>
      </c>
      <c r="AC450" s="148" t="inlineStr">
        <is>
          <t>US SL Mask Contoured</t>
        </is>
      </c>
      <c r="AD450" s="148">
        <f>'US SL Mask Contoured'!BF57</f>
        <v/>
      </c>
      <c r="AE450" s="148">
        <f>'US SL Mask Contoured'!BI57</f>
        <v/>
      </c>
      <c r="AF450" s="148" t="n"/>
      <c r="AG450" s="148" t="inlineStr">
        <is>
          <t>Taupe</t>
        </is>
      </c>
      <c r="AH450" s="148">
        <f>AND(E450="CA",OR('CA Dashboard'!$C$4="All",'CA Dashboard'!$C$4=D450),OR('CA Dashboard'!$C$5="All",'CA Dashboard'!$C$5=G450),OR('CA Dashboard'!$C$6="All",'CA Dashboard'!$C$6=H450),OR('CA Dashboard'!$C$7="All",'CA Dashboard'!$C$7=F450),OR('CA Dashboard'!$C$8="All",'CA Dashboard'!$C$8=AJ450))</f>
        <v/>
      </c>
      <c r="AI450" s="148">
        <f>IF(AH450,AI449+1,AI449)</f>
        <v/>
      </c>
      <c r="AJ450" s="148" t="inlineStr">
        <is>
          <t>Not classified</t>
        </is>
      </c>
      <c r="AK450" s="148" t="inlineStr">
        <is>
          <t>Not a sheet, pillowcase or comforter product; competitors are compared on price and sales only.</t>
        </is>
      </c>
    </row>
    <row r="451">
      <c r="A451" s="148">
        <f>AND(E451="US",OR('US Dashboard'!$C$4="All",'US Dashboard'!$C$4=D451),OR('US Dashboard'!$C$5="All",'US Dashboard'!$C$5=G451),OR('US Dashboard'!$C$6="All",'US Dashboard'!$C$6=H451),OR('US Dashboard'!$C$7="All",'US Dashboard'!$C$7=F451),OR('US Dashboard'!$C$8="All",'US Dashboard'!$C$8=AJ451))</f>
        <v/>
      </c>
      <c r="B451" s="148">
        <f>IF(A451,B450+1,B450)</f>
        <v/>
      </c>
      <c r="C451" s="148" t="n">
        <v>56</v>
      </c>
      <c r="D451" s="148" t="inlineStr">
        <is>
          <t>SL Mask Contoured</t>
        </is>
      </c>
      <c r="E451" s="148" t="inlineStr">
        <is>
          <t>US</t>
        </is>
      </c>
      <c r="F451" s="148" t="inlineStr">
        <is>
          <t>Silk</t>
        </is>
      </c>
      <c r="G451" s="148" t="inlineStr">
        <is>
          <t>DROWSY</t>
        </is>
      </c>
      <c r="H451" s="148" t="inlineStr">
        <is>
          <t>Beatable</t>
        </is>
      </c>
      <c r="I451" s="148" t="inlineStr">
        <is>
          <t>SS Silk Sleep Mask</t>
        </is>
      </c>
      <c r="J451" s="148" t="inlineStr">
        <is>
          <t>https://m.media-amazon.com/images/I/71izNSiipGL._AC_SL1500_.jpg</t>
        </is>
      </c>
      <c r="K451" s="148" t="inlineStr">
        <is>
          <t>B0GQZL7XLN</t>
        </is>
      </c>
      <c r="L451" s="148" t="inlineStr">
        <is>
          <t>B08NHHDLT6</t>
        </is>
      </c>
      <c r="M451" s="148" t="n">
        <v>13</v>
      </c>
      <c r="N451" s="148" t="n">
        <v>79</v>
      </c>
      <c r="O451" s="148" t="n"/>
      <c r="P451" s="148">
        <f>IF(AND(ISNUMBER(O451),ISNUMBER(N451),N(N451)&gt;0),O451/N451-1,"")</f>
        <v/>
      </c>
      <c r="Q451" s="148" t="n">
        <v>25.95</v>
      </c>
      <c r="R451" s="148">
        <f>IF(AND(ISNUMBER(N451),ISNUMBER(Q451),N(Q451)&gt;0),N451/Q451-1,"")</f>
        <v/>
      </c>
      <c r="S451" s="148" t="n">
        <v>7182</v>
      </c>
      <c r="T451" s="148" t="n">
        <v>208</v>
      </c>
      <c r="U451" s="148" t="n">
        <v>4.3</v>
      </c>
      <c r="V451" s="148" t="n">
        <v>1740</v>
      </c>
      <c r="W451" s="148" t="n">
        <v>143864</v>
      </c>
      <c r="X451" s="148" t="n">
        <v>0.5480138186064621</v>
      </c>
      <c r="Y451" s="148" t="n">
        <v>7</v>
      </c>
      <c r="Z451" s="148" t="n">
        <v>25</v>
      </c>
      <c r="AA451" s="148" t="n">
        <v>269</v>
      </c>
      <c r="AB451" s="148" t="n"/>
      <c r="AC451" s="148" t="inlineStr">
        <is>
          <t>US SL Mask Contoured</t>
        </is>
      </c>
      <c r="AD451" s="148">
        <f>'US SL Mask Contoured'!BF58</f>
        <v/>
      </c>
      <c r="AE451" s="148">
        <f>'US SL Mask Contoured'!BI58</f>
        <v/>
      </c>
      <c r="AF451" s="148" t="n"/>
      <c r="AG451" s="148" t="n"/>
      <c r="AH451" s="148">
        <f>AND(E451="CA",OR('CA Dashboard'!$C$4="All",'CA Dashboard'!$C$4=D451),OR('CA Dashboard'!$C$5="All",'CA Dashboard'!$C$5=G451),OR('CA Dashboard'!$C$6="All",'CA Dashboard'!$C$6=H451),OR('CA Dashboard'!$C$7="All",'CA Dashboard'!$C$7=F451),OR('CA Dashboard'!$C$8="All",'CA Dashboard'!$C$8=AJ451))</f>
        <v/>
      </c>
      <c r="AI451" s="148">
        <f>IF(AH451,AI450+1,AI450)</f>
        <v/>
      </c>
      <c r="AJ451" s="148" t="inlineStr">
        <is>
          <t>Not classified</t>
        </is>
      </c>
      <c r="AK451" s="148" t="inlineStr">
        <is>
          <t>Not a sheet, pillowcase or comforter product; competitors are compared on price and sales only.</t>
        </is>
      </c>
    </row>
    <row r="452">
      <c r="A452" s="148">
        <f>AND(E452="US",OR('US Dashboard'!$C$4="All",'US Dashboard'!$C$4=D452),OR('US Dashboard'!$C$5="All",'US Dashboard'!$C$5=G452),OR('US Dashboard'!$C$6="All",'US Dashboard'!$C$6=H452),OR('US Dashboard'!$C$7="All",'US Dashboard'!$C$7=F452),OR('US Dashboard'!$C$8="All",'US Dashboard'!$C$8=AJ452))</f>
        <v/>
      </c>
      <c r="B452" s="148">
        <f>IF(A452,B451+1,B451)</f>
        <v/>
      </c>
      <c r="C452" s="148" t="n">
        <v>56</v>
      </c>
      <c r="D452" s="148" t="inlineStr">
        <is>
          <t>SL Mask Contoured</t>
        </is>
      </c>
      <c r="E452" s="148" t="inlineStr">
        <is>
          <t>US</t>
        </is>
      </c>
      <c r="F452" s="148" t="inlineStr">
        <is>
          <t>Silk</t>
        </is>
      </c>
      <c r="G452" s="148" t="inlineStr">
        <is>
          <t>Manta Sleep</t>
        </is>
      </c>
      <c r="H452" s="148" t="inlineStr">
        <is>
          <t>Beatable</t>
        </is>
      </c>
      <c r="I452" s="148" t="inlineStr">
        <is>
          <t>SS Silk Sleep Mask - Contoured</t>
        </is>
      </c>
      <c r="J452" s="148" t="inlineStr">
        <is>
          <t>https://m.media-amazon.com/images/I/81yWNINY+zL._AC_SL1500_.jpg</t>
        </is>
      </c>
      <c r="K452" s="148" t="inlineStr">
        <is>
          <t>B0DFJDJLDB</t>
        </is>
      </c>
      <c r="L452" s="148" t="inlineStr">
        <is>
          <t>B0D8M5MDCS</t>
        </is>
      </c>
      <c r="M452" s="148" t="n"/>
      <c r="N452" s="148" t="n">
        <v>75</v>
      </c>
      <c r="O452" s="148" t="n"/>
      <c r="P452" s="148">
        <f>IF(AND(ISNUMBER(O452),ISNUMBER(N452),N(N452)&gt;0),O452/N452-1,"")</f>
        <v/>
      </c>
      <c r="Q452" s="148" t="n">
        <v>25.95</v>
      </c>
      <c r="R452" s="148">
        <f>IF(AND(ISNUMBER(N452),ISNUMBER(Q452),N(Q452)&gt;0),N452/Q452-1,"")</f>
        <v/>
      </c>
      <c r="S452" s="148" t="n">
        <v>26849</v>
      </c>
      <c r="T452" s="148" t="n">
        <v>197</v>
      </c>
      <c r="U452" s="148" t="n">
        <v>4</v>
      </c>
      <c r="V452" s="148" t="n">
        <v>587</v>
      </c>
      <c r="W452" s="148" t="n"/>
      <c r="X452" s="148" t="n"/>
      <c r="Y452" s="148" t="n"/>
      <c r="Z452" s="148" t="n"/>
      <c r="AA452" s="148" t="n"/>
      <c r="AB452" s="148" t="n">
        <v>1.158222703874289</v>
      </c>
      <c r="AC452" s="148" t="inlineStr">
        <is>
          <t>US SL Mask Contoured</t>
        </is>
      </c>
      <c r="AD452" s="148">
        <f>'US SL Mask Contoured'!BF59</f>
        <v/>
      </c>
      <c r="AE452" s="148">
        <f>'US SL Mask Contoured'!BI59</f>
        <v/>
      </c>
      <c r="AF452" s="148" t="n"/>
      <c r="AG452" s="148" t="n"/>
      <c r="AH452" s="148">
        <f>AND(E452="CA",OR('CA Dashboard'!$C$4="All",'CA Dashboard'!$C$4=D452),OR('CA Dashboard'!$C$5="All",'CA Dashboard'!$C$5=G452),OR('CA Dashboard'!$C$6="All",'CA Dashboard'!$C$6=H452),OR('CA Dashboard'!$C$7="All",'CA Dashboard'!$C$7=F452),OR('CA Dashboard'!$C$8="All",'CA Dashboard'!$C$8=AJ452))</f>
        <v/>
      </c>
      <c r="AI452" s="148">
        <f>IF(AH452,AI451+1,AI451)</f>
        <v/>
      </c>
      <c r="AJ452" s="148" t="inlineStr">
        <is>
          <t>Not classified</t>
        </is>
      </c>
      <c r="AK452" s="148" t="inlineStr">
        <is>
          <t>Not a sheet, pillowcase or comforter product; competitors are compared on price and sales only.</t>
        </is>
      </c>
    </row>
    <row r="453">
      <c r="A453" s="148">
        <f>AND(E453="US",OR('US Dashboard'!$C$4="All",'US Dashboard'!$C$4=D453),OR('US Dashboard'!$C$5="All",'US Dashboard'!$C$5=G453),OR('US Dashboard'!$C$6="All",'US Dashboard'!$C$6=H453),OR('US Dashboard'!$C$7="All",'US Dashboard'!$C$7=F453),OR('US Dashboard'!$C$8="All",'US Dashboard'!$C$8=AJ453))</f>
        <v/>
      </c>
      <c r="B453" s="148">
        <f>IF(A453,B452+1,B452)</f>
        <v/>
      </c>
      <c r="C453" s="148" t="n">
        <v>56</v>
      </c>
      <c r="D453" s="148" t="inlineStr">
        <is>
          <t>SL Mask Contoured</t>
        </is>
      </c>
      <c r="E453" s="148" t="inlineStr">
        <is>
          <t>US</t>
        </is>
      </c>
      <c r="F453" s="148" t="inlineStr">
        <is>
          <t>Silk</t>
        </is>
      </c>
      <c r="G453" s="148" t="inlineStr">
        <is>
          <t>OLESILK</t>
        </is>
      </c>
      <c r="H453" s="148" t="inlineStr">
        <is>
          <t>Beatable</t>
        </is>
      </c>
      <c r="I453" s="148" t="inlineStr">
        <is>
          <t>SS Silk Sleep Mask</t>
        </is>
      </c>
      <c r="J453" s="148" t="inlineStr">
        <is>
          <t>https://m.media-amazon.com/images/I/51pE5E97utL._AC_SL1000_.jpg</t>
        </is>
      </c>
      <c r="K453" s="148" t="inlineStr">
        <is>
          <t>B07C7VH6CQ</t>
        </is>
      </c>
      <c r="L453" s="148" t="inlineStr">
        <is>
          <t>B07C7Y8QSW</t>
        </is>
      </c>
      <c r="M453" s="148" t="n">
        <v>13</v>
      </c>
      <c r="N453" s="148" t="n">
        <v>15.99</v>
      </c>
      <c r="O453" s="148" t="n"/>
      <c r="P453" s="148">
        <f>IF(AND(ISNUMBER(O453),ISNUMBER(N453),N(N453)&gt;0),O453/N453-1,"")</f>
        <v/>
      </c>
      <c r="Q453" s="148" t="n">
        <v>25.95</v>
      </c>
      <c r="R453" s="148">
        <f>IF(AND(ISNUMBER(N453),ISNUMBER(Q453),N(Q453)&gt;0),N453/Q453-1,"")</f>
        <v/>
      </c>
      <c r="S453" s="148" t="n">
        <v>17930</v>
      </c>
      <c r="T453" s="148" t="n">
        <v>185</v>
      </c>
      <c r="U453" s="148" t="n">
        <v>4.4</v>
      </c>
      <c r="V453" s="148" t="n">
        <v>2501</v>
      </c>
      <c r="W453" s="148" t="n">
        <v>123074</v>
      </c>
      <c r="X453" s="148" t="n">
        <v>0.3315021734891204</v>
      </c>
      <c r="Y453" s="148" t="n">
        <v>2</v>
      </c>
      <c r="Z453" s="148" t="n">
        <v>34</v>
      </c>
      <c r="AA453" s="148" t="n">
        <v>173</v>
      </c>
      <c r="AB453" s="148" t="n">
        <v>1.050397877984085</v>
      </c>
      <c r="AC453" s="148" t="inlineStr">
        <is>
          <t>US SL Mask Contoured</t>
        </is>
      </c>
      <c r="AD453" s="148">
        <f>'US SL Mask Contoured'!BF60</f>
        <v/>
      </c>
      <c r="AE453" s="148">
        <f>'US SL Mask Contoured'!BI60</f>
        <v/>
      </c>
      <c r="AF453" s="148" t="n"/>
      <c r="AG453" s="148" t="n"/>
      <c r="AH453" s="148">
        <f>AND(E453="CA",OR('CA Dashboard'!$C$4="All",'CA Dashboard'!$C$4=D453),OR('CA Dashboard'!$C$5="All",'CA Dashboard'!$C$5=G453),OR('CA Dashboard'!$C$6="All",'CA Dashboard'!$C$6=H453),OR('CA Dashboard'!$C$7="All",'CA Dashboard'!$C$7=F453),OR('CA Dashboard'!$C$8="All",'CA Dashboard'!$C$8=AJ453))</f>
        <v/>
      </c>
      <c r="AI453" s="148">
        <f>IF(AH453,AI452+1,AI452)</f>
        <v/>
      </c>
      <c r="AJ453" s="148" t="inlineStr">
        <is>
          <t>Not classified</t>
        </is>
      </c>
      <c r="AK453" s="148" t="inlineStr">
        <is>
          <t>Not a sheet, pillowcase or comforter product; competitors are compared on price and sales only.</t>
        </is>
      </c>
    </row>
    <row r="454">
      <c r="A454" s="148">
        <f>AND(E454="US",OR('US Dashboard'!$C$4="All",'US Dashboard'!$C$4=D454),OR('US Dashboard'!$C$5="All",'US Dashboard'!$C$5=G454),OR('US Dashboard'!$C$6="All",'US Dashboard'!$C$6=H454),OR('US Dashboard'!$C$7="All",'US Dashboard'!$C$7=F454),OR('US Dashboard'!$C$8="All",'US Dashboard'!$C$8=AJ454))</f>
        <v/>
      </c>
      <c r="B454" s="148">
        <f>IF(A454,B453+1,B453)</f>
        <v/>
      </c>
      <c r="C454" s="148" t="n">
        <v>56</v>
      </c>
      <c r="D454" s="148" t="inlineStr">
        <is>
          <t>SL Mask Contoured</t>
        </is>
      </c>
      <c r="E454" s="148" t="inlineStr">
        <is>
          <t>US</t>
        </is>
      </c>
      <c r="F454" s="148" t="inlineStr">
        <is>
          <t>Silk</t>
        </is>
      </c>
      <c r="G454" s="148" t="inlineStr">
        <is>
          <t>TheSleepGuard</t>
        </is>
      </c>
      <c r="H454" s="148" t="inlineStr">
        <is>
          <t>Beatable</t>
        </is>
      </c>
      <c r="I454" s="148" t="inlineStr">
        <is>
          <t>SS Silk Sleep Mask - Contoured</t>
        </is>
      </c>
      <c r="J454" s="148" t="inlineStr">
        <is>
          <t>https://m.media-amazon.com/images/I/71weJ+mMAOL._AC_SL1500_.jpg</t>
        </is>
      </c>
      <c r="K454" s="148" t="inlineStr">
        <is>
          <t>B0CJMDTVS2</t>
        </is>
      </c>
      <c r="L454" s="148" t="inlineStr">
        <is>
          <t>B0CJMHPKKC</t>
        </is>
      </c>
      <c r="M454" s="148" t="n"/>
      <c r="N454" s="148" t="n">
        <v>29.95</v>
      </c>
      <c r="O454" s="148" t="n"/>
      <c r="P454" s="148">
        <f>IF(AND(ISNUMBER(O454),ISNUMBER(N454),N(N454)&gt;0),O454/N454-1,"")</f>
        <v/>
      </c>
      <c r="Q454" s="148" t="n">
        <v>25.95</v>
      </c>
      <c r="R454" s="148">
        <f>IF(AND(ISNUMBER(N454),ISNUMBER(Q454),N(Q454)&gt;0),N454/Q454-1,"")</f>
        <v/>
      </c>
      <c r="S454" s="148" t="n">
        <v>26824</v>
      </c>
      <c r="T454" s="148" t="n">
        <v>104</v>
      </c>
      <c r="U454" s="148" t="n">
        <v>4.3</v>
      </c>
      <c r="V454" s="148" t="n">
        <v>717</v>
      </c>
      <c r="W454" s="148" t="n"/>
      <c r="X454" s="148" t="n"/>
      <c r="Y454" s="148" t="n"/>
      <c r="Z454" s="148" t="n"/>
      <c r="AA454" s="148" t="n"/>
      <c r="AB454" s="148" t="n">
        <v>1.295081967213115</v>
      </c>
      <c r="AC454" s="148" t="inlineStr">
        <is>
          <t>US SL Mask Contoured</t>
        </is>
      </c>
      <c r="AD454" s="148">
        <f>'US SL Mask Contoured'!BF61</f>
        <v/>
      </c>
      <c r="AE454" s="148">
        <f>'US SL Mask Contoured'!BI61</f>
        <v/>
      </c>
      <c r="AF454" s="148" t="n"/>
      <c r="AG454" s="148" t="n"/>
      <c r="AH454" s="148">
        <f>AND(E454="CA",OR('CA Dashboard'!$C$4="All",'CA Dashboard'!$C$4=D454),OR('CA Dashboard'!$C$5="All",'CA Dashboard'!$C$5=G454),OR('CA Dashboard'!$C$6="All",'CA Dashboard'!$C$6=H454),OR('CA Dashboard'!$C$7="All",'CA Dashboard'!$C$7=F454),OR('CA Dashboard'!$C$8="All",'CA Dashboard'!$C$8=AJ454))</f>
        <v/>
      </c>
      <c r="AI454" s="148">
        <f>IF(AH454,AI453+1,AI453)</f>
        <v/>
      </c>
      <c r="AJ454" s="148" t="inlineStr">
        <is>
          <t>Not classified</t>
        </is>
      </c>
      <c r="AK454" s="148" t="inlineStr">
        <is>
          <t>Not a sheet, pillowcase or comforter product; competitors are compared on price and sales only.</t>
        </is>
      </c>
    </row>
    <row r="455">
      <c r="A455" s="148">
        <f>AND(E455="US",OR('US Dashboard'!$C$4="All",'US Dashboard'!$C$4=D455),OR('US Dashboard'!$C$5="All",'US Dashboard'!$C$5=G455),OR('US Dashboard'!$C$6="All",'US Dashboard'!$C$6=H455),OR('US Dashboard'!$C$7="All",'US Dashboard'!$C$7=F455),OR('US Dashboard'!$C$8="All",'US Dashboard'!$C$8=AJ455))</f>
        <v/>
      </c>
      <c r="B455" s="148">
        <f>IF(A455,B454+1,B454)</f>
        <v/>
      </c>
      <c r="C455" s="148" t="n">
        <v>56</v>
      </c>
      <c r="D455" s="148" t="inlineStr">
        <is>
          <t>SL Mask Contoured</t>
        </is>
      </c>
      <c r="E455" s="148" t="inlineStr">
        <is>
          <t>US</t>
        </is>
      </c>
      <c r="F455" s="148" t="inlineStr">
        <is>
          <t>Silk</t>
        </is>
      </c>
      <c r="G455" s="148" t="inlineStr">
        <is>
          <t>ZIMASILK</t>
        </is>
      </c>
      <c r="H455" s="148" t="inlineStr">
        <is>
          <t>Beatable</t>
        </is>
      </c>
      <c r="I455" s="148" t="inlineStr">
        <is>
          <t>SS Silk Sleep Mask - Contoured</t>
        </is>
      </c>
      <c r="J455" s="148" t="inlineStr">
        <is>
          <t>https://m.media-amazon.com/images/I/61KQzkxep5L._AC_SL1500_.jpg</t>
        </is>
      </c>
      <c r="K455" s="148" t="inlineStr">
        <is>
          <t>B0FV2TSFBG</t>
        </is>
      </c>
      <c r="L455" s="148" t="inlineStr">
        <is>
          <t>B0CZPYKHQW</t>
        </is>
      </c>
      <c r="M455" s="148" t="n"/>
      <c r="N455" s="148" t="n">
        <v>22.49</v>
      </c>
      <c r="O455" s="148" t="n">
        <v>24.99</v>
      </c>
      <c r="P455" s="148">
        <f>IF(AND(ISNUMBER(O455),ISNUMBER(N455),N(N455)&gt;0),O455/N455-1,"")</f>
        <v/>
      </c>
      <c r="Q455" s="148" t="n">
        <v>25.95</v>
      </c>
      <c r="R455" s="148">
        <f>IF(AND(ISNUMBER(N455),ISNUMBER(Q455),N(Q455)&gt;0),N455/Q455-1,"")</f>
        <v/>
      </c>
      <c r="S455" s="148" t="n">
        <v>33544</v>
      </c>
      <c r="T455" s="148" t="n">
        <v>104</v>
      </c>
      <c r="U455" s="148" t="n">
        <v>4.5</v>
      </c>
      <c r="V455" s="148" t="n">
        <v>2507</v>
      </c>
      <c r="W455" s="148" t="n"/>
      <c r="X455" s="148" t="n"/>
      <c r="Y455" s="148" t="n"/>
      <c r="Z455" s="148" t="n"/>
      <c r="AA455" s="148" t="n"/>
      <c r="AB455" s="148" t="n">
        <v>1.276005547850208</v>
      </c>
      <c r="AC455" s="148" t="inlineStr">
        <is>
          <t>US SL Mask Contoured</t>
        </is>
      </c>
      <c r="AD455" s="148">
        <f>'US SL Mask Contoured'!BF62</f>
        <v/>
      </c>
      <c r="AE455" s="148">
        <f>'US SL Mask Contoured'!BI62</f>
        <v/>
      </c>
      <c r="AF455" s="148" t="n"/>
      <c r="AG455" s="148" t="n"/>
      <c r="AH455" s="148">
        <f>AND(E455="CA",OR('CA Dashboard'!$C$4="All",'CA Dashboard'!$C$4=D455),OR('CA Dashboard'!$C$5="All",'CA Dashboard'!$C$5=G455),OR('CA Dashboard'!$C$6="All",'CA Dashboard'!$C$6=H455),OR('CA Dashboard'!$C$7="All",'CA Dashboard'!$C$7=F455),OR('CA Dashboard'!$C$8="All",'CA Dashboard'!$C$8=AJ455))</f>
        <v/>
      </c>
      <c r="AI455" s="148">
        <f>IF(AH455,AI454+1,AI454)</f>
        <v/>
      </c>
      <c r="AJ455" s="148" t="inlineStr">
        <is>
          <t>Not classified</t>
        </is>
      </c>
      <c r="AK455" s="148" t="inlineStr">
        <is>
          <t>Not a sheet, pillowcase or comforter product; competitors are compared on price and sales only.</t>
        </is>
      </c>
    </row>
    <row r="456">
      <c r="A456" s="148">
        <f>AND(E456="US",OR('US Dashboard'!$C$4="All",'US Dashboard'!$C$4=D456),OR('US Dashboard'!$C$5="All",'US Dashboard'!$C$5=G456),OR('US Dashboard'!$C$6="All",'US Dashboard'!$C$6=H456),OR('US Dashboard'!$C$7="All",'US Dashboard'!$C$7=F456),OR('US Dashboard'!$C$8="All",'US Dashboard'!$C$8=AJ456))</f>
        <v/>
      </c>
      <c r="B456" s="148">
        <f>IF(A456,B455+1,B455)</f>
        <v/>
      </c>
      <c r="C456" s="148" t="n">
        <v>56</v>
      </c>
      <c r="D456" s="148" t="inlineStr">
        <is>
          <t>SL Mask Contoured</t>
        </is>
      </c>
      <c r="E456" s="148" t="inlineStr">
        <is>
          <t>US</t>
        </is>
      </c>
      <c r="F456" s="148" t="inlineStr">
        <is>
          <t>Silk</t>
        </is>
      </c>
      <c r="G456" s="148" t="inlineStr">
        <is>
          <t>ATreebay</t>
        </is>
      </c>
      <c r="H456" s="148" t="inlineStr">
        <is>
          <t>Beatable</t>
        </is>
      </c>
      <c r="I456" s="148" t="inlineStr">
        <is>
          <t>SS Silk Sleep Mask</t>
        </is>
      </c>
      <c r="J456" s="148" t="inlineStr">
        <is>
          <t>https://images-na.ssl-images-amazon.com/images/I/71VepaC3F7L.jpg</t>
        </is>
      </c>
      <c r="K456" s="148" t="inlineStr">
        <is>
          <t>B0DFGZZ7F1</t>
        </is>
      </c>
      <c r="L456" s="148" t="inlineStr">
        <is>
          <t>B0DFGZPP7K</t>
        </is>
      </c>
      <c r="M456" s="148" t="n">
        <v>5</v>
      </c>
      <c r="N456" s="148" t="n">
        <v>22.99</v>
      </c>
      <c r="O456" s="148" t="n"/>
      <c r="P456" s="148">
        <f>IF(AND(ISNUMBER(O456),ISNUMBER(N456),N(N456)&gt;0),O456/N456-1,"")</f>
        <v/>
      </c>
      <c r="Q456" s="148" t="n">
        <v>25.95</v>
      </c>
      <c r="R456" s="148">
        <f>IF(AND(ISNUMBER(N456),ISNUMBER(Q456),N(Q456)&gt;0),N456/Q456-1,"")</f>
        <v/>
      </c>
      <c r="S456" s="148" t="n">
        <v>30513</v>
      </c>
      <c r="T456" s="148" t="n">
        <v>92</v>
      </c>
      <c r="U456" s="148" t="n">
        <v>4.5</v>
      </c>
      <c r="V456" s="148" t="n">
        <v>345</v>
      </c>
      <c r="W456" s="148" t="n">
        <v>81189</v>
      </c>
      <c r="X456" s="148" t="n">
        <v>0.6977105777876312</v>
      </c>
      <c r="Y456" s="148" t="n">
        <v>2</v>
      </c>
      <c r="Z456" s="148" t="n">
        <v>33</v>
      </c>
      <c r="AA456" s="148" t="n">
        <v>38</v>
      </c>
      <c r="AB456" s="148" t="n">
        <v>2.084468664850136</v>
      </c>
      <c r="AC456" s="148" t="inlineStr">
        <is>
          <t>US SL Mask Contoured</t>
        </is>
      </c>
      <c r="AD456" s="148">
        <f>'US SL Mask Contoured'!BF63</f>
        <v/>
      </c>
      <c r="AE456" s="148">
        <f>'US SL Mask Contoured'!BI63</f>
        <v/>
      </c>
      <c r="AF456" s="148" t="n"/>
      <c r="AG456" s="148" t="n"/>
      <c r="AH456" s="148">
        <f>AND(E456="CA",OR('CA Dashboard'!$C$4="All",'CA Dashboard'!$C$4=D456),OR('CA Dashboard'!$C$5="All",'CA Dashboard'!$C$5=G456),OR('CA Dashboard'!$C$6="All",'CA Dashboard'!$C$6=H456),OR('CA Dashboard'!$C$7="All",'CA Dashboard'!$C$7=F456),OR('CA Dashboard'!$C$8="All",'CA Dashboard'!$C$8=AJ456))</f>
        <v/>
      </c>
      <c r="AI456" s="148">
        <f>IF(AH456,AI455+1,AI455)</f>
        <v/>
      </c>
      <c r="AJ456" s="148" t="inlineStr">
        <is>
          <t>Not classified</t>
        </is>
      </c>
      <c r="AK456" s="148" t="inlineStr">
        <is>
          <t>Not a sheet, pillowcase or comforter product; competitors are compared on price and sales only.</t>
        </is>
      </c>
    </row>
    <row r="457">
      <c r="A457" s="148">
        <f>AND(E457="US",OR('US Dashboard'!$C$4="All",'US Dashboard'!$C$4=D457),OR('US Dashboard'!$C$5="All",'US Dashboard'!$C$5=G457),OR('US Dashboard'!$C$6="All",'US Dashboard'!$C$6=H457),OR('US Dashboard'!$C$7="All",'US Dashboard'!$C$7=F457),OR('US Dashboard'!$C$8="All",'US Dashboard'!$C$8=AJ457))</f>
        <v/>
      </c>
      <c r="B457" s="148">
        <f>IF(A457,B456+1,B456)</f>
        <v/>
      </c>
      <c r="C457" s="148" t="n">
        <v>56</v>
      </c>
      <c r="D457" s="148" t="inlineStr">
        <is>
          <t>SL Mask Contoured</t>
        </is>
      </c>
      <c r="E457" s="148" t="inlineStr">
        <is>
          <t>US</t>
        </is>
      </c>
      <c r="F457" s="148" t="inlineStr">
        <is>
          <t>Silk</t>
        </is>
      </c>
      <c r="G457" s="148" t="inlineStr">
        <is>
          <t>SLIP</t>
        </is>
      </c>
      <c r="H457" s="148" t="inlineStr">
        <is>
          <t>Beatable</t>
        </is>
      </c>
      <c r="I457" s="148" t="inlineStr">
        <is>
          <t>SS Silk Sleep Mask - Contoured</t>
        </is>
      </c>
      <c r="J457" s="148" t="inlineStr">
        <is>
          <t>https://m.media-amazon.com/images/I/71nMCB6D0nL._AC_SL1500_.jpg</t>
        </is>
      </c>
      <c r="K457" s="148" t="inlineStr">
        <is>
          <t>B0D94T2PG7</t>
        </is>
      </c>
      <c r="L457" s="148" t="inlineStr">
        <is>
          <t>B09CLHKX26</t>
        </is>
      </c>
      <c r="M457" s="148" t="n"/>
      <c r="N457" s="148" t="n">
        <v>79</v>
      </c>
      <c r="O457" s="148" t="n"/>
      <c r="P457" s="148">
        <f>IF(AND(ISNUMBER(O457),ISNUMBER(N457),N(N457)&gt;0),O457/N457-1,"")</f>
        <v/>
      </c>
      <c r="Q457" s="148" t="n">
        <v>25.95</v>
      </c>
      <c r="R457" s="148">
        <f>IF(AND(ISNUMBER(N457),ISNUMBER(Q457),N(Q457)&gt;0),N457/Q457-1,"")</f>
        <v/>
      </c>
      <c r="S457" s="148" t="n">
        <v>31364</v>
      </c>
      <c r="T457" s="148" t="n">
        <v>92</v>
      </c>
      <c r="U457" s="148" t="n">
        <v>4.3</v>
      </c>
      <c r="V457" s="148" t="n">
        <v>401</v>
      </c>
      <c r="W457" s="148" t="n"/>
      <c r="X457" s="148" t="n"/>
      <c r="Y457" s="148" t="n"/>
      <c r="Z457" s="148" t="n"/>
      <c r="AA457" s="148" t="n"/>
      <c r="AB457" s="148" t="n">
        <v>1.119019375247133</v>
      </c>
      <c r="AC457" s="148" t="inlineStr">
        <is>
          <t>US SL Mask Contoured</t>
        </is>
      </c>
      <c r="AD457" s="148">
        <f>'US SL Mask Contoured'!BF64</f>
        <v/>
      </c>
      <c r="AE457" s="148">
        <f>'US SL Mask Contoured'!BI64</f>
        <v/>
      </c>
      <c r="AF457" s="148" t="n"/>
      <c r="AG457" s="148" t="n"/>
      <c r="AH457" s="148">
        <f>AND(E457="CA",OR('CA Dashboard'!$C$4="All",'CA Dashboard'!$C$4=D457),OR('CA Dashboard'!$C$5="All",'CA Dashboard'!$C$5=G457),OR('CA Dashboard'!$C$6="All",'CA Dashboard'!$C$6=H457),OR('CA Dashboard'!$C$7="All",'CA Dashboard'!$C$7=F457),OR('CA Dashboard'!$C$8="All",'CA Dashboard'!$C$8=AJ457))</f>
        <v/>
      </c>
      <c r="AI457" s="148">
        <f>IF(AH457,AI456+1,AI456)</f>
        <v/>
      </c>
      <c r="AJ457" s="148" t="inlineStr">
        <is>
          <t>Not classified</t>
        </is>
      </c>
      <c r="AK457" s="148" t="inlineStr">
        <is>
          <t>Not a sheet, pillowcase or comforter product; competitors are compared on price and sales only.</t>
        </is>
      </c>
    </row>
    <row r="458">
      <c r="A458" s="148">
        <f>AND(E458="US",OR('US Dashboard'!$C$4="All",'US Dashboard'!$C$4=D458),OR('US Dashboard'!$C$5="All",'US Dashboard'!$C$5=G458),OR('US Dashboard'!$C$6="All",'US Dashboard'!$C$6=H458),OR('US Dashboard'!$C$7="All",'US Dashboard'!$C$7=F458),OR('US Dashboard'!$C$8="All",'US Dashboard'!$C$8=AJ458))</f>
        <v/>
      </c>
      <c r="B458" s="148">
        <f>IF(A458,B457+1,B457)</f>
        <v/>
      </c>
      <c r="C458" s="148" t="n">
        <v>56</v>
      </c>
      <c r="D458" s="148" t="inlineStr">
        <is>
          <t>SL Mask Contoured</t>
        </is>
      </c>
      <c r="E458" s="148" t="inlineStr">
        <is>
          <t>US</t>
        </is>
      </c>
      <c r="F458" s="148" t="inlineStr">
        <is>
          <t>Silk</t>
        </is>
      </c>
      <c r="G458" s="148" t="inlineStr">
        <is>
          <t>BLISSY</t>
        </is>
      </c>
      <c r="H458" s="148" t="inlineStr">
        <is>
          <t>Beatable</t>
        </is>
      </c>
      <c r="I458" s="148" t="inlineStr">
        <is>
          <t>SS Silk Sleep Mask - Contoured</t>
        </is>
      </c>
      <c r="J458" s="148" t="inlineStr">
        <is>
          <t>https://m.media-amazon.com/images/I/81GDJrskg9L._AC_SL1500_.jpg</t>
        </is>
      </c>
      <c r="K458" s="148" t="inlineStr">
        <is>
          <t>B0GY143VLB</t>
        </is>
      </c>
      <c r="L458" s="148" t="inlineStr">
        <is>
          <t>B0G49VVD1Z</t>
        </is>
      </c>
      <c r="M458" s="148" t="n"/>
      <c r="N458" s="148" t="n">
        <v>37.96</v>
      </c>
      <c r="O458" s="148" t="n"/>
      <c r="P458" s="148">
        <f>IF(AND(ISNUMBER(O458),ISNUMBER(N458),N(N458)&gt;0),O458/N458-1,"")</f>
        <v/>
      </c>
      <c r="Q458" s="148" t="n">
        <v>25.95</v>
      </c>
      <c r="R458" s="148">
        <f>IF(AND(ISNUMBER(N458),ISNUMBER(Q458),N(Q458)&gt;0),N458/Q458-1,"")</f>
        <v/>
      </c>
      <c r="S458" s="148" t="n">
        <v>31692</v>
      </c>
      <c r="T458" s="148" t="n">
        <v>35</v>
      </c>
      <c r="U458" s="148" t="n">
        <v>4</v>
      </c>
      <c r="V458" s="148" t="n">
        <v>188</v>
      </c>
      <c r="W458" s="148" t="n"/>
      <c r="X458" s="148" t="n"/>
      <c r="Y458" s="148" t="n"/>
      <c r="Z458" s="148" t="n"/>
      <c r="AA458" s="148" t="n"/>
      <c r="AB458" s="148" t="n"/>
      <c r="AC458" s="148" t="inlineStr">
        <is>
          <t>US SL Mask Contoured</t>
        </is>
      </c>
      <c r="AD458" s="148">
        <f>'US SL Mask Contoured'!BF65</f>
        <v/>
      </c>
      <c r="AE458" s="148">
        <f>'US SL Mask Contoured'!BI65</f>
        <v/>
      </c>
      <c r="AF458" s="148" t="n"/>
      <c r="AG458" s="148" t="n"/>
      <c r="AH458" s="148">
        <f>AND(E458="CA",OR('CA Dashboard'!$C$4="All",'CA Dashboard'!$C$4=D458),OR('CA Dashboard'!$C$5="All",'CA Dashboard'!$C$5=G458),OR('CA Dashboard'!$C$6="All",'CA Dashboard'!$C$6=H458),OR('CA Dashboard'!$C$7="All",'CA Dashboard'!$C$7=F458),OR('CA Dashboard'!$C$8="All",'CA Dashboard'!$C$8=AJ458))</f>
        <v/>
      </c>
      <c r="AI458" s="148">
        <f>IF(AH458,AI457+1,AI457)</f>
        <v/>
      </c>
      <c r="AJ458" s="148" t="inlineStr">
        <is>
          <t>Not classified</t>
        </is>
      </c>
      <c r="AK458" s="148" t="inlineStr">
        <is>
          <t>Not a sheet, pillowcase or comforter product; competitors are compared on price and sales only.</t>
        </is>
      </c>
    </row>
    <row r="459">
      <c r="A459" s="148">
        <f>AND(E459="US",OR('US Dashboard'!$C$4="All",'US Dashboard'!$C$4=D459),OR('US Dashboard'!$C$5="All",'US Dashboard'!$C$5=G459),OR('US Dashboard'!$C$6="All",'US Dashboard'!$C$6=H459),OR('US Dashboard'!$C$7="All",'US Dashboard'!$C$7=F459),OR('US Dashboard'!$C$8="All",'US Dashboard'!$C$8=AJ459))</f>
        <v/>
      </c>
      <c r="B459" s="148">
        <f>IF(A459,B458+1,B458)</f>
        <v/>
      </c>
      <c r="C459" s="148" t="n">
        <v>56</v>
      </c>
      <c r="D459" s="148" t="inlineStr">
        <is>
          <t>SL Mask Contoured</t>
        </is>
      </c>
      <c r="E459" s="148" t="inlineStr">
        <is>
          <t>US</t>
        </is>
      </c>
      <c r="F459" s="148" t="inlineStr">
        <is>
          <t>Silk</t>
        </is>
      </c>
      <c r="G459" s="148" t="inlineStr">
        <is>
          <t>ZIMASILK</t>
        </is>
      </c>
      <c r="H459" s="148" t="inlineStr">
        <is>
          <t>Beatable</t>
        </is>
      </c>
      <c r="I459" s="148" t="inlineStr">
        <is>
          <t>SS Silk Sleep Mask - Contoured</t>
        </is>
      </c>
      <c r="J459" s="148" t="inlineStr">
        <is>
          <t>https://m.media-amazon.com/images/I/71JFsm491mL._AC_SL1500_.jpg</t>
        </is>
      </c>
      <c r="K459" s="148" t="inlineStr">
        <is>
          <t>B07KPF57S3</t>
        </is>
      </c>
      <c r="L459" s="148" t="inlineStr">
        <is>
          <t>B0BZRCV4BM</t>
        </is>
      </c>
      <c r="M459" s="148" t="n"/>
      <c r="N459" s="148" t="n">
        <v>28.99</v>
      </c>
      <c r="O459" s="148" t="n"/>
      <c r="P459" s="148">
        <f>IF(AND(ISNUMBER(O459),ISNUMBER(N459),N(N459)&gt;0),O459/N459-1,"")</f>
        <v/>
      </c>
      <c r="Q459" s="148" t="n">
        <v>25.95</v>
      </c>
      <c r="R459" s="148">
        <f>IF(AND(ISNUMBER(N459),ISNUMBER(Q459),N(Q459)&gt;0),N459/Q459-1,"")</f>
        <v/>
      </c>
      <c r="S459" s="148" t="n">
        <v>20620</v>
      </c>
      <c r="T459" s="148" t="n">
        <v>35</v>
      </c>
      <c r="U459" s="148" t="n">
        <v>4.3</v>
      </c>
      <c r="V459" s="148" t="n">
        <v>1106</v>
      </c>
      <c r="W459" s="148" t="n"/>
      <c r="X459" s="148" t="n"/>
      <c r="Y459" s="148" t="n"/>
      <c r="Z459" s="148" t="n"/>
      <c r="AA459" s="148" t="n"/>
      <c r="AB459" s="148" t="n"/>
      <c r="AC459" s="148" t="inlineStr">
        <is>
          <t>US SL Mask Contoured</t>
        </is>
      </c>
      <c r="AD459" s="148">
        <f>'US SL Mask Contoured'!BF66</f>
        <v/>
      </c>
      <c r="AE459" s="148">
        <f>'US SL Mask Contoured'!BI66</f>
        <v/>
      </c>
      <c r="AF459" s="148" t="n"/>
      <c r="AG459" s="148" t="n"/>
      <c r="AH459" s="148">
        <f>AND(E459="CA",OR('CA Dashboard'!$C$4="All",'CA Dashboard'!$C$4=D459),OR('CA Dashboard'!$C$5="All",'CA Dashboard'!$C$5=G459),OR('CA Dashboard'!$C$6="All",'CA Dashboard'!$C$6=H459),OR('CA Dashboard'!$C$7="All",'CA Dashboard'!$C$7=F459),OR('CA Dashboard'!$C$8="All",'CA Dashboard'!$C$8=AJ459))</f>
        <v/>
      </c>
      <c r="AI459" s="148">
        <f>IF(AH459,AI458+1,AI458)</f>
        <v/>
      </c>
      <c r="AJ459" s="148" t="inlineStr">
        <is>
          <t>Not classified</t>
        </is>
      </c>
      <c r="AK459" s="148" t="inlineStr">
        <is>
          <t>Not a sheet, pillowcase or comforter product; competitors are compared on price and sales only.</t>
        </is>
      </c>
    </row>
    <row r="460">
      <c r="A460" s="148">
        <f>AND(E460="US",OR('US Dashboard'!$C$4="All",'US Dashboard'!$C$4=D460),OR('US Dashboard'!$C$5="All",'US Dashboard'!$C$5=G460),OR('US Dashboard'!$C$6="All",'US Dashboard'!$C$6=H460),OR('US Dashboard'!$C$7="All",'US Dashboard'!$C$7=F460),OR('US Dashboard'!$C$8="All",'US Dashboard'!$C$8=AJ460))</f>
        <v/>
      </c>
      <c r="B460" s="148">
        <f>IF(A460,B459+1,B459)</f>
        <v/>
      </c>
      <c r="C460" s="148" t="n">
        <v>56</v>
      </c>
      <c r="D460" s="148" t="inlineStr">
        <is>
          <t>SL Mask Contoured</t>
        </is>
      </c>
      <c r="E460" s="148" t="inlineStr">
        <is>
          <t>US</t>
        </is>
      </c>
      <c r="F460" s="148" t="inlineStr">
        <is>
          <t>Silk</t>
        </is>
      </c>
      <c r="G460" s="148" t="inlineStr">
        <is>
          <t>LitBear</t>
        </is>
      </c>
      <c r="H460" s="148" t="inlineStr">
        <is>
          <t>Beatable</t>
        </is>
      </c>
      <c r="I460" s="148" t="inlineStr">
        <is>
          <t>SS Silk Sleep Mask - Contoured</t>
        </is>
      </c>
      <c r="J460" s="148" t="inlineStr">
        <is>
          <t>https://m.media-amazon.com/images/I/81n3w1oqYRL._AC_SL1500_.jpg</t>
        </is>
      </c>
      <c r="K460" s="148" t="inlineStr">
        <is>
          <t>B0D5R7CCZ2</t>
        </is>
      </c>
      <c r="L460" s="148" t="inlineStr">
        <is>
          <t>B0FDB7XXSL</t>
        </is>
      </c>
      <c r="M460" s="148" t="n"/>
      <c r="N460" s="148" t="n">
        <v>24.29</v>
      </c>
      <c r="O460" s="148" t="n">
        <v>26.99</v>
      </c>
      <c r="P460" s="148">
        <f>IF(AND(ISNUMBER(O460),ISNUMBER(N460),N(N460)&gt;0),O460/N460-1,"")</f>
        <v/>
      </c>
      <c r="Q460" s="148" t="n">
        <v>25.95</v>
      </c>
      <c r="R460" s="148">
        <f>IF(AND(ISNUMBER(N460),ISNUMBER(Q460),N(Q460)&gt;0),N460/Q460-1,"")</f>
        <v/>
      </c>
      <c r="S460" s="148" t="n">
        <v>33096</v>
      </c>
      <c r="T460" s="148" t="n">
        <v>18</v>
      </c>
      <c r="U460" s="148" t="n">
        <v>4.3</v>
      </c>
      <c r="V460" s="148" t="n">
        <v>441</v>
      </c>
      <c r="W460" s="148" t="n"/>
      <c r="X460" s="148" t="n"/>
      <c r="Y460" s="148" t="n"/>
      <c r="Z460" s="148" t="n"/>
      <c r="AA460" s="148" t="n"/>
      <c r="AB460" s="148" t="n"/>
      <c r="AC460" s="148" t="inlineStr">
        <is>
          <t>US SL Mask Contoured</t>
        </is>
      </c>
      <c r="AD460" s="148">
        <f>'US SL Mask Contoured'!BF67</f>
        <v/>
      </c>
      <c r="AE460" s="148">
        <f>'US SL Mask Contoured'!BI67</f>
        <v/>
      </c>
      <c r="AF460" s="148" t="n"/>
      <c r="AG460" s="148" t="n"/>
      <c r="AH460" s="148">
        <f>AND(E460="CA",OR('CA Dashboard'!$C$4="All",'CA Dashboard'!$C$4=D460),OR('CA Dashboard'!$C$5="All",'CA Dashboard'!$C$5=G460),OR('CA Dashboard'!$C$6="All",'CA Dashboard'!$C$6=H460),OR('CA Dashboard'!$C$7="All",'CA Dashboard'!$C$7=F460),OR('CA Dashboard'!$C$8="All",'CA Dashboard'!$C$8=AJ460))</f>
        <v/>
      </c>
      <c r="AI460" s="148">
        <f>IF(AH460,AI459+1,AI459)</f>
        <v/>
      </c>
      <c r="AJ460" s="148" t="inlineStr">
        <is>
          <t>Not classified</t>
        </is>
      </c>
      <c r="AK460" s="148" t="inlineStr">
        <is>
          <t>Not a sheet, pillowcase or comforter product; competitors are compared on price and sales only.</t>
        </is>
      </c>
    </row>
    <row r="461">
      <c r="A461" s="148">
        <f>AND(E461="US",OR('US Dashboard'!$C$4="All",'US Dashboard'!$C$4=D461),OR('US Dashboard'!$C$5="All",'US Dashboard'!$C$5=G461),OR('US Dashboard'!$C$6="All",'US Dashboard'!$C$6=H461),OR('US Dashboard'!$C$7="All",'US Dashboard'!$C$7=F461),OR('US Dashboard'!$C$8="All",'US Dashboard'!$C$8=AJ461))</f>
        <v/>
      </c>
      <c r="B461" s="148">
        <f>IF(A461,B460+1,B460)</f>
        <v/>
      </c>
      <c r="C461" s="148" t="n">
        <v>56</v>
      </c>
      <c r="D461" s="148" t="inlineStr">
        <is>
          <t>SL Mask Contoured</t>
        </is>
      </c>
      <c r="E461" s="148" t="inlineStr">
        <is>
          <t>US</t>
        </is>
      </c>
      <c r="F461" s="148" t="inlineStr">
        <is>
          <t>Silk</t>
        </is>
      </c>
      <c r="G461" s="148" t="inlineStr">
        <is>
          <t>ZIMASILK</t>
        </is>
      </c>
      <c r="H461" s="148" t="inlineStr">
        <is>
          <t>Beatable</t>
        </is>
      </c>
      <c r="I461" s="148" t="inlineStr">
        <is>
          <t>SS Silk Sleep Mask - Contoured</t>
        </is>
      </c>
      <c r="J461" s="148" t="inlineStr">
        <is>
          <t>https://m.media-amazon.com/images/I/71S7qjWILOL._AC_SL1500_.jpg</t>
        </is>
      </c>
      <c r="K461" s="148" t="inlineStr">
        <is>
          <t>B0F9STVX64</t>
        </is>
      </c>
      <c r="L461" s="148" t="inlineStr">
        <is>
          <t>B0DSYXFT4M</t>
        </is>
      </c>
      <c r="M461" s="148" t="n"/>
      <c r="N461" s="148" t="n">
        <v>25.19</v>
      </c>
      <c r="O461" s="148" t="n">
        <v>27.99</v>
      </c>
      <c r="P461" s="148">
        <f>IF(AND(ISNUMBER(O461),ISNUMBER(N461),N(N461)&gt;0),O461/N461-1,"")</f>
        <v/>
      </c>
      <c r="Q461" s="148" t="n">
        <v>25.95</v>
      </c>
      <c r="R461" s="148">
        <f>IF(AND(ISNUMBER(N461),ISNUMBER(Q461),N(Q461)&gt;0),N461/Q461-1,"")</f>
        <v/>
      </c>
      <c r="S461" s="148" t="n">
        <v>73471</v>
      </c>
      <c r="T461" s="148" t="n">
        <v>18</v>
      </c>
      <c r="U461" s="148" t="n">
        <v>4.3</v>
      </c>
      <c r="V461" s="148" t="n">
        <v>219</v>
      </c>
      <c r="W461" s="148" t="n"/>
      <c r="X461" s="148" t="n"/>
      <c r="Y461" s="148" t="n"/>
      <c r="Z461" s="148" t="n"/>
      <c r="AA461" s="148" t="n"/>
      <c r="AB461" s="148" t="n"/>
      <c r="AC461" s="148" t="inlineStr">
        <is>
          <t>US SL Mask Contoured</t>
        </is>
      </c>
      <c r="AD461" s="148">
        <f>'US SL Mask Contoured'!BF68</f>
        <v/>
      </c>
      <c r="AE461" s="148">
        <f>'US SL Mask Contoured'!BI68</f>
        <v/>
      </c>
      <c r="AF461" s="148" t="n"/>
      <c r="AG461" s="148" t="n"/>
      <c r="AH461" s="148">
        <f>AND(E461="CA",OR('CA Dashboard'!$C$4="All",'CA Dashboard'!$C$4=D461),OR('CA Dashboard'!$C$5="All",'CA Dashboard'!$C$5=G461),OR('CA Dashboard'!$C$6="All",'CA Dashboard'!$C$6=H461),OR('CA Dashboard'!$C$7="All",'CA Dashboard'!$C$7=F461),OR('CA Dashboard'!$C$8="All",'CA Dashboard'!$C$8=AJ461))</f>
        <v/>
      </c>
      <c r="AI461" s="148">
        <f>IF(AH461,AI460+1,AI460)</f>
        <v/>
      </c>
      <c r="AJ461" s="148" t="inlineStr">
        <is>
          <t>Not classified</t>
        </is>
      </c>
      <c r="AK461" s="148" t="inlineStr">
        <is>
          <t>Not a sheet, pillowcase or comforter product; competitors are compared on price and sales only.</t>
        </is>
      </c>
    </row>
    <row r="462">
      <c r="A462" s="148">
        <f>AND(E462="US",OR('US Dashboard'!$C$4="All",'US Dashboard'!$C$4=D462),OR('US Dashboard'!$C$5="All",'US Dashboard'!$C$5=G462),OR('US Dashboard'!$C$6="All",'US Dashboard'!$C$6=H462),OR('US Dashboard'!$C$7="All",'US Dashboard'!$C$7=F462),OR('US Dashboard'!$C$8="All",'US Dashboard'!$C$8=AJ462))</f>
        <v/>
      </c>
      <c r="B462" s="148">
        <f>IF(A462,B461+1,B461)</f>
        <v/>
      </c>
      <c r="C462" s="148" t="n">
        <v>56</v>
      </c>
      <c r="D462" s="148" t="inlineStr">
        <is>
          <t>SL Mask Contoured</t>
        </is>
      </c>
      <c r="E462" s="148" t="inlineStr">
        <is>
          <t>US</t>
        </is>
      </c>
      <c r="F462" s="148" t="inlineStr">
        <is>
          <t>Silk</t>
        </is>
      </c>
      <c r="G462" s="148" t="inlineStr">
        <is>
          <t>Back Bay Audio</t>
        </is>
      </c>
      <c r="H462" s="148" t="inlineStr">
        <is>
          <t>Poor</t>
        </is>
      </c>
      <c r="I462" s="148" t="inlineStr">
        <is>
          <t>SS Silk Sleep Mask - Contoured</t>
        </is>
      </c>
      <c r="J462" s="148" t="inlineStr">
        <is>
          <t>https://m.media-amazon.com/images/I/61qbdh5+DlL._AC_SL1500_.jpg</t>
        </is>
      </c>
      <c r="K462" s="148" t="inlineStr">
        <is>
          <t>B0FSG756Y3</t>
        </is>
      </c>
      <c r="L462" s="148" t="inlineStr">
        <is>
          <t>B0DMFYTLQR</t>
        </is>
      </c>
      <c r="M462" s="148" t="n"/>
      <c r="N462" s="148" t="n">
        <v>34.99</v>
      </c>
      <c r="O462" s="148" t="n"/>
      <c r="P462" s="148">
        <f>IF(AND(ISNUMBER(O462),ISNUMBER(N462),N(N462)&gt;0),O462/N462-1,"")</f>
        <v/>
      </c>
      <c r="Q462" s="148" t="n">
        <v>25.95</v>
      </c>
      <c r="R462" s="148">
        <f>IF(AND(ISNUMBER(N462),ISNUMBER(Q462),N(Q462)&gt;0),N462/Q462-1,"")</f>
        <v/>
      </c>
      <c r="S462" s="148" t="n">
        <v>92740</v>
      </c>
      <c r="T462" s="148" t="n">
        <v>5</v>
      </c>
      <c r="U462" s="148" t="n">
        <v>3.8</v>
      </c>
      <c r="V462" s="148" t="n">
        <v>347</v>
      </c>
      <c r="W462" s="148" t="n"/>
      <c r="X462" s="148" t="n"/>
      <c r="Y462" s="148" t="n"/>
      <c r="Z462" s="148" t="n"/>
      <c r="AA462" s="148" t="n"/>
      <c r="AB462" s="148" t="n"/>
      <c r="AC462" s="148" t="inlineStr">
        <is>
          <t>US SL Mask Contoured</t>
        </is>
      </c>
      <c r="AD462" s="148">
        <f>'US SL Mask Contoured'!BF69</f>
        <v/>
      </c>
      <c r="AE462" s="148">
        <f>'US SL Mask Contoured'!BI69</f>
        <v/>
      </c>
      <c r="AF462" s="148" t="n"/>
      <c r="AG462" s="148" t="n"/>
      <c r="AH462" s="148">
        <f>AND(E462="CA",OR('CA Dashboard'!$C$4="All",'CA Dashboard'!$C$4=D462),OR('CA Dashboard'!$C$5="All",'CA Dashboard'!$C$5=G462),OR('CA Dashboard'!$C$6="All",'CA Dashboard'!$C$6=H462),OR('CA Dashboard'!$C$7="All",'CA Dashboard'!$C$7=F462),OR('CA Dashboard'!$C$8="All",'CA Dashboard'!$C$8=AJ462))</f>
        <v/>
      </c>
      <c r="AI462" s="148">
        <f>IF(AH462,AI461+1,AI461)</f>
        <v/>
      </c>
      <c r="AJ462" s="148" t="inlineStr">
        <is>
          <t>Not classified</t>
        </is>
      </c>
      <c r="AK462" s="148" t="inlineStr">
        <is>
          <t>Not a sheet, pillowcase or comforter product; competitors are compared on price and sales only.</t>
        </is>
      </c>
    </row>
    <row r="463">
      <c r="A463" s="148">
        <f>AND(E463="US",OR('US Dashboard'!$C$4="All",'US Dashboard'!$C$4=D463),OR('US Dashboard'!$C$5="All",'US Dashboard'!$C$5=G463),OR('US Dashboard'!$C$6="All",'US Dashboard'!$C$6=H463),OR('US Dashboard'!$C$7="All",'US Dashboard'!$C$7=F463),OR('US Dashboard'!$C$8="All",'US Dashboard'!$C$8=AJ463))</f>
        <v/>
      </c>
      <c r="B463" s="148">
        <f>IF(A463,B462+1,B462)</f>
        <v/>
      </c>
      <c r="C463" s="148" t="n">
        <v>56</v>
      </c>
      <c r="D463" s="148" t="inlineStr">
        <is>
          <t>SL Mask Contoured</t>
        </is>
      </c>
      <c r="E463" s="148" t="inlineStr">
        <is>
          <t>US</t>
        </is>
      </c>
      <c r="F463" s="148" t="inlineStr">
        <is>
          <t>Silk</t>
        </is>
      </c>
      <c r="G463" s="148" t="inlineStr">
        <is>
          <t>spacepower</t>
        </is>
      </c>
      <c r="H463" s="148" t="inlineStr">
        <is>
          <t>Untiered</t>
        </is>
      </c>
      <c r="I463" s="148" t="inlineStr">
        <is>
          <t>SS Silk Sleep Mask</t>
        </is>
      </c>
      <c r="J463" s="148" t="inlineStr">
        <is>
          <t>https://m.media-amazon.com/images/I/51CeCV1TCdL._AC_SL1000_.jpg</t>
        </is>
      </c>
      <c r="K463" s="148" t="inlineStr">
        <is>
          <t>B0H9RJ7HSY</t>
        </is>
      </c>
      <c r="L463" s="148" t="inlineStr">
        <is>
          <t>B07J41LJJZ</t>
        </is>
      </c>
      <c r="M463" s="148" t="n"/>
      <c r="N463" s="148" t="n">
        <v>4.99</v>
      </c>
      <c r="O463" s="148" t="n"/>
      <c r="P463" s="148">
        <f>IF(AND(ISNUMBER(O463),ISNUMBER(N463),N(N463)&gt;0),O463/N463-1,"")</f>
        <v/>
      </c>
      <c r="Q463" s="148" t="n">
        <v>25.95</v>
      </c>
      <c r="R463" s="148">
        <f>IF(AND(ISNUMBER(N463),ISNUMBER(Q463),N(Q463)&gt;0),N463/Q463-1,"")</f>
        <v/>
      </c>
      <c r="S463" s="148" t="n">
        <v>8110</v>
      </c>
      <c r="T463" s="148" t="n">
        <v>809</v>
      </c>
      <c r="U463" s="148" t="n">
        <v>4.6</v>
      </c>
      <c r="V463" s="148" t="n">
        <v>5889</v>
      </c>
      <c r="W463" s="148" t="n"/>
      <c r="X463" s="148" t="n"/>
      <c r="Y463" s="148" t="n"/>
      <c r="Z463" s="148" t="n"/>
      <c r="AA463" s="148" t="n"/>
      <c r="AB463" s="148" t="n"/>
      <c r="AC463" s="148" t="inlineStr">
        <is>
          <t>US SL Mask Contoured</t>
        </is>
      </c>
      <c r="AD463" s="148">
        <f>'US SL Mask Contoured'!BF70</f>
        <v/>
      </c>
      <c r="AE463" s="148">
        <f>'US SL Mask Contoured'!BI70</f>
        <v/>
      </c>
      <c r="AF463" s="148" t="n"/>
      <c r="AG463" s="148" t="n"/>
      <c r="AH463" s="148">
        <f>AND(E463="CA",OR('CA Dashboard'!$C$4="All",'CA Dashboard'!$C$4=D463),OR('CA Dashboard'!$C$5="All",'CA Dashboard'!$C$5=G463),OR('CA Dashboard'!$C$6="All",'CA Dashboard'!$C$6=H463),OR('CA Dashboard'!$C$7="All",'CA Dashboard'!$C$7=F463),OR('CA Dashboard'!$C$8="All",'CA Dashboard'!$C$8=AJ463))</f>
        <v/>
      </c>
      <c r="AI463" s="148">
        <f>IF(AH463,AI462+1,AI462)</f>
        <v/>
      </c>
      <c r="AJ463" s="148" t="inlineStr">
        <is>
          <t>Not classified</t>
        </is>
      </c>
      <c r="AK463" s="148" t="inlineStr">
        <is>
          <t>Not a sheet, pillowcase or comforter product; competitors are compared on price and sales only.</t>
        </is>
      </c>
    </row>
    <row r="464">
      <c r="A464" s="148">
        <f>AND(E464="US",OR('US Dashboard'!$C$4="All",'US Dashboard'!$C$4=D464),OR('US Dashboard'!$C$5="All",'US Dashboard'!$C$5=G464),OR('US Dashboard'!$C$6="All",'US Dashboard'!$C$6=H464),OR('US Dashboard'!$C$7="All",'US Dashboard'!$C$7=F464),OR('US Dashboard'!$C$8="All",'US Dashboard'!$C$8=AJ464))</f>
        <v/>
      </c>
      <c r="B464" s="148">
        <f>IF(A464,B463+1,B463)</f>
        <v/>
      </c>
      <c r="C464" s="148" t="n">
        <v>57</v>
      </c>
      <c r="D464" s="148" t="inlineStr">
        <is>
          <t>SL Mask Velcro</t>
        </is>
      </c>
      <c r="E464" s="148" t="inlineStr">
        <is>
          <t>US</t>
        </is>
      </c>
      <c r="F464" s="148" t="inlineStr">
        <is>
          <t>Silk</t>
        </is>
      </c>
      <c r="G464" s="148" t="inlineStr">
        <is>
          <t>LitBear</t>
        </is>
      </c>
      <c r="H464" s="148" t="inlineStr">
        <is>
          <t>Aspirational</t>
        </is>
      </c>
      <c r="I464" s="148" t="inlineStr">
        <is>
          <t>SS Silk Sleep Mask</t>
        </is>
      </c>
      <c r="J464" s="148" t="inlineStr">
        <is>
          <t>https://m.media-amazon.com/images/I/717np3bt88L._AC_SL1500_.jpg</t>
        </is>
      </c>
      <c r="K464" s="148" t="inlineStr">
        <is>
          <t>B0CNX9RTK8</t>
        </is>
      </c>
      <c r="L464" s="148" t="inlineStr">
        <is>
          <t>B0BN559GVG</t>
        </is>
      </c>
      <c r="M464" s="148" t="n">
        <v>4</v>
      </c>
      <c r="N464" s="148" t="n">
        <v>29.99</v>
      </c>
      <c r="O464" s="148" t="n"/>
      <c r="P464" s="148">
        <f>IF(AND(ISNUMBER(O464),ISNUMBER(N464),N(N464)&gt;0),O464/N464-1,"")</f>
        <v/>
      </c>
      <c r="Q464" s="148" t="n">
        <v>20.41153846153846</v>
      </c>
      <c r="R464" s="148">
        <f>IF(AND(ISNUMBER(N464),ISNUMBER(Q464),N(Q464)&gt;0),N464/Q464-1,"")</f>
        <v/>
      </c>
      <c r="S464" s="148" t="n">
        <v>9413</v>
      </c>
      <c r="T464" s="148" t="n">
        <v>809</v>
      </c>
      <c r="U464" s="148" t="n">
        <v>4.4</v>
      </c>
      <c r="V464" s="148" t="n">
        <v>2143</v>
      </c>
      <c r="W464" s="148" t="n">
        <v>401761</v>
      </c>
      <c r="X464" s="148" t="n">
        <v>0.7073638471628658</v>
      </c>
      <c r="Y464" s="148" t="n">
        <v>4</v>
      </c>
      <c r="Z464" s="148" t="n">
        <v>45</v>
      </c>
      <c r="AA464" s="148" t="n">
        <v>684</v>
      </c>
      <c r="AB464" s="148" t="n">
        <v>0.8740317977986141</v>
      </c>
      <c r="AC464" s="148" t="inlineStr">
        <is>
          <t>US SL Mask Velcro</t>
        </is>
      </c>
      <c r="AD464" s="148">
        <f>'US SL Mask Velcro'!BF44</f>
        <v/>
      </c>
      <c r="AE464" s="148">
        <f>'US SL Mask Velcro'!BI44</f>
        <v/>
      </c>
      <c r="AF464" s="148" t="n"/>
      <c r="AG464" s="148" t="n"/>
      <c r="AH464" s="148">
        <f>AND(E464="CA",OR('CA Dashboard'!$C$4="All",'CA Dashboard'!$C$4=D464),OR('CA Dashboard'!$C$5="All",'CA Dashboard'!$C$5=G464),OR('CA Dashboard'!$C$6="All",'CA Dashboard'!$C$6=H464),OR('CA Dashboard'!$C$7="All",'CA Dashboard'!$C$7=F464),OR('CA Dashboard'!$C$8="All",'CA Dashboard'!$C$8=AJ464))</f>
        <v/>
      </c>
      <c r="AI464" s="148">
        <f>IF(AH464,AI463+1,AI463)</f>
        <v/>
      </c>
      <c r="AJ464" s="148" t="inlineStr">
        <is>
          <t>Not classified</t>
        </is>
      </c>
      <c r="AK464" s="148" t="inlineStr">
        <is>
          <t>Not a sheet, pillowcase or comforter product; competitors are compared on price and sales only.</t>
        </is>
      </c>
    </row>
    <row r="465">
      <c r="A465" s="148">
        <f>AND(E465="US",OR('US Dashboard'!$C$4="All",'US Dashboard'!$C$4=D465),OR('US Dashboard'!$C$5="All",'US Dashboard'!$C$5=G465),OR('US Dashboard'!$C$6="All",'US Dashboard'!$C$6=H465),OR('US Dashboard'!$C$7="All",'US Dashboard'!$C$7=F465),OR('US Dashboard'!$C$8="All",'US Dashboard'!$C$8=AJ465))</f>
        <v/>
      </c>
      <c r="B465" s="148">
        <f>IF(A465,B464+1,B464)</f>
        <v/>
      </c>
      <c r="C465" s="148" t="n">
        <v>57</v>
      </c>
      <c r="D465" s="148" t="inlineStr">
        <is>
          <t>SL Mask Velcro</t>
        </is>
      </c>
      <c r="E465" s="148" t="inlineStr">
        <is>
          <t>US</t>
        </is>
      </c>
      <c r="F465" s="148" t="inlineStr">
        <is>
          <t>Silk</t>
        </is>
      </c>
      <c r="G465" s="148" t="inlineStr">
        <is>
          <t>LULUSILK</t>
        </is>
      </c>
      <c r="H465" s="148" t="inlineStr">
        <is>
          <t>Aspirational</t>
        </is>
      </c>
      <c r="I465" s="148" t="inlineStr">
        <is>
          <t>SS Silk Sleep Mask</t>
        </is>
      </c>
      <c r="J465" s="148" t="inlineStr">
        <is>
          <t>https://m.media-amazon.com/images/I/61obj0CqXCL._AC_SL1500_.jpg</t>
        </is>
      </c>
      <c r="K465" s="148" t="inlineStr">
        <is>
          <t>B074TBH52S</t>
        </is>
      </c>
      <c r="L465" s="148" t="inlineStr">
        <is>
          <t>B074TBYWGS</t>
        </is>
      </c>
      <c r="M465" s="148" t="n">
        <v>7</v>
      </c>
      <c r="N465" s="148" t="n">
        <v>9.99</v>
      </c>
      <c r="O465" s="148" t="n"/>
      <c r="P465" s="148">
        <f>IF(AND(ISNUMBER(O465),ISNUMBER(N465),N(N465)&gt;0),O465/N465-1,"")</f>
        <v/>
      </c>
      <c r="Q465" s="148" t="n">
        <v>20.41153846153846</v>
      </c>
      <c r="R465" s="148">
        <f>IF(AND(ISNUMBER(N465),ISNUMBER(Q465),N(Q465)&gt;0),N465/Q465-1,"")</f>
        <v/>
      </c>
      <c r="S465" s="148" t="n">
        <v>8556</v>
      </c>
      <c r="T465" s="148" t="n">
        <v>809</v>
      </c>
      <c r="U465" s="148" t="n">
        <v>4.4</v>
      </c>
      <c r="V465" s="148" t="n">
        <v>12325</v>
      </c>
      <c r="W465" s="148" t="n">
        <v>106430</v>
      </c>
      <c r="X465" s="148" t="n">
        <v>0.9607324494973225</v>
      </c>
      <c r="Y465" s="148" t="n">
        <v>10</v>
      </c>
      <c r="Z465" s="148" t="n">
        <v>36</v>
      </c>
      <c r="AA465" s="148" t="n">
        <v>135</v>
      </c>
      <c r="AB465" s="148" t="n">
        <v>1.562836624775583</v>
      </c>
      <c r="AC465" s="148" t="inlineStr">
        <is>
          <t>US SL Mask Velcro</t>
        </is>
      </c>
      <c r="AD465" s="148">
        <f>'US SL Mask Velcro'!BF45</f>
        <v/>
      </c>
      <c r="AE465" s="148">
        <f>'US SL Mask Velcro'!BI45</f>
        <v/>
      </c>
      <c r="AF465" s="148" t="n"/>
      <c r="AG465" s="148" t="n"/>
      <c r="AH465" s="148">
        <f>AND(E465="CA",OR('CA Dashboard'!$C$4="All",'CA Dashboard'!$C$4=D465),OR('CA Dashboard'!$C$5="All",'CA Dashboard'!$C$5=G465),OR('CA Dashboard'!$C$6="All",'CA Dashboard'!$C$6=H465),OR('CA Dashboard'!$C$7="All",'CA Dashboard'!$C$7=F465),OR('CA Dashboard'!$C$8="All",'CA Dashboard'!$C$8=AJ465))</f>
        <v/>
      </c>
      <c r="AI465" s="148">
        <f>IF(AH465,AI464+1,AI464)</f>
        <v/>
      </c>
      <c r="AJ465" s="148" t="inlineStr">
        <is>
          <t>Not classified</t>
        </is>
      </c>
      <c r="AK465" s="148" t="inlineStr">
        <is>
          <t>Not a sheet, pillowcase or comforter product; competitors are compared on price and sales only.</t>
        </is>
      </c>
    </row>
    <row r="466">
      <c r="A466" s="148">
        <f>AND(E466="US",OR('US Dashboard'!$C$4="All",'US Dashboard'!$C$4=D466),OR('US Dashboard'!$C$5="All",'US Dashboard'!$C$5=G466),OR('US Dashboard'!$C$6="All",'US Dashboard'!$C$6=H466),OR('US Dashboard'!$C$7="All",'US Dashboard'!$C$7=F466),OR('US Dashboard'!$C$8="All",'US Dashboard'!$C$8=AJ466))</f>
        <v/>
      </c>
      <c r="B466" s="148">
        <f>IF(A466,B465+1,B465)</f>
        <v/>
      </c>
      <c r="C466" s="148" t="n">
        <v>57</v>
      </c>
      <c r="D466" s="148" t="inlineStr">
        <is>
          <t>SL Mask Velcro</t>
        </is>
      </c>
      <c r="E466" s="148" t="inlineStr">
        <is>
          <t>US</t>
        </is>
      </c>
      <c r="F466" s="148" t="inlineStr">
        <is>
          <t>Silk</t>
        </is>
      </c>
      <c r="G466" s="148" t="inlineStr">
        <is>
          <t>iCooBreeze</t>
        </is>
      </c>
      <c r="H466" s="148" t="inlineStr">
        <is>
          <t>Aspirational</t>
        </is>
      </c>
      <c r="I466" s="148" t="inlineStr">
        <is>
          <t>SS Silk Sleep Mask</t>
        </is>
      </c>
      <c r="J466" s="148" t="inlineStr">
        <is>
          <t>https://images-na.ssl-images-amazon.com/images/I/61t7hRnDSTL.jpg</t>
        </is>
      </c>
      <c r="K466" s="148" t="inlineStr">
        <is>
          <t>B0BBN7XTW5</t>
        </is>
      </c>
      <c r="L466" s="148" t="inlineStr">
        <is>
          <t>B0BBN627MK</t>
        </is>
      </c>
      <c r="M466" s="148" t="n">
        <v>4</v>
      </c>
      <c r="N466" s="148" t="n">
        <v>19.99</v>
      </c>
      <c r="O466" s="148" t="n"/>
      <c r="P466" s="148">
        <f>IF(AND(ISNUMBER(O466),ISNUMBER(N466),N(N466)&gt;0),O466/N466-1,"")</f>
        <v/>
      </c>
      <c r="Q466" s="148" t="n">
        <v>20.41153846153846</v>
      </c>
      <c r="R466" s="148">
        <f>IF(AND(ISNUMBER(N466),ISNUMBER(Q466),N(Q466)&gt;0),N466/Q466-1,"")</f>
        <v/>
      </c>
      <c r="S466" s="148" t="n">
        <v>12259</v>
      </c>
      <c r="T466" s="148" t="n">
        <v>347</v>
      </c>
      <c r="U466" s="148" t="n">
        <v>4.5</v>
      </c>
      <c r="V466" s="148" t="n">
        <v>2063</v>
      </c>
      <c r="W466" s="148" t="n">
        <v>303791</v>
      </c>
      <c r="X466" s="148" t="n">
        <v>0.556958422402244</v>
      </c>
      <c r="Y466" s="148" t="n">
        <v>4</v>
      </c>
      <c r="Z466" s="148" t="n">
        <v>43</v>
      </c>
      <c r="AA466" s="148" t="n">
        <v>172</v>
      </c>
      <c r="AB466" s="148" t="n">
        <v>0.2928870292887029</v>
      </c>
      <c r="AC466" s="148" t="inlineStr">
        <is>
          <t>US SL Mask Velcro</t>
        </is>
      </c>
      <c r="AD466" s="148">
        <f>'US SL Mask Velcro'!BF46</f>
        <v/>
      </c>
      <c r="AE466" s="148">
        <f>'US SL Mask Velcro'!BI46</f>
        <v/>
      </c>
      <c r="AF466" s="148" t="n"/>
      <c r="AG466" s="148" t="n"/>
      <c r="AH466" s="148">
        <f>AND(E466="CA",OR('CA Dashboard'!$C$4="All",'CA Dashboard'!$C$4=D466),OR('CA Dashboard'!$C$5="All",'CA Dashboard'!$C$5=G466),OR('CA Dashboard'!$C$6="All",'CA Dashboard'!$C$6=H466),OR('CA Dashboard'!$C$7="All",'CA Dashboard'!$C$7=F466),OR('CA Dashboard'!$C$8="All",'CA Dashboard'!$C$8=AJ466))</f>
        <v/>
      </c>
      <c r="AI466" s="148">
        <f>IF(AH466,AI465+1,AI465)</f>
        <v/>
      </c>
      <c r="AJ466" s="148" t="inlineStr">
        <is>
          <t>Not classified</t>
        </is>
      </c>
      <c r="AK466" s="148" t="inlineStr">
        <is>
          <t>Not a sheet, pillowcase or comforter product; competitors are compared on price and sales only.</t>
        </is>
      </c>
    </row>
    <row r="467">
      <c r="A467" s="148">
        <f>AND(E467="US",OR('US Dashboard'!$C$4="All",'US Dashboard'!$C$4=D467),OR('US Dashboard'!$C$5="All",'US Dashboard'!$C$5=G467),OR('US Dashboard'!$C$6="All",'US Dashboard'!$C$6=H467),OR('US Dashboard'!$C$7="All",'US Dashboard'!$C$7=F467),OR('US Dashboard'!$C$8="All",'US Dashboard'!$C$8=AJ467))</f>
        <v/>
      </c>
      <c r="B467" s="148">
        <f>IF(A467,B466+1,B466)</f>
        <v/>
      </c>
      <c r="C467" s="148" t="n">
        <v>57</v>
      </c>
      <c r="D467" s="148" t="inlineStr">
        <is>
          <t>SL Mask Velcro</t>
        </is>
      </c>
      <c r="E467" s="148" t="inlineStr">
        <is>
          <t>US</t>
        </is>
      </c>
      <c r="F467" s="148" t="inlineStr">
        <is>
          <t>Silk</t>
        </is>
      </c>
      <c r="G467" s="148" t="inlineStr">
        <is>
          <t>Zenssia</t>
        </is>
      </c>
      <c r="H467" s="148" t="inlineStr">
        <is>
          <t>Aspirational</t>
        </is>
      </c>
      <c r="I467" s="148" t="inlineStr">
        <is>
          <t>Zenssia 100% Mulberry Silk Sleep Mask Eye Mask for Man and Woman with Adjustable Headband, Full Size Large Sleep Mask &amp; Blindfold for Total Blackout for All Night Sleep, Travel &amp; Nap- Light Plum</t>
        </is>
      </c>
      <c r="J467" s="148" t="inlineStr">
        <is>
          <t>https://images-na.ssl-images-amazon.com/images/I/717uHiZRsrL.jpg</t>
        </is>
      </c>
      <c r="K467" s="148" t="inlineStr">
        <is>
          <t>B0B5K41YD7</t>
        </is>
      </c>
      <c r="L467" s="148" t="inlineStr">
        <is>
          <t>B07V5BCQFW</t>
        </is>
      </c>
      <c r="M467" s="148" t="n">
        <v>6</v>
      </c>
      <c r="N467" s="148" t="n">
        <v>19.99</v>
      </c>
      <c r="O467" s="148" t="n"/>
      <c r="P467" s="148">
        <f>IF(AND(ISNUMBER(O467),ISNUMBER(N467),N(N467)&gt;0),O467/N467-1,"")</f>
        <v/>
      </c>
      <c r="Q467" s="148" t="n">
        <v>20.41153846153846</v>
      </c>
      <c r="R467" s="148">
        <f>IF(AND(ISNUMBER(N467),ISNUMBER(Q467),N(Q467)&gt;0),N467/Q467-1,"")</f>
        <v/>
      </c>
      <c r="S467" s="148" t="n">
        <v>11617</v>
      </c>
      <c r="T467" s="148" t="n">
        <v>347</v>
      </c>
      <c r="U467" s="148" t="n">
        <v>4.5</v>
      </c>
      <c r="V467" s="148" t="n">
        <v>1571</v>
      </c>
      <c r="W467" s="148" t="n">
        <v>151964</v>
      </c>
      <c r="X467" s="148" t="n">
        <v>0.8624514049380118</v>
      </c>
      <c r="Y467" s="148" t="n">
        <v>5</v>
      </c>
      <c r="Z467" s="148" t="n">
        <v>41</v>
      </c>
      <c r="AA467" s="148" t="n">
        <v>59</v>
      </c>
      <c r="AB467" s="148" t="n"/>
      <c r="AC467" s="148" t="inlineStr">
        <is>
          <t>US SL Mask Velcro</t>
        </is>
      </c>
      <c r="AD467" s="148">
        <f>'US SL Mask Velcro'!BF47</f>
        <v/>
      </c>
      <c r="AE467" s="148">
        <f>'US SL Mask Velcro'!BI47</f>
        <v/>
      </c>
      <c r="AF467" s="148" t="inlineStr">
        <is>
          <t>Full</t>
        </is>
      </c>
      <c r="AG467" s="148" t="n"/>
      <c r="AH467" s="148">
        <f>AND(E467="CA",OR('CA Dashboard'!$C$4="All",'CA Dashboard'!$C$4=D467),OR('CA Dashboard'!$C$5="All",'CA Dashboard'!$C$5=G467),OR('CA Dashboard'!$C$6="All",'CA Dashboard'!$C$6=H467),OR('CA Dashboard'!$C$7="All",'CA Dashboard'!$C$7=F467),OR('CA Dashboard'!$C$8="All",'CA Dashboard'!$C$8=AJ467))</f>
        <v/>
      </c>
      <c r="AI467" s="148">
        <f>IF(AH467,AI466+1,AI466)</f>
        <v/>
      </c>
      <c r="AJ467" s="148" t="inlineStr">
        <is>
          <t>Not classified</t>
        </is>
      </c>
      <c r="AK467" s="148" t="inlineStr">
        <is>
          <t>Not a sheet, pillowcase or comforter product; competitors are compared on price and sales only.</t>
        </is>
      </c>
    </row>
    <row r="468">
      <c r="A468" s="148">
        <f>AND(E468="US",OR('US Dashboard'!$C$4="All",'US Dashboard'!$C$4=D468),OR('US Dashboard'!$C$5="All",'US Dashboard'!$C$5=G468),OR('US Dashboard'!$C$6="All",'US Dashboard'!$C$6=H468),OR('US Dashboard'!$C$7="All",'US Dashboard'!$C$7=F468),OR('US Dashboard'!$C$8="All",'US Dashboard'!$C$8=AJ468))</f>
        <v/>
      </c>
      <c r="B468" s="148">
        <f>IF(A468,B467+1,B467)</f>
        <v/>
      </c>
      <c r="C468" s="148" t="n">
        <v>57</v>
      </c>
      <c r="D468" s="148" t="inlineStr">
        <is>
          <t>SL Mask Velcro</t>
        </is>
      </c>
      <c r="E468" s="148" t="inlineStr">
        <is>
          <t>US</t>
        </is>
      </c>
      <c r="F468" s="148" t="inlineStr">
        <is>
          <t>Silk</t>
        </is>
      </c>
      <c r="G468" s="148" t="inlineStr">
        <is>
          <t>DROWSY</t>
        </is>
      </c>
      <c r="H468" s="148" t="inlineStr">
        <is>
          <t>Aspirational</t>
        </is>
      </c>
      <c r="I468" s="148" t="inlineStr">
        <is>
          <t>SS Silk Sleep Mask</t>
        </is>
      </c>
      <c r="J468" s="148" t="inlineStr">
        <is>
          <t>https://m.media-amazon.com/images/I/71izNSiipGL._AC_SL1500_.jpg</t>
        </is>
      </c>
      <c r="K468" s="148" t="inlineStr">
        <is>
          <t>B0GQZL7XLN</t>
        </is>
      </c>
      <c r="L468" s="148" t="inlineStr">
        <is>
          <t>B08NHHDLT6</t>
        </is>
      </c>
      <c r="M468" s="148" t="n">
        <v>13</v>
      </c>
      <c r="N468" s="148" t="n">
        <v>79</v>
      </c>
      <c r="O468" s="148" t="n"/>
      <c r="P468" s="148">
        <f>IF(AND(ISNUMBER(O468),ISNUMBER(N468),N(N468)&gt;0),O468/N468-1,"")</f>
        <v/>
      </c>
      <c r="Q468" s="148" t="n">
        <v>20.41153846153846</v>
      </c>
      <c r="R468" s="148">
        <f>IF(AND(ISNUMBER(N468),ISNUMBER(Q468),N(Q468)&gt;0),N468/Q468-1,"")</f>
        <v/>
      </c>
      <c r="S468" s="148" t="n">
        <v>7182</v>
      </c>
      <c r="T468" s="148" t="n">
        <v>208</v>
      </c>
      <c r="U468" s="148" t="n">
        <v>4.3</v>
      </c>
      <c r="V468" s="148" t="n">
        <v>1740</v>
      </c>
      <c r="W468" s="148" t="n">
        <v>143864</v>
      </c>
      <c r="X468" s="148" t="n">
        <v>0.5480138186064621</v>
      </c>
      <c r="Y468" s="148" t="n">
        <v>5</v>
      </c>
      <c r="Z468" s="148" t="n">
        <v>33</v>
      </c>
      <c r="AA468" s="148" t="n">
        <v>269</v>
      </c>
      <c r="AB468" s="148" t="n"/>
      <c r="AC468" s="148" t="inlineStr">
        <is>
          <t>US SL Mask Velcro</t>
        </is>
      </c>
      <c r="AD468" s="148">
        <f>'US SL Mask Velcro'!BF48</f>
        <v/>
      </c>
      <c r="AE468" s="148">
        <f>'US SL Mask Velcro'!BI48</f>
        <v/>
      </c>
      <c r="AF468" s="148" t="n"/>
      <c r="AG468" s="148" t="n"/>
      <c r="AH468" s="148">
        <f>AND(E468="CA",OR('CA Dashboard'!$C$4="All",'CA Dashboard'!$C$4=D468),OR('CA Dashboard'!$C$5="All",'CA Dashboard'!$C$5=G468),OR('CA Dashboard'!$C$6="All",'CA Dashboard'!$C$6=H468),OR('CA Dashboard'!$C$7="All",'CA Dashboard'!$C$7=F468),OR('CA Dashboard'!$C$8="All",'CA Dashboard'!$C$8=AJ468))</f>
        <v/>
      </c>
      <c r="AI468" s="148">
        <f>IF(AH468,AI467+1,AI467)</f>
        <v/>
      </c>
      <c r="AJ468" s="148" t="inlineStr">
        <is>
          <t>Not classified</t>
        </is>
      </c>
      <c r="AK468" s="148" t="inlineStr">
        <is>
          <t>Not a sheet, pillowcase or comforter product; competitors are compared on price and sales only.</t>
        </is>
      </c>
    </row>
    <row r="469">
      <c r="A469" s="148">
        <f>AND(E469="US",OR('US Dashboard'!$C$4="All",'US Dashboard'!$C$4=D469),OR('US Dashboard'!$C$5="All",'US Dashboard'!$C$5=G469),OR('US Dashboard'!$C$6="All",'US Dashboard'!$C$6=H469),OR('US Dashboard'!$C$7="All",'US Dashboard'!$C$7=F469),OR('US Dashboard'!$C$8="All",'US Dashboard'!$C$8=AJ469))</f>
        <v/>
      </c>
      <c r="B469" s="148">
        <f>IF(A469,B468+1,B468)</f>
        <v/>
      </c>
      <c r="C469" s="148" t="n">
        <v>57</v>
      </c>
      <c r="D469" s="148" t="inlineStr">
        <is>
          <t>SL Mask Velcro</t>
        </is>
      </c>
      <c r="E469" s="148" t="inlineStr">
        <is>
          <t>US</t>
        </is>
      </c>
      <c r="F469" s="148" t="inlineStr">
        <is>
          <t>Silk</t>
        </is>
      </c>
      <c r="G469" s="148" t="inlineStr">
        <is>
          <t>OLESILK</t>
        </is>
      </c>
      <c r="H469" s="148" t="inlineStr">
        <is>
          <t>Aspirational</t>
        </is>
      </c>
      <c r="I469" s="148" t="inlineStr">
        <is>
          <t>SS Silk Sleep Mask</t>
        </is>
      </c>
      <c r="J469" s="148" t="inlineStr">
        <is>
          <t>https://m.media-amazon.com/images/I/51pE5E97utL._AC_SL1000_.jpg</t>
        </is>
      </c>
      <c r="K469" s="148" t="inlineStr">
        <is>
          <t>B07C7VH6CQ</t>
        </is>
      </c>
      <c r="L469" s="148" t="inlineStr">
        <is>
          <t>B07C7Y8QSW</t>
        </is>
      </c>
      <c r="M469" s="148" t="n">
        <v>13</v>
      </c>
      <c r="N469" s="148" t="n">
        <v>15.99</v>
      </c>
      <c r="O469" s="148" t="n"/>
      <c r="P469" s="148">
        <f>IF(AND(ISNUMBER(O469),ISNUMBER(N469),N(N469)&gt;0),O469/N469-1,"")</f>
        <v/>
      </c>
      <c r="Q469" s="148" t="n">
        <v>20.41153846153846</v>
      </c>
      <c r="R469" s="148">
        <f>IF(AND(ISNUMBER(N469),ISNUMBER(Q469),N(Q469)&gt;0),N469/Q469-1,"")</f>
        <v/>
      </c>
      <c r="S469" s="148" t="n">
        <v>17930</v>
      </c>
      <c r="T469" s="148" t="n">
        <v>185</v>
      </c>
      <c r="U469" s="148" t="n">
        <v>4.4</v>
      </c>
      <c r="V469" s="148" t="n">
        <v>2501</v>
      </c>
      <c r="W469" s="148" t="n">
        <v>123074</v>
      </c>
      <c r="X469" s="148" t="n">
        <v>0.3315021734891204</v>
      </c>
      <c r="Y469" s="148" t="n">
        <v>5</v>
      </c>
      <c r="Z469" s="148" t="n">
        <v>37</v>
      </c>
      <c r="AA469" s="148" t="n">
        <v>173</v>
      </c>
      <c r="AB469" s="148" t="n">
        <v>1.050397877984085</v>
      </c>
      <c r="AC469" s="148" t="inlineStr">
        <is>
          <t>US SL Mask Velcro</t>
        </is>
      </c>
      <c r="AD469" s="148">
        <f>'US SL Mask Velcro'!BF49</f>
        <v/>
      </c>
      <c r="AE469" s="148">
        <f>'US SL Mask Velcro'!BI49</f>
        <v/>
      </c>
      <c r="AF469" s="148" t="n"/>
      <c r="AG469" s="148" t="n"/>
      <c r="AH469" s="148">
        <f>AND(E469="CA",OR('CA Dashboard'!$C$4="All",'CA Dashboard'!$C$4=D469),OR('CA Dashboard'!$C$5="All",'CA Dashboard'!$C$5=G469),OR('CA Dashboard'!$C$6="All",'CA Dashboard'!$C$6=H469),OR('CA Dashboard'!$C$7="All",'CA Dashboard'!$C$7=F469),OR('CA Dashboard'!$C$8="All",'CA Dashboard'!$C$8=AJ469))</f>
        <v/>
      </c>
      <c r="AI469" s="148">
        <f>IF(AH469,AI468+1,AI468)</f>
        <v/>
      </c>
      <c r="AJ469" s="148" t="inlineStr">
        <is>
          <t>Not classified</t>
        </is>
      </c>
      <c r="AK469" s="148" t="inlineStr">
        <is>
          <t>Not a sheet, pillowcase or comforter product; competitors are compared on price and sales only.</t>
        </is>
      </c>
    </row>
    <row r="470">
      <c r="A470" s="148">
        <f>AND(E470="US",OR('US Dashboard'!$C$4="All",'US Dashboard'!$C$4=D470),OR('US Dashboard'!$C$5="All",'US Dashboard'!$C$5=G470),OR('US Dashboard'!$C$6="All",'US Dashboard'!$C$6=H470),OR('US Dashboard'!$C$7="All",'US Dashboard'!$C$7=F470),OR('US Dashboard'!$C$8="All",'US Dashboard'!$C$8=AJ470))</f>
        <v/>
      </c>
      <c r="B470" s="148">
        <f>IF(A470,B469+1,B469)</f>
        <v/>
      </c>
      <c r="C470" s="148" t="n">
        <v>57</v>
      </c>
      <c r="D470" s="148" t="inlineStr">
        <is>
          <t>SL Mask Velcro</t>
        </is>
      </c>
      <c r="E470" s="148" t="inlineStr">
        <is>
          <t>US</t>
        </is>
      </c>
      <c r="F470" s="148" t="inlineStr">
        <is>
          <t>Silk</t>
        </is>
      </c>
      <c r="G470" s="148" t="inlineStr">
        <is>
          <t>BLISSY</t>
        </is>
      </c>
      <c r="H470" s="148" t="inlineStr">
        <is>
          <t>Beatable</t>
        </is>
      </c>
      <c r="I470" s="148" t="inlineStr">
        <is>
          <t>SS Silk Sleep Mask</t>
        </is>
      </c>
      <c r="J470" s="148" t="inlineStr">
        <is>
          <t>https://m.media-amazon.com/images/I/71te+FofMtL._AC_SL1500_.jpg</t>
        </is>
      </c>
      <c r="K470" s="148" t="inlineStr">
        <is>
          <t>B0CWRWR64G</t>
        </is>
      </c>
      <c r="L470" s="148" t="inlineStr">
        <is>
          <t>B0BFDGC7CC</t>
        </is>
      </c>
      <c r="M470" s="148" t="n">
        <v>19</v>
      </c>
      <c r="N470" s="148" t="n">
        <v>27.87</v>
      </c>
      <c r="O470" s="148" t="n">
        <v>49.95</v>
      </c>
      <c r="P470" s="148">
        <f>IF(AND(ISNUMBER(O470),ISNUMBER(N470),N(N470)&gt;0),O470/N470-1,"")</f>
        <v/>
      </c>
      <c r="Q470" s="148" t="n">
        <v>20.41153846153846</v>
      </c>
      <c r="R470" s="148">
        <f>IF(AND(ISNUMBER(N470),ISNUMBER(Q470),N(Q470)&gt;0),N470/Q470-1,"")</f>
        <v/>
      </c>
      <c r="S470" s="148" t="n">
        <v>9693</v>
      </c>
      <c r="T470" s="148" t="n">
        <v>347</v>
      </c>
      <c r="U470" s="148" t="n">
        <v>4.4</v>
      </c>
      <c r="V470" s="148" t="n">
        <v>1225</v>
      </c>
      <c r="W470" s="148" t="n">
        <v>150410</v>
      </c>
      <c r="X470" s="148" t="n">
        <v>0.7120334106774815</v>
      </c>
      <c r="Y470" s="148" t="n">
        <v>10</v>
      </c>
      <c r="Z470" s="148" t="n">
        <v>36</v>
      </c>
      <c r="AA470" s="148" t="n">
        <v>227</v>
      </c>
      <c r="AB470" s="148" t="n">
        <v>0.8843343432543218</v>
      </c>
      <c r="AC470" s="148" t="inlineStr">
        <is>
          <t>US SL Mask Velcro</t>
        </is>
      </c>
      <c r="AD470" s="148">
        <f>'US SL Mask Velcro'!BF50</f>
        <v/>
      </c>
      <c r="AE470" s="148">
        <f>'US SL Mask Velcro'!BI50</f>
        <v/>
      </c>
      <c r="AF470" s="148" t="n"/>
      <c r="AG470" s="148" t="n"/>
      <c r="AH470" s="148">
        <f>AND(E470="CA",OR('CA Dashboard'!$C$4="All",'CA Dashboard'!$C$4=D470),OR('CA Dashboard'!$C$5="All",'CA Dashboard'!$C$5=G470),OR('CA Dashboard'!$C$6="All",'CA Dashboard'!$C$6=H470),OR('CA Dashboard'!$C$7="All",'CA Dashboard'!$C$7=F470),OR('CA Dashboard'!$C$8="All",'CA Dashboard'!$C$8=AJ470))</f>
        <v/>
      </c>
      <c r="AI470" s="148">
        <f>IF(AH470,AI469+1,AI469)</f>
        <v/>
      </c>
      <c r="AJ470" s="148" t="inlineStr">
        <is>
          <t>Not classified</t>
        </is>
      </c>
      <c r="AK470" s="148" t="inlineStr">
        <is>
          <t>Not a sheet, pillowcase or comforter product; competitors are compared on price and sales only.</t>
        </is>
      </c>
    </row>
    <row r="471">
      <c r="A471" s="148">
        <f>AND(E471="US",OR('US Dashboard'!$C$4="All",'US Dashboard'!$C$4=D471),OR('US Dashboard'!$C$5="All",'US Dashboard'!$C$5=G471),OR('US Dashboard'!$C$6="All",'US Dashboard'!$C$6=H471),OR('US Dashboard'!$C$7="All",'US Dashboard'!$C$7=F471),OR('US Dashboard'!$C$8="All",'US Dashboard'!$C$8=AJ471))</f>
        <v/>
      </c>
      <c r="B471" s="148">
        <f>IF(A471,B470+1,B470)</f>
        <v/>
      </c>
      <c r="C471" s="148" t="n">
        <v>57</v>
      </c>
      <c r="D471" s="148" t="inlineStr">
        <is>
          <t>SL Mask Velcro</t>
        </is>
      </c>
      <c r="E471" s="148" t="inlineStr">
        <is>
          <t>US</t>
        </is>
      </c>
      <c r="F471" s="148" t="inlineStr">
        <is>
          <t>Silk</t>
        </is>
      </c>
      <c r="G471" s="148" t="inlineStr">
        <is>
          <t>SECZIPE</t>
        </is>
      </c>
      <c r="H471" s="148" t="inlineStr">
        <is>
          <t>Beatable</t>
        </is>
      </c>
      <c r="I471" s="148" t="inlineStr">
        <is>
          <t>SECZIPE 100% Mulberry Silk Sleep Mask Eye Mask for Women Man with Adjustable Band, for Side Sleeper Blackout Sleep Mask for Travel Rest and Office Large Size (Taupe)</t>
        </is>
      </c>
      <c r="J471" s="148" t="inlineStr">
        <is>
          <t>https://images-na.ssl-images-amazon.com/images/I/61GwSG1wveL.jpg</t>
        </is>
      </c>
      <c r="K471" s="148" t="inlineStr">
        <is>
          <t>B0C6DZRBWV</t>
        </is>
      </c>
      <c r="L471" s="148" t="inlineStr">
        <is>
          <t>B0C6DYG511</t>
        </is>
      </c>
      <c r="M471" s="148" t="n">
        <v>5</v>
      </c>
      <c r="N471" s="148" t="n">
        <v>22.99</v>
      </c>
      <c r="O471" s="148" t="n"/>
      <c r="P471" s="148">
        <f>IF(AND(ISNUMBER(O471),ISNUMBER(N471),N(N471)&gt;0),O471/N471-1,"")</f>
        <v/>
      </c>
      <c r="Q471" s="148" t="n">
        <v>20.41153846153846</v>
      </c>
      <c r="R471" s="148">
        <f>IF(AND(ISNUMBER(N471),ISNUMBER(Q471),N(Q471)&gt;0),N471/Q471-1,"")</f>
        <v/>
      </c>
      <c r="S471" s="148" t="n">
        <v>18076</v>
      </c>
      <c r="T471" s="148" t="n">
        <v>220</v>
      </c>
      <c r="U471" s="148" t="n">
        <v>4.5</v>
      </c>
      <c r="V471" s="148" t="n">
        <v>867</v>
      </c>
      <c r="W471" s="148" t="n">
        <v>190502</v>
      </c>
      <c r="X471" s="148" t="n">
        <v>0.3638504939580689</v>
      </c>
      <c r="Y471" s="148" t="n">
        <v>8</v>
      </c>
      <c r="Z471" s="148" t="n">
        <v>39</v>
      </c>
      <c r="AA471" s="148" t="n">
        <v>417</v>
      </c>
      <c r="AB471" s="148" t="n">
        <v>0.9280217292892712</v>
      </c>
      <c r="AC471" s="148" t="inlineStr">
        <is>
          <t>US SL Mask Velcro</t>
        </is>
      </c>
      <c r="AD471" s="148">
        <f>'US SL Mask Velcro'!BF51</f>
        <v/>
      </c>
      <c r="AE471" s="148">
        <f>'US SL Mask Velcro'!BI51</f>
        <v/>
      </c>
      <c r="AF471" s="148" t="n"/>
      <c r="AG471" s="148" t="inlineStr">
        <is>
          <t>Taupe</t>
        </is>
      </c>
      <c r="AH471" s="148">
        <f>AND(E471="CA",OR('CA Dashboard'!$C$4="All",'CA Dashboard'!$C$4=D471),OR('CA Dashboard'!$C$5="All",'CA Dashboard'!$C$5=G471),OR('CA Dashboard'!$C$6="All",'CA Dashboard'!$C$6=H471),OR('CA Dashboard'!$C$7="All",'CA Dashboard'!$C$7=F471),OR('CA Dashboard'!$C$8="All",'CA Dashboard'!$C$8=AJ471))</f>
        <v/>
      </c>
      <c r="AI471" s="148">
        <f>IF(AH471,AI470+1,AI470)</f>
        <v/>
      </c>
      <c r="AJ471" s="148" t="inlineStr">
        <is>
          <t>Not classified</t>
        </is>
      </c>
      <c r="AK471" s="148" t="inlineStr">
        <is>
          <t>Not a sheet, pillowcase or comforter product; competitors are compared on price and sales only.</t>
        </is>
      </c>
    </row>
    <row r="472">
      <c r="A472" s="148">
        <f>AND(E472="US",OR('US Dashboard'!$C$4="All",'US Dashboard'!$C$4=D472),OR('US Dashboard'!$C$5="All",'US Dashboard'!$C$5=G472),OR('US Dashboard'!$C$6="All",'US Dashboard'!$C$6=H472),OR('US Dashboard'!$C$7="All",'US Dashboard'!$C$7=F472),OR('US Dashboard'!$C$8="All",'US Dashboard'!$C$8=AJ472))</f>
        <v/>
      </c>
      <c r="B472" s="148">
        <f>IF(A472,B471+1,B471)</f>
        <v/>
      </c>
      <c r="C472" s="148" t="n">
        <v>57</v>
      </c>
      <c r="D472" s="148" t="inlineStr">
        <is>
          <t>SL Mask Velcro</t>
        </is>
      </c>
      <c r="E472" s="148" t="inlineStr">
        <is>
          <t>US</t>
        </is>
      </c>
      <c r="F472" s="148" t="inlineStr">
        <is>
          <t>Silk</t>
        </is>
      </c>
      <c r="G472" s="148" t="inlineStr">
        <is>
          <t>Umisleep Store</t>
        </is>
      </c>
      <c r="H472" s="148" t="inlineStr">
        <is>
          <t>Beatable</t>
        </is>
      </c>
      <c r="I472" s="148" t="inlineStr">
        <is>
          <t>SS Silk Sleep Mask</t>
        </is>
      </c>
      <c r="J472" s="148" t="inlineStr">
        <is>
          <t>https://m.media-amazon.com/images/I/71JqI9gpywL._AC_SL1500_.jpg</t>
        </is>
      </c>
      <c r="K472" s="148" t="inlineStr">
        <is>
          <t>B0FBWPMZHX</t>
        </is>
      </c>
      <c r="L472" s="148" t="inlineStr">
        <is>
          <t>B0F7R9NPSW</t>
        </is>
      </c>
      <c r="M472" s="148" t="n">
        <v>3</v>
      </c>
      <c r="N472" s="148" t="n">
        <v>17.99</v>
      </c>
      <c r="O472" s="148" t="n">
        <v>18.99</v>
      </c>
      <c r="P472" s="148">
        <f>IF(AND(ISNUMBER(O472),ISNUMBER(N472),N(N472)&gt;0),O472/N472-1,"")</f>
        <v/>
      </c>
      <c r="Q472" s="148" t="n">
        <v>20.41153846153846</v>
      </c>
      <c r="R472" s="148">
        <f>IF(AND(ISNUMBER(N472),ISNUMBER(Q472),N(Q472)&gt;0),N472/Q472-1,"")</f>
        <v/>
      </c>
      <c r="S472" s="148" t="n">
        <v>31138</v>
      </c>
      <c r="T472" s="148" t="n">
        <v>173</v>
      </c>
      <c r="U472" s="148" t="n">
        <v>4.5</v>
      </c>
      <c r="V472" s="148" t="n">
        <v>402</v>
      </c>
      <c r="W472" s="148" t="n">
        <v>66655</v>
      </c>
      <c r="X472" s="148" t="n">
        <v>0.5586979461405747</v>
      </c>
      <c r="Y472" s="148" t="n">
        <v>7</v>
      </c>
      <c r="Z472" s="148" t="n">
        <v>37</v>
      </c>
      <c r="AA472" s="148" t="n">
        <v>178</v>
      </c>
      <c r="AB472" s="148" t="n">
        <v>0.9713988559542381</v>
      </c>
      <c r="AC472" s="148" t="inlineStr">
        <is>
          <t>US SL Mask Velcro</t>
        </is>
      </c>
      <c r="AD472" s="148">
        <f>'US SL Mask Velcro'!BF52</f>
        <v/>
      </c>
      <c r="AE472" s="148">
        <f>'US SL Mask Velcro'!BI52</f>
        <v/>
      </c>
      <c r="AF472" s="148" t="n"/>
      <c r="AG472" s="148" t="n"/>
      <c r="AH472" s="148">
        <f>AND(E472="CA",OR('CA Dashboard'!$C$4="All",'CA Dashboard'!$C$4=D472),OR('CA Dashboard'!$C$5="All",'CA Dashboard'!$C$5=G472),OR('CA Dashboard'!$C$6="All",'CA Dashboard'!$C$6=H472),OR('CA Dashboard'!$C$7="All",'CA Dashboard'!$C$7=F472),OR('CA Dashboard'!$C$8="All",'CA Dashboard'!$C$8=AJ472))</f>
        <v/>
      </c>
      <c r="AI472" s="148">
        <f>IF(AH472,AI471+1,AI471)</f>
        <v/>
      </c>
      <c r="AJ472" s="148" t="inlineStr">
        <is>
          <t>Not classified</t>
        </is>
      </c>
      <c r="AK472" s="148" t="inlineStr">
        <is>
          <t>Not a sheet, pillowcase or comforter product; competitors are compared on price and sales only.</t>
        </is>
      </c>
    </row>
    <row r="473">
      <c r="A473" s="148">
        <f>AND(E473="US",OR('US Dashboard'!$C$4="All",'US Dashboard'!$C$4=D473),OR('US Dashboard'!$C$5="All",'US Dashboard'!$C$5=G473),OR('US Dashboard'!$C$6="All",'US Dashboard'!$C$6=H473),OR('US Dashboard'!$C$7="All",'US Dashboard'!$C$7=F473),OR('US Dashboard'!$C$8="All",'US Dashboard'!$C$8=AJ473))</f>
        <v/>
      </c>
      <c r="B473" s="148">
        <f>IF(A473,B472+1,B472)</f>
        <v/>
      </c>
      <c r="C473" s="148" t="n">
        <v>57</v>
      </c>
      <c r="D473" s="148" t="inlineStr">
        <is>
          <t>SL Mask Velcro</t>
        </is>
      </c>
      <c r="E473" s="148" t="inlineStr">
        <is>
          <t>US</t>
        </is>
      </c>
      <c r="F473" s="148" t="inlineStr">
        <is>
          <t>Silk</t>
        </is>
      </c>
      <c r="G473" s="148" t="inlineStr">
        <is>
          <t>ATreebay</t>
        </is>
      </c>
      <c r="H473" s="148" t="inlineStr">
        <is>
          <t>Beatable</t>
        </is>
      </c>
      <c r="I473" s="148" t="inlineStr">
        <is>
          <t>SS Silk Sleep Mask</t>
        </is>
      </c>
      <c r="J473" s="148" t="inlineStr">
        <is>
          <t>https://images-na.ssl-images-amazon.com/images/I/71VepaC3F7L.jpg</t>
        </is>
      </c>
      <c r="K473" s="148" t="inlineStr">
        <is>
          <t>B0DFGZZ7F1</t>
        </is>
      </c>
      <c r="L473" s="148" t="inlineStr">
        <is>
          <t>B0DFGZPP7K</t>
        </is>
      </c>
      <c r="M473" s="148" t="n">
        <v>5</v>
      </c>
      <c r="N473" s="148" t="n">
        <v>22.99</v>
      </c>
      <c r="O473" s="148" t="n"/>
      <c r="P473" s="148">
        <f>IF(AND(ISNUMBER(O473),ISNUMBER(N473),N(N473)&gt;0),O473/N473-1,"")</f>
        <v/>
      </c>
      <c r="Q473" s="148" t="n">
        <v>20.41153846153846</v>
      </c>
      <c r="R473" s="148">
        <f>IF(AND(ISNUMBER(N473),ISNUMBER(Q473),N(Q473)&gt;0),N473/Q473-1,"")</f>
        <v/>
      </c>
      <c r="S473" s="148" t="n">
        <v>30513</v>
      </c>
      <c r="T473" s="148" t="n">
        <v>92</v>
      </c>
      <c r="U473" s="148" t="n">
        <v>4.5</v>
      </c>
      <c r="V473" s="148" t="n">
        <v>345</v>
      </c>
      <c r="W473" s="148" t="n">
        <v>81189</v>
      </c>
      <c r="X473" s="148" t="n">
        <v>0.6977105777876312</v>
      </c>
      <c r="Y473" s="148" t="n">
        <v>8</v>
      </c>
      <c r="Z473" s="148" t="n">
        <v>34</v>
      </c>
      <c r="AA473" s="148" t="n">
        <v>38</v>
      </c>
      <c r="AB473" s="148" t="n">
        <v>2.084468664850136</v>
      </c>
      <c r="AC473" s="148" t="inlineStr">
        <is>
          <t>US SL Mask Velcro</t>
        </is>
      </c>
      <c r="AD473" s="148">
        <f>'US SL Mask Velcro'!BF53</f>
        <v/>
      </c>
      <c r="AE473" s="148">
        <f>'US SL Mask Velcro'!BI53</f>
        <v/>
      </c>
      <c r="AF473" s="148" t="n"/>
      <c r="AG473" s="148" t="n"/>
      <c r="AH473" s="148">
        <f>AND(E473="CA",OR('CA Dashboard'!$C$4="All",'CA Dashboard'!$C$4=D473),OR('CA Dashboard'!$C$5="All",'CA Dashboard'!$C$5=G473),OR('CA Dashboard'!$C$6="All",'CA Dashboard'!$C$6=H473),OR('CA Dashboard'!$C$7="All",'CA Dashboard'!$C$7=F473),OR('CA Dashboard'!$C$8="All",'CA Dashboard'!$C$8=AJ473))</f>
        <v/>
      </c>
      <c r="AI473" s="148">
        <f>IF(AH473,AI472+1,AI472)</f>
        <v/>
      </c>
      <c r="AJ473" s="148" t="inlineStr">
        <is>
          <t>Not classified</t>
        </is>
      </c>
      <c r="AK473" s="148" t="inlineStr">
        <is>
          <t>Not a sheet, pillowcase or comforter product; competitors are compared on price and sales only.</t>
        </is>
      </c>
    </row>
    <row r="474">
      <c r="A474" s="148">
        <f>AND(E474="US",OR('US Dashboard'!$C$4="All",'US Dashboard'!$C$4=D474),OR('US Dashboard'!$C$5="All",'US Dashboard'!$C$5=G474),OR('US Dashboard'!$C$6="All",'US Dashboard'!$C$6=H474),OR('US Dashboard'!$C$7="All",'US Dashboard'!$C$7=F474),OR('US Dashboard'!$C$8="All",'US Dashboard'!$C$8=AJ474))</f>
        <v/>
      </c>
      <c r="B474" s="148">
        <f>IF(A474,B473+1,B473)</f>
        <v/>
      </c>
      <c r="C474" s="148" t="n">
        <v>57</v>
      </c>
      <c r="D474" s="148" t="inlineStr">
        <is>
          <t>SL Mask Velcro</t>
        </is>
      </c>
      <c r="E474" s="148" t="inlineStr">
        <is>
          <t>US</t>
        </is>
      </c>
      <c r="F474" s="148" t="inlineStr">
        <is>
          <t>Silk</t>
        </is>
      </c>
      <c r="G474" s="148" t="inlineStr">
        <is>
          <t>YFONG</t>
        </is>
      </c>
      <c r="H474" s="148" t="inlineStr">
        <is>
          <t>Beatable</t>
        </is>
      </c>
      <c r="I474" s="148" t="inlineStr">
        <is>
          <t>SS Silk Sleep Mask</t>
        </is>
      </c>
      <c r="J474" s="148" t="n"/>
      <c r="K474" s="148" t="inlineStr">
        <is>
          <t>B0D4Q3KB7S</t>
        </is>
      </c>
      <c r="L474" s="148" t="inlineStr">
        <is>
          <t>B0D4PKVNWB</t>
        </is>
      </c>
      <c r="M474" s="148" t="n"/>
      <c r="N474" s="148" t="n">
        <v>14.99</v>
      </c>
      <c r="O474" s="148" t="n"/>
      <c r="P474" s="148">
        <f>IF(AND(ISNUMBER(O474),ISNUMBER(N474),N(N474)&gt;0),O474/N474-1,"")</f>
        <v/>
      </c>
      <c r="Q474" s="148" t="n">
        <v>20.41153846153846</v>
      </c>
      <c r="R474" s="148">
        <f>IF(AND(ISNUMBER(N474),ISNUMBER(Q474),N(Q474)&gt;0),N474/Q474-1,"")</f>
        <v/>
      </c>
      <c r="S474" s="148" t="n">
        <v>47070</v>
      </c>
      <c r="T474" s="148" t="n"/>
      <c r="U474" s="148" t="n">
        <v>4.3</v>
      </c>
      <c r="V474" s="148" t="n">
        <v>272</v>
      </c>
      <c r="W474" s="148" t="n"/>
      <c r="X474" s="148" t="n"/>
      <c r="Y474" s="148" t="n"/>
      <c r="Z474" s="148" t="n"/>
      <c r="AA474" s="148" t="n"/>
      <c r="AB474" s="148" t="n">
        <v>1.057692307692308</v>
      </c>
      <c r="AC474" s="148" t="inlineStr">
        <is>
          <t>US SL Mask Velcro</t>
        </is>
      </c>
      <c r="AD474" s="148">
        <f>'US SL Mask Velcro'!BF54</f>
        <v/>
      </c>
      <c r="AE474" s="148">
        <f>'US SL Mask Velcro'!BI54</f>
        <v/>
      </c>
      <c r="AF474" s="148" t="n"/>
      <c r="AG474" s="148" t="n"/>
      <c r="AH474" s="148">
        <f>AND(E474="CA",OR('CA Dashboard'!$C$4="All",'CA Dashboard'!$C$4=D474),OR('CA Dashboard'!$C$5="All",'CA Dashboard'!$C$5=G474),OR('CA Dashboard'!$C$6="All",'CA Dashboard'!$C$6=H474),OR('CA Dashboard'!$C$7="All",'CA Dashboard'!$C$7=F474),OR('CA Dashboard'!$C$8="All",'CA Dashboard'!$C$8=AJ474))</f>
        <v/>
      </c>
      <c r="AI474" s="148">
        <f>IF(AH474,AI473+1,AI473)</f>
        <v/>
      </c>
      <c r="AJ474" s="148" t="inlineStr">
        <is>
          <t>Not classified</t>
        </is>
      </c>
      <c r="AK474" s="148" t="inlineStr">
        <is>
          <t>Not a sheet, pillowcase or comforter product; competitors are compared on price and sales only.</t>
        </is>
      </c>
    </row>
    <row r="475">
      <c r="A475" s="148">
        <f>AND(E475="US",OR('US Dashboard'!$C$4="All",'US Dashboard'!$C$4=D475),OR('US Dashboard'!$C$5="All",'US Dashboard'!$C$5=G475),OR('US Dashboard'!$C$6="All",'US Dashboard'!$C$6=H475),OR('US Dashboard'!$C$7="All",'US Dashboard'!$C$7=F475),OR('US Dashboard'!$C$8="All",'US Dashboard'!$C$8=AJ475))</f>
        <v/>
      </c>
      <c r="B475" s="148">
        <f>IF(A475,B474+1,B474)</f>
        <v/>
      </c>
      <c r="C475" s="148" t="n">
        <v>57</v>
      </c>
      <c r="D475" s="148" t="inlineStr">
        <is>
          <t>SL Mask Velcro</t>
        </is>
      </c>
      <c r="E475" s="148" t="inlineStr">
        <is>
          <t>US</t>
        </is>
      </c>
      <c r="F475" s="148" t="inlineStr">
        <is>
          <t>Silk</t>
        </is>
      </c>
      <c r="G475" s="148" t="inlineStr">
        <is>
          <t>LitBear</t>
        </is>
      </c>
      <c r="H475" s="148" t="inlineStr">
        <is>
          <t>Untiered</t>
        </is>
      </c>
      <c r="I475" s="148" t="inlineStr">
        <is>
          <t>SS Silk Sleep Mask</t>
        </is>
      </c>
      <c r="J475" s="148" t="inlineStr">
        <is>
          <t>https://m.media-amazon.com/images/I/813M0YqSLzL._AC_SL1500_.jpg</t>
        </is>
      </c>
      <c r="K475" s="148" t="inlineStr">
        <is>
          <t>B09YQ2GFGB</t>
        </is>
      </c>
      <c r="L475" s="148" t="inlineStr">
        <is>
          <t>B09H7FZ5JM</t>
        </is>
      </c>
      <c r="M475" s="148" t="n"/>
      <c r="N475" s="148" t="n">
        <v>12.95</v>
      </c>
      <c r="O475" s="148" t="n">
        <v>14.39</v>
      </c>
      <c r="P475" s="148">
        <f>IF(AND(ISNUMBER(O475),ISNUMBER(N475),N(N475)&gt;0),O475/N475-1,"")</f>
        <v/>
      </c>
      <c r="Q475" s="148" t="n">
        <v>20.41153846153846</v>
      </c>
      <c r="R475" s="148">
        <f>IF(AND(ISNUMBER(N475),ISNUMBER(Q475),N(Q475)&gt;0),N475/Q475-1,"")</f>
        <v/>
      </c>
      <c r="S475" s="148" t="n">
        <v>1574</v>
      </c>
      <c r="T475" s="148" t="n">
        <v>3464</v>
      </c>
      <c r="U475" s="148" t="n">
        <v>4.7</v>
      </c>
      <c r="V475" s="148" t="n">
        <v>17354</v>
      </c>
      <c r="W475" s="148" t="n"/>
      <c r="X475" s="148" t="n"/>
      <c r="Y475" s="148" t="n"/>
      <c r="Z475" s="148" t="n"/>
      <c r="AA475" s="148" t="n"/>
      <c r="AB475" s="148" t="n">
        <v>0.9930349542112731</v>
      </c>
      <c r="AC475" s="148" t="inlineStr">
        <is>
          <t>US SL Mask Velcro</t>
        </is>
      </c>
      <c r="AD475" s="148">
        <f>'US SL Mask Velcro'!BF55</f>
        <v/>
      </c>
      <c r="AE475" s="148">
        <f>'US SL Mask Velcro'!BI55</f>
        <v/>
      </c>
      <c r="AF475" s="148" t="n"/>
      <c r="AG475" s="148" t="n"/>
      <c r="AH475" s="148">
        <f>AND(E475="CA",OR('CA Dashboard'!$C$4="All",'CA Dashboard'!$C$4=D475),OR('CA Dashboard'!$C$5="All",'CA Dashboard'!$C$5=G475),OR('CA Dashboard'!$C$6="All",'CA Dashboard'!$C$6=H475),OR('CA Dashboard'!$C$7="All",'CA Dashboard'!$C$7=F475),OR('CA Dashboard'!$C$8="All",'CA Dashboard'!$C$8=AJ475))</f>
        <v/>
      </c>
      <c r="AI475" s="148">
        <f>IF(AH475,AI474+1,AI474)</f>
        <v/>
      </c>
      <c r="AJ475" s="148" t="inlineStr">
        <is>
          <t>Not classified</t>
        </is>
      </c>
      <c r="AK475" s="148" t="inlineStr">
        <is>
          <t>Not a sheet, pillowcase or comforter product; competitors are compared on price and sales only.</t>
        </is>
      </c>
    </row>
    <row r="476">
      <c r="A476" s="148">
        <f>AND(E476="US",OR('US Dashboard'!$C$4="All",'US Dashboard'!$C$4=D476),OR('US Dashboard'!$C$5="All",'US Dashboard'!$C$5=G476),OR('US Dashboard'!$C$6="All",'US Dashboard'!$C$6=H476),OR('US Dashboard'!$C$7="All",'US Dashboard'!$C$7=F476),OR('US Dashboard'!$C$8="All",'US Dashboard'!$C$8=AJ476))</f>
        <v/>
      </c>
      <c r="B476" s="148">
        <f>IF(A476,B475+1,B475)</f>
        <v/>
      </c>
      <c r="C476" s="148" t="n">
        <v>57</v>
      </c>
      <c r="D476" s="148" t="inlineStr">
        <is>
          <t>SL Mask Velcro</t>
        </is>
      </c>
      <c r="E476" s="148" t="inlineStr">
        <is>
          <t>US</t>
        </is>
      </c>
      <c r="F476" s="148" t="inlineStr">
        <is>
          <t>Silk</t>
        </is>
      </c>
      <c r="G476" s="148" t="inlineStr">
        <is>
          <t>Kitsch</t>
        </is>
      </c>
      <c r="H476" s="148" t="inlineStr">
        <is>
          <t>Untiered</t>
        </is>
      </c>
      <c r="I476" s="148" t="inlineStr">
        <is>
          <t>SS Silk Sleep Mask</t>
        </is>
      </c>
      <c r="J476" s="148" t="inlineStr">
        <is>
          <t>https://m.media-amazon.com/images/I/81SKo-F-qLL._AC_SL1500_.jpg</t>
        </is>
      </c>
      <c r="K476" s="148" t="inlineStr">
        <is>
          <t>B0FNPM9ZM4</t>
        </is>
      </c>
      <c r="L476" s="148" t="inlineStr">
        <is>
          <t>B09GYPT47K</t>
        </is>
      </c>
      <c r="M476" s="148" t="n"/>
      <c r="N476" s="148" t="n">
        <v>14.39</v>
      </c>
      <c r="O476" s="148" t="n">
        <v>17.99</v>
      </c>
      <c r="P476" s="148">
        <f>IF(AND(ISNUMBER(O476),ISNUMBER(N476),N(N476)&gt;0),O476/N476-1,"")</f>
        <v/>
      </c>
      <c r="Q476" s="148" t="n">
        <v>20.41153846153846</v>
      </c>
      <c r="R476" s="148">
        <f>IF(AND(ISNUMBER(N476),ISNUMBER(Q476),N(Q476)&gt;0),N476/Q476-1,"")</f>
        <v/>
      </c>
      <c r="S476" s="148" t="n">
        <v>1837</v>
      </c>
      <c r="T476" s="148" t="n">
        <v>1848</v>
      </c>
      <c r="U476" s="148" t="n">
        <v>4.3</v>
      </c>
      <c r="V476" s="148" t="n">
        <v>1648</v>
      </c>
      <c r="W476" s="148" t="n"/>
      <c r="X476" s="148" t="n"/>
      <c r="Y476" s="148" t="n"/>
      <c r="Z476" s="148" t="n"/>
      <c r="AA476" s="148" t="n"/>
      <c r="AB476" s="148" t="n"/>
      <c r="AC476" s="148" t="inlineStr">
        <is>
          <t>US SL Mask Velcro</t>
        </is>
      </c>
      <c r="AD476" s="148">
        <f>'US SL Mask Velcro'!BF56</f>
        <v/>
      </c>
      <c r="AE476" s="148">
        <f>'US SL Mask Velcro'!BI56</f>
        <v/>
      </c>
      <c r="AF476" s="148" t="n"/>
      <c r="AG476" s="148" t="n"/>
      <c r="AH476" s="148">
        <f>AND(E476="CA",OR('CA Dashboard'!$C$4="All",'CA Dashboard'!$C$4=D476),OR('CA Dashboard'!$C$5="All",'CA Dashboard'!$C$5=G476),OR('CA Dashboard'!$C$6="All",'CA Dashboard'!$C$6=H476),OR('CA Dashboard'!$C$7="All",'CA Dashboard'!$C$7=F476),OR('CA Dashboard'!$C$8="All",'CA Dashboard'!$C$8=AJ476))</f>
        <v/>
      </c>
      <c r="AI476" s="148">
        <f>IF(AH476,AI475+1,AI475)</f>
        <v/>
      </c>
      <c r="AJ476" s="148" t="inlineStr">
        <is>
          <t>Not classified</t>
        </is>
      </c>
      <c r="AK476" s="148" t="inlineStr">
        <is>
          <t>Not a sheet, pillowcase or comforter product; competitors are compared on price and sales only.</t>
        </is>
      </c>
    </row>
    <row r="477">
      <c r="A477" s="148">
        <f>AND(E477="US",OR('US Dashboard'!$C$4="All",'US Dashboard'!$C$4=D477),OR('US Dashboard'!$C$5="All",'US Dashboard'!$C$5=G477),OR('US Dashboard'!$C$6="All",'US Dashboard'!$C$6=H477),OR('US Dashboard'!$C$7="All",'US Dashboard'!$C$7=F477),OR('US Dashboard'!$C$8="All",'US Dashboard'!$C$8=AJ477))</f>
        <v/>
      </c>
      <c r="B477" s="148">
        <f>IF(A477,B476+1,B476)</f>
        <v/>
      </c>
      <c r="C477" s="148" t="n">
        <v>57</v>
      </c>
      <c r="D477" s="148" t="inlineStr">
        <is>
          <t>SL Mask Velcro</t>
        </is>
      </c>
      <c r="E477" s="148" t="inlineStr">
        <is>
          <t>US</t>
        </is>
      </c>
      <c r="F477" s="148" t="inlineStr">
        <is>
          <t>Silk</t>
        </is>
      </c>
      <c r="G477" s="148" t="inlineStr">
        <is>
          <t>spacepower</t>
        </is>
      </c>
      <c r="H477" s="148" t="inlineStr">
        <is>
          <t>Untiered</t>
        </is>
      </c>
      <c r="I477" s="148" t="inlineStr">
        <is>
          <t>SS Silk Sleep Mask</t>
        </is>
      </c>
      <c r="J477" s="148" t="inlineStr">
        <is>
          <t>https://m.media-amazon.com/images/I/51CeCV1TCdL._AC_SL1000_.jpg</t>
        </is>
      </c>
      <c r="K477" s="148" t="inlineStr">
        <is>
          <t>B0H9RJ7HSY</t>
        </is>
      </c>
      <c r="L477" s="148" t="inlineStr">
        <is>
          <t>B07J41LJJZ</t>
        </is>
      </c>
      <c r="M477" s="148" t="n"/>
      <c r="N477" s="148" t="n">
        <v>4.99</v>
      </c>
      <c r="O477" s="148" t="n"/>
      <c r="P477" s="148">
        <f>IF(AND(ISNUMBER(O477),ISNUMBER(N477),N(N477)&gt;0),O477/N477-1,"")</f>
        <v/>
      </c>
      <c r="Q477" s="148" t="n">
        <v>20.41153846153846</v>
      </c>
      <c r="R477" s="148">
        <f>IF(AND(ISNUMBER(N477),ISNUMBER(Q477),N(Q477)&gt;0),N477/Q477-1,"")</f>
        <v/>
      </c>
      <c r="S477" s="148" t="n">
        <v>8110</v>
      </c>
      <c r="T477" s="148" t="n">
        <v>809</v>
      </c>
      <c r="U477" s="148" t="n">
        <v>4.6</v>
      </c>
      <c r="V477" s="148" t="n">
        <v>5889</v>
      </c>
      <c r="W477" s="148" t="n"/>
      <c r="X477" s="148" t="n"/>
      <c r="Y477" s="148" t="n"/>
      <c r="Z477" s="148" t="n"/>
      <c r="AA477" s="148" t="n"/>
      <c r="AB477" s="148" t="n"/>
      <c r="AC477" s="148" t="inlineStr">
        <is>
          <t>US SL Mask Velcro</t>
        </is>
      </c>
      <c r="AD477" s="148">
        <f>'US SL Mask Velcro'!BF57</f>
        <v/>
      </c>
      <c r="AE477" s="148">
        <f>'US SL Mask Velcro'!BI57</f>
        <v/>
      </c>
      <c r="AF477" s="148" t="n"/>
      <c r="AG477" s="148" t="n"/>
      <c r="AH477" s="148">
        <f>AND(E477="CA",OR('CA Dashboard'!$C$4="All",'CA Dashboard'!$C$4=D477),OR('CA Dashboard'!$C$5="All",'CA Dashboard'!$C$5=G477),OR('CA Dashboard'!$C$6="All",'CA Dashboard'!$C$6=H477),OR('CA Dashboard'!$C$7="All",'CA Dashboard'!$C$7=F477),OR('CA Dashboard'!$C$8="All",'CA Dashboard'!$C$8=AJ477))</f>
        <v/>
      </c>
      <c r="AI477" s="148">
        <f>IF(AH477,AI476+1,AI476)</f>
        <v/>
      </c>
      <c r="AJ477" s="148" t="inlineStr">
        <is>
          <t>Not classified</t>
        </is>
      </c>
      <c r="AK477" s="148" t="inlineStr">
        <is>
          <t>Not a sheet, pillowcase or comforter product; competitors are compared on price and sales only.</t>
        </is>
      </c>
    </row>
    <row r="478">
      <c r="A478" s="148">
        <f>AND(E478="US",OR('US Dashboard'!$C$4="All",'US Dashboard'!$C$4=D478),OR('US Dashboard'!$C$5="All",'US Dashboard'!$C$5=G478),OR('US Dashboard'!$C$6="All",'US Dashboard'!$C$6=H478),OR('US Dashboard'!$C$7="All",'US Dashboard'!$C$7=F478),OR('US Dashboard'!$C$8="All",'US Dashboard'!$C$8=AJ478))</f>
        <v/>
      </c>
      <c r="B478" s="148">
        <f>IF(A478,B477+1,B477)</f>
        <v/>
      </c>
      <c r="C478" s="148" t="n">
        <v>57</v>
      </c>
      <c r="D478" s="148" t="inlineStr">
        <is>
          <t>SL Mask Velcro</t>
        </is>
      </c>
      <c r="E478" s="148" t="inlineStr">
        <is>
          <t>US</t>
        </is>
      </c>
      <c r="F478" s="148" t="inlineStr">
        <is>
          <t>Silk</t>
        </is>
      </c>
      <c r="G478" s="148" t="inlineStr">
        <is>
          <t>Jersey Slumber</t>
        </is>
      </c>
      <c r="H478" s="148" t="inlineStr">
        <is>
          <t>Untiered</t>
        </is>
      </c>
      <c r="I478" s="148" t="inlineStr">
        <is>
          <t>SS Silk Sleep Mask</t>
        </is>
      </c>
      <c r="J478" s="148" t="inlineStr">
        <is>
          <t>https://m.media-amazon.com/images/I/71LL5nkhi5L._AC_SL1500_.jpg</t>
        </is>
      </c>
      <c r="K478" s="148" t="inlineStr">
        <is>
          <t>B0D4MHYD6C</t>
        </is>
      </c>
      <c r="L478" s="148" t="inlineStr">
        <is>
          <t>B014VYD7NW</t>
        </is>
      </c>
      <c r="M478" s="148" t="n"/>
      <c r="N478" s="148" t="n">
        <v>8.890000000000001</v>
      </c>
      <c r="O478" s="148" t="n"/>
      <c r="P478" s="148">
        <f>IF(AND(ISNUMBER(O478),ISNUMBER(N478),N(N478)&gt;0),O478/N478-1,"")</f>
        <v/>
      </c>
      <c r="Q478" s="148" t="n">
        <v>20.41153846153846</v>
      </c>
      <c r="R478" s="148">
        <f>IF(AND(ISNUMBER(N478),ISNUMBER(Q478),N(Q478)&gt;0),N478/Q478-1,"")</f>
        <v/>
      </c>
      <c r="S478" s="148" t="n">
        <v>25636</v>
      </c>
      <c r="T478" s="148" t="n">
        <v>220</v>
      </c>
      <c r="U478" s="148" t="n">
        <v>4.5</v>
      </c>
      <c r="V478" s="148" t="n">
        <v>28100</v>
      </c>
      <c r="W478" s="148" t="n"/>
      <c r="X478" s="148" t="n"/>
      <c r="Y478" s="148" t="n"/>
      <c r="Z478" s="148" t="n"/>
      <c r="AA478" s="148" t="n"/>
      <c r="AB478" s="148" t="n">
        <v>0.7335907335907336</v>
      </c>
      <c r="AC478" s="148" t="inlineStr">
        <is>
          <t>US SL Mask Velcro</t>
        </is>
      </c>
      <c r="AD478" s="148">
        <f>'US SL Mask Velcro'!BF58</f>
        <v/>
      </c>
      <c r="AE478" s="148">
        <f>'US SL Mask Velcro'!BI58</f>
        <v/>
      </c>
      <c r="AF478" s="148" t="n"/>
      <c r="AG478" s="148" t="n"/>
      <c r="AH478" s="148">
        <f>AND(E478="CA",OR('CA Dashboard'!$C$4="All",'CA Dashboard'!$C$4=D478),OR('CA Dashboard'!$C$5="All",'CA Dashboard'!$C$5=G478),OR('CA Dashboard'!$C$6="All",'CA Dashboard'!$C$6=H478),OR('CA Dashboard'!$C$7="All",'CA Dashboard'!$C$7=F478),OR('CA Dashboard'!$C$8="All",'CA Dashboard'!$C$8=AJ478))</f>
        <v/>
      </c>
      <c r="AI478" s="148">
        <f>IF(AH478,AI477+1,AI477)</f>
        <v/>
      </c>
      <c r="AJ478" s="148" t="inlineStr">
        <is>
          <t>Not classified</t>
        </is>
      </c>
      <c r="AK478" s="148" t="inlineStr">
        <is>
          <t>Not a sheet, pillowcase or comforter product; competitors are compared on price and sales only.</t>
        </is>
      </c>
    </row>
    <row r="479">
      <c r="A479" s="148">
        <f>AND(E479="US",OR('US Dashboard'!$C$4="All",'US Dashboard'!$C$4=D479),OR('US Dashboard'!$C$5="All",'US Dashboard'!$C$5=G479),OR('US Dashboard'!$C$6="All",'US Dashboard'!$C$6=H479),OR('US Dashboard'!$C$7="All",'US Dashboard'!$C$7=F479),OR('US Dashboard'!$C$8="All",'US Dashboard'!$C$8=AJ479))</f>
        <v/>
      </c>
      <c r="B479" s="148">
        <f>IF(A479,B478+1,B478)</f>
        <v/>
      </c>
      <c r="C479" s="148" t="n">
        <v>48</v>
      </c>
      <c r="D479" s="148" t="inlineStr">
        <is>
          <t>DC Cooling 4pc</t>
        </is>
      </c>
      <c r="E479" s="148" t="inlineStr">
        <is>
          <t>US</t>
        </is>
      </c>
      <c r="F479" s="148" t="inlineStr">
        <is>
          <t>Cooling</t>
        </is>
      </c>
      <c r="G479" s="148" t="inlineStr">
        <is>
          <t>Bedlifes</t>
        </is>
      </c>
      <c r="H479" s="148" t="inlineStr">
        <is>
          <t>Aspirational</t>
        </is>
      </c>
      <c r="I479" s="148" t="inlineStr">
        <is>
          <t>Cooling Sheets</t>
        </is>
      </c>
      <c r="J479" s="148" t="inlineStr">
        <is>
          <t>https://m.media-amazon.com/images/I/715A70+dQUL._AC_SL1001_.jpg</t>
        </is>
      </c>
      <c r="K479" s="148" t="inlineStr">
        <is>
          <t>B0957W6SPP</t>
        </is>
      </c>
      <c r="L479" s="148" t="inlineStr">
        <is>
          <t>B0894QH86C</t>
        </is>
      </c>
      <c r="M479" s="148" t="n">
        <v>84</v>
      </c>
      <c r="N479" s="148" t="n">
        <v>22.49</v>
      </c>
      <c r="O479" s="148" t="n"/>
      <c r="P479" s="148">
        <f>IF(AND(ISNUMBER(O479),ISNUMBER(N479),N(N479)&gt;0),O479/N479-1,"")</f>
        <v/>
      </c>
      <c r="Q479" s="148" t="n">
        <v>37.95</v>
      </c>
      <c r="R479" s="148">
        <f>IF(AND(ISNUMBER(N479),ISNUMBER(Q479),N(Q479)&gt;0),N479/Q479-1,"")</f>
        <v/>
      </c>
      <c r="S479" s="148" t="n">
        <v>9402</v>
      </c>
      <c r="T479" s="148" t="n">
        <v>92</v>
      </c>
      <c r="U479" s="148" t="n">
        <v>4.6</v>
      </c>
      <c r="V479" s="148" t="n">
        <v>13223</v>
      </c>
      <c r="W479" s="148" t="n">
        <v>80103</v>
      </c>
      <c r="X479" s="148" t="n">
        <v>0.9185560415964454</v>
      </c>
      <c r="Y479" s="148" t="n">
        <v>76</v>
      </c>
      <c r="Z479" s="148" t="n">
        <v>187</v>
      </c>
      <c r="AA479" s="148" t="n">
        <v>331</v>
      </c>
      <c r="AB479" s="148" t="n">
        <v>1.235737351991389</v>
      </c>
      <c r="AC479" s="148" t="inlineStr">
        <is>
          <t>US DC Cooling 4pc</t>
        </is>
      </c>
      <c r="AD479" s="148">
        <f>'US DC Cooling 4pc'!BF107</f>
        <v/>
      </c>
      <c r="AE479" s="148">
        <f>'US DC Cooling 4pc'!BI107</f>
        <v/>
      </c>
      <c r="AF479" s="148" t="inlineStr">
        <is>
          <t>Queen</t>
        </is>
      </c>
      <c r="AG479" s="148" t="inlineStr">
        <is>
          <t>Spring Flower</t>
        </is>
      </c>
      <c r="AH479" s="148">
        <f>AND(E479="CA",OR('CA Dashboard'!$C$4="All",'CA Dashboard'!$C$4=D479),OR('CA Dashboard'!$C$5="All",'CA Dashboard'!$C$5=G479),OR('CA Dashboard'!$C$6="All",'CA Dashboard'!$C$6=H479),OR('CA Dashboard'!$C$7="All",'CA Dashboard'!$C$7=F479),OR('CA Dashboard'!$C$8="All",'CA Dashboard'!$C$8=AJ479))</f>
        <v/>
      </c>
      <c r="AI479" s="148">
        <f>IF(AH479,AI478+1,AI478)</f>
        <v/>
      </c>
      <c r="AJ479" s="148" t="inlineStr">
        <is>
          <t>Direct</t>
        </is>
      </c>
      <c r="AK479" s="148" t="inlineStr">
        <is>
          <t>Same product (sheet set) in the same material family: Microfiber / polyester (product page material: Microfiber); ours: different material from the Sleephoria cooling sheets: microfiber with some bamboo viscose.</t>
        </is>
      </c>
    </row>
    <row r="480">
      <c r="A480" s="148">
        <f>AND(E480="US",OR('US Dashboard'!$C$4="All",'US Dashboard'!$C$4=D480),OR('US Dashboard'!$C$5="All",'US Dashboard'!$C$5=G480),OR('US Dashboard'!$C$6="All",'US Dashboard'!$C$6=H480),OR('US Dashboard'!$C$7="All",'US Dashboard'!$C$7=F480),OR('US Dashboard'!$C$8="All",'US Dashboard'!$C$8=AJ480))</f>
        <v/>
      </c>
      <c r="B480" s="148">
        <f>IF(A480,B479+1,B479)</f>
        <v/>
      </c>
      <c r="C480" s="148" t="n">
        <v>48</v>
      </c>
      <c r="D480" s="148" t="inlineStr">
        <is>
          <t>DC Cooling 4pc</t>
        </is>
      </c>
      <c r="E480" s="148" t="inlineStr">
        <is>
          <t>US</t>
        </is>
      </c>
      <c r="F480" s="148" t="inlineStr">
        <is>
          <t>Cooling</t>
        </is>
      </c>
      <c r="G480" s="148" t="inlineStr">
        <is>
          <t>OMERAI</t>
        </is>
      </c>
      <c r="H480" s="148" t="inlineStr">
        <is>
          <t>Beatable</t>
        </is>
      </c>
      <c r="I480" s="148" t="inlineStr">
        <is>
          <t>Cooling Sheets</t>
        </is>
      </c>
      <c r="J480" s="148" t="inlineStr">
        <is>
          <t>https://m.media-amazon.com/images/I/818EX2hLSoL._AC_SL1500_.jpg</t>
        </is>
      </c>
      <c r="K480" s="148" t="inlineStr">
        <is>
          <t>B0HDC7BMTC</t>
        </is>
      </c>
      <c r="L480" s="148" t="inlineStr">
        <is>
          <t>B0FX8K1CG9</t>
        </is>
      </c>
      <c r="M480" s="148" t="n">
        <v>10</v>
      </c>
      <c r="N480" s="148" t="n">
        <v>42.99</v>
      </c>
      <c r="O480" s="148" t="n">
        <v>59.99</v>
      </c>
      <c r="P480" s="148">
        <f>IF(AND(ISNUMBER(O480),ISNUMBER(N480),N(N480)&gt;0),O480/N480-1,"")</f>
        <v/>
      </c>
      <c r="Q480" s="148" t="n">
        <v>39.95</v>
      </c>
      <c r="R480" s="148">
        <f>IF(AND(ISNUMBER(N480),ISNUMBER(Q480),N(Q480)&gt;0),N480/Q480-1,"")</f>
        <v/>
      </c>
      <c r="S480" s="148" t="n">
        <v>115669</v>
      </c>
      <c r="T480" s="148" t="n">
        <v>5</v>
      </c>
      <c r="U480" s="148" t="n">
        <v>4.7</v>
      </c>
      <c r="V480" s="148" t="n">
        <v>4</v>
      </c>
      <c r="W480" s="148" t="n">
        <v>13712</v>
      </c>
      <c r="X480" s="148" t="n">
        <v>0.8852072199533255</v>
      </c>
      <c r="Y480" s="148" t="n">
        <v>46</v>
      </c>
      <c r="Z480" s="148" t="n">
        <v>80</v>
      </c>
      <c r="AA480" s="148" t="n">
        <v>53</v>
      </c>
      <c r="AB480" s="148" t="n"/>
      <c r="AC480" s="148" t="inlineStr">
        <is>
          <t>US DC Cooling 4pc</t>
        </is>
      </c>
      <c r="AD480" s="148">
        <f>'US DC Cooling 4pc'!BF108</f>
        <v/>
      </c>
      <c r="AE480" s="148">
        <f>'US DC Cooling 4pc'!BI108</f>
        <v/>
      </c>
      <c r="AF480" s="148" t="inlineStr">
        <is>
          <t>King 4 PC</t>
        </is>
      </c>
      <c r="AG480" s="148" t="inlineStr">
        <is>
          <t>Blue</t>
        </is>
      </c>
      <c r="AH480" s="148">
        <f>AND(E480="CA",OR('CA Dashboard'!$C$4="All",'CA Dashboard'!$C$4=D480),OR('CA Dashboard'!$C$5="All",'CA Dashboard'!$C$5=G480),OR('CA Dashboard'!$C$6="All",'CA Dashboard'!$C$6=H480),OR('CA Dashboard'!$C$7="All",'CA Dashboard'!$C$7=F480),OR('CA Dashboard'!$C$8="All",'CA Dashboard'!$C$8=AJ480))</f>
        <v/>
      </c>
      <c r="AI480" s="148">
        <f>IF(AH480,AI479+1,AI479)</f>
        <v/>
      </c>
      <c r="AJ480" s="148" t="inlineStr">
        <is>
          <t>Direct</t>
        </is>
      </c>
      <c r="AK480" s="148" t="inlineStr">
        <is>
          <t>Same product (sheet set) in the same material family: Microfiber / polyester (product page material: Microfiber); ours: different material from the Sleephoria cooling sheets: microfiber with some bamboo viscose.</t>
        </is>
      </c>
    </row>
    <row r="481">
      <c r="A481" s="148">
        <f>AND(E481="US",OR('US Dashboard'!$C$4="All",'US Dashboard'!$C$4=D481),OR('US Dashboard'!$C$5="All",'US Dashboard'!$C$5=G481),OR('US Dashboard'!$C$6="All",'US Dashboard'!$C$6=H481),OR('US Dashboard'!$C$7="All",'US Dashboard'!$C$7=F481),OR('US Dashboard'!$C$8="All",'US Dashboard'!$C$8=AJ481))</f>
        <v/>
      </c>
      <c r="B481" s="148">
        <f>IF(A481,B480+1,B480)</f>
        <v/>
      </c>
      <c r="C481" s="148" t="n">
        <v>48</v>
      </c>
      <c r="D481" s="148" t="inlineStr">
        <is>
          <t>DC Cooling 4pc</t>
        </is>
      </c>
      <c r="E481" s="148" t="inlineStr">
        <is>
          <t>US</t>
        </is>
      </c>
      <c r="F481" s="148" t="inlineStr">
        <is>
          <t>Cooling</t>
        </is>
      </c>
      <c r="G481" s="148" t="inlineStr">
        <is>
          <t>Shilucheng</t>
        </is>
      </c>
      <c r="H481" s="148" t="inlineStr">
        <is>
          <t>Beatable</t>
        </is>
      </c>
      <c r="I481" s="148" t="inlineStr">
        <is>
          <t>Shilucheng 4 Piece King Sheet Sets, Cooling Sheets, Dark Grey</t>
        </is>
      </c>
      <c r="J481" s="148" t="inlineStr">
        <is>
          <t>https://images-na.ssl-images-amazon.com/images/I/81fpVjndH2L.jpg</t>
        </is>
      </c>
      <c r="K481" s="148" t="inlineStr">
        <is>
          <t>B098JT1RF2</t>
        </is>
      </c>
      <c r="L481" s="148" t="inlineStr">
        <is>
          <t>B098JT1RF2</t>
        </is>
      </c>
      <c r="M481" s="148" t="n">
        <v>100</v>
      </c>
      <c r="N481" s="148" t="n">
        <v>37.9</v>
      </c>
      <c r="O481" s="148" t="n"/>
      <c r="P481" s="148">
        <f>IF(AND(ISNUMBER(O481),ISNUMBER(N481),N(N481)&gt;0),O481/N481-1,"")</f>
        <v/>
      </c>
      <c r="Q481" s="148" t="n">
        <v>39.95</v>
      </c>
      <c r="R481" s="148">
        <f>IF(AND(ISNUMBER(N481),ISNUMBER(Q481),N(Q481)&gt;0),N481/Q481-1,"")</f>
        <v/>
      </c>
      <c r="S481" s="148" t="n">
        <v>9187</v>
      </c>
      <c r="T481" s="148" t="n">
        <v>18</v>
      </c>
      <c r="U481" s="148" t="n">
        <v>4.3</v>
      </c>
      <c r="V481" s="148" t="n">
        <v>24333</v>
      </c>
      <c r="W481" s="148" t="n">
        <v>23320</v>
      </c>
      <c r="X481" s="148" t="n">
        <v>0.6141093996569467</v>
      </c>
      <c r="Y481" s="148" t="n">
        <v>62</v>
      </c>
      <c r="Z481" s="148" t="n">
        <v>180</v>
      </c>
      <c r="AA481" s="148" t="n">
        <v>227</v>
      </c>
      <c r="AB481" s="148" t="n"/>
      <c r="AC481" s="148" t="inlineStr">
        <is>
          <t>US DC Cooling 4pc</t>
        </is>
      </c>
      <c r="AD481" s="148">
        <f>'US DC Cooling 4pc'!BF109</f>
        <v/>
      </c>
      <c r="AE481" s="148">
        <f>'US DC Cooling 4pc'!BI109</f>
        <v/>
      </c>
      <c r="AF481" s="148" t="inlineStr">
        <is>
          <t>King</t>
        </is>
      </c>
      <c r="AG481" s="148" t="inlineStr">
        <is>
          <t>Grey</t>
        </is>
      </c>
      <c r="AH481" s="148">
        <f>AND(E481="CA",OR('CA Dashboard'!$C$4="All",'CA Dashboard'!$C$4=D481),OR('CA Dashboard'!$C$5="All",'CA Dashboard'!$C$5=G481),OR('CA Dashboard'!$C$6="All",'CA Dashboard'!$C$6=H481),OR('CA Dashboard'!$C$7="All",'CA Dashboard'!$C$7=F481),OR('CA Dashboard'!$C$8="All",'CA Dashboard'!$C$8=AJ481))</f>
        <v/>
      </c>
      <c r="AI481" s="148">
        <f>IF(AH481,AI480+1,AI480)</f>
        <v/>
      </c>
      <c r="AJ481" s="148" t="inlineStr">
        <is>
          <t>Material not verified</t>
        </is>
      </c>
      <c r="AK481" s="148" t="inlineStr">
        <is>
          <t>Sheet set like ours, but the material is not stated (material not stated on the page or in the title); verify before treating as direct.</t>
        </is>
      </c>
    </row>
    <row r="482">
      <c r="A482" s="148">
        <f>AND(E482="US",OR('US Dashboard'!$C$4="All",'US Dashboard'!$C$4=D482),OR('US Dashboard'!$C$5="All",'US Dashboard'!$C$5=G482),OR('US Dashboard'!$C$6="All",'US Dashboard'!$C$6=H482),OR('US Dashboard'!$C$7="All",'US Dashboard'!$C$7=F482),OR('US Dashboard'!$C$8="All",'US Dashboard'!$C$8=AJ482))</f>
        <v/>
      </c>
      <c r="B482" s="148">
        <f>IF(A482,B481+1,B481)</f>
        <v/>
      </c>
      <c r="C482" s="148" t="n">
        <v>48</v>
      </c>
      <c r="D482" s="148" t="inlineStr">
        <is>
          <t>DC Cooling 4pc</t>
        </is>
      </c>
      <c r="E482" s="148" t="inlineStr">
        <is>
          <t>US</t>
        </is>
      </c>
      <c r="F482" s="148" t="inlineStr">
        <is>
          <t>Cooling</t>
        </is>
      </c>
      <c r="G482" s="148" t="inlineStr">
        <is>
          <t>Bedsure</t>
        </is>
      </c>
      <c r="H482" s="148" t="inlineStr">
        <is>
          <t>Beatable</t>
        </is>
      </c>
      <c r="I482" s="148" t="inlineStr">
        <is>
          <t>Cooling Sheets</t>
        </is>
      </c>
      <c r="J482" s="148" t="inlineStr">
        <is>
          <t>https://m.media-amazon.com/images/I/61lUaTQjkAL._AC_SL1500_.jpg</t>
        </is>
      </c>
      <c r="K482" s="148" t="inlineStr">
        <is>
          <t>B0CPDTJ5NN</t>
        </is>
      </c>
      <c r="L482" s="148" t="inlineStr">
        <is>
          <t>B0CPDR5DDM</t>
        </is>
      </c>
      <c r="M482" s="148" t="n">
        <v>1</v>
      </c>
      <c r="N482" s="148" t="n">
        <v>149.99</v>
      </c>
      <c r="O482" s="148" t="n"/>
      <c r="P482" s="148">
        <f>IF(AND(ISNUMBER(O482),ISNUMBER(N482),N(N482)&gt;0),O482/N482-1,"")</f>
        <v/>
      </c>
      <c r="Q482" s="148" t="n">
        <v>37.95</v>
      </c>
      <c r="R482" s="148">
        <f>IF(AND(ISNUMBER(N482),ISNUMBER(Q482),N(Q482)&gt;0),N482/Q482-1,"")</f>
        <v/>
      </c>
      <c r="S482" s="148" t="n">
        <v>463922</v>
      </c>
      <c r="T482" s="148" t="n">
        <v>5</v>
      </c>
      <c r="U482" s="148" t="n">
        <v>4.2</v>
      </c>
      <c r="V482" s="148" t="n">
        <v>512</v>
      </c>
      <c r="W482" s="148" t="n">
        <v>170</v>
      </c>
      <c r="X482" s="148" t="n">
        <v>1</v>
      </c>
      <c r="Y482" s="148" t="n">
        <v>12</v>
      </c>
      <c r="Z482" s="148" t="n">
        <v>1</v>
      </c>
      <c r="AA482" s="148" t="n">
        <v>0</v>
      </c>
      <c r="AB482" s="148" t="n"/>
      <c r="AC482" s="148" t="inlineStr">
        <is>
          <t>US DC Cooling 4pc</t>
        </is>
      </c>
      <c r="AD482" s="148">
        <f>'US DC Cooling 4pc'!BF110</f>
        <v/>
      </c>
      <c r="AE482" s="148">
        <f>'US DC Cooling 4pc'!BI110</f>
        <v/>
      </c>
      <c r="AF482" s="148" t="inlineStr">
        <is>
          <t>Queen</t>
        </is>
      </c>
      <c r="AG482" s="148" t="inlineStr">
        <is>
          <t>01 - Grey</t>
        </is>
      </c>
      <c r="AH482" s="148">
        <f>AND(E482="CA",OR('CA Dashboard'!$C$4="All",'CA Dashboard'!$C$4=D482),OR('CA Dashboard'!$C$5="All",'CA Dashboard'!$C$5=G482),OR('CA Dashboard'!$C$6="All",'CA Dashboard'!$C$6=H482),OR('CA Dashboard'!$C$7="All",'CA Dashboard'!$C$7=F482),OR('CA Dashboard'!$C$8="All",'CA Dashboard'!$C$8=AJ482))</f>
        <v/>
      </c>
      <c r="AI482" s="148">
        <f>IF(AH482,AI481+1,AI481)</f>
        <v/>
      </c>
      <c r="AJ482" s="148" t="inlineStr">
        <is>
          <t>Material not verified</t>
        </is>
      </c>
      <c r="AK482" s="148" t="inlineStr">
        <is>
          <t>Sheet set like ours, but the material is not stated (material not stated on the page or in the title); verify before treating as direct.</t>
        </is>
      </c>
    </row>
    <row r="483">
      <c r="A483" s="148">
        <f>AND(E483="US",OR('US Dashboard'!$C$4="All",'US Dashboard'!$C$4=D483),OR('US Dashboard'!$C$5="All",'US Dashboard'!$C$5=G483),OR('US Dashboard'!$C$6="All",'US Dashboard'!$C$6=H483),OR('US Dashboard'!$C$7="All",'US Dashboard'!$C$7=F483),OR('US Dashboard'!$C$8="All",'US Dashboard'!$C$8=AJ483))</f>
        <v/>
      </c>
      <c r="B483" s="148">
        <f>IF(A483,B482+1,B482)</f>
        <v/>
      </c>
      <c r="C483" s="148" t="n">
        <v>48</v>
      </c>
      <c r="D483" s="148" t="inlineStr">
        <is>
          <t>DC Cooling 4pc</t>
        </is>
      </c>
      <c r="E483" s="148" t="inlineStr">
        <is>
          <t>US</t>
        </is>
      </c>
      <c r="F483" s="148" t="inlineStr">
        <is>
          <t>Cooling</t>
        </is>
      </c>
      <c r="G483" s="148" t="inlineStr">
        <is>
          <t>David's Home</t>
        </is>
      </c>
      <c r="H483" s="148" t="inlineStr">
        <is>
          <t>Beatable</t>
        </is>
      </c>
      <c r="I483" s="148" t="inlineStr">
        <is>
          <t>Cooling Sheets</t>
        </is>
      </c>
      <c r="J483" s="148" t="n"/>
      <c r="K483" s="148" t="inlineStr">
        <is>
          <t>B0D1SRR2H4</t>
        </is>
      </c>
      <c r="L483" s="148" t="inlineStr">
        <is>
          <t>B0D1RBXBNG</t>
        </is>
      </c>
      <c r="M483" s="148" t="n"/>
      <c r="N483" s="148" t="n">
        <v>24.99</v>
      </c>
      <c r="O483" s="148" t="n"/>
      <c r="P483" s="148">
        <f>IF(AND(ISNUMBER(O483),ISNUMBER(N483),N(N483)&gt;0),O483/N483-1,"")</f>
        <v/>
      </c>
      <c r="Q483" s="148" t="n">
        <v>37.95</v>
      </c>
      <c r="R483" s="148">
        <f>IF(AND(ISNUMBER(N483),ISNUMBER(Q483),N(Q483)&gt;0),N483/Q483-1,"")</f>
        <v/>
      </c>
      <c r="S483" s="148" t="n">
        <v>758020</v>
      </c>
      <c r="T483" s="148" t="n"/>
      <c r="U483" s="148" t="n">
        <v>4.3</v>
      </c>
      <c r="V483" s="148" t="n">
        <v>169</v>
      </c>
      <c r="W483" s="148" t="n"/>
      <c r="X483" s="148" t="n"/>
      <c r="Y483" s="148" t="n"/>
      <c r="Z483" s="148" t="n"/>
      <c r="AA483" s="148" t="n"/>
      <c r="AB483" s="148" t="n"/>
      <c r="AC483" s="148" t="inlineStr">
        <is>
          <t>US DC Cooling 4pc</t>
        </is>
      </c>
      <c r="AD483" s="148">
        <f>'US DC Cooling 4pc'!BF111</f>
        <v/>
      </c>
      <c r="AE483" s="148">
        <f>'US DC Cooling 4pc'!BI111</f>
        <v/>
      </c>
      <c r="AF483" s="148" t="n"/>
      <c r="AG483" s="148" t="n"/>
      <c r="AH483" s="148">
        <f>AND(E483="CA",OR('CA Dashboard'!$C$4="All",'CA Dashboard'!$C$4=D483),OR('CA Dashboard'!$C$5="All",'CA Dashboard'!$C$5=G483),OR('CA Dashboard'!$C$6="All",'CA Dashboard'!$C$6=H483),OR('CA Dashboard'!$C$7="All",'CA Dashboard'!$C$7=F483),OR('CA Dashboard'!$C$8="All",'CA Dashboard'!$C$8=AJ483))</f>
        <v/>
      </c>
      <c r="AI483" s="148">
        <f>IF(AH483,AI482+1,AI482)</f>
        <v/>
      </c>
      <c r="AJ483" s="148" t="inlineStr">
        <is>
          <t>Material not verified</t>
        </is>
      </c>
      <c r="AK483" s="148" t="inlineStr">
        <is>
          <t>Sheet set like ours, but the material is not stated (material not stated on the page or in the title); verify before treating as direct.</t>
        </is>
      </c>
    </row>
    <row r="484">
      <c r="A484" s="148">
        <f>AND(E484="US",OR('US Dashboard'!$C$4="All",'US Dashboard'!$C$4=D484),OR('US Dashboard'!$C$5="All",'US Dashboard'!$C$5=G484),OR('US Dashboard'!$C$6="All",'US Dashboard'!$C$6=H484),OR('US Dashboard'!$C$7="All",'US Dashboard'!$C$7=F484),OR('US Dashboard'!$C$8="All",'US Dashboard'!$C$8=AJ484))</f>
        <v/>
      </c>
      <c r="B484" s="148">
        <f>IF(A484,B483+1,B483)</f>
        <v/>
      </c>
      <c r="C484" s="148" t="n">
        <v>48</v>
      </c>
      <c r="D484" s="148" t="inlineStr">
        <is>
          <t>DC Cooling 4pc</t>
        </is>
      </c>
      <c r="E484" s="148" t="inlineStr">
        <is>
          <t>US</t>
        </is>
      </c>
      <c r="F484" s="148" t="inlineStr">
        <is>
          <t>Cooling</t>
        </is>
      </c>
      <c r="G484" s="148" t="inlineStr">
        <is>
          <t>Pure Bamboo</t>
        </is>
      </c>
      <c r="H484" s="148" t="inlineStr">
        <is>
          <t>Aspirational</t>
        </is>
      </c>
      <c r="I484" s="148" t="inlineStr">
        <is>
          <t>Pure Bamboo King Sheets, Genuine 100% Organic Viscose Derived from Bamboo Bed Sheet Set, Luxuriously Soft &amp; Cooling, Double Stitching, 2 Year Quality Promise (King, Ivory)</t>
        </is>
      </c>
      <c r="J484" s="148" t="inlineStr">
        <is>
          <t>https://images-na.ssl-images-amazon.com/images/I/91dfner9BkL.jpg</t>
        </is>
      </c>
      <c r="K484" s="148" t="inlineStr">
        <is>
          <t>B0CZQ52MTQ</t>
        </is>
      </c>
      <c r="L484" s="148" t="inlineStr">
        <is>
          <t>B07DZTQ4JC</t>
        </is>
      </c>
      <c r="M484" s="148" t="n">
        <v>181</v>
      </c>
      <c r="N484" s="148" t="n">
        <v>109.99</v>
      </c>
      <c r="O484" s="148" t="n"/>
      <c r="P484" s="148">
        <f>IF(AND(ISNUMBER(O484),ISNUMBER(N484),N(N484)&gt;0),O484/N484-1,"")</f>
        <v/>
      </c>
      <c r="Q484" s="148" t="n">
        <v>39.95</v>
      </c>
      <c r="R484" s="148">
        <f>IF(AND(ISNUMBER(N484),ISNUMBER(Q484),N(Q484)&gt;0),N484/Q484-1,"")</f>
        <v/>
      </c>
      <c r="S484" s="148" t="n">
        <v>304</v>
      </c>
      <c r="T484" s="148" t="n">
        <v>809</v>
      </c>
      <c r="U484" s="148" t="n">
        <v>4.5</v>
      </c>
      <c r="V484" s="148" t="n">
        <v>21927</v>
      </c>
      <c r="W484" s="148" t="n">
        <v>2565055</v>
      </c>
      <c r="X484" s="148" t="n">
        <v>0.4648594811807159</v>
      </c>
      <c r="Y484" s="148" t="n">
        <v>8</v>
      </c>
      <c r="Z484" s="148" t="n">
        <v>359</v>
      </c>
      <c r="AA484" s="148" t="n">
        <v>3779</v>
      </c>
      <c r="AB484" s="148" t="n">
        <v>1.180104147961932</v>
      </c>
      <c r="AC484" s="148" t="inlineStr">
        <is>
          <t>US DC Cooling 4pc</t>
        </is>
      </c>
      <c r="AD484" s="148">
        <f>'US DC Cooling 4pc'!BF112</f>
        <v/>
      </c>
      <c r="AE484" s="148">
        <f>'US DC Cooling 4pc'!BI112</f>
        <v/>
      </c>
      <c r="AF484" s="148" t="inlineStr">
        <is>
          <t>King</t>
        </is>
      </c>
      <c r="AG484" s="148" t="inlineStr">
        <is>
          <t>Ivory</t>
        </is>
      </c>
      <c r="AH484" s="148">
        <f>AND(E484="CA",OR('CA Dashboard'!$C$4="All",'CA Dashboard'!$C$4=D484),OR('CA Dashboard'!$C$5="All",'CA Dashboard'!$C$5=G484),OR('CA Dashboard'!$C$6="All",'CA Dashboard'!$C$6=H484),OR('CA Dashboard'!$C$7="All",'CA Dashboard'!$C$7=F484),OR('CA Dashboard'!$C$8="All",'CA Dashboard'!$C$8=AJ484))</f>
        <v/>
      </c>
      <c r="AI484" s="148">
        <f>IF(AH484,AI483+1,AI483)</f>
        <v/>
      </c>
      <c r="AJ484" s="148" t="inlineStr">
        <is>
          <t>Alternative material</t>
        </is>
      </c>
      <c r="AK484" s="148" t="inlineStr">
        <is>
          <t>Sheet set in Bamboo viscose (title: Pure Bamboo King Sheets, Genuine 100% Organic Viscose Derive); ours is Microfiber / polyester (different material from the Sleephoria cooling sheets: microfiber with some bamboo viscose). Shopper may cross-shop, but not like-for-like.</t>
        </is>
      </c>
    </row>
    <row r="485">
      <c r="A485" s="148">
        <f>AND(E485="US",OR('US Dashboard'!$C$4="All",'US Dashboard'!$C$4=D485),OR('US Dashboard'!$C$5="All",'US Dashboard'!$C$5=G485),OR('US Dashboard'!$C$6="All",'US Dashboard'!$C$6=H485),OR('US Dashboard'!$C$7="All",'US Dashboard'!$C$7=F485),OR('US Dashboard'!$C$8="All",'US Dashboard'!$C$8=AJ485))</f>
        <v/>
      </c>
      <c r="B485" s="148">
        <f>IF(A485,B484+1,B484)</f>
        <v/>
      </c>
      <c r="C485" s="148" t="n">
        <v>48</v>
      </c>
      <c r="D485" s="148" t="inlineStr">
        <is>
          <t>DC Cooling 4pc</t>
        </is>
      </c>
      <c r="E485" s="148" t="inlineStr">
        <is>
          <t>US</t>
        </is>
      </c>
      <c r="F485" s="148" t="inlineStr">
        <is>
          <t>Cooling</t>
        </is>
      </c>
      <c r="G485" s="148" t="inlineStr">
        <is>
          <t>Hotel Sheets Direct</t>
        </is>
      </c>
      <c r="H485" s="148" t="inlineStr">
        <is>
          <t>Aspirational</t>
        </is>
      </c>
      <c r="I485" s="148" t="inlineStr">
        <is>
          <t>Hotel Sheets Direct 4 Piece Bed Sheet Set Queen Size, 100% Viscose Derived from Bamboo Sheets Set with 2 Pillowcases, Cooling &amp; Breathable Luxury Bedding, Moisture-Wicking &amp; Silky Soft Texture, White</t>
        </is>
      </c>
      <c r="J485" s="148" t="inlineStr">
        <is>
          <t>https://images-na.ssl-images-amazon.com/images/I/71oEhkRYQ+L.jpg</t>
        </is>
      </c>
      <c r="K485" s="148" t="inlineStr">
        <is>
          <t>B0G5N99X9R</t>
        </is>
      </c>
      <c r="L485" s="148" t="inlineStr">
        <is>
          <t>B01N9L2O9P</t>
        </is>
      </c>
      <c r="M485" s="148" t="n">
        <v>61</v>
      </c>
      <c r="N485" s="148" t="n">
        <v>79.98999999999999</v>
      </c>
      <c r="O485" s="148" t="n"/>
      <c r="P485" s="148">
        <f>IF(AND(ISNUMBER(O485),ISNUMBER(N485),N(N485)&gt;0),O485/N485-1,"")</f>
        <v/>
      </c>
      <c r="Q485" s="148" t="n">
        <v>37.95</v>
      </c>
      <c r="R485" s="148">
        <f>IF(AND(ISNUMBER(N485),ISNUMBER(Q485),N(Q485)&gt;0),N485/Q485-1,"")</f>
        <v/>
      </c>
      <c r="S485" s="148" t="n">
        <v>2984</v>
      </c>
      <c r="T485" s="148" t="n">
        <v>347</v>
      </c>
      <c r="U485" s="148" t="n">
        <v>4.4</v>
      </c>
      <c r="V485" s="148" t="n">
        <v>37179</v>
      </c>
      <c r="W485" s="148" t="n">
        <v>451969</v>
      </c>
      <c r="X485" s="148" t="n">
        <v>0.6071584272372669</v>
      </c>
      <c r="Y485" s="148" t="n">
        <v>44</v>
      </c>
      <c r="Z485" s="148" t="n">
        <v>306</v>
      </c>
      <c r="AA485" s="148" t="n">
        <v>952</v>
      </c>
      <c r="AB485" s="148" t="n">
        <v>1.799620493358634</v>
      </c>
      <c r="AC485" s="148" t="inlineStr">
        <is>
          <t>US DC Cooling 4pc</t>
        </is>
      </c>
      <c r="AD485" s="148">
        <f>'US DC Cooling 4pc'!BF113</f>
        <v/>
      </c>
      <c r="AE485" s="148">
        <f>'US DC Cooling 4pc'!BI113</f>
        <v/>
      </c>
      <c r="AF485" s="148" t="inlineStr">
        <is>
          <t>Queen</t>
        </is>
      </c>
      <c r="AG485" s="148" t="inlineStr">
        <is>
          <t>White</t>
        </is>
      </c>
      <c r="AH485" s="148">
        <f>AND(E485="CA",OR('CA Dashboard'!$C$4="All",'CA Dashboard'!$C$4=D485),OR('CA Dashboard'!$C$5="All",'CA Dashboard'!$C$5=G485),OR('CA Dashboard'!$C$6="All",'CA Dashboard'!$C$6=H485),OR('CA Dashboard'!$C$7="All",'CA Dashboard'!$C$7=F485),OR('CA Dashboard'!$C$8="All",'CA Dashboard'!$C$8=AJ485))</f>
        <v/>
      </c>
      <c r="AI485" s="148">
        <f>IF(AH485,AI484+1,AI484)</f>
        <v/>
      </c>
      <c r="AJ485" s="148" t="inlineStr">
        <is>
          <t>Alternative material</t>
        </is>
      </c>
      <c r="AK485" s="148" t="inlineStr">
        <is>
          <t>Sheet set in Bamboo viscose (title: Hotel Sheets Direct 4 Piece Bed Sheet Set Queen Size, 100% V); ours is Microfiber / polyester (different material from the Sleephoria cooling sheets: microfiber with some bamboo viscose). Shopper may cross-shop, but not like-for-like.</t>
        </is>
      </c>
    </row>
    <row r="486">
      <c r="A486" s="148">
        <f>AND(E486="US",OR('US Dashboard'!$C$4="All",'US Dashboard'!$C$4=D486),OR('US Dashboard'!$C$5="All",'US Dashboard'!$C$5=G486),OR('US Dashboard'!$C$6="All",'US Dashboard'!$C$6=H486),OR('US Dashboard'!$C$7="All",'US Dashboard'!$C$7=F486),OR('US Dashboard'!$C$8="All",'US Dashboard'!$C$8=AJ486))</f>
        <v/>
      </c>
      <c r="B486" s="148">
        <f>IF(A486,B485+1,B485)</f>
        <v/>
      </c>
      <c r="C486" s="148" t="n">
        <v>48</v>
      </c>
      <c r="D486" s="148" t="inlineStr">
        <is>
          <t>DC Cooling 4pc</t>
        </is>
      </c>
      <c r="E486" s="148" t="inlineStr">
        <is>
          <t>US</t>
        </is>
      </c>
      <c r="F486" s="148" t="inlineStr">
        <is>
          <t>Cooling</t>
        </is>
      </c>
      <c r="G486" s="148" t="inlineStr">
        <is>
          <t>BAMPURE</t>
        </is>
      </c>
      <c r="H486" s="148" t="inlineStr">
        <is>
          <t>Aspirational</t>
        </is>
      </c>
      <c r="I486" s="148" t="inlineStr">
        <is>
          <t>BAMPURE 100% Rayon from Bamboo Sheets King Size - 4pc Cooling King Sheets</t>
        </is>
      </c>
      <c r="J486" s="148" t="inlineStr">
        <is>
          <t>https://images-na.ssl-images-amazon.com/images/I/61fbapIObwL.jpg</t>
        </is>
      </c>
      <c r="K486" s="148" t="inlineStr">
        <is>
          <t>B0HC778XB4</t>
        </is>
      </c>
      <c r="L486" s="148" t="inlineStr">
        <is>
          <t>B07XFP6BY2</t>
        </is>
      </c>
      <c r="M486" s="148" t="n">
        <v>40</v>
      </c>
      <c r="N486" s="148" t="n">
        <v>67.98</v>
      </c>
      <c r="O486" s="148" t="n">
        <v>99.98999999999999</v>
      </c>
      <c r="P486" s="148">
        <f>IF(AND(ISNUMBER(O486),ISNUMBER(N486),N(N486)&gt;0),O486/N486-1,"")</f>
        <v/>
      </c>
      <c r="Q486" s="148" t="n">
        <v>39.95</v>
      </c>
      <c r="R486" s="148">
        <f>IF(AND(ISNUMBER(N486),ISNUMBER(Q486),N(Q486)&gt;0),N486/Q486-1,"")</f>
        <v/>
      </c>
      <c r="S486" s="148" t="n">
        <v>14479</v>
      </c>
      <c r="T486" s="148" t="n">
        <v>81</v>
      </c>
      <c r="U486" s="148" t="n">
        <v>4.4</v>
      </c>
      <c r="V486" s="148" t="n">
        <v>4095</v>
      </c>
      <c r="W486" s="148" t="n">
        <v>67699</v>
      </c>
      <c r="X486" s="148" t="n">
        <v>0.8589487052984534</v>
      </c>
      <c r="Y486" s="148" t="n">
        <v>93</v>
      </c>
      <c r="Z486" s="148" t="n">
        <v>183</v>
      </c>
      <c r="AA486" s="148" t="n">
        <v>301</v>
      </c>
      <c r="AB486" s="148" t="n">
        <v>1.016706443914081</v>
      </c>
      <c r="AC486" s="148" t="inlineStr">
        <is>
          <t>US DC Cooling 4pc</t>
        </is>
      </c>
      <c r="AD486" s="148">
        <f>'US DC Cooling 4pc'!BF114</f>
        <v/>
      </c>
      <c r="AE486" s="148">
        <f>'US DC Cooling 4pc'!BI114</f>
        <v/>
      </c>
      <c r="AF486" s="148" t="inlineStr">
        <is>
          <t>King</t>
        </is>
      </c>
      <c r="AG486" s="148" t="inlineStr">
        <is>
          <t>White</t>
        </is>
      </c>
      <c r="AH486" s="148">
        <f>AND(E486="CA",OR('CA Dashboard'!$C$4="All",'CA Dashboard'!$C$4=D486),OR('CA Dashboard'!$C$5="All",'CA Dashboard'!$C$5=G486),OR('CA Dashboard'!$C$6="All",'CA Dashboard'!$C$6=H486),OR('CA Dashboard'!$C$7="All",'CA Dashboard'!$C$7=F486),OR('CA Dashboard'!$C$8="All",'CA Dashboard'!$C$8=AJ486))</f>
        <v/>
      </c>
      <c r="AI486" s="148">
        <f>IF(AH486,AI485+1,AI485)</f>
        <v/>
      </c>
      <c r="AJ486" s="148" t="inlineStr">
        <is>
          <t>Alternative material</t>
        </is>
      </c>
      <c r="AK486" s="148" t="inlineStr">
        <is>
          <t>Sheet set in Bamboo viscose (product page material: Viscose Derived from Bamboo); ours is Microfiber / polyester (different material from the Sleephoria cooling sheets: microfiber with some bamboo viscose). Shopper may cross-shop, but not like-for-like.</t>
        </is>
      </c>
    </row>
    <row r="487">
      <c r="A487" s="148">
        <f>AND(E487="US",OR('US Dashboard'!$C$4="All",'US Dashboard'!$C$4=D487),OR('US Dashboard'!$C$5="All",'US Dashboard'!$C$5=G487),OR('US Dashboard'!$C$6="All",'US Dashboard'!$C$6=H487),OR('US Dashboard'!$C$7="All",'US Dashboard'!$C$7=F487),OR('US Dashboard'!$C$8="All",'US Dashboard'!$C$8=AJ487))</f>
        <v/>
      </c>
      <c r="B487" s="148">
        <f>IF(A487,B486+1,B486)</f>
        <v/>
      </c>
      <c r="C487" s="148" t="n">
        <v>48</v>
      </c>
      <c r="D487" s="148" t="inlineStr">
        <is>
          <t>DC Cooling 4pc</t>
        </is>
      </c>
      <c r="E487" s="148" t="inlineStr">
        <is>
          <t>US</t>
        </is>
      </c>
      <c r="F487" s="148" t="inlineStr">
        <is>
          <t>Cooling</t>
        </is>
      </c>
      <c r="G487" s="148" t="inlineStr">
        <is>
          <t>BAMPURE</t>
        </is>
      </c>
      <c r="H487" s="148" t="inlineStr">
        <is>
          <t>Aspirational</t>
        </is>
      </c>
      <c r="I487" s="148" t="inlineStr">
        <is>
          <t>Bamboo Sheets</t>
        </is>
      </c>
      <c r="J487" s="148" t="inlineStr">
        <is>
          <t>https://m.media-amazon.com/images/I/61A6QLdfwQL._AC_SL1500_.jpg</t>
        </is>
      </c>
      <c r="K487" s="148" t="inlineStr">
        <is>
          <t>B07XC2KVM7</t>
        </is>
      </c>
      <c r="L487" s="148" t="inlineStr">
        <is>
          <t>B07XC2KVM7</t>
        </is>
      </c>
      <c r="M487" s="148" t="n"/>
      <c r="N487" s="148" t="n">
        <v>37.99</v>
      </c>
      <c r="O487" s="148" t="n"/>
      <c r="P487" s="148">
        <f>IF(AND(ISNUMBER(O487),ISNUMBER(N487),N(N487)&gt;0),O487/N487-1,"")</f>
        <v/>
      </c>
      <c r="Q487" s="148" t="n">
        <v>33.95</v>
      </c>
      <c r="R487" s="148">
        <f>IF(AND(ISNUMBER(N487),ISNUMBER(Q487),N(Q487)&gt;0),N487/Q487-1,"")</f>
        <v/>
      </c>
      <c r="S487" s="148" t="n">
        <v>2541068</v>
      </c>
      <c r="T487" s="148" t="n">
        <v>5</v>
      </c>
      <c r="U487" s="148" t="n">
        <v>4.4</v>
      </c>
      <c r="V487" s="148" t="n">
        <v>30</v>
      </c>
      <c r="W487" s="148" t="n"/>
      <c r="X487" s="148" t="n"/>
      <c r="Y487" s="148" t="n"/>
      <c r="Z487" s="148" t="n"/>
      <c r="AA487" s="148" t="n"/>
      <c r="AB487" s="148" t="n"/>
      <c r="AC487" s="148" t="inlineStr">
        <is>
          <t>US DC Cooling 4pc</t>
        </is>
      </c>
      <c r="AD487" s="148">
        <f>'US DC Cooling 4pc'!BF115</f>
        <v/>
      </c>
      <c r="AE487" s="148">
        <f>'US DC Cooling 4pc'!BI115</f>
        <v/>
      </c>
      <c r="AF487" s="148" t="inlineStr">
        <is>
          <t>Twin - 3 Pieces Set</t>
        </is>
      </c>
      <c r="AG487" s="148" t="inlineStr">
        <is>
          <t>White</t>
        </is>
      </c>
      <c r="AH487" s="148">
        <f>AND(E487="CA",OR('CA Dashboard'!$C$4="All",'CA Dashboard'!$C$4=D487),OR('CA Dashboard'!$C$5="All",'CA Dashboard'!$C$5=G487),OR('CA Dashboard'!$C$6="All",'CA Dashboard'!$C$6=H487),OR('CA Dashboard'!$C$7="All",'CA Dashboard'!$C$7=F487),OR('CA Dashboard'!$C$8="All",'CA Dashboard'!$C$8=AJ487))</f>
        <v/>
      </c>
      <c r="AI487" s="148">
        <f>IF(AH487,AI486+1,AI486)</f>
        <v/>
      </c>
      <c r="AJ487" s="148" t="inlineStr">
        <is>
          <t>Alternative material</t>
        </is>
      </c>
      <c r="AK487" s="148" t="inlineStr">
        <is>
          <t>Sheet set in Bamboo viscose (product page material: Viscose derived from Bamboo); ours is Microfiber / polyester (different material from the Sleephoria cooling sheets: microfiber with some bamboo viscose). Shopper may cross-shop, but not like-for-like.</t>
        </is>
      </c>
    </row>
    <row r="488">
      <c r="A488" s="148">
        <f>AND(E488="US",OR('US Dashboard'!$C$4="All",'US Dashboard'!$C$4=D488),OR('US Dashboard'!$C$5="All",'US Dashboard'!$C$5=G488),OR('US Dashboard'!$C$6="All",'US Dashboard'!$C$6=H488),OR('US Dashboard'!$C$7="All",'US Dashboard'!$C$7=F488),OR('US Dashboard'!$C$8="All",'US Dashboard'!$C$8=AJ488))</f>
        <v/>
      </c>
      <c r="B488" s="148">
        <f>IF(A488,B487+1,B487)</f>
        <v/>
      </c>
      <c r="C488" s="148" t="n">
        <v>48</v>
      </c>
      <c r="D488" s="148" t="inlineStr">
        <is>
          <t>DC Cooling 4pc</t>
        </is>
      </c>
      <c r="E488" s="148" t="inlineStr">
        <is>
          <t>US</t>
        </is>
      </c>
      <c r="F488" s="148" t="inlineStr">
        <is>
          <t>Cooling</t>
        </is>
      </c>
      <c r="G488" s="148" t="inlineStr">
        <is>
          <t>Bambaw</t>
        </is>
      </c>
      <c r="H488" s="148" t="inlineStr">
        <is>
          <t>Beatable</t>
        </is>
      </c>
      <c r="I488" s="148" t="inlineStr">
        <is>
          <t>Bambaw 100% Viscose Derived from Bamboo Sheets Queen Size Set – 4pcs Cooling Sheet Set, Super Soft Sheets Queen Size, Luxury Bed Sheets, Deep Pocket Fits Up to 16'' Mattresses (Charcoal)</t>
        </is>
      </c>
      <c r="J488" s="148" t="inlineStr">
        <is>
          <t>https://images-na.ssl-images-amazon.com/images/I/81svKInu7aL.jpg</t>
        </is>
      </c>
      <c r="K488" s="148" t="inlineStr">
        <is>
          <t>B07K6SYX8L</t>
        </is>
      </c>
      <c r="L488" s="148" t="inlineStr">
        <is>
          <t>B0DR99Q37Y</t>
        </is>
      </c>
      <c r="M488" s="148" t="n">
        <v>104</v>
      </c>
      <c r="N488" s="148" t="n">
        <v>89.98999999999999</v>
      </c>
      <c r="O488" s="148" t="n"/>
      <c r="P488" s="148">
        <f>IF(AND(ISNUMBER(O488),ISNUMBER(N488),N(N488)&gt;0),O488/N488-1,"")</f>
        <v/>
      </c>
      <c r="Q488" s="148" t="n">
        <v>37.95</v>
      </c>
      <c r="R488" s="148">
        <f>IF(AND(ISNUMBER(N488),ISNUMBER(Q488),N(Q488)&gt;0),N488/Q488-1,"")</f>
        <v/>
      </c>
      <c r="S488" s="148" t="n">
        <v>6971</v>
      </c>
      <c r="T488" s="148" t="n">
        <v>104</v>
      </c>
      <c r="U488" s="148" t="n">
        <v>4.3</v>
      </c>
      <c r="V488" s="148" t="n">
        <v>2766</v>
      </c>
      <c r="W488" s="148" t="n">
        <v>407949</v>
      </c>
      <c r="X488" s="148" t="n">
        <v>0.5037485506766772</v>
      </c>
      <c r="Y488" s="148" t="n">
        <v>19</v>
      </c>
      <c r="Z488" s="148" t="n">
        <v>308</v>
      </c>
      <c r="AA488" s="148" t="n">
        <v>580</v>
      </c>
      <c r="AB488" s="148" t="n">
        <v>1.374474053295933</v>
      </c>
      <c r="AC488" s="148" t="inlineStr">
        <is>
          <t>US DC Cooling 4pc</t>
        </is>
      </c>
      <c r="AD488" s="148">
        <f>'US DC Cooling 4pc'!BF116</f>
        <v/>
      </c>
      <c r="AE488" s="148">
        <f>'US DC Cooling 4pc'!BI116</f>
        <v/>
      </c>
      <c r="AF488" s="148" t="inlineStr">
        <is>
          <t>Queen</t>
        </is>
      </c>
      <c r="AG488" s="148" t="inlineStr">
        <is>
          <t>Charcoal</t>
        </is>
      </c>
      <c r="AH488" s="148">
        <f>AND(E488="CA",OR('CA Dashboard'!$C$4="All",'CA Dashboard'!$C$4=D488),OR('CA Dashboard'!$C$5="All",'CA Dashboard'!$C$5=G488),OR('CA Dashboard'!$C$6="All",'CA Dashboard'!$C$6=H488),OR('CA Dashboard'!$C$7="All",'CA Dashboard'!$C$7=F488),OR('CA Dashboard'!$C$8="All",'CA Dashboard'!$C$8=AJ488))</f>
        <v/>
      </c>
      <c r="AI488" s="148">
        <f>IF(AH488,AI487+1,AI487)</f>
        <v/>
      </c>
      <c r="AJ488" s="148" t="inlineStr">
        <is>
          <t>Alternative material</t>
        </is>
      </c>
      <c r="AK488" s="148" t="inlineStr">
        <is>
          <t>Sheet set in Bamboo viscose (title: Bambaw 100% Viscose Derived from Bamboo Sheets Queen Size Se); ours is Microfiber / polyester (different material from the Sleephoria cooling sheets: microfiber with some bamboo viscose). Shopper may cross-shop, but not like-for-like.</t>
        </is>
      </c>
    </row>
    <row r="489">
      <c r="A489" s="148">
        <f>AND(E489="US",OR('US Dashboard'!$C$4="All",'US Dashboard'!$C$4=D489),OR('US Dashboard'!$C$5="All",'US Dashboard'!$C$5=G489),OR('US Dashboard'!$C$6="All",'US Dashboard'!$C$6=H489),OR('US Dashboard'!$C$7="All",'US Dashboard'!$C$7=F489),OR('US Dashboard'!$C$8="All",'US Dashboard'!$C$8=AJ489))</f>
        <v/>
      </c>
      <c r="B489" s="148">
        <f>IF(A489,B488+1,B488)</f>
        <v/>
      </c>
      <c r="C489" s="148" t="n">
        <v>48</v>
      </c>
      <c r="D489" s="148" t="inlineStr">
        <is>
          <t>DC Cooling 4pc</t>
        </is>
      </c>
      <c r="E489" s="148" t="inlineStr">
        <is>
          <t>US</t>
        </is>
      </c>
      <c r="F489" s="148" t="inlineStr">
        <is>
          <t>Cooling</t>
        </is>
      </c>
      <c r="G489" s="148" t="inlineStr">
        <is>
          <t>Bedsure</t>
        </is>
      </c>
      <c r="H489" s="148" t="inlineStr">
        <is>
          <t>Beatable</t>
        </is>
      </c>
      <c r="I489" s="148" t="inlineStr">
        <is>
          <t>Bedsure PureWoven Organically Grown Bamboo Viscose Queen Sheet Set, 4PCS</t>
        </is>
      </c>
      <c r="J489" s="148" t="inlineStr">
        <is>
          <t>https://images-na.ssl-images-amazon.com/images/I/81suQgVR0GL.jpg</t>
        </is>
      </c>
      <c r="K489" s="148" t="inlineStr">
        <is>
          <t>B0FB8XS4D1</t>
        </is>
      </c>
      <c r="L489" s="148" t="inlineStr">
        <is>
          <t>B0FB8XR43Q</t>
        </is>
      </c>
      <c r="M489" s="148" t="n">
        <v>39</v>
      </c>
      <c r="N489" s="148" t="n">
        <v>89.98999999999999</v>
      </c>
      <c r="O489" s="148" t="n">
        <v>119.99</v>
      </c>
      <c r="P489" s="148">
        <f>IF(AND(ISNUMBER(O489),ISNUMBER(N489),N(N489)&gt;0),O489/N489-1,"")</f>
        <v/>
      </c>
      <c r="Q489" s="148" t="n">
        <v>37.95</v>
      </c>
      <c r="R489" s="148">
        <f>IF(AND(ISNUMBER(N489),ISNUMBER(Q489),N(Q489)&gt;0),N489/Q489-1,"")</f>
        <v/>
      </c>
      <c r="S489" s="148" t="n">
        <v>8938</v>
      </c>
      <c r="T489" s="148" t="n">
        <v>104</v>
      </c>
      <c r="U489" s="148" t="n">
        <v>4.5</v>
      </c>
      <c r="V489" s="148" t="n">
        <v>588</v>
      </c>
      <c r="W489" s="148" t="n">
        <v>840292</v>
      </c>
      <c r="X489" s="148" t="n">
        <v>0.1404099194089678</v>
      </c>
      <c r="Y489" s="148" t="n">
        <v>22</v>
      </c>
      <c r="Z489" s="148" t="n">
        <v>314</v>
      </c>
      <c r="AA489" s="148" t="n">
        <v>2447</v>
      </c>
      <c r="AB489" s="148" t="n">
        <v>1.764832022873481</v>
      </c>
      <c r="AC489" s="148" t="inlineStr">
        <is>
          <t>US DC Cooling 4pc</t>
        </is>
      </c>
      <c r="AD489" s="148">
        <f>'US DC Cooling 4pc'!BF117</f>
        <v/>
      </c>
      <c r="AE489" s="148">
        <f>'US DC Cooling 4pc'!BI117</f>
        <v/>
      </c>
      <c r="AF489" s="148" t="inlineStr">
        <is>
          <t>Queen</t>
        </is>
      </c>
      <c r="AG489" s="148" t="inlineStr">
        <is>
          <t>01 - White</t>
        </is>
      </c>
      <c r="AH489" s="148">
        <f>AND(E489="CA",OR('CA Dashboard'!$C$4="All",'CA Dashboard'!$C$4=D489),OR('CA Dashboard'!$C$5="All",'CA Dashboard'!$C$5=G489),OR('CA Dashboard'!$C$6="All",'CA Dashboard'!$C$6=H489),OR('CA Dashboard'!$C$7="All",'CA Dashboard'!$C$7=F489),OR('CA Dashboard'!$C$8="All",'CA Dashboard'!$C$8=AJ489))</f>
        <v/>
      </c>
      <c r="AI489" s="148">
        <f>IF(AH489,AI488+1,AI488)</f>
        <v/>
      </c>
      <c r="AJ489" s="148" t="inlineStr">
        <is>
          <t>Alternative material</t>
        </is>
      </c>
      <c r="AK489" s="148" t="inlineStr">
        <is>
          <t>Sheet set in Bamboo viscose (product page material: Viscose Derived from Bamboo); ours is Microfiber / polyester (different material from the Sleephoria cooling sheets: microfiber with some bamboo viscose). Shopper may cross-shop, but not like-for-like.</t>
        </is>
      </c>
    </row>
    <row r="490">
      <c r="A490" s="148">
        <f>AND(E490="US",OR('US Dashboard'!$C$4="All",'US Dashboard'!$C$4=D490),OR('US Dashboard'!$C$5="All",'US Dashboard'!$C$5=G490),OR('US Dashboard'!$C$6="All",'US Dashboard'!$C$6=H490),OR('US Dashboard'!$C$7="All",'US Dashboard'!$C$7=F490),OR('US Dashboard'!$C$8="All",'US Dashboard'!$C$8=AJ490))</f>
        <v/>
      </c>
      <c r="B490" s="148">
        <f>IF(A490,B489+1,B489)</f>
        <v/>
      </c>
      <c r="C490" s="148" t="n">
        <v>48</v>
      </c>
      <c r="D490" s="148" t="inlineStr">
        <is>
          <t>DC Cooling 4pc</t>
        </is>
      </c>
      <c r="E490" s="148" t="inlineStr">
        <is>
          <t>US</t>
        </is>
      </c>
      <c r="F490" s="148" t="inlineStr">
        <is>
          <t>Cooling</t>
        </is>
      </c>
      <c r="G490" s="148" t="inlineStr">
        <is>
          <t>SONORO KATE</t>
        </is>
      </c>
      <c r="H490" s="148" t="inlineStr">
        <is>
          <t>Beatable</t>
        </is>
      </c>
      <c r="I490" s="148" t="inlineStr">
        <is>
          <t>Bamboo Sheets</t>
        </is>
      </c>
      <c r="J490" s="148" t="inlineStr">
        <is>
          <t>https://images-na.ssl-images-amazon.com/images/I/71sqxa1EquL.jpg</t>
        </is>
      </c>
      <c r="K490" s="148" t="inlineStr">
        <is>
          <t>B0F4852T9V</t>
        </is>
      </c>
      <c r="L490" s="148" t="inlineStr">
        <is>
          <t>B0F4873G4H</t>
        </is>
      </c>
      <c r="M490" s="148" t="n">
        <v>33</v>
      </c>
      <c r="N490" s="148" t="n">
        <v>79.98999999999999</v>
      </c>
      <c r="O490" s="148" t="n"/>
      <c r="P490" s="148">
        <f>IF(AND(ISNUMBER(O490),ISNUMBER(N490),N(N490)&gt;0),O490/N490-1,"")</f>
        <v/>
      </c>
      <c r="Q490" s="148" t="n">
        <v>39.95</v>
      </c>
      <c r="R490" s="148">
        <f>IF(AND(ISNUMBER(N490),ISNUMBER(Q490),N(Q490)&gt;0),N490/Q490-1,"")</f>
        <v/>
      </c>
      <c r="S490" s="148" t="n">
        <v>7961</v>
      </c>
      <c r="T490" s="148" t="n">
        <v>104</v>
      </c>
      <c r="U490" s="148" t="n">
        <v>4.5</v>
      </c>
      <c r="V490" s="148" t="n">
        <v>3776</v>
      </c>
      <c r="W490" s="148" t="n">
        <v>185157</v>
      </c>
      <c r="X490" s="148" t="n">
        <v>0.9776013545261586</v>
      </c>
      <c r="Y490" s="148" t="n">
        <v>31</v>
      </c>
      <c r="Z490" s="148" t="n">
        <v>247</v>
      </c>
      <c r="AA490" s="148" t="n">
        <v>122</v>
      </c>
      <c r="AB490" s="148" t="n">
        <v>1.314808539478143</v>
      </c>
      <c r="AC490" s="148" t="inlineStr">
        <is>
          <t>US DC Cooling 4pc</t>
        </is>
      </c>
      <c r="AD490" s="148">
        <f>'US DC Cooling 4pc'!BF118</f>
        <v/>
      </c>
      <c r="AE490" s="148">
        <f>'US DC Cooling 4pc'!BI118</f>
        <v/>
      </c>
      <c r="AF490" s="148" t="inlineStr">
        <is>
          <t>King</t>
        </is>
      </c>
      <c r="AG490" s="148" t="inlineStr">
        <is>
          <t>Dark Grey</t>
        </is>
      </c>
      <c r="AH490" s="148">
        <f>AND(E490="CA",OR('CA Dashboard'!$C$4="All",'CA Dashboard'!$C$4=D490),OR('CA Dashboard'!$C$5="All",'CA Dashboard'!$C$5=G490),OR('CA Dashboard'!$C$6="All",'CA Dashboard'!$C$6=H490),OR('CA Dashboard'!$C$7="All",'CA Dashboard'!$C$7=F490),OR('CA Dashboard'!$C$8="All",'CA Dashboard'!$C$8=AJ490))</f>
        <v/>
      </c>
      <c r="AI490" s="148">
        <f>IF(AH490,AI489+1,AI489)</f>
        <v/>
      </c>
      <c r="AJ490" s="148" t="inlineStr">
        <is>
          <t>Alternative material</t>
        </is>
      </c>
      <c r="AK490" s="148" t="inlineStr">
        <is>
          <t>Sheet set in Bamboo viscose (product page material: Viscose Derived From Bamboo); ours is Microfiber / polyester (different material from the Sleephoria cooling sheets: microfiber with some bamboo viscose). Shopper may cross-shop, but not like-for-like.</t>
        </is>
      </c>
    </row>
    <row r="491">
      <c r="A491" s="148">
        <f>AND(E491="US",OR('US Dashboard'!$C$4="All",'US Dashboard'!$C$4=D491),OR('US Dashboard'!$C$5="All",'US Dashboard'!$C$5=G491),OR('US Dashboard'!$C$6="All",'US Dashboard'!$C$6=H491),OR('US Dashboard'!$C$7="All",'US Dashboard'!$C$7=F491),OR('US Dashboard'!$C$8="All",'US Dashboard'!$C$8=AJ491))</f>
        <v/>
      </c>
      <c r="B491" s="148">
        <f>IF(A491,B490+1,B490)</f>
        <v/>
      </c>
      <c r="C491" s="148" t="n">
        <v>48</v>
      </c>
      <c r="D491" s="148" t="inlineStr">
        <is>
          <t>DC Cooling 4pc</t>
        </is>
      </c>
      <c r="E491" s="148" t="inlineStr">
        <is>
          <t>US</t>
        </is>
      </c>
      <c r="F491" s="148" t="inlineStr">
        <is>
          <t>Cooling</t>
        </is>
      </c>
      <c r="G491" s="148" t="inlineStr">
        <is>
          <t>BC BELLA COTERIE</t>
        </is>
      </c>
      <c r="H491" s="148" t="inlineStr">
        <is>
          <t>Beatable</t>
        </is>
      </c>
      <c r="I491" s="148" t="inlineStr">
        <is>
          <t>Bella Coterie Luxury Bamboo Viscose King Size Sheet Set</t>
        </is>
      </c>
      <c r="J491" s="148" t="inlineStr">
        <is>
          <t>https://images-na.ssl-images-amazon.com/images/I/71Pl57-j67L.jpg</t>
        </is>
      </c>
      <c r="K491" s="148" t="inlineStr">
        <is>
          <t>B0H29V113N</t>
        </is>
      </c>
      <c r="L491" s="148" t="inlineStr">
        <is>
          <t>B08L86VLZB</t>
        </is>
      </c>
      <c r="M491" s="148" t="n">
        <v>258</v>
      </c>
      <c r="N491" s="148" t="n">
        <v>154.99</v>
      </c>
      <c r="O491" s="148" t="n"/>
      <c r="P491" s="148">
        <f>IF(AND(ISNUMBER(O491),ISNUMBER(N491),N(N491)&gt;0),O491/N491-1,"")</f>
        <v/>
      </c>
      <c r="Q491" s="148" t="n">
        <v>39.95</v>
      </c>
      <c r="R491" s="148">
        <f>IF(AND(ISNUMBER(N491),ISNUMBER(Q491),N(Q491)&gt;0),N491/Q491-1,"")</f>
        <v/>
      </c>
      <c r="S491" s="148" t="n">
        <v>1358</v>
      </c>
      <c r="T491" s="148" t="n">
        <v>92</v>
      </c>
      <c r="U491" s="148" t="n">
        <v>4.4</v>
      </c>
      <c r="V491" s="148" t="n">
        <v>5871</v>
      </c>
      <c r="W491" s="148" t="n">
        <v>591713</v>
      </c>
      <c r="X491" s="148" t="n">
        <v>0.3622702587234016</v>
      </c>
      <c r="Y491" s="148" t="n">
        <v>46</v>
      </c>
      <c r="Z491" s="148" t="n">
        <v>305</v>
      </c>
      <c r="AA491" s="148" t="n">
        <v>2442</v>
      </c>
      <c r="AB491" s="148" t="n">
        <v>1.778087279480037</v>
      </c>
      <c r="AC491" s="148" t="inlineStr">
        <is>
          <t>US DC Cooling 4pc</t>
        </is>
      </c>
      <c r="AD491" s="148">
        <f>'US DC Cooling 4pc'!BF119</f>
        <v/>
      </c>
      <c r="AE491" s="148">
        <f>'US DC Cooling 4pc'!BI119</f>
        <v/>
      </c>
      <c r="AF491" s="148" t="inlineStr">
        <is>
          <t>King - 2 Pillowcases</t>
        </is>
      </c>
      <c r="AG491" s="148" t="inlineStr">
        <is>
          <t>01 - White</t>
        </is>
      </c>
      <c r="AH491" s="148">
        <f>AND(E491="CA",OR('CA Dashboard'!$C$4="All",'CA Dashboard'!$C$4=D491),OR('CA Dashboard'!$C$5="All",'CA Dashboard'!$C$5=G491),OR('CA Dashboard'!$C$6="All",'CA Dashboard'!$C$6=H491),OR('CA Dashboard'!$C$7="All",'CA Dashboard'!$C$7=F491),OR('CA Dashboard'!$C$8="All",'CA Dashboard'!$C$8=AJ491))</f>
        <v/>
      </c>
      <c r="AI491" s="148">
        <f>IF(AH491,AI490+1,AI490)</f>
        <v/>
      </c>
      <c r="AJ491" s="148" t="inlineStr">
        <is>
          <t>Alternative material</t>
        </is>
      </c>
      <c r="AK491" s="148" t="inlineStr">
        <is>
          <t>Sheet set in Bamboo viscose (product page material: Organically Grown | Viscose Made From Bamboo); ours is Microfiber / polyester (different material from the Sleephoria cooling sheets: microfiber with some bamboo viscose). Shopper may cross-shop, but not like-for-like.</t>
        </is>
      </c>
    </row>
    <row r="492">
      <c r="A492" s="148">
        <f>AND(E492="US",OR('US Dashboard'!$C$4="All",'US Dashboard'!$C$4=D492),OR('US Dashboard'!$C$5="All",'US Dashboard'!$C$5=G492),OR('US Dashboard'!$C$6="All",'US Dashboard'!$C$6=H492),OR('US Dashboard'!$C$7="All",'US Dashboard'!$C$7=F492),OR('US Dashboard'!$C$8="All",'US Dashboard'!$C$8=AJ492))</f>
        <v/>
      </c>
      <c r="B492" s="148">
        <f>IF(A492,B491+1,B491)</f>
        <v/>
      </c>
      <c r="C492" s="148" t="n">
        <v>48</v>
      </c>
      <c r="D492" s="148" t="inlineStr">
        <is>
          <t>DC Cooling 4pc</t>
        </is>
      </c>
      <c r="E492" s="148" t="inlineStr">
        <is>
          <t>US</t>
        </is>
      </c>
      <c r="F492" s="148" t="inlineStr">
        <is>
          <t>Cooling</t>
        </is>
      </c>
      <c r="G492" s="148" t="inlineStr">
        <is>
          <t>REST</t>
        </is>
      </c>
      <c r="H492" s="148" t="inlineStr">
        <is>
          <t>Beatable</t>
        </is>
      </c>
      <c r="I492" s="148" t="inlineStr">
        <is>
          <t>Cooling Sheets</t>
        </is>
      </c>
      <c r="J492" s="148" t="inlineStr">
        <is>
          <t>https://m.media-amazon.com/images/I/71lWpVXtIFL._AC_SL1500_.jpg</t>
        </is>
      </c>
      <c r="K492" s="148" t="inlineStr">
        <is>
          <t>B0HC6866B7</t>
        </is>
      </c>
      <c r="L492" s="148" t="inlineStr">
        <is>
          <t>B0D9JHBBCZ</t>
        </is>
      </c>
      <c r="M492" s="148" t="n">
        <v>69</v>
      </c>
      <c r="N492" s="148" t="n">
        <v>224.25</v>
      </c>
      <c r="O492" s="148" t="n">
        <v>299</v>
      </c>
      <c r="P492" s="148">
        <f>IF(AND(ISNUMBER(O492),ISNUMBER(N492),N(N492)&gt;0),O492/N492-1,"")</f>
        <v/>
      </c>
      <c r="Q492" s="148" t="n">
        <v>37.95</v>
      </c>
      <c r="R492" s="148">
        <f>IF(AND(ISNUMBER(N492),ISNUMBER(Q492),N(Q492)&gt;0),N492/Q492-1,"")</f>
        <v/>
      </c>
      <c r="S492" s="148" t="n">
        <v>5255</v>
      </c>
      <c r="T492" s="148" t="n">
        <v>81</v>
      </c>
      <c r="U492" s="148" t="n">
        <v>4.3</v>
      </c>
      <c r="V492" s="148" t="n">
        <v>1149</v>
      </c>
      <c r="W492" s="148" t="n">
        <v>522593</v>
      </c>
      <c r="X492" s="148" t="n">
        <v>0.2234137663535486</v>
      </c>
      <c r="Y492" s="148" t="n">
        <v>51</v>
      </c>
      <c r="Z492" s="148" t="n">
        <v>200</v>
      </c>
      <c r="AA492" s="148" t="n">
        <v>3275</v>
      </c>
      <c r="AB492" s="148" t="n"/>
      <c r="AC492" s="148" t="inlineStr">
        <is>
          <t>US DC Cooling 4pc</t>
        </is>
      </c>
      <c r="AD492" s="148">
        <f>'US DC Cooling 4pc'!BF120</f>
        <v/>
      </c>
      <c r="AE492" s="148">
        <f>'US DC Cooling 4pc'!BI120</f>
        <v/>
      </c>
      <c r="AF492" s="148" t="inlineStr">
        <is>
          <t>Queen</t>
        </is>
      </c>
      <c r="AG492" s="148" t="inlineStr">
        <is>
          <t>Midnight Blue</t>
        </is>
      </c>
      <c r="AH492" s="148">
        <f>AND(E492="CA",OR('CA Dashboard'!$C$4="All",'CA Dashboard'!$C$4=D492),OR('CA Dashboard'!$C$5="All",'CA Dashboard'!$C$5=G492),OR('CA Dashboard'!$C$6="All",'CA Dashboard'!$C$6=H492),OR('CA Dashboard'!$C$7="All",'CA Dashboard'!$C$7=F492),OR('CA Dashboard'!$C$8="All",'CA Dashboard'!$C$8=AJ492))</f>
        <v/>
      </c>
      <c r="AI492" s="148">
        <f>IF(AH492,AI491+1,AI491)</f>
        <v/>
      </c>
      <c r="AJ492" s="148" t="inlineStr">
        <is>
          <t>Alternative material</t>
        </is>
      </c>
      <c r="AK492" s="148" t="inlineStr">
        <is>
          <t>Sheet set in Synthetic cooling knit (product page material: Antistatic, IONIC+ Silver Nylon, Nylon, Spandex, Skin Friend); ours is Microfiber / polyester (different material from the Sleephoria cooling sheets: microfiber with some bamboo viscose). Shopper may cross-shop, but not like-for-like.</t>
        </is>
      </c>
    </row>
    <row r="493">
      <c r="A493" s="148">
        <f>AND(E493="US",OR('US Dashboard'!$C$4="All",'US Dashboard'!$C$4=D493),OR('US Dashboard'!$C$5="All",'US Dashboard'!$C$5=G493),OR('US Dashboard'!$C$6="All",'US Dashboard'!$C$6=H493),OR('US Dashboard'!$C$7="All",'US Dashboard'!$C$7=F493),OR('US Dashboard'!$C$8="All",'US Dashboard'!$C$8=AJ493))</f>
        <v/>
      </c>
      <c r="B493" s="148">
        <f>IF(A493,B492+1,B492)</f>
        <v/>
      </c>
      <c r="C493" s="148" t="n">
        <v>48</v>
      </c>
      <c r="D493" s="148" t="inlineStr">
        <is>
          <t>DC Cooling 4pc</t>
        </is>
      </c>
      <c r="E493" s="148" t="inlineStr">
        <is>
          <t>US</t>
        </is>
      </c>
      <c r="F493" s="148" t="inlineStr">
        <is>
          <t>Cooling</t>
        </is>
      </c>
      <c r="G493" s="148" t="inlineStr">
        <is>
          <t>SONORO KATE</t>
        </is>
      </c>
      <c r="H493" s="148" t="inlineStr">
        <is>
          <t>Beatable</t>
        </is>
      </c>
      <c r="I493" s="148" t="inlineStr">
        <is>
          <t>SONORO KATE 100% Viscose Derived from Bamboo_Sheets Queen Size,4PC</t>
        </is>
      </c>
      <c r="J493" s="148" t="inlineStr">
        <is>
          <t>https://images-na.ssl-images-amazon.com/images/I/71HeTCWM4hL.jpg</t>
        </is>
      </c>
      <c r="K493" s="148" t="inlineStr">
        <is>
          <t>B0F29FQLFD</t>
        </is>
      </c>
      <c r="L493" s="148" t="inlineStr">
        <is>
          <t>B0F29F1JM5</t>
        </is>
      </c>
      <c r="M493" s="148" t="n">
        <v>42</v>
      </c>
      <c r="N493" s="148" t="n">
        <v>59.99</v>
      </c>
      <c r="O493" s="148" t="n"/>
      <c r="P493" s="148">
        <f>IF(AND(ISNUMBER(O493),ISNUMBER(N493),N(N493)&gt;0),O493/N493-1,"")</f>
        <v/>
      </c>
      <c r="Q493" s="148" t="n">
        <v>37.95</v>
      </c>
      <c r="R493" s="148">
        <f>IF(AND(ISNUMBER(N493),ISNUMBER(Q493),N(Q493)&gt;0),N493/Q493-1,"")</f>
        <v/>
      </c>
      <c r="S493" s="148" t="n">
        <v>23979</v>
      </c>
      <c r="T493" s="148" t="n">
        <v>81</v>
      </c>
      <c r="U493" s="148" t="n">
        <v>4.5</v>
      </c>
      <c r="V493" s="148" t="n">
        <v>3911</v>
      </c>
      <c r="W493" s="148" t="n">
        <v>114504</v>
      </c>
      <c r="X493" s="148" t="n">
        <v>0.8792897182631171</v>
      </c>
      <c r="Y493" s="148" t="n">
        <v>32</v>
      </c>
      <c r="Z493" s="148" t="n">
        <v>249</v>
      </c>
      <c r="AA493" s="148" t="n">
        <v>84</v>
      </c>
      <c r="AB493" s="148" t="n">
        <v>1.095271210013908</v>
      </c>
      <c r="AC493" s="148" t="inlineStr">
        <is>
          <t>US DC Cooling 4pc</t>
        </is>
      </c>
      <c r="AD493" s="148">
        <f>'US DC Cooling 4pc'!BF121</f>
        <v/>
      </c>
      <c r="AE493" s="148">
        <f>'US DC Cooling 4pc'!BI121</f>
        <v/>
      </c>
      <c r="AF493" s="148" t="inlineStr">
        <is>
          <t>Queen</t>
        </is>
      </c>
      <c r="AG493" s="148" t="inlineStr">
        <is>
          <t>Dark Grey</t>
        </is>
      </c>
      <c r="AH493" s="148">
        <f>AND(E493="CA",OR('CA Dashboard'!$C$4="All",'CA Dashboard'!$C$4=D493),OR('CA Dashboard'!$C$5="All",'CA Dashboard'!$C$5=G493),OR('CA Dashboard'!$C$6="All",'CA Dashboard'!$C$6=H493),OR('CA Dashboard'!$C$7="All",'CA Dashboard'!$C$7=F493),OR('CA Dashboard'!$C$8="All",'CA Dashboard'!$C$8=AJ493))</f>
        <v/>
      </c>
      <c r="AI493" s="148">
        <f>IF(AH493,AI492+1,AI492)</f>
        <v/>
      </c>
      <c r="AJ493" s="148" t="inlineStr">
        <is>
          <t>Alternative material</t>
        </is>
      </c>
      <c r="AK493" s="148" t="inlineStr">
        <is>
          <t>Sheet set in Bamboo viscose (product page material: Viscose Derived From Bamboo); ours is Microfiber / polyester (different material from the Sleephoria cooling sheets: microfiber with some bamboo viscose). Shopper may cross-shop, but not like-for-like.</t>
        </is>
      </c>
    </row>
    <row r="494">
      <c r="A494" s="148">
        <f>AND(E494="US",OR('US Dashboard'!$C$4="All",'US Dashboard'!$C$4=D494),OR('US Dashboard'!$C$5="All",'US Dashboard'!$C$5=G494),OR('US Dashboard'!$C$6="All",'US Dashboard'!$C$6=H494),OR('US Dashboard'!$C$7="All",'US Dashboard'!$C$7=F494),OR('US Dashboard'!$C$8="All",'US Dashboard'!$C$8=AJ494))</f>
        <v/>
      </c>
      <c r="B494" s="148">
        <f>IF(A494,B493+1,B493)</f>
        <v/>
      </c>
      <c r="C494" s="148" t="n">
        <v>48</v>
      </c>
      <c r="D494" s="148" t="inlineStr">
        <is>
          <t>DC Cooling 4pc</t>
        </is>
      </c>
      <c r="E494" s="148" t="inlineStr">
        <is>
          <t>US</t>
        </is>
      </c>
      <c r="F494" s="148" t="inlineStr">
        <is>
          <t>Cooling</t>
        </is>
      </c>
      <c r="G494" s="148" t="inlineStr">
        <is>
          <t>Breescape</t>
        </is>
      </c>
      <c r="H494" s="148" t="inlineStr">
        <is>
          <t>Beatable</t>
        </is>
      </c>
      <c r="I494" s="148" t="inlineStr">
        <is>
          <t>Cooling Sheets</t>
        </is>
      </c>
      <c r="J494" s="148" t="inlineStr">
        <is>
          <t>https://m.media-amazon.com/images/I/81o+wGCszCL._AC_SL1500_.jpg</t>
        </is>
      </c>
      <c r="K494" s="148" t="inlineStr">
        <is>
          <t>B0H41M1N4B</t>
        </is>
      </c>
      <c r="L494" s="148" t="inlineStr">
        <is>
          <t>B0DSPZJKTB</t>
        </is>
      </c>
      <c r="M494" s="148" t="n">
        <v>26</v>
      </c>
      <c r="N494" s="148" t="n">
        <v>149.99</v>
      </c>
      <c r="O494" s="148" t="n">
        <v>179.99</v>
      </c>
      <c r="P494" s="148">
        <f>IF(AND(ISNUMBER(O494),ISNUMBER(N494),N(N494)&gt;0),O494/N494-1,"")</f>
        <v/>
      </c>
      <c r="Q494" s="148" t="n">
        <v>39.95</v>
      </c>
      <c r="R494" s="148">
        <f>IF(AND(ISNUMBER(N494),ISNUMBER(Q494),N(Q494)&gt;0),N494/Q494-1,"")</f>
        <v/>
      </c>
      <c r="S494" s="148" t="n">
        <v>49910</v>
      </c>
      <c r="T494" s="148" t="n">
        <v>35</v>
      </c>
      <c r="U494" s="148" t="n">
        <v>4.2</v>
      </c>
      <c r="V494" s="148" t="n">
        <v>595</v>
      </c>
      <c r="W494" s="148" t="n">
        <v>107224</v>
      </c>
      <c r="X494" s="148" t="n">
        <v>0.5282540960978878</v>
      </c>
      <c r="Y494" s="148" t="n">
        <v>59</v>
      </c>
      <c r="Z494" s="148" t="n">
        <v>161</v>
      </c>
      <c r="AA494" s="148" t="n">
        <v>504</v>
      </c>
      <c r="AB494" s="148" t="n">
        <v>1.443271767810026</v>
      </c>
      <c r="AC494" s="148" t="inlineStr">
        <is>
          <t>US DC Cooling 4pc</t>
        </is>
      </c>
      <c r="AD494" s="148">
        <f>'US DC Cooling 4pc'!BF122</f>
        <v/>
      </c>
      <c r="AE494" s="148">
        <f>'US DC Cooling 4pc'!BI122</f>
        <v/>
      </c>
      <c r="AF494" s="148" t="inlineStr">
        <is>
          <t>King</t>
        </is>
      </c>
      <c r="AG494" s="148" t="inlineStr">
        <is>
          <t>Gray</t>
        </is>
      </c>
      <c r="AH494" s="148">
        <f>AND(E494="CA",OR('CA Dashboard'!$C$4="All",'CA Dashboard'!$C$4=D494),OR('CA Dashboard'!$C$5="All",'CA Dashboard'!$C$5=G494),OR('CA Dashboard'!$C$6="All",'CA Dashboard'!$C$6=H494),OR('CA Dashboard'!$C$7="All",'CA Dashboard'!$C$7=F494),OR('CA Dashboard'!$C$8="All",'CA Dashboard'!$C$8=AJ494))</f>
        <v/>
      </c>
      <c r="AI494" s="148">
        <f>IF(AH494,AI493+1,AI493)</f>
        <v/>
      </c>
      <c r="AJ494" s="148" t="inlineStr">
        <is>
          <t>Alternative material</t>
        </is>
      </c>
      <c r="AK494" s="148" t="inlineStr">
        <is>
          <t>Sheet set in Synthetic cooling knit (product page material: BlendTek Fabric: 69% Nylon, 20% Polyester, 11% Spandex); ours is Microfiber / polyester (different material from the Sleephoria cooling sheets: microfiber with some bamboo viscose). Shopper may cross-shop, but not like-for-like.</t>
        </is>
      </c>
    </row>
    <row r="495">
      <c r="A495" s="148">
        <f>AND(E495="US",OR('US Dashboard'!$C$4="All",'US Dashboard'!$C$4=D495),OR('US Dashboard'!$C$5="All",'US Dashboard'!$C$5=G495),OR('US Dashboard'!$C$6="All",'US Dashboard'!$C$6=H495),OR('US Dashboard'!$C$7="All",'US Dashboard'!$C$7=F495),OR('US Dashboard'!$C$8="All",'US Dashboard'!$C$8=AJ495))</f>
        <v/>
      </c>
      <c r="B495" s="148">
        <f>IF(A495,B494+1,B494)</f>
        <v/>
      </c>
      <c r="C495" s="148" t="n">
        <v>48</v>
      </c>
      <c r="D495" s="148" t="inlineStr">
        <is>
          <t>DC Cooling 4pc</t>
        </is>
      </c>
      <c r="E495" s="148" t="inlineStr">
        <is>
          <t>US</t>
        </is>
      </c>
      <c r="F495" s="148" t="inlineStr">
        <is>
          <t>Cooling</t>
        </is>
      </c>
      <c r="G495" s="148" t="inlineStr">
        <is>
          <t>DOZ by SIJO</t>
        </is>
      </c>
      <c r="H495" s="148" t="inlineStr">
        <is>
          <t>Beatable</t>
        </is>
      </c>
      <c r="I495" s="148" t="inlineStr">
        <is>
          <t>Bamboo Sheets</t>
        </is>
      </c>
      <c r="J495" s="148" t="inlineStr">
        <is>
          <t>https://images-na.ssl-images-amazon.com/images/I/710aWpCd4AL.jpg</t>
        </is>
      </c>
      <c r="K495" s="148" t="inlineStr">
        <is>
          <t>B0DCZGYVZ9</t>
        </is>
      </c>
      <c r="L495" s="148" t="inlineStr">
        <is>
          <t>B0F24TRXCZ</t>
        </is>
      </c>
      <c r="M495" s="148" t="n">
        <v>131</v>
      </c>
      <c r="N495" s="148" t="n">
        <v>55</v>
      </c>
      <c r="O495" s="148" t="n"/>
      <c r="P495" s="148">
        <f>IF(AND(ISNUMBER(O495),ISNUMBER(N495),N(N495)&gt;0),O495/N495-1,"")</f>
        <v/>
      </c>
      <c r="Q495" s="148" t="n">
        <v>37.95</v>
      </c>
      <c r="R495" s="148">
        <f>IF(AND(ISNUMBER(N495),ISNUMBER(Q495),N(Q495)&gt;0),N495/Q495-1,"")</f>
        <v/>
      </c>
      <c r="S495" s="148" t="n">
        <v>4051</v>
      </c>
      <c r="T495" s="148" t="n">
        <v>35</v>
      </c>
      <c r="U495" s="148" t="n">
        <v>4.4</v>
      </c>
      <c r="V495" s="148" t="n">
        <v>1909</v>
      </c>
      <c r="W495" s="148" t="n">
        <v>171534</v>
      </c>
      <c r="X495" s="148" t="n">
        <v>0.5544749851341424</v>
      </c>
      <c r="Y495" s="148" t="n">
        <v>28</v>
      </c>
      <c r="Z495" s="148" t="n">
        <v>300</v>
      </c>
      <c r="AA495" s="148" t="n">
        <v>814</v>
      </c>
      <c r="AB495" s="148" t="n"/>
      <c r="AC495" s="148" t="inlineStr">
        <is>
          <t>US DC Cooling 4pc</t>
        </is>
      </c>
      <c r="AD495" s="148">
        <f>'US DC Cooling 4pc'!BF123</f>
        <v/>
      </c>
      <c r="AE495" s="148">
        <f>'US DC Cooling 4pc'!BI123</f>
        <v/>
      </c>
      <c r="AF495" s="148" t="inlineStr">
        <is>
          <t>Queen</t>
        </is>
      </c>
      <c r="AG495" s="148" t="inlineStr">
        <is>
          <t>Olive</t>
        </is>
      </c>
      <c r="AH495" s="148">
        <f>AND(E495="CA",OR('CA Dashboard'!$C$4="All",'CA Dashboard'!$C$4=D495),OR('CA Dashboard'!$C$5="All",'CA Dashboard'!$C$5=G495),OR('CA Dashboard'!$C$6="All",'CA Dashboard'!$C$6=H495),OR('CA Dashboard'!$C$7="All",'CA Dashboard'!$C$7=F495),OR('CA Dashboard'!$C$8="All",'CA Dashboard'!$C$8=AJ495))</f>
        <v/>
      </c>
      <c r="AI495" s="148">
        <f>IF(AH495,AI494+1,AI494)</f>
        <v/>
      </c>
      <c r="AJ495" s="148" t="inlineStr">
        <is>
          <t>Alternative material</t>
        </is>
      </c>
      <c r="AK495" s="148" t="inlineStr">
        <is>
          <t>Sheet set in Bamboo viscose (product page material: Rayon); ours is Microfiber / polyester (different material from the Sleephoria cooling sheets: microfiber with some bamboo viscose). Shopper may cross-shop, but not like-for-like.</t>
        </is>
      </c>
    </row>
    <row r="496">
      <c r="A496" s="148">
        <f>AND(E496="US",OR('US Dashboard'!$C$4="All",'US Dashboard'!$C$4=D496),OR('US Dashboard'!$C$5="All",'US Dashboard'!$C$5=G496),OR('US Dashboard'!$C$6="All",'US Dashboard'!$C$6=H496),OR('US Dashboard'!$C$7="All",'US Dashboard'!$C$7=F496),OR('US Dashboard'!$C$8="All",'US Dashboard'!$C$8=AJ496))</f>
        <v/>
      </c>
      <c r="B496" s="148">
        <f>IF(A496,B495+1,B495)</f>
        <v/>
      </c>
      <c r="C496" s="148" t="n">
        <v>48</v>
      </c>
      <c r="D496" s="148" t="inlineStr">
        <is>
          <t>DC Cooling 4pc</t>
        </is>
      </c>
      <c r="E496" s="148" t="inlineStr">
        <is>
          <t>US</t>
        </is>
      </c>
      <c r="F496" s="148" t="inlineStr">
        <is>
          <t>Cooling</t>
        </is>
      </c>
      <c r="G496" s="148" t="inlineStr">
        <is>
          <t>GOKOTTA</t>
        </is>
      </c>
      <c r="H496" s="148" t="inlineStr">
        <is>
          <t>Beatable</t>
        </is>
      </c>
      <c r="I496" s="148" t="inlineStr">
        <is>
          <t>GOKOTTA King Bamboo Rayon Sheets Set, Silky Soft Cooling Sheets Stay Put</t>
        </is>
      </c>
      <c r="J496" s="148" t="inlineStr">
        <is>
          <t>https://images-na.ssl-images-amazon.com/images/I/81EdgN1LRmL.jpg</t>
        </is>
      </c>
      <c r="K496" s="148" t="inlineStr">
        <is>
          <t>B09WV7RN1V</t>
        </is>
      </c>
      <c r="L496" s="148" t="inlineStr">
        <is>
          <t>B0BR53P7DY</t>
        </is>
      </c>
      <c r="M496" s="148" t="n">
        <v>99</v>
      </c>
      <c r="N496" s="148" t="n">
        <v>109</v>
      </c>
      <c r="O496" s="148" t="n"/>
      <c r="P496" s="148">
        <f>IF(AND(ISNUMBER(O496),ISNUMBER(N496),N(N496)&gt;0),O496/N496-1,"")</f>
        <v/>
      </c>
      <c r="Q496" s="148" t="n">
        <v>39.95</v>
      </c>
      <c r="R496" s="148">
        <f>IF(AND(ISNUMBER(N496),ISNUMBER(Q496),N(Q496)&gt;0),N496/Q496-1,"")</f>
        <v/>
      </c>
      <c r="S496" s="148" t="n">
        <v>16154</v>
      </c>
      <c r="T496" s="148" t="n">
        <v>35</v>
      </c>
      <c r="U496" s="148" t="n">
        <v>4.4</v>
      </c>
      <c r="V496" s="148" t="n">
        <v>3371</v>
      </c>
      <c r="W496" s="148" t="n">
        <v>76017</v>
      </c>
      <c r="X496" s="148" t="n">
        <v>0.8206756843863878</v>
      </c>
      <c r="Y496" s="148" t="n">
        <v>96</v>
      </c>
      <c r="Z496" s="148" t="n">
        <v>173</v>
      </c>
      <c r="AA496" s="148" t="n">
        <v>340</v>
      </c>
      <c r="AB496" s="148" t="n"/>
      <c r="AC496" s="148" t="inlineStr">
        <is>
          <t>US DC Cooling 4pc</t>
        </is>
      </c>
      <c r="AD496" s="148">
        <f>'US DC Cooling 4pc'!BF124</f>
        <v/>
      </c>
      <c r="AE496" s="148">
        <f>'US DC Cooling 4pc'!BI124</f>
        <v/>
      </c>
      <c r="AF496" s="148" t="inlineStr">
        <is>
          <t>King - 4 PCS</t>
        </is>
      </c>
      <c r="AG496" s="148" t="inlineStr">
        <is>
          <t>00 Bright White</t>
        </is>
      </c>
      <c r="AH496" s="148">
        <f>AND(E496="CA",OR('CA Dashboard'!$C$4="All",'CA Dashboard'!$C$4=D496),OR('CA Dashboard'!$C$5="All",'CA Dashboard'!$C$5=G496),OR('CA Dashboard'!$C$6="All",'CA Dashboard'!$C$6=H496),OR('CA Dashboard'!$C$7="All",'CA Dashboard'!$C$7=F496),OR('CA Dashboard'!$C$8="All",'CA Dashboard'!$C$8=AJ496))</f>
        <v/>
      </c>
      <c r="AI496" s="148">
        <f>IF(AH496,AI495+1,AI495)</f>
        <v/>
      </c>
      <c r="AJ496" s="148" t="inlineStr">
        <is>
          <t>Alternative material</t>
        </is>
      </c>
      <c r="AK496" s="148" t="inlineStr">
        <is>
          <t>Sheet set in Bamboo viscose (product page material: Bamboo Rayon); ours is Microfiber / polyester (different material from the Sleephoria cooling sheets: microfiber with some bamboo viscose). Shopper may cross-shop, but not like-for-like.</t>
        </is>
      </c>
    </row>
    <row r="497">
      <c r="A497" s="148">
        <f>AND(E497="US",OR('US Dashboard'!$C$4="All",'US Dashboard'!$C$4=D497),OR('US Dashboard'!$C$5="All",'US Dashboard'!$C$5=G497),OR('US Dashboard'!$C$6="All",'US Dashboard'!$C$6=H497),OR('US Dashboard'!$C$7="All",'US Dashboard'!$C$7=F497),OR('US Dashboard'!$C$8="All",'US Dashboard'!$C$8=AJ497))</f>
        <v/>
      </c>
      <c r="B497" s="148">
        <f>IF(A497,B496+1,B496)</f>
        <v/>
      </c>
      <c r="C497" s="148" t="n">
        <v>48</v>
      </c>
      <c r="D497" s="148" t="inlineStr">
        <is>
          <t>DC Cooling 4pc</t>
        </is>
      </c>
      <c r="E497" s="148" t="inlineStr">
        <is>
          <t>US</t>
        </is>
      </c>
      <c r="F497" s="148" t="inlineStr">
        <is>
          <t>Cooling</t>
        </is>
      </c>
      <c r="G497" s="148" t="inlineStr">
        <is>
          <t>REST</t>
        </is>
      </c>
      <c r="H497" s="148" t="inlineStr">
        <is>
          <t>Beatable</t>
        </is>
      </c>
      <c r="I497" s="148" t="inlineStr">
        <is>
          <t>Cooling Sheets 4/6 Pcs</t>
        </is>
      </c>
      <c r="J497" s="148" t="inlineStr">
        <is>
          <t>https://m.media-amazon.com/images/I/71Ryqe-IHkL._AC_SL1500_.jpg</t>
        </is>
      </c>
      <c r="K497" s="148" t="inlineStr">
        <is>
          <t>B0HC6866B7</t>
        </is>
      </c>
      <c r="L497" s="148" t="inlineStr">
        <is>
          <t>B0D25LDRPS</t>
        </is>
      </c>
      <c r="M497" s="148" t="n"/>
      <c r="N497" s="148" t="n">
        <v>164.25</v>
      </c>
      <c r="O497" s="148" t="n">
        <v>219</v>
      </c>
      <c r="P497" s="148">
        <f>IF(AND(ISNUMBER(O497),ISNUMBER(N497),N(N497)&gt;0),O497/N497-1,"")</f>
        <v/>
      </c>
      <c r="Q497" s="148" t="n">
        <v>39.95</v>
      </c>
      <c r="R497" s="148">
        <f>IF(AND(ISNUMBER(N497),ISNUMBER(Q497),N(Q497)&gt;0),N497/Q497-1,"")</f>
        <v/>
      </c>
      <c r="S497" s="148" t="n">
        <v>5255</v>
      </c>
      <c r="T497" s="148" t="n">
        <v>35</v>
      </c>
      <c r="U497" s="148" t="n">
        <v>4.3</v>
      </c>
      <c r="V497" s="148" t="n">
        <v>1149</v>
      </c>
      <c r="W497" s="148" t="n"/>
      <c r="X497" s="148" t="n"/>
      <c r="Y497" s="148" t="n"/>
      <c r="Z497" s="148" t="n"/>
      <c r="AA497" s="148" t="n"/>
      <c r="AB497" s="148" t="n"/>
      <c r="AC497" s="148" t="inlineStr">
        <is>
          <t>US DC Cooling 4pc</t>
        </is>
      </c>
      <c r="AD497" s="148">
        <f>'US DC Cooling 4pc'!BF125</f>
        <v/>
      </c>
      <c r="AE497" s="148">
        <f>'US DC Cooling 4pc'!BI125</f>
        <v/>
      </c>
      <c r="AF497" s="148" t="inlineStr">
        <is>
          <t>King</t>
        </is>
      </c>
      <c r="AG497" s="148" t="inlineStr">
        <is>
          <t>Midnight Blue</t>
        </is>
      </c>
      <c r="AH497" s="148">
        <f>AND(E497="CA",OR('CA Dashboard'!$C$4="All",'CA Dashboard'!$C$4=D497),OR('CA Dashboard'!$C$5="All",'CA Dashboard'!$C$5=G497),OR('CA Dashboard'!$C$6="All",'CA Dashboard'!$C$6=H497),OR('CA Dashboard'!$C$7="All",'CA Dashboard'!$C$7=F497),OR('CA Dashboard'!$C$8="All",'CA Dashboard'!$C$8=AJ497))</f>
        <v/>
      </c>
      <c r="AI497" s="148">
        <f>IF(AH497,AI496+1,AI496)</f>
        <v/>
      </c>
      <c r="AJ497" s="148" t="inlineStr">
        <is>
          <t>Alternative material</t>
        </is>
      </c>
      <c r="AK497" s="148" t="inlineStr">
        <is>
          <t>Sheet set in Synthetic cooling knit (product page material: IONIC+ Silver Nylon, Nylon, Spandex, Skin Friendly, Tear Res); ours is Microfiber / polyester (different material from the Sleephoria cooling sheets: microfiber with some bamboo viscose). Shopper may cross-shop, but not like-for-like.</t>
        </is>
      </c>
    </row>
    <row r="498">
      <c r="A498" s="148">
        <f>AND(E498="US",OR('US Dashboard'!$C$4="All",'US Dashboard'!$C$4=D498),OR('US Dashboard'!$C$5="All",'US Dashboard'!$C$5=G498),OR('US Dashboard'!$C$6="All",'US Dashboard'!$C$6=H498),OR('US Dashboard'!$C$7="All",'US Dashboard'!$C$7=F498),OR('US Dashboard'!$C$8="All",'US Dashboard'!$C$8=AJ498))</f>
        <v/>
      </c>
      <c r="B498" s="148">
        <f>IF(A498,B497+1,B497)</f>
        <v/>
      </c>
      <c r="C498" s="148" t="n">
        <v>48</v>
      </c>
      <c r="D498" s="148" t="inlineStr">
        <is>
          <t>DC Cooling 4pc</t>
        </is>
      </c>
      <c r="E498" s="148" t="inlineStr">
        <is>
          <t>US</t>
        </is>
      </c>
      <c r="F498" s="148" t="inlineStr">
        <is>
          <t>Cooling</t>
        </is>
      </c>
      <c r="G498" s="148" t="inlineStr">
        <is>
          <t>Shilucheng</t>
        </is>
      </c>
      <c r="H498" s="148" t="inlineStr">
        <is>
          <t>Beatable</t>
        </is>
      </c>
      <c r="I498" s="148" t="inlineStr">
        <is>
          <t>Shilucheng 100% Viscose Derived from Bamboo_Sheets, Extra Deep Pocket</t>
        </is>
      </c>
      <c r="J498" s="148" t="inlineStr">
        <is>
          <t>https://images-na.ssl-images-amazon.com/images/I/71NxE1i+4jL.jpg</t>
        </is>
      </c>
      <c r="K498" s="148" t="inlineStr">
        <is>
          <t>B0HJVD7X1R</t>
        </is>
      </c>
      <c r="L498" s="148" t="inlineStr">
        <is>
          <t>B0F2TDDFGJ</t>
        </is>
      </c>
      <c r="M498" s="148" t="n">
        <v>32</v>
      </c>
      <c r="N498" s="148" t="n">
        <v>59.99</v>
      </c>
      <c r="O498" s="148" t="n">
        <v>74.98999999999999</v>
      </c>
      <c r="P498" s="148">
        <f>IF(AND(ISNUMBER(O498),ISNUMBER(N498),N(N498)&gt;0),O498/N498-1,"")</f>
        <v/>
      </c>
      <c r="Q498" s="148" t="n">
        <v>37.95</v>
      </c>
      <c r="R498" s="148">
        <f>IF(AND(ISNUMBER(N498),ISNUMBER(Q498),N(Q498)&gt;0),N498/Q498-1,"")</f>
        <v/>
      </c>
      <c r="S498" s="148" t="n">
        <v>39191</v>
      </c>
      <c r="T498" s="148" t="n">
        <v>18</v>
      </c>
      <c r="U498" s="148" t="n">
        <v>4.5</v>
      </c>
      <c r="V498" s="148" t="n">
        <v>1639</v>
      </c>
      <c r="W498" s="148" t="n">
        <v>41895</v>
      </c>
      <c r="X498" s="148" t="n">
        <v>0.2973701849862752</v>
      </c>
      <c r="Y498" s="148" t="n">
        <v>68</v>
      </c>
      <c r="Z498" s="148" t="n">
        <v>138</v>
      </c>
      <c r="AA498" s="148" t="n">
        <v>321</v>
      </c>
      <c r="AB498" s="148" t="n"/>
      <c r="AC498" s="148" t="inlineStr">
        <is>
          <t>US DC Cooling 4pc</t>
        </is>
      </c>
      <c r="AD498" s="148">
        <f>'US DC Cooling 4pc'!BF126</f>
        <v/>
      </c>
      <c r="AE498" s="148">
        <f>'US DC Cooling 4pc'!BI126</f>
        <v/>
      </c>
      <c r="AF498" s="148" t="inlineStr">
        <is>
          <t>Queen</t>
        </is>
      </c>
      <c r="AG498" s="148" t="inlineStr">
        <is>
          <t>Dark Grey</t>
        </is>
      </c>
      <c r="AH498" s="148">
        <f>AND(E498="CA",OR('CA Dashboard'!$C$4="All",'CA Dashboard'!$C$4=D498),OR('CA Dashboard'!$C$5="All",'CA Dashboard'!$C$5=G498),OR('CA Dashboard'!$C$6="All",'CA Dashboard'!$C$6=H498),OR('CA Dashboard'!$C$7="All",'CA Dashboard'!$C$7=F498),OR('CA Dashboard'!$C$8="All",'CA Dashboard'!$C$8=AJ498))</f>
        <v/>
      </c>
      <c r="AI498" s="148">
        <f>IF(AH498,AI497+1,AI497)</f>
        <v/>
      </c>
      <c r="AJ498" s="148" t="inlineStr">
        <is>
          <t>Alternative material</t>
        </is>
      </c>
      <c r="AK498" s="148" t="inlineStr">
        <is>
          <t>Sheet set in Bamboo viscose (product page material: Rayon Derived from Bamboo); ours is Microfiber / polyester (different material from the Sleephoria cooling sheets: microfiber with some bamboo viscose). Shopper may cross-shop, but not like-for-like.</t>
        </is>
      </c>
    </row>
    <row r="499">
      <c r="A499" s="148">
        <f>AND(E499="US",OR('US Dashboard'!$C$4="All",'US Dashboard'!$C$4=D499),OR('US Dashboard'!$C$5="All",'US Dashboard'!$C$5=G499),OR('US Dashboard'!$C$6="All",'US Dashboard'!$C$6=H499),OR('US Dashboard'!$C$7="All",'US Dashboard'!$C$7=F499),OR('US Dashboard'!$C$8="All",'US Dashboard'!$C$8=AJ499))</f>
        <v/>
      </c>
      <c r="B499" s="148">
        <f>IF(A499,B498+1,B498)</f>
        <v/>
      </c>
      <c r="C499" s="148" t="n">
        <v>48</v>
      </c>
      <c r="D499" s="148" t="inlineStr">
        <is>
          <t>DC Cooling 4pc</t>
        </is>
      </c>
      <c r="E499" s="148" t="inlineStr">
        <is>
          <t>US</t>
        </is>
      </c>
      <c r="F499" s="148" t="inlineStr">
        <is>
          <t>Cooling</t>
        </is>
      </c>
      <c r="G499" s="148" t="inlineStr">
        <is>
          <t>BC BELLA COTERIE</t>
        </is>
      </c>
      <c r="H499" s="148" t="inlineStr">
        <is>
          <t>Beatable</t>
        </is>
      </c>
      <c r="I499" s="148" t="inlineStr">
        <is>
          <t>4 Piece Bamboo Sheet Set</t>
        </is>
      </c>
      <c r="J499" s="148" t="inlineStr">
        <is>
          <t>https://m.media-amazon.com/images/I/81BvQVXWCLL._AC_SL1500_.jpg</t>
        </is>
      </c>
      <c r="K499" s="148" t="inlineStr">
        <is>
          <t>B0H29V113N</t>
        </is>
      </c>
      <c r="L499" s="148" t="inlineStr">
        <is>
          <t>B0G674ZDTV</t>
        </is>
      </c>
      <c r="M499" s="148" t="n"/>
      <c r="N499" s="148" t="n">
        <v>159.99</v>
      </c>
      <c r="O499" s="148" t="n"/>
      <c r="P499" s="148">
        <f>IF(AND(ISNUMBER(O499),ISNUMBER(N499),N(N499)&gt;0),O499/N499-1,"")</f>
        <v/>
      </c>
      <c r="Q499" s="148" t="n">
        <v>37.95</v>
      </c>
      <c r="R499" s="148">
        <f>IF(AND(ISNUMBER(N499),ISNUMBER(Q499),N(Q499)&gt;0),N499/Q499-1,"")</f>
        <v/>
      </c>
      <c r="S499" s="148" t="n">
        <v>1577</v>
      </c>
      <c r="T499" s="148" t="n">
        <v>5</v>
      </c>
      <c r="U499" s="148" t="n">
        <v>4.4</v>
      </c>
      <c r="V499" s="148" t="n">
        <v>5652</v>
      </c>
      <c r="W499" s="148" t="n"/>
      <c r="X499" s="148" t="n"/>
      <c r="Y499" s="148" t="n"/>
      <c r="Z499" s="148" t="n"/>
      <c r="AA499" s="148" t="n"/>
      <c r="AB499" s="148" t="n"/>
      <c r="AC499" s="148" t="inlineStr">
        <is>
          <t>US DC Cooling 4pc</t>
        </is>
      </c>
      <c r="AD499" s="148">
        <f>'US DC Cooling 4pc'!BF127</f>
        <v/>
      </c>
      <c r="AE499" s="148">
        <f>'US DC Cooling 4pc'!BI127</f>
        <v/>
      </c>
      <c r="AF499" s="148" t="inlineStr">
        <is>
          <t>Queen - 2 Pillowcases</t>
        </is>
      </c>
      <c r="AG499" s="148" t="inlineStr">
        <is>
          <t>22 - Striped Dune</t>
        </is>
      </c>
      <c r="AH499" s="148">
        <f>AND(E499="CA",OR('CA Dashboard'!$C$4="All",'CA Dashboard'!$C$4=D499),OR('CA Dashboard'!$C$5="All",'CA Dashboard'!$C$5=G499),OR('CA Dashboard'!$C$6="All",'CA Dashboard'!$C$6=H499),OR('CA Dashboard'!$C$7="All",'CA Dashboard'!$C$7=F499),OR('CA Dashboard'!$C$8="All",'CA Dashboard'!$C$8=AJ499))</f>
        <v/>
      </c>
      <c r="AI499" s="148">
        <f>IF(AH499,AI498+1,AI498)</f>
        <v/>
      </c>
      <c r="AJ499" s="148" t="inlineStr">
        <is>
          <t>Alternative material</t>
        </is>
      </c>
      <c r="AK499" s="148" t="inlineStr">
        <is>
          <t>Sheet set in Bamboo viscose (product page material: Organically Grown | Viscose Made From Bamboo); ours is Microfiber / polyester (different material from the Sleephoria cooling sheets: microfiber with some bamboo viscose). Shopper may cross-shop, but not like-for-like.</t>
        </is>
      </c>
    </row>
    <row r="500">
      <c r="A500" s="148">
        <f>AND(E500="US",OR('US Dashboard'!$C$4="All",'US Dashboard'!$C$4=D500),OR('US Dashboard'!$C$5="All",'US Dashboard'!$C$5=G500),OR('US Dashboard'!$C$6="All",'US Dashboard'!$C$6=H500),OR('US Dashboard'!$C$7="All",'US Dashboard'!$C$7=F500),OR('US Dashboard'!$C$8="All",'US Dashboard'!$C$8=AJ500))</f>
        <v/>
      </c>
      <c r="B500" s="148">
        <f>IF(A500,B499+1,B499)</f>
        <v/>
      </c>
      <c r="C500" s="148" t="n">
        <v>48</v>
      </c>
      <c r="D500" s="148" t="inlineStr">
        <is>
          <t>DC Cooling 4pc</t>
        </is>
      </c>
      <c r="E500" s="148" t="inlineStr">
        <is>
          <t>US</t>
        </is>
      </c>
      <c r="F500" s="148" t="inlineStr">
        <is>
          <t>Cooling</t>
        </is>
      </c>
      <c r="G500" s="148" t="inlineStr">
        <is>
          <t>DOWNCOOL</t>
        </is>
      </c>
      <c r="H500" s="148" t="inlineStr">
        <is>
          <t>Beatable</t>
        </is>
      </c>
      <c r="I500" s="148" t="inlineStr">
        <is>
          <t>Cooling Sheets</t>
        </is>
      </c>
      <c r="J500" s="148" t="inlineStr">
        <is>
          <t>https://m.media-amazon.com/images/I/613kYEKI4UL._AC_SL1500_.jpg</t>
        </is>
      </c>
      <c r="K500" s="148" t="inlineStr">
        <is>
          <t>B0F93XRVSZ</t>
        </is>
      </c>
      <c r="L500" s="148" t="inlineStr">
        <is>
          <t>B0F93XRVSZ</t>
        </is>
      </c>
      <c r="M500" s="148" t="n"/>
      <c r="N500" s="148" t="n">
        <v>139.99</v>
      </c>
      <c r="O500" s="148" t="n"/>
      <c r="P500" s="148">
        <f>IF(AND(ISNUMBER(O500),ISNUMBER(N500),N(N500)&gt;0),O500/N500-1,"")</f>
        <v/>
      </c>
      <c r="Q500" s="148" t="n">
        <v>35.95</v>
      </c>
      <c r="R500" s="148">
        <f>IF(AND(ISNUMBER(N500),ISNUMBER(Q500),N(Q500)&gt;0),N500/Q500-1,"")</f>
        <v/>
      </c>
      <c r="S500" s="148" t="n">
        <v>2798999</v>
      </c>
      <c r="T500" s="148" t="n">
        <v>5</v>
      </c>
      <c r="U500" s="148" t="n">
        <v>4.2</v>
      </c>
      <c r="V500" s="148" t="n">
        <v>6</v>
      </c>
      <c r="W500" s="148" t="n"/>
      <c r="X500" s="148" t="n"/>
      <c r="Y500" s="148" t="n"/>
      <c r="Z500" s="148" t="n"/>
      <c r="AA500" s="148" t="n"/>
      <c r="AB500" s="148" t="n"/>
      <c r="AC500" s="148" t="inlineStr">
        <is>
          <t>US DC Cooling 4pc</t>
        </is>
      </c>
      <c r="AD500" s="148">
        <f>'US DC Cooling 4pc'!BF128</f>
        <v/>
      </c>
      <c r="AE500" s="148">
        <f>'US DC Cooling 4pc'!BI128</f>
        <v/>
      </c>
      <c r="AF500" s="148" t="inlineStr">
        <is>
          <t>Full</t>
        </is>
      </c>
      <c r="AG500" s="148" t="inlineStr">
        <is>
          <t>White</t>
        </is>
      </c>
      <c r="AH500" s="148">
        <f>AND(E500="CA",OR('CA Dashboard'!$C$4="All",'CA Dashboard'!$C$4=D500),OR('CA Dashboard'!$C$5="All",'CA Dashboard'!$C$5=G500),OR('CA Dashboard'!$C$6="All",'CA Dashboard'!$C$6=H500),OR('CA Dashboard'!$C$7="All",'CA Dashboard'!$C$7=F500),OR('CA Dashboard'!$C$8="All",'CA Dashboard'!$C$8=AJ500))</f>
        <v/>
      </c>
      <c r="AI500" s="148">
        <f>IF(AH500,AI499+1,AI499)</f>
        <v/>
      </c>
      <c r="AJ500" s="148" t="inlineStr">
        <is>
          <t>Alternative material</t>
        </is>
      </c>
      <c r="AK500" s="148" t="inlineStr">
        <is>
          <t>Sheet set in Synthetic cooling knit (product page material: Nylon); ours is Microfiber / polyester (different material from the Sleephoria cooling sheets: microfiber with some bamboo viscose). Shopper may cross-shop, but not like-for-like.</t>
        </is>
      </c>
    </row>
    <row r="501">
      <c r="A501" s="148">
        <f>AND(E501="US",OR('US Dashboard'!$C$4="All",'US Dashboard'!$C$4=D501),OR('US Dashboard'!$C$5="All",'US Dashboard'!$C$5=G501),OR('US Dashboard'!$C$6="All",'US Dashboard'!$C$6=H501),OR('US Dashboard'!$C$7="All",'US Dashboard'!$C$7=F501),OR('US Dashboard'!$C$8="All",'US Dashboard'!$C$8=AJ501))</f>
        <v/>
      </c>
      <c r="B501" s="148">
        <f>IF(A501,B500+1,B500)</f>
        <v/>
      </c>
      <c r="C501" s="148" t="n">
        <v>48</v>
      </c>
      <c r="D501" s="148" t="inlineStr">
        <is>
          <t>DC Cooling 4pc</t>
        </is>
      </c>
      <c r="E501" s="148" t="inlineStr">
        <is>
          <t>US</t>
        </is>
      </c>
      <c r="F501" s="148" t="inlineStr">
        <is>
          <t>Cooling</t>
        </is>
      </c>
      <c r="G501" s="148" t="inlineStr">
        <is>
          <t>Elegear</t>
        </is>
      </c>
      <c r="H501" s="148" t="inlineStr">
        <is>
          <t>Beatable</t>
        </is>
      </c>
      <c r="I501" s="148" t="inlineStr">
        <is>
          <t>Elegear Silver Infused Cooling Bed Sheets Queen, Arc-Chill® 3.0 Cool Tech, Silve</t>
        </is>
      </c>
      <c r="J501" s="148" t="inlineStr">
        <is>
          <t>https://m.media-amazon.com/images/I/71wuywu7aeL._AC_SL1500_.jpg</t>
        </is>
      </c>
      <c r="K501" s="148" t="inlineStr">
        <is>
          <t>B0H7YWGBW3</t>
        </is>
      </c>
      <c r="L501" s="148" t="inlineStr">
        <is>
          <t>B0GCGXW1WT</t>
        </is>
      </c>
      <c r="M501" s="148" t="n">
        <v>8</v>
      </c>
      <c r="N501" s="148" t="n">
        <v>67.98999999999999</v>
      </c>
      <c r="O501" s="148" t="n">
        <v>79.98999999999999</v>
      </c>
      <c r="P501" s="148">
        <f>IF(AND(ISNUMBER(O501),ISNUMBER(N501),N(N501)&gt;0),O501/N501-1,"")</f>
        <v/>
      </c>
      <c r="Q501" s="148" t="n">
        <v>37.95</v>
      </c>
      <c r="R501" s="148">
        <f>IF(AND(ISNUMBER(N501),ISNUMBER(Q501),N(Q501)&gt;0),N501/Q501-1,"")</f>
        <v/>
      </c>
      <c r="S501" s="148" t="n">
        <v>159865</v>
      </c>
      <c r="T501" s="148" t="n">
        <v>5</v>
      </c>
      <c r="U501" s="148" t="n">
        <v>4.4</v>
      </c>
      <c r="V501" s="148" t="n">
        <v>131</v>
      </c>
      <c r="W501" s="148" t="n">
        <v>15624</v>
      </c>
      <c r="X501" s="148" t="n">
        <v>0.6086269521249359</v>
      </c>
      <c r="Y501" s="148" t="n">
        <v>54</v>
      </c>
      <c r="Z501" s="148" t="n">
        <v>77</v>
      </c>
      <c r="AA501" s="148" t="n">
        <v>151</v>
      </c>
      <c r="AB501" s="148" t="n">
        <v>0.4848484848484848</v>
      </c>
      <c r="AC501" s="148" t="inlineStr">
        <is>
          <t>US DC Cooling 4pc</t>
        </is>
      </c>
      <c r="AD501" s="148">
        <f>'US DC Cooling 4pc'!BF129</f>
        <v/>
      </c>
      <c r="AE501" s="148">
        <f>'US DC Cooling 4pc'!BI129</f>
        <v/>
      </c>
      <c r="AF501" s="148" t="inlineStr">
        <is>
          <t>Queen (Flat Sheet: 90" x 102")</t>
        </is>
      </c>
      <c r="AG501" s="148" t="inlineStr">
        <is>
          <t>White</t>
        </is>
      </c>
      <c r="AH501" s="148">
        <f>AND(E501="CA",OR('CA Dashboard'!$C$4="All",'CA Dashboard'!$C$4=D501),OR('CA Dashboard'!$C$5="All",'CA Dashboard'!$C$5=G501),OR('CA Dashboard'!$C$6="All",'CA Dashboard'!$C$6=H501),OR('CA Dashboard'!$C$7="All",'CA Dashboard'!$C$7=F501),OR('CA Dashboard'!$C$8="All",'CA Dashboard'!$C$8=AJ501))</f>
        <v/>
      </c>
      <c r="AI501" s="148">
        <f>IF(AH501,AI500+1,AI500)</f>
        <v/>
      </c>
      <c r="AJ501" s="148" t="inlineStr">
        <is>
          <t>Alternative material</t>
        </is>
      </c>
      <c r="AK501" s="148" t="inlineStr">
        <is>
          <t>Sheet set in Synthetic cooling knit (product page material: Arc-Chill® 3.0 Fabric with Silver Ion Technology); ours is Microfiber / polyester (different material from the Sleephoria cooling sheets: microfiber with some bamboo viscose). Shopper may cross-shop, but not like-for-like.</t>
        </is>
      </c>
    </row>
    <row r="502">
      <c r="A502" s="148">
        <f>AND(E502="US",OR('US Dashboard'!$C$4="All",'US Dashboard'!$C$4=D502),OR('US Dashboard'!$C$5="All",'US Dashboard'!$C$5=G502),OR('US Dashboard'!$C$6="All",'US Dashboard'!$C$6=H502),OR('US Dashboard'!$C$7="All",'US Dashboard'!$C$7=F502),OR('US Dashboard'!$C$8="All",'US Dashboard'!$C$8=AJ502))</f>
        <v/>
      </c>
      <c r="B502" s="148">
        <f>IF(A502,B501+1,B501)</f>
        <v/>
      </c>
      <c r="C502" s="148" t="n">
        <v>48</v>
      </c>
      <c r="D502" s="148" t="inlineStr">
        <is>
          <t>DC Cooling 4pc</t>
        </is>
      </c>
      <c r="E502" s="148" t="inlineStr">
        <is>
          <t>US</t>
        </is>
      </c>
      <c r="F502" s="148" t="inlineStr">
        <is>
          <t>Cooling</t>
        </is>
      </c>
      <c r="G502" s="148" t="inlineStr">
        <is>
          <t>Shilucheng</t>
        </is>
      </c>
      <c r="H502" s="148" t="inlineStr">
        <is>
          <t>Beatable</t>
        </is>
      </c>
      <c r="I502" s="148" t="inlineStr">
        <is>
          <t>Shilucheng 100% Viscose Derived from Bamboo_ Sheets King Size 4pcs</t>
        </is>
      </c>
      <c r="J502" s="148" t="inlineStr">
        <is>
          <t>https://images-na.ssl-images-amazon.com/images/I/71+O+E9PlaL.jpg</t>
        </is>
      </c>
      <c r="K502" s="148" t="inlineStr">
        <is>
          <t>B0HK5V5KL1</t>
        </is>
      </c>
      <c r="L502" s="148" t="inlineStr">
        <is>
          <t>B09PYQ2VQL</t>
        </is>
      </c>
      <c r="M502" s="148" t="n">
        <v>79</v>
      </c>
      <c r="N502" s="148" t="n">
        <v>54.9</v>
      </c>
      <c r="O502" s="148" t="n">
        <v>64.90000000000001</v>
      </c>
      <c r="P502" s="148">
        <f>IF(AND(ISNUMBER(O502),ISNUMBER(N502),N(N502)&gt;0),O502/N502-1,"")</f>
        <v/>
      </c>
      <c r="Q502" s="148" t="n">
        <v>39.95</v>
      </c>
      <c r="R502" s="148">
        <f>IF(AND(ISNUMBER(N502),ISNUMBER(Q502),N(Q502)&gt;0),N502/Q502-1,"")</f>
        <v/>
      </c>
      <c r="S502" s="148" t="n">
        <v>26044</v>
      </c>
      <c r="T502" s="148" t="n">
        <v>5</v>
      </c>
      <c r="U502" s="148" t="n">
        <v>4.4</v>
      </c>
      <c r="V502" s="148" t="n">
        <v>6629</v>
      </c>
      <c r="W502" s="148" t="n">
        <v>55207</v>
      </c>
      <c r="X502" s="148" t="n">
        <v>0.5098780408281561</v>
      </c>
      <c r="Y502" s="148" t="n">
        <v>52</v>
      </c>
      <c r="Z502" s="148" t="n">
        <v>175</v>
      </c>
      <c r="AA502" s="148" t="n">
        <v>467</v>
      </c>
      <c r="AB502" s="148" t="n"/>
      <c r="AC502" s="148" t="inlineStr">
        <is>
          <t>US DC Cooling 4pc</t>
        </is>
      </c>
      <c r="AD502" s="148">
        <f>'US DC Cooling 4pc'!BF130</f>
        <v/>
      </c>
      <c r="AE502" s="148">
        <f>'US DC Cooling 4pc'!BI130</f>
        <v/>
      </c>
      <c r="AF502" s="148" t="inlineStr">
        <is>
          <t>King</t>
        </is>
      </c>
      <c r="AG502" s="148" t="inlineStr">
        <is>
          <t>01 - Dark Grey</t>
        </is>
      </c>
      <c r="AH502" s="148">
        <f>AND(E502="CA",OR('CA Dashboard'!$C$4="All",'CA Dashboard'!$C$4=D502),OR('CA Dashboard'!$C$5="All",'CA Dashboard'!$C$5=G502),OR('CA Dashboard'!$C$6="All",'CA Dashboard'!$C$6=H502),OR('CA Dashboard'!$C$7="All",'CA Dashboard'!$C$7=F502),OR('CA Dashboard'!$C$8="All",'CA Dashboard'!$C$8=AJ502))</f>
        <v/>
      </c>
      <c r="AI502" s="148">
        <f>IF(AH502,AI501+1,AI501)</f>
        <v/>
      </c>
      <c r="AJ502" s="148" t="inlineStr">
        <is>
          <t>Alternative material</t>
        </is>
      </c>
      <c r="AK502" s="148" t="inlineStr">
        <is>
          <t>Sheet set in Bamboo viscose (product page material: Viscose Derived from Bamboo); ours is Microfiber / polyester (different material from the Sleephoria cooling sheets: microfiber with some bamboo viscose). Shopper may cross-shop, but not like-for-like.</t>
        </is>
      </c>
    </row>
    <row r="503">
      <c r="A503" s="148">
        <f>AND(E503="US",OR('US Dashboard'!$C$4="All",'US Dashboard'!$C$4=D503),OR('US Dashboard'!$C$5="All",'US Dashboard'!$C$5=G503),OR('US Dashboard'!$C$6="All",'US Dashboard'!$C$6=H503),OR('US Dashboard'!$C$7="All",'US Dashboard'!$C$7=F503),OR('US Dashboard'!$C$8="All",'US Dashboard'!$C$8=AJ503))</f>
        <v/>
      </c>
      <c r="B503" s="148">
        <f>IF(A503,B502+1,B502)</f>
        <v/>
      </c>
      <c r="C503" s="148" t="n">
        <v>48</v>
      </c>
      <c r="D503" s="148" t="inlineStr">
        <is>
          <t>DC Cooling 4pc</t>
        </is>
      </c>
      <c r="E503" s="148" t="inlineStr">
        <is>
          <t>US</t>
        </is>
      </c>
      <c r="F503" s="148" t="inlineStr">
        <is>
          <t>Cooling</t>
        </is>
      </c>
      <c r="G503" s="148" t="inlineStr">
        <is>
          <t>Pillcase</t>
        </is>
      </c>
      <c r="H503" s="148" t="inlineStr">
        <is>
          <t>Poor</t>
        </is>
      </c>
      <c r="I503" s="148" t="inlineStr">
        <is>
          <t>Pillcase Luxury Organic Tencel &amp; Viscose from Bamboo Cooling Sheet Set,Silky Soft Lyocell Sheets with Deep Pocket, Hypoallergenic &amp; Breathable Bedding with Pillowcases (White, King)</t>
        </is>
      </c>
      <c r="J503" s="148" t="inlineStr">
        <is>
          <t>https://images-na.ssl-images-amazon.com/images/I/61mi8zwd8GL.jpg</t>
        </is>
      </c>
      <c r="K503" s="148" t="inlineStr">
        <is>
          <t>B0FLDYD61P</t>
        </is>
      </c>
      <c r="L503" s="148" t="inlineStr">
        <is>
          <t>B0FLDYD61P</t>
        </is>
      </c>
      <c r="M503" s="148" t="n">
        <v>1</v>
      </c>
      <c r="N503" s="148" t="n">
        <v>109.99</v>
      </c>
      <c r="O503" s="148" t="n"/>
      <c r="P503" s="148">
        <f>IF(AND(ISNUMBER(O503),ISNUMBER(N503),N(N503)&gt;0),O503/N503-1,"")</f>
        <v/>
      </c>
      <c r="Q503" s="148" t="n">
        <v>39.95</v>
      </c>
      <c r="R503" s="148">
        <f>IF(AND(ISNUMBER(N503),ISNUMBER(Q503),N(Q503)&gt;0),N503/Q503-1,"")</f>
        <v/>
      </c>
      <c r="S503" s="148" t="n">
        <v>1401806</v>
      </c>
      <c r="T503" s="148" t="n">
        <v>5</v>
      </c>
      <c r="U503" s="148" t="n">
        <v>4.5</v>
      </c>
      <c r="V503" s="148" t="n">
        <v>35</v>
      </c>
      <c r="W503" s="148" t="n"/>
      <c r="X503" s="148" t="n"/>
      <c r="Y503" s="148" t="n"/>
      <c r="Z503" s="148" t="n"/>
      <c r="AA503" s="148" t="n"/>
      <c r="AB503" s="148" t="n"/>
      <c r="AC503" s="148" t="inlineStr">
        <is>
          <t>US DC Cooling 4pc</t>
        </is>
      </c>
      <c r="AD503" s="148">
        <f>'US DC Cooling 4pc'!BF131</f>
        <v/>
      </c>
      <c r="AE503" s="148">
        <f>'US DC Cooling 4pc'!BI131</f>
        <v/>
      </c>
      <c r="AF503" s="148" t="inlineStr">
        <is>
          <t>King</t>
        </is>
      </c>
      <c r="AG503" s="148" t="inlineStr">
        <is>
          <t>White</t>
        </is>
      </c>
      <c r="AH503" s="148">
        <f>AND(E503="CA",OR('CA Dashboard'!$C$4="All",'CA Dashboard'!$C$4=D503),OR('CA Dashboard'!$C$5="All",'CA Dashboard'!$C$5=G503),OR('CA Dashboard'!$C$6="All",'CA Dashboard'!$C$6=H503),OR('CA Dashboard'!$C$7="All",'CA Dashboard'!$C$7=F503),OR('CA Dashboard'!$C$8="All",'CA Dashboard'!$C$8=AJ503))</f>
        <v/>
      </c>
      <c r="AI503" s="148">
        <f>IF(AH503,AI502+1,AI502)</f>
        <v/>
      </c>
      <c r="AJ503" s="148" t="inlineStr">
        <is>
          <t>Alternative material</t>
        </is>
      </c>
      <c r="AK503" s="148" t="inlineStr">
        <is>
          <t>Sheet set in Lyocell / eucalyptus (title: Pillcase Luxury Organic Tencel &amp; Viscose from Bamboo Cooling); ours is Microfiber / polyester (different material from the Sleephoria cooling sheets: microfiber with some bamboo viscose). Shopper may cross-shop, but not like-for-like.</t>
        </is>
      </c>
    </row>
    <row r="504">
      <c r="A504" s="148">
        <f>AND(E504="US",OR('US Dashboard'!$C$4="All",'US Dashboard'!$C$4=D504),OR('US Dashboard'!$C$5="All",'US Dashboard'!$C$5=G504),OR('US Dashboard'!$C$6="All",'US Dashboard'!$C$6=H504),OR('US Dashboard'!$C$7="All",'US Dashboard'!$C$7=F504),OR('US Dashboard'!$C$8="All",'US Dashboard'!$C$8=AJ504))</f>
        <v/>
      </c>
      <c r="B504" s="148">
        <f>IF(A504,B503+1,B503)</f>
        <v/>
      </c>
      <c r="C504" s="148" t="n">
        <v>48</v>
      </c>
      <c r="D504" s="148" t="inlineStr">
        <is>
          <t>DC Cooling 4pc</t>
        </is>
      </c>
      <c r="E504" s="148" t="inlineStr">
        <is>
          <t>US</t>
        </is>
      </c>
      <c r="F504" s="148" t="inlineStr">
        <is>
          <t>Cooling</t>
        </is>
      </c>
      <c r="G504" s="148" t="inlineStr">
        <is>
          <t>TWK</t>
        </is>
      </c>
      <c r="H504" s="148" t="inlineStr">
        <is>
          <t>Poor</t>
        </is>
      </c>
      <c r="I504" s="148" t="inlineStr">
        <is>
          <t>TWK Luxury Sheet Set, Genuine 100% Organic Viscose Derived from Bamboo, Cooling &amp; Breathable, Silky Soft, Bedding Sheets &amp; Pillowcases (Mist Gray, King)</t>
        </is>
      </c>
      <c r="J504" s="148" t="inlineStr">
        <is>
          <t>https://images-na.ssl-images-amazon.com/images/I/71gw0WpuNuL.jpg</t>
        </is>
      </c>
      <c r="K504" s="148" t="inlineStr">
        <is>
          <t>B0DYT2QWLC</t>
        </is>
      </c>
      <c r="L504" s="148" t="inlineStr">
        <is>
          <t>B0DYT2QWLC</t>
        </is>
      </c>
      <c r="M504" s="148" t="n">
        <v>1</v>
      </c>
      <c r="N504" s="148" t="n">
        <v>109.99</v>
      </c>
      <c r="O504" s="148" t="n"/>
      <c r="P504" s="148">
        <f>IF(AND(ISNUMBER(O504),ISNUMBER(N504),N(N504)&gt;0),O504/N504-1,"")</f>
        <v/>
      </c>
      <c r="Q504" s="148" t="n">
        <v>39.95</v>
      </c>
      <c r="R504" s="148">
        <f>IF(AND(ISNUMBER(N504),ISNUMBER(Q504),N(Q504)&gt;0),N504/Q504-1,"")</f>
        <v/>
      </c>
      <c r="S504" s="148" t="n">
        <v>1506045</v>
      </c>
      <c r="T504" s="148" t="n">
        <v>5</v>
      </c>
      <c r="U504" s="148" t="n">
        <v>4.5</v>
      </c>
      <c r="V504" s="148" t="n">
        <v>39</v>
      </c>
      <c r="W504" s="148" t="n"/>
      <c r="X504" s="148" t="n"/>
      <c r="Y504" s="148" t="n"/>
      <c r="Z504" s="148" t="n"/>
      <c r="AA504" s="148" t="n"/>
      <c r="AB504" s="148" t="n"/>
      <c r="AC504" s="148" t="inlineStr">
        <is>
          <t>US DC Cooling 4pc</t>
        </is>
      </c>
      <c r="AD504" s="148">
        <f>'US DC Cooling 4pc'!BF132</f>
        <v/>
      </c>
      <c r="AE504" s="148">
        <f>'US DC Cooling 4pc'!BI132</f>
        <v/>
      </c>
      <c r="AF504" s="148" t="inlineStr">
        <is>
          <t>King</t>
        </is>
      </c>
      <c r="AG504" s="148" t="inlineStr">
        <is>
          <t>Mist Gray</t>
        </is>
      </c>
      <c r="AH504" s="148">
        <f>AND(E504="CA",OR('CA Dashboard'!$C$4="All",'CA Dashboard'!$C$4=D504),OR('CA Dashboard'!$C$5="All",'CA Dashboard'!$C$5=G504),OR('CA Dashboard'!$C$6="All",'CA Dashboard'!$C$6=H504),OR('CA Dashboard'!$C$7="All",'CA Dashboard'!$C$7=F504),OR('CA Dashboard'!$C$8="All",'CA Dashboard'!$C$8=AJ504))</f>
        <v/>
      </c>
      <c r="AI504" s="148">
        <f>IF(AH504,AI503+1,AI503)</f>
        <v/>
      </c>
      <c r="AJ504" s="148" t="inlineStr">
        <is>
          <t>Alternative material</t>
        </is>
      </c>
      <c r="AK504" s="148" t="inlineStr">
        <is>
          <t>Sheet set in Bamboo viscose (title: TWK Luxury Sheet Set, Genuine 100% Organic Viscose Derived f); ours is Microfiber / polyester (different material from the Sleephoria cooling sheets: microfiber with some bamboo viscose). Shopper may cross-shop, but not like-for-like.</t>
        </is>
      </c>
    </row>
    <row r="505">
      <c r="A505" s="148">
        <f>AND(E505="US",OR('US Dashboard'!$C$4="All",'US Dashboard'!$C$4=D505),OR('US Dashboard'!$C$5="All",'US Dashboard'!$C$5=G505),OR('US Dashboard'!$C$6="All",'US Dashboard'!$C$6=H505),OR('US Dashboard'!$C$7="All",'US Dashboard'!$C$7=F505),OR('US Dashboard'!$C$8="All",'US Dashboard'!$C$8=AJ505))</f>
        <v/>
      </c>
      <c r="B505" s="148">
        <f>IF(A505,B504+1,B504)</f>
        <v/>
      </c>
      <c r="C505" s="148" t="n">
        <v>48</v>
      </c>
      <c r="D505" s="148" t="inlineStr">
        <is>
          <t>DC Cooling 4pc</t>
        </is>
      </c>
      <c r="E505" s="148" t="inlineStr">
        <is>
          <t>US</t>
        </is>
      </c>
      <c r="F505" s="148" t="inlineStr">
        <is>
          <t>Cooling</t>
        </is>
      </c>
      <c r="G505" s="148" t="inlineStr">
        <is>
          <t>Bedsure</t>
        </is>
      </c>
      <c r="H505" s="148" t="inlineStr">
        <is>
          <t>Untiered</t>
        </is>
      </c>
      <c r="I505" s="148" t="inlineStr">
        <is>
          <t>Bedsure PureWoven 100% Rayon Derived from Bamboo, Queen Sheets, 4 Pieces</t>
        </is>
      </c>
      <c r="J505" s="148" t="inlineStr">
        <is>
          <t>https://images-na.ssl-images-amazon.com/images/I/81L2xb5ly6L.jpg</t>
        </is>
      </c>
      <c r="K505" s="148" t="inlineStr">
        <is>
          <t>B0BZ8T5BJ6</t>
        </is>
      </c>
      <c r="L505" s="148" t="inlineStr">
        <is>
          <t>B07YK8VTJV</t>
        </is>
      </c>
      <c r="M505" s="148" t="n">
        <v>131</v>
      </c>
      <c r="N505" s="148" t="n">
        <v>62.99</v>
      </c>
      <c r="O505" s="148" t="n">
        <v>69.98999999999999</v>
      </c>
      <c r="P505" s="148">
        <f>IF(AND(ISNUMBER(O505),ISNUMBER(N505),N(N505)&gt;0),O505/N505-1,"")</f>
        <v/>
      </c>
      <c r="Q505" s="148" t="n">
        <v>37.95</v>
      </c>
      <c r="R505" s="148">
        <f>IF(AND(ISNUMBER(N505),ISNUMBER(Q505),N(Q505)&gt;0),N505/Q505-1,"")</f>
        <v/>
      </c>
      <c r="S505" s="148" t="n">
        <v>256</v>
      </c>
      <c r="T505" s="148" t="n">
        <v>809</v>
      </c>
      <c r="U505" s="148" t="n">
        <v>4.4</v>
      </c>
      <c r="V505" s="148" t="n">
        <v>65061</v>
      </c>
      <c r="W505" s="148" t="n">
        <v>2166046</v>
      </c>
      <c r="X505" s="148" t="n">
        <v>0.5902383405984899</v>
      </c>
      <c r="Y505" s="148" t="n">
        <v>10</v>
      </c>
      <c r="Z505" s="148" t="n">
        <v>358</v>
      </c>
      <c r="AA505" s="148" t="n">
        <v>3453</v>
      </c>
      <c r="AB505" s="148" t="n">
        <v>1.066623404715553</v>
      </c>
      <c r="AC505" s="148" t="inlineStr">
        <is>
          <t>US DC Cooling 4pc</t>
        </is>
      </c>
      <c r="AD505" s="148">
        <f>'US DC Cooling 4pc'!BF133</f>
        <v/>
      </c>
      <c r="AE505" s="148">
        <f>'US DC Cooling 4pc'!BI133</f>
        <v/>
      </c>
      <c r="AF505" s="148" t="inlineStr">
        <is>
          <t>Queen</t>
        </is>
      </c>
      <c r="AG505" s="148" t="inlineStr">
        <is>
          <t>02 - White</t>
        </is>
      </c>
      <c r="AH505" s="148">
        <f>AND(E505="CA",OR('CA Dashboard'!$C$4="All",'CA Dashboard'!$C$4=D505),OR('CA Dashboard'!$C$5="All",'CA Dashboard'!$C$5=G505),OR('CA Dashboard'!$C$6="All",'CA Dashboard'!$C$6=H505),OR('CA Dashboard'!$C$7="All",'CA Dashboard'!$C$7=F505),OR('CA Dashboard'!$C$8="All",'CA Dashboard'!$C$8=AJ505))</f>
        <v/>
      </c>
      <c r="AI505" s="148">
        <f>IF(AH505,AI504+1,AI504)</f>
        <v/>
      </c>
      <c r="AJ505" s="148" t="inlineStr">
        <is>
          <t>Alternative material</t>
        </is>
      </c>
      <c r="AK505" s="148" t="inlineStr">
        <is>
          <t>Sheet set in Bamboo viscose (product page material: Rayon Derived from Bamboo); ours is Microfiber / polyester (different material from the Sleephoria cooling sheets: microfiber with some bamboo viscose). Shopper may cross-shop, but not like-for-like.</t>
        </is>
      </c>
    </row>
    <row r="506">
      <c r="A506" s="148">
        <f>AND(E506="US",OR('US Dashboard'!$C$4="All",'US Dashboard'!$C$4=D506),OR('US Dashboard'!$C$5="All",'US Dashboard'!$C$5=G506),OR('US Dashboard'!$C$6="All",'US Dashboard'!$C$6=H506),OR('US Dashboard'!$C$7="All",'US Dashboard'!$C$7=F506),OR('US Dashboard'!$C$8="All",'US Dashboard'!$C$8=AJ506))</f>
        <v/>
      </c>
      <c r="B506" s="148">
        <f>IF(A506,B505+1,B505)</f>
        <v/>
      </c>
      <c r="C506" s="148" t="n">
        <v>48</v>
      </c>
      <c r="D506" s="148" t="inlineStr">
        <is>
          <t>DC Cooling 4pc</t>
        </is>
      </c>
      <c r="E506" s="148" t="inlineStr">
        <is>
          <t>US</t>
        </is>
      </c>
      <c r="F506" s="148" t="inlineStr">
        <is>
          <t>Cooling</t>
        </is>
      </c>
      <c r="G506" s="148" t="inlineStr">
        <is>
          <t>KARISSA MAE</t>
        </is>
      </c>
      <c r="H506" s="148" t="inlineStr">
        <is>
          <t>Untiered</t>
        </is>
      </c>
      <c r="I506" s="148" t="inlineStr">
        <is>
          <t>Cooling Sheets</t>
        </is>
      </c>
      <c r="J506" s="148" t="inlineStr">
        <is>
          <t>https://images-na.ssl-images-amazon.com/images/I/71rcYip7GcL.jpg</t>
        </is>
      </c>
      <c r="K506" s="148" t="inlineStr">
        <is>
          <t>B0GT172Y8L</t>
        </is>
      </c>
      <c r="L506" s="148" t="inlineStr">
        <is>
          <t>B0G1CSCQTB</t>
        </is>
      </c>
      <c r="M506" s="148" t="n">
        <v>138</v>
      </c>
      <c r="N506" s="148" t="n">
        <v>119.99</v>
      </c>
      <c r="O506" s="148" t="n"/>
      <c r="P506" s="148">
        <f>IF(AND(ISNUMBER(O506),ISNUMBER(N506),N(N506)&gt;0),O506/N506-1,"")</f>
        <v/>
      </c>
      <c r="Q506" s="148" t="n">
        <v>39.95</v>
      </c>
      <c r="R506" s="148">
        <f>IF(AND(ISNUMBER(N506),ISNUMBER(Q506),N(Q506)&gt;0),N506/Q506-1,"")</f>
        <v/>
      </c>
      <c r="S506" s="148" t="n">
        <v>15914</v>
      </c>
      <c r="T506" s="148" t="n">
        <v>35</v>
      </c>
      <c r="U506" s="148" t="n">
        <v>4.3</v>
      </c>
      <c r="V506" s="148" t="n">
        <v>474</v>
      </c>
      <c r="W506" s="148" t="n">
        <v>243610</v>
      </c>
      <c r="X506" s="148" t="n">
        <v>0.1385290000410493</v>
      </c>
      <c r="Y506" s="148" t="n">
        <v>92</v>
      </c>
      <c r="Z506" s="148" t="n">
        <v>223</v>
      </c>
      <c r="AA506" s="148" t="n">
        <v>1750</v>
      </c>
      <c r="AB506" s="148" t="n">
        <v>2.102564102564103</v>
      </c>
      <c r="AC506" s="148" t="inlineStr">
        <is>
          <t>US DC Cooling 4pc</t>
        </is>
      </c>
      <c r="AD506" s="148">
        <f>'US DC Cooling 4pc'!BF134</f>
        <v/>
      </c>
      <c r="AE506" s="148">
        <f>'US DC Cooling 4pc'!BI134</f>
        <v/>
      </c>
      <c r="AF506" s="148" t="inlineStr">
        <is>
          <t>King - 2 Pillowcases</t>
        </is>
      </c>
      <c r="AG506" s="148" t="inlineStr">
        <is>
          <t>10 - Mocha</t>
        </is>
      </c>
      <c r="AH506" s="148">
        <f>AND(E506="CA",OR('CA Dashboard'!$C$4="All",'CA Dashboard'!$C$4=D506),OR('CA Dashboard'!$C$5="All",'CA Dashboard'!$C$5=G506),OR('CA Dashboard'!$C$6="All",'CA Dashboard'!$C$6=H506),OR('CA Dashboard'!$C$7="All",'CA Dashboard'!$C$7=F506),OR('CA Dashboard'!$C$8="All",'CA Dashboard'!$C$8=AJ506))</f>
        <v/>
      </c>
      <c r="AI506" s="148">
        <f>IF(AH506,AI505+1,AI505)</f>
        <v/>
      </c>
      <c r="AJ506" s="148" t="inlineStr">
        <is>
          <t>Alternative material</t>
        </is>
      </c>
      <c r="AK506" s="148" t="inlineStr">
        <is>
          <t>Sheet set in Bamboo viscose (product page material: Organically Grown Bamboo Viscose); ours is Microfiber / polyester (different material from the Sleephoria cooling sheets: microfiber with some bamboo viscose). Shopper may cross-shop, but not like-for-like.</t>
        </is>
      </c>
    </row>
    <row r="507">
      <c r="A507" s="148">
        <f>AND(E507="US",OR('US Dashboard'!$C$4="All",'US Dashboard'!$C$4=D507),OR('US Dashboard'!$C$5="All",'US Dashboard'!$C$5=G507),OR('US Dashboard'!$C$6="All",'US Dashboard'!$C$6=H507),OR('US Dashboard'!$C$7="All",'US Dashboard'!$C$7=F507),OR('US Dashboard'!$C$8="All",'US Dashboard'!$C$8=AJ507))</f>
        <v/>
      </c>
      <c r="B507" s="148">
        <f>IF(A507,B506+1,B506)</f>
        <v/>
      </c>
      <c r="C507" s="148" t="n">
        <v>45</v>
      </c>
      <c r="D507" s="148" t="inlineStr">
        <is>
          <t>SL Cooling 4pc</t>
        </is>
      </c>
      <c r="E507" s="148" t="inlineStr">
        <is>
          <t>US</t>
        </is>
      </c>
      <c r="F507" s="148" t="inlineStr">
        <is>
          <t>Cooling</t>
        </is>
      </c>
      <c r="G507" s="148" t="inlineStr">
        <is>
          <t>REST</t>
        </is>
      </c>
      <c r="H507" s="148" t="inlineStr">
        <is>
          <t>Beatable</t>
        </is>
      </c>
      <c r="I507" s="148" t="inlineStr">
        <is>
          <t>Cooling Sheets</t>
        </is>
      </c>
      <c r="J507" s="148" t="inlineStr">
        <is>
          <t>https://m.media-amazon.com/images/I/71lWpVXtIFL._AC_SL1500_.jpg</t>
        </is>
      </c>
      <c r="K507" s="148" t="inlineStr">
        <is>
          <t>B0HC6866B7</t>
        </is>
      </c>
      <c r="L507" s="148" t="inlineStr">
        <is>
          <t>B0D9JHBBCZ</t>
        </is>
      </c>
      <c r="M507" s="148" t="n">
        <v>69</v>
      </c>
      <c r="N507" s="148" t="n">
        <v>224.25</v>
      </c>
      <c r="O507" s="148" t="n">
        <v>299</v>
      </c>
      <c r="P507" s="148">
        <f>IF(AND(ISNUMBER(O507),ISNUMBER(N507),N(N507)&gt;0),O507/N507-1,"")</f>
        <v/>
      </c>
      <c r="Q507" s="148" t="n">
        <v>79.98999999999999</v>
      </c>
      <c r="R507" s="148">
        <f>IF(AND(ISNUMBER(N507),ISNUMBER(Q507),N(Q507)&gt;0),N507/Q507-1,"")</f>
        <v/>
      </c>
      <c r="S507" s="148" t="n">
        <v>5255</v>
      </c>
      <c r="T507" s="148" t="n">
        <v>81</v>
      </c>
      <c r="U507" s="148" t="n">
        <v>4.3</v>
      </c>
      <c r="V507" s="148" t="n">
        <v>1149</v>
      </c>
      <c r="W507" s="148" t="n">
        <v>522593</v>
      </c>
      <c r="X507" s="148" t="n">
        <v>0.2234137663535486</v>
      </c>
      <c r="Y507" s="148" t="n">
        <v>31</v>
      </c>
      <c r="Z507" s="148" t="n">
        <v>217</v>
      </c>
      <c r="AA507" s="148" t="n">
        <v>3266</v>
      </c>
      <c r="AB507" s="148" t="n"/>
      <c r="AC507" s="148" t="inlineStr">
        <is>
          <t>US SL Cooling 4pc</t>
        </is>
      </c>
      <c r="AD507" s="148">
        <f>'US SL Cooling 4pc'!BF103</f>
        <v/>
      </c>
      <c r="AE507" s="148">
        <f>'US SL Cooling 4pc'!BI103</f>
        <v/>
      </c>
      <c r="AF507" s="148" t="inlineStr">
        <is>
          <t>Queen</t>
        </is>
      </c>
      <c r="AG507" s="148" t="inlineStr">
        <is>
          <t>Midnight Blue</t>
        </is>
      </c>
      <c r="AH507" s="148">
        <f>AND(E507="CA",OR('CA Dashboard'!$C$4="All",'CA Dashboard'!$C$4=D507),OR('CA Dashboard'!$C$5="All",'CA Dashboard'!$C$5=G507),OR('CA Dashboard'!$C$6="All",'CA Dashboard'!$C$6=H507),OR('CA Dashboard'!$C$7="All",'CA Dashboard'!$C$7=F507),OR('CA Dashboard'!$C$8="All",'CA Dashboard'!$C$8=AJ507))</f>
        <v/>
      </c>
      <c r="AI507" s="148">
        <f>IF(AH507,AI506+1,AI506)</f>
        <v/>
      </c>
      <c r="AJ507" s="148" t="inlineStr">
        <is>
          <t>Direct</t>
        </is>
      </c>
      <c r="AK507" s="148" t="inlineStr">
        <is>
          <t>Same product (sheet set) in the same material family: Synthetic cooling knit (product page material: Antistatic, IONIC+ Silver Nylon, Nylon, Spandex, Skin Friend); ours: BreezeWeave cooling fabric, nylon-spandex like CooLoom (confirmed Oct 15, 2026).</t>
        </is>
      </c>
    </row>
    <row r="508">
      <c r="A508" s="148">
        <f>AND(E508="US",OR('US Dashboard'!$C$4="All",'US Dashboard'!$C$4=D508),OR('US Dashboard'!$C$5="All",'US Dashboard'!$C$5=G508),OR('US Dashboard'!$C$6="All",'US Dashboard'!$C$6=H508),OR('US Dashboard'!$C$7="All",'US Dashboard'!$C$7=F508),OR('US Dashboard'!$C$8="All",'US Dashboard'!$C$8=AJ508))</f>
        <v/>
      </c>
      <c r="B508" s="148">
        <f>IF(A508,B507+1,B507)</f>
        <v/>
      </c>
      <c r="C508" s="148" t="n">
        <v>45</v>
      </c>
      <c r="D508" s="148" t="inlineStr">
        <is>
          <t>SL Cooling 4pc</t>
        </is>
      </c>
      <c r="E508" s="148" t="inlineStr">
        <is>
          <t>US</t>
        </is>
      </c>
      <c r="F508" s="148" t="inlineStr">
        <is>
          <t>Cooling</t>
        </is>
      </c>
      <c r="G508" s="148" t="inlineStr">
        <is>
          <t>Breescape</t>
        </is>
      </c>
      <c r="H508" s="148" t="inlineStr">
        <is>
          <t>Beatable</t>
        </is>
      </c>
      <c r="I508" s="148" t="inlineStr">
        <is>
          <t>Cooling Sheets</t>
        </is>
      </c>
      <c r="J508" s="148" t="inlineStr">
        <is>
          <t>https://m.media-amazon.com/images/I/81o+wGCszCL._AC_SL1500_.jpg</t>
        </is>
      </c>
      <c r="K508" s="148" t="inlineStr">
        <is>
          <t>B0H41M1N4B</t>
        </is>
      </c>
      <c r="L508" s="148" t="inlineStr">
        <is>
          <t>B0DSPZJKTB</t>
        </is>
      </c>
      <c r="M508" s="148" t="n">
        <v>26</v>
      </c>
      <c r="N508" s="148" t="n">
        <v>149.99</v>
      </c>
      <c r="O508" s="148" t="n">
        <v>179.99</v>
      </c>
      <c r="P508" s="148">
        <f>IF(AND(ISNUMBER(O508),ISNUMBER(N508),N(N508)&gt;0),O508/N508-1,"")</f>
        <v/>
      </c>
      <c r="Q508" s="148" t="n">
        <v>84.98999999999999</v>
      </c>
      <c r="R508" s="148">
        <f>IF(AND(ISNUMBER(N508),ISNUMBER(Q508),N(Q508)&gt;0),N508/Q508-1,"")</f>
        <v/>
      </c>
      <c r="S508" s="148" t="n">
        <v>49910</v>
      </c>
      <c r="T508" s="148" t="n">
        <v>35</v>
      </c>
      <c r="U508" s="148" t="n">
        <v>4.2</v>
      </c>
      <c r="V508" s="148" t="n">
        <v>595</v>
      </c>
      <c r="W508" s="148" t="n">
        <v>107224</v>
      </c>
      <c r="X508" s="148" t="n">
        <v>0.5282540960978878</v>
      </c>
      <c r="Y508" s="148" t="n">
        <v>48</v>
      </c>
      <c r="Z508" s="148" t="n">
        <v>160</v>
      </c>
      <c r="AA508" s="148" t="n">
        <v>500</v>
      </c>
      <c r="AB508" s="148" t="n">
        <v>1.443271767810026</v>
      </c>
      <c r="AC508" s="148" t="inlineStr">
        <is>
          <t>US SL Cooling 4pc</t>
        </is>
      </c>
      <c r="AD508" s="148">
        <f>'US SL Cooling 4pc'!BF104</f>
        <v/>
      </c>
      <c r="AE508" s="148">
        <f>'US SL Cooling 4pc'!BI104</f>
        <v/>
      </c>
      <c r="AF508" s="148" t="inlineStr">
        <is>
          <t>King</t>
        </is>
      </c>
      <c r="AG508" s="148" t="inlineStr">
        <is>
          <t>Gray</t>
        </is>
      </c>
      <c r="AH508" s="148">
        <f>AND(E508="CA",OR('CA Dashboard'!$C$4="All",'CA Dashboard'!$C$4=D508),OR('CA Dashboard'!$C$5="All",'CA Dashboard'!$C$5=G508),OR('CA Dashboard'!$C$6="All",'CA Dashboard'!$C$6=H508),OR('CA Dashboard'!$C$7="All",'CA Dashboard'!$C$7=F508),OR('CA Dashboard'!$C$8="All",'CA Dashboard'!$C$8=AJ508))</f>
        <v/>
      </c>
      <c r="AI508" s="148">
        <f>IF(AH508,AI507+1,AI507)</f>
        <v/>
      </c>
      <c r="AJ508" s="148" t="inlineStr">
        <is>
          <t>Direct</t>
        </is>
      </c>
      <c r="AK508" s="148" t="inlineStr">
        <is>
          <t>Same product (sheet set) in the same material family: Synthetic cooling knit (product page material: BlendTek Fabric: 69% Nylon, 20% Polyester, 11% Spandex); ours: BreezeWeave cooling fabric, nylon-spandex like CooLoom (confirmed Oct 15, 2026).</t>
        </is>
      </c>
    </row>
    <row r="509">
      <c r="A509" s="148">
        <f>AND(E509="US",OR('US Dashboard'!$C$4="All",'US Dashboard'!$C$4=D509),OR('US Dashboard'!$C$5="All",'US Dashboard'!$C$5=G509),OR('US Dashboard'!$C$6="All",'US Dashboard'!$C$6=H509),OR('US Dashboard'!$C$7="All",'US Dashboard'!$C$7=F509),OR('US Dashboard'!$C$8="All",'US Dashboard'!$C$8=AJ509))</f>
        <v/>
      </c>
      <c r="B509" s="148">
        <f>IF(A509,B508+1,B508)</f>
        <v/>
      </c>
      <c r="C509" s="148" t="n">
        <v>45</v>
      </c>
      <c r="D509" s="148" t="inlineStr">
        <is>
          <t>SL Cooling 4pc</t>
        </is>
      </c>
      <c r="E509" s="148" t="inlineStr">
        <is>
          <t>US</t>
        </is>
      </c>
      <c r="F509" s="148" t="inlineStr">
        <is>
          <t>Cooling</t>
        </is>
      </c>
      <c r="G509" s="148" t="inlineStr">
        <is>
          <t>REST</t>
        </is>
      </c>
      <c r="H509" s="148" t="inlineStr">
        <is>
          <t>Beatable</t>
        </is>
      </c>
      <c r="I509" s="148" t="inlineStr">
        <is>
          <t>Cooling Sheets 4/6 Pcs</t>
        </is>
      </c>
      <c r="J509" s="148" t="inlineStr">
        <is>
          <t>https://m.media-amazon.com/images/I/71Ryqe-IHkL._AC_SL1500_.jpg</t>
        </is>
      </c>
      <c r="K509" s="148" t="inlineStr">
        <is>
          <t>B0HC6866B7</t>
        </is>
      </c>
      <c r="L509" s="148" t="inlineStr">
        <is>
          <t>B0D25LDRPS</t>
        </is>
      </c>
      <c r="M509" s="148" t="n"/>
      <c r="N509" s="148" t="n">
        <v>164.25</v>
      </c>
      <c r="O509" s="148" t="n">
        <v>219</v>
      </c>
      <c r="P509" s="148">
        <f>IF(AND(ISNUMBER(O509),ISNUMBER(N509),N(N509)&gt;0),O509/N509-1,"")</f>
        <v/>
      </c>
      <c r="Q509" s="148" t="n">
        <v>84.98999999999999</v>
      </c>
      <c r="R509" s="148">
        <f>IF(AND(ISNUMBER(N509),ISNUMBER(Q509),N(Q509)&gt;0),N509/Q509-1,"")</f>
        <v/>
      </c>
      <c r="S509" s="148" t="n">
        <v>5255</v>
      </c>
      <c r="T509" s="148" t="n">
        <v>35</v>
      </c>
      <c r="U509" s="148" t="n">
        <v>4.3</v>
      </c>
      <c r="V509" s="148" t="n">
        <v>1149</v>
      </c>
      <c r="W509" s="148" t="n"/>
      <c r="X509" s="148" t="n"/>
      <c r="Y509" s="148" t="n"/>
      <c r="Z509" s="148" t="n"/>
      <c r="AA509" s="148" t="n"/>
      <c r="AB509" s="148" t="n"/>
      <c r="AC509" s="148" t="inlineStr">
        <is>
          <t>US SL Cooling 4pc</t>
        </is>
      </c>
      <c r="AD509" s="148">
        <f>'US SL Cooling 4pc'!BF105</f>
        <v/>
      </c>
      <c r="AE509" s="148">
        <f>'US SL Cooling 4pc'!BI105</f>
        <v/>
      </c>
      <c r="AF509" s="148" t="inlineStr">
        <is>
          <t>King</t>
        </is>
      </c>
      <c r="AG509" s="148" t="inlineStr">
        <is>
          <t>Midnight Blue</t>
        </is>
      </c>
      <c r="AH509" s="148">
        <f>AND(E509="CA",OR('CA Dashboard'!$C$4="All",'CA Dashboard'!$C$4=D509),OR('CA Dashboard'!$C$5="All",'CA Dashboard'!$C$5=G509),OR('CA Dashboard'!$C$6="All",'CA Dashboard'!$C$6=H509),OR('CA Dashboard'!$C$7="All",'CA Dashboard'!$C$7=F509),OR('CA Dashboard'!$C$8="All",'CA Dashboard'!$C$8=AJ509))</f>
        <v/>
      </c>
      <c r="AI509" s="148">
        <f>IF(AH509,AI508+1,AI508)</f>
        <v/>
      </c>
      <c r="AJ509" s="148" t="inlineStr">
        <is>
          <t>Direct</t>
        </is>
      </c>
      <c r="AK509" s="148" t="inlineStr">
        <is>
          <t>Same product (sheet set) in the same material family: Synthetic cooling knit (product page material: IONIC+ Silver Nylon, Nylon, Spandex, Skin Friendly, Tear Res); ours: BreezeWeave cooling fabric, nylon-spandex like CooLoom (confirmed Oct 15, 2026).</t>
        </is>
      </c>
    </row>
    <row r="510">
      <c r="A510" s="148">
        <f>AND(E510="US",OR('US Dashboard'!$C$4="All",'US Dashboard'!$C$4=D510),OR('US Dashboard'!$C$5="All",'US Dashboard'!$C$5=G510),OR('US Dashboard'!$C$6="All",'US Dashboard'!$C$6=H510),OR('US Dashboard'!$C$7="All",'US Dashboard'!$C$7=F510),OR('US Dashboard'!$C$8="All",'US Dashboard'!$C$8=AJ510))</f>
        <v/>
      </c>
      <c r="B510" s="148">
        <f>IF(A510,B509+1,B509)</f>
        <v/>
      </c>
      <c r="C510" s="148" t="n">
        <v>45</v>
      </c>
      <c r="D510" s="148" t="inlineStr">
        <is>
          <t>SL Cooling 4pc</t>
        </is>
      </c>
      <c r="E510" s="148" t="inlineStr">
        <is>
          <t>US</t>
        </is>
      </c>
      <c r="F510" s="148" t="inlineStr">
        <is>
          <t>Cooling</t>
        </is>
      </c>
      <c r="G510" s="148" t="inlineStr">
        <is>
          <t>SHEEX</t>
        </is>
      </c>
      <c r="H510" s="148" t="inlineStr">
        <is>
          <t>Beatable</t>
        </is>
      </c>
      <c r="I510" s="148" t="inlineStr">
        <is>
          <t>SHEEX - Original Performance Sheets Set (Queen) Graphite - Cooling Sheets - Mois</t>
        </is>
      </c>
      <c r="J510" s="148" t="inlineStr">
        <is>
          <t>https://m.media-amazon.com/images/I/61rLGUnuOnL._AC_SL1500_.jpg</t>
        </is>
      </c>
      <c r="K510" s="148" t="inlineStr">
        <is>
          <t>B081KX96XD</t>
        </is>
      </c>
      <c r="L510" s="148" t="inlineStr">
        <is>
          <t>B00EWJHJU4</t>
        </is>
      </c>
      <c r="M510" s="148" t="n"/>
      <c r="N510" s="148" t="n">
        <v>224.25</v>
      </c>
      <c r="O510" s="148" t="n"/>
      <c r="P510" s="148">
        <f>IF(AND(ISNUMBER(O510),ISNUMBER(N510),N(N510)&gt;0),O510/N510-1,"")</f>
        <v/>
      </c>
      <c r="Q510" s="148" t="n">
        <v>79.98999999999999</v>
      </c>
      <c r="R510" s="148">
        <f>IF(AND(ISNUMBER(N510),ISNUMBER(Q510),N(Q510)&gt;0),N510/Q510-1,"")</f>
        <v/>
      </c>
      <c r="S510" s="148" t="n">
        <v>74243</v>
      </c>
      <c r="T510" s="148" t="n">
        <v>5</v>
      </c>
      <c r="U510" s="148" t="n">
        <v>4.4</v>
      </c>
      <c r="V510" s="148" t="n">
        <v>3256</v>
      </c>
      <c r="W510" s="148" t="n"/>
      <c r="X510" s="148" t="n"/>
      <c r="Y510" s="148" t="n"/>
      <c r="Z510" s="148" t="n"/>
      <c r="AA510" s="148" t="n"/>
      <c r="AB510" s="148" t="n"/>
      <c r="AC510" s="148" t="inlineStr">
        <is>
          <t>US SL Cooling 4pc</t>
        </is>
      </c>
      <c r="AD510" s="148">
        <f>'US SL Cooling 4pc'!BF106</f>
        <v/>
      </c>
      <c r="AE510" s="148">
        <f>'US SL Cooling 4pc'!BI106</f>
        <v/>
      </c>
      <c r="AF510" s="148" t="inlineStr">
        <is>
          <t>Queen</t>
        </is>
      </c>
      <c r="AG510" s="148" t="inlineStr">
        <is>
          <t>Graphite</t>
        </is>
      </c>
      <c r="AH510" s="148">
        <f>AND(E510="CA",OR('CA Dashboard'!$C$4="All",'CA Dashboard'!$C$4=D510),OR('CA Dashboard'!$C$5="All",'CA Dashboard'!$C$5=G510),OR('CA Dashboard'!$C$6="All",'CA Dashboard'!$C$6=H510),OR('CA Dashboard'!$C$7="All",'CA Dashboard'!$C$7=F510),OR('CA Dashboard'!$C$8="All",'CA Dashboard'!$C$8=AJ510))</f>
        <v/>
      </c>
      <c r="AI510" s="148">
        <f>IF(AH510,AI509+1,AI509)</f>
        <v/>
      </c>
      <c r="AJ510" s="148" t="inlineStr">
        <is>
          <t>Direct</t>
        </is>
      </c>
      <c r="AK510" s="148" t="inlineStr">
        <is>
          <t>Same product (sheet set) in the same material family: Synthetic cooling knit (product page material: 87% Polyester/ 13% Spandex); ours: BreezeWeave cooling fabric, nylon-spandex like CooLoom (confirmed Oct 15, 2026).</t>
        </is>
      </c>
    </row>
    <row r="511">
      <c r="A511" s="148">
        <f>AND(E511="US",OR('US Dashboard'!$C$4="All",'US Dashboard'!$C$4=D511),OR('US Dashboard'!$C$5="All",'US Dashboard'!$C$5=G511),OR('US Dashboard'!$C$6="All",'US Dashboard'!$C$6=H511),OR('US Dashboard'!$C$7="All",'US Dashboard'!$C$7=F511),OR('US Dashboard'!$C$8="All",'US Dashboard'!$C$8=AJ511))</f>
        <v/>
      </c>
      <c r="B511" s="148">
        <f>IF(A511,B510+1,B510)</f>
        <v/>
      </c>
      <c r="C511" s="148" t="n">
        <v>45</v>
      </c>
      <c r="D511" s="148" t="inlineStr">
        <is>
          <t>SL Cooling 4pc</t>
        </is>
      </c>
      <c r="E511" s="148" t="inlineStr">
        <is>
          <t>US</t>
        </is>
      </c>
      <c r="F511" s="148" t="inlineStr">
        <is>
          <t>Cooling</t>
        </is>
      </c>
      <c r="G511" s="148" t="inlineStr">
        <is>
          <t>CGK Unlimited</t>
        </is>
      </c>
      <c r="H511" s="148" t="inlineStr">
        <is>
          <t>Poor</t>
        </is>
      </c>
      <c r="I511" s="148" t="inlineStr">
        <is>
          <t>Cooling Sheets Set Twin XL Size - 3 Piece Summer Bed Sheets for Hot Sleepers &amp; N</t>
        </is>
      </c>
      <c r="J511" s="148" t="inlineStr">
        <is>
          <t>https://m.media-amazon.com/images/I/6134+o8tDxL._AC_SL1500_.jpg</t>
        </is>
      </c>
      <c r="K511" s="148" t="inlineStr">
        <is>
          <t>B0FT4VV426</t>
        </is>
      </c>
      <c r="L511" s="148" t="inlineStr">
        <is>
          <t>B0FT4TC7NV</t>
        </is>
      </c>
      <c r="M511" s="148" t="n"/>
      <c r="N511" s="148" t="n">
        <v>57.99</v>
      </c>
      <c r="O511" s="148" t="n"/>
      <c r="P511" s="148">
        <f>IF(AND(ISNUMBER(O511),ISNUMBER(N511),N(N511)&gt;0),O511/N511-1,"")</f>
        <v/>
      </c>
      <c r="Q511" s="148" t="n">
        <v>59.99</v>
      </c>
      <c r="R511" s="148">
        <f>IF(AND(ISNUMBER(N511),ISNUMBER(Q511),N(Q511)&gt;0),N511/Q511-1,"")</f>
        <v/>
      </c>
      <c r="S511" s="148" t="n">
        <v>381427</v>
      </c>
      <c r="T511" s="148" t="n">
        <v>5</v>
      </c>
      <c r="U511" s="148" t="n">
        <v>4.1</v>
      </c>
      <c r="V511" s="148" t="n">
        <v>118</v>
      </c>
      <c r="W511" s="148" t="n"/>
      <c r="X511" s="148" t="n"/>
      <c r="Y511" s="148" t="n"/>
      <c r="Z511" s="148" t="n"/>
      <c r="AA511" s="148" t="n"/>
      <c r="AB511" s="148" t="n"/>
      <c r="AC511" s="148" t="inlineStr">
        <is>
          <t>US SL Cooling 4pc</t>
        </is>
      </c>
      <c r="AD511" s="148">
        <f>'US SL Cooling 4pc'!BF107</f>
        <v/>
      </c>
      <c r="AE511" s="148">
        <f>'US SL Cooling 4pc'!BI107</f>
        <v/>
      </c>
      <c r="AF511" s="148" t="inlineStr">
        <is>
          <t>Twin</t>
        </is>
      </c>
      <c r="AG511" s="148" t="inlineStr">
        <is>
          <t>06 - Sky Blue</t>
        </is>
      </c>
      <c r="AH511" s="148">
        <f>AND(E511="CA",OR('CA Dashboard'!$C$4="All",'CA Dashboard'!$C$4=D511),OR('CA Dashboard'!$C$5="All",'CA Dashboard'!$C$5=G511),OR('CA Dashboard'!$C$6="All",'CA Dashboard'!$C$6=H511),OR('CA Dashboard'!$C$7="All",'CA Dashboard'!$C$7=F511),OR('CA Dashboard'!$C$8="All",'CA Dashboard'!$C$8=AJ511))</f>
        <v/>
      </c>
      <c r="AI511" s="148">
        <f>IF(AH511,AI510+1,AI510)</f>
        <v/>
      </c>
      <c r="AJ511" s="148" t="inlineStr">
        <is>
          <t>Direct</t>
        </is>
      </c>
      <c r="AK511" s="148" t="inlineStr">
        <is>
          <t>Same product (sheet set) in the same material family: Synthetic cooling knit (product page material: Nylon, Spandex); ours: BreezeWeave cooling fabric, nylon-spandex like CooLoom (confirmed Oct 15, 2026).</t>
        </is>
      </c>
    </row>
    <row r="512">
      <c r="A512" s="148">
        <f>AND(E512="US",OR('US Dashboard'!$C$4="All",'US Dashboard'!$C$4=D512),OR('US Dashboard'!$C$5="All",'US Dashboard'!$C$5=G512),OR('US Dashboard'!$C$6="All",'US Dashboard'!$C$6=H512),OR('US Dashboard'!$C$7="All",'US Dashboard'!$C$7=F512),OR('US Dashboard'!$C$8="All",'US Dashboard'!$C$8=AJ512))</f>
        <v/>
      </c>
      <c r="B512" s="148">
        <f>IF(A512,B511+1,B511)</f>
        <v/>
      </c>
      <c r="C512" s="148" t="n">
        <v>45</v>
      </c>
      <c r="D512" s="148" t="inlineStr">
        <is>
          <t>SL Cooling 4pc</t>
        </is>
      </c>
      <c r="E512" s="148" t="inlineStr">
        <is>
          <t>US</t>
        </is>
      </c>
      <c r="F512" s="148" t="inlineStr">
        <is>
          <t>Cooling</t>
        </is>
      </c>
      <c r="G512" s="148" t="inlineStr">
        <is>
          <t>DOWNCOOL</t>
        </is>
      </c>
      <c r="H512" s="148" t="inlineStr">
        <is>
          <t>Poor</t>
        </is>
      </c>
      <c r="I512" s="148" t="inlineStr">
        <is>
          <t>Cooling Sheets</t>
        </is>
      </c>
      <c r="J512" s="148" t="inlineStr">
        <is>
          <t>https://m.media-amazon.com/images/I/613kYEKI4UL._AC_SL1500_.jpg</t>
        </is>
      </c>
      <c r="K512" s="148" t="inlineStr">
        <is>
          <t>B0F93XRVSZ</t>
        </is>
      </c>
      <c r="L512" s="148" t="inlineStr">
        <is>
          <t>B0F93XRVSZ</t>
        </is>
      </c>
      <c r="M512" s="148" t="n"/>
      <c r="N512" s="148" t="n">
        <v>139.99</v>
      </c>
      <c r="O512" s="148" t="n"/>
      <c r="P512" s="148">
        <f>IF(AND(ISNUMBER(O512),ISNUMBER(N512),N(N512)&gt;0),O512/N512-1,"")</f>
        <v/>
      </c>
      <c r="Q512" s="148" t="n">
        <v>64.98999999999999</v>
      </c>
      <c r="R512" s="148">
        <f>IF(AND(ISNUMBER(N512),ISNUMBER(Q512),N(Q512)&gt;0),N512/Q512-1,"")</f>
        <v/>
      </c>
      <c r="S512" s="148" t="n">
        <v>2798999</v>
      </c>
      <c r="T512" s="148" t="n">
        <v>5</v>
      </c>
      <c r="U512" s="148" t="n">
        <v>4.2</v>
      </c>
      <c r="V512" s="148" t="n">
        <v>6</v>
      </c>
      <c r="W512" s="148" t="n"/>
      <c r="X512" s="148" t="n"/>
      <c r="Y512" s="148" t="n"/>
      <c r="Z512" s="148" t="n"/>
      <c r="AA512" s="148" t="n"/>
      <c r="AB512" s="148" t="n"/>
      <c r="AC512" s="148" t="inlineStr">
        <is>
          <t>US SL Cooling 4pc</t>
        </is>
      </c>
      <c r="AD512" s="148">
        <f>'US SL Cooling 4pc'!BF108</f>
        <v/>
      </c>
      <c r="AE512" s="148">
        <f>'US SL Cooling 4pc'!BI108</f>
        <v/>
      </c>
      <c r="AF512" s="148" t="inlineStr">
        <is>
          <t>Full</t>
        </is>
      </c>
      <c r="AG512" s="148" t="inlineStr">
        <is>
          <t>White</t>
        </is>
      </c>
      <c r="AH512" s="148">
        <f>AND(E512="CA",OR('CA Dashboard'!$C$4="All",'CA Dashboard'!$C$4=D512),OR('CA Dashboard'!$C$5="All",'CA Dashboard'!$C$5=G512),OR('CA Dashboard'!$C$6="All",'CA Dashboard'!$C$6=H512),OR('CA Dashboard'!$C$7="All",'CA Dashboard'!$C$7=F512),OR('CA Dashboard'!$C$8="All",'CA Dashboard'!$C$8=AJ512))</f>
        <v/>
      </c>
      <c r="AI512" s="148">
        <f>IF(AH512,AI511+1,AI511)</f>
        <v/>
      </c>
      <c r="AJ512" s="148" t="inlineStr">
        <is>
          <t>Direct</t>
        </is>
      </c>
      <c r="AK512" s="148" t="inlineStr">
        <is>
          <t>Same product (sheet set) in the same material family: Synthetic cooling knit (product page material: Nylon); ours: BreezeWeave cooling fabric, nylon-spandex like CooLoom (confirmed Oct 15, 2026).</t>
        </is>
      </c>
    </row>
    <row r="513">
      <c r="A513" s="148">
        <f>AND(E513="US",OR('US Dashboard'!$C$4="All",'US Dashboard'!$C$4=D513),OR('US Dashboard'!$C$5="All",'US Dashboard'!$C$5=G513),OR('US Dashboard'!$C$6="All",'US Dashboard'!$C$6=H513),OR('US Dashboard'!$C$7="All",'US Dashboard'!$C$7=F513),OR('US Dashboard'!$C$8="All",'US Dashboard'!$C$8=AJ513))</f>
        <v/>
      </c>
      <c r="B513" s="148">
        <f>IF(A513,B512+1,B512)</f>
        <v/>
      </c>
      <c r="C513" s="148" t="n">
        <v>45</v>
      </c>
      <c r="D513" s="148" t="inlineStr">
        <is>
          <t>SL Cooling 4pc</t>
        </is>
      </c>
      <c r="E513" s="148" t="inlineStr">
        <is>
          <t>US</t>
        </is>
      </c>
      <c r="F513" s="148" t="inlineStr">
        <is>
          <t>Cooling</t>
        </is>
      </c>
      <c r="G513" s="148" t="inlineStr">
        <is>
          <t>Elegear</t>
        </is>
      </c>
      <c r="H513" s="148" t="inlineStr">
        <is>
          <t>Poor</t>
        </is>
      </c>
      <c r="I513" s="148" t="inlineStr">
        <is>
          <t>Elegear Silver Infused Cooling Bed Sheets Queen, Arc-Chill® 3.0 Cool Tech, Silve</t>
        </is>
      </c>
      <c r="J513" s="148" t="inlineStr">
        <is>
          <t>https://m.media-amazon.com/images/I/71wuywu7aeL._AC_SL1500_.jpg</t>
        </is>
      </c>
      <c r="K513" s="148" t="inlineStr">
        <is>
          <t>B0H7YWGBW3</t>
        </is>
      </c>
      <c r="L513" s="148" t="inlineStr">
        <is>
          <t>B0GCGXW1WT</t>
        </is>
      </c>
      <c r="M513" s="148" t="n">
        <v>8</v>
      </c>
      <c r="N513" s="148" t="n">
        <v>67.98999999999999</v>
      </c>
      <c r="O513" s="148" t="n">
        <v>79.98999999999999</v>
      </c>
      <c r="P513" s="148">
        <f>IF(AND(ISNUMBER(O513),ISNUMBER(N513),N(N513)&gt;0),O513/N513-1,"")</f>
        <v/>
      </c>
      <c r="Q513" s="148" t="n">
        <v>79.98999999999999</v>
      </c>
      <c r="R513" s="148">
        <f>IF(AND(ISNUMBER(N513),ISNUMBER(Q513),N(Q513)&gt;0),N513/Q513-1,"")</f>
        <v/>
      </c>
      <c r="S513" s="148" t="n">
        <v>159865</v>
      </c>
      <c r="T513" s="148" t="n">
        <v>5</v>
      </c>
      <c r="U513" s="148" t="n">
        <v>4.4</v>
      </c>
      <c r="V513" s="148" t="n">
        <v>131</v>
      </c>
      <c r="W513" s="148" t="n">
        <v>15624</v>
      </c>
      <c r="X513" s="148" t="n">
        <v>0.6086269521249359</v>
      </c>
      <c r="Y513" s="148" t="n">
        <v>98</v>
      </c>
      <c r="Z513" s="148" t="n">
        <v>58</v>
      </c>
      <c r="AA513" s="148" t="n">
        <v>146</v>
      </c>
      <c r="AB513" s="148" t="n">
        <v>0.4848484848484848</v>
      </c>
      <c r="AC513" s="148" t="inlineStr">
        <is>
          <t>US SL Cooling 4pc</t>
        </is>
      </c>
      <c r="AD513" s="148">
        <f>'US SL Cooling 4pc'!BF109</f>
        <v/>
      </c>
      <c r="AE513" s="148">
        <f>'US SL Cooling 4pc'!BI109</f>
        <v/>
      </c>
      <c r="AF513" s="148" t="inlineStr">
        <is>
          <t>Queen (Flat Sheet: 90" x 102")</t>
        </is>
      </c>
      <c r="AG513" s="148" t="inlineStr">
        <is>
          <t>White</t>
        </is>
      </c>
      <c r="AH513" s="148">
        <f>AND(E513="CA",OR('CA Dashboard'!$C$4="All",'CA Dashboard'!$C$4=D513),OR('CA Dashboard'!$C$5="All",'CA Dashboard'!$C$5=G513),OR('CA Dashboard'!$C$6="All",'CA Dashboard'!$C$6=H513),OR('CA Dashboard'!$C$7="All",'CA Dashboard'!$C$7=F513),OR('CA Dashboard'!$C$8="All",'CA Dashboard'!$C$8=AJ513))</f>
        <v/>
      </c>
      <c r="AI513" s="148">
        <f>IF(AH513,AI512+1,AI512)</f>
        <v/>
      </c>
      <c r="AJ513" s="148" t="inlineStr">
        <is>
          <t>Direct</t>
        </is>
      </c>
      <c r="AK513" s="148" t="inlineStr">
        <is>
          <t>Same product (sheet set) in the same material family: Synthetic cooling knit (product page material: Arc-Chill® 3.0 Fabric with Silver Ion Technology); ours: BreezeWeave cooling fabric, nylon-spandex like CooLoom (confirmed Oct 15, 2026).</t>
        </is>
      </c>
    </row>
    <row r="514">
      <c r="A514" s="148">
        <f>AND(E514="US",OR('US Dashboard'!$C$4="All",'US Dashboard'!$C$4=D514),OR('US Dashboard'!$C$5="All",'US Dashboard'!$C$5=G514),OR('US Dashboard'!$C$6="All",'US Dashboard'!$C$6=H514),OR('US Dashboard'!$C$7="All",'US Dashboard'!$C$7=F514),OR('US Dashboard'!$C$8="All",'US Dashboard'!$C$8=AJ514))</f>
        <v/>
      </c>
      <c r="B514" s="148">
        <f>IF(A514,B513+1,B513)</f>
        <v/>
      </c>
      <c r="C514" s="148" t="n">
        <v>45</v>
      </c>
      <c r="D514" s="148" t="inlineStr">
        <is>
          <t>SL Cooling 4pc</t>
        </is>
      </c>
      <c r="E514" s="148" t="inlineStr">
        <is>
          <t>US</t>
        </is>
      </c>
      <c r="F514" s="148" t="inlineStr">
        <is>
          <t>Cooling</t>
        </is>
      </c>
      <c r="G514" s="148" t="inlineStr">
        <is>
          <t>Degrees of Comfort</t>
        </is>
      </c>
      <c r="H514" s="148" t="inlineStr">
        <is>
          <t>Untiered</t>
        </is>
      </c>
      <c r="I514" s="148" t="inlineStr">
        <is>
          <t>Coolmax® Cooling Sheets for Hot Sleepers, Queen Size, Grey</t>
        </is>
      </c>
      <c r="J514" s="148" t="inlineStr">
        <is>
          <t>https://images-na.ssl-images-amazon.com/images/I/716hu1FzoSL.jpg</t>
        </is>
      </c>
      <c r="K514" s="148" t="inlineStr">
        <is>
          <t>B0DXT68BBR</t>
        </is>
      </c>
      <c r="L514" s="148" t="inlineStr">
        <is>
          <t>B08YS6WZRR</t>
        </is>
      </c>
      <c r="M514" s="148" t="n">
        <v>31</v>
      </c>
      <c r="N514" s="148" t="n">
        <v>24.99</v>
      </c>
      <c r="O514" s="148" t="n">
        <v>29.99</v>
      </c>
      <c r="P514" s="148">
        <f>IF(AND(ISNUMBER(O514),ISNUMBER(N514),N(N514)&gt;0),O514/N514-1,"")</f>
        <v/>
      </c>
      <c r="Q514" s="148" t="n">
        <v>79.98999999999999</v>
      </c>
      <c r="R514" s="148">
        <f>IF(AND(ISNUMBER(N514),ISNUMBER(Q514),N(Q514)&gt;0),N514/Q514-1,"")</f>
        <v/>
      </c>
      <c r="S514" s="148" t="n">
        <v>39599</v>
      </c>
      <c r="T514" s="148" t="n">
        <v>35</v>
      </c>
      <c r="U514" s="148" t="n">
        <v>4.1</v>
      </c>
      <c r="V514" s="148" t="n">
        <v>7328</v>
      </c>
      <c r="W514" s="148" t="n"/>
      <c r="X514" s="148" t="n"/>
      <c r="Y514" s="148" t="n"/>
      <c r="Z514" s="148" t="n"/>
      <c r="AA514" s="148" t="n"/>
      <c r="AB514" s="148" t="n"/>
      <c r="AC514" s="148" t="inlineStr">
        <is>
          <t>US SL Cooling 4pc</t>
        </is>
      </c>
      <c r="AD514" s="148">
        <f>'US SL Cooling 4pc'!BF110</f>
        <v/>
      </c>
      <c r="AE514" s="148">
        <f>'US SL Cooling 4pc'!BI110</f>
        <v/>
      </c>
      <c r="AF514" s="148" t="inlineStr">
        <is>
          <t>Queen</t>
        </is>
      </c>
      <c r="AG514" s="148" t="inlineStr">
        <is>
          <t>Grey</t>
        </is>
      </c>
      <c r="AH514" s="148">
        <f>AND(E514="CA",OR('CA Dashboard'!$C$4="All",'CA Dashboard'!$C$4=D514),OR('CA Dashboard'!$C$5="All",'CA Dashboard'!$C$5=G514),OR('CA Dashboard'!$C$6="All",'CA Dashboard'!$C$6=H514),OR('CA Dashboard'!$C$7="All",'CA Dashboard'!$C$7=F514),OR('CA Dashboard'!$C$8="All",'CA Dashboard'!$C$8=AJ514))</f>
        <v/>
      </c>
      <c r="AI514" s="148">
        <f>IF(AH514,AI513+1,AI513)</f>
        <v/>
      </c>
      <c r="AJ514" s="148" t="inlineStr">
        <is>
          <t>Direct</t>
        </is>
      </c>
      <c r="AK514" s="148" t="inlineStr">
        <is>
          <t>Same product (sheet set) in the same material family: Synthetic cooling knit (title: Coolmax® Cooling Sheets for Hot Sleepers, Queen Size, Grey); ours: BreezeWeave cooling fabric, nylon-spandex like CooLoom (confirmed Oct 15, 2026).</t>
        </is>
      </c>
    </row>
    <row r="515">
      <c r="A515" s="148">
        <f>AND(E515="US",OR('US Dashboard'!$C$4="All",'US Dashboard'!$C$4=D515),OR('US Dashboard'!$C$5="All",'US Dashboard'!$C$5=G515),OR('US Dashboard'!$C$6="All",'US Dashboard'!$C$6=H515),OR('US Dashboard'!$C$7="All",'US Dashboard'!$C$7=F515),OR('US Dashboard'!$C$8="All",'US Dashboard'!$C$8=AJ515))</f>
        <v/>
      </c>
      <c r="B515" s="148">
        <f>IF(A515,B514+1,B514)</f>
        <v/>
      </c>
      <c r="C515" s="148" t="n">
        <v>45</v>
      </c>
      <c r="D515" s="148" t="inlineStr">
        <is>
          <t>SL Cooling 4pc</t>
        </is>
      </c>
      <c r="E515" s="148" t="inlineStr">
        <is>
          <t>US</t>
        </is>
      </c>
      <c r="F515" s="148" t="inlineStr">
        <is>
          <t>Cooling</t>
        </is>
      </c>
      <c r="G515" s="148" t="inlineStr">
        <is>
          <t>Bedsure</t>
        </is>
      </c>
      <c r="H515" s="148" t="inlineStr">
        <is>
          <t>Poor</t>
        </is>
      </c>
      <c r="I515" s="148" t="inlineStr">
        <is>
          <t>Cooling Sheets</t>
        </is>
      </c>
      <c r="J515" s="148" t="inlineStr">
        <is>
          <t>https://m.media-amazon.com/images/I/61lUaTQjkAL._AC_SL1500_.jpg</t>
        </is>
      </c>
      <c r="K515" s="148" t="inlineStr">
        <is>
          <t>B0CPDTJ5NN</t>
        </is>
      </c>
      <c r="L515" s="148" t="inlineStr">
        <is>
          <t>B0CPDR5DDM</t>
        </is>
      </c>
      <c r="M515" s="148" t="n">
        <v>1</v>
      </c>
      <c r="N515" s="148" t="n">
        <v>149.99</v>
      </c>
      <c r="O515" s="148" t="n"/>
      <c r="P515" s="148">
        <f>IF(AND(ISNUMBER(O515),ISNUMBER(N515),N(N515)&gt;0),O515/N515-1,"")</f>
        <v/>
      </c>
      <c r="Q515" s="148" t="n">
        <v>79.98999999999999</v>
      </c>
      <c r="R515" s="148">
        <f>IF(AND(ISNUMBER(N515),ISNUMBER(Q515),N(Q515)&gt;0),N515/Q515-1,"")</f>
        <v/>
      </c>
      <c r="S515" s="148" t="n">
        <v>463922</v>
      </c>
      <c r="T515" s="148" t="n">
        <v>5</v>
      </c>
      <c r="U515" s="148" t="n">
        <v>4.2</v>
      </c>
      <c r="V515" s="148" t="n">
        <v>512</v>
      </c>
      <c r="W515" s="148" t="n">
        <v>170</v>
      </c>
      <c r="X515" s="148" t="n">
        <v>1</v>
      </c>
      <c r="Y515" s="148" t="n">
        <v>12</v>
      </c>
      <c r="Z515" s="148" t="n">
        <v>1</v>
      </c>
      <c r="AA515" s="148" t="n">
        <v>0</v>
      </c>
      <c r="AB515" s="148" t="n"/>
      <c r="AC515" s="148" t="inlineStr">
        <is>
          <t>US SL Cooling 4pc</t>
        </is>
      </c>
      <c r="AD515" s="148">
        <f>'US SL Cooling 4pc'!BF111</f>
        <v/>
      </c>
      <c r="AE515" s="148">
        <f>'US SL Cooling 4pc'!BI111</f>
        <v/>
      </c>
      <c r="AF515" s="148" t="inlineStr">
        <is>
          <t>Queen</t>
        </is>
      </c>
      <c r="AG515" s="148" t="inlineStr">
        <is>
          <t>01 - Grey</t>
        </is>
      </c>
      <c r="AH515" s="148">
        <f>AND(E515="CA",OR('CA Dashboard'!$C$4="All",'CA Dashboard'!$C$4=D515),OR('CA Dashboard'!$C$5="All",'CA Dashboard'!$C$5=G515),OR('CA Dashboard'!$C$6="All",'CA Dashboard'!$C$6=H515),OR('CA Dashboard'!$C$7="All",'CA Dashboard'!$C$7=F515),OR('CA Dashboard'!$C$8="All",'CA Dashboard'!$C$8=AJ515))</f>
        <v/>
      </c>
      <c r="AI515" s="148">
        <f>IF(AH515,AI514+1,AI514)</f>
        <v/>
      </c>
      <c r="AJ515" s="148" t="inlineStr">
        <is>
          <t>Material not verified</t>
        </is>
      </c>
      <c r="AK515" s="148" t="inlineStr">
        <is>
          <t>Sheet set like ours, but the material is not stated (material not stated on the page or in the title); verify before treating as direct.</t>
        </is>
      </c>
    </row>
    <row r="516">
      <c r="A516" s="148">
        <f>AND(E516="US",OR('US Dashboard'!$C$4="All",'US Dashboard'!$C$4=D516),OR('US Dashboard'!$C$5="All",'US Dashboard'!$C$5=G516),OR('US Dashboard'!$C$6="All",'US Dashboard'!$C$6=H516),OR('US Dashboard'!$C$7="All",'US Dashboard'!$C$7=F516),OR('US Dashboard'!$C$8="All",'US Dashboard'!$C$8=AJ516))</f>
        <v/>
      </c>
      <c r="B516" s="148">
        <f>IF(A516,B515+1,B515)</f>
        <v/>
      </c>
      <c r="C516" s="148" t="n">
        <v>45</v>
      </c>
      <c r="D516" s="148" t="inlineStr">
        <is>
          <t>SL Cooling 4pc</t>
        </is>
      </c>
      <c r="E516" s="148" t="inlineStr">
        <is>
          <t>US</t>
        </is>
      </c>
      <c r="F516" s="148" t="inlineStr">
        <is>
          <t>Cooling</t>
        </is>
      </c>
      <c r="G516" s="148" t="inlineStr">
        <is>
          <t>Shilucheng</t>
        </is>
      </c>
      <c r="H516" s="148" t="inlineStr">
        <is>
          <t>Untiered</t>
        </is>
      </c>
      <c r="I516" s="148" t="inlineStr">
        <is>
          <t>Shilucheng 4 Piece Queen Sheet Sets, Cooling Sheets, Dark Grey</t>
        </is>
      </c>
      <c r="J516" s="148" t="inlineStr">
        <is>
          <t>https://images-na.ssl-images-amazon.com/images/I/81fpVjndH2L.jpg</t>
        </is>
      </c>
      <c r="K516" s="148" t="inlineStr">
        <is>
          <t>B0HJSVWNRS</t>
        </is>
      </c>
      <c r="L516" s="148" t="inlineStr">
        <is>
          <t>B0FWY1TGFK</t>
        </is>
      </c>
      <c r="M516" s="148" t="n">
        <v>49</v>
      </c>
      <c r="N516" s="148" t="n">
        <v>34.99</v>
      </c>
      <c r="O516" s="148" t="n"/>
      <c r="P516" s="148">
        <f>IF(AND(ISNUMBER(O516),ISNUMBER(N516),N(N516)&gt;0),O516/N516-1,"")</f>
        <v/>
      </c>
      <c r="Q516" s="148" t="n">
        <v>79.98999999999999</v>
      </c>
      <c r="R516" s="148">
        <f>IF(AND(ISNUMBER(N516),ISNUMBER(Q516),N(Q516)&gt;0),N516/Q516-1,"")</f>
        <v/>
      </c>
      <c r="S516" s="148" t="n">
        <v>5396</v>
      </c>
      <c r="T516" s="148" t="n">
        <v>173</v>
      </c>
      <c r="U516" s="148" t="n">
        <v>4.3</v>
      </c>
      <c r="V516" s="148" t="n">
        <v>24352</v>
      </c>
      <c r="W516" s="148" t="n">
        <v>135323</v>
      </c>
      <c r="X516" s="148" t="n">
        <v>0.7652350080917514</v>
      </c>
      <c r="Y516" s="148" t="n">
        <v>48</v>
      </c>
      <c r="Z516" s="148" t="n">
        <v>134</v>
      </c>
      <c r="AA516" s="148" t="n">
        <v>445</v>
      </c>
      <c r="AB516" s="148" t="n"/>
      <c r="AC516" s="148" t="inlineStr">
        <is>
          <t>US SL Cooling 4pc</t>
        </is>
      </c>
      <c r="AD516" s="148">
        <f>'US SL Cooling 4pc'!BF112</f>
        <v/>
      </c>
      <c r="AE516" s="148">
        <f>'US SL Cooling 4pc'!BI112</f>
        <v/>
      </c>
      <c r="AF516" s="148" t="inlineStr">
        <is>
          <t>Queen</t>
        </is>
      </c>
      <c r="AG516" s="148" t="inlineStr">
        <is>
          <t>Grey</t>
        </is>
      </c>
      <c r="AH516" s="148">
        <f>AND(E516="CA",OR('CA Dashboard'!$C$4="All",'CA Dashboard'!$C$4=D516),OR('CA Dashboard'!$C$5="All",'CA Dashboard'!$C$5=G516),OR('CA Dashboard'!$C$6="All",'CA Dashboard'!$C$6=H516),OR('CA Dashboard'!$C$7="All",'CA Dashboard'!$C$7=F516),OR('CA Dashboard'!$C$8="All",'CA Dashboard'!$C$8=AJ516))</f>
        <v/>
      </c>
      <c r="AI516" s="148">
        <f>IF(AH516,AI515+1,AI515)</f>
        <v/>
      </c>
      <c r="AJ516" s="148" t="inlineStr">
        <is>
          <t>Material not verified</t>
        </is>
      </c>
      <c r="AK516" s="148" t="inlineStr">
        <is>
          <t>Sheet set like ours, but the material is not stated (material not stated on the page or in the title); verify before treating as direct.</t>
        </is>
      </c>
    </row>
    <row r="517">
      <c r="A517" s="148">
        <f>AND(E517="US",OR('US Dashboard'!$C$4="All",'US Dashboard'!$C$4=D517),OR('US Dashboard'!$C$5="All",'US Dashboard'!$C$5=G517),OR('US Dashboard'!$C$6="All",'US Dashboard'!$C$6=H517),OR('US Dashboard'!$C$7="All",'US Dashboard'!$C$7=F517),OR('US Dashboard'!$C$8="All",'US Dashboard'!$C$8=AJ517))</f>
        <v/>
      </c>
      <c r="B517" s="148">
        <f>IF(A517,B516+1,B516)</f>
        <v/>
      </c>
      <c r="C517" s="148" t="n">
        <v>45</v>
      </c>
      <c r="D517" s="148" t="inlineStr">
        <is>
          <t>SL Cooling 4pc</t>
        </is>
      </c>
      <c r="E517" s="148" t="inlineStr">
        <is>
          <t>US</t>
        </is>
      </c>
      <c r="F517" s="148" t="inlineStr">
        <is>
          <t>Cooling</t>
        </is>
      </c>
      <c r="G517" s="148" t="inlineStr">
        <is>
          <t>David's Home</t>
        </is>
      </c>
      <c r="H517" s="148" t="inlineStr">
        <is>
          <t>Untiered</t>
        </is>
      </c>
      <c r="I517" s="148" t="inlineStr">
        <is>
          <t>Cooling Sheets</t>
        </is>
      </c>
      <c r="J517" s="148" t="n"/>
      <c r="K517" s="148" t="inlineStr">
        <is>
          <t>B0D1SRR2H4</t>
        </is>
      </c>
      <c r="L517" s="148" t="inlineStr">
        <is>
          <t>B0D1RBXBNG</t>
        </is>
      </c>
      <c r="M517" s="148" t="n"/>
      <c r="N517" s="148" t="n">
        <v>24.99</v>
      </c>
      <c r="O517" s="148" t="n"/>
      <c r="P517" s="148">
        <f>IF(AND(ISNUMBER(O517),ISNUMBER(N517),N(N517)&gt;0),O517/N517-1,"")</f>
        <v/>
      </c>
      <c r="Q517" s="148" t="n">
        <v>79.98999999999999</v>
      </c>
      <c r="R517" s="148">
        <f>IF(AND(ISNUMBER(N517),ISNUMBER(Q517),N(Q517)&gt;0),N517/Q517-1,"")</f>
        <v/>
      </c>
      <c r="S517" s="148" t="n">
        <v>758020</v>
      </c>
      <c r="T517" s="148" t="n"/>
      <c r="U517" s="148" t="n">
        <v>4.3</v>
      </c>
      <c r="V517" s="148" t="n">
        <v>169</v>
      </c>
      <c r="W517" s="148" t="n"/>
      <c r="X517" s="148" t="n"/>
      <c r="Y517" s="148" t="n"/>
      <c r="Z517" s="148" t="n"/>
      <c r="AA517" s="148" t="n"/>
      <c r="AB517" s="148" t="n"/>
      <c r="AC517" s="148" t="inlineStr">
        <is>
          <t>US SL Cooling 4pc</t>
        </is>
      </c>
      <c r="AD517" s="148">
        <f>'US SL Cooling 4pc'!BF113</f>
        <v/>
      </c>
      <c r="AE517" s="148">
        <f>'US SL Cooling 4pc'!BI113</f>
        <v/>
      </c>
      <c r="AF517" s="148" t="n"/>
      <c r="AG517" s="148" t="n"/>
      <c r="AH517" s="148">
        <f>AND(E517="CA",OR('CA Dashboard'!$C$4="All",'CA Dashboard'!$C$4=D517),OR('CA Dashboard'!$C$5="All",'CA Dashboard'!$C$5=G517),OR('CA Dashboard'!$C$6="All",'CA Dashboard'!$C$6=H517),OR('CA Dashboard'!$C$7="All",'CA Dashboard'!$C$7=F517),OR('CA Dashboard'!$C$8="All",'CA Dashboard'!$C$8=AJ517))</f>
        <v/>
      </c>
      <c r="AI517" s="148">
        <f>IF(AH517,AI516+1,AI516)</f>
        <v/>
      </c>
      <c r="AJ517" s="148" t="inlineStr">
        <is>
          <t>Material not verified</t>
        </is>
      </c>
      <c r="AK517" s="148" t="inlineStr">
        <is>
          <t>Sheet set like ours, but the material is not stated (material not stated on the page or in the title); verify before treating as direct.</t>
        </is>
      </c>
    </row>
    <row r="518">
      <c r="A518" s="148">
        <f>AND(E518="US",OR('US Dashboard'!$C$4="All",'US Dashboard'!$C$4=D518),OR('US Dashboard'!$C$5="All",'US Dashboard'!$C$5=G518),OR('US Dashboard'!$C$6="All",'US Dashboard'!$C$6=H518),OR('US Dashboard'!$C$7="All",'US Dashboard'!$C$7=F518),OR('US Dashboard'!$C$8="All",'US Dashboard'!$C$8=AJ518))</f>
        <v/>
      </c>
      <c r="B518" s="148">
        <f>IF(A518,B517+1,B517)</f>
        <v/>
      </c>
      <c r="C518" s="148" t="n">
        <v>45</v>
      </c>
      <c r="D518" s="148" t="inlineStr">
        <is>
          <t>SL Cooling 4pc</t>
        </is>
      </c>
      <c r="E518" s="148" t="inlineStr">
        <is>
          <t>US</t>
        </is>
      </c>
      <c r="F518" s="148" t="inlineStr">
        <is>
          <t>Cooling</t>
        </is>
      </c>
      <c r="G518" s="148" t="inlineStr">
        <is>
          <t>Pure Bamboo</t>
        </is>
      </c>
      <c r="H518" s="148" t="inlineStr">
        <is>
          <t>Aspirational</t>
        </is>
      </c>
      <c r="I518" s="148" t="inlineStr">
        <is>
          <t>Pure Bamboo King Sheets, Genuine 100% Organic Viscose Derived from Bamboo Bed Sheet Set, Luxuriously Soft &amp; Cooling, Double Stitching, 2 Year Quality Promise (King, Ivory)</t>
        </is>
      </c>
      <c r="J518" s="148" t="inlineStr">
        <is>
          <t>https://images-na.ssl-images-amazon.com/images/I/91dfner9BkL.jpg</t>
        </is>
      </c>
      <c r="K518" s="148" t="inlineStr">
        <is>
          <t>B0CZQ52MTQ</t>
        </is>
      </c>
      <c r="L518" s="148" t="inlineStr">
        <is>
          <t>B07DZTQ4JC</t>
        </is>
      </c>
      <c r="M518" s="148" t="n">
        <v>181</v>
      </c>
      <c r="N518" s="148" t="n">
        <v>109.99</v>
      </c>
      <c r="O518" s="148" t="n"/>
      <c r="P518" s="148">
        <f>IF(AND(ISNUMBER(O518),ISNUMBER(N518),N(N518)&gt;0),O518/N518-1,"")</f>
        <v/>
      </c>
      <c r="Q518" s="148" t="n">
        <v>84.98999999999999</v>
      </c>
      <c r="R518" s="148">
        <f>IF(AND(ISNUMBER(N518),ISNUMBER(Q518),N(Q518)&gt;0),N518/Q518-1,"")</f>
        <v/>
      </c>
      <c r="S518" s="148" t="n">
        <v>304</v>
      </c>
      <c r="T518" s="148" t="n">
        <v>809</v>
      </c>
      <c r="U518" s="148" t="n">
        <v>4.5</v>
      </c>
      <c r="V518" s="148" t="n">
        <v>21927</v>
      </c>
      <c r="W518" s="148" t="n">
        <v>2565055</v>
      </c>
      <c r="X518" s="148" t="n">
        <v>0.4648594811807159</v>
      </c>
      <c r="Y518" s="148" t="n">
        <v>13</v>
      </c>
      <c r="Z518" s="148" t="n">
        <v>266</v>
      </c>
      <c r="AA518" s="148" t="n">
        <v>3772</v>
      </c>
      <c r="AB518" s="148" t="n">
        <v>1.180104147961932</v>
      </c>
      <c r="AC518" s="148" t="inlineStr">
        <is>
          <t>US SL Cooling 4pc</t>
        </is>
      </c>
      <c r="AD518" s="148">
        <f>'US SL Cooling 4pc'!BF114</f>
        <v/>
      </c>
      <c r="AE518" s="148">
        <f>'US SL Cooling 4pc'!BI114</f>
        <v/>
      </c>
      <c r="AF518" s="148" t="inlineStr">
        <is>
          <t>King</t>
        </is>
      </c>
      <c r="AG518" s="148" t="inlineStr">
        <is>
          <t>Ivory</t>
        </is>
      </c>
      <c r="AH518" s="148">
        <f>AND(E518="CA",OR('CA Dashboard'!$C$4="All",'CA Dashboard'!$C$4=D518),OR('CA Dashboard'!$C$5="All",'CA Dashboard'!$C$5=G518),OR('CA Dashboard'!$C$6="All",'CA Dashboard'!$C$6=H518),OR('CA Dashboard'!$C$7="All",'CA Dashboard'!$C$7=F518),OR('CA Dashboard'!$C$8="All",'CA Dashboard'!$C$8=AJ518))</f>
        <v/>
      </c>
      <c r="AI518" s="148">
        <f>IF(AH518,AI517+1,AI517)</f>
        <v/>
      </c>
      <c r="AJ518" s="148" t="inlineStr">
        <is>
          <t>Alternative material</t>
        </is>
      </c>
      <c r="AK518" s="148" t="inlineStr">
        <is>
          <t>Sheet set in Bamboo viscose (title: Pure Bamboo King Sheets, Genuine 100% Organic Viscose Derive); ours is Synthetic cooling knit (BreezeWeave cooling fabric, nylon-spandex like CooLoom (confirmed Oct 15, 2026)). Shopper may cross-shop, but not like-for-like.</t>
        </is>
      </c>
    </row>
    <row r="519">
      <c r="A519" s="148">
        <f>AND(E519="US",OR('US Dashboard'!$C$4="All",'US Dashboard'!$C$4=D519),OR('US Dashboard'!$C$5="All",'US Dashboard'!$C$5=G519),OR('US Dashboard'!$C$6="All",'US Dashboard'!$C$6=H519),OR('US Dashboard'!$C$7="All",'US Dashboard'!$C$7=F519),OR('US Dashboard'!$C$8="All",'US Dashboard'!$C$8=AJ519))</f>
        <v/>
      </c>
      <c r="B519" s="148">
        <f>IF(A519,B518+1,B518)</f>
        <v/>
      </c>
      <c r="C519" s="148" t="n">
        <v>45</v>
      </c>
      <c r="D519" s="148" t="inlineStr">
        <is>
          <t>SL Cooling 4pc</t>
        </is>
      </c>
      <c r="E519" s="148" t="inlineStr">
        <is>
          <t>US</t>
        </is>
      </c>
      <c r="F519" s="148" t="inlineStr">
        <is>
          <t>Cooling</t>
        </is>
      </c>
      <c r="G519" s="148" t="inlineStr">
        <is>
          <t>Hotel Sheets Direct</t>
        </is>
      </c>
      <c r="H519" s="148" t="inlineStr">
        <is>
          <t>Aspirational</t>
        </is>
      </c>
      <c r="I519" s="148" t="inlineStr">
        <is>
          <t>Hotel Sheets Direct 4 Piece Bed Sheet Set Queen Size, 100% Viscose Derived from Bamboo Sheets Set with 2 Pillowcases, Cooling &amp; Breathable Luxury Bedding, Moisture-Wicking &amp; Silky Soft Texture, White</t>
        </is>
      </c>
      <c r="J519" s="148" t="inlineStr">
        <is>
          <t>https://images-na.ssl-images-amazon.com/images/I/71oEhkRYQ+L.jpg</t>
        </is>
      </c>
      <c r="K519" s="148" t="inlineStr">
        <is>
          <t>B0G5N99X9R</t>
        </is>
      </c>
      <c r="L519" s="148" t="inlineStr">
        <is>
          <t>B01N9L2O9P</t>
        </is>
      </c>
      <c r="M519" s="148" t="n">
        <v>61</v>
      </c>
      <c r="N519" s="148" t="n">
        <v>79.98999999999999</v>
      </c>
      <c r="O519" s="148" t="n"/>
      <c r="P519" s="148">
        <f>IF(AND(ISNUMBER(O519),ISNUMBER(N519),N(N519)&gt;0),O519/N519-1,"")</f>
        <v/>
      </c>
      <c r="Q519" s="148" t="n">
        <v>79.98999999999999</v>
      </c>
      <c r="R519" s="148">
        <f>IF(AND(ISNUMBER(N519),ISNUMBER(Q519),N(Q519)&gt;0),N519/Q519-1,"")</f>
        <v/>
      </c>
      <c r="S519" s="148" t="n">
        <v>2984</v>
      </c>
      <c r="T519" s="148" t="n">
        <v>347</v>
      </c>
      <c r="U519" s="148" t="n">
        <v>4.4</v>
      </c>
      <c r="V519" s="148" t="n">
        <v>37179</v>
      </c>
      <c r="W519" s="148" t="n">
        <v>451969</v>
      </c>
      <c r="X519" s="148" t="n">
        <v>0.6071584272372669</v>
      </c>
      <c r="Y519" s="148" t="n">
        <v>84</v>
      </c>
      <c r="Z519" s="148" t="n">
        <v>157</v>
      </c>
      <c r="AA519" s="148" t="n">
        <v>945</v>
      </c>
      <c r="AB519" s="148" t="n">
        <v>1.799620493358634</v>
      </c>
      <c r="AC519" s="148" t="inlineStr">
        <is>
          <t>US SL Cooling 4pc</t>
        </is>
      </c>
      <c r="AD519" s="148">
        <f>'US SL Cooling 4pc'!BF115</f>
        <v/>
      </c>
      <c r="AE519" s="148">
        <f>'US SL Cooling 4pc'!BI115</f>
        <v/>
      </c>
      <c r="AF519" s="148" t="inlineStr">
        <is>
          <t>Queen</t>
        </is>
      </c>
      <c r="AG519" s="148" t="inlineStr">
        <is>
          <t>White</t>
        </is>
      </c>
      <c r="AH519" s="148">
        <f>AND(E519="CA",OR('CA Dashboard'!$C$4="All",'CA Dashboard'!$C$4=D519),OR('CA Dashboard'!$C$5="All",'CA Dashboard'!$C$5=G519),OR('CA Dashboard'!$C$6="All",'CA Dashboard'!$C$6=H519),OR('CA Dashboard'!$C$7="All",'CA Dashboard'!$C$7=F519),OR('CA Dashboard'!$C$8="All",'CA Dashboard'!$C$8=AJ519))</f>
        <v/>
      </c>
      <c r="AI519" s="148">
        <f>IF(AH519,AI518+1,AI518)</f>
        <v/>
      </c>
      <c r="AJ519" s="148" t="inlineStr">
        <is>
          <t>Alternative material</t>
        </is>
      </c>
      <c r="AK519" s="148" t="inlineStr">
        <is>
          <t>Sheet set in Bamboo viscose (title: Hotel Sheets Direct 4 Piece Bed Sheet Set Queen Size, 100% V); ours is Synthetic cooling knit (BreezeWeave cooling fabric, nylon-spandex like CooLoom (confirmed Oct 15, 2026)). Shopper may cross-shop, but not like-for-like.</t>
        </is>
      </c>
    </row>
    <row r="520">
      <c r="A520" s="148">
        <f>AND(E520="US",OR('US Dashboard'!$C$4="All",'US Dashboard'!$C$4=D520),OR('US Dashboard'!$C$5="All",'US Dashboard'!$C$5=G520),OR('US Dashboard'!$C$6="All",'US Dashboard'!$C$6=H520),OR('US Dashboard'!$C$7="All",'US Dashboard'!$C$7=F520),OR('US Dashboard'!$C$8="All",'US Dashboard'!$C$8=AJ520))</f>
        <v/>
      </c>
      <c r="B520" s="148">
        <f>IF(A520,B519+1,B519)</f>
        <v/>
      </c>
      <c r="C520" s="148" t="n">
        <v>45</v>
      </c>
      <c r="D520" s="148" t="inlineStr">
        <is>
          <t>SL Cooling 4pc</t>
        </is>
      </c>
      <c r="E520" s="148" t="inlineStr">
        <is>
          <t>US</t>
        </is>
      </c>
      <c r="F520" s="148" t="inlineStr">
        <is>
          <t>Cooling</t>
        </is>
      </c>
      <c r="G520" s="148" t="inlineStr">
        <is>
          <t>Bedsure</t>
        </is>
      </c>
      <c r="H520" s="148" t="inlineStr">
        <is>
          <t>Beatable</t>
        </is>
      </c>
      <c r="I520" s="148" t="inlineStr">
        <is>
          <t>Bedsure PureWoven 100% Rayon Derived from Bamboo, Queen Sheets, 4 Pieces</t>
        </is>
      </c>
      <c r="J520" s="148" t="inlineStr">
        <is>
          <t>https://images-na.ssl-images-amazon.com/images/I/81L2xb5ly6L.jpg</t>
        </is>
      </c>
      <c r="K520" s="148" t="inlineStr">
        <is>
          <t>B0BZ8T5BJ6</t>
        </is>
      </c>
      <c r="L520" s="148" t="inlineStr">
        <is>
          <t>B07YK8VTJV</t>
        </is>
      </c>
      <c r="M520" s="148" t="n">
        <v>131</v>
      </c>
      <c r="N520" s="148" t="n">
        <v>62.99</v>
      </c>
      <c r="O520" s="148" t="n">
        <v>69.98999999999999</v>
      </c>
      <c r="P520" s="148">
        <f>IF(AND(ISNUMBER(O520),ISNUMBER(N520),N(N520)&gt;0),O520/N520-1,"")</f>
        <v/>
      </c>
      <c r="Q520" s="148" t="n">
        <v>79.98999999999999</v>
      </c>
      <c r="R520" s="148">
        <f>IF(AND(ISNUMBER(N520),ISNUMBER(Q520),N(Q520)&gt;0),N520/Q520-1,"")</f>
        <v/>
      </c>
      <c r="S520" s="148" t="n">
        <v>256</v>
      </c>
      <c r="T520" s="148" t="n">
        <v>809</v>
      </c>
      <c r="U520" s="148" t="n">
        <v>4.4</v>
      </c>
      <c r="V520" s="148" t="n">
        <v>65061</v>
      </c>
      <c r="W520" s="148" t="n">
        <v>2166046</v>
      </c>
      <c r="X520" s="148" t="n">
        <v>0.5902383405984899</v>
      </c>
      <c r="Y520" s="148" t="n">
        <v>9</v>
      </c>
      <c r="Z520" s="148" t="n">
        <v>268</v>
      </c>
      <c r="AA520" s="148" t="n">
        <v>3446</v>
      </c>
      <c r="AB520" s="148" t="n">
        <v>1.066623404715553</v>
      </c>
      <c r="AC520" s="148" t="inlineStr">
        <is>
          <t>US SL Cooling 4pc</t>
        </is>
      </c>
      <c r="AD520" s="148">
        <f>'US SL Cooling 4pc'!BF116</f>
        <v/>
      </c>
      <c r="AE520" s="148">
        <f>'US SL Cooling 4pc'!BI116</f>
        <v/>
      </c>
      <c r="AF520" s="148" t="inlineStr">
        <is>
          <t>Queen</t>
        </is>
      </c>
      <c r="AG520" s="148" t="inlineStr">
        <is>
          <t>02 - White</t>
        </is>
      </c>
      <c r="AH520" s="148">
        <f>AND(E520="CA",OR('CA Dashboard'!$C$4="All",'CA Dashboard'!$C$4=D520),OR('CA Dashboard'!$C$5="All",'CA Dashboard'!$C$5=G520),OR('CA Dashboard'!$C$6="All",'CA Dashboard'!$C$6=H520),OR('CA Dashboard'!$C$7="All",'CA Dashboard'!$C$7=F520),OR('CA Dashboard'!$C$8="All",'CA Dashboard'!$C$8=AJ520))</f>
        <v/>
      </c>
      <c r="AI520" s="148">
        <f>IF(AH520,AI519+1,AI519)</f>
        <v/>
      </c>
      <c r="AJ520" s="148" t="inlineStr">
        <is>
          <t>Alternative material</t>
        </is>
      </c>
      <c r="AK520" s="148" t="inlineStr">
        <is>
          <t>Sheet set in Bamboo viscose (product page material: Rayon Derived from Bamboo); ours is Synthetic cooling knit (BreezeWeave cooling fabric, nylon-spandex like CooLoom (confirmed Oct 15, 2026)). Shopper may cross-shop, but not like-for-like.</t>
        </is>
      </c>
    </row>
    <row r="521">
      <c r="A521" s="148">
        <f>AND(E521="US",OR('US Dashboard'!$C$4="All",'US Dashboard'!$C$4=D521),OR('US Dashboard'!$C$5="All",'US Dashboard'!$C$5=G521),OR('US Dashboard'!$C$6="All",'US Dashboard'!$C$6=H521),OR('US Dashboard'!$C$7="All",'US Dashboard'!$C$7=F521),OR('US Dashboard'!$C$8="All",'US Dashboard'!$C$8=AJ521))</f>
        <v/>
      </c>
      <c r="B521" s="148">
        <f>IF(A521,B520+1,B520)</f>
        <v/>
      </c>
      <c r="C521" s="148" t="n">
        <v>45</v>
      </c>
      <c r="D521" s="148" t="inlineStr">
        <is>
          <t>SL Cooling 4pc</t>
        </is>
      </c>
      <c r="E521" s="148" t="inlineStr">
        <is>
          <t>US</t>
        </is>
      </c>
      <c r="F521" s="148" t="inlineStr">
        <is>
          <t>Cooling</t>
        </is>
      </c>
      <c r="G521" s="148" t="inlineStr">
        <is>
          <t>KRIMANO</t>
        </is>
      </c>
      <c r="H521" s="148" t="inlineStr">
        <is>
          <t>Beatable</t>
        </is>
      </c>
      <c r="I521" s="148" t="inlineStr">
        <is>
          <t>KRIMANO Bamboo Viscose Sheet Set King Size, Cooling Sheets Bed Set</t>
        </is>
      </c>
      <c r="J521" s="148" t="inlineStr">
        <is>
          <t>https://images-na.ssl-images-amazon.com/images/I/61-LBYlR5KL.jpg</t>
        </is>
      </c>
      <c r="K521" s="148" t="inlineStr">
        <is>
          <t>B0FT7L9RSX</t>
        </is>
      </c>
      <c r="L521" s="148" t="inlineStr">
        <is>
          <t>B0FT7LZ2CD</t>
        </is>
      </c>
      <c r="M521" s="148" t="n">
        <v>43</v>
      </c>
      <c r="N521" s="148" t="n">
        <v>79.98999999999999</v>
      </c>
      <c r="O521" s="148" t="n"/>
      <c r="P521" s="148">
        <f>IF(AND(ISNUMBER(O521),ISNUMBER(N521),N(N521)&gt;0),O521/N521-1,"")</f>
        <v/>
      </c>
      <c r="Q521" s="148" t="n">
        <v>84.98999999999999</v>
      </c>
      <c r="R521" s="148">
        <f>IF(AND(ISNUMBER(N521),ISNUMBER(Q521),N(Q521)&gt;0),N521/Q521-1,"")</f>
        <v/>
      </c>
      <c r="S521" s="148" t="n">
        <v>5664</v>
      </c>
      <c r="T521" s="148" t="n">
        <v>185</v>
      </c>
      <c r="U521" s="148" t="n">
        <v>4.5</v>
      </c>
      <c r="V521" s="148" t="n">
        <v>263</v>
      </c>
      <c r="W521" s="148" t="n">
        <v>334819</v>
      </c>
      <c r="X521" s="148" t="n">
        <v>0.6137371774003271</v>
      </c>
      <c r="Y521" s="148" t="n">
        <v>73</v>
      </c>
      <c r="Z521" s="148" t="n">
        <v>122</v>
      </c>
      <c r="AA521" s="148" t="n">
        <v>502</v>
      </c>
      <c r="AB521" s="148" t="n">
        <v>1.312468450277638</v>
      </c>
      <c r="AC521" s="148" t="inlineStr">
        <is>
          <t>US SL Cooling 4pc</t>
        </is>
      </c>
      <c r="AD521" s="148">
        <f>'US SL Cooling 4pc'!BF117</f>
        <v/>
      </c>
      <c r="AE521" s="148">
        <f>'US SL Cooling 4pc'!BI117</f>
        <v/>
      </c>
      <c r="AF521" s="148" t="inlineStr">
        <is>
          <t>King</t>
        </is>
      </c>
      <c r="AG521" s="148" t="inlineStr">
        <is>
          <t>1.navy Blue</t>
        </is>
      </c>
      <c r="AH521" s="148">
        <f>AND(E521="CA",OR('CA Dashboard'!$C$4="All",'CA Dashboard'!$C$4=D521),OR('CA Dashboard'!$C$5="All",'CA Dashboard'!$C$5=G521),OR('CA Dashboard'!$C$6="All",'CA Dashboard'!$C$6=H521),OR('CA Dashboard'!$C$7="All",'CA Dashboard'!$C$7=F521),OR('CA Dashboard'!$C$8="All",'CA Dashboard'!$C$8=AJ521))</f>
        <v/>
      </c>
      <c r="AI521" s="148">
        <f>IF(AH521,AI520+1,AI520)</f>
        <v/>
      </c>
      <c r="AJ521" s="148" t="inlineStr">
        <is>
          <t>Alternative material</t>
        </is>
      </c>
      <c r="AK521" s="148" t="inlineStr">
        <is>
          <t>Sheet set in Bamboo viscose (product page material: Viscose Derived from Bamboo); ours is Synthetic cooling knit (BreezeWeave cooling fabric, nylon-spandex like CooLoom (confirmed Oct 15, 2026)). Shopper may cross-shop, but not like-for-like.</t>
        </is>
      </c>
    </row>
    <row r="522">
      <c r="A522" s="148">
        <f>AND(E522="US",OR('US Dashboard'!$C$4="All",'US Dashboard'!$C$4=D522),OR('US Dashboard'!$C$5="All",'US Dashboard'!$C$5=G522),OR('US Dashboard'!$C$6="All",'US Dashboard'!$C$6=H522),OR('US Dashboard'!$C$7="All",'US Dashboard'!$C$7=F522),OR('US Dashboard'!$C$8="All",'US Dashboard'!$C$8=AJ522))</f>
        <v/>
      </c>
      <c r="B522" s="148">
        <f>IF(A522,B521+1,B521)</f>
        <v/>
      </c>
      <c r="C522" s="148" t="n">
        <v>45</v>
      </c>
      <c r="D522" s="148" t="inlineStr">
        <is>
          <t>SL Cooling 4pc</t>
        </is>
      </c>
      <c r="E522" s="148" t="inlineStr">
        <is>
          <t>US</t>
        </is>
      </c>
      <c r="F522" s="148" t="inlineStr">
        <is>
          <t>Cooling</t>
        </is>
      </c>
      <c r="G522" s="148" t="inlineStr">
        <is>
          <t>Bambaw</t>
        </is>
      </c>
      <c r="H522" s="148" t="inlineStr">
        <is>
          <t>Beatable</t>
        </is>
      </c>
      <c r="I522" s="148" t="inlineStr">
        <is>
          <t>Bambaw 100% Viscose Derived from Bamboo Sheets Queen Size Set – 4pcs Cooling Sheet Set, Super Soft Sheets Queen Size, Luxury Bed Sheets, Deep Pocket Fits Up to 16'' Mattresses (Charcoal)</t>
        </is>
      </c>
      <c r="J522" s="148" t="inlineStr">
        <is>
          <t>https://images-na.ssl-images-amazon.com/images/I/81svKInu7aL.jpg</t>
        </is>
      </c>
      <c r="K522" s="148" t="inlineStr">
        <is>
          <t>B07K6SYX8L</t>
        </is>
      </c>
      <c r="L522" s="148" t="inlineStr">
        <is>
          <t>B0DR99Q37Y</t>
        </is>
      </c>
      <c r="M522" s="148" t="n">
        <v>104</v>
      </c>
      <c r="N522" s="148" t="n">
        <v>89.98999999999999</v>
      </c>
      <c r="O522" s="148" t="n"/>
      <c r="P522" s="148">
        <f>IF(AND(ISNUMBER(O522),ISNUMBER(N522),N(N522)&gt;0),O522/N522-1,"")</f>
        <v/>
      </c>
      <c r="Q522" s="148" t="n">
        <v>79.98999999999999</v>
      </c>
      <c r="R522" s="148">
        <f>IF(AND(ISNUMBER(N522),ISNUMBER(Q522),N(Q522)&gt;0),N522/Q522-1,"")</f>
        <v/>
      </c>
      <c r="S522" s="148" t="n">
        <v>6971</v>
      </c>
      <c r="T522" s="148" t="n">
        <v>104</v>
      </c>
      <c r="U522" s="148" t="n">
        <v>4.3</v>
      </c>
      <c r="V522" s="148" t="n">
        <v>2766</v>
      </c>
      <c r="W522" s="148" t="n">
        <v>407949</v>
      </c>
      <c r="X522" s="148" t="n">
        <v>0.5037485506766772</v>
      </c>
      <c r="Y522" s="148" t="n">
        <v>30</v>
      </c>
      <c r="Z522" s="148" t="n">
        <v>209</v>
      </c>
      <c r="AA522" s="148" t="n">
        <v>578</v>
      </c>
      <c r="AB522" s="148" t="n">
        <v>1.374474053295933</v>
      </c>
      <c r="AC522" s="148" t="inlineStr">
        <is>
          <t>US SL Cooling 4pc</t>
        </is>
      </c>
      <c r="AD522" s="148">
        <f>'US SL Cooling 4pc'!BF118</f>
        <v/>
      </c>
      <c r="AE522" s="148">
        <f>'US SL Cooling 4pc'!BI118</f>
        <v/>
      </c>
      <c r="AF522" s="148" t="inlineStr">
        <is>
          <t>Queen</t>
        </is>
      </c>
      <c r="AG522" s="148" t="inlineStr">
        <is>
          <t>Charcoal</t>
        </is>
      </c>
      <c r="AH522" s="148">
        <f>AND(E522="CA",OR('CA Dashboard'!$C$4="All",'CA Dashboard'!$C$4=D522),OR('CA Dashboard'!$C$5="All",'CA Dashboard'!$C$5=G522),OR('CA Dashboard'!$C$6="All",'CA Dashboard'!$C$6=H522),OR('CA Dashboard'!$C$7="All",'CA Dashboard'!$C$7=F522),OR('CA Dashboard'!$C$8="All",'CA Dashboard'!$C$8=AJ522))</f>
        <v/>
      </c>
      <c r="AI522" s="148">
        <f>IF(AH522,AI521+1,AI521)</f>
        <v/>
      </c>
      <c r="AJ522" s="148" t="inlineStr">
        <is>
          <t>Alternative material</t>
        </is>
      </c>
      <c r="AK522" s="148" t="inlineStr">
        <is>
          <t>Sheet set in Bamboo viscose (title: Bambaw 100% Viscose Derived from Bamboo Sheets Queen Size Se); ours is Synthetic cooling knit (BreezeWeave cooling fabric, nylon-spandex like CooLoom (confirmed Oct 15, 2026)). Shopper may cross-shop, but not like-for-like.</t>
        </is>
      </c>
    </row>
    <row r="523">
      <c r="A523" s="148">
        <f>AND(E523="US",OR('US Dashboard'!$C$4="All",'US Dashboard'!$C$4=D523),OR('US Dashboard'!$C$5="All",'US Dashboard'!$C$5=G523),OR('US Dashboard'!$C$6="All",'US Dashboard'!$C$6=H523),OR('US Dashboard'!$C$7="All",'US Dashboard'!$C$7=F523),OR('US Dashboard'!$C$8="All",'US Dashboard'!$C$8=AJ523))</f>
        <v/>
      </c>
      <c r="B523" s="148">
        <f>IF(A523,B522+1,B522)</f>
        <v/>
      </c>
      <c r="C523" s="148" t="n">
        <v>45</v>
      </c>
      <c r="D523" s="148" t="inlineStr">
        <is>
          <t>SL Cooling 4pc</t>
        </is>
      </c>
      <c r="E523" s="148" t="inlineStr">
        <is>
          <t>US</t>
        </is>
      </c>
      <c r="F523" s="148" t="inlineStr">
        <is>
          <t>Cooling</t>
        </is>
      </c>
      <c r="G523" s="148" t="inlineStr">
        <is>
          <t>SONORO KATE</t>
        </is>
      </c>
      <c r="H523" s="148" t="inlineStr">
        <is>
          <t>Beatable</t>
        </is>
      </c>
      <c r="I523" s="148" t="inlineStr">
        <is>
          <t>Bamboo Sheets</t>
        </is>
      </c>
      <c r="J523" s="148" t="inlineStr">
        <is>
          <t>https://images-na.ssl-images-amazon.com/images/I/71sqxa1EquL.jpg</t>
        </is>
      </c>
      <c r="K523" s="148" t="inlineStr">
        <is>
          <t>B0F4852T9V</t>
        </is>
      </c>
      <c r="L523" s="148" t="inlineStr">
        <is>
          <t>B0F4873G4H</t>
        </is>
      </c>
      <c r="M523" s="148" t="n">
        <v>33</v>
      </c>
      <c r="N523" s="148" t="n">
        <v>79.98999999999999</v>
      </c>
      <c r="O523" s="148" t="n"/>
      <c r="P523" s="148">
        <f>IF(AND(ISNUMBER(O523),ISNUMBER(N523),N(N523)&gt;0),O523/N523-1,"")</f>
        <v/>
      </c>
      <c r="Q523" s="148" t="n">
        <v>84.98999999999999</v>
      </c>
      <c r="R523" s="148">
        <f>IF(AND(ISNUMBER(N523),ISNUMBER(Q523),N(Q523)&gt;0),N523/Q523-1,"")</f>
        <v/>
      </c>
      <c r="S523" s="148" t="n">
        <v>7961</v>
      </c>
      <c r="T523" s="148" t="n">
        <v>104</v>
      </c>
      <c r="U523" s="148" t="n">
        <v>4.5</v>
      </c>
      <c r="V523" s="148" t="n">
        <v>3776</v>
      </c>
      <c r="W523" s="148" t="n">
        <v>185157</v>
      </c>
      <c r="X523" s="148" t="n">
        <v>0.9776013545261586</v>
      </c>
      <c r="Y523" s="148" t="n">
        <v>47</v>
      </c>
      <c r="Z523" s="148" t="n">
        <v>135</v>
      </c>
      <c r="AA523" s="148" t="n">
        <v>122</v>
      </c>
      <c r="AB523" s="148" t="n">
        <v>1.314808539478143</v>
      </c>
      <c r="AC523" s="148" t="inlineStr">
        <is>
          <t>US SL Cooling 4pc</t>
        </is>
      </c>
      <c r="AD523" s="148">
        <f>'US SL Cooling 4pc'!BF119</f>
        <v/>
      </c>
      <c r="AE523" s="148">
        <f>'US SL Cooling 4pc'!BI119</f>
        <v/>
      </c>
      <c r="AF523" s="148" t="inlineStr">
        <is>
          <t>King</t>
        </is>
      </c>
      <c r="AG523" s="148" t="inlineStr">
        <is>
          <t>Dark Grey</t>
        </is>
      </c>
      <c r="AH523" s="148">
        <f>AND(E523="CA",OR('CA Dashboard'!$C$4="All",'CA Dashboard'!$C$4=D523),OR('CA Dashboard'!$C$5="All",'CA Dashboard'!$C$5=G523),OR('CA Dashboard'!$C$6="All",'CA Dashboard'!$C$6=H523),OR('CA Dashboard'!$C$7="All",'CA Dashboard'!$C$7=F523),OR('CA Dashboard'!$C$8="All",'CA Dashboard'!$C$8=AJ523))</f>
        <v/>
      </c>
      <c r="AI523" s="148">
        <f>IF(AH523,AI522+1,AI522)</f>
        <v/>
      </c>
      <c r="AJ523" s="148" t="inlineStr">
        <is>
          <t>Alternative material</t>
        </is>
      </c>
      <c r="AK523" s="148" t="inlineStr">
        <is>
          <t>Sheet set in Bamboo viscose (product page material: Viscose Derived From Bamboo); ours is Synthetic cooling knit (BreezeWeave cooling fabric, nylon-spandex like CooLoom (confirmed Oct 15, 2026)). Shopper may cross-shop, but not like-for-like.</t>
        </is>
      </c>
    </row>
    <row r="524">
      <c r="A524" s="148">
        <f>AND(E524="US",OR('US Dashboard'!$C$4="All",'US Dashboard'!$C$4=D524),OR('US Dashboard'!$C$5="All",'US Dashboard'!$C$5=G524),OR('US Dashboard'!$C$6="All",'US Dashboard'!$C$6=H524),OR('US Dashboard'!$C$7="All",'US Dashboard'!$C$7=F524),OR('US Dashboard'!$C$8="All",'US Dashboard'!$C$8=AJ524))</f>
        <v/>
      </c>
      <c r="B524" s="148">
        <f>IF(A524,B523+1,B523)</f>
        <v/>
      </c>
      <c r="C524" s="148" t="n">
        <v>45</v>
      </c>
      <c r="D524" s="148" t="inlineStr">
        <is>
          <t>SL Cooling 4pc</t>
        </is>
      </c>
      <c r="E524" s="148" t="inlineStr">
        <is>
          <t>US</t>
        </is>
      </c>
      <c r="F524" s="148" t="inlineStr">
        <is>
          <t>Cooling</t>
        </is>
      </c>
      <c r="G524" s="148" t="inlineStr">
        <is>
          <t>BC BELLA COTERIE</t>
        </is>
      </c>
      <c r="H524" s="148" t="inlineStr">
        <is>
          <t>Beatable</t>
        </is>
      </c>
      <c r="I524" s="148" t="inlineStr">
        <is>
          <t>Bella Coterie Luxury Bamboo Viscose King Size Sheet Set</t>
        </is>
      </c>
      <c r="J524" s="148" t="inlineStr">
        <is>
          <t>https://images-na.ssl-images-amazon.com/images/I/71Pl57-j67L.jpg</t>
        </is>
      </c>
      <c r="K524" s="148" t="inlineStr">
        <is>
          <t>B0H29V113N</t>
        </is>
      </c>
      <c r="L524" s="148" t="inlineStr">
        <is>
          <t>B08L86VLZB</t>
        </is>
      </c>
      <c r="M524" s="148" t="n">
        <v>258</v>
      </c>
      <c r="N524" s="148" t="n">
        <v>154.99</v>
      </c>
      <c r="O524" s="148" t="n"/>
      <c r="P524" s="148">
        <f>IF(AND(ISNUMBER(O524),ISNUMBER(N524),N(N524)&gt;0),O524/N524-1,"")</f>
        <v/>
      </c>
      <c r="Q524" s="148" t="n">
        <v>84.98999999999999</v>
      </c>
      <c r="R524" s="148">
        <f>IF(AND(ISNUMBER(N524),ISNUMBER(Q524),N(Q524)&gt;0),N524/Q524-1,"")</f>
        <v/>
      </c>
      <c r="S524" s="148" t="n">
        <v>1358</v>
      </c>
      <c r="T524" s="148" t="n">
        <v>92</v>
      </c>
      <c r="U524" s="148" t="n">
        <v>4.4</v>
      </c>
      <c r="V524" s="148" t="n">
        <v>5871</v>
      </c>
      <c r="W524" s="148" t="n">
        <v>591713</v>
      </c>
      <c r="X524" s="148" t="n">
        <v>0.3622702587234016</v>
      </c>
      <c r="Y524" s="148" t="n">
        <v>87</v>
      </c>
      <c r="Z524" s="148" t="n">
        <v>167</v>
      </c>
      <c r="AA524" s="148" t="n">
        <v>2444</v>
      </c>
      <c r="AB524" s="148" t="n">
        <v>1.778087279480037</v>
      </c>
      <c r="AC524" s="148" t="inlineStr">
        <is>
          <t>US SL Cooling 4pc</t>
        </is>
      </c>
      <c r="AD524" s="148">
        <f>'US SL Cooling 4pc'!BF120</f>
        <v/>
      </c>
      <c r="AE524" s="148">
        <f>'US SL Cooling 4pc'!BI120</f>
        <v/>
      </c>
      <c r="AF524" s="148" t="inlineStr">
        <is>
          <t>King - 2 Pillowcases</t>
        </is>
      </c>
      <c r="AG524" s="148" t="inlineStr">
        <is>
          <t>01 - White</t>
        </is>
      </c>
      <c r="AH524" s="148">
        <f>AND(E524="CA",OR('CA Dashboard'!$C$4="All",'CA Dashboard'!$C$4=D524),OR('CA Dashboard'!$C$5="All",'CA Dashboard'!$C$5=G524),OR('CA Dashboard'!$C$6="All",'CA Dashboard'!$C$6=H524),OR('CA Dashboard'!$C$7="All",'CA Dashboard'!$C$7=F524),OR('CA Dashboard'!$C$8="All",'CA Dashboard'!$C$8=AJ524))</f>
        <v/>
      </c>
      <c r="AI524" s="148">
        <f>IF(AH524,AI523+1,AI523)</f>
        <v/>
      </c>
      <c r="AJ524" s="148" t="inlineStr">
        <is>
          <t>Alternative material</t>
        </is>
      </c>
      <c r="AK524" s="148" t="inlineStr">
        <is>
          <t>Sheet set in Bamboo viscose (product page material: Organically Grown | Viscose Made From Bamboo); ours is Synthetic cooling knit (BreezeWeave cooling fabric, nylon-spandex like CooLoom (confirmed Oct 15, 2026)). Shopper may cross-shop, but not like-for-like.</t>
        </is>
      </c>
    </row>
    <row r="525">
      <c r="A525" s="148">
        <f>AND(E525="US",OR('US Dashboard'!$C$4="All",'US Dashboard'!$C$4=D525),OR('US Dashboard'!$C$5="All",'US Dashboard'!$C$5=G525),OR('US Dashboard'!$C$6="All",'US Dashboard'!$C$6=H525),OR('US Dashboard'!$C$7="All",'US Dashboard'!$C$7=F525),OR('US Dashboard'!$C$8="All",'US Dashboard'!$C$8=AJ525))</f>
        <v/>
      </c>
      <c r="B525" s="148">
        <f>IF(A525,B524+1,B524)</f>
        <v/>
      </c>
      <c r="C525" s="148" t="n">
        <v>45</v>
      </c>
      <c r="D525" s="148" t="inlineStr">
        <is>
          <t>SL Cooling 4pc</t>
        </is>
      </c>
      <c r="E525" s="148" t="inlineStr">
        <is>
          <t>US</t>
        </is>
      </c>
      <c r="F525" s="148" t="inlineStr">
        <is>
          <t>Cooling</t>
        </is>
      </c>
      <c r="G525" s="148" t="inlineStr">
        <is>
          <t>SONORO KATE</t>
        </is>
      </c>
      <c r="H525" s="148" t="inlineStr">
        <is>
          <t>Beatable</t>
        </is>
      </c>
      <c r="I525" s="148" t="inlineStr">
        <is>
          <t>SONORO KATE 100% Viscose Derived from Bamboo_Sheets Queen Size,4PC</t>
        </is>
      </c>
      <c r="J525" s="148" t="inlineStr">
        <is>
          <t>https://images-na.ssl-images-amazon.com/images/I/71HeTCWM4hL.jpg</t>
        </is>
      </c>
      <c r="K525" s="148" t="inlineStr">
        <is>
          <t>B0F29FQLFD</t>
        </is>
      </c>
      <c r="L525" s="148" t="inlineStr">
        <is>
          <t>B0F29F1JM5</t>
        </is>
      </c>
      <c r="M525" s="148" t="n">
        <v>42</v>
      </c>
      <c r="N525" s="148" t="n">
        <v>59.99</v>
      </c>
      <c r="O525" s="148" t="n"/>
      <c r="P525" s="148">
        <f>IF(AND(ISNUMBER(O525),ISNUMBER(N525),N(N525)&gt;0),O525/N525-1,"")</f>
        <v/>
      </c>
      <c r="Q525" s="148" t="n">
        <v>79.98999999999999</v>
      </c>
      <c r="R525" s="148">
        <f>IF(AND(ISNUMBER(N525),ISNUMBER(Q525),N(Q525)&gt;0),N525/Q525-1,"")</f>
        <v/>
      </c>
      <c r="S525" s="148" t="n">
        <v>23979</v>
      </c>
      <c r="T525" s="148" t="n">
        <v>81</v>
      </c>
      <c r="U525" s="148" t="n">
        <v>4.5</v>
      </c>
      <c r="V525" s="148" t="n">
        <v>3911</v>
      </c>
      <c r="W525" s="148" t="n">
        <v>114504</v>
      </c>
      <c r="X525" s="148" t="n">
        <v>0.8792897182631171</v>
      </c>
      <c r="Y525" s="148" t="n">
        <v>53</v>
      </c>
      <c r="Z525" s="148" t="n">
        <v>138</v>
      </c>
      <c r="AA525" s="148" t="n">
        <v>85</v>
      </c>
      <c r="AB525" s="148" t="n">
        <v>1.095271210013908</v>
      </c>
      <c r="AC525" s="148" t="inlineStr">
        <is>
          <t>US SL Cooling 4pc</t>
        </is>
      </c>
      <c r="AD525" s="148">
        <f>'US SL Cooling 4pc'!BF121</f>
        <v/>
      </c>
      <c r="AE525" s="148">
        <f>'US SL Cooling 4pc'!BI121</f>
        <v/>
      </c>
      <c r="AF525" s="148" t="inlineStr">
        <is>
          <t>Queen</t>
        </is>
      </c>
      <c r="AG525" s="148" t="inlineStr">
        <is>
          <t>Dark Grey</t>
        </is>
      </c>
      <c r="AH525" s="148">
        <f>AND(E525="CA",OR('CA Dashboard'!$C$4="All",'CA Dashboard'!$C$4=D525),OR('CA Dashboard'!$C$5="All",'CA Dashboard'!$C$5=G525),OR('CA Dashboard'!$C$6="All",'CA Dashboard'!$C$6=H525),OR('CA Dashboard'!$C$7="All",'CA Dashboard'!$C$7=F525),OR('CA Dashboard'!$C$8="All",'CA Dashboard'!$C$8=AJ525))</f>
        <v/>
      </c>
      <c r="AI525" s="148">
        <f>IF(AH525,AI524+1,AI524)</f>
        <v/>
      </c>
      <c r="AJ525" s="148" t="inlineStr">
        <is>
          <t>Alternative material</t>
        </is>
      </c>
      <c r="AK525" s="148" t="inlineStr">
        <is>
          <t>Sheet set in Bamboo viscose (product page material: Viscose Derived From Bamboo); ours is Synthetic cooling knit (BreezeWeave cooling fabric, nylon-spandex like CooLoom (confirmed Oct 15, 2026)). Shopper may cross-shop, but not like-for-like.</t>
        </is>
      </c>
    </row>
    <row r="526">
      <c r="A526" s="148">
        <f>AND(E526="US",OR('US Dashboard'!$C$4="All",'US Dashboard'!$C$4=D526),OR('US Dashboard'!$C$5="All",'US Dashboard'!$C$5=G526),OR('US Dashboard'!$C$6="All",'US Dashboard'!$C$6=H526),OR('US Dashboard'!$C$7="All",'US Dashboard'!$C$7=F526),OR('US Dashboard'!$C$8="All",'US Dashboard'!$C$8=AJ526))</f>
        <v/>
      </c>
      <c r="B526" s="148">
        <f>IF(A526,B525+1,B525)</f>
        <v/>
      </c>
      <c r="C526" s="148" t="n">
        <v>45</v>
      </c>
      <c r="D526" s="148" t="inlineStr">
        <is>
          <t>SL Cooling 4pc</t>
        </is>
      </c>
      <c r="E526" s="148" t="inlineStr">
        <is>
          <t>US</t>
        </is>
      </c>
      <c r="F526" s="148" t="inlineStr">
        <is>
          <t>Cooling</t>
        </is>
      </c>
      <c r="G526" s="148" t="inlineStr">
        <is>
          <t>DOZ by SIJO</t>
        </is>
      </c>
      <c r="H526" s="148" t="inlineStr">
        <is>
          <t>Beatable</t>
        </is>
      </c>
      <c r="I526" s="148" t="inlineStr">
        <is>
          <t>Bamboo Sheets</t>
        </is>
      </c>
      <c r="J526" s="148" t="inlineStr">
        <is>
          <t>https://images-na.ssl-images-amazon.com/images/I/710aWpCd4AL.jpg</t>
        </is>
      </c>
      <c r="K526" s="148" t="inlineStr">
        <is>
          <t>B0DCZGYVZ9</t>
        </is>
      </c>
      <c r="L526" s="148" t="inlineStr">
        <is>
          <t>B0F24TRXCZ</t>
        </is>
      </c>
      <c r="M526" s="148" t="n">
        <v>131</v>
      </c>
      <c r="N526" s="148" t="n">
        <v>55</v>
      </c>
      <c r="O526" s="148" t="n"/>
      <c r="P526" s="148">
        <f>IF(AND(ISNUMBER(O526),ISNUMBER(N526),N(N526)&gt;0),O526/N526-1,"")</f>
        <v/>
      </c>
      <c r="Q526" s="148" t="n">
        <v>79.98999999999999</v>
      </c>
      <c r="R526" s="148">
        <f>IF(AND(ISNUMBER(N526),ISNUMBER(Q526),N(Q526)&gt;0),N526/Q526-1,"")</f>
        <v/>
      </c>
      <c r="S526" s="148" t="n">
        <v>4051</v>
      </c>
      <c r="T526" s="148" t="n">
        <v>35</v>
      </c>
      <c r="U526" s="148" t="n">
        <v>4.4</v>
      </c>
      <c r="V526" s="148" t="n">
        <v>1909</v>
      </c>
      <c r="W526" s="148" t="n">
        <v>171534</v>
      </c>
      <c r="X526" s="148" t="n">
        <v>0.5544749851341424</v>
      </c>
      <c r="Y526" s="148" t="n">
        <v>71</v>
      </c>
      <c r="Z526" s="148" t="n">
        <v>152</v>
      </c>
      <c r="AA526" s="148" t="n">
        <v>812</v>
      </c>
      <c r="AB526" s="148" t="n"/>
      <c r="AC526" s="148" t="inlineStr">
        <is>
          <t>US SL Cooling 4pc</t>
        </is>
      </c>
      <c r="AD526" s="148">
        <f>'US SL Cooling 4pc'!BF122</f>
        <v/>
      </c>
      <c r="AE526" s="148">
        <f>'US SL Cooling 4pc'!BI122</f>
        <v/>
      </c>
      <c r="AF526" s="148" t="inlineStr">
        <is>
          <t>Queen</t>
        </is>
      </c>
      <c r="AG526" s="148" t="inlineStr">
        <is>
          <t>Olive</t>
        </is>
      </c>
      <c r="AH526" s="148">
        <f>AND(E526="CA",OR('CA Dashboard'!$C$4="All",'CA Dashboard'!$C$4=D526),OR('CA Dashboard'!$C$5="All",'CA Dashboard'!$C$5=G526),OR('CA Dashboard'!$C$6="All",'CA Dashboard'!$C$6=H526),OR('CA Dashboard'!$C$7="All",'CA Dashboard'!$C$7=F526),OR('CA Dashboard'!$C$8="All",'CA Dashboard'!$C$8=AJ526))</f>
        <v/>
      </c>
      <c r="AI526" s="148">
        <f>IF(AH526,AI525+1,AI525)</f>
        <v/>
      </c>
      <c r="AJ526" s="148" t="inlineStr">
        <is>
          <t>Alternative material</t>
        </is>
      </c>
      <c r="AK526" s="148" t="inlineStr">
        <is>
          <t>Sheet set in Bamboo viscose (product page material: Rayon); ours is Synthetic cooling knit (BreezeWeave cooling fabric, nylon-spandex like CooLoom (confirmed Oct 15, 2026)). Shopper may cross-shop, but not like-for-like.</t>
        </is>
      </c>
    </row>
    <row r="527">
      <c r="A527" s="148">
        <f>AND(E527="US",OR('US Dashboard'!$C$4="All",'US Dashboard'!$C$4=D527),OR('US Dashboard'!$C$5="All",'US Dashboard'!$C$5=G527),OR('US Dashboard'!$C$6="All",'US Dashboard'!$C$6=H527),OR('US Dashboard'!$C$7="All",'US Dashboard'!$C$7=F527),OR('US Dashboard'!$C$8="All",'US Dashboard'!$C$8=AJ527))</f>
        <v/>
      </c>
      <c r="B527" s="148">
        <f>IF(A527,B526+1,B526)</f>
        <v/>
      </c>
      <c r="C527" s="148" t="n">
        <v>45</v>
      </c>
      <c r="D527" s="148" t="inlineStr">
        <is>
          <t>SL Cooling 4pc</t>
        </is>
      </c>
      <c r="E527" s="148" t="inlineStr">
        <is>
          <t>US</t>
        </is>
      </c>
      <c r="F527" s="148" t="inlineStr">
        <is>
          <t>Cooling</t>
        </is>
      </c>
      <c r="G527" s="148" t="inlineStr">
        <is>
          <t>Kickoff Home</t>
        </is>
      </c>
      <c r="H527" s="148" t="inlineStr">
        <is>
          <t>Poor</t>
        </is>
      </c>
      <c r="I527" s="148" t="inlineStr">
        <is>
          <t>Bamboo Sheets</t>
        </is>
      </c>
      <c r="J527" s="148" t="inlineStr">
        <is>
          <t>https://images-na.ssl-images-amazon.com/images/I/71zrq2AtnUL.jpg</t>
        </is>
      </c>
      <c r="K527" s="148" t="inlineStr">
        <is>
          <t>B0D4KS4MVX</t>
        </is>
      </c>
      <c r="L527" s="148" t="inlineStr">
        <is>
          <t>B0CHN5ZPFH</t>
        </is>
      </c>
      <c r="M527" s="148" t="n">
        <v>106</v>
      </c>
      <c r="N527" s="148" t="n">
        <v>86.98999999999999</v>
      </c>
      <c r="O527" s="148" t="n">
        <v>84.98999999999999</v>
      </c>
      <c r="P527" s="148">
        <f>IF(AND(ISNUMBER(O527),ISNUMBER(N527),N(N527)&gt;0),O527/N527-1,"")</f>
        <v/>
      </c>
      <c r="Q527" s="148" t="n">
        <v>84.98999999999999</v>
      </c>
      <c r="R527" s="148">
        <f>IF(AND(ISNUMBER(N527),ISNUMBER(Q527),N(Q527)&gt;0),N527/Q527-1,"")</f>
        <v/>
      </c>
      <c r="S527" s="148" t="n">
        <v>23579</v>
      </c>
      <c r="T527" s="148" t="n">
        <v>18</v>
      </c>
      <c r="U527" s="148" t="n">
        <v>4.6</v>
      </c>
      <c r="V527" s="148" t="n">
        <v>688</v>
      </c>
      <c r="W527" s="148" t="n">
        <v>58169</v>
      </c>
      <c r="X527" s="148" t="n">
        <v>0.8765498702057799</v>
      </c>
      <c r="Y527" s="148" t="n">
        <v>88</v>
      </c>
      <c r="Z527" s="148" t="n">
        <v>86</v>
      </c>
      <c r="AA527" s="148" t="n">
        <v>121</v>
      </c>
      <c r="AB527" s="148" t="n"/>
      <c r="AC527" s="148" t="inlineStr">
        <is>
          <t>US SL Cooling 4pc</t>
        </is>
      </c>
      <c r="AD527" s="148">
        <f>'US SL Cooling 4pc'!BF123</f>
        <v/>
      </c>
      <c r="AE527" s="148">
        <f>'US SL Cooling 4pc'!BI123</f>
        <v/>
      </c>
      <c r="AF527" s="148" t="inlineStr">
        <is>
          <t>King</t>
        </is>
      </c>
      <c r="AG527" s="148" t="inlineStr">
        <is>
          <t>Sage Green</t>
        </is>
      </c>
      <c r="AH527" s="148">
        <f>AND(E527="CA",OR('CA Dashboard'!$C$4="All",'CA Dashboard'!$C$4=D527),OR('CA Dashboard'!$C$5="All",'CA Dashboard'!$C$5=G527),OR('CA Dashboard'!$C$6="All",'CA Dashboard'!$C$6=H527),OR('CA Dashboard'!$C$7="All",'CA Dashboard'!$C$7=F527),OR('CA Dashboard'!$C$8="All",'CA Dashboard'!$C$8=AJ527))</f>
        <v/>
      </c>
      <c r="AI527" s="148">
        <f>IF(AH527,AI526+1,AI526)</f>
        <v/>
      </c>
      <c r="AJ527" s="148" t="inlineStr">
        <is>
          <t>Alternative material</t>
        </is>
      </c>
      <c r="AK527" s="148" t="inlineStr">
        <is>
          <t>Sheet set in Bamboo viscose (product page material: Viscose from Bamboo); ours is Synthetic cooling knit (BreezeWeave cooling fabric, nylon-spandex like CooLoom (confirmed Oct 15, 2026)). Shopper may cross-shop, but not like-for-like.</t>
        </is>
      </c>
    </row>
    <row r="528">
      <c r="A528" s="148">
        <f>AND(E528="US",OR('US Dashboard'!$C$4="All",'US Dashboard'!$C$4=D528),OR('US Dashboard'!$C$5="All",'US Dashboard'!$C$5=G528),OR('US Dashboard'!$C$6="All",'US Dashboard'!$C$6=H528),OR('US Dashboard'!$C$7="All",'US Dashboard'!$C$7=F528),OR('US Dashboard'!$C$8="All",'US Dashboard'!$C$8=AJ528))</f>
        <v/>
      </c>
      <c r="B528" s="148">
        <f>IF(A528,B527+1,B527)</f>
        <v/>
      </c>
      <c r="C528" s="148" t="n">
        <v>45</v>
      </c>
      <c r="D528" s="148" t="inlineStr">
        <is>
          <t>SL Cooling 4pc</t>
        </is>
      </c>
      <c r="E528" s="148" t="inlineStr">
        <is>
          <t>US</t>
        </is>
      </c>
      <c r="F528" s="148" t="inlineStr">
        <is>
          <t>Cooling</t>
        </is>
      </c>
      <c r="G528" s="148" t="inlineStr">
        <is>
          <t>Love's cabin</t>
        </is>
      </c>
      <c r="H528" s="148" t="inlineStr">
        <is>
          <t>Untiered</t>
        </is>
      </c>
      <c r="I528" s="148" t="inlineStr">
        <is>
          <t>Love's cabin 4 Piece Queen Sheet Set, 100% Rayon Derived from Bamboo, Cooling &amp; Breathable, Soft Silky Deep Pocket up to 16", Hotel Luxury Bedding for Hot Sleepers, Beige</t>
        </is>
      </c>
      <c r="J528" s="148" t="inlineStr">
        <is>
          <t>https://images-na.ssl-images-amazon.com/images/I/71AudKmD2JL.jpg</t>
        </is>
      </c>
      <c r="K528" s="148" t="inlineStr">
        <is>
          <t>B0DN1GGFL7</t>
        </is>
      </c>
      <c r="L528" s="148" t="inlineStr">
        <is>
          <t>B0DN1DVKH5</t>
        </is>
      </c>
      <c r="M528" s="148" t="n">
        <v>176</v>
      </c>
      <c r="N528" s="148" t="n">
        <v>37.99</v>
      </c>
      <c r="O528" s="148" t="n">
        <v>44.99</v>
      </c>
      <c r="P528" s="148">
        <f>IF(AND(ISNUMBER(O528),ISNUMBER(N528),N(N528)&gt;0),O528/N528-1,"")</f>
        <v/>
      </c>
      <c r="Q528" s="148" t="n">
        <v>79.98999999999999</v>
      </c>
      <c r="R528" s="148">
        <f>IF(AND(ISNUMBER(N528),ISNUMBER(Q528),N(Q528)&gt;0),N528/Q528-1,"")</f>
        <v/>
      </c>
      <c r="S528" s="148" t="n">
        <v>501</v>
      </c>
      <c r="T528" s="148" t="n">
        <v>924</v>
      </c>
      <c r="U528" s="148" t="n">
        <v>4.4</v>
      </c>
      <c r="V528" s="148" t="n">
        <v>1900</v>
      </c>
      <c r="W528" s="148" t="n">
        <v>906346</v>
      </c>
      <c r="X528" s="148" t="n">
        <v>0.9184238707954808</v>
      </c>
      <c r="Y528" s="148" t="n">
        <v>23</v>
      </c>
      <c r="Z528" s="148" t="n">
        <v>239</v>
      </c>
      <c r="AA528" s="148" t="n">
        <v>1222</v>
      </c>
      <c r="AB528" s="148" t="n">
        <v>0.8953669259384511</v>
      </c>
      <c r="AC528" s="148" t="inlineStr">
        <is>
          <t>US SL Cooling 4pc</t>
        </is>
      </c>
      <c r="AD528" s="148">
        <f>'US SL Cooling 4pc'!BF124</f>
        <v/>
      </c>
      <c r="AE528" s="148">
        <f>'US SL Cooling 4pc'!BI124</f>
        <v/>
      </c>
      <c r="AF528" s="148" t="inlineStr">
        <is>
          <t>Queen</t>
        </is>
      </c>
      <c r="AG528" s="148" t="inlineStr">
        <is>
          <t>Beige</t>
        </is>
      </c>
      <c r="AH528" s="148">
        <f>AND(E528="CA",OR('CA Dashboard'!$C$4="All",'CA Dashboard'!$C$4=D528),OR('CA Dashboard'!$C$5="All",'CA Dashboard'!$C$5=G528),OR('CA Dashboard'!$C$6="All",'CA Dashboard'!$C$6=H528),OR('CA Dashboard'!$C$7="All",'CA Dashboard'!$C$7=F528),OR('CA Dashboard'!$C$8="All",'CA Dashboard'!$C$8=AJ528))</f>
        <v/>
      </c>
      <c r="AI528" s="148">
        <f>IF(AH528,AI527+1,AI527)</f>
        <v/>
      </c>
      <c r="AJ528" s="148" t="inlineStr">
        <is>
          <t>Alternative material</t>
        </is>
      </c>
      <c r="AK528" s="148" t="inlineStr">
        <is>
          <t>Sheet set in Bamboo viscose (title: Love's cabin 4 Piece Queen Sheet Set, 100% Rayon Derived fro); ours is Synthetic cooling knit (BreezeWeave cooling fabric, nylon-spandex like CooLoom (confirmed Oct 15, 2026)). Shopper may cross-shop, but not like-for-like.</t>
        </is>
      </c>
    </row>
    <row r="529">
      <c r="A529" s="148">
        <f>AND(E529="US",OR('US Dashboard'!$C$4="All",'US Dashboard'!$C$4=D529),OR('US Dashboard'!$C$5="All",'US Dashboard'!$C$5=G529),OR('US Dashboard'!$C$6="All",'US Dashboard'!$C$6=H529),OR('US Dashboard'!$C$7="All",'US Dashboard'!$C$7=F529),OR('US Dashboard'!$C$8="All",'US Dashboard'!$C$8=AJ529))</f>
        <v/>
      </c>
      <c r="B529" s="148">
        <f>IF(A529,B528+1,B528)</f>
        <v/>
      </c>
      <c r="C529" s="148" t="n">
        <v>45</v>
      </c>
      <c r="D529" s="148" t="inlineStr">
        <is>
          <t>SL Cooling 4pc</t>
        </is>
      </c>
      <c r="E529" s="148" t="inlineStr">
        <is>
          <t>US</t>
        </is>
      </c>
      <c r="F529" s="148" t="inlineStr">
        <is>
          <t>Cooling</t>
        </is>
      </c>
      <c r="G529" s="148" t="inlineStr">
        <is>
          <t>TRUE BAMBOO</t>
        </is>
      </c>
      <c r="H529" s="148" t="inlineStr">
        <is>
          <t>Untiered</t>
        </is>
      </c>
      <c r="I529" s="148" t="inlineStr">
        <is>
          <t>TRUE BAMBOO Sheets Set King Size - Silky Soft &amp; Cooling - Dark Gray</t>
        </is>
      </c>
      <c r="J529" s="148" t="inlineStr">
        <is>
          <t>https://m.media-amazon.com/images/I/81V9M033qOL._AC_SL1500_.jpg</t>
        </is>
      </c>
      <c r="K529" s="148" t="inlineStr">
        <is>
          <t>B0HHQ97HBL</t>
        </is>
      </c>
      <c r="L529" s="148" t="inlineStr">
        <is>
          <t>B0HD7R5L1D</t>
        </is>
      </c>
      <c r="M529" s="148" t="n">
        <v>30</v>
      </c>
      <c r="N529" s="148" t="n">
        <v>79.98999999999999</v>
      </c>
      <c r="O529" s="148" t="n">
        <v>129.99</v>
      </c>
      <c r="P529" s="148">
        <f>IF(AND(ISNUMBER(O529),ISNUMBER(N529),N(N529)&gt;0),O529/N529-1,"")</f>
        <v/>
      </c>
      <c r="Q529" s="148" t="n">
        <v>79.98999999999999</v>
      </c>
      <c r="R529" s="148">
        <f>IF(AND(ISNUMBER(N529),ISNUMBER(Q529),N(Q529)&gt;0),N529/Q529-1,"")</f>
        <v/>
      </c>
      <c r="S529" s="148" t="n">
        <v>5934</v>
      </c>
      <c r="T529" s="148" t="n">
        <v>185</v>
      </c>
      <c r="U529" s="148" t="n">
        <v>4.6</v>
      </c>
      <c r="V529" s="148" t="n">
        <v>167</v>
      </c>
      <c r="W529" s="148" t="n">
        <v>557658</v>
      </c>
      <c r="X529" s="148" t="n">
        <v>0.518044597943542</v>
      </c>
      <c r="Y529" s="148" t="n">
        <v>60</v>
      </c>
      <c r="Z529" s="148" t="n">
        <v>134</v>
      </c>
      <c r="AA529" s="148" t="n">
        <v>974</v>
      </c>
      <c r="AB529" s="148" t="n"/>
      <c r="AC529" s="148" t="inlineStr">
        <is>
          <t>US SL Cooling 4pc</t>
        </is>
      </c>
      <c r="AD529" s="148">
        <f>'US SL Cooling 4pc'!BF125</f>
        <v/>
      </c>
      <c r="AE529" s="148">
        <f>'US SL Cooling 4pc'!BI125</f>
        <v/>
      </c>
      <c r="AF529" s="148" t="inlineStr">
        <is>
          <t>Queen</t>
        </is>
      </c>
      <c r="AG529" s="148" t="inlineStr">
        <is>
          <t>Dark Gray</t>
        </is>
      </c>
      <c r="AH529" s="148">
        <f>AND(E529="CA",OR('CA Dashboard'!$C$4="All",'CA Dashboard'!$C$4=D529),OR('CA Dashboard'!$C$5="All",'CA Dashboard'!$C$5=G529),OR('CA Dashboard'!$C$6="All",'CA Dashboard'!$C$6=H529),OR('CA Dashboard'!$C$7="All",'CA Dashboard'!$C$7=F529),OR('CA Dashboard'!$C$8="All",'CA Dashboard'!$C$8=AJ529))</f>
        <v/>
      </c>
      <c r="AI529" s="148">
        <f>IF(AH529,AI528+1,AI528)</f>
        <v/>
      </c>
      <c r="AJ529" s="148" t="inlineStr">
        <is>
          <t>Alternative material</t>
        </is>
      </c>
      <c r="AK529" s="148" t="inlineStr">
        <is>
          <t>Sheet set in Bamboo viscose (product page material: Rayon); ours is Synthetic cooling knit (BreezeWeave cooling fabric, nylon-spandex like CooLoom (confirmed Oct 15, 2026)). Shopper may cross-shop, but not like-for-like.</t>
        </is>
      </c>
    </row>
    <row r="530">
      <c r="A530" s="148">
        <f>AND(E530="US",OR('US Dashboard'!$C$4="All",'US Dashboard'!$C$4=D530),OR('US Dashboard'!$C$5="All",'US Dashboard'!$C$5=G530),OR('US Dashboard'!$C$6="All",'US Dashboard'!$C$6=H530),OR('US Dashboard'!$C$7="All",'US Dashboard'!$C$7=F530),OR('US Dashboard'!$C$8="All",'US Dashboard'!$C$8=AJ530))</f>
        <v/>
      </c>
      <c r="B530" s="148">
        <f>IF(A530,B529+1,B529)</f>
        <v/>
      </c>
      <c r="C530" s="148" t="n">
        <v>45</v>
      </c>
      <c r="D530" s="148" t="inlineStr">
        <is>
          <t>SL Cooling 4pc</t>
        </is>
      </c>
      <c r="E530" s="148" t="inlineStr">
        <is>
          <t>US</t>
        </is>
      </c>
      <c r="F530" s="148" t="inlineStr">
        <is>
          <t>Cooling</t>
        </is>
      </c>
      <c r="G530" s="148" t="inlineStr">
        <is>
          <t>BEDELITE</t>
        </is>
      </c>
      <c r="H530" s="148" t="inlineStr">
        <is>
          <t>Untiered</t>
        </is>
      </c>
      <c r="I530" s="148" t="inlineStr">
        <is>
          <t>BEDELITE Bamboo Viscose Sheet Set, Queen Size, 4 Pieces, White</t>
        </is>
      </c>
      <c r="J530" s="148" t="inlineStr">
        <is>
          <t>https://m.media-amazon.com/images/I/71F+539t2YL._AC_SL1500_.jpg</t>
        </is>
      </c>
      <c r="K530" s="148" t="inlineStr">
        <is>
          <t>B0GT98GVQN</t>
        </is>
      </c>
      <c r="L530" s="148" t="inlineStr">
        <is>
          <t>B0GT8Z4X5D</t>
        </is>
      </c>
      <c r="M530" s="148" t="n">
        <v>8</v>
      </c>
      <c r="N530" s="148" t="n">
        <v>84.98</v>
      </c>
      <c r="O530" s="148" t="n">
        <v>99.89</v>
      </c>
      <c r="P530" s="148">
        <f>IF(AND(ISNUMBER(O530),ISNUMBER(N530),N(N530)&gt;0),O530/N530-1,"")</f>
        <v/>
      </c>
      <c r="Q530" s="148" t="n">
        <v>79.98999999999999</v>
      </c>
      <c r="R530" s="148">
        <f>IF(AND(ISNUMBER(N530),ISNUMBER(Q530),N(Q530)&gt;0),N530/Q530-1,"")</f>
        <v/>
      </c>
      <c r="S530" s="148" t="n">
        <v>65907</v>
      </c>
      <c r="T530" s="148" t="n">
        <v>81</v>
      </c>
      <c r="U530" s="148" t="n">
        <v>4.5</v>
      </c>
      <c r="V530" s="148" t="n">
        <v>113</v>
      </c>
      <c r="W530" s="148" t="n">
        <v>212120</v>
      </c>
      <c r="X530" s="148" t="n">
        <v>0.1115827267584386</v>
      </c>
      <c r="Y530" s="148" t="n">
        <v>69</v>
      </c>
      <c r="Z530" s="148" t="n">
        <v>98</v>
      </c>
      <c r="AA530" s="148" t="n">
        <v>1159</v>
      </c>
      <c r="AB530" s="148" t="n">
        <v>0.8073654390934845</v>
      </c>
      <c r="AC530" s="148" t="inlineStr">
        <is>
          <t>US SL Cooling 4pc</t>
        </is>
      </c>
      <c r="AD530" s="148">
        <f>'US SL Cooling 4pc'!BF126</f>
        <v/>
      </c>
      <c r="AE530" s="148">
        <f>'US SL Cooling 4pc'!BI126</f>
        <v/>
      </c>
      <c r="AF530" s="148" t="inlineStr">
        <is>
          <t>Queen</t>
        </is>
      </c>
      <c r="AG530" s="148" t="inlineStr">
        <is>
          <t>White</t>
        </is>
      </c>
      <c r="AH530" s="148">
        <f>AND(E530="CA",OR('CA Dashboard'!$C$4="All",'CA Dashboard'!$C$4=D530),OR('CA Dashboard'!$C$5="All",'CA Dashboard'!$C$5=G530),OR('CA Dashboard'!$C$6="All",'CA Dashboard'!$C$6=H530),OR('CA Dashboard'!$C$7="All",'CA Dashboard'!$C$7=F530),OR('CA Dashboard'!$C$8="All",'CA Dashboard'!$C$8=AJ530))</f>
        <v/>
      </c>
      <c r="AI530" s="148">
        <f>IF(AH530,AI529+1,AI529)</f>
        <v/>
      </c>
      <c r="AJ530" s="148" t="inlineStr">
        <is>
          <t>Alternative material</t>
        </is>
      </c>
      <c r="AK530" s="148" t="inlineStr">
        <is>
          <t>Sheet set in Bamboo viscose (product page material: Viscose Derived from Bamboo); ours is Synthetic cooling knit (BreezeWeave cooling fabric, nylon-spandex like CooLoom (confirmed Oct 15, 2026)). Shopper may cross-shop, but not like-for-like.</t>
        </is>
      </c>
    </row>
    <row r="531">
      <c r="A531" s="148">
        <f>AND(E531="US",OR('US Dashboard'!$C$4="All",'US Dashboard'!$C$4=D531),OR('US Dashboard'!$C$5="All",'US Dashboard'!$C$5=G531),OR('US Dashboard'!$C$6="All",'US Dashboard'!$C$6=H531),OR('US Dashboard'!$C$7="All",'US Dashboard'!$C$7=F531),OR('US Dashboard'!$C$8="All",'US Dashboard'!$C$8=AJ531))</f>
        <v/>
      </c>
      <c r="B531" s="148">
        <f>IF(A531,B530+1,B530)</f>
        <v/>
      </c>
      <c r="C531" s="148" t="n">
        <v>45</v>
      </c>
      <c r="D531" s="148" t="inlineStr">
        <is>
          <t>SL Cooling 4pc</t>
        </is>
      </c>
      <c r="E531" s="148" t="inlineStr">
        <is>
          <t>US</t>
        </is>
      </c>
      <c r="F531" s="148" t="inlineStr">
        <is>
          <t>Cooling</t>
        </is>
      </c>
      <c r="G531" s="148" t="inlineStr">
        <is>
          <t>Davmabcjy</t>
        </is>
      </c>
      <c r="H531" s="148" t="inlineStr">
        <is>
          <t>Untiered</t>
        </is>
      </c>
      <c r="I531" s="148" t="inlineStr">
        <is>
          <t>100% Organically Grown Bamboo Viscose King Sheet Set with Pockets on Side</t>
        </is>
      </c>
      <c r="J531" s="148" t="inlineStr">
        <is>
          <t>https://m.media-amazon.com/images/I/71fKTruZ7YL._AC_SL1500_.jpg</t>
        </is>
      </c>
      <c r="K531" s="148" t="inlineStr">
        <is>
          <t>B0HJZNMQ5G</t>
        </is>
      </c>
      <c r="L531" s="148" t="inlineStr">
        <is>
          <t>B0GXJYQR7H</t>
        </is>
      </c>
      <c r="M531" s="148" t="n">
        <v>7</v>
      </c>
      <c r="N531" s="148" t="n">
        <v>59.99</v>
      </c>
      <c r="O531" s="148" t="n"/>
      <c r="P531" s="148">
        <f>IF(AND(ISNUMBER(O531),ISNUMBER(N531),N(N531)&gt;0),O531/N531-1,"")</f>
        <v/>
      </c>
      <c r="Q531" s="148" t="n">
        <v>84.98999999999999</v>
      </c>
      <c r="R531" s="148">
        <f>IF(AND(ISNUMBER(N531),ISNUMBER(Q531),N(Q531)&gt;0),N531/Q531-1,"")</f>
        <v/>
      </c>
      <c r="S531" s="148" t="n">
        <v>205508</v>
      </c>
      <c r="T531" s="148" t="n">
        <v>35</v>
      </c>
      <c r="U531" s="148" t="n">
        <v>4.2</v>
      </c>
      <c r="V531" s="148" t="n">
        <v>81</v>
      </c>
      <c r="W531" s="148" t="n">
        <v>75425</v>
      </c>
      <c r="X531" s="148" t="n">
        <v>0.8470417779250914</v>
      </c>
      <c r="Y531" s="148" t="n">
        <v>54</v>
      </c>
      <c r="Z531" s="148" t="n">
        <v>87</v>
      </c>
      <c r="AA531" s="148" t="n">
        <v>370</v>
      </c>
      <c r="AB531" s="148" t="n"/>
      <c r="AC531" s="148" t="inlineStr">
        <is>
          <t>US SL Cooling 4pc</t>
        </is>
      </c>
      <c r="AD531" s="148">
        <f>'US SL Cooling 4pc'!BF127</f>
        <v/>
      </c>
      <c r="AE531" s="148">
        <f>'US SL Cooling 4pc'!BI127</f>
        <v/>
      </c>
      <c r="AF531" s="148" t="inlineStr">
        <is>
          <t>King (Deep Fits 16" )</t>
        </is>
      </c>
      <c r="AG531" s="148" t="inlineStr">
        <is>
          <t>Dark Grey-side Pockets</t>
        </is>
      </c>
      <c r="AH531" s="148">
        <f>AND(E531="CA",OR('CA Dashboard'!$C$4="All",'CA Dashboard'!$C$4=D531),OR('CA Dashboard'!$C$5="All",'CA Dashboard'!$C$5=G531),OR('CA Dashboard'!$C$6="All",'CA Dashboard'!$C$6=H531),OR('CA Dashboard'!$C$7="All",'CA Dashboard'!$C$7=F531),OR('CA Dashboard'!$C$8="All",'CA Dashboard'!$C$8=AJ531))</f>
        <v/>
      </c>
      <c r="AI531" s="148">
        <f>IF(AH531,AI530+1,AI530)</f>
        <v/>
      </c>
      <c r="AJ531" s="148" t="inlineStr">
        <is>
          <t>Alternative material</t>
        </is>
      </c>
      <c r="AK531" s="148" t="inlineStr">
        <is>
          <t>Sheet set in Bamboo viscose (product page material: Rayon Derived from Bamboo); ours is Synthetic cooling knit (BreezeWeave cooling fabric, nylon-spandex like CooLoom (confirmed Oct 15, 2026)). Shopper may cross-shop, but not like-for-like.</t>
        </is>
      </c>
    </row>
    <row r="532">
      <c r="A532" s="148">
        <f>AND(E532="US",OR('US Dashboard'!$C$4="All",'US Dashboard'!$C$4=D532),OR('US Dashboard'!$C$5="All",'US Dashboard'!$C$5=G532),OR('US Dashboard'!$C$6="All",'US Dashboard'!$C$6=H532),OR('US Dashboard'!$C$7="All",'US Dashboard'!$C$7=F532),OR('US Dashboard'!$C$8="All",'US Dashboard'!$C$8=AJ532))</f>
        <v/>
      </c>
      <c r="B532" s="148">
        <f>IF(A532,B531+1,B531)</f>
        <v/>
      </c>
      <c r="C532" s="148" t="n">
        <v>45</v>
      </c>
      <c r="D532" s="148" t="inlineStr">
        <is>
          <t>SL Cooling 4pc</t>
        </is>
      </c>
      <c r="E532" s="148" t="inlineStr">
        <is>
          <t>US</t>
        </is>
      </c>
      <c r="F532" s="148" t="inlineStr">
        <is>
          <t>Cooling</t>
        </is>
      </c>
      <c r="G532" s="148" t="inlineStr">
        <is>
          <t>KARISSA MAE</t>
        </is>
      </c>
      <c r="H532" s="148" t="inlineStr">
        <is>
          <t>Untiered</t>
        </is>
      </c>
      <c r="I532" s="148" t="inlineStr">
        <is>
          <t>Cooling Sheets</t>
        </is>
      </c>
      <c r="J532" s="148" t="inlineStr">
        <is>
          <t>https://images-na.ssl-images-amazon.com/images/I/71rcYip7GcL.jpg</t>
        </is>
      </c>
      <c r="K532" s="148" t="inlineStr">
        <is>
          <t>B0GT172Y8L</t>
        </is>
      </c>
      <c r="L532" s="148" t="inlineStr">
        <is>
          <t>B0G1CSCQTB</t>
        </is>
      </c>
      <c r="M532" s="148" t="n">
        <v>138</v>
      </c>
      <c r="N532" s="148" t="n">
        <v>119.99</v>
      </c>
      <c r="O532" s="148" t="n"/>
      <c r="P532" s="148">
        <f>IF(AND(ISNUMBER(O532),ISNUMBER(N532),N(N532)&gt;0),O532/N532-1,"")</f>
        <v/>
      </c>
      <c r="Q532" s="148" t="n">
        <v>84.98999999999999</v>
      </c>
      <c r="R532" s="148">
        <f>IF(AND(ISNUMBER(N532),ISNUMBER(Q532),N(Q532)&gt;0),N532/Q532-1,"")</f>
        <v/>
      </c>
      <c r="S532" s="148" t="n">
        <v>15914</v>
      </c>
      <c r="T532" s="148" t="n">
        <v>35</v>
      </c>
      <c r="U532" s="148" t="n">
        <v>4.3</v>
      </c>
      <c r="V532" s="148" t="n">
        <v>474</v>
      </c>
      <c r="W532" s="148" t="n">
        <v>243610</v>
      </c>
      <c r="X532" s="148" t="n">
        <v>0.1385290000410493</v>
      </c>
      <c r="Y532" s="148" t="n">
        <v>114</v>
      </c>
      <c r="Z532" s="148" t="n">
        <v>101</v>
      </c>
      <c r="AA532" s="148" t="n">
        <v>1751</v>
      </c>
      <c r="AB532" s="148" t="n">
        <v>2.102564102564103</v>
      </c>
      <c r="AC532" s="148" t="inlineStr">
        <is>
          <t>US SL Cooling 4pc</t>
        </is>
      </c>
      <c r="AD532" s="148">
        <f>'US SL Cooling 4pc'!BF128</f>
        <v/>
      </c>
      <c r="AE532" s="148">
        <f>'US SL Cooling 4pc'!BI128</f>
        <v/>
      </c>
      <c r="AF532" s="148" t="inlineStr">
        <is>
          <t>King - 2 Pillowcases</t>
        </is>
      </c>
      <c r="AG532" s="148" t="inlineStr">
        <is>
          <t>10 - Mocha</t>
        </is>
      </c>
      <c r="AH532" s="148">
        <f>AND(E532="CA",OR('CA Dashboard'!$C$4="All",'CA Dashboard'!$C$4=D532),OR('CA Dashboard'!$C$5="All",'CA Dashboard'!$C$5=G532),OR('CA Dashboard'!$C$6="All",'CA Dashboard'!$C$6=H532),OR('CA Dashboard'!$C$7="All",'CA Dashboard'!$C$7=F532),OR('CA Dashboard'!$C$8="All",'CA Dashboard'!$C$8=AJ532))</f>
        <v/>
      </c>
      <c r="AI532" s="148">
        <f>IF(AH532,AI531+1,AI531)</f>
        <v/>
      </c>
      <c r="AJ532" s="148" t="inlineStr">
        <is>
          <t>Alternative material</t>
        </is>
      </c>
      <c r="AK532" s="148" t="inlineStr">
        <is>
          <t>Sheet set in Bamboo viscose (product page material: Organically Grown Bamboo Viscose); ours is Synthetic cooling knit (BreezeWeave cooling fabric, nylon-spandex like CooLoom (confirmed Oct 15, 2026)). Shopper may cross-shop, but not like-for-like.</t>
        </is>
      </c>
    </row>
    <row r="533">
      <c r="A533" s="148">
        <f>AND(E533="US",OR('US Dashboard'!$C$4="All",'US Dashboard'!$C$4=D533),OR('US Dashboard'!$C$5="All",'US Dashboard'!$C$5=G533),OR('US Dashboard'!$C$6="All",'US Dashboard'!$C$6=H533),OR('US Dashboard'!$C$7="All",'US Dashboard'!$C$7=F533),OR('US Dashboard'!$C$8="All",'US Dashboard'!$C$8=AJ533))</f>
        <v/>
      </c>
      <c r="B533" s="148">
        <f>IF(A533,B532+1,B532)</f>
        <v/>
      </c>
      <c r="C533" s="148" t="n">
        <v>45</v>
      </c>
      <c r="D533" s="148" t="inlineStr">
        <is>
          <t>SL Cooling 4pc</t>
        </is>
      </c>
      <c r="E533" s="148" t="inlineStr">
        <is>
          <t>US</t>
        </is>
      </c>
      <c r="F533" s="148" t="inlineStr">
        <is>
          <t>Cooling</t>
        </is>
      </c>
      <c r="G533" s="148" t="inlineStr">
        <is>
          <t>Pillcase</t>
        </is>
      </c>
      <c r="H533" s="148" t="inlineStr">
        <is>
          <t>Untiered</t>
        </is>
      </c>
      <c r="I533" s="148" t="inlineStr">
        <is>
          <t>100% Real Bamboo Viscose &amp; Lyocell Tencel Sheets Set Queen Size | Breathable &amp; C</t>
        </is>
      </c>
      <c r="J533" s="148" t="inlineStr">
        <is>
          <t>https://m.media-amazon.com/images/I/71vDRpdS5DL._AC_SL1500_.jpg</t>
        </is>
      </c>
      <c r="K533" s="148" t="inlineStr">
        <is>
          <t>B0H1GGHHVN</t>
        </is>
      </c>
      <c r="L533" s="148" t="inlineStr">
        <is>
          <t>B0HFZQRXXQ</t>
        </is>
      </c>
      <c r="M533" s="148" t="n">
        <v>20</v>
      </c>
      <c r="N533" s="148" t="n">
        <v>79</v>
      </c>
      <c r="O533" s="148" t="n">
        <v>109</v>
      </c>
      <c r="P533" s="148">
        <f>IF(AND(ISNUMBER(O533),ISNUMBER(N533),N(N533)&gt;0),O533/N533-1,"")</f>
        <v/>
      </c>
      <c r="Q533" s="148" t="n">
        <v>79.98999999999999</v>
      </c>
      <c r="R533" s="148">
        <f>IF(AND(ISNUMBER(N533),ISNUMBER(Q533),N(Q533)&gt;0),N533/Q533-1,"")</f>
        <v/>
      </c>
      <c r="S533" s="148" t="n">
        <v>28003</v>
      </c>
      <c r="T533" s="148" t="n">
        <v>35</v>
      </c>
      <c r="U533" s="148" t="n">
        <v>4.8</v>
      </c>
      <c r="V533" s="148" t="n">
        <v>279</v>
      </c>
      <c r="W533" s="148" t="n">
        <v>216953</v>
      </c>
      <c r="X533" s="148" t="n">
        <v>0.9703615419007803</v>
      </c>
      <c r="Y533" s="148" t="n">
        <v>42</v>
      </c>
      <c r="Z533" s="148" t="n">
        <v>138</v>
      </c>
      <c r="AA533" s="148" t="n">
        <v>23</v>
      </c>
      <c r="AB533" s="148" t="n"/>
      <c r="AC533" s="148" t="inlineStr">
        <is>
          <t>US SL Cooling 4pc</t>
        </is>
      </c>
      <c r="AD533" s="148">
        <f>'US SL Cooling 4pc'!BF129</f>
        <v/>
      </c>
      <c r="AE533" s="148">
        <f>'US SL Cooling 4pc'!BI129</f>
        <v/>
      </c>
      <c r="AF533" s="148" t="inlineStr">
        <is>
          <t>Queen</t>
        </is>
      </c>
      <c r="AG533" s="148" t="inlineStr">
        <is>
          <t>French Blue</t>
        </is>
      </c>
      <c r="AH533" s="148">
        <f>AND(E533="CA",OR('CA Dashboard'!$C$4="All",'CA Dashboard'!$C$4=D533),OR('CA Dashboard'!$C$5="All",'CA Dashboard'!$C$5=G533),OR('CA Dashboard'!$C$6="All",'CA Dashboard'!$C$6=H533),OR('CA Dashboard'!$C$7="All",'CA Dashboard'!$C$7=F533),OR('CA Dashboard'!$C$8="All",'CA Dashboard'!$C$8=AJ533))</f>
        <v/>
      </c>
      <c r="AI533" s="148">
        <f>IF(AH533,AI532+1,AI532)</f>
        <v/>
      </c>
      <c r="AJ533" s="148" t="inlineStr">
        <is>
          <t>Alternative material</t>
        </is>
      </c>
      <c r="AK533" s="148" t="inlineStr">
        <is>
          <t>Sheet set in Microfiber / polyester (product page material: Microfiber); ours is Synthetic cooling knit (BreezeWeave cooling fabric, nylon-spandex like CooLoom (confirmed Oct 15, 2026)). Shopper may cross-shop, but not like-for-like.</t>
        </is>
      </c>
    </row>
    <row r="534">
      <c r="A534" s="148">
        <f>AND(E534="US",OR('US Dashboard'!$C$4="All",'US Dashboard'!$C$4=D534),OR('US Dashboard'!$C$5="All",'US Dashboard'!$C$5=G534),OR('US Dashboard'!$C$6="All",'US Dashboard'!$C$6=H534),OR('US Dashboard'!$C$7="All",'US Dashboard'!$C$7=F534),OR('US Dashboard'!$C$8="All",'US Dashboard'!$C$8=AJ534))</f>
        <v/>
      </c>
      <c r="B534" s="148">
        <f>IF(A534,B533+1,B533)</f>
        <v/>
      </c>
      <c r="C534" s="148" t="n">
        <v>45</v>
      </c>
      <c r="D534" s="148" t="inlineStr">
        <is>
          <t>SL Cooling 4pc</t>
        </is>
      </c>
      <c r="E534" s="148" t="inlineStr">
        <is>
          <t>US</t>
        </is>
      </c>
      <c r="F534" s="148" t="inlineStr">
        <is>
          <t>Cooling</t>
        </is>
      </c>
      <c r="G534" s="148" t="inlineStr">
        <is>
          <t>California Design Den</t>
        </is>
      </c>
      <c r="H534" s="148" t="inlineStr">
        <is>
          <t>Untiered</t>
        </is>
      </c>
      <c r="I534" s="148" t="inlineStr">
        <is>
          <t>California Design Den 100% Viscose from Bamboo Sheets Queen, Dark Olive</t>
        </is>
      </c>
      <c r="J534" s="148" t="inlineStr">
        <is>
          <t>https://m.media-amazon.com/images/I/71MnWA4xzHL._AC_SL1500_.jpg</t>
        </is>
      </c>
      <c r="K534" s="148" t="inlineStr">
        <is>
          <t>B0HFBJPD56</t>
        </is>
      </c>
      <c r="L534" s="148" t="inlineStr">
        <is>
          <t>B0GWHPJ9SD</t>
        </is>
      </c>
      <c r="M534" s="148" t="n">
        <v>81</v>
      </c>
      <c r="N534" s="148" t="n">
        <v>89.98999999999999</v>
      </c>
      <c r="O534" s="148" t="n"/>
      <c r="P534" s="148">
        <f>IF(AND(ISNUMBER(O534),ISNUMBER(N534),N(N534)&gt;0),O534/N534-1,"")</f>
        <v/>
      </c>
      <c r="Q534" s="148" t="n">
        <v>79.98999999999999</v>
      </c>
      <c r="R534" s="148">
        <f>IF(AND(ISNUMBER(N534),ISNUMBER(Q534),N(Q534)&gt;0),N534/Q534-1,"")</f>
        <v/>
      </c>
      <c r="S534" s="148" t="n">
        <v>21237</v>
      </c>
      <c r="T534" s="148" t="n">
        <v>18</v>
      </c>
      <c r="U534" s="148" t="n">
        <v>4.6</v>
      </c>
      <c r="V534" s="148" t="n">
        <v>76</v>
      </c>
      <c r="W534" s="148" t="n">
        <v>103642</v>
      </c>
      <c r="X534" s="148" t="n">
        <v>0.8956907055054905</v>
      </c>
      <c r="Y534" s="148" t="n">
        <v>70</v>
      </c>
      <c r="Z534" s="148" t="n">
        <v>112</v>
      </c>
      <c r="AA534" s="148" t="n">
        <v>290</v>
      </c>
      <c r="AB534" s="148" t="n"/>
      <c r="AC534" s="148" t="inlineStr">
        <is>
          <t>US SL Cooling 4pc</t>
        </is>
      </c>
      <c r="AD534" s="148">
        <f>'US SL Cooling 4pc'!BF130</f>
        <v/>
      </c>
      <c r="AE534" s="148">
        <f>'US SL Cooling 4pc'!BI130</f>
        <v/>
      </c>
      <c r="AF534" s="148" t="inlineStr">
        <is>
          <t>Queen</t>
        </is>
      </c>
      <c r="AG534" s="148" t="inlineStr">
        <is>
          <t>Bright White</t>
        </is>
      </c>
      <c r="AH534" s="148">
        <f>AND(E534="CA",OR('CA Dashboard'!$C$4="All",'CA Dashboard'!$C$4=D534),OR('CA Dashboard'!$C$5="All",'CA Dashboard'!$C$5=G534),OR('CA Dashboard'!$C$6="All",'CA Dashboard'!$C$6=H534),OR('CA Dashboard'!$C$7="All",'CA Dashboard'!$C$7=F534),OR('CA Dashboard'!$C$8="All",'CA Dashboard'!$C$8=AJ534))</f>
        <v/>
      </c>
      <c r="AI534" s="148">
        <f>IF(AH534,AI533+1,AI533)</f>
        <v/>
      </c>
      <c r="AJ534" s="148" t="inlineStr">
        <is>
          <t>Alternative material</t>
        </is>
      </c>
      <c r="AK534" s="148" t="inlineStr">
        <is>
          <t>Sheet set in Bamboo viscose (product page material: Viscose Derived from Bamboo); ours is Synthetic cooling knit (BreezeWeave cooling fabric, nylon-spandex like CooLoom (confirmed Oct 15, 2026)). Shopper may cross-shop, but not like-for-like.</t>
        </is>
      </c>
    </row>
    <row r="535">
      <c r="A535" s="148">
        <f>AND(E535="US",OR('US Dashboard'!$C$4="All",'US Dashboard'!$C$4=D535),OR('US Dashboard'!$C$5="All",'US Dashboard'!$C$5=G535),OR('US Dashboard'!$C$6="All",'US Dashboard'!$C$6=H535),OR('US Dashboard'!$C$7="All",'US Dashboard'!$C$7=F535),OR('US Dashboard'!$C$8="All",'US Dashboard'!$C$8=AJ535))</f>
        <v/>
      </c>
      <c r="B535" s="148">
        <f>IF(A535,B534+1,B534)</f>
        <v/>
      </c>
      <c r="C535" s="148" t="n">
        <v>45</v>
      </c>
      <c r="D535" s="148" t="inlineStr">
        <is>
          <t>SL Cooling 4pc</t>
        </is>
      </c>
      <c r="E535" s="148" t="inlineStr">
        <is>
          <t>US</t>
        </is>
      </c>
      <c r="F535" s="148" t="inlineStr">
        <is>
          <t>Cooling</t>
        </is>
      </c>
      <c r="G535" s="148" t="inlineStr">
        <is>
          <t>Pillcase</t>
        </is>
      </c>
      <c r="H535" s="148" t="inlineStr">
        <is>
          <t>Untiered</t>
        </is>
      </c>
      <c r="I535" s="148" t="inlineStr">
        <is>
          <t>100% Real Bamboo Viscose &amp; Lyocell Tencel Sheets Set Queen Size | Breathable &amp; C</t>
        </is>
      </c>
      <c r="J535" s="148" t="inlineStr">
        <is>
          <t>https://m.media-amazon.com/images/I/71F9T6wfwRL._AC_SL1500_.jpg</t>
        </is>
      </c>
      <c r="K535" s="148" t="inlineStr">
        <is>
          <t>B0HK71WHZW</t>
        </is>
      </c>
      <c r="L535" s="148" t="inlineStr">
        <is>
          <t>B0H1BWY4MD</t>
        </is>
      </c>
      <c r="M535" s="148" t="n">
        <v>22</v>
      </c>
      <c r="N535" s="148" t="n">
        <v>79</v>
      </c>
      <c r="O535" s="148" t="n"/>
      <c r="P535" s="148">
        <f>IF(AND(ISNUMBER(O535),ISNUMBER(N535),N(N535)&gt;0),O535/N535-1,"")</f>
        <v/>
      </c>
      <c r="Q535" s="148" t="n">
        <v>79.98999999999999</v>
      </c>
      <c r="R535" s="148">
        <f>IF(AND(ISNUMBER(N535),ISNUMBER(Q535),N(Q535)&gt;0),N535/Q535-1,"")</f>
        <v/>
      </c>
      <c r="S535" s="148" t="n">
        <v>38116</v>
      </c>
      <c r="T535" s="148" t="n">
        <v>18</v>
      </c>
      <c r="U535" s="148" t="n">
        <v>4.9</v>
      </c>
      <c r="V535" s="148" t="n">
        <v>201</v>
      </c>
      <c r="W535" s="148" t="n">
        <v>116001</v>
      </c>
      <c r="X535" s="148" t="n">
        <v>0.8987684407893036</v>
      </c>
      <c r="Y535" s="148" t="n">
        <v>70</v>
      </c>
      <c r="Z535" s="148" t="n">
        <v>112</v>
      </c>
      <c r="AA535" s="148" t="n">
        <v>90</v>
      </c>
      <c r="AB535" s="148" t="n"/>
      <c r="AC535" s="148" t="inlineStr">
        <is>
          <t>US SL Cooling 4pc</t>
        </is>
      </c>
      <c r="AD535" s="148">
        <f>'US SL Cooling 4pc'!BF131</f>
        <v/>
      </c>
      <c r="AE535" s="148">
        <f>'US SL Cooling 4pc'!BI131</f>
        <v/>
      </c>
      <c r="AF535" s="148" t="inlineStr">
        <is>
          <t>Queen</t>
        </is>
      </c>
      <c r="AG535" s="148" t="inlineStr">
        <is>
          <t>Charcoal</t>
        </is>
      </c>
      <c r="AH535" s="148">
        <f>AND(E535="CA",OR('CA Dashboard'!$C$4="All",'CA Dashboard'!$C$4=D535),OR('CA Dashboard'!$C$5="All",'CA Dashboard'!$C$5=G535),OR('CA Dashboard'!$C$6="All",'CA Dashboard'!$C$6=H535),OR('CA Dashboard'!$C$7="All",'CA Dashboard'!$C$7=F535),OR('CA Dashboard'!$C$8="All",'CA Dashboard'!$C$8=AJ535))</f>
        <v/>
      </c>
      <c r="AI535" s="148">
        <f>IF(AH535,AI534+1,AI534)</f>
        <v/>
      </c>
      <c r="AJ535" s="148" t="inlineStr">
        <is>
          <t>Alternative material</t>
        </is>
      </c>
      <c r="AK535" s="148" t="inlineStr">
        <is>
          <t>Sheet set in Microfiber / polyester (product page material: Microfiber); ours is Synthetic cooling knit (BreezeWeave cooling fabric, nylon-spandex like CooLoom (confirmed Oct 15, 2026)). Shopper may cross-shop, but not like-for-like.</t>
        </is>
      </c>
    </row>
    <row r="536">
      <c r="A536" s="148">
        <f>AND(E536="US",OR('US Dashboard'!$C$4="All",'US Dashboard'!$C$4=D536),OR('US Dashboard'!$C$5="All",'US Dashboard'!$C$5=G536),OR('US Dashboard'!$C$6="All",'US Dashboard'!$C$6=H536),OR('US Dashboard'!$C$7="All",'US Dashboard'!$C$7=F536),OR('US Dashboard'!$C$8="All",'US Dashboard'!$C$8=AJ536))</f>
        <v/>
      </c>
      <c r="B536" s="148">
        <f>IF(A536,B535+1,B535)</f>
        <v/>
      </c>
      <c r="C536" s="148" t="n">
        <v>45</v>
      </c>
      <c r="D536" s="148" t="inlineStr">
        <is>
          <t>SL Cooling 4pc</t>
        </is>
      </c>
      <c r="E536" s="148" t="inlineStr">
        <is>
          <t>US</t>
        </is>
      </c>
      <c r="F536" s="148" t="inlineStr">
        <is>
          <t>Cooling</t>
        </is>
      </c>
      <c r="G536" s="148" t="inlineStr">
        <is>
          <t>Shilucheng</t>
        </is>
      </c>
      <c r="H536" s="148" t="inlineStr">
        <is>
          <t>Untiered</t>
        </is>
      </c>
      <c r="I536" s="148" t="inlineStr">
        <is>
          <t>Shilucheng 100% Viscose Derived from Bamboo_Sheets, Extra Deep Pocket</t>
        </is>
      </c>
      <c r="J536" s="148" t="inlineStr">
        <is>
          <t>https://images-na.ssl-images-amazon.com/images/I/71NxE1i+4jL.jpg</t>
        </is>
      </c>
      <c r="K536" s="148" t="inlineStr">
        <is>
          <t>B0HJVD7X1R</t>
        </is>
      </c>
      <c r="L536" s="148" t="inlineStr">
        <is>
          <t>B0F2TDDFGJ</t>
        </is>
      </c>
      <c r="M536" s="148" t="n">
        <v>32</v>
      </c>
      <c r="N536" s="148" t="n">
        <v>59.99</v>
      </c>
      <c r="O536" s="148" t="n">
        <v>74.98999999999999</v>
      </c>
      <c r="P536" s="148">
        <f>IF(AND(ISNUMBER(O536),ISNUMBER(N536),N(N536)&gt;0),O536/N536-1,"")</f>
        <v/>
      </c>
      <c r="Q536" s="148" t="n">
        <v>79.98999999999999</v>
      </c>
      <c r="R536" s="148">
        <f>IF(AND(ISNUMBER(N536),ISNUMBER(Q536),N(Q536)&gt;0),N536/Q536-1,"")</f>
        <v/>
      </c>
      <c r="S536" s="148" t="n">
        <v>39191</v>
      </c>
      <c r="T536" s="148" t="n">
        <v>18</v>
      </c>
      <c r="U536" s="148" t="n">
        <v>4.5</v>
      </c>
      <c r="V536" s="148" t="n">
        <v>1639</v>
      </c>
      <c r="W536" s="148" t="n">
        <v>41895</v>
      </c>
      <c r="X536" s="148" t="n">
        <v>0.2973701849862752</v>
      </c>
      <c r="Y536" s="148" t="n">
        <v>54</v>
      </c>
      <c r="Z536" s="148" t="n">
        <v>67</v>
      </c>
      <c r="AA536" s="148" t="n">
        <v>321</v>
      </c>
      <c r="AB536" s="148" t="n"/>
      <c r="AC536" s="148" t="inlineStr">
        <is>
          <t>US SL Cooling 4pc</t>
        </is>
      </c>
      <c r="AD536" s="148">
        <f>'US SL Cooling 4pc'!BF132</f>
        <v/>
      </c>
      <c r="AE536" s="148">
        <f>'US SL Cooling 4pc'!BI132</f>
        <v/>
      </c>
      <c r="AF536" s="148" t="inlineStr">
        <is>
          <t>Queen</t>
        </is>
      </c>
      <c r="AG536" s="148" t="inlineStr">
        <is>
          <t>Dark Grey</t>
        </is>
      </c>
      <c r="AH536" s="148">
        <f>AND(E536="CA",OR('CA Dashboard'!$C$4="All",'CA Dashboard'!$C$4=D536),OR('CA Dashboard'!$C$5="All",'CA Dashboard'!$C$5=G536),OR('CA Dashboard'!$C$6="All",'CA Dashboard'!$C$6=H536),OR('CA Dashboard'!$C$7="All",'CA Dashboard'!$C$7=F536),OR('CA Dashboard'!$C$8="All",'CA Dashboard'!$C$8=AJ536))</f>
        <v/>
      </c>
      <c r="AI536" s="148">
        <f>IF(AH536,AI535+1,AI535)</f>
        <v/>
      </c>
      <c r="AJ536" s="148" t="inlineStr">
        <is>
          <t>Alternative material</t>
        </is>
      </c>
      <c r="AK536" s="148" t="inlineStr">
        <is>
          <t>Sheet set in Bamboo viscose (product page material: Rayon Derived from Bamboo); ours is Synthetic cooling knit (BreezeWeave cooling fabric, nylon-spandex like CooLoom (confirmed Oct 15, 2026)). Shopper may cross-shop, but not like-for-like.</t>
        </is>
      </c>
    </row>
    <row r="537">
      <c r="A537" s="148">
        <f>AND(E537="US",OR('US Dashboard'!$C$4="All",'US Dashboard'!$C$4=D537),OR('US Dashboard'!$C$5="All",'US Dashboard'!$C$5=G537),OR('US Dashboard'!$C$6="All",'US Dashboard'!$C$6=H537),OR('US Dashboard'!$C$7="All",'US Dashboard'!$C$7=F537),OR('US Dashboard'!$C$8="All",'US Dashboard'!$C$8=AJ537))</f>
        <v/>
      </c>
      <c r="B537" s="148">
        <f>IF(A537,B536+1,B536)</f>
        <v/>
      </c>
      <c r="C537" s="148" t="n">
        <v>45</v>
      </c>
      <c r="D537" s="148" t="inlineStr">
        <is>
          <t>SL Cooling 4pc</t>
        </is>
      </c>
      <c r="E537" s="148" t="inlineStr">
        <is>
          <t>US</t>
        </is>
      </c>
      <c r="F537" s="148" t="inlineStr">
        <is>
          <t>Cooling</t>
        </is>
      </c>
      <c r="G537" s="148" t="inlineStr">
        <is>
          <t>TWK</t>
        </is>
      </c>
      <c r="H537" s="148" t="inlineStr">
        <is>
          <t>Untiered</t>
        </is>
      </c>
      <c r="I537" s="148" t="inlineStr">
        <is>
          <t>TWK Real 100% Viscose Derived from Bamboo Sheets Set Queen Size, Cooling &amp; Silky</t>
        </is>
      </c>
      <c r="J537" s="148" t="inlineStr">
        <is>
          <t>https://images-na.ssl-images-amazon.com/images/I/71X+0TBtodL.jpg</t>
        </is>
      </c>
      <c r="K537" s="148" t="inlineStr">
        <is>
          <t>B0HHQG3RSW</t>
        </is>
      </c>
      <c r="L537" s="148" t="inlineStr">
        <is>
          <t>B0G1N8QS55</t>
        </is>
      </c>
      <c r="M537" s="148" t="n">
        <v>13</v>
      </c>
      <c r="N537" s="148" t="n">
        <v>65</v>
      </c>
      <c r="O537" s="148" t="n">
        <v>79</v>
      </c>
      <c r="P537" s="148">
        <f>IF(AND(ISNUMBER(O537),ISNUMBER(N537),N(N537)&gt;0),O537/N537-1,"")</f>
        <v/>
      </c>
      <c r="Q537" s="148" t="n">
        <v>79.98999999999999</v>
      </c>
      <c r="R537" s="148">
        <f>IF(AND(ISNUMBER(N537),ISNUMBER(Q537),N(Q537)&gt;0),N537/Q537-1,"")</f>
        <v/>
      </c>
      <c r="S537" s="148" t="n">
        <v>196488</v>
      </c>
      <c r="T537" s="148" t="n">
        <v>18</v>
      </c>
      <c r="U537" s="148" t="n">
        <v>4.9</v>
      </c>
      <c r="V537" s="148" t="n">
        <v>121</v>
      </c>
      <c r="W537" s="148" t="n">
        <v>82471</v>
      </c>
      <c r="X537" s="148" t="n">
        <v>0.8861114561482216</v>
      </c>
      <c r="Y537" s="148" t="n">
        <v>58</v>
      </c>
      <c r="Z537" s="148" t="n">
        <v>132</v>
      </c>
      <c r="AA537" s="148" t="n">
        <v>85</v>
      </c>
      <c r="AB537" s="148" t="n"/>
      <c r="AC537" s="148" t="inlineStr">
        <is>
          <t>US SL Cooling 4pc</t>
        </is>
      </c>
      <c r="AD537" s="148">
        <f>'US SL Cooling 4pc'!BF133</f>
        <v/>
      </c>
      <c r="AE537" s="148">
        <f>'US SL Cooling 4pc'!BI133</f>
        <v/>
      </c>
      <c r="AF537" s="148" t="inlineStr">
        <is>
          <t>Queen</t>
        </is>
      </c>
      <c r="AG537" s="148" t="inlineStr">
        <is>
          <t>Sand</t>
        </is>
      </c>
      <c r="AH537" s="148">
        <f>AND(E537="CA",OR('CA Dashboard'!$C$4="All",'CA Dashboard'!$C$4=D537),OR('CA Dashboard'!$C$5="All",'CA Dashboard'!$C$5=G537),OR('CA Dashboard'!$C$6="All",'CA Dashboard'!$C$6=H537),OR('CA Dashboard'!$C$7="All",'CA Dashboard'!$C$7=F537),OR('CA Dashboard'!$C$8="All",'CA Dashboard'!$C$8=AJ537))</f>
        <v/>
      </c>
      <c r="AI537" s="148">
        <f>IF(AH537,AI536+1,AI536)</f>
        <v/>
      </c>
      <c r="AJ537" s="148" t="inlineStr">
        <is>
          <t>Alternative material</t>
        </is>
      </c>
      <c r="AK537" s="148" t="inlineStr">
        <is>
          <t>Sheet set in Bamboo viscose (product page material: Genuine 100% Viscose Derived from Bamboo); ours is Synthetic cooling knit (BreezeWeave cooling fabric, nylon-spandex like CooLoom (confirmed Oct 15, 2026)). Shopper may cross-shop, but not like-for-like.</t>
        </is>
      </c>
    </row>
    <row r="538">
      <c r="A538" s="148">
        <f>AND(E538="US",OR('US Dashboard'!$C$4="All",'US Dashboard'!$C$4=D538),OR('US Dashboard'!$C$5="All",'US Dashboard'!$C$5=G538),OR('US Dashboard'!$C$6="All",'US Dashboard'!$C$6=H538),OR('US Dashboard'!$C$7="All",'US Dashboard'!$C$7=F538),OR('US Dashboard'!$C$8="All",'US Dashboard'!$C$8=AJ538))</f>
        <v/>
      </c>
      <c r="B538" s="148">
        <f>IF(A538,B537+1,B537)</f>
        <v/>
      </c>
      <c r="C538" s="148" t="n">
        <v>45</v>
      </c>
      <c r="D538" s="148" t="inlineStr">
        <is>
          <t>SL Cooling 4pc</t>
        </is>
      </c>
      <c r="E538" s="148" t="inlineStr">
        <is>
          <t>US</t>
        </is>
      </c>
      <c r="F538" s="148" t="inlineStr">
        <is>
          <t>Cooling</t>
        </is>
      </c>
      <c r="G538" s="148" t="inlineStr">
        <is>
          <t>OMERAI</t>
        </is>
      </c>
      <c r="H538" s="148" t="inlineStr">
        <is>
          <t>Untiered</t>
        </is>
      </c>
      <c r="I538" s="148" t="inlineStr">
        <is>
          <t>Cooling Sheets</t>
        </is>
      </c>
      <c r="J538" s="148" t="inlineStr">
        <is>
          <t>https://m.media-amazon.com/images/I/818EX2hLSoL._AC_SL1500_.jpg</t>
        </is>
      </c>
      <c r="K538" s="148" t="inlineStr">
        <is>
          <t>B0HDC7BMTC</t>
        </is>
      </c>
      <c r="L538" s="148" t="inlineStr">
        <is>
          <t>B0FX8K1CG9</t>
        </is>
      </c>
      <c r="M538" s="148" t="n">
        <v>10</v>
      </c>
      <c r="N538" s="148" t="n">
        <v>42.99</v>
      </c>
      <c r="O538" s="148" t="n">
        <v>59.99</v>
      </c>
      <c r="P538" s="148">
        <f>IF(AND(ISNUMBER(O538),ISNUMBER(N538),N(N538)&gt;0),O538/N538-1,"")</f>
        <v/>
      </c>
      <c r="Q538" s="148" t="n">
        <v>84.98999999999999</v>
      </c>
      <c r="R538" s="148">
        <f>IF(AND(ISNUMBER(N538),ISNUMBER(Q538),N(Q538)&gt;0),N538/Q538-1,"")</f>
        <v/>
      </c>
      <c r="S538" s="148" t="n">
        <v>115669</v>
      </c>
      <c r="T538" s="148" t="n">
        <v>5</v>
      </c>
      <c r="U538" s="148" t="n">
        <v>4.7</v>
      </c>
      <c r="V538" s="148" t="n">
        <v>4</v>
      </c>
      <c r="W538" s="148" t="n">
        <v>13712</v>
      </c>
      <c r="X538" s="148" t="n">
        <v>0.8852072199533255</v>
      </c>
      <c r="Y538" s="148" t="n">
        <v>77</v>
      </c>
      <c r="Z538" s="148" t="n">
        <v>75</v>
      </c>
      <c r="AA538" s="148" t="n">
        <v>51</v>
      </c>
      <c r="AB538" s="148" t="n"/>
      <c r="AC538" s="148" t="inlineStr">
        <is>
          <t>US SL Cooling 4pc</t>
        </is>
      </c>
      <c r="AD538" s="148">
        <f>'US SL Cooling 4pc'!BF134</f>
        <v/>
      </c>
      <c r="AE538" s="148">
        <f>'US SL Cooling 4pc'!BI134</f>
        <v/>
      </c>
      <c r="AF538" s="148" t="inlineStr">
        <is>
          <t>King 4 PC</t>
        </is>
      </c>
      <c r="AG538" s="148" t="inlineStr">
        <is>
          <t>Blue</t>
        </is>
      </c>
      <c r="AH538" s="148">
        <f>AND(E538="CA",OR('CA Dashboard'!$C$4="All",'CA Dashboard'!$C$4=D538),OR('CA Dashboard'!$C$5="All",'CA Dashboard'!$C$5=G538),OR('CA Dashboard'!$C$6="All",'CA Dashboard'!$C$6=H538),OR('CA Dashboard'!$C$7="All",'CA Dashboard'!$C$7=F538),OR('CA Dashboard'!$C$8="All",'CA Dashboard'!$C$8=AJ538))</f>
        <v/>
      </c>
      <c r="AI538" s="148">
        <f>IF(AH538,AI537+1,AI537)</f>
        <v/>
      </c>
      <c r="AJ538" s="148" t="inlineStr">
        <is>
          <t>Alternative material</t>
        </is>
      </c>
      <c r="AK538" s="148" t="inlineStr">
        <is>
          <t>Sheet set in Microfiber / polyester (product page material: Microfiber); ours is Synthetic cooling knit (BreezeWeave cooling fabric, nylon-spandex like CooLoom (confirmed Oct 15, 2026)). Shopper may cross-shop, but not like-for-like.</t>
        </is>
      </c>
    </row>
    <row r="539">
      <c r="A539" s="148">
        <f>AND(E539="US",OR('US Dashboard'!$C$4="All",'US Dashboard'!$C$4=D539),OR('US Dashboard'!$C$5="All",'US Dashboard'!$C$5=G539),OR('US Dashboard'!$C$6="All",'US Dashboard'!$C$6=H539),OR('US Dashboard'!$C$7="All",'US Dashboard'!$C$7=F539),OR('US Dashboard'!$C$8="All",'US Dashboard'!$C$8=AJ539))</f>
        <v/>
      </c>
      <c r="B539" s="148">
        <f>IF(A539,B538+1,B538)</f>
        <v/>
      </c>
      <c r="C539" s="148" t="n">
        <v>45</v>
      </c>
      <c r="D539" s="148" t="inlineStr">
        <is>
          <t>SL Cooling 4pc</t>
        </is>
      </c>
      <c r="E539" s="148" t="inlineStr">
        <is>
          <t>US</t>
        </is>
      </c>
      <c r="F539" s="148" t="inlineStr">
        <is>
          <t>Cooling</t>
        </is>
      </c>
      <c r="G539" s="148" t="inlineStr">
        <is>
          <t>Pillcase</t>
        </is>
      </c>
      <c r="H539" s="148" t="inlineStr">
        <is>
          <t>Untiered</t>
        </is>
      </c>
      <c r="I539" s="148" t="inlineStr">
        <is>
          <t>Cooling Hotel Bedding Sheet Set - 4pcs Bamboo Viscose &amp; Tencel Blend, Moisture-W</t>
        </is>
      </c>
      <c r="J539" s="148" t="inlineStr">
        <is>
          <t>https://m.media-amazon.com/images/I/61mi8zwd8GL._AC_SL1500_.jpg</t>
        </is>
      </c>
      <c r="K539" s="148" t="inlineStr">
        <is>
          <t>B0HJYG8V9Q</t>
        </is>
      </c>
      <c r="L539" s="148" t="inlineStr">
        <is>
          <t>B0HJYG8V9Q</t>
        </is>
      </c>
      <c r="M539" s="148" t="n">
        <v>1</v>
      </c>
      <c r="N539" s="148" t="n">
        <v>79.98999999999999</v>
      </c>
      <c r="O539" s="148" t="n"/>
      <c r="P539" s="148">
        <f>IF(AND(ISNUMBER(O539),ISNUMBER(N539),N(N539)&gt;0),O539/N539-1,"")</f>
        <v/>
      </c>
      <c r="Q539" s="148" t="n">
        <v>84.98999999999999</v>
      </c>
      <c r="R539" s="148">
        <f>IF(AND(ISNUMBER(N539),ISNUMBER(Q539),N(Q539)&gt;0),N539/Q539-1,"")</f>
        <v/>
      </c>
      <c r="S539" s="148" t="n">
        <v>762451</v>
      </c>
      <c r="T539" s="148" t="n">
        <v>5</v>
      </c>
      <c r="U539" s="148" t="n">
        <v>4</v>
      </c>
      <c r="V539" s="148" t="n"/>
      <c r="W539" s="148" t="n">
        <v>57075</v>
      </c>
      <c r="X539" s="148" t="n">
        <v>0.9991762628120894</v>
      </c>
      <c r="Y539" s="148" t="n">
        <v>10</v>
      </c>
      <c r="Z539" s="148" t="n">
        <v>11</v>
      </c>
      <c r="AA539" s="148" t="n">
        <v>0</v>
      </c>
      <c r="AB539" s="148" t="n"/>
      <c r="AC539" s="148" t="inlineStr">
        <is>
          <t>US SL Cooling 4pc</t>
        </is>
      </c>
      <c r="AD539" s="148">
        <f>'US SL Cooling 4pc'!BF135</f>
        <v/>
      </c>
      <c r="AE539" s="148">
        <f>'US SL Cooling 4pc'!BI135</f>
        <v/>
      </c>
      <c r="AF539" s="148" t="inlineStr">
        <is>
          <t>King</t>
        </is>
      </c>
      <c r="AG539" s="148" t="inlineStr">
        <is>
          <t>Pearl White</t>
        </is>
      </c>
      <c r="AH539" s="148">
        <f>AND(E539="CA",OR('CA Dashboard'!$C$4="All",'CA Dashboard'!$C$4=D539),OR('CA Dashboard'!$C$5="All",'CA Dashboard'!$C$5=G539),OR('CA Dashboard'!$C$6="All",'CA Dashboard'!$C$6=H539),OR('CA Dashboard'!$C$7="All",'CA Dashboard'!$C$7=F539),OR('CA Dashboard'!$C$8="All",'CA Dashboard'!$C$8=AJ539))</f>
        <v/>
      </c>
      <c r="AI539" s="148">
        <f>IF(AH539,AI538+1,AI538)</f>
        <v/>
      </c>
      <c r="AJ539" s="148" t="inlineStr">
        <is>
          <t>Alternative material</t>
        </is>
      </c>
      <c r="AK539" s="148" t="inlineStr">
        <is>
          <t>Sheet set in Microfiber / polyester (product page material: Microfiber); ours is Synthetic cooling knit (BreezeWeave cooling fabric, nylon-spandex like CooLoom (confirmed Oct 15, 2026)). Shopper may cross-shop, but not like-for-like.</t>
        </is>
      </c>
    </row>
    <row r="540">
      <c r="A540" s="148">
        <f>AND(E540="US",OR('US Dashboard'!$C$4="All",'US Dashboard'!$C$4=D540),OR('US Dashboard'!$C$5="All",'US Dashboard'!$C$5=G540),OR('US Dashboard'!$C$6="All",'US Dashboard'!$C$6=H540),OR('US Dashboard'!$C$7="All",'US Dashboard'!$C$7=F540),OR('US Dashboard'!$C$8="All",'US Dashboard'!$C$8=AJ540))</f>
        <v/>
      </c>
      <c r="B540" s="148">
        <f>IF(A540,B539+1,B539)</f>
        <v/>
      </c>
      <c r="C540" s="148" t="n">
        <v>45</v>
      </c>
      <c r="D540" s="148" t="inlineStr">
        <is>
          <t>SL Cooling 4pc</t>
        </is>
      </c>
      <c r="E540" s="148" t="inlineStr">
        <is>
          <t>US</t>
        </is>
      </c>
      <c r="F540" s="148" t="inlineStr">
        <is>
          <t>Cooling</t>
        </is>
      </c>
      <c r="G540" s="148" t="inlineStr">
        <is>
          <t>Shilucheng</t>
        </is>
      </c>
      <c r="H540" s="148" t="inlineStr">
        <is>
          <t>Untiered</t>
        </is>
      </c>
      <c r="I540" s="148" t="inlineStr">
        <is>
          <t>Shilucheng 100% Viscose Derived from Bamboo_ Sheets King Size 4pcs</t>
        </is>
      </c>
      <c r="J540" s="148" t="inlineStr">
        <is>
          <t>https://images-na.ssl-images-amazon.com/images/I/71+O+E9PlaL.jpg</t>
        </is>
      </c>
      <c r="K540" s="148" t="inlineStr">
        <is>
          <t>B0HK5V5KL1</t>
        </is>
      </c>
      <c r="L540" s="148" t="inlineStr">
        <is>
          <t>B09PYQ2VQL</t>
        </is>
      </c>
      <c r="M540" s="148" t="n">
        <v>79</v>
      </c>
      <c r="N540" s="148" t="n">
        <v>54.9</v>
      </c>
      <c r="O540" s="148" t="n">
        <v>64.90000000000001</v>
      </c>
      <c r="P540" s="148">
        <f>IF(AND(ISNUMBER(O540),ISNUMBER(N540),N(N540)&gt;0),O540/N540-1,"")</f>
        <v/>
      </c>
      <c r="Q540" s="148" t="n">
        <v>84.98999999999999</v>
      </c>
      <c r="R540" s="148">
        <f>IF(AND(ISNUMBER(N540),ISNUMBER(Q540),N(Q540)&gt;0),N540/Q540-1,"")</f>
        <v/>
      </c>
      <c r="S540" s="148" t="n">
        <v>26044</v>
      </c>
      <c r="T540" s="148" t="n">
        <v>5</v>
      </c>
      <c r="U540" s="148" t="n">
        <v>4.4</v>
      </c>
      <c r="V540" s="148" t="n">
        <v>6629</v>
      </c>
      <c r="W540" s="148" t="n">
        <v>55207</v>
      </c>
      <c r="X540" s="148" t="n">
        <v>0.5098780408281561</v>
      </c>
      <c r="Y540" s="148" t="n">
        <v>68</v>
      </c>
      <c r="Z540" s="148" t="n">
        <v>72</v>
      </c>
      <c r="AA540" s="148" t="n">
        <v>470</v>
      </c>
      <c r="AB540" s="148" t="n"/>
      <c r="AC540" s="148" t="inlineStr">
        <is>
          <t>US SL Cooling 4pc</t>
        </is>
      </c>
      <c r="AD540" s="148">
        <f>'US SL Cooling 4pc'!BF136</f>
        <v/>
      </c>
      <c r="AE540" s="148">
        <f>'US SL Cooling 4pc'!BI136</f>
        <v/>
      </c>
      <c r="AF540" s="148" t="inlineStr">
        <is>
          <t>King</t>
        </is>
      </c>
      <c r="AG540" s="148" t="inlineStr">
        <is>
          <t>01 - Dark Grey</t>
        </is>
      </c>
      <c r="AH540" s="148">
        <f>AND(E540="CA",OR('CA Dashboard'!$C$4="All",'CA Dashboard'!$C$4=D540),OR('CA Dashboard'!$C$5="All",'CA Dashboard'!$C$5=G540),OR('CA Dashboard'!$C$6="All",'CA Dashboard'!$C$6=H540),OR('CA Dashboard'!$C$7="All",'CA Dashboard'!$C$7=F540),OR('CA Dashboard'!$C$8="All",'CA Dashboard'!$C$8=AJ540))</f>
        <v/>
      </c>
      <c r="AI540" s="148">
        <f>IF(AH540,AI539+1,AI539)</f>
        <v/>
      </c>
      <c r="AJ540" s="148" t="inlineStr">
        <is>
          <t>Alternative material</t>
        </is>
      </c>
      <c r="AK540" s="148" t="inlineStr">
        <is>
          <t>Sheet set in Bamboo viscose (product page material: Viscose Derived from Bamboo); ours is Synthetic cooling knit (BreezeWeave cooling fabric, nylon-spandex like CooLoom (confirmed Oct 15, 2026)). Shopper may cross-shop, but not like-for-like.</t>
        </is>
      </c>
    </row>
    <row r="541">
      <c r="A541" s="148">
        <f>AND(E541="US",OR('US Dashboard'!$C$4="All",'US Dashboard'!$C$4=D541),OR('US Dashboard'!$C$5="All",'US Dashboard'!$C$5=G541),OR('US Dashboard'!$C$6="All",'US Dashboard'!$C$6=H541),OR('US Dashboard'!$C$7="All",'US Dashboard'!$C$7=F541),OR('US Dashboard'!$C$8="All",'US Dashboard'!$C$8=AJ541))</f>
        <v/>
      </c>
      <c r="B541" s="148">
        <f>IF(A541,B540+1,B540)</f>
        <v/>
      </c>
      <c r="C541" s="148" t="n">
        <v>45</v>
      </c>
      <c r="D541" s="148" t="inlineStr">
        <is>
          <t>SL Cooling 4pc</t>
        </is>
      </c>
      <c r="E541" s="148" t="inlineStr">
        <is>
          <t>US</t>
        </is>
      </c>
      <c r="F541" s="148" t="inlineStr">
        <is>
          <t>Cooling</t>
        </is>
      </c>
      <c r="G541" s="148" t="inlineStr">
        <is>
          <t>Brookstone</t>
        </is>
      </c>
      <c r="H541" s="148" t="inlineStr">
        <is>
          <t>Poor</t>
        </is>
      </c>
      <c r="I541" s="148" t="inlineStr">
        <is>
          <t>Cooling Fitted Sheet</t>
        </is>
      </c>
      <c r="J541" s="148" t="inlineStr">
        <is>
          <t>https://m.media-amazon.com/images/I/81j0ZgsAvbL._AC_SL1500_.jpg</t>
        </is>
      </c>
      <c r="K541" s="148" t="inlineStr">
        <is>
          <t>B0CXB579TZ</t>
        </is>
      </c>
      <c r="L541" s="148" t="inlineStr">
        <is>
          <t>B0CTKM53QJ</t>
        </is>
      </c>
      <c r="M541" s="148" t="n"/>
      <c r="N541" s="148" t="n">
        <v>49.99</v>
      </c>
      <c r="O541" s="148" t="n"/>
      <c r="P541" s="148">
        <f>IF(AND(ISNUMBER(O541),ISNUMBER(N541),N(N541)&gt;0),O541/N541-1,"")</f>
        <v/>
      </c>
      <c r="Q541" s="148" t="n">
        <v>59.99</v>
      </c>
      <c r="R541" s="148">
        <f>IF(AND(ISNUMBER(N541),ISNUMBER(Q541),N(Q541)&gt;0),N541/Q541-1,"")</f>
        <v/>
      </c>
      <c r="S541" s="148" t="n">
        <v>501090</v>
      </c>
      <c r="T541" s="148" t="n">
        <v>5</v>
      </c>
      <c r="U541" s="148" t="n">
        <v>4.1</v>
      </c>
      <c r="V541" s="148" t="n">
        <v>184</v>
      </c>
      <c r="W541" s="148" t="n"/>
      <c r="X541" s="148" t="n"/>
      <c r="Y541" s="148" t="n"/>
      <c r="Z541" s="148" t="n"/>
      <c r="AA541" s="148" t="n"/>
      <c r="AB541" s="148" t="n"/>
      <c r="AC541" s="148" t="inlineStr">
        <is>
          <t>US SL Cooling 4pc</t>
        </is>
      </c>
      <c r="AD541" s="148">
        <f>'US SL Cooling 4pc'!BF137</f>
        <v/>
      </c>
      <c r="AE541" s="148">
        <f>'US SL Cooling 4pc'!BI137</f>
        <v/>
      </c>
      <c r="AF541" s="148" t="inlineStr">
        <is>
          <t>Twin</t>
        </is>
      </c>
      <c r="AG541" s="148" t="inlineStr">
        <is>
          <t>Gray</t>
        </is>
      </c>
      <c r="AH541" s="148">
        <f>AND(E541="CA",OR('CA Dashboard'!$C$4="All",'CA Dashboard'!$C$4=D541),OR('CA Dashboard'!$C$5="All",'CA Dashboard'!$C$5=G541),OR('CA Dashboard'!$C$6="All",'CA Dashboard'!$C$6=H541),OR('CA Dashboard'!$C$7="All",'CA Dashboard'!$C$7=F541),OR('CA Dashboard'!$C$8="All",'CA Dashboard'!$C$8=AJ541))</f>
        <v/>
      </c>
      <c r="AI541" s="148">
        <f>IF(AH541,AI540+1,AI540)</f>
        <v/>
      </c>
      <c r="AJ541" s="148" t="inlineStr">
        <is>
          <t>Different product type</t>
        </is>
      </c>
      <c r="AK541" s="148" t="inlineStr">
        <is>
          <t>Sells a fitted sheet; ours is a sheet set.</t>
        </is>
      </c>
    </row>
    <row r="542">
      <c r="A542" s="148">
        <f>AND(E542="US",OR('US Dashboard'!$C$4="All",'US Dashboard'!$C$4=D542),OR('US Dashboard'!$C$5="All",'US Dashboard'!$C$5=G542),OR('US Dashboard'!$C$6="All",'US Dashboard'!$C$6=H542),OR('US Dashboard'!$C$7="All",'US Dashboard'!$C$7=F542),OR('US Dashboard'!$C$8="All",'US Dashboard'!$C$8=AJ542))</f>
        <v/>
      </c>
      <c r="B542" s="148">
        <f>IF(A542,B541+1,B541)</f>
        <v/>
      </c>
      <c r="C542" s="148" t="n">
        <v>45</v>
      </c>
      <c r="D542" s="148" t="inlineStr">
        <is>
          <t>SL Cooling 4pc</t>
        </is>
      </c>
      <c r="E542" s="148" t="inlineStr">
        <is>
          <t>US</t>
        </is>
      </c>
      <c r="F542" s="148" t="inlineStr">
        <is>
          <t>Cooling</t>
        </is>
      </c>
      <c r="G542" s="148" t="inlineStr">
        <is>
          <t>Comfort Spaces</t>
        </is>
      </c>
      <c r="H542" s="148" t="inlineStr">
        <is>
          <t>Untiered</t>
        </is>
      </c>
      <c r="I542" s="148" t="inlineStr">
        <is>
          <t>Comfort Spaces Coolmax Moisture Wicking Fitted Sheet ONLY Super Soft, Fade Resis</t>
        </is>
      </c>
      <c r="J542" s="148" t="inlineStr">
        <is>
          <t>https://m.media-amazon.com/images/I/71RjhAXQgpL._AC_SL1500_.jpg</t>
        </is>
      </c>
      <c r="K542" s="148" t="inlineStr">
        <is>
          <t>B0DCGL5646</t>
        </is>
      </c>
      <c r="L542" s="148" t="inlineStr">
        <is>
          <t>B09GV8SK79</t>
        </is>
      </c>
      <c r="M542" s="148" t="n"/>
      <c r="N542" s="148" t="n">
        <v>16.1</v>
      </c>
      <c r="O542" s="148" t="n"/>
      <c r="P542" s="148">
        <f>IF(AND(ISNUMBER(O542),ISNUMBER(N542),N(N542)&gt;0),O542/N542-1,"")</f>
        <v/>
      </c>
      <c r="Q542" s="148" t="n">
        <v>79.98999999999999</v>
      </c>
      <c r="R542" s="148">
        <f>IF(AND(ISNUMBER(N542),ISNUMBER(Q542),N(Q542)&gt;0),N542/Q542-1,"")</f>
        <v/>
      </c>
      <c r="S542" s="148" t="n">
        <v>6671</v>
      </c>
      <c r="T542" s="148" t="n">
        <v>185</v>
      </c>
      <c r="U542" s="148" t="n">
        <v>4.2</v>
      </c>
      <c r="V542" s="148" t="n">
        <v>1336</v>
      </c>
      <c r="W542" s="148" t="n"/>
      <c r="X542" s="148" t="n"/>
      <c r="Y542" s="148" t="n"/>
      <c r="Z542" s="148" t="n"/>
      <c r="AA542" s="148" t="n"/>
      <c r="AB542" s="148" t="n"/>
      <c r="AC542" s="148" t="inlineStr">
        <is>
          <t>US SL Cooling 4pc</t>
        </is>
      </c>
      <c r="AD542" s="148">
        <f>'US SL Cooling 4pc'!BF138</f>
        <v/>
      </c>
      <c r="AE542" s="148">
        <f>'US SL Cooling 4pc'!BI138</f>
        <v/>
      </c>
      <c r="AF542" s="148" t="inlineStr">
        <is>
          <t>Queen Deep Pocket</t>
        </is>
      </c>
      <c r="AG542" s="148" t="inlineStr">
        <is>
          <t>Grey</t>
        </is>
      </c>
      <c r="AH542" s="148">
        <f>AND(E542="CA",OR('CA Dashboard'!$C$4="All",'CA Dashboard'!$C$4=D542),OR('CA Dashboard'!$C$5="All",'CA Dashboard'!$C$5=G542),OR('CA Dashboard'!$C$6="All",'CA Dashboard'!$C$6=H542),OR('CA Dashboard'!$C$7="All",'CA Dashboard'!$C$7=F542),OR('CA Dashboard'!$C$8="All",'CA Dashboard'!$C$8=AJ542))</f>
        <v/>
      </c>
      <c r="AI542" s="148">
        <f>IF(AH542,AI541+1,AI541)</f>
        <v/>
      </c>
      <c r="AJ542" s="148" t="inlineStr">
        <is>
          <t>Different product type</t>
        </is>
      </c>
      <c r="AK542" s="148" t="inlineStr">
        <is>
          <t>Sells a fitted sheet; ours is a sheet set.</t>
        </is>
      </c>
    </row>
    <row r="543">
      <c r="A543" s="148">
        <f>AND(E543="US",OR('US Dashboard'!$C$4="All",'US Dashboard'!$C$4=D543),OR('US Dashboard'!$C$5="All",'US Dashboard'!$C$5=G543),OR('US Dashboard'!$C$6="All",'US Dashboard'!$C$6=H543),OR('US Dashboard'!$C$7="All",'US Dashboard'!$C$7=F543),OR('US Dashboard'!$C$8="All",'US Dashboard'!$C$8=AJ543))</f>
        <v/>
      </c>
      <c r="B543" s="148">
        <f>IF(A543,B542+1,B542)</f>
        <v/>
      </c>
      <c r="C543" s="148" t="n">
        <v>76</v>
      </c>
      <c r="D543" s="148" t="inlineStr">
        <is>
          <t>SL Cooling 6pc</t>
        </is>
      </c>
      <c r="E543" s="148" t="inlineStr">
        <is>
          <t>US</t>
        </is>
      </c>
      <c r="F543" s="148" t="inlineStr">
        <is>
          <t>Cooling</t>
        </is>
      </c>
      <c r="G543" s="148" t="inlineStr">
        <is>
          <t>REST</t>
        </is>
      </c>
      <c r="H543" s="148" t="inlineStr">
        <is>
          <t>Untiered</t>
        </is>
      </c>
      <c r="I543" s="148" t="inlineStr">
        <is>
          <t>Cooling Sheets</t>
        </is>
      </c>
      <c r="J543" s="148" t="inlineStr">
        <is>
          <t>https://m.media-amazon.com/images/I/71lWpVXtIFL._AC_SL1500_.jpg</t>
        </is>
      </c>
      <c r="K543" s="148" t="inlineStr">
        <is>
          <t>B0HC6866B7</t>
        </is>
      </c>
      <c r="L543" s="148" t="inlineStr">
        <is>
          <t>B0D9JHBBCZ</t>
        </is>
      </c>
      <c r="M543" s="148" t="n">
        <v>69</v>
      </c>
      <c r="N543" s="148" t="n">
        <v>224.25</v>
      </c>
      <c r="O543" s="148" t="n">
        <v>299</v>
      </c>
      <c r="P543" s="148">
        <f>IF(AND(ISNUMBER(O543),ISNUMBER(N543),N(N543)&gt;0),O543/N543-1,"")</f>
        <v/>
      </c>
      <c r="Q543" s="148" t="n"/>
      <c r="R543" s="148">
        <f>IF(AND(ISNUMBER(N543),ISNUMBER(Q543),N(Q543)&gt;0),N543/Q543-1,"")</f>
        <v/>
      </c>
      <c r="S543" s="148" t="n">
        <v>5255</v>
      </c>
      <c r="T543" s="148" t="n">
        <v>81</v>
      </c>
      <c r="U543" s="148" t="n">
        <v>4.3</v>
      </c>
      <c r="V543" s="148" t="n">
        <v>1149</v>
      </c>
      <c r="W543" s="148" t="n">
        <v>522593</v>
      </c>
      <c r="X543" s="148" t="n">
        <v>0.2234137663535486</v>
      </c>
      <c r="Y543" s="148" t="n"/>
      <c r="Z543" s="148" t="n"/>
      <c r="AA543" s="148" t="n"/>
      <c r="AB543" s="148" t="n"/>
      <c r="AC543" s="148" t="inlineStr">
        <is>
          <t>US SL Cooling 6pc</t>
        </is>
      </c>
      <c r="AD543" s="148">
        <f>'US SL Cooling 6pc'!BF92</f>
        <v/>
      </c>
      <c r="AE543" s="148">
        <f>'US SL Cooling 6pc'!BI92</f>
        <v/>
      </c>
      <c r="AF543" s="148" t="inlineStr">
        <is>
          <t>Queen</t>
        </is>
      </c>
      <c r="AG543" s="148" t="inlineStr">
        <is>
          <t>Midnight Blue</t>
        </is>
      </c>
      <c r="AH543" s="148">
        <f>AND(E543="CA",OR('CA Dashboard'!$C$4="All",'CA Dashboard'!$C$4=D543),OR('CA Dashboard'!$C$5="All",'CA Dashboard'!$C$5=G543),OR('CA Dashboard'!$C$6="All",'CA Dashboard'!$C$6=H543),OR('CA Dashboard'!$C$7="All",'CA Dashboard'!$C$7=F543),OR('CA Dashboard'!$C$8="All",'CA Dashboard'!$C$8=AJ543))</f>
        <v/>
      </c>
      <c r="AI543" s="148">
        <f>IF(AH543,AI542+1,AI542)</f>
        <v/>
      </c>
      <c r="AJ543" s="148" t="inlineStr">
        <is>
          <t>Direct</t>
        </is>
      </c>
      <c r="AK543" s="148" t="inlineStr">
        <is>
          <t>Same product (sheet set) in the same material family: Synthetic cooling knit (product page material: Antistatic, IONIC+ Silver Nylon, Nylon, Spandex, Skin Friend); ours: BreezeWeave cooling fabric, nylon-spandex like CooLoom (confirmed Oct 15, 2026).</t>
        </is>
      </c>
    </row>
    <row r="544">
      <c r="A544" s="148">
        <f>AND(E544="US",OR('US Dashboard'!$C$4="All",'US Dashboard'!$C$4=D544),OR('US Dashboard'!$C$5="All",'US Dashboard'!$C$5=G544),OR('US Dashboard'!$C$6="All",'US Dashboard'!$C$6=H544),OR('US Dashboard'!$C$7="All",'US Dashboard'!$C$7=F544),OR('US Dashboard'!$C$8="All",'US Dashboard'!$C$8=AJ544))</f>
        <v/>
      </c>
      <c r="B544" s="148">
        <f>IF(A544,B543+1,B543)</f>
        <v/>
      </c>
      <c r="C544" s="148" t="n">
        <v>76</v>
      </c>
      <c r="D544" s="148" t="inlineStr">
        <is>
          <t>SL Cooling 6pc</t>
        </is>
      </c>
      <c r="E544" s="148" t="inlineStr">
        <is>
          <t>US</t>
        </is>
      </c>
      <c r="F544" s="148" t="inlineStr">
        <is>
          <t>Cooling</t>
        </is>
      </c>
      <c r="G544" s="148" t="inlineStr">
        <is>
          <t>Breescape</t>
        </is>
      </c>
      <c r="H544" s="148" t="inlineStr">
        <is>
          <t>Untiered</t>
        </is>
      </c>
      <c r="I544" s="148" t="inlineStr">
        <is>
          <t>Cooling Sheets</t>
        </is>
      </c>
      <c r="J544" s="148" t="inlineStr">
        <is>
          <t>https://m.media-amazon.com/images/I/81o+wGCszCL._AC_SL1500_.jpg</t>
        </is>
      </c>
      <c r="K544" s="148" t="inlineStr">
        <is>
          <t>B0H41M1N4B</t>
        </is>
      </c>
      <c r="L544" s="148" t="inlineStr">
        <is>
          <t>B0DSPZJKTB</t>
        </is>
      </c>
      <c r="M544" s="148" t="n">
        <v>26</v>
      </c>
      <c r="N544" s="148" t="n">
        <v>149.99</v>
      </c>
      <c r="O544" s="148" t="n">
        <v>179.99</v>
      </c>
      <c r="P544" s="148">
        <f>IF(AND(ISNUMBER(O544),ISNUMBER(N544),N(N544)&gt;0),O544/N544-1,"")</f>
        <v/>
      </c>
      <c r="Q544" s="148" t="n"/>
      <c r="R544" s="148">
        <f>IF(AND(ISNUMBER(N544),ISNUMBER(Q544),N(Q544)&gt;0),N544/Q544-1,"")</f>
        <v/>
      </c>
      <c r="S544" s="148" t="n">
        <v>49910</v>
      </c>
      <c r="T544" s="148" t="n">
        <v>35</v>
      </c>
      <c r="U544" s="148" t="n">
        <v>4.2</v>
      </c>
      <c r="V544" s="148" t="n">
        <v>595</v>
      </c>
      <c r="W544" s="148" t="n">
        <v>107224</v>
      </c>
      <c r="X544" s="148" t="n">
        <v>0.5282540960978878</v>
      </c>
      <c r="Y544" s="148" t="n"/>
      <c r="Z544" s="148" t="n"/>
      <c r="AA544" s="148" t="n"/>
      <c r="AB544" s="148" t="n">
        <v>1.443271767810026</v>
      </c>
      <c r="AC544" s="148" t="inlineStr">
        <is>
          <t>US SL Cooling 6pc</t>
        </is>
      </c>
      <c r="AD544" s="148">
        <f>'US SL Cooling 6pc'!BF93</f>
        <v/>
      </c>
      <c r="AE544" s="148">
        <f>'US SL Cooling 6pc'!BI93</f>
        <v/>
      </c>
      <c r="AF544" s="148" t="inlineStr">
        <is>
          <t>King</t>
        </is>
      </c>
      <c r="AG544" s="148" t="inlineStr">
        <is>
          <t>Gray</t>
        </is>
      </c>
      <c r="AH544" s="148">
        <f>AND(E544="CA",OR('CA Dashboard'!$C$4="All",'CA Dashboard'!$C$4=D544),OR('CA Dashboard'!$C$5="All",'CA Dashboard'!$C$5=G544),OR('CA Dashboard'!$C$6="All",'CA Dashboard'!$C$6=H544),OR('CA Dashboard'!$C$7="All",'CA Dashboard'!$C$7=F544),OR('CA Dashboard'!$C$8="All",'CA Dashboard'!$C$8=AJ544))</f>
        <v/>
      </c>
      <c r="AI544" s="148">
        <f>IF(AH544,AI543+1,AI543)</f>
        <v/>
      </c>
      <c r="AJ544" s="148" t="inlineStr">
        <is>
          <t>Direct</t>
        </is>
      </c>
      <c r="AK544" s="148" t="inlineStr">
        <is>
          <t>Same product (sheet set) in the same material family: Synthetic cooling knit (product page material: BlendTek Fabric: 69% Nylon, 20% Polyester, 11% Spandex); ours: BreezeWeave cooling fabric, nylon-spandex like CooLoom (confirmed Oct 15, 2026).</t>
        </is>
      </c>
    </row>
    <row r="545">
      <c r="A545" s="148">
        <f>AND(E545="US",OR('US Dashboard'!$C$4="All",'US Dashboard'!$C$4=D545),OR('US Dashboard'!$C$5="All",'US Dashboard'!$C$5=G545),OR('US Dashboard'!$C$6="All",'US Dashboard'!$C$6=H545),OR('US Dashboard'!$C$7="All",'US Dashboard'!$C$7=F545),OR('US Dashboard'!$C$8="All",'US Dashboard'!$C$8=AJ545))</f>
        <v/>
      </c>
      <c r="B545" s="148">
        <f>IF(A545,B544+1,B544)</f>
        <v/>
      </c>
      <c r="C545" s="148" t="n">
        <v>76</v>
      </c>
      <c r="D545" s="148" t="inlineStr">
        <is>
          <t>SL Cooling 6pc</t>
        </is>
      </c>
      <c r="E545" s="148" t="inlineStr">
        <is>
          <t>US</t>
        </is>
      </c>
      <c r="F545" s="148" t="inlineStr">
        <is>
          <t>Cooling</t>
        </is>
      </c>
      <c r="G545" s="148" t="inlineStr">
        <is>
          <t>DOWNCOOL</t>
        </is>
      </c>
      <c r="H545" s="148" t="inlineStr">
        <is>
          <t>Untiered</t>
        </is>
      </c>
      <c r="I545" s="148" t="inlineStr">
        <is>
          <t>Cooling Sheets</t>
        </is>
      </c>
      <c r="J545" s="148" t="inlineStr">
        <is>
          <t>https://m.media-amazon.com/images/I/613kYEKI4UL._AC_SL1500_.jpg</t>
        </is>
      </c>
      <c r="K545" s="148" t="inlineStr">
        <is>
          <t>B0F93XRVSZ</t>
        </is>
      </c>
      <c r="L545" s="148" t="inlineStr">
        <is>
          <t>B0F93XRVSZ</t>
        </is>
      </c>
      <c r="M545" s="148" t="n"/>
      <c r="N545" s="148" t="n">
        <v>139.99</v>
      </c>
      <c r="O545" s="148" t="n"/>
      <c r="P545" s="148">
        <f>IF(AND(ISNUMBER(O545),ISNUMBER(N545),N(N545)&gt;0),O545/N545-1,"")</f>
        <v/>
      </c>
      <c r="Q545" s="148" t="n"/>
      <c r="R545" s="148">
        <f>IF(AND(ISNUMBER(N545),ISNUMBER(Q545),N(Q545)&gt;0),N545/Q545-1,"")</f>
        <v/>
      </c>
      <c r="S545" s="148" t="n">
        <v>2798999</v>
      </c>
      <c r="T545" s="148" t="n">
        <v>5</v>
      </c>
      <c r="U545" s="148" t="n">
        <v>4.2</v>
      </c>
      <c r="V545" s="148" t="n">
        <v>6</v>
      </c>
      <c r="W545" s="148" t="n"/>
      <c r="X545" s="148" t="n"/>
      <c r="Y545" s="148" t="n"/>
      <c r="Z545" s="148" t="n"/>
      <c r="AA545" s="148" t="n"/>
      <c r="AB545" s="148" t="n"/>
      <c r="AC545" s="148" t="inlineStr">
        <is>
          <t>US SL Cooling 6pc</t>
        </is>
      </c>
      <c r="AD545" s="148">
        <f>'US SL Cooling 6pc'!BF94</f>
        <v/>
      </c>
      <c r="AE545" s="148">
        <f>'US SL Cooling 6pc'!BI94</f>
        <v/>
      </c>
      <c r="AF545" s="148" t="inlineStr">
        <is>
          <t>Full</t>
        </is>
      </c>
      <c r="AG545" s="148" t="inlineStr">
        <is>
          <t>White</t>
        </is>
      </c>
      <c r="AH545" s="148">
        <f>AND(E545="CA",OR('CA Dashboard'!$C$4="All",'CA Dashboard'!$C$4=D545),OR('CA Dashboard'!$C$5="All",'CA Dashboard'!$C$5=G545),OR('CA Dashboard'!$C$6="All",'CA Dashboard'!$C$6=H545),OR('CA Dashboard'!$C$7="All",'CA Dashboard'!$C$7=F545),OR('CA Dashboard'!$C$8="All",'CA Dashboard'!$C$8=AJ545))</f>
        <v/>
      </c>
      <c r="AI545" s="148">
        <f>IF(AH545,AI544+1,AI544)</f>
        <v/>
      </c>
      <c r="AJ545" s="148" t="inlineStr">
        <is>
          <t>Direct</t>
        </is>
      </c>
      <c r="AK545" s="148" t="inlineStr">
        <is>
          <t>Same product (sheet set) in the same material family: Synthetic cooling knit (product page material: Nylon); ours: BreezeWeave cooling fabric, nylon-spandex like CooLoom (confirmed Oct 15, 2026).</t>
        </is>
      </c>
    </row>
    <row r="546">
      <c r="A546" s="148">
        <f>AND(E546="US",OR('US Dashboard'!$C$4="All",'US Dashboard'!$C$4=D546),OR('US Dashboard'!$C$5="All",'US Dashboard'!$C$5=G546),OR('US Dashboard'!$C$6="All",'US Dashboard'!$C$6=H546),OR('US Dashboard'!$C$7="All",'US Dashboard'!$C$7=F546),OR('US Dashboard'!$C$8="All",'US Dashboard'!$C$8=AJ546))</f>
        <v/>
      </c>
      <c r="B546" s="148">
        <f>IF(A546,B545+1,B545)</f>
        <v/>
      </c>
      <c r="C546" s="148" t="n">
        <v>76</v>
      </c>
      <c r="D546" s="148" t="inlineStr">
        <is>
          <t>SL Cooling 6pc</t>
        </is>
      </c>
      <c r="E546" s="148" t="inlineStr">
        <is>
          <t>US</t>
        </is>
      </c>
      <c r="F546" s="148" t="inlineStr">
        <is>
          <t>Cooling</t>
        </is>
      </c>
      <c r="G546" s="148" t="inlineStr">
        <is>
          <t>Bedsure</t>
        </is>
      </c>
      <c r="H546" s="148" t="inlineStr">
        <is>
          <t>Untiered</t>
        </is>
      </c>
      <c r="I546" s="148" t="inlineStr">
        <is>
          <t>Cooling Sheets</t>
        </is>
      </c>
      <c r="J546" s="148" t="inlineStr">
        <is>
          <t>https://m.media-amazon.com/images/I/61lUaTQjkAL._AC_SL1500_.jpg</t>
        </is>
      </c>
      <c r="K546" s="148" t="inlineStr">
        <is>
          <t>B0CPDTJ5NN</t>
        </is>
      </c>
      <c r="L546" s="148" t="inlineStr">
        <is>
          <t>B0CPDR5DDM</t>
        </is>
      </c>
      <c r="M546" s="148" t="n">
        <v>1</v>
      </c>
      <c r="N546" s="148" t="n">
        <v>149.99</v>
      </c>
      <c r="O546" s="148" t="n"/>
      <c r="P546" s="148">
        <f>IF(AND(ISNUMBER(O546),ISNUMBER(N546),N(N546)&gt;0),O546/N546-1,"")</f>
        <v/>
      </c>
      <c r="Q546" s="148" t="n"/>
      <c r="R546" s="148">
        <f>IF(AND(ISNUMBER(N546),ISNUMBER(Q546),N(Q546)&gt;0),N546/Q546-1,"")</f>
        <v/>
      </c>
      <c r="S546" s="148" t="n">
        <v>463922</v>
      </c>
      <c r="T546" s="148" t="n">
        <v>5</v>
      </c>
      <c r="U546" s="148" t="n">
        <v>4.2</v>
      </c>
      <c r="V546" s="148" t="n">
        <v>512</v>
      </c>
      <c r="W546" s="148" t="n">
        <v>170</v>
      </c>
      <c r="X546" s="148" t="n">
        <v>1</v>
      </c>
      <c r="Y546" s="148" t="n"/>
      <c r="Z546" s="148" t="n"/>
      <c r="AA546" s="148" t="n"/>
      <c r="AB546" s="148" t="n"/>
      <c r="AC546" s="148" t="inlineStr">
        <is>
          <t>US SL Cooling 6pc</t>
        </is>
      </c>
      <c r="AD546" s="148">
        <f>'US SL Cooling 6pc'!BF95</f>
        <v/>
      </c>
      <c r="AE546" s="148">
        <f>'US SL Cooling 6pc'!BI95</f>
        <v/>
      </c>
      <c r="AF546" s="148" t="inlineStr">
        <is>
          <t>Queen</t>
        </is>
      </c>
      <c r="AG546" s="148" t="inlineStr">
        <is>
          <t>01 - Grey</t>
        </is>
      </c>
      <c r="AH546" s="148">
        <f>AND(E546="CA",OR('CA Dashboard'!$C$4="All",'CA Dashboard'!$C$4=D546),OR('CA Dashboard'!$C$5="All",'CA Dashboard'!$C$5=G546),OR('CA Dashboard'!$C$6="All",'CA Dashboard'!$C$6=H546),OR('CA Dashboard'!$C$7="All",'CA Dashboard'!$C$7=F546),OR('CA Dashboard'!$C$8="All",'CA Dashboard'!$C$8=AJ546))</f>
        <v/>
      </c>
      <c r="AI546" s="148">
        <f>IF(AH546,AI545+1,AI545)</f>
        <v/>
      </c>
      <c r="AJ546" s="148" t="inlineStr">
        <is>
          <t>Material not verified</t>
        </is>
      </c>
      <c r="AK546" s="148" t="inlineStr">
        <is>
          <t>Sheet set like ours, but the material is not stated (material not stated on the page or in the title); verify before treating as direct.</t>
        </is>
      </c>
    </row>
    <row r="547">
      <c r="A547" s="148">
        <f>AND(E547="US",OR('US Dashboard'!$C$4="All",'US Dashboard'!$C$4=D547),OR('US Dashboard'!$C$5="All",'US Dashboard'!$C$5=G547),OR('US Dashboard'!$C$6="All",'US Dashboard'!$C$6=H547),OR('US Dashboard'!$C$7="All",'US Dashboard'!$C$7=F547),OR('US Dashboard'!$C$8="All",'US Dashboard'!$C$8=AJ547))</f>
        <v/>
      </c>
      <c r="B547" s="148">
        <f>IF(A547,B546+1,B546)</f>
        <v/>
      </c>
      <c r="C547" s="148" t="n">
        <v>76</v>
      </c>
      <c r="D547" s="148" t="inlineStr">
        <is>
          <t>SL Cooling 6pc</t>
        </is>
      </c>
      <c r="E547" s="148" t="inlineStr">
        <is>
          <t>US</t>
        </is>
      </c>
      <c r="F547" s="148" t="inlineStr">
        <is>
          <t>Cooling</t>
        </is>
      </c>
      <c r="G547" s="148" t="inlineStr">
        <is>
          <t>David's Home</t>
        </is>
      </c>
      <c r="H547" s="148" t="inlineStr">
        <is>
          <t>Untiered</t>
        </is>
      </c>
      <c r="I547" s="148" t="inlineStr">
        <is>
          <t>Cooling Sheets</t>
        </is>
      </c>
      <c r="J547" s="148" t="n"/>
      <c r="K547" s="148" t="inlineStr">
        <is>
          <t>B0D1SRR2H4</t>
        </is>
      </c>
      <c r="L547" s="148" t="inlineStr">
        <is>
          <t>B0D1RBXBNG</t>
        </is>
      </c>
      <c r="M547" s="148" t="n"/>
      <c r="N547" s="148" t="n">
        <v>24.99</v>
      </c>
      <c r="O547" s="148" t="n"/>
      <c r="P547" s="148">
        <f>IF(AND(ISNUMBER(O547),ISNUMBER(N547),N(N547)&gt;0),O547/N547-1,"")</f>
        <v/>
      </c>
      <c r="Q547" s="148" t="n"/>
      <c r="R547" s="148">
        <f>IF(AND(ISNUMBER(N547),ISNUMBER(Q547),N(Q547)&gt;0),N547/Q547-1,"")</f>
        <v/>
      </c>
      <c r="S547" s="148" t="n">
        <v>758020</v>
      </c>
      <c r="T547" s="148" t="n"/>
      <c r="U547" s="148" t="n">
        <v>4.3</v>
      </c>
      <c r="V547" s="148" t="n">
        <v>169</v>
      </c>
      <c r="W547" s="148" t="n"/>
      <c r="X547" s="148" t="n"/>
      <c r="Y547" s="148" t="n"/>
      <c r="Z547" s="148" t="n"/>
      <c r="AA547" s="148" t="n"/>
      <c r="AB547" s="148" t="n"/>
      <c r="AC547" s="148" t="inlineStr">
        <is>
          <t>US SL Cooling 6pc</t>
        </is>
      </c>
      <c r="AD547" s="148">
        <f>'US SL Cooling 6pc'!BF96</f>
        <v/>
      </c>
      <c r="AE547" s="148">
        <f>'US SL Cooling 6pc'!BI96</f>
        <v/>
      </c>
      <c r="AF547" s="148" t="n"/>
      <c r="AG547" s="148" t="n"/>
      <c r="AH547" s="148">
        <f>AND(E547="CA",OR('CA Dashboard'!$C$4="All",'CA Dashboard'!$C$4=D547),OR('CA Dashboard'!$C$5="All",'CA Dashboard'!$C$5=G547),OR('CA Dashboard'!$C$6="All",'CA Dashboard'!$C$6=H547),OR('CA Dashboard'!$C$7="All",'CA Dashboard'!$C$7=F547),OR('CA Dashboard'!$C$8="All",'CA Dashboard'!$C$8=AJ547))</f>
        <v/>
      </c>
      <c r="AI547" s="148">
        <f>IF(AH547,AI546+1,AI546)</f>
        <v/>
      </c>
      <c r="AJ547" s="148" t="inlineStr">
        <is>
          <t>Material not verified</t>
        </is>
      </c>
      <c r="AK547" s="148" t="inlineStr">
        <is>
          <t>Sheet set like ours, but the material is not stated (material not stated on the page or in the title); verify before treating as direct.</t>
        </is>
      </c>
    </row>
    <row r="548">
      <c r="A548" s="148">
        <f>AND(E548="US",OR('US Dashboard'!$C$4="All",'US Dashboard'!$C$4=D548),OR('US Dashboard'!$C$5="All",'US Dashboard'!$C$5=G548),OR('US Dashboard'!$C$6="All",'US Dashboard'!$C$6=H548),OR('US Dashboard'!$C$7="All",'US Dashboard'!$C$7=F548),OR('US Dashboard'!$C$8="All",'US Dashboard'!$C$8=AJ548))</f>
        <v/>
      </c>
      <c r="B548" s="148">
        <f>IF(A548,B547+1,B547)</f>
        <v/>
      </c>
      <c r="C548" s="148" t="n">
        <v>76</v>
      </c>
      <c r="D548" s="148" t="inlineStr">
        <is>
          <t>SL Cooling 6pc</t>
        </is>
      </c>
      <c r="E548" s="148" t="inlineStr">
        <is>
          <t>US</t>
        </is>
      </c>
      <c r="F548" s="148" t="inlineStr">
        <is>
          <t>Cooling</t>
        </is>
      </c>
      <c r="G548" s="148" t="inlineStr">
        <is>
          <t>Bedsure</t>
        </is>
      </c>
      <c r="H548" s="148" t="inlineStr">
        <is>
          <t>Untiered</t>
        </is>
      </c>
      <c r="I548" s="148" t="inlineStr">
        <is>
          <t>Bedsure PureWoven 100% Rayon Derived from Bamboo, Queen Sheets, 4 Pieces</t>
        </is>
      </c>
      <c r="J548" s="148" t="inlineStr">
        <is>
          <t>https://images-na.ssl-images-amazon.com/images/I/81L2xb5ly6L.jpg</t>
        </is>
      </c>
      <c r="K548" s="148" t="inlineStr">
        <is>
          <t>B0BZ8T5BJ6</t>
        </is>
      </c>
      <c r="L548" s="148" t="inlineStr">
        <is>
          <t>B07YK8VTJV</t>
        </is>
      </c>
      <c r="M548" s="148" t="n">
        <v>131</v>
      </c>
      <c r="N548" s="148" t="n">
        <v>62.99</v>
      </c>
      <c r="O548" s="148" t="n">
        <v>69.98999999999999</v>
      </c>
      <c r="P548" s="148">
        <f>IF(AND(ISNUMBER(O548),ISNUMBER(N548),N(N548)&gt;0),O548/N548-1,"")</f>
        <v/>
      </c>
      <c r="Q548" s="148" t="n"/>
      <c r="R548" s="148">
        <f>IF(AND(ISNUMBER(N548),ISNUMBER(Q548),N(Q548)&gt;0),N548/Q548-1,"")</f>
        <v/>
      </c>
      <c r="S548" s="148" t="n">
        <v>256</v>
      </c>
      <c r="T548" s="148" t="n">
        <v>809</v>
      </c>
      <c r="U548" s="148" t="n">
        <v>4.4</v>
      </c>
      <c r="V548" s="148" t="n">
        <v>65061</v>
      </c>
      <c r="W548" s="148" t="n">
        <v>2166046</v>
      </c>
      <c r="X548" s="148" t="n">
        <v>0.5902383405984899</v>
      </c>
      <c r="Y548" s="148" t="n"/>
      <c r="Z548" s="148" t="n"/>
      <c r="AA548" s="148" t="n"/>
      <c r="AB548" s="148" t="n">
        <v>1.066623404715553</v>
      </c>
      <c r="AC548" s="148" t="inlineStr">
        <is>
          <t>US SL Cooling 6pc</t>
        </is>
      </c>
      <c r="AD548" s="148">
        <f>'US SL Cooling 6pc'!BF97</f>
        <v/>
      </c>
      <c r="AE548" s="148">
        <f>'US SL Cooling 6pc'!BI97</f>
        <v/>
      </c>
      <c r="AF548" s="148" t="inlineStr">
        <is>
          <t>Queen</t>
        </is>
      </c>
      <c r="AG548" s="148" t="inlineStr">
        <is>
          <t>02 - White</t>
        </is>
      </c>
      <c r="AH548" s="148">
        <f>AND(E548="CA",OR('CA Dashboard'!$C$4="All",'CA Dashboard'!$C$4=D548),OR('CA Dashboard'!$C$5="All",'CA Dashboard'!$C$5=G548),OR('CA Dashboard'!$C$6="All",'CA Dashboard'!$C$6=H548),OR('CA Dashboard'!$C$7="All",'CA Dashboard'!$C$7=F548),OR('CA Dashboard'!$C$8="All",'CA Dashboard'!$C$8=AJ548))</f>
        <v/>
      </c>
      <c r="AI548" s="148">
        <f>IF(AH548,AI547+1,AI547)</f>
        <v/>
      </c>
      <c r="AJ548" s="148" t="inlineStr">
        <is>
          <t>Alternative material</t>
        </is>
      </c>
      <c r="AK548" s="148" t="inlineStr">
        <is>
          <t>Sheet set in Bamboo viscose (product page material: Rayon Derived from Bamboo); ours is Synthetic cooling knit (BreezeWeave cooling fabric, nylon-spandex like CooLoom (confirmed Oct 15, 2026)). Shopper may cross-shop, but not like-for-like.</t>
        </is>
      </c>
    </row>
    <row r="549">
      <c r="A549" s="148">
        <f>AND(E549="US",OR('US Dashboard'!$C$4="All",'US Dashboard'!$C$4=D549),OR('US Dashboard'!$C$5="All",'US Dashboard'!$C$5=G549),OR('US Dashboard'!$C$6="All",'US Dashboard'!$C$6=H549),OR('US Dashboard'!$C$7="All",'US Dashboard'!$C$7=F549),OR('US Dashboard'!$C$8="All",'US Dashboard'!$C$8=AJ549))</f>
        <v/>
      </c>
      <c r="B549" s="148">
        <f>IF(A549,B548+1,B548)</f>
        <v/>
      </c>
      <c r="C549" s="148" t="n">
        <v>76</v>
      </c>
      <c r="D549" s="148" t="inlineStr">
        <is>
          <t>SL Cooling 6pc</t>
        </is>
      </c>
      <c r="E549" s="148" t="inlineStr">
        <is>
          <t>US</t>
        </is>
      </c>
      <c r="F549" s="148" t="inlineStr">
        <is>
          <t>Cooling</t>
        </is>
      </c>
      <c r="G549" s="148" t="inlineStr">
        <is>
          <t>OMERAI</t>
        </is>
      </c>
      <c r="H549" s="148" t="inlineStr">
        <is>
          <t>Untiered</t>
        </is>
      </c>
      <c r="I549" s="148" t="inlineStr">
        <is>
          <t>Cooling Sheets</t>
        </is>
      </c>
      <c r="J549" s="148" t="inlineStr">
        <is>
          <t>https://m.media-amazon.com/images/I/818EX2hLSoL._AC_SL1500_.jpg</t>
        </is>
      </c>
      <c r="K549" s="148" t="inlineStr">
        <is>
          <t>B0HDC7BMTC</t>
        </is>
      </c>
      <c r="L549" s="148" t="inlineStr">
        <is>
          <t>B0FX8K1CG9</t>
        </is>
      </c>
      <c r="M549" s="148" t="n">
        <v>10</v>
      </c>
      <c r="N549" s="148" t="n">
        <v>42.99</v>
      </c>
      <c r="O549" s="148" t="n">
        <v>59.99</v>
      </c>
      <c r="P549" s="148">
        <f>IF(AND(ISNUMBER(O549),ISNUMBER(N549),N(N549)&gt;0),O549/N549-1,"")</f>
        <v/>
      </c>
      <c r="Q549" s="148" t="n"/>
      <c r="R549" s="148">
        <f>IF(AND(ISNUMBER(N549),ISNUMBER(Q549),N(Q549)&gt;0),N549/Q549-1,"")</f>
        <v/>
      </c>
      <c r="S549" s="148" t="n">
        <v>115669</v>
      </c>
      <c r="T549" s="148" t="n">
        <v>5</v>
      </c>
      <c r="U549" s="148" t="n">
        <v>4.7</v>
      </c>
      <c r="V549" s="148" t="n">
        <v>4</v>
      </c>
      <c r="W549" s="148" t="n">
        <v>13712</v>
      </c>
      <c r="X549" s="148" t="n">
        <v>0.8852072199533255</v>
      </c>
      <c r="Y549" s="148" t="n"/>
      <c r="Z549" s="148" t="n"/>
      <c r="AA549" s="148" t="n"/>
      <c r="AB549" s="148" t="n"/>
      <c r="AC549" s="148" t="inlineStr">
        <is>
          <t>US SL Cooling 6pc</t>
        </is>
      </c>
      <c r="AD549" s="148">
        <f>'US SL Cooling 6pc'!BF98</f>
        <v/>
      </c>
      <c r="AE549" s="148">
        <f>'US SL Cooling 6pc'!BI98</f>
        <v/>
      </c>
      <c r="AF549" s="148" t="inlineStr">
        <is>
          <t>King 4 PC</t>
        </is>
      </c>
      <c r="AG549" s="148" t="inlineStr">
        <is>
          <t>Blue</t>
        </is>
      </c>
      <c r="AH549" s="148">
        <f>AND(E549="CA",OR('CA Dashboard'!$C$4="All",'CA Dashboard'!$C$4=D549),OR('CA Dashboard'!$C$5="All",'CA Dashboard'!$C$5=G549),OR('CA Dashboard'!$C$6="All",'CA Dashboard'!$C$6=H549),OR('CA Dashboard'!$C$7="All",'CA Dashboard'!$C$7=F549),OR('CA Dashboard'!$C$8="All",'CA Dashboard'!$C$8=AJ549))</f>
        <v/>
      </c>
      <c r="AI549" s="148">
        <f>IF(AH549,AI548+1,AI548)</f>
        <v/>
      </c>
      <c r="AJ549" s="148" t="inlineStr">
        <is>
          <t>Alternative material</t>
        </is>
      </c>
      <c r="AK549" s="148" t="inlineStr">
        <is>
          <t>Sheet set in Microfiber / polyester (product page material: Microfiber); ours is Synthetic cooling knit (BreezeWeave cooling fabric, nylon-spandex like CooLoom (confirmed Oct 15, 2026)). Shopper may cross-shop, but not like-for-like.</t>
        </is>
      </c>
    </row>
    <row r="550">
      <c r="A550" s="148">
        <f>AND(E550="US",OR('US Dashboard'!$C$4="All",'US Dashboard'!$C$4=D550),OR('US Dashboard'!$C$5="All",'US Dashboard'!$C$5=G550),OR('US Dashboard'!$C$6="All",'US Dashboard'!$C$6=H550),OR('US Dashboard'!$C$7="All",'US Dashboard'!$C$7=F550),OR('US Dashboard'!$C$8="All",'US Dashboard'!$C$8=AJ550))</f>
        <v/>
      </c>
      <c r="B550" s="148">
        <f>IF(A550,B549+1,B549)</f>
        <v/>
      </c>
      <c r="C550" s="148" t="n">
        <v>69</v>
      </c>
      <c r="D550" s="148" t="inlineStr">
        <is>
          <t>CL Cooling Sheets</t>
        </is>
      </c>
      <c r="E550" s="148" t="inlineStr">
        <is>
          <t>US</t>
        </is>
      </c>
      <c r="F550" s="148" t="inlineStr">
        <is>
          <t>Cooling</t>
        </is>
      </c>
      <c r="G550" s="148" t="inlineStr">
        <is>
          <t>REST</t>
        </is>
      </c>
      <c r="H550" s="148" t="inlineStr">
        <is>
          <t>Beatable</t>
        </is>
      </c>
      <c r="I550" s="148" t="inlineStr">
        <is>
          <t>Cooling Sheets</t>
        </is>
      </c>
      <c r="J550" s="148" t="inlineStr">
        <is>
          <t>https://m.media-amazon.com/images/I/71lWpVXtIFL._AC_SL1500_.jpg</t>
        </is>
      </c>
      <c r="K550" s="148" t="inlineStr">
        <is>
          <t>B0HC6866B7</t>
        </is>
      </c>
      <c r="L550" s="148" t="inlineStr">
        <is>
          <t>B0D9JHBBCZ</t>
        </is>
      </c>
      <c r="M550" s="148" t="n">
        <v>69</v>
      </c>
      <c r="N550" s="148" t="n">
        <v>224.25</v>
      </c>
      <c r="O550" s="148" t="n">
        <v>299</v>
      </c>
      <c r="P550" s="148">
        <f>IF(AND(ISNUMBER(O550),ISNUMBER(N550),N(N550)&gt;0),O550/N550-1,"")</f>
        <v/>
      </c>
      <c r="Q550" s="148" t="n">
        <v>87.98999999999999</v>
      </c>
      <c r="R550" s="148">
        <f>IF(AND(ISNUMBER(N550),ISNUMBER(Q550),N(Q550)&gt;0),N550/Q550-1,"")</f>
        <v/>
      </c>
      <c r="S550" s="148" t="n">
        <v>5255</v>
      </c>
      <c r="T550" s="148" t="n">
        <v>81</v>
      </c>
      <c r="U550" s="148" t="n">
        <v>4.3</v>
      </c>
      <c r="V550" s="148" t="n">
        <v>1149</v>
      </c>
      <c r="W550" s="148" t="n">
        <v>522593</v>
      </c>
      <c r="X550" s="148" t="n">
        <v>0.2234137663535486</v>
      </c>
      <c r="Y550" s="148" t="n"/>
      <c r="Z550" s="148" t="n"/>
      <c r="AA550" s="148" t="n"/>
      <c r="AB550" s="148" t="n"/>
      <c r="AC550" s="148" t="inlineStr">
        <is>
          <t>US CL Cooling Sheets</t>
        </is>
      </c>
      <c r="AD550" s="148">
        <f>'US CL Cooling Sheets'!BF93</f>
        <v/>
      </c>
      <c r="AE550" s="148">
        <f>'US CL Cooling Sheets'!BI93</f>
        <v/>
      </c>
      <c r="AF550" s="148" t="inlineStr">
        <is>
          <t>Queen</t>
        </is>
      </c>
      <c r="AG550" s="148" t="inlineStr">
        <is>
          <t>Midnight Blue</t>
        </is>
      </c>
      <c r="AH550" s="148">
        <f>AND(E550="CA",OR('CA Dashboard'!$C$4="All",'CA Dashboard'!$C$4=D550),OR('CA Dashboard'!$C$5="All",'CA Dashboard'!$C$5=G550),OR('CA Dashboard'!$C$6="All",'CA Dashboard'!$C$6=H550),OR('CA Dashboard'!$C$7="All",'CA Dashboard'!$C$7=F550),OR('CA Dashboard'!$C$8="All",'CA Dashboard'!$C$8=AJ550))</f>
        <v/>
      </c>
      <c r="AI550" s="148">
        <f>IF(AH550,AI549+1,AI549)</f>
        <v/>
      </c>
      <c r="AJ550" s="148" t="inlineStr">
        <is>
          <t>Direct</t>
        </is>
      </c>
      <c r="AK550" s="148" t="inlineStr">
        <is>
          <t>Same product (sheet set) in the same material family: Synthetic cooling knit (product page material: Antistatic, IONIC+ Silver Nylon, Nylon, Spandex, Skin Friend); ours: product spec: CooLoom, 90% nylon / 10% spandex.</t>
        </is>
      </c>
    </row>
    <row r="551">
      <c r="A551" s="148">
        <f>AND(E551="US",OR('US Dashboard'!$C$4="All",'US Dashboard'!$C$4=D551),OR('US Dashboard'!$C$5="All",'US Dashboard'!$C$5=G551),OR('US Dashboard'!$C$6="All",'US Dashboard'!$C$6=H551),OR('US Dashboard'!$C$7="All",'US Dashboard'!$C$7=F551),OR('US Dashboard'!$C$8="All",'US Dashboard'!$C$8=AJ551))</f>
        <v/>
      </c>
      <c r="B551" s="148">
        <f>IF(A551,B550+1,B550)</f>
        <v/>
      </c>
      <c r="C551" s="148" t="n">
        <v>69</v>
      </c>
      <c r="D551" s="148" t="inlineStr">
        <is>
          <t>CL Cooling Sheets</t>
        </is>
      </c>
      <c r="E551" s="148" t="inlineStr">
        <is>
          <t>US</t>
        </is>
      </c>
      <c r="F551" s="148" t="inlineStr">
        <is>
          <t>Cooling</t>
        </is>
      </c>
      <c r="G551" s="148" t="inlineStr">
        <is>
          <t>Breescape</t>
        </is>
      </c>
      <c r="H551" s="148" t="inlineStr">
        <is>
          <t>Beatable</t>
        </is>
      </c>
      <c r="I551" s="148" t="inlineStr">
        <is>
          <t>Cooling Sheets</t>
        </is>
      </c>
      <c r="J551" s="148" t="inlineStr">
        <is>
          <t>https://m.media-amazon.com/images/I/81o+wGCszCL._AC_SL1500_.jpg</t>
        </is>
      </c>
      <c r="K551" s="148" t="inlineStr">
        <is>
          <t>B0H41M1N4B</t>
        </is>
      </c>
      <c r="L551" s="148" t="inlineStr">
        <is>
          <t>B0DSPZJKTB</t>
        </is>
      </c>
      <c r="M551" s="148" t="n">
        <v>26</v>
      </c>
      <c r="N551" s="148" t="n">
        <v>149.99</v>
      </c>
      <c r="O551" s="148" t="n">
        <v>179.99</v>
      </c>
      <c r="P551" s="148">
        <f>IF(AND(ISNUMBER(O551),ISNUMBER(N551),N(N551)&gt;0),O551/N551-1,"")</f>
        <v/>
      </c>
      <c r="Q551" s="148" t="n">
        <v>93.98999999999999</v>
      </c>
      <c r="R551" s="148">
        <f>IF(AND(ISNUMBER(N551),ISNUMBER(Q551),N(Q551)&gt;0),N551/Q551-1,"")</f>
        <v/>
      </c>
      <c r="S551" s="148" t="n">
        <v>49910</v>
      </c>
      <c r="T551" s="148" t="n">
        <v>35</v>
      </c>
      <c r="U551" s="148" t="n">
        <v>4.2</v>
      </c>
      <c r="V551" s="148" t="n">
        <v>595</v>
      </c>
      <c r="W551" s="148" t="n">
        <v>107224</v>
      </c>
      <c r="X551" s="148" t="n">
        <v>0.5282540960978878</v>
      </c>
      <c r="Y551" s="148" t="n"/>
      <c r="Z551" s="148" t="n"/>
      <c r="AA551" s="148" t="n"/>
      <c r="AB551" s="148" t="n">
        <v>1.443271767810026</v>
      </c>
      <c r="AC551" s="148" t="inlineStr">
        <is>
          <t>US CL Cooling Sheets</t>
        </is>
      </c>
      <c r="AD551" s="148">
        <f>'US CL Cooling Sheets'!BF94</f>
        <v/>
      </c>
      <c r="AE551" s="148">
        <f>'US CL Cooling Sheets'!BI94</f>
        <v/>
      </c>
      <c r="AF551" s="148" t="inlineStr">
        <is>
          <t>King</t>
        </is>
      </c>
      <c r="AG551" s="148" t="inlineStr">
        <is>
          <t>Gray</t>
        </is>
      </c>
      <c r="AH551" s="148">
        <f>AND(E551="CA",OR('CA Dashboard'!$C$4="All",'CA Dashboard'!$C$4=D551),OR('CA Dashboard'!$C$5="All",'CA Dashboard'!$C$5=G551),OR('CA Dashboard'!$C$6="All",'CA Dashboard'!$C$6=H551),OR('CA Dashboard'!$C$7="All",'CA Dashboard'!$C$7=F551),OR('CA Dashboard'!$C$8="All",'CA Dashboard'!$C$8=AJ551))</f>
        <v/>
      </c>
      <c r="AI551" s="148">
        <f>IF(AH551,AI550+1,AI550)</f>
        <v/>
      </c>
      <c r="AJ551" s="148" t="inlineStr">
        <is>
          <t>Direct</t>
        </is>
      </c>
      <c r="AK551" s="148" t="inlineStr">
        <is>
          <t>Same product (sheet set) in the same material family: Synthetic cooling knit (product page material: BlendTek Fabric: 69% Nylon, 20% Polyester, 11% Spandex); ours: product spec: CooLoom, 90% nylon / 10% spandex.</t>
        </is>
      </c>
    </row>
    <row r="552">
      <c r="A552" s="148">
        <f>AND(E552="US",OR('US Dashboard'!$C$4="All",'US Dashboard'!$C$4=D552),OR('US Dashboard'!$C$5="All",'US Dashboard'!$C$5=G552),OR('US Dashboard'!$C$6="All",'US Dashboard'!$C$6=H552),OR('US Dashboard'!$C$7="All",'US Dashboard'!$C$7=F552),OR('US Dashboard'!$C$8="All",'US Dashboard'!$C$8=AJ552))</f>
        <v/>
      </c>
      <c r="B552" s="148">
        <f>IF(A552,B551+1,B551)</f>
        <v/>
      </c>
      <c r="C552" s="148" t="n">
        <v>69</v>
      </c>
      <c r="D552" s="148" t="inlineStr">
        <is>
          <t>CL Cooling Sheets</t>
        </is>
      </c>
      <c r="E552" s="148" t="inlineStr">
        <is>
          <t>US</t>
        </is>
      </c>
      <c r="F552" s="148" t="inlineStr">
        <is>
          <t>Cooling</t>
        </is>
      </c>
      <c r="G552" s="148" t="inlineStr">
        <is>
          <t>REST</t>
        </is>
      </c>
      <c r="H552" s="148" t="inlineStr">
        <is>
          <t>Beatable</t>
        </is>
      </c>
      <c r="I552" s="148" t="inlineStr">
        <is>
          <t>Cooling Sheets 4/6 Pcs</t>
        </is>
      </c>
      <c r="J552" s="148" t="inlineStr">
        <is>
          <t>https://m.media-amazon.com/images/I/71Ryqe-IHkL._AC_SL1500_.jpg</t>
        </is>
      </c>
      <c r="K552" s="148" t="inlineStr">
        <is>
          <t>B0HC6866B7</t>
        </is>
      </c>
      <c r="L552" s="148" t="inlineStr">
        <is>
          <t>B0D25LDRPS</t>
        </is>
      </c>
      <c r="M552" s="148" t="n"/>
      <c r="N552" s="148" t="n">
        <v>164.25</v>
      </c>
      <c r="O552" s="148" t="n">
        <v>219</v>
      </c>
      <c r="P552" s="148">
        <f>IF(AND(ISNUMBER(O552),ISNUMBER(N552),N(N552)&gt;0),O552/N552-1,"")</f>
        <v/>
      </c>
      <c r="Q552" s="148" t="n">
        <v>93.98999999999999</v>
      </c>
      <c r="R552" s="148">
        <f>IF(AND(ISNUMBER(N552),ISNUMBER(Q552),N(Q552)&gt;0),N552/Q552-1,"")</f>
        <v/>
      </c>
      <c r="S552" s="148" t="n">
        <v>5255</v>
      </c>
      <c r="T552" s="148" t="n">
        <v>35</v>
      </c>
      <c r="U552" s="148" t="n">
        <v>4.3</v>
      </c>
      <c r="V552" s="148" t="n">
        <v>1149</v>
      </c>
      <c r="W552" s="148" t="n"/>
      <c r="X552" s="148" t="n"/>
      <c r="Y552" s="148" t="n"/>
      <c r="Z552" s="148" t="n"/>
      <c r="AA552" s="148" t="n"/>
      <c r="AB552" s="148" t="n"/>
      <c r="AC552" s="148" t="inlineStr">
        <is>
          <t>US CL Cooling Sheets</t>
        </is>
      </c>
      <c r="AD552" s="148">
        <f>'US CL Cooling Sheets'!BF95</f>
        <v/>
      </c>
      <c r="AE552" s="148">
        <f>'US CL Cooling Sheets'!BI95</f>
        <v/>
      </c>
      <c r="AF552" s="148" t="inlineStr">
        <is>
          <t>King</t>
        </is>
      </c>
      <c r="AG552" s="148" t="inlineStr">
        <is>
          <t>Midnight Blue</t>
        </is>
      </c>
      <c r="AH552" s="148">
        <f>AND(E552="CA",OR('CA Dashboard'!$C$4="All",'CA Dashboard'!$C$4=D552),OR('CA Dashboard'!$C$5="All",'CA Dashboard'!$C$5=G552),OR('CA Dashboard'!$C$6="All",'CA Dashboard'!$C$6=H552),OR('CA Dashboard'!$C$7="All",'CA Dashboard'!$C$7=F552),OR('CA Dashboard'!$C$8="All",'CA Dashboard'!$C$8=AJ552))</f>
        <v/>
      </c>
      <c r="AI552" s="148">
        <f>IF(AH552,AI551+1,AI551)</f>
        <v/>
      </c>
      <c r="AJ552" s="148" t="inlineStr">
        <is>
          <t>Direct</t>
        </is>
      </c>
      <c r="AK552" s="148" t="inlineStr">
        <is>
          <t>Same product (sheet set) in the same material family: Synthetic cooling knit (product page material: IONIC+ Silver Nylon, Nylon, Spandex, Skin Friendly, Tear Res); ours: product spec: CooLoom, 90% nylon / 10% spandex.</t>
        </is>
      </c>
    </row>
    <row r="553">
      <c r="A553" s="148">
        <f>AND(E553="US",OR('US Dashboard'!$C$4="All",'US Dashboard'!$C$4=D553),OR('US Dashboard'!$C$5="All",'US Dashboard'!$C$5=G553),OR('US Dashboard'!$C$6="All",'US Dashboard'!$C$6=H553),OR('US Dashboard'!$C$7="All",'US Dashboard'!$C$7=F553),OR('US Dashboard'!$C$8="All",'US Dashboard'!$C$8=AJ553))</f>
        <v/>
      </c>
      <c r="B553" s="148">
        <f>IF(A553,B552+1,B552)</f>
        <v/>
      </c>
      <c r="C553" s="148" t="n">
        <v>69</v>
      </c>
      <c r="D553" s="148" t="inlineStr">
        <is>
          <t>CL Cooling Sheets</t>
        </is>
      </c>
      <c r="E553" s="148" t="inlineStr">
        <is>
          <t>US</t>
        </is>
      </c>
      <c r="F553" s="148" t="inlineStr">
        <is>
          <t>Cooling</t>
        </is>
      </c>
      <c r="G553" s="148" t="inlineStr">
        <is>
          <t>SHEEX</t>
        </is>
      </c>
      <c r="H553" s="148" t="inlineStr">
        <is>
          <t>Beatable</t>
        </is>
      </c>
      <c r="I553" s="148" t="inlineStr">
        <is>
          <t>SHEEX - Original Performance Sheets Set (Queen) Graphite - Cooling Sheets - Mois</t>
        </is>
      </c>
      <c r="J553" s="148" t="inlineStr">
        <is>
          <t>https://m.media-amazon.com/images/I/61rLGUnuOnL._AC_SL1500_.jpg</t>
        </is>
      </c>
      <c r="K553" s="148" t="inlineStr">
        <is>
          <t>B081KX96XD</t>
        </is>
      </c>
      <c r="L553" s="148" t="inlineStr">
        <is>
          <t>B00EWJHJU4</t>
        </is>
      </c>
      <c r="M553" s="148" t="n"/>
      <c r="N553" s="148" t="n">
        <v>224.25</v>
      </c>
      <c r="O553" s="148" t="n"/>
      <c r="P553" s="148">
        <f>IF(AND(ISNUMBER(O553),ISNUMBER(N553),N(N553)&gt;0),O553/N553-1,"")</f>
        <v/>
      </c>
      <c r="Q553" s="148" t="n">
        <v>87.98999999999999</v>
      </c>
      <c r="R553" s="148">
        <f>IF(AND(ISNUMBER(N553),ISNUMBER(Q553),N(Q553)&gt;0),N553/Q553-1,"")</f>
        <v/>
      </c>
      <c r="S553" s="148" t="n">
        <v>74243</v>
      </c>
      <c r="T553" s="148" t="n">
        <v>5</v>
      </c>
      <c r="U553" s="148" t="n">
        <v>4.4</v>
      </c>
      <c r="V553" s="148" t="n">
        <v>3256</v>
      </c>
      <c r="W553" s="148" t="n"/>
      <c r="X553" s="148" t="n"/>
      <c r="Y553" s="148" t="n"/>
      <c r="Z553" s="148" t="n"/>
      <c r="AA553" s="148" t="n"/>
      <c r="AB553" s="148" t="n"/>
      <c r="AC553" s="148" t="inlineStr">
        <is>
          <t>US CL Cooling Sheets</t>
        </is>
      </c>
      <c r="AD553" s="148">
        <f>'US CL Cooling Sheets'!BF96</f>
        <v/>
      </c>
      <c r="AE553" s="148">
        <f>'US CL Cooling Sheets'!BI96</f>
        <v/>
      </c>
      <c r="AF553" s="148" t="inlineStr">
        <is>
          <t>Queen</t>
        </is>
      </c>
      <c r="AG553" s="148" t="inlineStr">
        <is>
          <t>Graphite</t>
        </is>
      </c>
      <c r="AH553" s="148">
        <f>AND(E553="CA",OR('CA Dashboard'!$C$4="All",'CA Dashboard'!$C$4=D553),OR('CA Dashboard'!$C$5="All",'CA Dashboard'!$C$5=G553),OR('CA Dashboard'!$C$6="All",'CA Dashboard'!$C$6=H553),OR('CA Dashboard'!$C$7="All",'CA Dashboard'!$C$7=F553),OR('CA Dashboard'!$C$8="All",'CA Dashboard'!$C$8=AJ553))</f>
        <v/>
      </c>
      <c r="AI553" s="148">
        <f>IF(AH553,AI552+1,AI552)</f>
        <v/>
      </c>
      <c r="AJ553" s="148" t="inlineStr">
        <is>
          <t>Direct</t>
        </is>
      </c>
      <c r="AK553" s="148" t="inlineStr">
        <is>
          <t>Same product (sheet set) in the same material family: Synthetic cooling knit (product page material: 87% Polyester/ 13% Spandex); ours: product spec: CooLoom, 90% nylon / 10% spandex.</t>
        </is>
      </c>
    </row>
    <row r="554">
      <c r="A554" s="148">
        <f>AND(E554="US",OR('US Dashboard'!$C$4="All",'US Dashboard'!$C$4=D554),OR('US Dashboard'!$C$5="All",'US Dashboard'!$C$5=G554),OR('US Dashboard'!$C$6="All",'US Dashboard'!$C$6=H554),OR('US Dashboard'!$C$7="All",'US Dashboard'!$C$7=F554),OR('US Dashboard'!$C$8="All",'US Dashboard'!$C$8=AJ554))</f>
        <v/>
      </c>
      <c r="B554" s="148">
        <f>IF(A554,B553+1,B553)</f>
        <v/>
      </c>
      <c r="C554" s="148" t="n">
        <v>69</v>
      </c>
      <c r="D554" s="148" t="inlineStr">
        <is>
          <t>CL Cooling Sheets</t>
        </is>
      </c>
      <c r="E554" s="148" t="inlineStr">
        <is>
          <t>US</t>
        </is>
      </c>
      <c r="F554" s="148" t="inlineStr">
        <is>
          <t>Cooling</t>
        </is>
      </c>
      <c r="G554" s="148" t="inlineStr">
        <is>
          <t>CGK Unlimited</t>
        </is>
      </c>
      <c r="H554" s="148" t="inlineStr">
        <is>
          <t>Poor</t>
        </is>
      </c>
      <c r="I554" s="148" t="inlineStr">
        <is>
          <t>Cooling Sheets Set Twin XL Size - 3 Piece Summer Bed Sheets for Hot Sleepers &amp; N</t>
        </is>
      </c>
      <c r="J554" s="148" t="inlineStr">
        <is>
          <t>https://m.media-amazon.com/images/I/6134+o8tDxL._AC_SL1500_.jpg</t>
        </is>
      </c>
      <c r="K554" s="148" t="inlineStr">
        <is>
          <t>B0FT4VV426</t>
        </is>
      </c>
      <c r="L554" s="148" t="inlineStr">
        <is>
          <t>B0FT4TC7NV</t>
        </is>
      </c>
      <c r="M554" s="148" t="n"/>
      <c r="N554" s="148" t="n">
        <v>57.99</v>
      </c>
      <c r="O554" s="148" t="n"/>
      <c r="P554" s="148">
        <f>IF(AND(ISNUMBER(O554),ISNUMBER(N554),N(N554)&gt;0),O554/N554-1,"")</f>
        <v/>
      </c>
      <c r="Q554" s="148" t="n">
        <v>69.98999999999999</v>
      </c>
      <c r="R554" s="148">
        <f>IF(AND(ISNUMBER(N554),ISNUMBER(Q554),N(Q554)&gt;0),N554/Q554-1,"")</f>
        <v/>
      </c>
      <c r="S554" s="148" t="n">
        <v>381427</v>
      </c>
      <c r="T554" s="148" t="n">
        <v>5</v>
      </c>
      <c r="U554" s="148" t="n">
        <v>4.1</v>
      </c>
      <c r="V554" s="148" t="n">
        <v>118</v>
      </c>
      <c r="W554" s="148" t="n"/>
      <c r="X554" s="148" t="n"/>
      <c r="Y554" s="148" t="n"/>
      <c r="Z554" s="148" t="n"/>
      <c r="AA554" s="148" t="n"/>
      <c r="AB554" s="148" t="n"/>
      <c r="AC554" s="148" t="inlineStr">
        <is>
          <t>US CL Cooling Sheets</t>
        </is>
      </c>
      <c r="AD554" s="148">
        <f>'US CL Cooling Sheets'!BF97</f>
        <v/>
      </c>
      <c r="AE554" s="148">
        <f>'US CL Cooling Sheets'!BI97</f>
        <v/>
      </c>
      <c r="AF554" s="148" t="inlineStr">
        <is>
          <t>Twin</t>
        </is>
      </c>
      <c r="AG554" s="148" t="inlineStr">
        <is>
          <t>06 - Sky Blue</t>
        </is>
      </c>
      <c r="AH554" s="148">
        <f>AND(E554="CA",OR('CA Dashboard'!$C$4="All",'CA Dashboard'!$C$4=D554),OR('CA Dashboard'!$C$5="All",'CA Dashboard'!$C$5=G554),OR('CA Dashboard'!$C$6="All",'CA Dashboard'!$C$6=H554),OR('CA Dashboard'!$C$7="All",'CA Dashboard'!$C$7=F554),OR('CA Dashboard'!$C$8="All",'CA Dashboard'!$C$8=AJ554))</f>
        <v/>
      </c>
      <c r="AI554" s="148">
        <f>IF(AH554,AI553+1,AI553)</f>
        <v/>
      </c>
      <c r="AJ554" s="148" t="inlineStr">
        <is>
          <t>Direct</t>
        </is>
      </c>
      <c r="AK554" s="148" t="inlineStr">
        <is>
          <t>Same product (sheet set) in the same material family: Synthetic cooling knit (product page material: Nylon, Spandex); ours: product spec: CooLoom, 90% nylon / 10% spandex.</t>
        </is>
      </c>
    </row>
    <row r="555">
      <c r="A555" s="148">
        <f>AND(E555="US",OR('US Dashboard'!$C$4="All",'US Dashboard'!$C$4=D555),OR('US Dashboard'!$C$5="All",'US Dashboard'!$C$5=G555),OR('US Dashboard'!$C$6="All",'US Dashboard'!$C$6=H555),OR('US Dashboard'!$C$7="All",'US Dashboard'!$C$7=F555),OR('US Dashboard'!$C$8="All",'US Dashboard'!$C$8=AJ555))</f>
        <v/>
      </c>
      <c r="B555" s="148">
        <f>IF(A555,B554+1,B554)</f>
        <v/>
      </c>
      <c r="C555" s="148" t="n">
        <v>69</v>
      </c>
      <c r="D555" s="148" t="inlineStr">
        <is>
          <t>CL Cooling Sheets</t>
        </is>
      </c>
      <c r="E555" s="148" t="inlineStr">
        <is>
          <t>US</t>
        </is>
      </c>
      <c r="F555" s="148" t="inlineStr">
        <is>
          <t>Cooling</t>
        </is>
      </c>
      <c r="G555" s="148" t="inlineStr">
        <is>
          <t>DOWNCOOL</t>
        </is>
      </c>
      <c r="H555" s="148" t="inlineStr">
        <is>
          <t>Poor</t>
        </is>
      </c>
      <c r="I555" s="148" t="inlineStr">
        <is>
          <t>Cooling Sheets</t>
        </is>
      </c>
      <c r="J555" s="148" t="inlineStr">
        <is>
          <t>https://m.media-amazon.com/images/I/613kYEKI4UL._AC_SL1500_.jpg</t>
        </is>
      </c>
      <c r="K555" s="148" t="inlineStr">
        <is>
          <t>B0F93XRVSZ</t>
        </is>
      </c>
      <c r="L555" s="148" t="inlineStr">
        <is>
          <t>B0F93XRVSZ</t>
        </is>
      </c>
      <c r="M555" s="148" t="n"/>
      <c r="N555" s="148" t="n">
        <v>139.99</v>
      </c>
      <c r="O555" s="148" t="n"/>
      <c r="P555" s="148">
        <f>IF(AND(ISNUMBER(O555),ISNUMBER(N555),N(N555)&gt;0),O555/N555-1,"")</f>
        <v/>
      </c>
      <c r="Q555" s="148" t="n">
        <v>74.98999999999999</v>
      </c>
      <c r="R555" s="148">
        <f>IF(AND(ISNUMBER(N555),ISNUMBER(Q555),N(Q555)&gt;0),N555/Q555-1,"")</f>
        <v/>
      </c>
      <c r="S555" s="148" t="n">
        <v>2798999</v>
      </c>
      <c r="T555" s="148" t="n">
        <v>5</v>
      </c>
      <c r="U555" s="148" t="n">
        <v>4.2</v>
      </c>
      <c r="V555" s="148" t="n">
        <v>6</v>
      </c>
      <c r="W555" s="148" t="n"/>
      <c r="X555" s="148" t="n"/>
      <c r="Y555" s="148" t="n"/>
      <c r="Z555" s="148" t="n"/>
      <c r="AA555" s="148" t="n"/>
      <c r="AB555" s="148" t="n"/>
      <c r="AC555" s="148" t="inlineStr">
        <is>
          <t>US CL Cooling Sheets</t>
        </is>
      </c>
      <c r="AD555" s="148">
        <f>'US CL Cooling Sheets'!BF98</f>
        <v/>
      </c>
      <c r="AE555" s="148">
        <f>'US CL Cooling Sheets'!BI98</f>
        <v/>
      </c>
      <c r="AF555" s="148" t="inlineStr">
        <is>
          <t>Full</t>
        </is>
      </c>
      <c r="AG555" s="148" t="inlineStr">
        <is>
          <t>White</t>
        </is>
      </c>
      <c r="AH555" s="148">
        <f>AND(E555="CA",OR('CA Dashboard'!$C$4="All",'CA Dashboard'!$C$4=D555),OR('CA Dashboard'!$C$5="All",'CA Dashboard'!$C$5=G555),OR('CA Dashboard'!$C$6="All",'CA Dashboard'!$C$6=H555),OR('CA Dashboard'!$C$7="All",'CA Dashboard'!$C$7=F555),OR('CA Dashboard'!$C$8="All",'CA Dashboard'!$C$8=AJ555))</f>
        <v/>
      </c>
      <c r="AI555" s="148">
        <f>IF(AH555,AI554+1,AI554)</f>
        <v/>
      </c>
      <c r="AJ555" s="148" t="inlineStr">
        <is>
          <t>Direct</t>
        </is>
      </c>
      <c r="AK555" s="148" t="inlineStr">
        <is>
          <t>Same product (sheet set) in the same material family: Synthetic cooling knit (product page material: Nylon); ours: product spec: CooLoom, 90% nylon / 10% spandex.</t>
        </is>
      </c>
    </row>
    <row r="556">
      <c r="A556" s="148">
        <f>AND(E556="US",OR('US Dashboard'!$C$4="All",'US Dashboard'!$C$4=D556),OR('US Dashboard'!$C$5="All",'US Dashboard'!$C$5=G556),OR('US Dashboard'!$C$6="All",'US Dashboard'!$C$6=H556),OR('US Dashboard'!$C$7="All",'US Dashboard'!$C$7=F556),OR('US Dashboard'!$C$8="All",'US Dashboard'!$C$8=AJ556))</f>
        <v/>
      </c>
      <c r="B556" s="148">
        <f>IF(A556,B555+1,B555)</f>
        <v/>
      </c>
      <c r="C556" s="148" t="n">
        <v>69</v>
      </c>
      <c r="D556" s="148" t="inlineStr">
        <is>
          <t>CL Cooling Sheets</t>
        </is>
      </c>
      <c r="E556" s="148" t="inlineStr">
        <is>
          <t>US</t>
        </is>
      </c>
      <c r="F556" s="148" t="inlineStr">
        <is>
          <t>Cooling</t>
        </is>
      </c>
      <c r="G556" s="148" t="inlineStr">
        <is>
          <t>Elegear</t>
        </is>
      </c>
      <c r="H556" s="148" t="inlineStr">
        <is>
          <t>Poor</t>
        </is>
      </c>
      <c r="I556" s="148" t="inlineStr">
        <is>
          <t>Elegear Silver Infused Cooling Bed Sheets Queen, Arc-Chill® 3.0 Cool Tech, Silve</t>
        </is>
      </c>
      <c r="J556" s="148" t="inlineStr">
        <is>
          <t>https://m.media-amazon.com/images/I/71wuywu7aeL._AC_SL1500_.jpg</t>
        </is>
      </c>
      <c r="K556" s="148" t="inlineStr">
        <is>
          <t>B0H7YWGBW3</t>
        </is>
      </c>
      <c r="L556" s="148" t="inlineStr">
        <is>
          <t>B0GCGXW1WT</t>
        </is>
      </c>
      <c r="M556" s="148" t="n">
        <v>8</v>
      </c>
      <c r="N556" s="148" t="n">
        <v>67.98999999999999</v>
      </c>
      <c r="O556" s="148" t="n">
        <v>79.98999999999999</v>
      </c>
      <c r="P556" s="148">
        <f>IF(AND(ISNUMBER(O556),ISNUMBER(N556),N(N556)&gt;0),O556/N556-1,"")</f>
        <v/>
      </c>
      <c r="Q556" s="148" t="n">
        <v>87.98999999999999</v>
      </c>
      <c r="R556" s="148">
        <f>IF(AND(ISNUMBER(N556),ISNUMBER(Q556),N(Q556)&gt;0),N556/Q556-1,"")</f>
        <v/>
      </c>
      <c r="S556" s="148" t="n">
        <v>159865</v>
      </c>
      <c r="T556" s="148" t="n">
        <v>5</v>
      </c>
      <c r="U556" s="148" t="n">
        <v>4.4</v>
      </c>
      <c r="V556" s="148" t="n">
        <v>131</v>
      </c>
      <c r="W556" s="148" t="n">
        <v>15624</v>
      </c>
      <c r="X556" s="148" t="n">
        <v>0.6086269521249359</v>
      </c>
      <c r="Y556" s="148" t="n"/>
      <c r="Z556" s="148" t="n"/>
      <c r="AA556" s="148" t="n"/>
      <c r="AB556" s="148" t="n">
        <v>0.4848484848484848</v>
      </c>
      <c r="AC556" s="148" t="inlineStr">
        <is>
          <t>US CL Cooling Sheets</t>
        </is>
      </c>
      <c r="AD556" s="148">
        <f>'US CL Cooling Sheets'!BF99</f>
        <v/>
      </c>
      <c r="AE556" s="148">
        <f>'US CL Cooling Sheets'!BI99</f>
        <v/>
      </c>
      <c r="AF556" s="148" t="inlineStr">
        <is>
          <t>Queen (Flat Sheet: 90" x 102")</t>
        </is>
      </c>
      <c r="AG556" s="148" t="inlineStr">
        <is>
          <t>White</t>
        </is>
      </c>
      <c r="AH556" s="148">
        <f>AND(E556="CA",OR('CA Dashboard'!$C$4="All",'CA Dashboard'!$C$4=D556),OR('CA Dashboard'!$C$5="All",'CA Dashboard'!$C$5=G556),OR('CA Dashboard'!$C$6="All",'CA Dashboard'!$C$6=H556),OR('CA Dashboard'!$C$7="All",'CA Dashboard'!$C$7=F556),OR('CA Dashboard'!$C$8="All",'CA Dashboard'!$C$8=AJ556))</f>
        <v/>
      </c>
      <c r="AI556" s="148">
        <f>IF(AH556,AI555+1,AI555)</f>
        <v/>
      </c>
      <c r="AJ556" s="148" t="inlineStr">
        <is>
          <t>Direct</t>
        </is>
      </c>
      <c r="AK556" s="148" t="inlineStr">
        <is>
          <t>Same product (sheet set) in the same material family: Synthetic cooling knit (product page material: Arc-Chill® 3.0 Fabric with Silver Ion Technology); ours: product spec: CooLoom, 90% nylon / 10% spandex.</t>
        </is>
      </c>
    </row>
    <row r="557">
      <c r="A557" s="148">
        <f>AND(E557="US",OR('US Dashboard'!$C$4="All",'US Dashboard'!$C$4=D557),OR('US Dashboard'!$C$5="All",'US Dashboard'!$C$5=G557),OR('US Dashboard'!$C$6="All",'US Dashboard'!$C$6=H557),OR('US Dashboard'!$C$7="All",'US Dashboard'!$C$7=F557),OR('US Dashboard'!$C$8="All",'US Dashboard'!$C$8=AJ557))</f>
        <v/>
      </c>
      <c r="B557" s="148">
        <f>IF(A557,B556+1,B556)</f>
        <v/>
      </c>
      <c r="C557" s="148" t="n">
        <v>69</v>
      </c>
      <c r="D557" s="148" t="inlineStr">
        <is>
          <t>CL Cooling Sheets</t>
        </is>
      </c>
      <c r="E557" s="148" t="inlineStr">
        <is>
          <t>US</t>
        </is>
      </c>
      <c r="F557" s="148" t="inlineStr">
        <is>
          <t>Cooling</t>
        </is>
      </c>
      <c r="G557" s="148" t="inlineStr">
        <is>
          <t>Degrees of Comfort</t>
        </is>
      </c>
      <c r="H557" s="148" t="inlineStr">
        <is>
          <t>Untiered</t>
        </is>
      </c>
      <c r="I557" s="148" t="inlineStr">
        <is>
          <t>Coolmax® Cooling Sheets for Hot Sleepers, Queen Size, Grey</t>
        </is>
      </c>
      <c r="J557" s="148" t="inlineStr">
        <is>
          <t>https://images-na.ssl-images-amazon.com/images/I/716hu1FzoSL.jpg</t>
        </is>
      </c>
      <c r="K557" s="148" t="inlineStr">
        <is>
          <t>B0DXT68BBR</t>
        </is>
      </c>
      <c r="L557" s="148" t="inlineStr">
        <is>
          <t>B08YS6WZRR</t>
        </is>
      </c>
      <c r="M557" s="148" t="n">
        <v>31</v>
      </c>
      <c r="N557" s="148" t="n">
        <v>24.99</v>
      </c>
      <c r="O557" s="148" t="n">
        <v>29.99</v>
      </c>
      <c r="P557" s="148">
        <f>IF(AND(ISNUMBER(O557),ISNUMBER(N557),N(N557)&gt;0),O557/N557-1,"")</f>
        <v/>
      </c>
      <c r="Q557" s="148" t="n">
        <v>87.98999999999999</v>
      </c>
      <c r="R557" s="148">
        <f>IF(AND(ISNUMBER(N557),ISNUMBER(Q557),N(Q557)&gt;0),N557/Q557-1,"")</f>
        <v/>
      </c>
      <c r="S557" s="148" t="n">
        <v>39599</v>
      </c>
      <c r="T557" s="148" t="n">
        <v>35</v>
      </c>
      <c r="U557" s="148" t="n">
        <v>4.1</v>
      </c>
      <c r="V557" s="148" t="n">
        <v>7328</v>
      </c>
      <c r="W557" s="148" t="n"/>
      <c r="X557" s="148" t="n"/>
      <c r="Y557" s="148" t="n"/>
      <c r="Z557" s="148" t="n"/>
      <c r="AA557" s="148" t="n"/>
      <c r="AB557" s="148" t="n"/>
      <c r="AC557" s="148" t="inlineStr">
        <is>
          <t>US CL Cooling Sheets</t>
        </is>
      </c>
      <c r="AD557" s="148">
        <f>'US CL Cooling Sheets'!BF100</f>
        <v/>
      </c>
      <c r="AE557" s="148">
        <f>'US CL Cooling Sheets'!BI100</f>
        <v/>
      </c>
      <c r="AF557" s="148" t="inlineStr">
        <is>
          <t>Queen</t>
        </is>
      </c>
      <c r="AG557" s="148" t="inlineStr">
        <is>
          <t>Grey</t>
        </is>
      </c>
      <c r="AH557" s="148">
        <f>AND(E557="CA",OR('CA Dashboard'!$C$4="All",'CA Dashboard'!$C$4=D557),OR('CA Dashboard'!$C$5="All",'CA Dashboard'!$C$5=G557),OR('CA Dashboard'!$C$6="All",'CA Dashboard'!$C$6=H557),OR('CA Dashboard'!$C$7="All",'CA Dashboard'!$C$7=F557),OR('CA Dashboard'!$C$8="All",'CA Dashboard'!$C$8=AJ557))</f>
        <v/>
      </c>
      <c r="AI557" s="148">
        <f>IF(AH557,AI556+1,AI556)</f>
        <v/>
      </c>
      <c r="AJ557" s="148" t="inlineStr">
        <is>
          <t>Direct</t>
        </is>
      </c>
      <c r="AK557" s="148" t="inlineStr">
        <is>
          <t>Same product (sheet set) in the same material family: Synthetic cooling knit (title: Coolmax® Cooling Sheets for Hot Sleepers, Queen Size, Grey); ours: product spec: CooLoom, 90% nylon / 10% spandex.</t>
        </is>
      </c>
    </row>
    <row r="558">
      <c r="A558" s="148">
        <f>AND(E558="US",OR('US Dashboard'!$C$4="All",'US Dashboard'!$C$4=D558),OR('US Dashboard'!$C$5="All",'US Dashboard'!$C$5=G558),OR('US Dashboard'!$C$6="All",'US Dashboard'!$C$6=H558),OR('US Dashboard'!$C$7="All",'US Dashboard'!$C$7=F558),OR('US Dashboard'!$C$8="All",'US Dashboard'!$C$8=AJ558))</f>
        <v/>
      </c>
      <c r="B558" s="148">
        <f>IF(A558,B557+1,B557)</f>
        <v/>
      </c>
      <c r="C558" s="148" t="n">
        <v>69</v>
      </c>
      <c r="D558" s="148" t="inlineStr">
        <is>
          <t>CL Cooling Sheets</t>
        </is>
      </c>
      <c r="E558" s="148" t="inlineStr">
        <is>
          <t>US</t>
        </is>
      </c>
      <c r="F558" s="148" t="inlineStr">
        <is>
          <t>Cooling</t>
        </is>
      </c>
      <c r="G558" s="148" t="inlineStr">
        <is>
          <t>Breescape</t>
        </is>
      </c>
      <c r="H558" s="148" t="inlineStr">
        <is>
          <t>Untiered</t>
        </is>
      </c>
      <c r="I558" s="148" t="inlineStr">
        <is>
          <t>Breescape Cooling Sheets King Size - BlendTek Dry &amp; Cool Technology Cooling Bed</t>
        </is>
      </c>
      <c r="J558" s="148" t="inlineStr">
        <is>
          <t>https://m.media-amazon.com/images/I/71MiDggWQ3L._AC_SL1500_.jpg</t>
        </is>
      </c>
      <c r="K558" s="148" t="inlineStr">
        <is>
          <t>B0HG4D2KWC</t>
        </is>
      </c>
      <c r="L558" s="148" t="inlineStr">
        <is>
          <t>B0DSPYXPSP</t>
        </is>
      </c>
      <c r="M558" s="148" t="n"/>
      <c r="N558" s="148" t="n">
        <v>179.99</v>
      </c>
      <c r="O558" s="148" t="n"/>
      <c r="P558" s="148">
        <f>IF(AND(ISNUMBER(O558),ISNUMBER(N558),N(N558)&gt;0),O558/N558-1,"")</f>
        <v/>
      </c>
      <c r="Q558" s="148" t="n">
        <v>93.98999999999999</v>
      </c>
      <c r="R558" s="148">
        <f>IF(AND(ISNUMBER(N558),ISNUMBER(Q558),N(Q558)&gt;0),N558/Q558-1,"")</f>
        <v/>
      </c>
      <c r="S558" s="148" t="n">
        <v>422828</v>
      </c>
      <c r="T558" s="148" t="n">
        <v>5</v>
      </c>
      <c r="U558" s="148" t="n">
        <v>3.8</v>
      </c>
      <c r="V558" s="148" t="n">
        <v>73</v>
      </c>
      <c r="W558" s="148" t="n"/>
      <c r="X558" s="148" t="n"/>
      <c r="Y558" s="148" t="n"/>
      <c r="Z558" s="148" t="n"/>
      <c r="AA558" s="148" t="n"/>
      <c r="AB558" s="148" t="n"/>
      <c r="AC558" s="148" t="inlineStr">
        <is>
          <t>US CL Cooling Sheets</t>
        </is>
      </c>
      <c r="AD558" s="148">
        <f>'US CL Cooling Sheets'!BF101</f>
        <v/>
      </c>
      <c r="AE558" s="148">
        <f>'US CL Cooling Sheets'!BI101</f>
        <v/>
      </c>
      <c r="AF558" s="148" t="inlineStr">
        <is>
          <t>King</t>
        </is>
      </c>
      <c r="AG558" s="148" t="inlineStr">
        <is>
          <t>Green</t>
        </is>
      </c>
      <c r="AH558" s="148">
        <f>AND(E558="CA",OR('CA Dashboard'!$C$4="All",'CA Dashboard'!$C$4=D558),OR('CA Dashboard'!$C$5="All",'CA Dashboard'!$C$5=G558),OR('CA Dashboard'!$C$6="All",'CA Dashboard'!$C$6=H558),OR('CA Dashboard'!$C$7="All",'CA Dashboard'!$C$7=F558),OR('CA Dashboard'!$C$8="All",'CA Dashboard'!$C$8=AJ558))</f>
        <v/>
      </c>
      <c r="AI558" s="148">
        <f>IF(AH558,AI557+1,AI557)</f>
        <v/>
      </c>
      <c r="AJ558" s="148" t="inlineStr">
        <is>
          <t>Direct</t>
        </is>
      </c>
      <c r="AK558" s="148" t="inlineStr">
        <is>
          <t>Same product (sheet set) in the same material family: Synthetic cooling knit (product page material: BlendTek Fabric: 69% Nylon, 20% Polyester, 11% Spandex); ours: product spec: CooLoom, 90% nylon / 10% spandex.</t>
        </is>
      </c>
    </row>
    <row r="559">
      <c r="A559" s="148">
        <f>AND(E559="US",OR('US Dashboard'!$C$4="All",'US Dashboard'!$C$4=D559),OR('US Dashboard'!$C$5="All",'US Dashboard'!$C$5=G559),OR('US Dashboard'!$C$6="All",'US Dashboard'!$C$6=H559),OR('US Dashboard'!$C$7="All",'US Dashboard'!$C$7=F559),OR('US Dashboard'!$C$8="All",'US Dashboard'!$C$8=AJ559))</f>
        <v/>
      </c>
      <c r="B559" s="148">
        <f>IF(A559,B558+1,B558)</f>
        <v/>
      </c>
      <c r="C559" s="148" t="n">
        <v>69</v>
      </c>
      <c r="D559" s="148" t="inlineStr">
        <is>
          <t>CL Cooling Sheets</t>
        </is>
      </c>
      <c r="E559" s="148" t="inlineStr">
        <is>
          <t>US</t>
        </is>
      </c>
      <c r="F559" s="148" t="inlineStr">
        <is>
          <t>Cooling</t>
        </is>
      </c>
      <c r="G559" s="148" t="inlineStr">
        <is>
          <t>Breescape</t>
        </is>
      </c>
      <c r="H559" s="148" t="inlineStr">
        <is>
          <t>Untiered</t>
        </is>
      </c>
      <c r="I559" s="148" t="inlineStr">
        <is>
          <t>Breescape Cooling Sheets King Size - BlendTek Dry &amp; Cool Technology Cooling Bed</t>
        </is>
      </c>
      <c r="J559" s="148" t="inlineStr">
        <is>
          <t>https://m.media-amazon.com/images/I/81N3le+pf7L._AC_SL1500_.jpg</t>
        </is>
      </c>
      <c r="K559" s="148" t="inlineStr">
        <is>
          <t>B0HG4D2KWC</t>
        </is>
      </c>
      <c r="L559" s="148" t="inlineStr">
        <is>
          <t>B0DSQ26RH3</t>
        </is>
      </c>
      <c r="M559" s="148" t="n"/>
      <c r="N559" s="148" t="n">
        <v>139.99</v>
      </c>
      <c r="O559" s="148" t="n"/>
      <c r="P559" s="148">
        <f>IF(AND(ISNUMBER(O559),ISNUMBER(N559),N(N559)&gt;0),O559/N559-1,"")</f>
        <v/>
      </c>
      <c r="Q559" s="148" t="n">
        <v>74.98999999999999</v>
      </c>
      <c r="R559" s="148">
        <f>IF(AND(ISNUMBER(N559),ISNUMBER(Q559),N(Q559)&gt;0),N559/Q559-1,"")</f>
        <v/>
      </c>
      <c r="S559" s="148" t="n">
        <v>423704</v>
      </c>
      <c r="T559" s="148" t="n">
        <v>5</v>
      </c>
      <c r="U559" s="148" t="n">
        <v>3.8</v>
      </c>
      <c r="V559" s="148" t="n">
        <v>73</v>
      </c>
      <c r="W559" s="148" t="n"/>
      <c r="X559" s="148" t="n"/>
      <c r="Y559" s="148" t="n"/>
      <c r="Z559" s="148" t="n"/>
      <c r="AA559" s="148" t="n"/>
      <c r="AB559" s="148" t="n"/>
      <c r="AC559" s="148" t="inlineStr">
        <is>
          <t>US CL Cooling Sheets</t>
        </is>
      </c>
      <c r="AD559" s="148">
        <f>'US CL Cooling Sheets'!BF102</f>
        <v/>
      </c>
      <c r="AE559" s="148">
        <f>'US CL Cooling Sheets'!BI102</f>
        <v/>
      </c>
      <c r="AF559" s="148" t="inlineStr">
        <is>
          <t>Full</t>
        </is>
      </c>
      <c r="AG559" s="148" t="inlineStr">
        <is>
          <t>Twilight Blue</t>
        </is>
      </c>
      <c r="AH559" s="148">
        <f>AND(E559="CA",OR('CA Dashboard'!$C$4="All",'CA Dashboard'!$C$4=D559),OR('CA Dashboard'!$C$5="All",'CA Dashboard'!$C$5=G559),OR('CA Dashboard'!$C$6="All",'CA Dashboard'!$C$6=H559),OR('CA Dashboard'!$C$7="All",'CA Dashboard'!$C$7=F559),OR('CA Dashboard'!$C$8="All",'CA Dashboard'!$C$8=AJ559))</f>
        <v/>
      </c>
      <c r="AI559" s="148">
        <f>IF(AH559,AI558+1,AI558)</f>
        <v/>
      </c>
      <c r="AJ559" s="148" t="inlineStr">
        <is>
          <t>Direct</t>
        </is>
      </c>
      <c r="AK559" s="148" t="inlineStr">
        <is>
          <t>Same product (sheet set) in the same material family: Synthetic cooling knit (product page material: BlendTek Fabric: 69% Nylon, 20% Polyester, 11% Spandex); ours: product spec: CooLoom, 90% nylon / 10% spandex.</t>
        </is>
      </c>
    </row>
    <row r="560">
      <c r="A560" s="148">
        <f>AND(E560="US",OR('US Dashboard'!$C$4="All",'US Dashboard'!$C$4=D560),OR('US Dashboard'!$C$5="All",'US Dashboard'!$C$5=G560),OR('US Dashboard'!$C$6="All",'US Dashboard'!$C$6=H560),OR('US Dashboard'!$C$7="All",'US Dashboard'!$C$7=F560),OR('US Dashboard'!$C$8="All",'US Dashboard'!$C$8=AJ560))</f>
        <v/>
      </c>
      <c r="B560" s="148">
        <f>IF(A560,B559+1,B559)</f>
        <v/>
      </c>
      <c r="C560" s="148" t="n">
        <v>69</v>
      </c>
      <c r="D560" s="148" t="inlineStr">
        <is>
          <t>CL Cooling Sheets</t>
        </is>
      </c>
      <c r="E560" s="148" t="inlineStr">
        <is>
          <t>US</t>
        </is>
      </c>
      <c r="F560" s="148" t="inlineStr">
        <is>
          <t>Cooling</t>
        </is>
      </c>
      <c r="G560" s="148" t="inlineStr">
        <is>
          <t>Bedsure</t>
        </is>
      </c>
      <c r="H560" s="148" t="inlineStr">
        <is>
          <t>Poor</t>
        </is>
      </c>
      <c r="I560" s="148" t="inlineStr">
        <is>
          <t>Cooling Sheets</t>
        </is>
      </c>
      <c r="J560" s="148" t="inlineStr">
        <is>
          <t>https://m.media-amazon.com/images/I/61lUaTQjkAL._AC_SL1500_.jpg</t>
        </is>
      </c>
      <c r="K560" s="148" t="inlineStr">
        <is>
          <t>B0CPDTJ5NN</t>
        </is>
      </c>
      <c r="L560" s="148" t="inlineStr">
        <is>
          <t>B0CPDR5DDM</t>
        </is>
      </c>
      <c r="M560" s="148" t="n">
        <v>1</v>
      </c>
      <c r="N560" s="148" t="n">
        <v>149.99</v>
      </c>
      <c r="O560" s="148" t="n"/>
      <c r="P560" s="148">
        <f>IF(AND(ISNUMBER(O560),ISNUMBER(N560),N(N560)&gt;0),O560/N560-1,"")</f>
        <v/>
      </c>
      <c r="Q560" s="148" t="n">
        <v>87.98999999999999</v>
      </c>
      <c r="R560" s="148">
        <f>IF(AND(ISNUMBER(N560),ISNUMBER(Q560),N(Q560)&gt;0),N560/Q560-1,"")</f>
        <v/>
      </c>
      <c r="S560" s="148" t="n">
        <v>463922</v>
      </c>
      <c r="T560" s="148" t="n">
        <v>5</v>
      </c>
      <c r="U560" s="148" t="n">
        <v>4.2</v>
      </c>
      <c r="V560" s="148" t="n">
        <v>512</v>
      </c>
      <c r="W560" s="148" t="n">
        <v>170</v>
      </c>
      <c r="X560" s="148" t="n">
        <v>1</v>
      </c>
      <c r="Y560" s="148" t="n"/>
      <c r="Z560" s="148" t="n"/>
      <c r="AA560" s="148" t="n"/>
      <c r="AB560" s="148" t="n"/>
      <c r="AC560" s="148" t="inlineStr">
        <is>
          <t>US CL Cooling Sheets</t>
        </is>
      </c>
      <c r="AD560" s="148">
        <f>'US CL Cooling Sheets'!BF103</f>
        <v/>
      </c>
      <c r="AE560" s="148">
        <f>'US CL Cooling Sheets'!BI103</f>
        <v/>
      </c>
      <c r="AF560" s="148" t="inlineStr">
        <is>
          <t>Queen</t>
        </is>
      </c>
      <c r="AG560" s="148" t="inlineStr">
        <is>
          <t>01 - Grey</t>
        </is>
      </c>
      <c r="AH560" s="148">
        <f>AND(E560="CA",OR('CA Dashboard'!$C$4="All",'CA Dashboard'!$C$4=D560),OR('CA Dashboard'!$C$5="All",'CA Dashboard'!$C$5=G560),OR('CA Dashboard'!$C$6="All",'CA Dashboard'!$C$6=H560),OR('CA Dashboard'!$C$7="All",'CA Dashboard'!$C$7=F560),OR('CA Dashboard'!$C$8="All",'CA Dashboard'!$C$8=AJ560))</f>
        <v/>
      </c>
      <c r="AI560" s="148">
        <f>IF(AH560,AI559+1,AI559)</f>
        <v/>
      </c>
      <c r="AJ560" s="148" t="inlineStr">
        <is>
          <t>Material not verified</t>
        </is>
      </c>
      <c r="AK560" s="148" t="inlineStr">
        <is>
          <t>Sheet set like ours, but the material is not stated (material not stated on the page or in the title); verify before treating as direct.</t>
        </is>
      </c>
    </row>
    <row r="561">
      <c r="A561" s="148">
        <f>AND(E561="US",OR('US Dashboard'!$C$4="All",'US Dashboard'!$C$4=D561),OR('US Dashboard'!$C$5="All",'US Dashboard'!$C$5=G561),OR('US Dashboard'!$C$6="All",'US Dashboard'!$C$6=H561),OR('US Dashboard'!$C$7="All",'US Dashboard'!$C$7=F561),OR('US Dashboard'!$C$8="All",'US Dashboard'!$C$8=AJ561))</f>
        <v/>
      </c>
      <c r="B561" s="148">
        <f>IF(A561,B560+1,B560)</f>
        <v/>
      </c>
      <c r="C561" s="148" t="n">
        <v>69</v>
      </c>
      <c r="D561" s="148" t="inlineStr">
        <is>
          <t>CL Cooling Sheets</t>
        </is>
      </c>
      <c r="E561" s="148" t="inlineStr">
        <is>
          <t>US</t>
        </is>
      </c>
      <c r="F561" s="148" t="inlineStr">
        <is>
          <t>Cooling</t>
        </is>
      </c>
      <c r="G561" s="148" t="inlineStr">
        <is>
          <t>Shilucheng</t>
        </is>
      </c>
      <c r="H561" s="148" t="inlineStr">
        <is>
          <t>Untiered</t>
        </is>
      </c>
      <c r="I561" s="148" t="inlineStr">
        <is>
          <t>Shilucheng 4 Piece Queen Sheet Sets, Cooling Sheets, Dark Grey</t>
        </is>
      </c>
      <c r="J561" s="148" t="n"/>
      <c r="K561" s="148" t="inlineStr">
        <is>
          <t>B0HJSVWNRS</t>
        </is>
      </c>
      <c r="L561" s="148" t="inlineStr">
        <is>
          <t>B0FWY1TGFK</t>
        </is>
      </c>
      <c r="M561" s="148" t="n"/>
      <c r="N561" s="148" t="n">
        <v>34.99</v>
      </c>
      <c r="O561" s="148" t="n"/>
      <c r="P561" s="148">
        <f>IF(AND(ISNUMBER(O561),ISNUMBER(N561),N(N561)&gt;0),O561/N561-1,"")</f>
        <v/>
      </c>
      <c r="Q561" s="148" t="n">
        <v>87.98999999999999</v>
      </c>
      <c r="R561" s="148">
        <f>IF(AND(ISNUMBER(N561),ISNUMBER(Q561),N(Q561)&gt;0),N561/Q561-1,"")</f>
        <v/>
      </c>
      <c r="S561" s="148" t="n">
        <v>5396</v>
      </c>
      <c r="T561" s="148" t="n">
        <v>173</v>
      </c>
      <c r="U561" s="148" t="n">
        <v>4.3</v>
      </c>
      <c r="V561" s="148" t="n">
        <v>24352</v>
      </c>
      <c r="W561" s="148" t="n">
        <v>135323</v>
      </c>
      <c r="X561" s="148" t="n"/>
      <c r="Y561" s="148" t="n"/>
      <c r="Z561" s="148" t="n"/>
      <c r="AA561" s="148" t="n"/>
      <c r="AB561" s="148" t="n"/>
      <c r="AC561" s="148" t="inlineStr">
        <is>
          <t>US CL Cooling Sheets</t>
        </is>
      </c>
      <c r="AD561" s="148">
        <f>'US CL Cooling Sheets'!BF104</f>
        <v/>
      </c>
      <c r="AE561" s="148">
        <f>'US CL Cooling Sheets'!BI104</f>
        <v/>
      </c>
      <c r="AF561" s="148" t="inlineStr">
        <is>
          <t>Queen</t>
        </is>
      </c>
      <c r="AG561" s="148" t="inlineStr">
        <is>
          <t>Grey</t>
        </is>
      </c>
      <c r="AH561" s="148">
        <f>AND(E561="CA",OR('CA Dashboard'!$C$4="All",'CA Dashboard'!$C$4=D561),OR('CA Dashboard'!$C$5="All",'CA Dashboard'!$C$5=G561),OR('CA Dashboard'!$C$6="All",'CA Dashboard'!$C$6=H561),OR('CA Dashboard'!$C$7="All",'CA Dashboard'!$C$7=F561),OR('CA Dashboard'!$C$8="All",'CA Dashboard'!$C$8=AJ561))</f>
        <v/>
      </c>
      <c r="AI561" s="148">
        <f>IF(AH561,AI560+1,AI560)</f>
        <v/>
      </c>
      <c r="AJ561" s="148" t="inlineStr">
        <is>
          <t>Material not verified</t>
        </is>
      </c>
      <c r="AK561" s="148" t="inlineStr">
        <is>
          <t>Sheet set like ours, but the material is not stated (material not stated on the page or in the title); verify before treating as direct.</t>
        </is>
      </c>
    </row>
    <row r="562">
      <c r="A562" s="148">
        <f>AND(E562="US",OR('US Dashboard'!$C$4="All",'US Dashboard'!$C$4=D562),OR('US Dashboard'!$C$5="All",'US Dashboard'!$C$5=G562),OR('US Dashboard'!$C$6="All",'US Dashboard'!$C$6=H562),OR('US Dashboard'!$C$7="All",'US Dashboard'!$C$7=F562),OR('US Dashboard'!$C$8="All",'US Dashboard'!$C$8=AJ562))</f>
        <v/>
      </c>
      <c r="B562" s="148">
        <f>IF(A562,B561+1,B561)</f>
        <v/>
      </c>
      <c r="C562" s="148" t="n">
        <v>69</v>
      </c>
      <c r="D562" s="148" t="inlineStr">
        <is>
          <t>CL Cooling Sheets</t>
        </is>
      </c>
      <c r="E562" s="148" t="inlineStr">
        <is>
          <t>US</t>
        </is>
      </c>
      <c r="F562" s="148" t="inlineStr">
        <is>
          <t>Cooling</t>
        </is>
      </c>
      <c r="G562" s="148" t="inlineStr">
        <is>
          <t>David's Home</t>
        </is>
      </c>
      <c r="H562" s="148" t="inlineStr">
        <is>
          <t>Untiered</t>
        </is>
      </c>
      <c r="I562" s="148" t="inlineStr">
        <is>
          <t>Cooling Sheets</t>
        </is>
      </c>
      <c r="J562" s="148" t="n"/>
      <c r="K562" s="148" t="inlineStr">
        <is>
          <t>B0D1SRR2H4</t>
        </is>
      </c>
      <c r="L562" s="148" t="inlineStr">
        <is>
          <t>B0D1RBXBNG</t>
        </is>
      </c>
      <c r="M562" s="148" t="n"/>
      <c r="N562" s="148" t="n">
        <v>24.99</v>
      </c>
      <c r="O562" s="148" t="n"/>
      <c r="P562" s="148">
        <f>IF(AND(ISNUMBER(O562),ISNUMBER(N562),N(N562)&gt;0),O562/N562-1,"")</f>
        <v/>
      </c>
      <c r="Q562" s="148" t="n">
        <v>87.98999999999999</v>
      </c>
      <c r="R562" s="148">
        <f>IF(AND(ISNUMBER(N562),ISNUMBER(Q562),N(Q562)&gt;0),N562/Q562-1,"")</f>
        <v/>
      </c>
      <c r="S562" s="148" t="n">
        <v>758020</v>
      </c>
      <c r="T562" s="148" t="n"/>
      <c r="U562" s="148" t="n">
        <v>4.3</v>
      </c>
      <c r="V562" s="148" t="n">
        <v>169</v>
      </c>
      <c r="W562" s="148" t="n"/>
      <c r="X562" s="148" t="n"/>
      <c r="Y562" s="148" t="n"/>
      <c r="Z562" s="148" t="n"/>
      <c r="AA562" s="148" t="n"/>
      <c r="AB562" s="148" t="n"/>
      <c r="AC562" s="148" t="inlineStr">
        <is>
          <t>US CL Cooling Sheets</t>
        </is>
      </c>
      <c r="AD562" s="148">
        <f>'US CL Cooling Sheets'!BF105</f>
        <v/>
      </c>
      <c r="AE562" s="148">
        <f>'US CL Cooling Sheets'!BI105</f>
        <v/>
      </c>
      <c r="AF562" s="148" t="n"/>
      <c r="AG562" s="148" t="n"/>
      <c r="AH562" s="148">
        <f>AND(E562="CA",OR('CA Dashboard'!$C$4="All",'CA Dashboard'!$C$4=D562),OR('CA Dashboard'!$C$5="All",'CA Dashboard'!$C$5=G562),OR('CA Dashboard'!$C$6="All",'CA Dashboard'!$C$6=H562),OR('CA Dashboard'!$C$7="All",'CA Dashboard'!$C$7=F562),OR('CA Dashboard'!$C$8="All",'CA Dashboard'!$C$8=AJ562))</f>
        <v/>
      </c>
      <c r="AI562" s="148">
        <f>IF(AH562,AI561+1,AI561)</f>
        <v/>
      </c>
      <c r="AJ562" s="148" t="inlineStr">
        <is>
          <t>Material not verified</t>
        </is>
      </c>
      <c r="AK562" s="148" t="inlineStr">
        <is>
          <t>Sheet set like ours, but the material is not stated (material not stated on the page or in the title); verify before treating as direct.</t>
        </is>
      </c>
    </row>
    <row r="563">
      <c r="A563" s="148">
        <f>AND(E563="US",OR('US Dashboard'!$C$4="All",'US Dashboard'!$C$4=D563),OR('US Dashboard'!$C$5="All",'US Dashboard'!$C$5=G563),OR('US Dashboard'!$C$6="All",'US Dashboard'!$C$6=H563),OR('US Dashboard'!$C$7="All",'US Dashboard'!$C$7=F563),OR('US Dashboard'!$C$8="All",'US Dashboard'!$C$8=AJ563))</f>
        <v/>
      </c>
      <c r="B563" s="148">
        <f>IF(A563,B562+1,B562)</f>
        <v/>
      </c>
      <c r="C563" s="148" t="n">
        <v>69</v>
      </c>
      <c r="D563" s="148" t="inlineStr">
        <is>
          <t>CL Cooling Sheets</t>
        </is>
      </c>
      <c r="E563" s="148" t="inlineStr">
        <is>
          <t>US</t>
        </is>
      </c>
      <c r="F563" s="148" t="inlineStr">
        <is>
          <t>Cooling</t>
        </is>
      </c>
      <c r="G563" s="148" t="inlineStr">
        <is>
          <t>Pure Bamboo</t>
        </is>
      </c>
      <c r="H563" s="148" t="inlineStr">
        <is>
          <t>Aspirational</t>
        </is>
      </c>
      <c r="I563" s="148" t="inlineStr">
        <is>
          <t>Pure Bamboo King Sheets, Genuine 100% Organic Viscose Derived from Bamboo Bed Sheet Set, Luxuriously Soft &amp; Cooling, Double Stitching, 2 Year Quality Promise (King, Ivory)</t>
        </is>
      </c>
      <c r="J563" s="148" t="inlineStr">
        <is>
          <t>https://images-na.ssl-images-amazon.com/images/I/91dfner9BkL.jpg</t>
        </is>
      </c>
      <c r="K563" s="148" t="inlineStr">
        <is>
          <t>B0CZQ52MTQ</t>
        </is>
      </c>
      <c r="L563" s="148" t="inlineStr">
        <is>
          <t>B07DZTQ4JC</t>
        </is>
      </c>
      <c r="M563" s="148" t="n">
        <v>181</v>
      </c>
      <c r="N563" s="148" t="n">
        <v>109.99</v>
      </c>
      <c r="O563" s="148" t="n"/>
      <c r="P563" s="148">
        <f>IF(AND(ISNUMBER(O563),ISNUMBER(N563),N(N563)&gt;0),O563/N563-1,"")</f>
        <v/>
      </c>
      <c r="Q563" s="148" t="n">
        <v>93.98999999999999</v>
      </c>
      <c r="R563" s="148">
        <f>IF(AND(ISNUMBER(N563),ISNUMBER(Q563),N(Q563)&gt;0),N563/Q563-1,"")</f>
        <v/>
      </c>
      <c r="S563" s="148" t="n">
        <v>304</v>
      </c>
      <c r="T563" s="148" t="n">
        <v>809</v>
      </c>
      <c r="U563" s="148" t="n">
        <v>4.5</v>
      </c>
      <c r="V563" s="148" t="n">
        <v>21927</v>
      </c>
      <c r="W563" s="148" t="n">
        <v>2565055</v>
      </c>
      <c r="X563" s="148" t="n"/>
      <c r="Y563" s="148" t="n"/>
      <c r="Z563" s="148" t="n"/>
      <c r="AA563" s="148" t="n"/>
      <c r="AB563" s="148" t="n">
        <v>1.180104147961932</v>
      </c>
      <c r="AC563" s="148" t="inlineStr">
        <is>
          <t>US CL Cooling Sheets</t>
        </is>
      </c>
      <c r="AD563" s="148">
        <f>'US CL Cooling Sheets'!BF106</f>
        <v/>
      </c>
      <c r="AE563" s="148">
        <f>'US CL Cooling Sheets'!BI106</f>
        <v/>
      </c>
      <c r="AF563" s="148" t="inlineStr">
        <is>
          <t>King</t>
        </is>
      </c>
      <c r="AG563" s="148" t="inlineStr">
        <is>
          <t>Ivory</t>
        </is>
      </c>
      <c r="AH563" s="148">
        <f>AND(E563="CA",OR('CA Dashboard'!$C$4="All",'CA Dashboard'!$C$4=D563),OR('CA Dashboard'!$C$5="All",'CA Dashboard'!$C$5=G563),OR('CA Dashboard'!$C$6="All",'CA Dashboard'!$C$6=H563),OR('CA Dashboard'!$C$7="All",'CA Dashboard'!$C$7=F563),OR('CA Dashboard'!$C$8="All",'CA Dashboard'!$C$8=AJ563))</f>
        <v/>
      </c>
      <c r="AI563" s="148">
        <f>IF(AH563,AI562+1,AI562)</f>
        <v/>
      </c>
      <c r="AJ563" s="148" t="inlineStr">
        <is>
          <t>Alternative material</t>
        </is>
      </c>
      <c r="AK563" s="148" t="inlineStr">
        <is>
          <t>Sheet set in Bamboo viscose (title: Pure Bamboo King Sheets, Genuine 100% Organic Viscose Derive); ours is Synthetic cooling knit (product spec: CooLoom, 90% nylon / 10% spandex). Shopper may cross-shop, but not like-for-like.</t>
        </is>
      </c>
    </row>
    <row r="564">
      <c r="A564" s="148">
        <f>AND(E564="US",OR('US Dashboard'!$C$4="All",'US Dashboard'!$C$4=D564),OR('US Dashboard'!$C$5="All",'US Dashboard'!$C$5=G564),OR('US Dashboard'!$C$6="All",'US Dashboard'!$C$6=H564),OR('US Dashboard'!$C$7="All",'US Dashboard'!$C$7=F564),OR('US Dashboard'!$C$8="All",'US Dashboard'!$C$8=AJ564))</f>
        <v/>
      </c>
      <c r="B564" s="148">
        <f>IF(A564,B563+1,B563)</f>
        <v/>
      </c>
      <c r="C564" s="148" t="n">
        <v>69</v>
      </c>
      <c r="D564" s="148" t="inlineStr">
        <is>
          <t>CL Cooling Sheets</t>
        </is>
      </c>
      <c r="E564" s="148" t="inlineStr">
        <is>
          <t>US</t>
        </is>
      </c>
      <c r="F564" s="148" t="inlineStr">
        <is>
          <t>Cooling</t>
        </is>
      </c>
      <c r="G564" s="148" t="inlineStr">
        <is>
          <t>Hotel Sheets Direct</t>
        </is>
      </c>
      <c r="H564" s="148" t="inlineStr">
        <is>
          <t>Aspirational</t>
        </is>
      </c>
      <c r="I564" s="148" t="inlineStr">
        <is>
          <t>Hotel Sheets Direct 4 Piece Bed Sheet Set Queen Size, 100% Viscose Derived from Bamboo Sheets Set with 2 Pillowcases, Cooling &amp; Breathable Luxury Bedding, Moisture-Wicking &amp; Silky Soft Texture, White</t>
        </is>
      </c>
      <c r="J564" s="148" t="inlineStr">
        <is>
          <t>https://images-na.ssl-images-amazon.com/images/I/71oEhkRYQ+L.jpg</t>
        </is>
      </c>
      <c r="K564" s="148" t="inlineStr">
        <is>
          <t>B0G5N99X9R</t>
        </is>
      </c>
      <c r="L564" s="148" t="inlineStr">
        <is>
          <t>B01N9L2O9P</t>
        </is>
      </c>
      <c r="M564" s="148" t="n">
        <v>61</v>
      </c>
      <c r="N564" s="148" t="n">
        <v>79.98999999999999</v>
      </c>
      <c r="O564" s="148" t="n"/>
      <c r="P564" s="148">
        <f>IF(AND(ISNUMBER(O564),ISNUMBER(N564),N(N564)&gt;0),O564/N564-1,"")</f>
        <v/>
      </c>
      <c r="Q564" s="148" t="n">
        <v>87.98999999999999</v>
      </c>
      <c r="R564" s="148">
        <f>IF(AND(ISNUMBER(N564),ISNUMBER(Q564),N(Q564)&gt;0),N564/Q564-1,"")</f>
        <v/>
      </c>
      <c r="S564" s="148" t="n">
        <v>2984</v>
      </c>
      <c r="T564" s="148" t="n">
        <v>347</v>
      </c>
      <c r="U564" s="148" t="n">
        <v>4.4</v>
      </c>
      <c r="V564" s="148" t="n">
        <v>37179</v>
      </c>
      <c r="W564" s="148" t="n">
        <v>451969</v>
      </c>
      <c r="X564" s="148" t="n"/>
      <c r="Y564" s="148" t="n"/>
      <c r="Z564" s="148" t="n"/>
      <c r="AA564" s="148" t="n"/>
      <c r="AB564" s="148" t="n">
        <v>1.799620493358634</v>
      </c>
      <c r="AC564" s="148" t="inlineStr">
        <is>
          <t>US CL Cooling Sheets</t>
        </is>
      </c>
      <c r="AD564" s="148">
        <f>'US CL Cooling Sheets'!BF107</f>
        <v/>
      </c>
      <c r="AE564" s="148">
        <f>'US CL Cooling Sheets'!BI107</f>
        <v/>
      </c>
      <c r="AF564" s="148" t="inlineStr">
        <is>
          <t>Queen</t>
        </is>
      </c>
      <c r="AG564" s="148" t="inlineStr">
        <is>
          <t>White</t>
        </is>
      </c>
      <c r="AH564" s="148">
        <f>AND(E564="CA",OR('CA Dashboard'!$C$4="All",'CA Dashboard'!$C$4=D564),OR('CA Dashboard'!$C$5="All",'CA Dashboard'!$C$5=G564),OR('CA Dashboard'!$C$6="All",'CA Dashboard'!$C$6=H564),OR('CA Dashboard'!$C$7="All",'CA Dashboard'!$C$7=F564),OR('CA Dashboard'!$C$8="All",'CA Dashboard'!$C$8=AJ564))</f>
        <v/>
      </c>
      <c r="AI564" s="148">
        <f>IF(AH564,AI563+1,AI563)</f>
        <v/>
      </c>
      <c r="AJ564" s="148" t="inlineStr">
        <is>
          <t>Alternative material</t>
        </is>
      </c>
      <c r="AK564" s="148" t="inlineStr">
        <is>
          <t>Sheet set in Bamboo viscose (title: Hotel Sheets Direct 4 Piece Bed Sheet Set Queen Size, 100% V); ours is Synthetic cooling knit (product spec: CooLoom, 90% nylon / 10% spandex). Shopper may cross-shop, but not like-for-like.</t>
        </is>
      </c>
    </row>
    <row r="565">
      <c r="A565" s="148">
        <f>AND(E565="US",OR('US Dashboard'!$C$4="All",'US Dashboard'!$C$4=D565),OR('US Dashboard'!$C$5="All",'US Dashboard'!$C$5=G565),OR('US Dashboard'!$C$6="All",'US Dashboard'!$C$6=H565),OR('US Dashboard'!$C$7="All",'US Dashboard'!$C$7=F565),OR('US Dashboard'!$C$8="All",'US Dashboard'!$C$8=AJ565))</f>
        <v/>
      </c>
      <c r="B565" s="148">
        <f>IF(A565,B564+1,B564)</f>
        <v/>
      </c>
      <c r="C565" s="148" t="n">
        <v>69</v>
      </c>
      <c r="D565" s="148" t="inlineStr">
        <is>
          <t>CL Cooling Sheets</t>
        </is>
      </c>
      <c r="E565" s="148" t="inlineStr">
        <is>
          <t>US</t>
        </is>
      </c>
      <c r="F565" s="148" t="inlineStr">
        <is>
          <t>Cooling</t>
        </is>
      </c>
      <c r="G565" s="148" t="inlineStr">
        <is>
          <t>Bedsure</t>
        </is>
      </c>
      <c r="H565" s="148" t="inlineStr">
        <is>
          <t>Beatable</t>
        </is>
      </c>
      <c r="I565" s="148" t="inlineStr">
        <is>
          <t>Bedsure PureWoven 100% Rayon Derived from Bamboo, Queen Sheets, 4 Pieces</t>
        </is>
      </c>
      <c r="J565" s="148" t="inlineStr">
        <is>
          <t>https://images-na.ssl-images-amazon.com/images/I/81L2xb5ly6L.jpg</t>
        </is>
      </c>
      <c r="K565" s="148" t="inlineStr">
        <is>
          <t>B0BZ8T5BJ6</t>
        </is>
      </c>
      <c r="L565" s="148" t="inlineStr">
        <is>
          <t>B07YK8VTJV</t>
        </is>
      </c>
      <c r="M565" s="148" t="n">
        <v>131</v>
      </c>
      <c r="N565" s="148" t="n">
        <v>62.99</v>
      </c>
      <c r="O565" s="148" t="n">
        <v>69.98999999999999</v>
      </c>
      <c r="P565" s="148">
        <f>IF(AND(ISNUMBER(O565),ISNUMBER(N565),N(N565)&gt;0),O565/N565-1,"")</f>
        <v/>
      </c>
      <c r="Q565" s="148" t="n">
        <v>87.98999999999999</v>
      </c>
      <c r="R565" s="148">
        <f>IF(AND(ISNUMBER(N565),ISNUMBER(Q565),N(Q565)&gt;0),N565/Q565-1,"")</f>
        <v/>
      </c>
      <c r="S565" s="148" t="n">
        <v>256</v>
      </c>
      <c r="T565" s="148" t="n">
        <v>809</v>
      </c>
      <c r="U565" s="148" t="n">
        <v>4.4</v>
      </c>
      <c r="V565" s="148" t="n">
        <v>65061</v>
      </c>
      <c r="W565" s="148" t="n">
        <v>2166046</v>
      </c>
      <c r="X565" s="148" t="n"/>
      <c r="Y565" s="148" t="n"/>
      <c r="Z565" s="148" t="n"/>
      <c r="AA565" s="148" t="n"/>
      <c r="AB565" s="148" t="n">
        <v>1.066623404715553</v>
      </c>
      <c r="AC565" s="148" t="inlineStr">
        <is>
          <t>US CL Cooling Sheets</t>
        </is>
      </c>
      <c r="AD565" s="148">
        <f>'US CL Cooling Sheets'!BF108</f>
        <v/>
      </c>
      <c r="AE565" s="148">
        <f>'US CL Cooling Sheets'!BI108</f>
        <v/>
      </c>
      <c r="AF565" s="148" t="inlineStr">
        <is>
          <t>Queen</t>
        </is>
      </c>
      <c r="AG565" s="148" t="inlineStr">
        <is>
          <t>02 - White</t>
        </is>
      </c>
      <c r="AH565" s="148">
        <f>AND(E565="CA",OR('CA Dashboard'!$C$4="All",'CA Dashboard'!$C$4=D565),OR('CA Dashboard'!$C$5="All",'CA Dashboard'!$C$5=G565),OR('CA Dashboard'!$C$6="All",'CA Dashboard'!$C$6=H565),OR('CA Dashboard'!$C$7="All",'CA Dashboard'!$C$7=F565),OR('CA Dashboard'!$C$8="All",'CA Dashboard'!$C$8=AJ565))</f>
        <v/>
      </c>
      <c r="AI565" s="148">
        <f>IF(AH565,AI564+1,AI564)</f>
        <v/>
      </c>
      <c r="AJ565" s="148" t="inlineStr">
        <is>
          <t>Alternative material</t>
        </is>
      </c>
      <c r="AK565" s="148" t="inlineStr">
        <is>
          <t>Sheet set in Bamboo viscose (product page material: Rayon Derived from Bamboo); ours is Synthetic cooling knit (product spec: CooLoom, 90% nylon / 10% spandex). Shopper may cross-shop, but not like-for-like.</t>
        </is>
      </c>
    </row>
    <row r="566">
      <c r="A566" s="148">
        <f>AND(E566="US",OR('US Dashboard'!$C$4="All",'US Dashboard'!$C$4=D566),OR('US Dashboard'!$C$5="All",'US Dashboard'!$C$5=G566),OR('US Dashboard'!$C$6="All",'US Dashboard'!$C$6=H566),OR('US Dashboard'!$C$7="All",'US Dashboard'!$C$7=F566),OR('US Dashboard'!$C$8="All",'US Dashboard'!$C$8=AJ566))</f>
        <v/>
      </c>
      <c r="B566" s="148">
        <f>IF(A566,B565+1,B565)</f>
        <v/>
      </c>
      <c r="C566" s="148" t="n">
        <v>69</v>
      </c>
      <c r="D566" s="148" t="inlineStr">
        <is>
          <t>CL Cooling Sheets</t>
        </is>
      </c>
      <c r="E566" s="148" t="inlineStr">
        <is>
          <t>US</t>
        </is>
      </c>
      <c r="F566" s="148" t="inlineStr">
        <is>
          <t>Cooling</t>
        </is>
      </c>
      <c r="G566" s="148" t="inlineStr">
        <is>
          <t>KRIMANO</t>
        </is>
      </c>
      <c r="H566" s="148" t="inlineStr">
        <is>
          <t>Beatable</t>
        </is>
      </c>
      <c r="I566" s="148" t="inlineStr">
        <is>
          <t>KRIMANO Bamboo Viscose Sheet Set King Size, Cooling Sheets Bed Set</t>
        </is>
      </c>
      <c r="J566" s="148" t="inlineStr">
        <is>
          <t>https://images-na.ssl-images-amazon.com/images/I/61-LBYlR5KL.jpg</t>
        </is>
      </c>
      <c r="K566" s="148" t="inlineStr">
        <is>
          <t>B0FT7L9RSX</t>
        </is>
      </c>
      <c r="L566" s="148" t="inlineStr">
        <is>
          <t>B0FT7LZ2CD</t>
        </is>
      </c>
      <c r="M566" s="148" t="n">
        <v>43</v>
      </c>
      <c r="N566" s="148" t="n">
        <v>79.98999999999999</v>
      </c>
      <c r="O566" s="148" t="n"/>
      <c r="P566" s="148">
        <f>IF(AND(ISNUMBER(O566),ISNUMBER(N566),N(N566)&gt;0),O566/N566-1,"")</f>
        <v/>
      </c>
      <c r="Q566" s="148" t="n">
        <v>93.98999999999999</v>
      </c>
      <c r="R566" s="148">
        <f>IF(AND(ISNUMBER(N566),ISNUMBER(Q566),N(Q566)&gt;0),N566/Q566-1,"")</f>
        <v/>
      </c>
      <c r="S566" s="148" t="n">
        <v>5664</v>
      </c>
      <c r="T566" s="148" t="n">
        <v>185</v>
      </c>
      <c r="U566" s="148" t="n">
        <v>4.5</v>
      </c>
      <c r="V566" s="148" t="n">
        <v>263</v>
      </c>
      <c r="W566" s="148" t="n">
        <v>334819</v>
      </c>
      <c r="X566" s="148" t="n"/>
      <c r="Y566" s="148" t="n"/>
      <c r="Z566" s="148" t="n"/>
      <c r="AA566" s="148" t="n"/>
      <c r="AB566" s="148" t="n">
        <v>1.312468450277638</v>
      </c>
      <c r="AC566" s="148" t="inlineStr">
        <is>
          <t>US CL Cooling Sheets</t>
        </is>
      </c>
      <c r="AD566" s="148">
        <f>'US CL Cooling Sheets'!BF109</f>
        <v/>
      </c>
      <c r="AE566" s="148">
        <f>'US CL Cooling Sheets'!BI109</f>
        <v/>
      </c>
      <c r="AF566" s="148" t="inlineStr">
        <is>
          <t>King</t>
        </is>
      </c>
      <c r="AG566" s="148" t="inlineStr">
        <is>
          <t>1.navy Blue</t>
        </is>
      </c>
      <c r="AH566" s="148">
        <f>AND(E566="CA",OR('CA Dashboard'!$C$4="All",'CA Dashboard'!$C$4=D566),OR('CA Dashboard'!$C$5="All",'CA Dashboard'!$C$5=G566),OR('CA Dashboard'!$C$6="All",'CA Dashboard'!$C$6=H566),OR('CA Dashboard'!$C$7="All",'CA Dashboard'!$C$7=F566),OR('CA Dashboard'!$C$8="All",'CA Dashboard'!$C$8=AJ566))</f>
        <v/>
      </c>
      <c r="AI566" s="148">
        <f>IF(AH566,AI565+1,AI565)</f>
        <v/>
      </c>
      <c r="AJ566" s="148" t="inlineStr">
        <is>
          <t>Alternative material</t>
        </is>
      </c>
      <c r="AK566" s="148" t="inlineStr">
        <is>
          <t>Sheet set in Bamboo viscose (product page material: Viscose Derived from Bamboo); ours is Synthetic cooling knit (product spec: CooLoom, 90% nylon / 10% spandex). Shopper may cross-shop, but not like-for-like.</t>
        </is>
      </c>
    </row>
    <row r="567">
      <c r="A567" s="148">
        <f>AND(E567="US",OR('US Dashboard'!$C$4="All",'US Dashboard'!$C$4=D567),OR('US Dashboard'!$C$5="All",'US Dashboard'!$C$5=G567),OR('US Dashboard'!$C$6="All",'US Dashboard'!$C$6=H567),OR('US Dashboard'!$C$7="All",'US Dashboard'!$C$7=F567),OR('US Dashboard'!$C$8="All",'US Dashboard'!$C$8=AJ567))</f>
        <v/>
      </c>
      <c r="B567" s="148">
        <f>IF(A567,B566+1,B566)</f>
        <v/>
      </c>
      <c r="C567" s="148" t="n">
        <v>69</v>
      </c>
      <c r="D567" s="148" t="inlineStr">
        <is>
          <t>CL Cooling Sheets</t>
        </is>
      </c>
      <c r="E567" s="148" t="inlineStr">
        <is>
          <t>US</t>
        </is>
      </c>
      <c r="F567" s="148" t="inlineStr">
        <is>
          <t>Cooling</t>
        </is>
      </c>
      <c r="G567" s="148" t="inlineStr">
        <is>
          <t>Bambaw</t>
        </is>
      </c>
      <c r="H567" s="148" t="inlineStr">
        <is>
          <t>Beatable</t>
        </is>
      </c>
      <c r="I567" s="148" t="inlineStr">
        <is>
          <t>Bambaw 100% Viscose Derived from Bamboo Sheets Queen Size Set – 4pcs Cooling Sheet Set, Super Soft Sheets Queen Size, Luxury Bed Sheets, Deep Pocket Fits Up to 16'' Mattresses (Charcoal)</t>
        </is>
      </c>
      <c r="J567" s="148" t="inlineStr">
        <is>
          <t>https://images-na.ssl-images-amazon.com/images/I/81svKInu7aL.jpg</t>
        </is>
      </c>
      <c r="K567" s="148" t="inlineStr">
        <is>
          <t>B07K6SYX8L</t>
        </is>
      </c>
      <c r="L567" s="148" t="inlineStr">
        <is>
          <t>B0DR99Q37Y</t>
        </is>
      </c>
      <c r="M567" s="148" t="n">
        <v>104</v>
      </c>
      <c r="N567" s="148" t="n">
        <v>89.98999999999999</v>
      </c>
      <c r="O567" s="148" t="n"/>
      <c r="P567" s="148">
        <f>IF(AND(ISNUMBER(O567),ISNUMBER(N567),N(N567)&gt;0),O567/N567-1,"")</f>
        <v/>
      </c>
      <c r="Q567" s="148" t="n">
        <v>87.98999999999999</v>
      </c>
      <c r="R567" s="148">
        <f>IF(AND(ISNUMBER(N567),ISNUMBER(Q567),N(Q567)&gt;0),N567/Q567-1,"")</f>
        <v/>
      </c>
      <c r="S567" s="148" t="n">
        <v>6971</v>
      </c>
      <c r="T567" s="148" t="n">
        <v>104</v>
      </c>
      <c r="U567" s="148" t="n">
        <v>4.3</v>
      </c>
      <c r="V567" s="148" t="n">
        <v>2766</v>
      </c>
      <c r="W567" s="148" t="n">
        <v>407949</v>
      </c>
      <c r="X567" s="148" t="n"/>
      <c r="Y567" s="148" t="n"/>
      <c r="Z567" s="148" t="n"/>
      <c r="AA567" s="148" t="n"/>
      <c r="AB567" s="148" t="n">
        <v>1.374474053295933</v>
      </c>
      <c r="AC567" s="148" t="inlineStr">
        <is>
          <t>US CL Cooling Sheets</t>
        </is>
      </c>
      <c r="AD567" s="148">
        <f>'US CL Cooling Sheets'!BF110</f>
        <v/>
      </c>
      <c r="AE567" s="148">
        <f>'US CL Cooling Sheets'!BI110</f>
        <v/>
      </c>
      <c r="AF567" s="148" t="inlineStr">
        <is>
          <t>Queen</t>
        </is>
      </c>
      <c r="AG567" s="148" t="inlineStr">
        <is>
          <t>Charcoal</t>
        </is>
      </c>
      <c r="AH567" s="148">
        <f>AND(E567="CA",OR('CA Dashboard'!$C$4="All",'CA Dashboard'!$C$4=D567),OR('CA Dashboard'!$C$5="All",'CA Dashboard'!$C$5=G567),OR('CA Dashboard'!$C$6="All",'CA Dashboard'!$C$6=H567),OR('CA Dashboard'!$C$7="All",'CA Dashboard'!$C$7=F567),OR('CA Dashboard'!$C$8="All",'CA Dashboard'!$C$8=AJ567))</f>
        <v/>
      </c>
      <c r="AI567" s="148">
        <f>IF(AH567,AI566+1,AI566)</f>
        <v/>
      </c>
      <c r="AJ567" s="148" t="inlineStr">
        <is>
          <t>Alternative material</t>
        </is>
      </c>
      <c r="AK567" s="148" t="inlineStr">
        <is>
          <t>Sheet set in Bamboo viscose (title: Bambaw 100% Viscose Derived from Bamboo Sheets Queen Size Se); ours is Synthetic cooling knit (product spec: CooLoom, 90% nylon / 10% spandex). Shopper may cross-shop, but not like-for-like.</t>
        </is>
      </c>
    </row>
    <row r="568">
      <c r="A568" s="148">
        <f>AND(E568="US",OR('US Dashboard'!$C$4="All",'US Dashboard'!$C$4=D568),OR('US Dashboard'!$C$5="All",'US Dashboard'!$C$5=G568),OR('US Dashboard'!$C$6="All",'US Dashboard'!$C$6=H568),OR('US Dashboard'!$C$7="All",'US Dashboard'!$C$7=F568),OR('US Dashboard'!$C$8="All",'US Dashboard'!$C$8=AJ568))</f>
        <v/>
      </c>
      <c r="B568" s="148">
        <f>IF(A568,B567+1,B567)</f>
        <v/>
      </c>
      <c r="C568" s="148" t="n">
        <v>69</v>
      </c>
      <c r="D568" s="148" t="inlineStr">
        <is>
          <t>CL Cooling Sheets</t>
        </is>
      </c>
      <c r="E568" s="148" t="inlineStr">
        <is>
          <t>US</t>
        </is>
      </c>
      <c r="F568" s="148" t="inlineStr">
        <is>
          <t>Cooling</t>
        </is>
      </c>
      <c r="G568" s="148" t="inlineStr">
        <is>
          <t>SONORO KATE</t>
        </is>
      </c>
      <c r="H568" s="148" t="inlineStr">
        <is>
          <t>Beatable</t>
        </is>
      </c>
      <c r="I568" s="148" t="inlineStr">
        <is>
          <t>Bamboo Sheets</t>
        </is>
      </c>
      <c r="J568" s="148" t="inlineStr">
        <is>
          <t>https://m.media-amazon.com/images/I/71sqxa1EquL._AC_SL1500_.jpg</t>
        </is>
      </c>
      <c r="K568" s="148" t="inlineStr">
        <is>
          <t>B0F4852T9V</t>
        </is>
      </c>
      <c r="L568" s="148" t="inlineStr">
        <is>
          <t>B0F4873G4H</t>
        </is>
      </c>
      <c r="M568" s="148" t="n"/>
      <c r="N568" s="148" t="n">
        <v>79.98999999999999</v>
      </c>
      <c r="O568" s="148" t="n"/>
      <c r="P568" s="148">
        <f>IF(AND(ISNUMBER(O568),ISNUMBER(N568),N(N568)&gt;0),O568/N568-1,"")</f>
        <v/>
      </c>
      <c r="Q568" s="148" t="n">
        <v>93.98999999999999</v>
      </c>
      <c r="R568" s="148">
        <f>IF(AND(ISNUMBER(N568),ISNUMBER(Q568),N(Q568)&gt;0),N568/Q568-1,"")</f>
        <v/>
      </c>
      <c r="S568" s="148" t="n">
        <v>7961</v>
      </c>
      <c r="T568" s="148" t="n">
        <v>104</v>
      </c>
      <c r="U568" s="148" t="n">
        <v>4.5</v>
      </c>
      <c r="V568" s="148" t="n">
        <v>3776</v>
      </c>
      <c r="W568" s="148" t="n">
        <v>185157</v>
      </c>
      <c r="X568" s="148" t="n"/>
      <c r="Y568" s="148" t="n"/>
      <c r="Z568" s="148" t="n"/>
      <c r="AA568" s="148" t="n"/>
      <c r="AB568" s="148" t="n">
        <v>1.314808539478143</v>
      </c>
      <c r="AC568" s="148" t="inlineStr">
        <is>
          <t>US CL Cooling Sheets</t>
        </is>
      </c>
      <c r="AD568" s="148">
        <f>'US CL Cooling Sheets'!BF111</f>
        <v/>
      </c>
      <c r="AE568" s="148">
        <f>'US CL Cooling Sheets'!BI111</f>
        <v/>
      </c>
      <c r="AF568" s="148" t="inlineStr">
        <is>
          <t>King</t>
        </is>
      </c>
      <c r="AG568" s="148" t="inlineStr">
        <is>
          <t>Dark Grey</t>
        </is>
      </c>
      <c r="AH568" s="148">
        <f>AND(E568="CA",OR('CA Dashboard'!$C$4="All",'CA Dashboard'!$C$4=D568),OR('CA Dashboard'!$C$5="All",'CA Dashboard'!$C$5=G568),OR('CA Dashboard'!$C$6="All",'CA Dashboard'!$C$6=H568),OR('CA Dashboard'!$C$7="All",'CA Dashboard'!$C$7=F568),OR('CA Dashboard'!$C$8="All",'CA Dashboard'!$C$8=AJ568))</f>
        <v/>
      </c>
      <c r="AI568" s="148">
        <f>IF(AH568,AI567+1,AI567)</f>
        <v/>
      </c>
      <c r="AJ568" s="148" t="inlineStr">
        <is>
          <t>Alternative material</t>
        </is>
      </c>
      <c r="AK568" s="148" t="inlineStr">
        <is>
          <t>Sheet set in Bamboo viscose (product page material: Viscose Derived From Bamboo); ours is Synthetic cooling knit (product spec: CooLoom, 90% nylon / 10% spandex). Shopper may cross-shop, but not like-for-like.</t>
        </is>
      </c>
    </row>
    <row r="569">
      <c r="A569" s="148">
        <f>AND(E569="US",OR('US Dashboard'!$C$4="All",'US Dashboard'!$C$4=D569),OR('US Dashboard'!$C$5="All",'US Dashboard'!$C$5=G569),OR('US Dashboard'!$C$6="All",'US Dashboard'!$C$6=H569),OR('US Dashboard'!$C$7="All",'US Dashboard'!$C$7=F569),OR('US Dashboard'!$C$8="All",'US Dashboard'!$C$8=AJ569))</f>
        <v/>
      </c>
      <c r="B569" s="148">
        <f>IF(A569,B568+1,B568)</f>
        <v/>
      </c>
      <c r="C569" s="148" t="n">
        <v>69</v>
      </c>
      <c r="D569" s="148" t="inlineStr">
        <is>
          <t>CL Cooling Sheets</t>
        </is>
      </c>
      <c r="E569" s="148" t="inlineStr">
        <is>
          <t>US</t>
        </is>
      </c>
      <c r="F569" s="148" t="inlineStr">
        <is>
          <t>Cooling</t>
        </is>
      </c>
      <c r="G569" s="148" t="inlineStr">
        <is>
          <t>BC BELLA COTERIE</t>
        </is>
      </c>
      <c r="H569" s="148" t="inlineStr">
        <is>
          <t>Beatable</t>
        </is>
      </c>
      <c r="I569" s="148" t="inlineStr">
        <is>
          <t>Bella Coterie Luxury Bamboo Viscose King Size Sheet Set</t>
        </is>
      </c>
      <c r="J569" s="148" t="inlineStr">
        <is>
          <t>https://images-na.ssl-images-amazon.com/images/I/71Pl57-j67L.jpg</t>
        </is>
      </c>
      <c r="K569" s="148" t="inlineStr">
        <is>
          <t>B0H29V113N</t>
        </is>
      </c>
      <c r="L569" s="148" t="inlineStr">
        <is>
          <t>B08L86VLZB</t>
        </is>
      </c>
      <c r="M569" s="148" t="n">
        <v>258</v>
      </c>
      <c r="N569" s="148" t="n">
        <v>154.99</v>
      </c>
      <c r="O569" s="148" t="n"/>
      <c r="P569" s="148">
        <f>IF(AND(ISNUMBER(O569),ISNUMBER(N569),N(N569)&gt;0),O569/N569-1,"")</f>
        <v/>
      </c>
      <c r="Q569" s="148" t="n">
        <v>93.98999999999999</v>
      </c>
      <c r="R569" s="148">
        <f>IF(AND(ISNUMBER(N569),ISNUMBER(Q569),N(Q569)&gt;0),N569/Q569-1,"")</f>
        <v/>
      </c>
      <c r="S569" s="148" t="n">
        <v>1358</v>
      </c>
      <c r="T569" s="148" t="n">
        <v>92</v>
      </c>
      <c r="U569" s="148" t="n">
        <v>4.4</v>
      </c>
      <c r="V569" s="148" t="n">
        <v>5871</v>
      </c>
      <c r="W569" s="148" t="n">
        <v>591713</v>
      </c>
      <c r="X569" s="148" t="n"/>
      <c r="Y569" s="148" t="n"/>
      <c r="Z569" s="148" t="n"/>
      <c r="AA569" s="148" t="n"/>
      <c r="AB569" s="148" t="n">
        <v>1.778087279480037</v>
      </c>
      <c r="AC569" s="148" t="inlineStr">
        <is>
          <t>US CL Cooling Sheets</t>
        </is>
      </c>
      <c r="AD569" s="148">
        <f>'US CL Cooling Sheets'!BF112</f>
        <v/>
      </c>
      <c r="AE569" s="148">
        <f>'US CL Cooling Sheets'!BI112</f>
        <v/>
      </c>
      <c r="AF569" s="148" t="inlineStr">
        <is>
          <t>King - 2 Pillowcases</t>
        </is>
      </c>
      <c r="AG569" s="148" t="inlineStr">
        <is>
          <t>01 - White</t>
        </is>
      </c>
      <c r="AH569" s="148">
        <f>AND(E569="CA",OR('CA Dashboard'!$C$4="All",'CA Dashboard'!$C$4=D569),OR('CA Dashboard'!$C$5="All",'CA Dashboard'!$C$5=G569),OR('CA Dashboard'!$C$6="All",'CA Dashboard'!$C$6=H569),OR('CA Dashboard'!$C$7="All",'CA Dashboard'!$C$7=F569),OR('CA Dashboard'!$C$8="All",'CA Dashboard'!$C$8=AJ569))</f>
        <v/>
      </c>
      <c r="AI569" s="148">
        <f>IF(AH569,AI568+1,AI568)</f>
        <v/>
      </c>
      <c r="AJ569" s="148" t="inlineStr">
        <is>
          <t>Alternative material</t>
        </is>
      </c>
      <c r="AK569" s="148" t="inlineStr">
        <is>
          <t>Sheet set in Bamboo viscose (product page material: Organically Grown | Viscose Made From Bamboo); ours is Synthetic cooling knit (product spec: CooLoom, 90% nylon / 10% spandex). Shopper may cross-shop, but not like-for-like.</t>
        </is>
      </c>
    </row>
    <row r="570">
      <c r="A570" s="148">
        <f>AND(E570="US",OR('US Dashboard'!$C$4="All",'US Dashboard'!$C$4=D570),OR('US Dashboard'!$C$5="All",'US Dashboard'!$C$5=G570),OR('US Dashboard'!$C$6="All",'US Dashboard'!$C$6=H570),OR('US Dashboard'!$C$7="All",'US Dashboard'!$C$7=F570),OR('US Dashboard'!$C$8="All",'US Dashboard'!$C$8=AJ570))</f>
        <v/>
      </c>
      <c r="B570" s="148">
        <f>IF(A570,B569+1,B569)</f>
        <v/>
      </c>
      <c r="C570" s="148" t="n">
        <v>69</v>
      </c>
      <c r="D570" s="148" t="inlineStr">
        <is>
          <t>CL Cooling Sheets</t>
        </is>
      </c>
      <c r="E570" s="148" t="inlineStr">
        <is>
          <t>US</t>
        </is>
      </c>
      <c r="F570" s="148" t="inlineStr">
        <is>
          <t>Cooling</t>
        </is>
      </c>
      <c r="G570" s="148" t="inlineStr">
        <is>
          <t>SONORO KATE</t>
        </is>
      </c>
      <c r="H570" s="148" t="inlineStr">
        <is>
          <t>Beatable</t>
        </is>
      </c>
      <c r="I570" s="148" t="inlineStr">
        <is>
          <t>SONORO KATE 100% Viscose Derived from Bamboo_Sheets Queen Size,4PC</t>
        </is>
      </c>
      <c r="J570" s="148" t="inlineStr">
        <is>
          <t>https://images-na.ssl-images-amazon.com/images/I/71HeTCWM4hL.jpg</t>
        </is>
      </c>
      <c r="K570" s="148" t="inlineStr">
        <is>
          <t>B0F29FQLFD</t>
        </is>
      </c>
      <c r="L570" s="148" t="inlineStr">
        <is>
          <t>B0F29F1JM5</t>
        </is>
      </c>
      <c r="M570" s="148" t="n">
        <v>42</v>
      </c>
      <c r="N570" s="148" t="n">
        <v>59.99</v>
      </c>
      <c r="O570" s="148" t="n"/>
      <c r="P570" s="148">
        <f>IF(AND(ISNUMBER(O570),ISNUMBER(N570),N(N570)&gt;0),O570/N570-1,"")</f>
        <v/>
      </c>
      <c r="Q570" s="148" t="n">
        <v>87.98999999999999</v>
      </c>
      <c r="R570" s="148">
        <f>IF(AND(ISNUMBER(N570),ISNUMBER(Q570),N(Q570)&gt;0),N570/Q570-1,"")</f>
        <v/>
      </c>
      <c r="S570" s="148" t="n">
        <v>23979</v>
      </c>
      <c r="T570" s="148" t="n">
        <v>81</v>
      </c>
      <c r="U570" s="148" t="n">
        <v>4.5</v>
      </c>
      <c r="V570" s="148" t="n">
        <v>3911</v>
      </c>
      <c r="W570" s="148" t="n">
        <v>114504</v>
      </c>
      <c r="X570" s="148" t="n"/>
      <c r="Y570" s="148" t="n"/>
      <c r="Z570" s="148" t="n"/>
      <c r="AA570" s="148" t="n"/>
      <c r="AB570" s="148" t="n">
        <v>1.095271210013908</v>
      </c>
      <c r="AC570" s="148" t="inlineStr">
        <is>
          <t>US CL Cooling Sheets</t>
        </is>
      </c>
      <c r="AD570" s="148">
        <f>'US CL Cooling Sheets'!BF113</f>
        <v/>
      </c>
      <c r="AE570" s="148">
        <f>'US CL Cooling Sheets'!BI113</f>
        <v/>
      </c>
      <c r="AF570" s="148" t="inlineStr">
        <is>
          <t>Queen</t>
        </is>
      </c>
      <c r="AG570" s="148" t="inlineStr">
        <is>
          <t>Dark Grey</t>
        </is>
      </c>
      <c r="AH570" s="148">
        <f>AND(E570="CA",OR('CA Dashboard'!$C$4="All",'CA Dashboard'!$C$4=D570),OR('CA Dashboard'!$C$5="All",'CA Dashboard'!$C$5=G570),OR('CA Dashboard'!$C$6="All",'CA Dashboard'!$C$6=H570),OR('CA Dashboard'!$C$7="All",'CA Dashboard'!$C$7=F570),OR('CA Dashboard'!$C$8="All",'CA Dashboard'!$C$8=AJ570))</f>
        <v/>
      </c>
      <c r="AI570" s="148">
        <f>IF(AH570,AI569+1,AI569)</f>
        <v/>
      </c>
      <c r="AJ570" s="148" t="inlineStr">
        <is>
          <t>Alternative material</t>
        </is>
      </c>
      <c r="AK570" s="148" t="inlineStr">
        <is>
          <t>Sheet set in Bamboo viscose (product page material: Viscose Derived From Bamboo); ours is Synthetic cooling knit (product spec: CooLoom, 90% nylon / 10% spandex). Shopper may cross-shop, but not like-for-like.</t>
        </is>
      </c>
    </row>
    <row r="571">
      <c r="A571" s="148">
        <f>AND(E571="US",OR('US Dashboard'!$C$4="All",'US Dashboard'!$C$4=D571),OR('US Dashboard'!$C$5="All",'US Dashboard'!$C$5=G571),OR('US Dashboard'!$C$6="All",'US Dashboard'!$C$6=H571),OR('US Dashboard'!$C$7="All",'US Dashboard'!$C$7=F571),OR('US Dashboard'!$C$8="All",'US Dashboard'!$C$8=AJ571))</f>
        <v/>
      </c>
      <c r="B571" s="148">
        <f>IF(A571,B570+1,B570)</f>
        <v/>
      </c>
      <c r="C571" s="148" t="n">
        <v>69</v>
      </c>
      <c r="D571" s="148" t="inlineStr">
        <is>
          <t>CL Cooling Sheets</t>
        </is>
      </c>
      <c r="E571" s="148" t="inlineStr">
        <is>
          <t>US</t>
        </is>
      </c>
      <c r="F571" s="148" t="inlineStr">
        <is>
          <t>Cooling</t>
        </is>
      </c>
      <c r="G571" s="148" t="inlineStr">
        <is>
          <t>DOZ by SIJO</t>
        </is>
      </c>
      <c r="H571" s="148" t="inlineStr">
        <is>
          <t>Beatable</t>
        </is>
      </c>
      <c r="I571" s="148" t="inlineStr">
        <is>
          <t>Bamboo Sheets</t>
        </is>
      </c>
      <c r="J571" s="148" t="inlineStr">
        <is>
          <t>https://m.media-amazon.com/images/I/81VWHNQQarL._AC_SL1500_.jpg</t>
        </is>
      </c>
      <c r="K571" s="148" t="inlineStr">
        <is>
          <t>B0DCZGYVZ9</t>
        </is>
      </c>
      <c r="L571" s="148" t="inlineStr">
        <is>
          <t>B0F24TRXCZ</t>
        </is>
      </c>
      <c r="M571" s="148" t="n"/>
      <c r="N571" s="148" t="n">
        <v>55</v>
      </c>
      <c r="O571" s="148" t="n"/>
      <c r="P571" s="148">
        <f>IF(AND(ISNUMBER(O571),ISNUMBER(N571),N(N571)&gt;0),O571/N571-1,"")</f>
        <v/>
      </c>
      <c r="Q571" s="148" t="n">
        <v>87.98999999999999</v>
      </c>
      <c r="R571" s="148">
        <f>IF(AND(ISNUMBER(N571),ISNUMBER(Q571),N(Q571)&gt;0),N571/Q571-1,"")</f>
        <v/>
      </c>
      <c r="S571" s="148" t="n">
        <v>4051</v>
      </c>
      <c r="T571" s="148" t="n">
        <v>35</v>
      </c>
      <c r="U571" s="148" t="n">
        <v>4.4</v>
      </c>
      <c r="V571" s="148" t="n">
        <v>1909</v>
      </c>
      <c r="W571" s="148" t="n">
        <v>171534</v>
      </c>
      <c r="X571" s="148" t="n"/>
      <c r="Y571" s="148" t="n"/>
      <c r="Z571" s="148" t="n"/>
      <c r="AA571" s="148" t="n"/>
      <c r="AB571" s="148" t="n"/>
      <c r="AC571" s="148" t="inlineStr">
        <is>
          <t>US CL Cooling Sheets</t>
        </is>
      </c>
      <c r="AD571" s="148">
        <f>'US CL Cooling Sheets'!BF114</f>
        <v/>
      </c>
      <c r="AE571" s="148">
        <f>'US CL Cooling Sheets'!BI114</f>
        <v/>
      </c>
      <c r="AF571" s="148" t="inlineStr">
        <is>
          <t>Queen</t>
        </is>
      </c>
      <c r="AG571" s="148" t="inlineStr">
        <is>
          <t>Olive</t>
        </is>
      </c>
      <c r="AH571" s="148">
        <f>AND(E571="CA",OR('CA Dashboard'!$C$4="All",'CA Dashboard'!$C$4=D571),OR('CA Dashboard'!$C$5="All",'CA Dashboard'!$C$5=G571),OR('CA Dashboard'!$C$6="All",'CA Dashboard'!$C$6=H571),OR('CA Dashboard'!$C$7="All",'CA Dashboard'!$C$7=F571),OR('CA Dashboard'!$C$8="All",'CA Dashboard'!$C$8=AJ571))</f>
        <v/>
      </c>
      <c r="AI571" s="148">
        <f>IF(AH571,AI570+1,AI570)</f>
        <v/>
      </c>
      <c r="AJ571" s="148" t="inlineStr">
        <is>
          <t>Alternative material</t>
        </is>
      </c>
      <c r="AK571" s="148" t="inlineStr">
        <is>
          <t>Sheet set in Bamboo viscose (product page material: Rayon); ours is Synthetic cooling knit (product spec: CooLoom, 90% nylon / 10% spandex). Shopper may cross-shop, but not like-for-like.</t>
        </is>
      </c>
    </row>
    <row r="572">
      <c r="A572" s="148">
        <f>AND(E572="US",OR('US Dashboard'!$C$4="All",'US Dashboard'!$C$4=D572),OR('US Dashboard'!$C$5="All",'US Dashboard'!$C$5=G572),OR('US Dashboard'!$C$6="All",'US Dashboard'!$C$6=H572),OR('US Dashboard'!$C$7="All",'US Dashboard'!$C$7=F572),OR('US Dashboard'!$C$8="All",'US Dashboard'!$C$8=AJ572))</f>
        <v/>
      </c>
      <c r="B572" s="148">
        <f>IF(A572,B571+1,B571)</f>
        <v/>
      </c>
      <c r="C572" s="148" t="n">
        <v>69</v>
      </c>
      <c r="D572" s="148" t="inlineStr">
        <is>
          <t>CL Cooling Sheets</t>
        </is>
      </c>
      <c r="E572" s="148" t="inlineStr">
        <is>
          <t>US</t>
        </is>
      </c>
      <c r="F572" s="148" t="inlineStr">
        <is>
          <t>Cooling</t>
        </is>
      </c>
      <c r="G572" s="148" t="inlineStr">
        <is>
          <t>Kickoff Home</t>
        </is>
      </c>
      <c r="H572" s="148" t="inlineStr">
        <is>
          <t>Poor</t>
        </is>
      </c>
      <c r="I572" s="148" t="inlineStr">
        <is>
          <t>Bamboo Sheets</t>
        </is>
      </c>
      <c r="J572" s="148" t="inlineStr">
        <is>
          <t>https://m.media-amazon.com/images/I/7126vOg+0nL._AC_SL1500_.jpg</t>
        </is>
      </c>
      <c r="K572" s="148" t="inlineStr">
        <is>
          <t>B0D4KS4MVX</t>
        </is>
      </c>
      <c r="L572" s="148" t="inlineStr">
        <is>
          <t>B0CHN5ZPFH</t>
        </is>
      </c>
      <c r="M572" s="148" t="n"/>
      <c r="N572" s="148" t="n">
        <v>86.98999999999999</v>
      </c>
      <c r="O572" s="148" t="n">
        <v>84.98999999999999</v>
      </c>
      <c r="P572" s="148">
        <f>IF(AND(ISNUMBER(O572),ISNUMBER(N572),N(N572)&gt;0),O572/N572-1,"")</f>
        <v/>
      </c>
      <c r="Q572" s="148" t="n">
        <v>93.98999999999999</v>
      </c>
      <c r="R572" s="148">
        <f>IF(AND(ISNUMBER(N572),ISNUMBER(Q572),N(Q572)&gt;0),N572/Q572-1,"")</f>
        <v/>
      </c>
      <c r="S572" s="148" t="n">
        <v>23579</v>
      </c>
      <c r="T572" s="148" t="n">
        <v>18</v>
      </c>
      <c r="U572" s="148" t="n">
        <v>4.6</v>
      </c>
      <c r="V572" s="148" t="n">
        <v>688</v>
      </c>
      <c r="W572" s="148" t="n">
        <v>58169</v>
      </c>
      <c r="X572" s="148" t="n"/>
      <c r="Y572" s="148" t="n"/>
      <c r="Z572" s="148" t="n"/>
      <c r="AA572" s="148" t="n"/>
      <c r="AB572" s="148" t="n"/>
      <c r="AC572" s="148" t="inlineStr">
        <is>
          <t>US CL Cooling Sheets</t>
        </is>
      </c>
      <c r="AD572" s="148">
        <f>'US CL Cooling Sheets'!BF115</f>
        <v/>
      </c>
      <c r="AE572" s="148">
        <f>'US CL Cooling Sheets'!BI115</f>
        <v/>
      </c>
      <c r="AF572" s="148" t="inlineStr">
        <is>
          <t>King</t>
        </is>
      </c>
      <c r="AG572" s="148" t="inlineStr">
        <is>
          <t>Sage Green</t>
        </is>
      </c>
      <c r="AH572" s="148">
        <f>AND(E572="CA",OR('CA Dashboard'!$C$4="All",'CA Dashboard'!$C$4=D572),OR('CA Dashboard'!$C$5="All",'CA Dashboard'!$C$5=G572),OR('CA Dashboard'!$C$6="All",'CA Dashboard'!$C$6=H572),OR('CA Dashboard'!$C$7="All",'CA Dashboard'!$C$7=F572),OR('CA Dashboard'!$C$8="All",'CA Dashboard'!$C$8=AJ572))</f>
        <v/>
      </c>
      <c r="AI572" s="148">
        <f>IF(AH572,AI571+1,AI571)</f>
        <v/>
      </c>
      <c r="AJ572" s="148" t="inlineStr">
        <is>
          <t>Alternative material</t>
        </is>
      </c>
      <c r="AK572" s="148" t="inlineStr">
        <is>
          <t>Sheet set in Bamboo viscose (product page material: Viscose from Bamboo); ours is Synthetic cooling knit (product spec: CooLoom, 90% nylon / 10% spandex). Shopper may cross-shop, but not like-for-like.</t>
        </is>
      </c>
    </row>
    <row r="573">
      <c r="A573" s="148">
        <f>AND(E573="US",OR('US Dashboard'!$C$4="All",'US Dashboard'!$C$4=D573),OR('US Dashboard'!$C$5="All",'US Dashboard'!$C$5=G573),OR('US Dashboard'!$C$6="All",'US Dashboard'!$C$6=H573),OR('US Dashboard'!$C$7="All",'US Dashboard'!$C$7=F573),OR('US Dashboard'!$C$8="All",'US Dashboard'!$C$8=AJ573))</f>
        <v/>
      </c>
      <c r="B573" s="148">
        <f>IF(A573,B572+1,B572)</f>
        <v/>
      </c>
      <c r="C573" s="148" t="n">
        <v>69</v>
      </c>
      <c r="D573" s="148" t="inlineStr">
        <is>
          <t>CL Cooling Sheets</t>
        </is>
      </c>
      <c r="E573" s="148" t="inlineStr">
        <is>
          <t>US</t>
        </is>
      </c>
      <c r="F573" s="148" t="inlineStr">
        <is>
          <t>Cooling</t>
        </is>
      </c>
      <c r="G573" s="148" t="inlineStr">
        <is>
          <t>Love's cabin</t>
        </is>
      </c>
      <c r="H573" s="148" t="inlineStr">
        <is>
          <t>Untiered</t>
        </is>
      </c>
      <c r="I573" s="148" t="inlineStr">
        <is>
          <t>Love's cabin 4 Piece Queen Sheet Set, 100% Rayon Derived from Bamboo, Cooling &amp; Breathable, Soft Silky Deep Pocket up to 16", Hotel Luxury Bedding for Hot Sleepers, Beige</t>
        </is>
      </c>
      <c r="J573" s="148" t="inlineStr">
        <is>
          <t>https://images-na.ssl-images-amazon.com/images/I/71AudKmD2JL.jpg</t>
        </is>
      </c>
      <c r="K573" s="148" t="inlineStr">
        <is>
          <t>B0DN1GGFL7</t>
        </is>
      </c>
      <c r="L573" s="148" t="inlineStr">
        <is>
          <t>B0DN1DVKH5</t>
        </is>
      </c>
      <c r="M573" s="148" t="n">
        <v>176</v>
      </c>
      <c r="N573" s="148" t="n">
        <v>37.99</v>
      </c>
      <c r="O573" s="148" t="n">
        <v>44.99</v>
      </c>
      <c r="P573" s="148">
        <f>IF(AND(ISNUMBER(O573),ISNUMBER(N573),N(N573)&gt;0),O573/N573-1,"")</f>
        <v/>
      </c>
      <c r="Q573" s="148" t="n">
        <v>87.98999999999999</v>
      </c>
      <c r="R573" s="148">
        <f>IF(AND(ISNUMBER(N573),ISNUMBER(Q573),N(Q573)&gt;0),N573/Q573-1,"")</f>
        <v/>
      </c>
      <c r="S573" s="148" t="n">
        <v>501</v>
      </c>
      <c r="T573" s="148" t="n">
        <v>924</v>
      </c>
      <c r="U573" s="148" t="n">
        <v>4.4</v>
      </c>
      <c r="V573" s="148" t="n">
        <v>1900</v>
      </c>
      <c r="W573" s="148" t="n">
        <v>906346</v>
      </c>
      <c r="X573" s="148" t="n"/>
      <c r="Y573" s="148" t="n"/>
      <c r="Z573" s="148" t="n"/>
      <c r="AA573" s="148" t="n"/>
      <c r="AB573" s="148" t="n">
        <v>0.8953669259384511</v>
      </c>
      <c r="AC573" s="148" t="inlineStr">
        <is>
          <t>US CL Cooling Sheets</t>
        </is>
      </c>
      <c r="AD573" s="148">
        <f>'US CL Cooling Sheets'!BF116</f>
        <v/>
      </c>
      <c r="AE573" s="148">
        <f>'US CL Cooling Sheets'!BI116</f>
        <v/>
      </c>
      <c r="AF573" s="148" t="inlineStr">
        <is>
          <t>Queen</t>
        </is>
      </c>
      <c r="AG573" s="148" t="inlineStr">
        <is>
          <t>Beige</t>
        </is>
      </c>
      <c r="AH573" s="148">
        <f>AND(E573="CA",OR('CA Dashboard'!$C$4="All",'CA Dashboard'!$C$4=D573),OR('CA Dashboard'!$C$5="All",'CA Dashboard'!$C$5=G573),OR('CA Dashboard'!$C$6="All",'CA Dashboard'!$C$6=H573),OR('CA Dashboard'!$C$7="All",'CA Dashboard'!$C$7=F573),OR('CA Dashboard'!$C$8="All",'CA Dashboard'!$C$8=AJ573))</f>
        <v/>
      </c>
      <c r="AI573" s="148">
        <f>IF(AH573,AI572+1,AI572)</f>
        <v/>
      </c>
      <c r="AJ573" s="148" t="inlineStr">
        <is>
          <t>Alternative material</t>
        </is>
      </c>
      <c r="AK573" s="148" t="inlineStr">
        <is>
          <t>Sheet set in Bamboo viscose (title: Love's cabin 4 Piece Queen Sheet Set, 100% Rayon Derived fro); ours is Synthetic cooling knit (product spec: CooLoom, 90% nylon / 10% spandex). Shopper may cross-shop, but not like-for-like.</t>
        </is>
      </c>
    </row>
    <row r="574">
      <c r="A574" s="148">
        <f>AND(E574="US",OR('US Dashboard'!$C$4="All",'US Dashboard'!$C$4=D574),OR('US Dashboard'!$C$5="All",'US Dashboard'!$C$5=G574),OR('US Dashboard'!$C$6="All",'US Dashboard'!$C$6=H574),OR('US Dashboard'!$C$7="All",'US Dashboard'!$C$7=F574),OR('US Dashboard'!$C$8="All",'US Dashboard'!$C$8=AJ574))</f>
        <v/>
      </c>
      <c r="B574" s="148">
        <f>IF(A574,B573+1,B573)</f>
        <v/>
      </c>
      <c r="C574" s="148" t="n">
        <v>69</v>
      </c>
      <c r="D574" s="148" t="inlineStr">
        <is>
          <t>CL Cooling Sheets</t>
        </is>
      </c>
      <c r="E574" s="148" t="inlineStr">
        <is>
          <t>US</t>
        </is>
      </c>
      <c r="F574" s="148" t="inlineStr">
        <is>
          <t>Cooling</t>
        </is>
      </c>
      <c r="G574" s="148" t="inlineStr">
        <is>
          <t>TRUE BAMBOO</t>
        </is>
      </c>
      <c r="H574" s="148" t="inlineStr">
        <is>
          <t>Untiered</t>
        </is>
      </c>
      <c r="I574" s="148" t="inlineStr">
        <is>
          <t>TRUE BAMBOO Sheets Set King Size - Silky Soft &amp; Cooling - Dark Gray</t>
        </is>
      </c>
      <c r="J574" s="148" t="inlineStr">
        <is>
          <t>https://m.media-amazon.com/images/I/81V9M033qOL._AC_SL1500_.jpg</t>
        </is>
      </c>
      <c r="K574" s="148" t="inlineStr">
        <is>
          <t>B0HHQ97HBL</t>
        </is>
      </c>
      <c r="L574" s="148" t="inlineStr">
        <is>
          <t>B0HD7R5L1D</t>
        </is>
      </c>
      <c r="M574" s="148" t="n"/>
      <c r="N574" s="148" t="n">
        <v>79.98999999999999</v>
      </c>
      <c r="O574" s="148" t="n">
        <v>129.99</v>
      </c>
      <c r="P574" s="148">
        <f>IF(AND(ISNUMBER(O574),ISNUMBER(N574),N(N574)&gt;0),O574/N574-1,"")</f>
        <v/>
      </c>
      <c r="Q574" s="148" t="n">
        <v>87.98999999999999</v>
      </c>
      <c r="R574" s="148">
        <f>IF(AND(ISNUMBER(N574),ISNUMBER(Q574),N(Q574)&gt;0),N574/Q574-1,"")</f>
        <v/>
      </c>
      <c r="S574" s="148" t="n">
        <v>5934</v>
      </c>
      <c r="T574" s="148" t="n">
        <v>185</v>
      </c>
      <c r="U574" s="148" t="n">
        <v>4.6</v>
      </c>
      <c r="V574" s="148" t="n">
        <v>167</v>
      </c>
      <c r="W574" s="148" t="n">
        <v>557658</v>
      </c>
      <c r="X574" s="148" t="n"/>
      <c r="Y574" s="148" t="n"/>
      <c r="Z574" s="148" t="n"/>
      <c r="AA574" s="148" t="n"/>
      <c r="AB574" s="148" t="n"/>
      <c r="AC574" s="148" t="inlineStr">
        <is>
          <t>US CL Cooling Sheets</t>
        </is>
      </c>
      <c r="AD574" s="148">
        <f>'US CL Cooling Sheets'!BF117</f>
        <v/>
      </c>
      <c r="AE574" s="148">
        <f>'US CL Cooling Sheets'!BI117</f>
        <v/>
      </c>
      <c r="AF574" s="148" t="inlineStr">
        <is>
          <t>Queen</t>
        </is>
      </c>
      <c r="AG574" s="148" t="inlineStr">
        <is>
          <t>Dark Gray</t>
        </is>
      </c>
      <c r="AH574" s="148">
        <f>AND(E574="CA",OR('CA Dashboard'!$C$4="All",'CA Dashboard'!$C$4=D574),OR('CA Dashboard'!$C$5="All",'CA Dashboard'!$C$5=G574),OR('CA Dashboard'!$C$6="All",'CA Dashboard'!$C$6=H574),OR('CA Dashboard'!$C$7="All",'CA Dashboard'!$C$7=F574),OR('CA Dashboard'!$C$8="All",'CA Dashboard'!$C$8=AJ574))</f>
        <v/>
      </c>
      <c r="AI574" s="148">
        <f>IF(AH574,AI573+1,AI573)</f>
        <v/>
      </c>
      <c r="AJ574" s="148" t="inlineStr">
        <is>
          <t>Alternative material</t>
        </is>
      </c>
      <c r="AK574" s="148" t="inlineStr">
        <is>
          <t>Sheet set in Bamboo viscose (product page material: Rayon); ours is Synthetic cooling knit (product spec: CooLoom, 90% nylon / 10% spandex). Shopper may cross-shop, but not like-for-like.</t>
        </is>
      </c>
    </row>
    <row r="575">
      <c r="A575" s="148">
        <f>AND(E575="US",OR('US Dashboard'!$C$4="All",'US Dashboard'!$C$4=D575),OR('US Dashboard'!$C$5="All",'US Dashboard'!$C$5=G575),OR('US Dashboard'!$C$6="All",'US Dashboard'!$C$6=H575),OR('US Dashboard'!$C$7="All",'US Dashboard'!$C$7=F575),OR('US Dashboard'!$C$8="All",'US Dashboard'!$C$8=AJ575))</f>
        <v/>
      </c>
      <c r="B575" s="148">
        <f>IF(A575,B574+1,B574)</f>
        <v/>
      </c>
      <c r="C575" s="148" t="n">
        <v>69</v>
      </c>
      <c r="D575" s="148" t="inlineStr">
        <is>
          <t>CL Cooling Sheets</t>
        </is>
      </c>
      <c r="E575" s="148" t="inlineStr">
        <is>
          <t>US</t>
        </is>
      </c>
      <c r="F575" s="148" t="inlineStr">
        <is>
          <t>Cooling</t>
        </is>
      </c>
      <c r="G575" s="148" t="inlineStr">
        <is>
          <t>BEDELITE</t>
        </is>
      </c>
      <c r="H575" s="148" t="inlineStr">
        <is>
          <t>Untiered</t>
        </is>
      </c>
      <c r="I575" s="148" t="inlineStr">
        <is>
          <t>BEDELITE Bamboo Viscose Sheet Set, Queen Size, 4 Pieces, White</t>
        </is>
      </c>
      <c r="J575" s="148" t="inlineStr">
        <is>
          <t>https://m.media-amazon.com/images/I/71F+539t2YL._AC_SL1500_.jpg</t>
        </is>
      </c>
      <c r="K575" s="148" t="inlineStr">
        <is>
          <t>B0GT98GVQN</t>
        </is>
      </c>
      <c r="L575" s="148" t="inlineStr">
        <is>
          <t>B0GT8Z4X5D</t>
        </is>
      </c>
      <c r="M575" s="148" t="n"/>
      <c r="N575" s="148" t="n">
        <v>84.98</v>
      </c>
      <c r="O575" s="148" t="n">
        <v>99.89</v>
      </c>
      <c r="P575" s="148">
        <f>IF(AND(ISNUMBER(O575),ISNUMBER(N575),N(N575)&gt;0),O575/N575-1,"")</f>
        <v/>
      </c>
      <c r="Q575" s="148" t="n">
        <v>87.98999999999999</v>
      </c>
      <c r="R575" s="148">
        <f>IF(AND(ISNUMBER(N575),ISNUMBER(Q575),N(Q575)&gt;0),N575/Q575-1,"")</f>
        <v/>
      </c>
      <c r="S575" s="148" t="n">
        <v>65907</v>
      </c>
      <c r="T575" s="148" t="n">
        <v>81</v>
      </c>
      <c r="U575" s="148" t="n">
        <v>4.5</v>
      </c>
      <c r="V575" s="148" t="n">
        <v>113</v>
      </c>
      <c r="W575" s="148" t="n">
        <v>212120</v>
      </c>
      <c r="X575" s="148" t="n"/>
      <c r="Y575" s="148" t="n"/>
      <c r="Z575" s="148" t="n"/>
      <c r="AA575" s="148" t="n"/>
      <c r="AB575" s="148" t="n">
        <v>0.8073654390934845</v>
      </c>
      <c r="AC575" s="148" t="inlineStr">
        <is>
          <t>US CL Cooling Sheets</t>
        </is>
      </c>
      <c r="AD575" s="148">
        <f>'US CL Cooling Sheets'!BF118</f>
        <v/>
      </c>
      <c r="AE575" s="148">
        <f>'US CL Cooling Sheets'!BI118</f>
        <v/>
      </c>
      <c r="AF575" s="148" t="inlineStr">
        <is>
          <t>Queen</t>
        </is>
      </c>
      <c r="AG575" s="148" t="inlineStr">
        <is>
          <t>White</t>
        </is>
      </c>
      <c r="AH575" s="148">
        <f>AND(E575="CA",OR('CA Dashboard'!$C$4="All",'CA Dashboard'!$C$4=D575),OR('CA Dashboard'!$C$5="All",'CA Dashboard'!$C$5=G575),OR('CA Dashboard'!$C$6="All",'CA Dashboard'!$C$6=H575),OR('CA Dashboard'!$C$7="All",'CA Dashboard'!$C$7=F575),OR('CA Dashboard'!$C$8="All",'CA Dashboard'!$C$8=AJ575))</f>
        <v/>
      </c>
      <c r="AI575" s="148">
        <f>IF(AH575,AI574+1,AI574)</f>
        <v/>
      </c>
      <c r="AJ575" s="148" t="inlineStr">
        <is>
          <t>Alternative material</t>
        </is>
      </c>
      <c r="AK575" s="148" t="inlineStr">
        <is>
          <t>Sheet set in Bamboo viscose (product page material: Viscose Derived from Bamboo); ours is Synthetic cooling knit (product spec: CooLoom, 90% nylon / 10% spandex). Shopper may cross-shop, but not like-for-like.</t>
        </is>
      </c>
    </row>
    <row r="576">
      <c r="A576" s="148">
        <f>AND(E576="US",OR('US Dashboard'!$C$4="All",'US Dashboard'!$C$4=D576),OR('US Dashboard'!$C$5="All",'US Dashboard'!$C$5=G576),OR('US Dashboard'!$C$6="All",'US Dashboard'!$C$6=H576),OR('US Dashboard'!$C$7="All",'US Dashboard'!$C$7=F576),OR('US Dashboard'!$C$8="All",'US Dashboard'!$C$8=AJ576))</f>
        <v/>
      </c>
      <c r="B576" s="148">
        <f>IF(A576,B575+1,B575)</f>
        <v/>
      </c>
      <c r="C576" s="148" t="n">
        <v>69</v>
      </c>
      <c r="D576" s="148" t="inlineStr">
        <is>
          <t>CL Cooling Sheets</t>
        </is>
      </c>
      <c r="E576" s="148" t="inlineStr">
        <is>
          <t>US</t>
        </is>
      </c>
      <c r="F576" s="148" t="inlineStr">
        <is>
          <t>Cooling</t>
        </is>
      </c>
      <c r="G576" s="148" t="inlineStr">
        <is>
          <t>KARISSA MAE</t>
        </is>
      </c>
      <c r="H576" s="148" t="inlineStr">
        <is>
          <t>Untiered</t>
        </is>
      </c>
      <c r="I576" s="148" t="inlineStr">
        <is>
          <t>Cooling Sheets</t>
        </is>
      </c>
      <c r="J576" s="148" t="inlineStr">
        <is>
          <t>https://m.media-amazon.com/images/I/71HjD-PgWIL._AC_SL1500_.jpg</t>
        </is>
      </c>
      <c r="K576" s="148" t="inlineStr">
        <is>
          <t>B0GT172Y8L</t>
        </is>
      </c>
      <c r="L576" s="148" t="inlineStr">
        <is>
          <t>B0G1CSCQTB</t>
        </is>
      </c>
      <c r="M576" s="148" t="n"/>
      <c r="N576" s="148" t="n">
        <v>119.99</v>
      </c>
      <c r="O576" s="148" t="n"/>
      <c r="P576" s="148">
        <f>IF(AND(ISNUMBER(O576),ISNUMBER(N576),N(N576)&gt;0),O576/N576-1,"")</f>
        <v/>
      </c>
      <c r="Q576" s="148" t="n">
        <v>93.98999999999999</v>
      </c>
      <c r="R576" s="148">
        <f>IF(AND(ISNUMBER(N576),ISNUMBER(Q576),N(Q576)&gt;0),N576/Q576-1,"")</f>
        <v/>
      </c>
      <c r="S576" s="148" t="n">
        <v>15914</v>
      </c>
      <c r="T576" s="148" t="n">
        <v>35</v>
      </c>
      <c r="U576" s="148" t="n">
        <v>4.3</v>
      </c>
      <c r="V576" s="148" t="n">
        <v>474</v>
      </c>
      <c r="W576" s="148" t="n">
        <v>243610</v>
      </c>
      <c r="X576" s="148" t="n"/>
      <c r="Y576" s="148" t="n"/>
      <c r="Z576" s="148" t="n"/>
      <c r="AA576" s="148" t="n"/>
      <c r="AB576" s="148" t="n">
        <v>2.102564102564103</v>
      </c>
      <c r="AC576" s="148" t="inlineStr">
        <is>
          <t>US CL Cooling Sheets</t>
        </is>
      </c>
      <c r="AD576" s="148">
        <f>'US CL Cooling Sheets'!BF119</f>
        <v/>
      </c>
      <c r="AE576" s="148">
        <f>'US CL Cooling Sheets'!BI119</f>
        <v/>
      </c>
      <c r="AF576" s="148" t="inlineStr">
        <is>
          <t>King - 2 Pillowcases</t>
        </is>
      </c>
      <c r="AG576" s="148" t="inlineStr">
        <is>
          <t>10 - Mocha</t>
        </is>
      </c>
      <c r="AH576" s="148">
        <f>AND(E576="CA",OR('CA Dashboard'!$C$4="All",'CA Dashboard'!$C$4=D576),OR('CA Dashboard'!$C$5="All",'CA Dashboard'!$C$5=G576),OR('CA Dashboard'!$C$6="All",'CA Dashboard'!$C$6=H576),OR('CA Dashboard'!$C$7="All",'CA Dashboard'!$C$7=F576),OR('CA Dashboard'!$C$8="All",'CA Dashboard'!$C$8=AJ576))</f>
        <v/>
      </c>
      <c r="AI576" s="148">
        <f>IF(AH576,AI575+1,AI575)</f>
        <v/>
      </c>
      <c r="AJ576" s="148" t="inlineStr">
        <is>
          <t>Alternative material</t>
        </is>
      </c>
      <c r="AK576" s="148" t="inlineStr">
        <is>
          <t>Sheet set in Bamboo viscose (product page material: Organically Grown Bamboo Viscose); ours is Synthetic cooling knit (product spec: CooLoom, 90% nylon / 10% spandex). Shopper may cross-shop, but not like-for-like.</t>
        </is>
      </c>
    </row>
    <row r="577">
      <c r="A577" s="148">
        <f>AND(E577="US",OR('US Dashboard'!$C$4="All",'US Dashboard'!$C$4=D577),OR('US Dashboard'!$C$5="All",'US Dashboard'!$C$5=G577),OR('US Dashboard'!$C$6="All",'US Dashboard'!$C$6=H577),OR('US Dashboard'!$C$7="All",'US Dashboard'!$C$7=F577),OR('US Dashboard'!$C$8="All",'US Dashboard'!$C$8=AJ577))</f>
        <v/>
      </c>
      <c r="B577" s="148">
        <f>IF(A577,B576+1,B576)</f>
        <v/>
      </c>
      <c r="C577" s="148" t="n">
        <v>69</v>
      </c>
      <c r="D577" s="148" t="inlineStr">
        <is>
          <t>CL Cooling Sheets</t>
        </is>
      </c>
      <c r="E577" s="148" t="inlineStr">
        <is>
          <t>US</t>
        </is>
      </c>
      <c r="F577" s="148" t="inlineStr">
        <is>
          <t>Cooling</t>
        </is>
      </c>
      <c r="G577" s="148" t="inlineStr">
        <is>
          <t>Pillcase</t>
        </is>
      </c>
      <c r="H577" s="148" t="inlineStr">
        <is>
          <t>Untiered</t>
        </is>
      </c>
      <c r="I577" s="148" t="inlineStr">
        <is>
          <t>100% Real Bamboo Viscose &amp; Lyocell Tencel Sheets Set Queen Size | Breathable &amp; C</t>
        </is>
      </c>
      <c r="J577" s="148" t="inlineStr">
        <is>
          <t>https://m.media-amazon.com/images/I/71vDRpdS5DL._AC_SL1500_.jpg</t>
        </is>
      </c>
      <c r="K577" s="148" t="inlineStr">
        <is>
          <t>B0H1GGHHVN</t>
        </is>
      </c>
      <c r="L577" s="148" t="inlineStr">
        <is>
          <t>B0HFZQRXXQ</t>
        </is>
      </c>
      <c r="M577" s="148" t="n"/>
      <c r="N577" s="148" t="n">
        <v>79</v>
      </c>
      <c r="O577" s="148" t="n">
        <v>109</v>
      </c>
      <c r="P577" s="148">
        <f>IF(AND(ISNUMBER(O577),ISNUMBER(N577),N(N577)&gt;0),O577/N577-1,"")</f>
        <v/>
      </c>
      <c r="Q577" s="148" t="n">
        <v>87.98999999999999</v>
      </c>
      <c r="R577" s="148">
        <f>IF(AND(ISNUMBER(N577),ISNUMBER(Q577),N(Q577)&gt;0),N577/Q577-1,"")</f>
        <v/>
      </c>
      <c r="S577" s="148" t="n">
        <v>28003</v>
      </c>
      <c r="T577" s="148" t="n">
        <v>35</v>
      </c>
      <c r="U577" s="148" t="n">
        <v>4.8</v>
      </c>
      <c r="V577" s="148" t="n">
        <v>279</v>
      </c>
      <c r="W577" s="148" t="n">
        <v>216953</v>
      </c>
      <c r="X577" s="148" t="n"/>
      <c r="Y577" s="148" t="n"/>
      <c r="Z577" s="148" t="n"/>
      <c r="AA577" s="148" t="n"/>
      <c r="AB577" s="148" t="n"/>
      <c r="AC577" s="148" t="inlineStr">
        <is>
          <t>US CL Cooling Sheets</t>
        </is>
      </c>
      <c r="AD577" s="148">
        <f>'US CL Cooling Sheets'!BF120</f>
        <v/>
      </c>
      <c r="AE577" s="148">
        <f>'US CL Cooling Sheets'!BI120</f>
        <v/>
      </c>
      <c r="AF577" s="148" t="inlineStr">
        <is>
          <t>Queen</t>
        </is>
      </c>
      <c r="AG577" s="148" t="inlineStr">
        <is>
          <t>French Blue</t>
        </is>
      </c>
      <c r="AH577" s="148">
        <f>AND(E577="CA",OR('CA Dashboard'!$C$4="All",'CA Dashboard'!$C$4=D577),OR('CA Dashboard'!$C$5="All",'CA Dashboard'!$C$5=G577),OR('CA Dashboard'!$C$6="All",'CA Dashboard'!$C$6=H577),OR('CA Dashboard'!$C$7="All",'CA Dashboard'!$C$7=F577),OR('CA Dashboard'!$C$8="All",'CA Dashboard'!$C$8=AJ577))</f>
        <v/>
      </c>
      <c r="AI577" s="148">
        <f>IF(AH577,AI576+1,AI576)</f>
        <v/>
      </c>
      <c r="AJ577" s="148" t="inlineStr">
        <is>
          <t>Alternative material</t>
        </is>
      </c>
      <c r="AK577" s="148" t="inlineStr">
        <is>
          <t>Sheet set in Microfiber / polyester (product page material: Microfiber); ours is Synthetic cooling knit (product spec: CooLoom, 90% nylon / 10% spandex). Shopper may cross-shop, but not like-for-like.</t>
        </is>
      </c>
    </row>
    <row r="578">
      <c r="A578" s="148">
        <f>AND(E578="US",OR('US Dashboard'!$C$4="All",'US Dashboard'!$C$4=D578),OR('US Dashboard'!$C$5="All",'US Dashboard'!$C$5=G578),OR('US Dashboard'!$C$6="All",'US Dashboard'!$C$6=H578),OR('US Dashboard'!$C$7="All",'US Dashboard'!$C$7=F578),OR('US Dashboard'!$C$8="All",'US Dashboard'!$C$8=AJ578))</f>
        <v/>
      </c>
      <c r="B578" s="148">
        <f>IF(A578,B577+1,B577)</f>
        <v/>
      </c>
      <c r="C578" s="148" t="n">
        <v>69</v>
      </c>
      <c r="D578" s="148" t="inlineStr">
        <is>
          <t>CL Cooling Sheets</t>
        </is>
      </c>
      <c r="E578" s="148" t="inlineStr">
        <is>
          <t>US</t>
        </is>
      </c>
      <c r="F578" s="148" t="inlineStr">
        <is>
          <t>Cooling</t>
        </is>
      </c>
      <c r="G578" s="148" t="inlineStr">
        <is>
          <t>Davmabcjy</t>
        </is>
      </c>
      <c r="H578" s="148" t="inlineStr">
        <is>
          <t>Untiered</t>
        </is>
      </c>
      <c r="I578" s="148" t="inlineStr">
        <is>
          <t>100% Organically Grown Bamboo Viscose King Sheet Set with Pockets on Side</t>
        </is>
      </c>
      <c r="J578" s="148" t="inlineStr">
        <is>
          <t>https://m.media-amazon.com/images/I/71fKTruZ7YL._AC_SL1500_.jpg</t>
        </is>
      </c>
      <c r="K578" s="148" t="inlineStr">
        <is>
          <t>B0HJZNMQ5G</t>
        </is>
      </c>
      <c r="L578" s="148" t="inlineStr">
        <is>
          <t>B0GXJYQR7H</t>
        </is>
      </c>
      <c r="M578" s="148" t="n"/>
      <c r="N578" s="148" t="n">
        <v>59.99</v>
      </c>
      <c r="O578" s="148" t="n"/>
      <c r="P578" s="148">
        <f>IF(AND(ISNUMBER(O578),ISNUMBER(N578),N(N578)&gt;0),O578/N578-1,"")</f>
        <v/>
      </c>
      <c r="Q578" s="148" t="n">
        <v>93.98999999999999</v>
      </c>
      <c r="R578" s="148">
        <f>IF(AND(ISNUMBER(N578),ISNUMBER(Q578),N(Q578)&gt;0),N578/Q578-1,"")</f>
        <v/>
      </c>
      <c r="S578" s="148" t="n">
        <v>205508</v>
      </c>
      <c r="T578" s="148" t="n">
        <v>35</v>
      </c>
      <c r="U578" s="148" t="n">
        <v>4.2</v>
      </c>
      <c r="V578" s="148" t="n">
        <v>81</v>
      </c>
      <c r="W578" s="148" t="n">
        <v>75425</v>
      </c>
      <c r="X578" s="148" t="n"/>
      <c r="Y578" s="148" t="n"/>
      <c r="Z578" s="148" t="n"/>
      <c r="AA578" s="148" t="n"/>
      <c r="AB578" s="148" t="n"/>
      <c r="AC578" s="148" t="inlineStr">
        <is>
          <t>US CL Cooling Sheets</t>
        </is>
      </c>
      <c r="AD578" s="148">
        <f>'US CL Cooling Sheets'!BF121</f>
        <v/>
      </c>
      <c r="AE578" s="148">
        <f>'US CL Cooling Sheets'!BI121</f>
        <v/>
      </c>
      <c r="AF578" s="148" t="inlineStr">
        <is>
          <t>King (Deep Fits 16" )</t>
        </is>
      </c>
      <c r="AG578" s="148" t="inlineStr">
        <is>
          <t>Dark Grey-side Pockets</t>
        </is>
      </c>
      <c r="AH578" s="148">
        <f>AND(E578="CA",OR('CA Dashboard'!$C$4="All",'CA Dashboard'!$C$4=D578),OR('CA Dashboard'!$C$5="All",'CA Dashboard'!$C$5=G578),OR('CA Dashboard'!$C$6="All",'CA Dashboard'!$C$6=H578),OR('CA Dashboard'!$C$7="All",'CA Dashboard'!$C$7=F578),OR('CA Dashboard'!$C$8="All",'CA Dashboard'!$C$8=AJ578))</f>
        <v/>
      </c>
      <c r="AI578" s="148">
        <f>IF(AH578,AI577+1,AI577)</f>
        <v/>
      </c>
      <c r="AJ578" s="148" t="inlineStr">
        <is>
          <t>Alternative material</t>
        </is>
      </c>
      <c r="AK578" s="148" t="inlineStr">
        <is>
          <t>Sheet set in Bamboo viscose (product page material: Rayon Derived from Bamboo); ours is Synthetic cooling knit (product spec: CooLoom, 90% nylon / 10% spandex). Shopper may cross-shop, but not like-for-like.</t>
        </is>
      </c>
    </row>
    <row r="579">
      <c r="A579" s="148">
        <f>AND(E579="US",OR('US Dashboard'!$C$4="All",'US Dashboard'!$C$4=D579),OR('US Dashboard'!$C$5="All",'US Dashboard'!$C$5=G579),OR('US Dashboard'!$C$6="All",'US Dashboard'!$C$6=H579),OR('US Dashboard'!$C$7="All",'US Dashboard'!$C$7=F579),OR('US Dashboard'!$C$8="All",'US Dashboard'!$C$8=AJ579))</f>
        <v/>
      </c>
      <c r="B579" s="148">
        <f>IF(A579,B578+1,B578)</f>
        <v/>
      </c>
      <c r="C579" s="148" t="n">
        <v>69</v>
      </c>
      <c r="D579" s="148" t="inlineStr">
        <is>
          <t>CL Cooling Sheets</t>
        </is>
      </c>
      <c r="E579" s="148" t="inlineStr">
        <is>
          <t>US</t>
        </is>
      </c>
      <c r="F579" s="148" t="inlineStr">
        <is>
          <t>Cooling</t>
        </is>
      </c>
      <c r="G579" s="148" t="inlineStr">
        <is>
          <t>Shilucheng</t>
        </is>
      </c>
      <c r="H579" s="148" t="inlineStr">
        <is>
          <t>Untiered</t>
        </is>
      </c>
      <c r="I579" s="148" t="inlineStr">
        <is>
          <t>Shilucheng 100% Viscose Derived from Bamboo_Sheets, Extra Deep Pocket</t>
        </is>
      </c>
      <c r="J579" s="148" t="inlineStr">
        <is>
          <t>https://images-na.ssl-images-amazon.com/images/I/71NxE1i+4jL.jpg</t>
        </is>
      </c>
      <c r="K579" s="148" t="inlineStr">
        <is>
          <t>B0HJVD7X1R</t>
        </is>
      </c>
      <c r="L579" s="148" t="inlineStr">
        <is>
          <t>B0F2TDDFGJ</t>
        </is>
      </c>
      <c r="M579" s="148" t="n">
        <v>32</v>
      </c>
      <c r="N579" s="148" t="n">
        <v>59.99</v>
      </c>
      <c r="O579" s="148" t="n">
        <v>74.98999999999999</v>
      </c>
      <c r="P579" s="148">
        <f>IF(AND(ISNUMBER(O579),ISNUMBER(N579),N(N579)&gt;0),O579/N579-1,"")</f>
        <v/>
      </c>
      <c r="Q579" s="148" t="n">
        <v>87.98999999999999</v>
      </c>
      <c r="R579" s="148">
        <f>IF(AND(ISNUMBER(N579),ISNUMBER(Q579),N(Q579)&gt;0),N579/Q579-1,"")</f>
        <v/>
      </c>
      <c r="S579" s="148" t="n">
        <v>39191</v>
      </c>
      <c r="T579" s="148" t="n">
        <v>18</v>
      </c>
      <c r="U579" s="148" t="n">
        <v>4.5</v>
      </c>
      <c r="V579" s="148" t="n">
        <v>1639</v>
      </c>
      <c r="W579" s="148" t="n">
        <v>41895</v>
      </c>
      <c r="X579" s="148" t="n"/>
      <c r="Y579" s="148" t="n"/>
      <c r="Z579" s="148" t="n"/>
      <c r="AA579" s="148" t="n"/>
      <c r="AB579" s="148" t="n"/>
      <c r="AC579" s="148" t="inlineStr">
        <is>
          <t>US CL Cooling Sheets</t>
        </is>
      </c>
      <c r="AD579" s="148">
        <f>'US CL Cooling Sheets'!BF122</f>
        <v/>
      </c>
      <c r="AE579" s="148">
        <f>'US CL Cooling Sheets'!BI122</f>
        <v/>
      </c>
      <c r="AF579" s="148" t="inlineStr">
        <is>
          <t>Queen</t>
        </is>
      </c>
      <c r="AG579" s="148" t="inlineStr">
        <is>
          <t>Dark Grey</t>
        </is>
      </c>
      <c r="AH579" s="148">
        <f>AND(E579="CA",OR('CA Dashboard'!$C$4="All",'CA Dashboard'!$C$4=D579),OR('CA Dashboard'!$C$5="All",'CA Dashboard'!$C$5=G579),OR('CA Dashboard'!$C$6="All",'CA Dashboard'!$C$6=H579),OR('CA Dashboard'!$C$7="All",'CA Dashboard'!$C$7=F579),OR('CA Dashboard'!$C$8="All",'CA Dashboard'!$C$8=AJ579))</f>
        <v/>
      </c>
      <c r="AI579" s="148">
        <f>IF(AH579,AI578+1,AI578)</f>
        <v/>
      </c>
      <c r="AJ579" s="148" t="inlineStr">
        <is>
          <t>Alternative material</t>
        </is>
      </c>
      <c r="AK579" s="148" t="inlineStr">
        <is>
          <t>Sheet set in Bamboo viscose (product page material: Rayon Derived from Bamboo); ours is Synthetic cooling knit (product spec: CooLoom, 90% nylon / 10% spandex). Shopper may cross-shop, but not like-for-like.</t>
        </is>
      </c>
    </row>
    <row r="580">
      <c r="A580" s="148">
        <f>AND(E580="US",OR('US Dashboard'!$C$4="All",'US Dashboard'!$C$4=D580),OR('US Dashboard'!$C$5="All",'US Dashboard'!$C$5=G580),OR('US Dashboard'!$C$6="All",'US Dashboard'!$C$6=H580),OR('US Dashboard'!$C$7="All",'US Dashboard'!$C$7=F580),OR('US Dashboard'!$C$8="All",'US Dashboard'!$C$8=AJ580))</f>
        <v/>
      </c>
      <c r="B580" s="148">
        <f>IF(A580,B579+1,B579)</f>
        <v/>
      </c>
      <c r="C580" s="148" t="n">
        <v>69</v>
      </c>
      <c r="D580" s="148" t="inlineStr">
        <is>
          <t>CL Cooling Sheets</t>
        </is>
      </c>
      <c r="E580" s="148" t="inlineStr">
        <is>
          <t>US</t>
        </is>
      </c>
      <c r="F580" s="148" t="inlineStr">
        <is>
          <t>Cooling</t>
        </is>
      </c>
      <c r="G580" s="148" t="inlineStr">
        <is>
          <t>TWK</t>
        </is>
      </c>
      <c r="H580" s="148" t="inlineStr">
        <is>
          <t>Untiered</t>
        </is>
      </c>
      <c r="I580" s="148" t="inlineStr">
        <is>
          <t>TWK Real 100% Viscose Derived from Bamboo Sheets Set Queen Size, Cooling &amp; Silky</t>
        </is>
      </c>
      <c r="J580" s="148" t="inlineStr">
        <is>
          <t>https://m.media-amazon.com/images/I/81J0Hfk9XiL._AC_SL1500_.jpg</t>
        </is>
      </c>
      <c r="K580" s="148" t="inlineStr">
        <is>
          <t>B0HHQG3RSW</t>
        </is>
      </c>
      <c r="L580" s="148" t="inlineStr">
        <is>
          <t>B0G1N8QS55</t>
        </is>
      </c>
      <c r="M580" s="148" t="n"/>
      <c r="N580" s="148" t="n">
        <v>65</v>
      </c>
      <c r="O580" s="148" t="n">
        <v>79</v>
      </c>
      <c r="P580" s="148">
        <f>IF(AND(ISNUMBER(O580),ISNUMBER(N580),N(N580)&gt;0),O580/N580-1,"")</f>
        <v/>
      </c>
      <c r="Q580" s="148" t="n">
        <v>87.98999999999999</v>
      </c>
      <c r="R580" s="148">
        <f>IF(AND(ISNUMBER(N580),ISNUMBER(Q580),N(Q580)&gt;0),N580/Q580-1,"")</f>
        <v/>
      </c>
      <c r="S580" s="148" t="n">
        <v>196488</v>
      </c>
      <c r="T580" s="148" t="n">
        <v>18</v>
      </c>
      <c r="U580" s="148" t="n">
        <v>4.9</v>
      </c>
      <c r="V580" s="148" t="n">
        <v>121</v>
      </c>
      <c r="W580" s="148" t="n">
        <v>82471</v>
      </c>
      <c r="X580" s="148" t="n"/>
      <c r="Y580" s="148" t="n"/>
      <c r="Z580" s="148" t="n"/>
      <c r="AA580" s="148" t="n"/>
      <c r="AB580" s="148" t="n"/>
      <c r="AC580" s="148" t="inlineStr">
        <is>
          <t>US CL Cooling Sheets</t>
        </is>
      </c>
      <c r="AD580" s="148">
        <f>'US CL Cooling Sheets'!BF123</f>
        <v/>
      </c>
      <c r="AE580" s="148">
        <f>'US CL Cooling Sheets'!BI123</f>
        <v/>
      </c>
      <c r="AF580" s="148" t="inlineStr">
        <is>
          <t>Queen</t>
        </is>
      </c>
      <c r="AG580" s="148" t="inlineStr">
        <is>
          <t>Sand</t>
        </is>
      </c>
      <c r="AH580" s="148">
        <f>AND(E580="CA",OR('CA Dashboard'!$C$4="All",'CA Dashboard'!$C$4=D580),OR('CA Dashboard'!$C$5="All",'CA Dashboard'!$C$5=G580),OR('CA Dashboard'!$C$6="All",'CA Dashboard'!$C$6=H580),OR('CA Dashboard'!$C$7="All",'CA Dashboard'!$C$7=F580),OR('CA Dashboard'!$C$8="All",'CA Dashboard'!$C$8=AJ580))</f>
        <v/>
      </c>
      <c r="AI580" s="148">
        <f>IF(AH580,AI579+1,AI579)</f>
        <v/>
      </c>
      <c r="AJ580" s="148" t="inlineStr">
        <is>
          <t>Alternative material</t>
        </is>
      </c>
      <c r="AK580" s="148" t="inlineStr">
        <is>
          <t>Sheet set in Bamboo viscose (product page material: Genuine 100% Viscose Derived from Bamboo); ours is Synthetic cooling knit (product spec: CooLoom, 90% nylon / 10% spandex). Shopper may cross-shop, but not like-for-like.</t>
        </is>
      </c>
    </row>
    <row r="581">
      <c r="A581" s="148">
        <f>AND(E581="US",OR('US Dashboard'!$C$4="All",'US Dashboard'!$C$4=D581),OR('US Dashboard'!$C$5="All",'US Dashboard'!$C$5=G581),OR('US Dashboard'!$C$6="All",'US Dashboard'!$C$6=H581),OR('US Dashboard'!$C$7="All",'US Dashboard'!$C$7=F581),OR('US Dashboard'!$C$8="All",'US Dashboard'!$C$8=AJ581))</f>
        <v/>
      </c>
      <c r="B581" s="148">
        <f>IF(A581,B580+1,B580)</f>
        <v/>
      </c>
      <c r="C581" s="148" t="n">
        <v>69</v>
      </c>
      <c r="D581" s="148" t="inlineStr">
        <is>
          <t>CL Cooling Sheets</t>
        </is>
      </c>
      <c r="E581" s="148" t="inlineStr">
        <is>
          <t>US</t>
        </is>
      </c>
      <c r="F581" s="148" t="inlineStr">
        <is>
          <t>Cooling</t>
        </is>
      </c>
      <c r="G581" s="148" t="inlineStr">
        <is>
          <t>Pillcase</t>
        </is>
      </c>
      <c r="H581" s="148" t="inlineStr">
        <is>
          <t>Untiered</t>
        </is>
      </c>
      <c r="I581" s="148" t="inlineStr">
        <is>
          <t>100% Real Bamboo Viscose &amp; Lyocell Tencel Sheets Set Queen Size | Breathable &amp; C</t>
        </is>
      </c>
      <c r="J581" s="148" t="inlineStr">
        <is>
          <t>https://m.media-amazon.com/images/I/71F9T6wfwRL._AC_SL1500_.jpg</t>
        </is>
      </c>
      <c r="K581" s="148" t="inlineStr">
        <is>
          <t>B0HK71WHZW</t>
        </is>
      </c>
      <c r="L581" s="148" t="inlineStr">
        <is>
          <t>B0H1BWY4MD</t>
        </is>
      </c>
      <c r="M581" s="148" t="n"/>
      <c r="N581" s="148" t="n">
        <v>79</v>
      </c>
      <c r="O581" s="148" t="n"/>
      <c r="P581" s="148">
        <f>IF(AND(ISNUMBER(O581),ISNUMBER(N581),N(N581)&gt;0),O581/N581-1,"")</f>
        <v/>
      </c>
      <c r="Q581" s="148" t="n">
        <v>87.98999999999999</v>
      </c>
      <c r="R581" s="148">
        <f>IF(AND(ISNUMBER(N581),ISNUMBER(Q581),N(Q581)&gt;0),N581/Q581-1,"")</f>
        <v/>
      </c>
      <c r="S581" s="148" t="n">
        <v>38116</v>
      </c>
      <c r="T581" s="148" t="n">
        <v>18</v>
      </c>
      <c r="U581" s="148" t="n">
        <v>4.9</v>
      </c>
      <c r="V581" s="148" t="n">
        <v>201</v>
      </c>
      <c r="W581" s="148" t="n">
        <v>116001</v>
      </c>
      <c r="X581" s="148" t="n"/>
      <c r="Y581" s="148" t="n"/>
      <c r="Z581" s="148" t="n"/>
      <c r="AA581" s="148" t="n"/>
      <c r="AB581" s="148" t="n"/>
      <c r="AC581" s="148" t="inlineStr">
        <is>
          <t>US CL Cooling Sheets</t>
        </is>
      </c>
      <c r="AD581" s="148">
        <f>'US CL Cooling Sheets'!BF124</f>
        <v/>
      </c>
      <c r="AE581" s="148">
        <f>'US CL Cooling Sheets'!BI124</f>
        <v/>
      </c>
      <c r="AF581" s="148" t="inlineStr">
        <is>
          <t>Queen</t>
        </is>
      </c>
      <c r="AG581" s="148" t="inlineStr">
        <is>
          <t>Charcoal</t>
        </is>
      </c>
      <c r="AH581" s="148">
        <f>AND(E581="CA",OR('CA Dashboard'!$C$4="All",'CA Dashboard'!$C$4=D581),OR('CA Dashboard'!$C$5="All",'CA Dashboard'!$C$5=G581),OR('CA Dashboard'!$C$6="All",'CA Dashboard'!$C$6=H581),OR('CA Dashboard'!$C$7="All",'CA Dashboard'!$C$7=F581),OR('CA Dashboard'!$C$8="All",'CA Dashboard'!$C$8=AJ581))</f>
        <v/>
      </c>
      <c r="AI581" s="148">
        <f>IF(AH581,AI580+1,AI580)</f>
        <v/>
      </c>
      <c r="AJ581" s="148" t="inlineStr">
        <is>
          <t>Alternative material</t>
        </is>
      </c>
      <c r="AK581" s="148" t="inlineStr">
        <is>
          <t>Sheet set in Microfiber / polyester (product page material: Microfiber); ours is Synthetic cooling knit (product spec: CooLoom, 90% nylon / 10% spandex). Shopper may cross-shop, but not like-for-like.</t>
        </is>
      </c>
    </row>
    <row r="582">
      <c r="A582" s="148">
        <f>AND(E582="US",OR('US Dashboard'!$C$4="All",'US Dashboard'!$C$4=D582),OR('US Dashboard'!$C$5="All",'US Dashboard'!$C$5=G582),OR('US Dashboard'!$C$6="All",'US Dashboard'!$C$6=H582),OR('US Dashboard'!$C$7="All",'US Dashboard'!$C$7=F582),OR('US Dashboard'!$C$8="All",'US Dashboard'!$C$8=AJ582))</f>
        <v/>
      </c>
      <c r="B582" s="148">
        <f>IF(A582,B581+1,B581)</f>
        <v/>
      </c>
      <c r="C582" s="148" t="n">
        <v>69</v>
      </c>
      <c r="D582" s="148" t="inlineStr">
        <is>
          <t>CL Cooling Sheets</t>
        </is>
      </c>
      <c r="E582" s="148" t="inlineStr">
        <is>
          <t>US</t>
        </is>
      </c>
      <c r="F582" s="148" t="inlineStr">
        <is>
          <t>Cooling</t>
        </is>
      </c>
      <c r="G582" s="148" t="inlineStr">
        <is>
          <t>California Design Den</t>
        </is>
      </c>
      <c r="H582" s="148" t="inlineStr">
        <is>
          <t>Untiered</t>
        </is>
      </c>
      <c r="I582" s="148" t="inlineStr">
        <is>
          <t>California Design Den 100% Viscose from Bamboo Sheets Queen, Dark Olive</t>
        </is>
      </c>
      <c r="J582" s="148" t="inlineStr">
        <is>
          <t>https://m.media-amazon.com/images/I/71MnWA4xzHL._AC_SL1500_.jpg</t>
        </is>
      </c>
      <c r="K582" s="148" t="inlineStr">
        <is>
          <t>B0HFBJPD56</t>
        </is>
      </c>
      <c r="L582" s="148" t="inlineStr">
        <is>
          <t>B0GWHPJ9SD</t>
        </is>
      </c>
      <c r="M582" s="148" t="n"/>
      <c r="N582" s="148" t="n">
        <v>89.98999999999999</v>
      </c>
      <c r="O582" s="148" t="n"/>
      <c r="P582" s="148">
        <f>IF(AND(ISNUMBER(O582),ISNUMBER(N582),N(N582)&gt;0),O582/N582-1,"")</f>
        <v/>
      </c>
      <c r="Q582" s="148" t="n">
        <v>87.98999999999999</v>
      </c>
      <c r="R582" s="148">
        <f>IF(AND(ISNUMBER(N582),ISNUMBER(Q582),N(Q582)&gt;0),N582/Q582-1,"")</f>
        <v/>
      </c>
      <c r="S582" s="148" t="n">
        <v>21237</v>
      </c>
      <c r="T582" s="148" t="n">
        <v>18</v>
      </c>
      <c r="U582" s="148" t="n">
        <v>4.6</v>
      </c>
      <c r="V582" s="148" t="n">
        <v>76</v>
      </c>
      <c r="W582" s="148" t="n">
        <v>103642</v>
      </c>
      <c r="X582" s="148" t="n"/>
      <c r="Y582" s="148" t="n"/>
      <c r="Z582" s="148" t="n"/>
      <c r="AA582" s="148" t="n"/>
      <c r="AB582" s="148" t="n"/>
      <c r="AC582" s="148" t="inlineStr">
        <is>
          <t>US CL Cooling Sheets</t>
        </is>
      </c>
      <c r="AD582" s="148">
        <f>'US CL Cooling Sheets'!BF125</f>
        <v/>
      </c>
      <c r="AE582" s="148">
        <f>'US CL Cooling Sheets'!BI125</f>
        <v/>
      </c>
      <c r="AF582" s="148" t="inlineStr">
        <is>
          <t>Queen</t>
        </is>
      </c>
      <c r="AG582" s="148" t="inlineStr">
        <is>
          <t>Bright White</t>
        </is>
      </c>
      <c r="AH582" s="148">
        <f>AND(E582="CA",OR('CA Dashboard'!$C$4="All",'CA Dashboard'!$C$4=D582),OR('CA Dashboard'!$C$5="All",'CA Dashboard'!$C$5=G582),OR('CA Dashboard'!$C$6="All",'CA Dashboard'!$C$6=H582),OR('CA Dashboard'!$C$7="All",'CA Dashboard'!$C$7=F582),OR('CA Dashboard'!$C$8="All",'CA Dashboard'!$C$8=AJ582))</f>
        <v/>
      </c>
      <c r="AI582" s="148">
        <f>IF(AH582,AI581+1,AI581)</f>
        <v/>
      </c>
      <c r="AJ582" s="148" t="inlineStr">
        <is>
          <t>Alternative material</t>
        </is>
      </c>
      <c r="AK582" s="148" t="inlineStr">
        <is>
          <t>Sheet set in Bamboo viscose (product page material: Viscose Derived from Bamboo); ours is Synthetic cooling knit (product spec: CooLoom, 90% nylon / 10% spandex). Shopper may cross-shop, but not like-for-like.</t>
        </is>
      </c>
    </row>
    <row r="583">
      <c r="A583" s="148">
        <f>AND(E583="US",OR('US Dashboard'!$C$4="All",'US Dashboard'!$C$4=D583),OR('US Dashboard'!$C$5="All",'US Dashboard'!$C$5=G583),OR('US Dashboard'!$C$6="All",'US Dashboard'!$C$6=H583),OR('US Dashboard'!$C$7="All",'US Dashboard'!$C$7=F583),OR('US Dashboard'!$C$8="All",'US Dashboard'!$C$8=AJ583))</f>
        <v/>
      </c>
      <c r="B583" s="148">
        <f>IF(A583,B582+1,B582)</f>
        <v/>
      </c>
      <c r="C583" s="148" t="n">
        <v>69</v>
      </c>
      <c r="D583" s="148" t="inlineStr">
        <is>
          <t>CL Cooling Sheets</t>
        </is>
      </c>
      <c r="E583" s="148" t="inlineStr">
        <is>
          <t>US</t>
        </is>
      </c>
      <c r="F583" s="148" t="inlineStr">
        <is>
          <t>Cooling</t>
        </is>
      </c>
      <c r="G583" s="148" t="inlineStr">
        <is>
          <t>OMERAI</t>
        </is>
      </c>
      <c r="H583" s="148" t="inlineStr">
        <is>
          <t>Untiered</t>
        </is>
      </c>
      <c r="I583" s="148" t="inlineStr">
        <is>
          <t>Cooling Sheets</t>
        </is>
      </c>
      <c r="J583" s="148" t="inlineStr">
        <is>
          <t>https://m.media-amazon.com/images/I/818EX2hLSoL._AC_SL1500_.jpg</t>
        </is>
      </c>
      <c r="K583" s="148" t="inlineStr">
        <is>
          <t>B0HDC7BMTC</t>
        </is>
      </c>
      <c r="L583" s="148" t="inlineStr">
        <is>
          <t>B0FX8K1CG9</t>
        </is>
      </c>
      <c r="M583" s="148" t="n">
        <v>10</v>
      </c>
      <c r="N583" s="148" t="n">
        <v>42.99</v>
      </c>
      <c r="O583" s="148" t="n">
        <v>59.99</v>
      </c>
      <c r="P583" s="148">
        <f>IF(AND(ISNUMBER(O583),ISNUMBER(N583),N(N583)&gt;0),O583/N583-1,"")</f>
        <v/>
      </c>
      <c r="Q583" s="148" t="n">
        <v>93.98999999999999</v>
      </c>
      <c r="R583" s="148">
        <f>IF(AND(ISNUMBER(N583),ISNUMBER(Q583),N(Q583)&gt;0),N583/Q583-1,"")</f>
        <v/>
      </c>
      <c r="S583" s="148" t="n">
        <v>115669</v>
      </c>
      <c r="T583" s="148" t="n">
        <v>5</v>
      </c>
      <c r="U583" s="148" t="n">
        <v>4.7</v>
      </c>
      <c r="V583" s="148" t="n">
        <v>4</v>
      </c>
      <c r="W583" s="148" t="n">
        <v>13712</v>
      </c>
      <c r="X583" s="148" t="n">
        <v>0.8852072199533255</v>
      </c>
      <c r="Y583" s="148" t="n"/>
      <c r="Z583" s="148" t="n"/>
      <c r="AA583" s="148" t="n"/>
      <c r="AB583" s="148" t="n"/>
      <c r="AC583" s="148" t="inlineStr">
        <is>
          <t>US CL Cooling Sheets</t>
        </is>
      </c>
      <c r="AD583" s="148">
        <f>'US CL Cooling Sheets'!BF126</f>
        <v/>
      </c>
      <c r="AE583" s="148">
        <f>'US CL Cooling Sheets'!BI126</f>
        <v/>
      </c>
      <c r="AF583" s="148" t="inlineStr">
        <is>
          <t>King 4 PC</t>
        </is>
      </c>
      <c r="AG583" s="148" t="inlineStr">
        <is>
          <t>Blue</t>
        </is>
      </c>
      <c r="AH583" s="148">
        <f>AND(E583="CA",OR('CA Dashboard'!$C$4="All",'CA Dashboard'!$C$4=D583),OR('CA Dashboard'!$C$5="All",'CA Dashboard'!$C$5=G583),OR('CA Dashboard'!$C$6="All",'CA Dashboard'!$C$6=H583),OR('CA Dashboard'!$C$7="All",'CA Dashboard'!$C$7=F583),OR('CA Dashboard'!$C$8="All",'CA Dashboard'!$C$8=AJ583))</f>
        <v/>
      </c>
      <c r="AI583" s="148">
        <f>IF(AH583,AI582+1,AI582)</f>
        <v/>
      </c>
      <c r="AJ583" s="148" t="inlineStr">
        <is>
          <t>Alternative material</t>
        </is>
      </c>
      <c r="AK583" s="148" t="inlineStr">
        <is>
          <t>Sheet set in Microfiber / polyester (product page material: Microfiber); ours is Synthetic cooling knit (product spec: CooLoom, 90% nylon / 10% spandex). Shopper may cross-shop, but not like-for-like.</t>
        </is>
      </c>
    </row>
    <row r="584">
      <c r="A584" s="148">
        <f>AND(E584="US",OR('US Dashboard'!$C$4="All",'US Dashboard'!$C$4=D584),OR('US Dashboard'!$C$5="All",'US Dashboard'!$C$5=G584),OR('US Dashboard'!$C$6="All",'US Dashboard'!$C$6=H584),OR('US Dashboard'!$C$7="All",'US Dashboard'!$C$7=F584),OR('US Dashboard'!$C$8="All",'US Dashboard'!$C$8=AJ584))</f>
        <v/>
      </c>
      <c r="B584" s="148">
        <f>IF(A584,B583+1,B583)</f>
        <v/>
      </c>
      <c r="C584" s="148" t="n">
        <v>69</v>
      </c>
      <c r="D584" s="148" t="inlineStr">
        <is>
          <t>CL Cooling Sheets</t>
        </is>
      </c>
      <c r="E584" s="148" t="inlineStr">
        <is>
          <t>US</t>
        </is>
      </c>
      <c r="F584" s="148" t="inlineStr">
        <is>
          <t>Cooling</t>
        </is>
      </c>
      <c r="G584" s="148" t="inlineStr">
        <is>
          <t>Shilucheng</t>
        </is>
      </c>
      <c r="H584" s="148" t="inlineStr">
        <is>
          <t>Untiered</t>
        </is>
      </c>
      <c r="I584" s="148" t="inlineStr">
        <is>
          <t>Shilucheng 100% Viscose Derived from Bamboo_ Sheets King Size 4pcs</t>
        </is>
      </c>
      <c r="J584" s="148" t="inlineStr">
        <is>
          <t>https://images-na.ssl-images-amazon.com/images/I/71+O+E9PlaL.jpg</t>
        </is>
      </c>
      <c r="K584" s="148" t="inlineStr">
        <is>
          <t>B0HK5V5KL1</t>
        </is>
      </c>
      <c r="L584" s="148" t="inlineStr">
        <is>
          <t>B09PYQ2VQL</t>
        </is>
      </c>
      <c r="M584" s="148" t="n">
        <v>79</v>
      </c>
      <c r="N584" s="148" t="n">
        <v>54.9</v>
      </c>
      <c r="O584" s="148" t="n">
        <v>64.90000000000001</v>
      </c>
      <c r="P584" s="148">
        <f>IF(AND(ISNUMBER(O584),ISNUMBER(N584),N(N584)&gt;0),O584/N584-1,"")</f>
        <v/>
      </c>
      <c r="Q584" s="148" t="n">
        <v>93.98999999999999</v>
      </c>
      <c r="R584" s="148">
        <f>IF(AND(ISNUMBER(N584),ISNUMBER(Q584),N(Q584)&gt;0),N584/Q584-1,"")</f>
        <v/>
      </c>
      <c r="S584" s="148" t="n">
        <v>26044</v>
      </c>
      <c r="T584" s="148" t="n">
        <v>5</v>
      </c>
      <c r="U584" s="148" t="n">
        <v>4.4</v>
      </c>
      <c r="V584" s="148" t="n">
        <v>6629</v>
      </c>
      <c r="W584" s="148" t="n">
        <v>55207</v>
      </c>
      <c r="X584" s="148" t="n"/>
      <c r="Y584" s="148" t="n"/>
      <c r="Z584" s="148" t="n"/>
      <c r="AA584" s="148" t="n"/>
      <c r="AB584" s="148" t="n"/>
      <c r="AC584" s="148" t="inlineStr">
        <is>
          <t>US CL Cooling Sheets</t>
        </is>
      </c>
      <c r="AD584" s="148">
        <f>'US CL Cooling Sheets'!BF127</f>
        <v/>
      </c>
      <c r="AE584" s="148">
        <f>'US CL Cooling Sheets'!BI127</f>
        <v/>
      </c>
      <c r="AF584" s="148" t="inlineStr">
        <is>
          <t>King</t>
        </is>
      </c>
      <c r="AG584" s="148" t="inlineStr">
        <is>
          <t>01 - Dark Grey</t>
        </is>
      </c>
      <c r="AH584" s="148">
        <f>AND(E584="CA",OR('CA Dashboard'!$C$4="All",'CA Dashboard'!$C$4=D584),OR('CA Dashboard'!$C$5="All",'CA Dashboard'!$C$5=G584),OR('CA Dashboard'!$C$6="All",'CA Dashboard'!$C$6=H584),OR('CA Dashboard'!$C$7="All",'CA Dashboard'!$C$7=F584),OR('CA Dashboard'!$C$8="All",'CA Dashboard'!$C$8=AJ584))</f>
        <v/>
      </c>
      <c r="AI584" s="148">
        <f>IF(AH584,AI583+1,AI583)</f>
        <v/>
      </c>
      <c r="AJ584" s="148" t="inlineStr">
        <is>
          <t>Alternative material</t>
        </is>
      </c>
      <c r="AK584" s="148" t="inlineStr">
        <is>
          <t>Sheet set in Bamboo viscose (product page material: Viscose Derived from Bamboo); ours is Synthetic cooling knit (product spec: CooLoom, 90% nylon / 10% spandex). Shopper may cross-shop, but not like-for-like.</t>
        </is>
      </c>
    </row>
    <row r="585">
      <c r="A585" s="148">
        <f>AND(E585="US",OR('US Dashboard'!$C$4="All",'US Dashboard'!$C$4=D585),OR('US Dashboard'!$C$5="All",'US Dashboard'!$C$5=G585),OR('US Dashboard'!$C$6="All",'US Dashboard'!$C$6=H585),OR('US Dashboard'!$C$7="All",'US Dashboard'!$C$7=F585),OR('US Dashboard'!$C$8="All",'US Dashboard'!$C$8=AJ585))</f>
        <v/>
      </c>
      <c r="B585" s="148">
        <f>IF(A585,B584+1,B584)</f>
        <v/>
      </c>
      <c r="C585" s="148" t="n">
        <v>69</v>
      </c>
      <c r="D585" s="148" t="inlineStr">
        <is>
          <t>CL Cooling Sheets</t>
        </is>
      </c>
      <c r="E585" s="148" t="inlineStr">
        <is>
          <t>US</t>
        </is>
      </c>
      <c r="F585" s="148" t="inlineStr">
        <is>
          <t>Cooling</t>
        </is>
      </c>
      <c r="G585" s="148" t="inlineStr">
        <is>
          <t>Pillcase</t>
        </is>
      </c>
      <c r="H585" s="148" t="inlineStr">
        <is>
          <t>Untiered</t>
        </is>
      </c>
      <c r="I585" s="148" t="inlineStr">
        <is>
          <t>Cooling Hotel Bedding Sheet Set - 4pcs Bamboo Viscose &amp; Tencel Blend, Moisture-W</t>
        </is>
      </c>
      <c r="J585" s="148" t="inlineStr">
        <is>
          <t>https://m.media-amazon.com/images/I/61mi8zwd8GL._AC_SL1500_.jpg</t>
        </is>
      </c>
      <c r="K585" s="148" t="inlineStr">
        <is>
          <t>B0HJYG8V9Q</t>
        </is>
      </c>
      <c r="L585" s="148" t="inlineStr">
        <is>
          <t>B0HJYG8V9Q</t>
        </is>
      </c>
      <c r="M585" s="148" t="n"/>
      <c r="N585" s="148" t="n">
        <v>79.98999999999999</v>
      </c>
      <c r="O585" s="148" t="n"/>
      <c r="P585" s="148">
        <f>IF(AND(ISNUMBER(O585),ISNUMBER(N585),N(N585)&gt;0),O585/N585-1,"")</f>
        <v/>
      </c>
      <c r="Q585" s="148" t="n">
        <v>93.98999999999999</v>
      </c>
      <c r="R585" s="148">
        <f>IF(AND(ISNUMBER(N585),ISNUMBER(Q585),N(Q585)&gt;0),N585/Q585-1,"")</f>
        <v/>
      </c>
      <c r="S585" s="148" t="n">
        <v>762451</v>
      </c>
      <c r="T585" s="148" t="n">
        <v>5</v>
      </c>
      <c r="U585" s="148" t="n">
        <v>4</v>
      </c>
      <c r="V585" s="148" t="n"/>
      <c r="W585" s="148" t="n">
        <v>57075</v>
      </c>
      <c r="X585" s="148" t="n"/>
      <c r="Y585" s="148" t="n"/>
      <c r="Z585" s="148" t="n"/>
      <c r="AA585" s="148" t="n"/>
      <c r="AB585" s="148" t="n"/>
      <c r="AC585" s="148" t="inlineStr">
        <is>
          <t>US CL Cooling Sheets</t>
        </is>
      </c>
      <c r="AD585" s="148">
        <f>'US CL Cooling Sheets'!BF128</f>
        <v/>
      </c>
      <c r="AE585" s="148">
        <f>'US CL Cooling Sheets'!BI128</f>
        <v/>
      </c>
      <c r="AF585" s="148" t="inlineStr">
        <is>
          <t>King</t>
        </is>
      </c>
      <c r="AG585" s="148" t="inlineStr">
        <is>
          <t>Pearl White</t>
        </is>
      </c>
      <c r="AH585" s="148">
        <f>AND(E585="CA",OR('CA Dashboard'!$C$4="All",'CA Dashboard'!$C$4=D585),OR('CA Dashboard'!$C$5="All",'CA Dashboard'!$C$5=G585),OR('CA Dashboard'!$C$6="All",'CA Dashboard'!$C$6=H585),OR('CA Dashboard'!$C$7="All",'CA Dashboard'!$C$7=F585),OR('CA Dashboard'!$C$8="All",'CA Dashboard'!$C$8=AJ585))</f>
        <v/>
      </c>
      <c r="AI585" s="148">
        <f>IF(AH585,AI584+1,AI584)</f>
        <v/>
      </c>
      <c r="AJ585" s="148" t="inlineStr">
        <is>
          <t>Alternative material</t>
        </is>
      </c>
      <c r="AK585" s="148" t="inlineStr">
        <is>
          <t>Sheet set in Microfiber / polyester (product page material: Microfiber); ours is Synthetic cooling knit (product spec: CooLoom, 90% nylon / 10% spandex). Shopper may cross-shop, but not like-for-like.</t>
        </is>
      </c>
    </row>
    <row r="586">
      <c r="A586" s="148">
        <f>AND(E586="US",OR('US Dashboard'!$C$4="All",'US Dashboard'!$C$4=D586),OR('US Dashboard'!$C$5="All",'US Dashboard'!$C$5=G586),OR('US Dashboard'!$C$6="All",'US Dashboard'!$C$6=H586),OR('US Dashboard'!$C$7="All",'US Dashboard'!$C$7=F586),OR('US Dashboard'!$C$8="All",'US Dashboard'!$C$8=AJ586))</f>
        <v/>
      </c>
      <c r="B586" s="148">
        <f>IF(A586,B585+1,B585)</f>
        <v/>
      </c>
      <c r="C586" s="148" t="n">
        <v>69</v>
      </c>
      <c r="D586" s="148" t="inlineStr">
        <is>
          <t>CL Cooling Sheets</t>
        </is>
      </c>
      <c r="E586" s="148" t="inlineStr">
        <is>
          <t>US</t>
        </is>
      </c>
      <c r="F586" s="148" t="inlineStr">
        <is>
          <t>Cooling</t>
        </is>
      </c>
      <c r="G586" s="148" t="inlineStr">
        <is>
          <t>Brookstone</t>
        </is>
      </c>
      <c r="H586" s="148" t="inlineStr">
        <is>
          <t>Poor</t>
        </is>
      </c>
      <c r="I586" s="148" t="inlineStr">
        <is>
          <t>Cooling Fitted Sheet</t>
        </is>
      </c>
      <c r="J586" s="148" t="inlineStr">
        <is>
          <t>https://m.media-amazon.com/images/I/81j0ZgsAvbL._AC_SL1500_.jpg</t>
        </is>
      </c>
      <c r="K586" s="148" t="inlineStr">
        <is>
          <t>B0CXB579TZ</t>
        </is>
      </c>
      <c r="L586" s="148" t="inlineStr">
        <is>
          <t>B0CTKM53QJ</t>
        </is>
      </c>
      <c r="M586" s="148" t="n"/>
      <c r="N586" s="148" t="n">
        <v>49.99</v>
      </c>
      <c r="O586" s="148" t="n"/>
      <c r="P586" s="148">
        <f>IF(AND(ISNUMBER(O586),ISNUMBER(N586),N(N586)&gt;0),O586/N586-1,"")</f>
        <v/>
      </c>
      <c r="Q586" s="148" t="n">
        <v>69.98999999999999</v>
      </c>
      <c r="R586" s="148">
        <f>IF(AND(ISNUMBER(N586),ISNUMBER(Q586),N(Q586)&gt;0),N586/Q586-1,"")</f>
        <v/>
      </c>
      <c r="S586" s="148" t="n">
        <v>501090</v>
      </c>
      <c r="T586" s="148" t="n">
        <v>5</v>
      </c>
      <c r="U586" s="148" t="n">
        <v>4.1</v>
      </c>
      <c r="V586" s="148" t="n">
        <v>184</v>
      </c>
      <c r="W586" s="148" t="n"/>
      <c r="X586" s="148" t="n"/>
      <c r="Y586" s="148" t="n"/>
      <c r="Z586" s="148" t="n"/>
      <c r="AA586" s="148" t="n"/>
      <c r="AB586" s="148" t="n"/>
      <c r="AC586" s="148" t="inlineStr">
        <is>
          <t>US CL Cooling Sheets</t>
        </is>
      </c>
      <c r="AD586" s="148">
        <f>'US CL Cooling Sheets'!BF129</f>
        <v/>
      </c>
      <c r="AE586" s="148">
        <f>'US CL Cooling Sheets'!BI129</f>
        <v/>
      </c>
      <c r="AF586" s="148" t="inlineStr">
        <is>
          <t>Twin</t>
        </is>
      </c>
      <c r="AG586" s="148" t="inlineStr">
        <is>
          <t>Gray</t>
        </is>
      </c>
      <c r="AH586" s="148">
        <f>AND(E586="CA",OR('CA Dashboard'!$C$4="All",'CA Dashboard'!$C$4=D586),OR('CA Dashboard'!$C$5="All",'CA Dashboard'!$C$5=G586),OR('CA Dashboard'!$C$6="All",'CA Dashboard'!$C$6=H586),OR('CA Dashboard'!$C$7="All",'CA Dashboard'!$C$7=F586),OR('CA Dashboard'!$C$8="All",'CA Dashboard'!$C$8=AJ586))</f>
        <v/>
      </c>
      <c r="AI586" s="148">
        <f>IF(AH586,AI585+1,AI585)</f>
        <v/>
      </c>
      <c r="AJ586" s="148" t="inlineStr">
        <is>
          <t>Different product type</t>
        </is>
      </c>
      <c r="AK586" s="148" t="inlineStr">
        <is>
          <t>Sells a fitted sheet; ours is a sheet set.</t>
        </is>
      </c>
    </row>
    <row r="587">
      <c r="A587" s="148">
        <f>AND(E587="US",OR('US Dashboard'!$C$4="All",'US Dashboard'!$C$4=D587),OR('US Dashboard'!$C$5="All",'US Dashboard'!$C$5=G587),OR('US Dashboard'!$C$6="All",'US Dashboard'!$C$6=H587),OR('US Dashboard'!$C$7="All",'US Dashboard'!$C$7=F587),OR('US Dashboard'!$C$8="All",'US Dashboard'!$C$8=AJ587))</f>
        <v/>
      </c>
      <c r="B587" s="148">
        <f>IF(A587,B586+1,B586)</f>
        <v/>
      </c>
      <c r="C587" s="148" t="n">
        <v>69</v>
      </c>
      <c r="D587" s="148" t="inlineStr">
        <is>
          <t>CL Cooling Sheets</t>
        </is>
      </c>
      <c r="E587" s="148" t="inlineStr">
        <is>
          <t>US</t>
        </is>
      </c>
      <c r="F587" s="148" t="inlineStr">
        <is>
          <t>Cooling</t>
        </is>
      </c>
      <c r="G587" s="148" t="inlineStr">
        <is>
          <t>Comfort Spaces</t>
        </is>
      </c>
      <c r="H587" s="148" t="inlineStr">
        <is>
          <t>Untiered</t>
        </is>
      </c>
      <c r="I587" s="148" t="inlineStr">
        <is>
          <t>Comfort Spaces Coolmax Moisture Wicking Fitted Sheet ONLY Super Soft, Fade Resis</t>
        </is>
      </c>
      <c r="J587" s="148" t="inlineStr">
        <is>
          <t>https://m.media-amazon.com/images/I/71RjhAXQgpL._AC_SL1500_.jpg</t>
        </is>
      </c>
      <c r="K587" s="148" t="inlineStr">
        <is>
          <t>B0DCGL5646</t>
        </is>
      </c>
      <c r="L587" s="148" t="inlineStr">
        <is>
          <t>B09GV8SK79</t>
        </is>
      </c>
      <c r="M587" s="148" t="n"/>
      <c r="N587" s="148" t="n">
        <v>16.1</v>
      </c>
      <c r="O587" s="148" t="n"/>
      <c r="P587" s="148">
        <f>IF(AND(ISNUMBER(O587),ISNUMBER(N587),N(N587)&gt;0),O587/N587-1,"")</f>
        <v/>
      </c>
      <c r="Q587" s="148" t="n">
        <v>87.98999999999999</v>
      </c>
      <c r="R587" s="148">
        <f>IF(AND(ISNUMBER(N587),ISNUMBER(Q587),N(Q587)&gt;0),N587/Q587-1,"")</f>
        <v/>
      </c>
      <c r="S587" s="148" t="n">
        <v>6671</v>
      </c>
      <c r="T587" s="148" t="n">
        <v>185</v>
      </c>
      <c r="U587" s="148" t="n">
        <v>4.2</v>
      </c>
      <c r="V587" s="148" t="n">
        <v>1336</v>
      </c>
      <c r="W587" s="148" t="n"/>
      <c r="X587" s="148" t="n"/>
      <c r="Y587" s="148" t="n"/>
      <c r="Z587" s="148" t="n"/>
      <c r="AA587" s="148" t="n"/>
      <c r="AB587" s="148" t="n"/>
      <c r="AC587" s="148" t="inlineStr">
        <is>
          <t>US CL Cooling Sheets</t>
        </is>
      </c>
      <c r="AD587" s="148">
        <f>'US CL Cooling Sheets'!BF130</f>
        <v/>
      </c>
      <c r="AE587" s="148">
        <f>'US CL Cooling Sheets'!BI130</f>
        <v/>
      </c>
      <c r="AF587" s="148" t="inlineStr">
        <is>
          <t>Queen Deep Pocket</t>
        </is>
      </c>
      <c r="AG587" s="148" t="inlineStr">
        <is>
          <t>Grey</t>
        </is>
      </c>
      <c r="AH587" s="148">
        <f>AND(E587="CA",OR('CA Dashboard'!$C$4="All",'CA Dashboard'!$C$4=D587),OR('CA Dashboard'!$C$5="All",'CA Dashboard'!$C$5=G587),OR('CA Dashboard'!$C$6="All",'CA Dashboard'!$C$6=H587),OR('CA Dashboard'!$C$7="All",'CA Dashboard'!$C$7=F587),OR('CA Dashboard'!$C$8="All",'CA Dashboard'!$C$8=AJ587))</f>
        <v/>
      </c>
      <c r="AI587" s="148">
        <f>IF(AH587,AI586+1,AI586)</f>
        <v/>
      </c>
      <c r="AJ587" s="148" t="inlineStr">
        <is>
          <t>Different product type</t>
        </is>
      </c>
      <c r="AK587" s="148" t="inlineStr">
        <is>
          <t>Sells a fitted sheet; ours is a sheet set.</t>
        </is>
      </c>
    </row>
    <row r="588">
      <c r="A588" s="148">
        <f>AND(E588="US",OR('US Dashboard'!$C$4="All",'US Dashboard'!$C$4=D588),OR('US Dashboard'!$C$5="All",'US Dashboard'!$C$5=G588),OR('US Dashboard'!$C$6="All",'US Dashboard'!$C$6=H588),OR('US Dashboard'!$C$7="All",'US Dashboard'!$C$7=F588),OR('US Dashboard'!$C$8="All",'US Dashboard'!$C$8=AJ588))</f>
        <v/>
      </c>
      <c r="B588" s="148">
        <f>IF(A588,B587+1,B587)</f>
        <v/>
      </c>
      <c r="C588" s="148" t="n">
        <v>70</v>
      </c>
      <c r="D588" s="148" t="inlineStr">
        <is>
          <t>CL Pillowcases</t>
        </is>
      </c>
      <c r="E588" s="148" t="inlineStr">
        <is>
          <t>US</t>
        </is>
      </c>
      <c r="F588" s="148" t="inlineStr">
        <is>
          <t>Cooling</t>
        </is>
      </c>
      <c r="G588" s="148" t="inlineStr">
        <is>
          <t>Avolare</t>
        </is>
      </c>
      <c r="H588" s="148" t="inlineStr">
        <is>
          <t>Aspirational</t>
        </is>
      </c>
      <c r="I588" s="148" t="inlineStr">
        <is>
          <t>Avolare Cooling Pillow Cases Queen Size Set of 2,Arc-Chill 3.0 Cool Pillowcases</t>
        </is>
      </c>
      <c r="J588" s="148" t="inlineStr">
        <is>
          <t>https://m.media-amazon.com/images/I/71xUOkl9QGL._AC_SL1500_.jpg</t>
        </is>
      </c>
      <c r="K588" s="148" t="inlineStr">
        <is>
          <t>B0H3PX4VQC</t>
        </is>
      </c>
      <c r="L588" s="148" t="inlineStr">
        <is>
          <t>B08TBL21VT</t>
        </is>
      </c>
      <c r="M588" s="148" t="n"/>
      <c r="N588" s="148" t="n">
        <v>17.52</v>
      </c>
      <c r="O588" s="148" t="n">
        <v>19.99</v>
      </c>
      <c r="P588" s="148">
        <f>IF(AND(ISNUMBER(O588),ISNUMBER(N588),N(N588)&gt;0),O588/N588-1,"")</f>
        <v/>
      </c>
      <c r="Q588" s="148" t="n">
        <v>19.99</v>
      </c>
      <c r="R588" s="148">
        <f>IF(AND(ISNUMBER(N588),ISNUMBER(Q588),N(Q588)&gt;0),N588/Q588-1,"")</f>
        <v/>
      </c>
      <c r="S588" s="148" t="n">
        <v>14178</v>
      </c>
      <c r="T588" s="148" t="n">
        <v>173</v>
      </c>
      <c r="U588" s="148" t="n">
        <v>4.4</v>
      </c>
      <c r="V588" s="148" t="n">
        <v>3832</v>
      </c>
      <c r="W588" s="148" t="n"/>
      <c r="X588" s="148" t="n"/>
      <c r="Y588" s="148" t="n"/>
      <c r="Z588" s="148" t="n"/>
      <c r="AA588" s="148" t="n"/>
      <c r="AB588" s="148" t="n">
        <v>1.099737532808399</v>
      </c>
      <c r="AC588" s="148" t="inlineStr">
        <is>
          <t>US CL Pillowcases</t>
        </is>
      </c>
      <c r="AD588" s="148">
        <f>'US CL Pillowcases'!BF44</f>
        <v/>
      </c>
      <c r="AE588" s="148">
        <f>'US CL Pillowcases'!BI44</f>
        <v/>
      </c>
      <c r="AF588" s="148" t="inlineStr">
        <is>
          <t>Queen (U.S. Standard)</t>
        </is>
      </c>
      <c r="AG588" s="148" t="inlineStr">
        <is>
          <t>Blue</t>
        </is>
      </c>
      <c r="AH588" s="148">
        <f>AND(E588="CA",OR('CA Dashboard'!$C$4="All",'CA Dashboard'!$C$4=D588),OR('CA Dashboard'!$C$5="All",'CA Dashboard'!$C$5=G588),OR('CA Dashboard'!$C$6="All",'CA Dashboard'!$C$6=H588),OR('CA Dashboard'!$C$7="All",'CA Dashboard'!$C$7=F588),OR('CA Dashboard'!$C$8="All",'CA Dashboard'!$C$8=AJ588))</f>
        <v/>
      </c>
      <c r="AI588" s="148">
        <f>IF(AH588,AI587+1,AI587)</f>
        <v/>
      </c>
      <c r="AJ588" s="148" t="inlineStr">
        <is>
          <t>Direct</t>
        </is>
      </c>
      <c r="AK588" s="148" t="inlineStr">
        <is>
          <t>Same product (pillowcase) in the same material family: Synthetic cooling knit (product page material: Nylon, Spandex); ours: same CooLoom cooling fabric as the CooLinens sheets.</t>
        </is>
      </c>
    </row>
    <row r="589">
      <c r="A589" s="148">
        <f>AND(E589="US",OR('US Dashboard'!$C$4="All",'US Dashboard'!$C$4=D589),OR('US Dashboard'!$C$5="All",'US Dashboard'!$C$5=G589),OR('US Dashboard'!$C$6="All",'US Dashboard'!$C$6=H589),OR('US Dashboard'!$C$7="All",'US Dashboard'!$C$7=F589),OR('US Dashboard'!$C$8="All",'US Dashboard'!$C$8=AJ589))</f>
        <v/>
      </c>
      <c r="B589" s="148">
        <f>IF(A589,B588+1,B588)</f>
        <v/>
      </c>
      <c r="C589" s="148" t="n">
        <v>70</v>
      </c>
      <c r="D589" s="148" t="inlineStr">
        <is>
          <t>CL Pillowcases</t>
        </is>
      </c>
      <c r="E589" s="148" t="inlineStr">
        <is>
          <t>US</t>
        </is>
      </c>
      <c r="F589" s="148" t="inlineStr">
        <is>
          <t>Cooling</t>
        </is>
      </c>
      <c r="G589" s="148" t="inlineStr">
        <is>
          <t>Elegear</t>
        </is>
      </c>
      <c r="H589" s="148" t="inlineStr">
        <is>
          <t>Aspirational</t>
        </is>
      </c>
      <c r="I589" s="148" t="inlineStr">
        <is>
          <t>Elegear Cooling Pillow Cases for Hot Sleepers, Set of 2, Queen 20'' x 30''</t>
        </is>
      </c>
      <c r="J589" s="148" t="inlineStr">
        <is>
          <t>https://m.media-amazon.com/images/I/71zamuFJA8L._AC_SL1500_.jpg</t>
        </is>
      </c>
      <c r="K589" s="148" t="inlineStr">
        <is>
          <t>B0HFSJ3HLW</t>
        </is>
      </c>
      <c r="L589" s="148" t="inlineStr">
        <is>
          <t>B07TMF54XC</t>
        </is>
      </c>
      <c r="M589" s="148" t="n">
        <v>19</v>
      </c>
      <c r="N589" s="148" t="n">
        <v>16.88</v>
      </c>
      <c r="O589" s="148" t="n"/>
      <c r="P589" s="148">
        <f>IF(AND(ISNUMBER(O589),ISNUMBER(N589),N(N589)&gt;0),O589/N589-1,"")</f>
        <v/>
      </c>
      <c r="Q589" s="148" t="n"/>
      <c r="R589" s="148">
        <f>IF(AND(ISNUMBER(N589),ISNUMBER(Q589),N(Q589)&gt;0),N589/Q589-1,"")</f>
        <v/>
      </c>
      <c r="S589" s="148" t="n">
        <v>29862</v>
      </c>
      <c r="T589" s="148" t="n">
        <v>35</v>
      </c>
      <c r="U589" s="148" t="n">
        <v>4.3</v>
      </c>
      <c r="V589" s="148" t="n">
        <v>8391</v>
      </c>
      <c r="W589" s="148" t="n">
        <v>12595</v>
      </c>
      <c r="X589" s="148" t="n">
        <v>0.8238290353314806</v>
      </c>
      <c r="Y589" s="148" t="n">
        <v>76</v>
      </c>
      <c r="Z589" s="148" t="n">
        <v>55</v>
      </c>
      <c r="AA589" s="148" t="n">
        <v>23</v>
      </c>
      <c r="AB589" s="148" t="n"/>
      <c r="AC589" s="148" t="inlineStr">
        <is>
          <t>US CL Pillowcases</t>
        </is>
      </c>
      <c r="AD589" s="148">
        <f>'US CL Pillowcases'!BF45</f>
        <v/>
      </c>
      <c r="AE589" s="148">
        <f>'US CL Pillowcases'!BI45</f>
        <v/>
      </c>
      <c r="AF589" s="148" t="inlineStr">
        <is>
          <t>Standard (20" x 26")</t>
        </is>
      </c>
      <c r="AG589" s="148" t="inlineStr">
        <is>
          <t>Grey</t>
        </is>
      </c>
      <c r="AH589" s="148">
        <f>AND(E589="CA",OR('CA Dashboard'!$C$4="All",'CA Dashboard'!$C$4=D589),OR('CA Dashboard'!$C$5="All",'CA Dashboard'!$C$5=G589),OR('CA Dashboard'!$C$6="All",'CA Dashboard'!$C$6=H589),OR('CA Dashboard'!$C$7="All",'CA Dashboard'!$C$7=F589),OR('CA Dashboard'!$C$8="All",'CA Dashboard'!$C$8=AJ589))</f>
        <v/>
      </c>
      <c r="AI589" s="148">
        <f>IF(AH589,AI588+1,AI588)</f>
        <v/>
      </c>
      <c r="AJ589" s="148" t="inlineStr">
        <is>
          <t>Direct</t>
        </is>
      </c>
      <c r="AK589" s="148" t="inlineStr">
        <is>
          <t>Same product (pillowcase) in the same material family: Synthetic cooling knit (product page material: Arc-Chill Cool Fabric 3.0); ours: same CooLoom cooling fabric as the CooLinens sheets.</t>
        </is>
      </c>
    </row>
    <row r="590">
      <c r="A590" s="148">
        <f>AND(E590="US",OR('US Dashboard'!$C$4="All",'US Dashboard'!$C$4=D590),OR('US Dashboard'!$C$5="All",'US Dashboard'!$C$5=G590),OR('US Dashboard'!$C$6="All",'US Dashboard'!$C$6=H590),OR('US Dashboard'!$C$7="All",'US Dashboard'!$C$7=F590),OR('US Dashboard'!$C$8="All",'US Dashboard'!$C$8=AJ590))</f>
        <v/>
      </c>
      <c r="B590" s="148">
        <f>IF(A590,B589+1,B589)</f>
        <v/>
      </c>
      <c r="C590" s="148" t="n">
        <v>70</v>
      </c>
      <c r="D590" s="148" t="inlineStr">
        <is>
          <t>CL Pillowcases</t>
        </is>
      </c>
      <c r="E590" s="148" t="inlineStr">
        <is>
          <t>US</t>
        </is>
      </c>
      <c r="F590" s="148" t="inlineStr">
        <is>
          <t>Cooling</t>
        </is>
      </c>
      <c r="G590" s="148" t="inlineStr">
        <is>
          <t>LUXEAR</t>
        </is>
      </c>
      <c r="H590" s="148" t="inlineStr">
        <is>
          <t>Aspirational</t>
        </is>
      </c>
      <c r="I590" s="148" t="inlineStr">
        <is>
          <t>LUXEAR 2 Pack Cooling Pillow Cases for Hot Sleepers, Arc-Chill Q-Max &gt; 0.5 Cool</t>
        </is>
      </c>
      <c r="J590" s="148" t="inlineStr">
        <is>
          <t>https://m.media-amazon.com/images/I/71Q9BFvL64L._AC_SL1500_.jpg</t>
        </is>
      </c>
      <c r="K590" s="148" t="inlineStr">
        <is>
          <t>B0H8YXSQ1P</t>
        </is>
      </c>
      <c r="L590" s="148" t="inlineStr">
        <is>
          <t>B07V6SKZ7V</t>
        </is>
      </c>
      <c r="M590" s="148" t="n"/>
      <c r="N590" s="148" t="n">
        <v>15.95</v>
      </c>
      <c r="O590" s="148" t="n"/>
      <c r="P590" s="148">
        <f>IF(AND(ISNUMBER(O590),ISNUMBER(N590),N(N590)&gt;0),O590/N590-1,"")</f>
        <v/>
      </c>
      <c r="Q590" s="148" t="n"/>
      <c r="R590" s="148">
        <f>IF(AND(ISNUMBER(N590),ISNUMBER(Q590),N(Q590)&gt;0),N590/Q590-1,"")</f>
        <v/>
      </c>
      <c r="S590" s="148" t="n">
        <v>50724</v>
      </c>
      <c r="T590" s="148" t="n">
        <v>35</v>
      </c>
      <c r="U590" s="148" t="n">
        <v>4.2</v>
      </c>
      <c r="V590" s="148" t="n">
        <v>6718</v>
      </c>
      <c r="W590" s="148" t="n"/>
      <c r="X590" s="148" t="n"/>
      <c r="Y590" s="148" t="n"/>
      <c r="Z590" s="148" t="n"/>
      <c r="AA590" s="148" t="n"/>
      <c r="AB590" s="148" t="n"/>
      <c r="AC590" s="148" t="inlineStr">
        <is>
          <t>US CL Pillowcases</t>
        </is>
      </c>
      <c r="AD590" s="148">
        <f>'US CL Pillowcases'!BF46</f>
        <v/>
      </c>
      <c r="AE590" s="148">
        <f>'US CL Pillowcases'!BI46</f>
        <v/>
      </c>
      <c r="AF590" s="148" t="inlineStr">
        <is>
          <t>Standard (20" X 26")</t>
        </is>
      </c>
      <c r="AG590" s="148" t="inlineStr">
        <is>
          <t>Gray</t>
        </is>
      </c>
      <c r="AH590" s="148">
        <f>AND(E590="CA",OR('CA Dashboard'!$C$4="All",'CA Dashboard'!$C$4=D590),OR('CA Dashboard'!$C$5="All",'CA Dashboard'!$C$5=G590),OR('CA Dashboard'!$C$6="All",'CA Dashboard'!$C$6=H590),OR('CA Dashboard'!$C$7="All",'CA Dashboard'!$C$7=F590),OR('CA Dashboard'!$C$8="All",'CA Dashboard'!$C$8=AJ590))</f>
        <v/>
      </c>
      <c r="AI590" s="148">
        <f>IF(AH590,AI589+1,AI589)</f>
        <v/>
      </c>
      <c r="AJ590" s="148" t="inlineStr">
        <is>
          <t>Direct</t>
        </is>
      </c>
      <c r="AK590" s="148" t="inlineStr">
        <is>
          <t>Same product (pillowcase) in the same material family: Synthetic cooling knit (product page material: One Side is Q-Max &gt;0.5 Arc-Chill Cooling Fibers, One Side is); ours: same CooLoom cooling fabric as the CooLinens sheets.</t>
        </is>
      </c>
    </row>
    <row r="591">
      <c r="A591" s="148">
        <f>AND(E591="US",OR('US Dashboard'!$C$4="All",'US Dashboard'!$C$4=D591),OR('US Dashboard'!$C$5="All",'US Dashboard'!$C$5=G591),OR('US Dashboard'!$C$6="All",'US Dashboard'!$C$6=H591),OR('US Dashboard'!$C$7="All",'US Dashboard'!$C$7=F591),OR('US Dashboard'!$C$8="All",'US Dashboard'!$C$8=AJ591))</f>
        <v/>
      </c>
      <c r="B591" s="148">
        <f>IF(A591,B590+1,B590)</f>
        <v/>
      </c>
      <c r="C591" s="148" t="n">
        <v>70</v>
      </c>
      <c r="D591" s="148" t="inlineStr">
        <is>
          <t>CL Pillowcases</t>
        </is>
      </c>
      <c r="E591" s="148" t="inlineStr">
        <is>
          <t>US</t>
        </is>
      </c>
      <c r="F591" s="148" t="inlineStr">
        <is>
          <t>Cooling</t>
        </is>
      </c>
      <c r="G591" s="148" t="inlineStr">
        <is>
          <t>CHOSHOME</t>
        </is>
      </c>
      <c r="H591" s="148" t="inlineStr">
        <is>
          <t>Beatable</t>
        </is>
      </c>
      <c r="I591" s="148" t="inlineStr">
        <is>
          <t>CHOSHOME Cooling Pillow Cases Zipper Pillow Covers Q-Max &gt; 0.45 Zippered Pillowcases for Hot Sleepers, Soft, Breathable, Skin-Friendly, 2 Pack (Standard, 20" x 26", Grey)</t>
        </is>
      </c>
      <c r="J591" s="148" t="inlineStr">
        <is>
          <t>https://images-na.ssl-images-amazon.com/images/I/81mbqqKQImL.jpg</t>
        </is>
      </c>
      <c r="K591" s="148" t="inlineStr">
        <is>
          <t>B0B75178W1</t>
        </is>
      </c>
      <c r="L591" s="148" t="inlineStr">
        <is>
          <t>B08X2KBD67</t>
        </is>
      </c>
      <c r="M591" s="148" t="n">
        <v>54</v>
      </c>
      <c r="N591" s="148" t="n">
        <v>14.6</v>
      </c>
      <c r="O591" s="148" t="n"/>
      <c r="P591" s="148">
        <f>IF(AND(ISNUMBER(O591),ISNUMBER(N591),N(N591)&gt;0),O591/N591-1,"")</f>
        <v/>
      </c>
      <c r="Q591" s="148" t="n">
        <v>17.99</v>
      </c>
      <c r="R591" s="148">
        <f>IF(AND(ISNUMBER(N591),ISNUMBER(Q591),N(Q591)&gt;0),N591/Q591-1,"")</f>
        <v/>
      </c>
      <c r="S591" s="148" t="n">
        <v>28988</v>
      </c>
      <c r="T591" s="148" t="n">
        <v>104</v>
      </c>
      <c r="U591" s="148" t="n">
        <v>4.4</v>
      </c>
      <c r="V591" s="148" t="n">
        <v>1768</v>
      </c>
      <c r="W591" s="148" t="n">
        <v>17999</v>
      </c>
      <c r="X591" s="148" t="n">
        <v>0.8252617812100672</v>
      </c>
      <c r="Y591" s="148" t="n">
        <v>51</v>
      </c>
      <c r="Z591" s="148" t="n">
        <v>67</v>
      </c>
      <c r="AA591" s="148" t="n">
        <v>40</v>
      </c>
      <c r="AB591" s="148" t="n">
        <v>1.111111111111111</v>
      </c>
      <c r="AC591" s="148" t="inlineStr">
        <is>
          <t>US CL Pillowcases</t>
        </is>
      </c>
      <c r="AD591" s="148">
        <f>'US CL Pillowcases'!BF47</f>
        <v/>
      </c>
      <c r="AE591" s="148">
        <f>'US CL Pillowcases'!BI47</f>
        <v/>
      </c>
      <c r="AF591" s="148" t="inlineStr">
        <is>
          <t>Standard</t>
        </is>
      </c>
      <c r="AG591" s="148" t="inlineStr">
        <is>
          <t>Grey</t>
        </is>
      </c>
      <c r="AH591" s="148">
        <f>AND(E591="CA",OR('CA Dashboard'!$C$4="All",'CA Dashboard'!$C$4=D591),OR('CA Dashboard'!$C$5="All",'CA Dashboard'!$C$5=G591),OR('CA Dashboard'!$C$6="All",'CA Dashboard'!$C$6=H591),OR('CA Dashboard'!$C$7="All",'CA Dashboard'!$C$7=F591),OR('CA Dashboard'!$C$8="All",'CA Dashboard'!$C$8=AJ591))</f>
        <v/>
      </c>
      <c r="AI591" s="148">
        <f>IF(AH591,AI590+1,AI590)</f>
        <v/>
      </c>
      <c r="AJ591" s="148" t="inlineStr">
        <is>
          <t>Direct</t>
        </is>
      </c>
      <c r="AK591" s="148" t="inlineStr">
        <is>
          <t>Same product (pillowcase) in the same material family: Synthetic cooling knit (title: CHOSHOME Cooling Pillow Cases Zipper Pillow Covers Q-Max &gt; 0); ours: same CooLoom cooling fabric as the CooLinens sheets.</t>
        </is>
      </c>
    </row>
    <row r="592">
      <c r="A592" s="148">
        <f>AND(E592="US",OR('US Dashboard'!$C$4="All",'US Dashboard'!$C$4=D592),OR('US Dashboard'!$C$5="All",'US Dashboard'!$C$5=G592),OR('US Dashboard'!$C$6="All",'US Dashboard'!$C$6=H592),OR('US Dashboard'!$C$7="All",'US Dashboard'!$C$7=F592),OR('US Dashboard'!$C$8="All",'US Dashboard'!$C$8=AJ592))</f>
        <v/>
      </c>
      <c r="B592" s="148">
        <f>IF(A592,B591+1,B591)</f>
        <v/>
      </c>
      <c r="C592" s="148" t="n">
        <v>70</v>
      </c>
      <c r="D592" s="148" t="inlineStr">
        <is>
          <t>CL Pillowcases</t>
        </is>
      </c>
      <c r="E592" s="148" t="inlineStr">
        <is>
          <t>US</t>
        </is>
      </c>
      <c r="F592" s="148" t="inlineStr">
        <is>
          <t>Cooling</t>
        </is>
      </c>
      <c r="G592" s="148" t="inlineStr">
        <is>
          <t>QUTOOL</t>
        </is>
      </c>
      <c r="H592" s="148" t="inlineStr">
        <is>
          <t>Beatable</t>
        </is>
      </c>
      <c r="I592" s="148" t="inlineStr">
        <is>
          <t>Luxury Cooling Pillowcases Queen Size 2 Pack, Q-Max&gt;0.4 Cool Touch for Hot Sleepers&amp;Night Sweats Beauty Sleep Anti-Frizz, Softer Than Silk Pillowcover Oeko-TEX Certified Light Gray</t>
        </is>
      </c>
      <c r="J592" s="148" t="inlineStr">
        <is>
          <t>https://images-na.ssl-images-amazon.com/images/I/61xlOGglCHL.jpg</t>
        </is>
      </c>
      <c r="K592" s="148" t="inlineStr">
        <is>
          <t>B0DL5R7SSB</t>
        </is>
      </c>
      <c r="L592" s="148" t="inlineStr">
        <is>
          <t>B0DLB4PQS8</t>
        </is>
      </c>
      <c r="M592" s="148" t="n">
        <v>22</v>
      </c>
      <c r="N592" s="148" t="n">
        <v>16.99</v>
      </c>
      <c r="O592" s="148" t="n"/>
      <c r="P592" s="148">
        <f>IF(AND(ISNUMBER(O592),ISNUMBER(N592),N(N592)&gt;0),O592/N592-1,"")</f>
        <v/>
      </c>
      <c r="Q592" s="148" t="n">
        <v>19.99</v>
      </c>
      <c r="R592" s="148">
        <f>IF(AND(ISNUMBER(N592),ISNUMBER(Q592),N(Q592)&gt;0),N592/Q592-1,"")</f>
        <v/>
      </c>
      <c r="S592" s="148" t="n">
        <v>39446</v>
      </c>
      <c r="T592" s="148" t="n">
        <v>35</v>
      </c>
      <c r="U592" s="148" t="n">
        <v>4.4</v>
      </c>
      <c r="V592" s="148" t="n">
        <v>769</v>
      </c>
      <c r="W592" s="148" t="n">
        <v>15503</v>
      </c>
      <c r="X592" s="148" t="n">
        <v>0.6025155131264917</v>
      </c>
      <c r="Y592" s="148" t="n">
        <v>49</v>
      </c>
      <c r="Z592" s="148" t="n">
        <v>33</v>
      </c>
      <c r="AA592" s="148" t="n">
        <v>67</v>
      </c>
      <c r="AB592" s="148" t="n"/>
      <c r="AC592" s="148" t="inlineStr">
        <is>
          <t>US CL Pillowcases</t>
        </is>
      </c>
      <c r="AD592" s="148">
        <f>'US CL Pillowcases'!BF48</f>
        <v/>
      </c>
      <c r="AE592" s="148">
        <f>'US CL Pillowcases'!BI48</f>
        <v/>
      </c>
      <c r="AF592" s="148" t="inlineStr">
        <is>
          <t>Queen</t>
        </is>
      </c>
      <c r="AG592" s="148" t="inlineStr">
        <is>
          <t>Gray</t>
        </is>
      </c>
      <c r="AH592" s="148">
        <f>AND(E592="CA",OR('CA Dashboard'!$C$4="All",'CA Dashboard'!$C$4=D592),OR('CA Dashboard'!$C$5="All",'CA Dashboard'!$C$5=G592),OR('CA Dashboard'!$C$6="All",'CA Dashboard'!$C$6=H592),OR('CA Dashboard'!$C$7="All",'CA Dashboard'!$C$7=F592),OR('CA Dashboard'!$C$8="All",'CA Dashboard'!$C$8=AJ592))</f>
        <v/>
      </c>
      <c r="AI592" s="148">
        <f>IF(AH592,AI591+1,AI591)</f>
        <v/>
      </c>
      <c r="AJ592" s="148" t="inlineStr">
        <is>
          <t>Direct</t>
        </is>
      </c>
      <c r="AK592" s="148" t="inlineStr">
        <is>
          <t>Same product (pillowcase) in the same material family: Synthetic cooling knit (title: Luxury Cooling Pillowcases Queen Size 2 Pack, Q-Max&gt;0.4 Cool); ours: same CooLoom cooling fabric as the CooLinens sheets.</t>
        </is>
      </c>
    </row>
    <row r="593">
      <c r="A593" s="148">
        <f>AND(E593="US",OR('US Dashboard'!$C$4="All",'US Dashboard'!$C$4=D593),OR('US Dashboard'!$C$5="All",'US Dashboard'!$C$5=G593),OR('US Dashboard'!$C$6="All",'US Dashboard'!$C$6=H593),OR('US Dashboard'!$C$7="All",'US Dashboard'!$C$7=F593),OR('US Dashboard'!$C$8="All",'US Dashboard'!$C$8=AJ593))</f>
        <v/>
      </c>
      <c r="B593" s="148">
        <f>IF(A593,B592+1,B592)</f>
        <v/>
      </c>
      <c r="C593" s="148" t="n">
        <v>70</v>
      </c>
      <c r="D593" s="148" t="inlineStr">
        <is>
          <t>CL Pillowcases</t>
        </is>
      </c>
      <c r="E593" s="148" t="inlineStr">
        <is>
          <t>US</t>
        </is>
      </c>
      <c r="F593" s="148" t="inlineStr">
        <is>
          <t>Cooling</t>
        </is>
      </c>
      <c r="G593" s="148" t="inlineStr">
        <is>
          <t>Breescape</t>
        </is>
      </c>
      <c r="H593" s="148" t="inlineStr">
        <is>
          <t>Beatable</t>
        </is>
      </c>
      <c r="I593" s="148" t="inlineStr">
        <is>
          <t>Breescape Cooling Pillow Cases Queen Size Set of 2, BlendTek™ Cooling Technology</t>
        </is>
      </c>
      <c r="J593" s="148" t="inlineStr">
        <is>
          <t>https://m.media-amazon.com/images/I/71B3AMV8imL._AC_SL1500_.jpg</t>
        </is>
      </c>
      <c r="K593" s="148" t="inlineStr">
        <is>
          <t>B0F53TNFSX</t>
        </is>
      </c>
      <c r="L593" s="148" t="inlineStr">
        <is>
          <t>B0DSQ12L6F</t>
        </is>
      </c>
      <c r="M593" s="148" t="n">
        <v>13</v>
      </c>
      <c r="N593" s="148" t="n">
        <v>54.99</v>
      </c>
      <c r="O593" s="148" t="n"/>
      <c r="P593" s="148">
        <f>IF(AND(ISNUMBER(O593),ISNUMBER(N593),N(N593)&gt;0),O593/N593-1,"")</f>
        <v/>
      </c>
      <c r="Q593" s="148" t="n">
        <v>20.99</v>
      </c>
      <c r="R593" s="148">
        <f>IF(AND(ISNUMBER(N593),ISNUMBER(Q593),N(Q593)&gt;0),N593/Q593-1,"")</f>
        <v/>
      </c>
      <c r="S593" s="148" t="n">
        <v>132996</v>
      </c>
      <c r="T593" s="148" t="n">
        <v>18</v>
      </c>
      <c r="U593" s="148" t="n">
        <v>4.4</v>
      </c>
      <c r="V593" s="148" t="n">
        <v>305</v>
      </c>
      <c r="W593" s="148" t="n">
        <v>25040</v>
      </c>
      <c r="X593" s="148" t="n">
        <v>0.3706715455271565</v>
      </c>
      <c r="Y593" s="148" t="n">
        <v>81</v>
      </c>
      <c r="Z593" s="148" t="n">
        <v>68</v>
      </c>
      <c r="AA593" s="148" t="n">
        <v>459</v>
      </c>
      <c r="AB593" s="148" t="n"/>
      <c r="AC593" s="148" t="inlineStr">
        <is>
          <t>US CL Pillowcases</t>
        </is>
      </c>
      <c r="AD593" s="148">
        <f>'US CL Pillowcases'!BF49</f>
        <v/>
      </c>
      <c r="AE593" s="148">
        <f>'US CL Pillowcases'!BI49</f>
        <v/>
      </c>
      <c r="AF593" s="148" t="inlineStr">
        <is>
          <t>King</t>
        </is>
      </c>
      <c r="AG593" s="148" t="inlineStr">
        <is>
          <t>Misty Gray</t>
        </is>
      </c>
      <c r="AH593" s="148">
        <f>AND(E593="CA",OR('CA Dashboard'!$C$4="All",'CA Dashboard'!$C$4=D593),OR('CA Dashboard'!$C$5="All",'CA Dashboard'!$C$5=G593),OR('CA Dashboard'!$C$6="All",'CA Dashboard'!$C$6=H593),OR('CA Dashboard'!$C$7="All",'CA Dashboard'!$C$7=F593),OR('CA Dashboard'!$C$8="All",'CA Dashboard'!$C$8=AJ593))</f>
        <v/>
      </c>
      <c r="AI593" s="148">
        <f>IF(AH593,AI592+1,AI592)</f>
        <v/>
      </c>
      <c r="AJ593" s="148" t="inlineStr">
        <is>
          <t>Direct</t>
        </is>
      </c>
      <c r="AK593" s="148" t="inlineStr">
        <is>
          <t>Same product (pillowcase) in the same material family: Synthetic cooling knit (product page material: BlendTek™ Fabric); ours: same CooLoom cooling fabric as the CooLinens sheets.</t>
        </is>
      </c>
    </row>
    <row r="594">
      <c r="A594" s="148">
        <f>AND(E594="US",OR('US Dashboard'!$C$4="All",'US Dashboard'!$C$4=D594),OR('US Dashboard'!$C$5="All",'US Dashboard'!$C$5=G594),OR('US Dashboard'!$C$6="All",'US Dashboard'!$C$6=H594),OR('US Dashboard'!$C$7="All",'US Dashboard'!$C$7=F594),OR('US Dashboard'!$C$8="All",'US Dashboard'!$C$8=AJ594))</f>
        <v/>
      </c>
      <c r="B594" s="148">
        <f>IF(A594,B593+1,B593)</f>
        <v/>
      </c>
      <c r="C594" s="148" t="n">
        <v>70</v>
      </c>
      <c r="D594" s="148" t="inlineStr">
        <is>
          <t>CL Pillowcases</t>
        </is>
      </c>
      <c r="E594" s="148" t="inlineStr">
        <is>
          <t>US</t>
        </is>
      </c>
      <c r="F594" s="148" t="inlineStr">
        <is>
          <t>Cooling</t>
        </is>
      </c>
      <c r="G594" s="148" t="inlineStr">
        <is>
          <t>Fittia</t>
        </is>
      </c>
      <c r="H594" s="148" t="inlineStr">
        <is>
          <t>Beatable</t>
        </is>
      </c>
      <c r="I594" s="148" t="inlineStr">
        <is>
          <t>FITTIA Cooling Pillow Cases with Zipper, 2 Pack, Standard Size 20"x26"</t>
        </is>
      </c>
      <c r="J594" s="148" t="inlineStr">
        <is>
          <t>https://images-na.ssl-images-amazon.com/images/I/71dsthjuVUL.jpg</t>
        </is>
      </c>
      <c r="K594" s="148" t="inlineStr">
        <is>
          <t>B099JMGRBY</t>
        </is>
      </c>
      <c r="L594" s="148" t="inlineStr">
        <is>
          <t>B099J7KMK5</t>
        </is>
      </c>
      <c r="M594" s="148" t="n">
        <v>16</v>
      </c>
      <c r="N594" s="148" t="n">
        <v>19.99</v>
      </c>
      <c r="O594" s="148" t="n"/>
      <c r="P594" s="148">
        <f>IF(AND(ISNUMBER(O594),ISNUMBER(N594),N(N594)&gt;0),O594/N594-1,"")</f>
        <v/>
      </c>
      <c r="Q594" s="148" t="n"/>
      <c r="R594" s="148">
        <f>IF(AND(ISNUMBER(N594),ISNUMBER(Q594),N(Q594)&gt;0),N594/Q594-1,"")</f>
        <v/>
      </c>
      <c r="S594" s="148" t="n">
        <v>156607</v>
      </c>
      <c r="T594" s="148" t="n">
        <v>18</v>
      </c>
      <c r="U594" s="148" t="n">
        <v>4.3</v>
      </c>
      <c r="V594" s="148" t="n">
        <v>1335</v>
      </c>
      <c r="W594" s="148" t="n">
        <v>16144</v>
      </c>
      <c r="X594" s="148" t="n">
        <v>0.8876912784935578</v>
      </c>
      <c r="Y594" s="148" t="n">
        <v>37</v>
      </c>
      <c r="Z594" s="148" t="n">
        <v>44</v>
      </c>
      <c r="AA594" s="148" t="n">
        <v>20</v>
      </c>
      <c r="AB594" s="148" t="n">
        <v>1.175373134328358</v>
      </c>
      <c r="AC594" s="148" t="inlineStr">
        <is>
          <t>US CL Pillowcases</t>
        </is>
      </c>
      <c r="AD594" s="148">
        <f>'US CL Pillowcases'!BF50</f>
        <v/>
      </c>
      <c r="AE594" s="148">
        <f>'US CL Pillowcases'!BI50</f>
        <v/>
      </c>
      <c r="AF594" s="148" t="inlineStr">
        <is>
          <t>Standard 20"x 26"</t>
        </is>
      </c>
      <c r="AG594" s="148" t="inlineStr">
        <is>
          <t>Grey</t>
        </is>
      </c>
      <c r="AH594" s="148">
        <f>AND(E594="CA",OR('CA Dashboard'!$C$4="All",'CA Dashboard'!$C$4=D594),OR('CA Dashboard'!$C$5="All",'CA Dashboard'!$C$5=G594),OR('CA Dashboard'!$C$6="All",'CA Dashboard'!$C$6=H594),OR('CA Dashboard'!$C$7="All",'CA Dashboard'!$C$7=F594),OR('CA Dashboard'!$C$8="All",'CA Dashboard'!$C$8=AJ594))</f>
        <v/>
      </c>
      <c r="AI594" s="148">
        <f>IF(AH594,AI593+1,AI593)</f>
        <v/>
      </c>
      <c r="AJ594" s="148" t="inlineStr">
        <is>
          <t>Direct</t>
        </is>
      </c>
      <c r="AK594" s="148" t="inlineStr">
        <is>
          <t>Same product (pillowcase) in the same material family: Synthetic cooling knit (product page material: Both Sides Made of Q-max&gt;0.4 Cooling Fiber(50% Mica Cooling ); ours: same CooLoom cooling fabric as the CooLinens sheets.</t>
        </is>
      </c>
    </row>
    <row r="595">
      <c r="A595" s="148">
        <f>AND(E595="US",OR('US Dashboard'!$C$4="All",'US Dashboard'!$C$4=D595),OR('US Dashboard'!$C$5="All",'US Dashboard'!$C$5=G595),OR('US Dashboard'!$C$6="All",'US Dashboard'!$C$6=H595),OR('US Dashboard'!$C$7="All",'US Dashboard'!$C$7=F595),OR('US Dashboard'!$C$8="All",'US Dashboard'!$C$8=AJ595))</f>
        <v/>
      </c>
      <c r="B595" s="148">
        <f>IF(A595,B594+1,B594)</f>
        <v/>
      </c>
      <c r="C595" s="148" t="n">
        <v>70</v>
      </c>
      <c r="D595" s="148" t="inlineStr">
        <is>
          <t>CL Pillowcases</t>
        </is>
      </c>
      <c r="E595" s="148" t="inlineStr">
        <is>
          <t>US</t>
        </is>
      </c>
      <c r="F595" s="148" t="inlineStr">
        <is>
          <t>Cooling</t>
        </is>
      </c>
      <c r="G595" s="148" t="inlineStr">
        <is>
          <t>Topcee</t>
        </is>
      </c>
      <c r="H595" s="148" t="inlineStr">
        <is>
          <t>Beatable</t>
        </is>
      </c>
      <c r="I595" s="148" t="inlineStr">
        <is>
          <t>Topcee Cooling Pillowcases, 2 Packs Queen Size Arc-Chill Q-Max&gt;0.5 Ultra Soft Co</t>
        </is>
      </c>
      <c r="J595" s="148" t="inlineStr">
        <is>
          <t>https://m.media-amazon.com/images/I/71h5hh9havL._AC_SL1500_.jpg</t>
        </is>
      </c>
      <c r="K595" s="148" t="inlineStr">
        <is>
          <t>B0BR9J5DGW</t>
        </is>
      </c>
      <c r="L595" s="148" t="inlineStr">
        <is>
          <t>B0BR9J5DGW</t>
        </is>
      </c>
      <c r="M595" s="148" t="n"/>
      <c r="N595" s="148" t="n">
        <v>18.95</v>
      </c>
      <c r="O595" s="148" t="n"/>
      <c r="P595" s="148">
        <f>IF(AND(ISNUMBER(O595),ISNUMBER(N595),N(N595)&gt;0),O595/N595-1,"")</f>
        <v/>
      </c>
      <c r="Q595" s="148" t="n">
        <v>19.99</v>
      </c>
      <c r="R595" s="148">
        <f>IF(AND(ISNUMBER(N595),ISNUMBER(Q595),N(Q595)&gt;0),N595/Q595-1,"")</f>
        <v/>
      </c>
      <c r="S595" s="148" t="n">
        <v>1292801</v>
      </c>
      <c r="T595" s="148" t="n">
        <v>5</v>
      </c>
      <c r="U595" s="148" t="n">
        <v>4.2</v>
      </c>
      <c r="V595" s="148" t="n">
        <v>227</v>
      </c>
      <c r="W595" s="148" t="n"/>
      <c r="X595" s="148" t="n"/>
      <c r="Y595" s="148" t="n"/>
      <c r="Z595" s="148" t="n"/>
      <c r="AA595" s="148" t="n"/>
      <c r="AB595" s="148" t="n"/>
      <c r="AC595" s="148" t="inlineStr">
        <is>
          <t>US CL Pillowcases</t>
        </is>
      </c>
      <c r="AD595" s="148">
        <f>'US CL Pillowcases'!BF51</f>
        <v/>
      </c>
      <c r="AE595" s="148">
        <f>'US CL Pillowcases'!BI51</f>
        <v/>
      </c>
      <c r="AF595" s="148" t="inlineStr">
        <is>
          <t>Queen(20"x30")</t>
        </is>
      </c>
      <c r="AG595" s="148" t="inlineStr">
        <is>
          <t>Gray</t>
        </is>
      </c>
      <c r="AH595" s="148">
        <f>AND(E595="CA",OR('CA Dashboard'!$C$4="All",'CA Dashboard'!$C$4=D595),OR('CA Dashboard'!$C$5="All",'CA Dashboard'!$C$5=G595),OR('CA Dashboard'!$C$6="All",'CA Dashboard'!$C$6=H595),OR('CA Dashboard'!$C$7="All",'CA Dashboard'!$C$7=F595),OR('CA Dashboard'!$C$8="All",'CA Dashboard'!$C$8=AJ595))</f>
        <v/>
      </c>
      <c r="AI595" s="148">
        <f>IF(AH595,AI594+1,AI594)</f>
        <v/>
      </c>
      <c r="AJ595" s="148" t="inlineStr">
        <is>
          <t>Direct</t>
        </is>
      </c>
      <c r="AK595" s="148" t="inlineStr">
        <is>
          <t>Same product (pillowcase) in the same material family: Synthetic cooling knit (product page material: One Side is Q-Max &gt;0.4 Arc-Chill Cooling Fibers, One Side is); ours: same CooLoom cooling fabric as the CooLinens sheets.</t>
        </is>
      </c>
    </row>
    <row r="596">
      <c r="A596" s="148">
        <f>AND(E596="US",OR('US Dashboard'!$C$4="All",'US Dashboard'!$C$4=D596),OR('US Dashboard'!$C$5="All",'US Dashboard'!$C$5=G596),OR('US Dashboard'!$C$6="All",'US Dashboard'!$C$6=H596),OR('US Dashboard'!$C$7="All",'US Dashboard'!$C$7=F596),OR('US Dashboard'!$C$8="All",'US Dashboard'!$C$8=AJ596))</f>
        <v/>
      </c>
      <c r="B596" s="148">
        <f>IF(A596,B595+1,B595)</f>
        <v/>
      </c>
      <c r="C596" s="148" t="n">
        <v>70</v>
      </c>
      <c r="D596" s="148" t="inlineStr">
        <is>
          <t>CL Pillowcases</t>
        </is>
      </c>
      <c r="E596" s="148" t="inlineStr">
        <is>
          <t>US</t>
        </is>
      </c>
      <c r="F596" s="148" t="inlineStr">
        <is>
          <t>Cooling</t>
        </is>
      </c>
      <c r="G596" s="148" t="inlineStr">
        <is>
          <t>Niagara Sleep Solution</t>
        </is>
      </c>
      <c r="H596" s="148" t="inlineStr">
        <is>
          <t>Poor</t>
        </is>
      </c>
      <c r="I596" s="148" t="inlineStr">
        <is>
          <t>Niagara Set of 2 Cooling Pillow Cases Standard Size, CoolSpan™ Technology Q-Max 0.4 Cooling Pillowcases for Hot Sleepers, Hidden Zipper Pillow Covers, Soft, Anti-Static (20x26'') - Light Grey</t>
        </is>
      </c>
      <c r="J596" s="148" t="inlineStr">
        <is>
          <t>https://images-na.ssl-images-amazon.com/images/I/81fWRYUTfVL.jpg</t>
        </is>
      </c>
      <c r="K596" s="148" t="inlineStr">
        <is>
          <t>B0CZB5B67X</t>
        </is>
      </c>
      <c r="L596" s="148" t="inlineStr">
        <is>
          <t>B0CZB5B67X</t>
        </is>
      </c>
      <c r="M596" s="148" t="n">
        <v>1</v>
      </c>
      <c r="N596" s="148" t="n">
        <v>14.6</v>
      </c>
      <c r="O596" s="148" t="n"/>
      <c r="P596" s="148">
        <f>IF(AND(ISNUMBER(O596),ISNUMBER(N596),N(N596)&gt;0),O596/N596-1,"")</f>
        <v/>
      </c>
      <c r="Q596" s="148" t="n">
        <v>17.99</v>
      </c>
      <c r="R596" s="148">
        <f>IF(AND(ISNUMBER(N596),ISNUMBER(Q596),N(Q596)&gt;0),N596/Q596-1,"")</f>
        <v/>
      </c>
      <c r="S596" s="148" t="n">
        <v>1393717</v>
      </c>
      <c r="T596" s="148" t="n">
        <v>5</v>
      </c>
      <c r="U596" s="148" t="n">
        <v>4.4</v>
      </c>
      <c r="V596" s="148" t="n">
        <v>109</v>
      </c>
      <c r="W596" s="148" t="n"/>
      <c r="X596" s="148" t="n"/>
      <c r="Y596" s="148" t="n"/>
      <c r="Z596" s="148" t="n"/>
      <c r="AA596" s="148" t="n"/>
      <c r="AB596" s="148" t="n"/>
      <c r="AC596" s="148" t="inlineStr">
        <is>
          <t>US CL Pillowcases</t>
        </is>
      </c>
      <c r="AD596" s="148">
        <f>'US CL Pillowcases'!BF52</f>
        <v/>
      </c>
      <c r="AE596" s="148">
        <f>'US CL Pillowcases'!BI52</f>
        <v/>
      </c>
      <c r="AF596" s="148" t="inlineStr">
        <is>
          <t>Standard</t>
        </is>
      </c>
      <c r="AG596" s="148" t="inlineStr">
        <is>
          <t>Grey</t>
        </is>
      </c>
      <c r="AH596" s="148">
        <f>AND(E596="CA",OR('CA Dashboard'!$C$4="All",'CA Dashboard'!$C$4=D596),OR('CA Dashboard'!$C$5="All",'CA Dashboard'!$C$5=G596),OR('CA Dashboard'!$C$6="All",'CA Dashboard'!$C$6=H596),OR('CA Dashboard'!$C$7="All",'CA Dashboard'!$C$7=F596),OR('CA Dashboard'!$C$8="All",'CA Dashboard'!$C$8=AJ596))</f>
        <v/>
      </c>
      <c r="AI596" s="148">
        <f>IF(AH596,AI595+1,AI595)</f>
        <v/>
      </c>
      <c r="AJ596" s="148" t="inlineStr">
        <is>
          <t>Direct</t>
        </is>
      </c>
      <c r="AK596" s="148" t="inlineStr">
        <is>
          <t>Same product (pillowcase) in the same material family: Synthetic cooling knit (title: Niagara Set of 2 Cooling Pillow Cases Standard Size, CoolSpa); ours: same CooLoom cooling fabric as the CooLinens sheets.</t>
        </is>
      </c>
    </row>
    <row r="597">
      <c r="A597" s="148">
        <f>AND(E597="US",OR('US Dashboard'!$C$4="All",'US Dashboard'!$C$4=D597),OR('US Dashboard'!$C$5="All",'US Dashboard'!$C$5=G597),OR('US Dashboard'!$C$6="All",'US Dashboard'!$C$6=H597),OR('US Dashboard'!$C$7="All",'US Dashboard'!$C$7=F597),OR('US Dashboard'!$C$8="All",'US Dashboard'!$C$8=AJ597))</f>
        <v/>
      </c>
      <c r="B597" s="148">
        <f>IF(A597,B596+1,B596)</f>
        <v/>
      </c>
      <c r="C597" s="148" t="n">
        <v>70</v>
      </c>
      <c r="D597" s="148" t="inlineStr">
        <is>
          <t>CL Pillowcases</t>
        </is>
      </c>
      <c r="E597" s="148" t="inlineStr">
        <is>
          <t>US</t>
        </is>
      </c>
      <c r="F597" s="148" t="inlineStr">
        <is>
          <t>Cooling</t>
        </is>
      </c>
      <c r="G597" s="148" t="inlineStr">
        <is>
          <t>REST</t>
        </is>
      </c>
      <c r="H597" s="148" t="inlineStr">
        <is>
          <t>Beatable</t>
        </is>
      </c>
      <c r="I597" s="148" t="inlineStr">
        <is>
          <t>REST® Evercool®+ Cooling Pillowcases for Hot Sleepers, Standard, 2PCS</t>
        </is>
      </c>
      <c r="J597" s="148" t="inlineStr">
        <is>
          <t>https://images-na.ssl-images-amazon.com/images/I/71eYQFtuPxL.jpg</t>
        </is>
      </c>
      <c r="K597" s="148" t="inlineStr">
        <is>
          <t>B0C13Y18JW</t>
        </is>
      </c>
      <c r="L597" s="148" t="inlineStr">
        <is>
          <t>B0C141VGM6</t>
        </is>
      </c>
      <c r="M597" s="148" t="n">
        <v>12</v>
      </c>
      <c r="N597" s="148" t="n">
        <v>59.25</v>
      </c>
      <c r="O597" s="148" t="n">
        <v>79</v>
      </c>
      <c r="P597" s="148">
        <f>IF(AND(ISNUMBER(O597),ISNUMBER(N597),N(N597)&gt;0),O597/N597-1,"")</f>
        <v/>
      </c>
      <c r="Q597" s="148" t="n"/>
      <c r="R597" s="148">
        <f>IF(AND(ISNUMBER(N597),ISNUMBER(Q597),N(Q597)&gt;0),N597/Q597-1,"")</f>
        <v/>
      </c>
      <c r="S597" s="148" t="n">
        <v>4369</v>
      </c>
      <c r="T597" s="148" t="n">
        <v>208</v>
      </c>
      <c r="U597" s="148" t="n">
        <v>4.4</v>
      </c>
      <c r="V597" s="148" t="n">
        <v>1226</v>
      </c>
      <c r="W597" s="148" t="n">
        <v>345367</v>
      </c>
      <c r="X597" s="148" t="n">
        <v>0.2641106081356929</v>
      </c>
      <c r="Y597" s="148" t="n">
        <v>59</v>
      </c>
      <c r="Z597" s="148" t="n">
        <v>179</v>
      </c>
      <c r="AA597" s="148" t="n">
        <v>1936</v>
      </c>
      <c r="AB597" s="148" t="n">
        <v>2.252856054836253</v>
      </c>
      <c r="AC597" s="148" t="inlineStr">
        <is>
          <t>US CL Pillowcases</t>
        </is>
      </c>
      <c r="AD597" s="148">
        <f>'US CL Pillowcases'!BF53</f>
        <v/>
      </c>
      <c r="AE597" s="148">
        <f>'US CL Pillowcases'!BI53</f>
        <v/>
      </c>
      <c r="AF597" s="148" t="inlineStr">
        <is>
          <t>Standard (2 pcs)</t>
        </is>
      </c>
      <c r="AG597" s="148" t="inlineStr">
        <is>
          <t>Light Gray</t>
        </is>
      </c>
      <c r="AH597" s="148">
        <f>AND(E597="CA",OR('CA Dashboard'!$C$4="All",'CA Dashboard'!$C$4=D597),OR('CA Dashboard'!$C$5="All",'CA Dashboard'!$C$5=G597),OR('CA Dashboard'!$C$6="All",'CA Dashboard'!$C$6=H597),OR('CA Dashboard'!$C$7="All",'CA Dashboard'!$C$7=F597),OR('CA Dashboard'!$C$8="All",'CA Dashboard'!$C$8=AJ597))</f>
        <v/>
      </c>
      <c r="AI597" s="148">
        <f>IF(AH597,AI596+1,AI596)</f>
        <v/>
      </c>
      <c r="AJ597" s="148" t="inlineStr">
        <is>
          <t>Material not verified</t>
        </is>
      </c>
      <c r="AK597" s="148" t="inlineStr">
        <is>
          <t>Pillowcase like ours, but the material is not stated (material not stated on the page or in the title); verify before treating as direct.</t>
        </is>
      </c>
    </row>
    <row r="598">
      <c r="A598" s="148">
        <f>AND(E598="US",OR('US Dashboard'!$C$4="All",'US Dashboard'!$C$4=D598),OR('US Dashboard'!$C$5="All",'US Dashboard'!$C$5=G598),OR('US Dashboard'!$C$6="All",'US Dashboard'!$C$6=H598),OR('US Dashboard'!$C$7="All",'US Dashboard'!$C$7=F598),OR('US Dashboard'!$C$8="All",'US Dashboard'!$C$8=AJ598))</f>
        <v/>
      </c>
      <c r="B598" s="148">
        <f>IF(A598,B597+1,B597)</f>
        <v/>
      </c>
      <c r="C598" s="148" t="n">
        <v>70</v>
      </c>
      <c r="D598" s="148" t="inlineStr">
        <is>
          <t>CL Pillowcases</t>
        </is>
      </c>
      <c r="E598" s="148" t="inlineStr">
        <is>
          <t>US</t>
        </is>
      </c>
      <c r="F598" s="148" t="inlineStr">
        <is>
          <t>Cooling</t>
        </is>
      </c>
      <c r="G598" s="148" t="inlineStr">
        <is>
          <t>HOMFINE</t>
        </is>
      </c>
      <c r="H598" s="148" t="inlineStr">
        <is>
          <t>Beatable</t>
        </is>
      </c>
      <c r="I598" s="148" t="inlineStr">
        <is>
          <t>HOMFINE Cooling Pillowcases for Hot Sleepers King Size Set of 2, Grey</t>
        </is>
      </c>
      <c r="J598" s="148" t="inlineStr">
        <is>
          <t>https://images-na.ssl-images-amazon.com/images/I/818UAaS5dSL.jpg</t>
        </is>
      </c>
      <c r="K598" s="148" t="inlineStr">
        <is>
          <t>B0CN6YFBVJ</t>
        </is>
      </c>
      <c r="L598" s="148" t="inlineStr">
        <is>
          <t>B0BLT2MCT6</t>
        </is>
      </c>
      <c r="M598" s="148" t="n">
        <v>22</v>
      </c>
      <c r="N598" s="148" t="n">
        <v>9.99</v>
      </c>
      <c r="O598" s="148" t="n"/>
      <c r="P598" s="148">
        <f>IF(AND(ISNUMBER(O598),ISNUMBER(N598),N(N598)&gt;0),O598/N598-1,"")</f>
        <v/>
      </c>
      <c r="Q598" s="148" t="n">
        <v>20.99</v>
      </c>
      <c r="R598" s="148">
        <f>IF(AND(ISNUMBER(N598),ISNUMBER(Q598),N(Q598)&gt;0),N598/Q598-1,"")</f>
        <v/>
      </c>
      <c r="S598" s="148" t="n">
        <v>31417</v>
      </c>
      <c r="T598" s="148" t="n">
        <v>81</v>
      </c>
      <c r="U598" s="148" t="n">
        <v>4.3</v>
      </c>
      <c r="V598" s="148" t="n">
        <v>1309</v>
      </c>
      <c r="W598" s="148" t="n">
        <v>17008</v>
      </c>
      <c r="X598" s="148" t="n">
        <v>0.9595514640169331</v>
      </c>
      <c r="Y598" s="148" t="n">
        <v>102</v>
      </c>
      <c r="Z598" s="148" t="n">
        <v>82</v>
      </c>
      <c r="AA598" s="148" t="n">
        <v>26</v>
      </c>
      <c r="AB598" s="148" t="n">
        <v>0.8495145631067961</v>
      </c>
      <c r="AC598" s="148" t="inlineStr">
        <is>
          <t>US CL Pillowcases</t>
        </is>
      </c>
      <c r="AD598" s="148">
        <f>'US CL Pillowcases'!BF54</f>
        <v/>
      </c>
      <c r="AE598" s="148">
        <f>'US CL Pillowcases'!BI54</f>
        <v/>
      </c>
      <c r="AF598" s="148" t="inlineStr">
        <is>
          <t>King</t>
        </is>
      </c>
      <c r="AG598" s="148" t="inlineStr">
        <is>
          <t>Grey</t>
        </is>
      </c>
      <c r="AH598" s="148">
        <f>AND(E598="CA",OR('CA Dashboard'!$C$4="All",'CA Dashboard'!$C$4=D598),OR('CA Dashboard'!$C$5="All",'CA Dashboard'!$C$5=G598),OR('CA Dashboard'!$C$6="All",'CA Dashboard'!$C$6=H598),OR('CA Dashboard'!$C$7="All",'CA Dashboard'!$C$7=F598),OR('CA Dashboard'!$C$8="All",'CA Dashboard'!$C$8=AJ598))</f>
        <v/>
      </c>
      <c r="AI598" s="148">
        <f>IF(AH598,AI597+1,AI597)</f>
        <v/>
      </c>
      <c r="AJ598" s="148" t="inlineStr">
        <is>
          <t>Material not verified</t>
        </is>
      </c>
      <c r="AK598" s="148" t="inlineStr">
        <is>
          <t>Pillowcase like ours, but the material is not stated (material not stated on the page or in the title); verify before treating as direct.</t>
        </is>
      </c>
    </row>
    <row r="599">
      <c r="A599" s="148">
        <f>AND(E599="US",OR('US Dashboard'!$C$4="All",'US Dashboard'!$C$4=D599),OR('US Dashboard'!$C$5="All",'US Dashboard'!$C$5=G599),OR('US Dashboard'!$C$6="All",'US Dashboard'!$C$6=H599),OR('US Dashboard'!$C$7="All",'US Dashboard'!$C$7=F599),OR('US Dashboard'!$C$8="All",'US Dashboard'!$C$8=AJ599))</f>
        <v/>
      </c>
      <c r="B599" s="148">
        <f>IF(A599,B598+1,B598)</f>
        <v/>
      </c>
      <c r="C599" s="148" t="n">
        <v>70</v>
      </c>
      <c r="D599" s="148" t="inlineStr">
        <is>
          <t>CL Pillowcases</t>
        </is>
      </c>
      <c r="E599" s="148" t="inlineStr">
        <is>
          <t>US</t>
        </is>
      </c>
      <c r="F599" s="148" t="inlineStr">
        <is>
          <t>Cooling</t>
        </is>
      </c>
      <c r="G599" s="148" t="inlineStr">
        <is>
          <t>Bedsure</t>
        </is>
      </c>
      <c r="H599" s="148" t="inlineStr">
        <is>
          <t>Beatable</t>
        </is>
      </c>
      <c r="I599" s="148" t="inlineStr">
        <is>
          <t>Bedsure Cooling Pillow Cases Queen Size Set of 2 for Hot Sleepers, Grey</t>
        </is>
      </c>
      <c r="J599" s="148" t="inlineStr">
        <is>
          <t>https://images-na.ssl-images-amazon.com/images/I/81lPRf0QezL.jpg</t>
        </is>
      </c>
      <c r="K599" s="148" t="inlineStr">
        <is>
          <t>B0GS2D7MBT</t>
        </is>
      </c>
      <c r="L599" s="148" t="inlineStr">
        <is>
          <t>B0CP3NX181</t>
        </is>
      </c>
      <c r="M599" s="148" t="n">
        <v>7</v>
      </c>
      <c r="N599" s="148" t="n">
        <v>18.99</v>
      </c>
      <c r="O599" s="148" t="n">
        <v>24.99</v>
      </c>
      <c r="P599" s="148">
        <f>IF(AND(ISNUMBER(O599),ISNUMBER(N599),N(N599)&gt;0),O599/N599-1,"")</f>
        <v/>
      </c>
      <c r="Q599" s="148" t="n">
        <v>19.99</v>
      </c>
      <c r="R599" s="148">
        <f>IF(AND(ISNUMBER(N599),ISNUMBER(Q599),N(Q599)&gt;0),N599/Q599-1,"")</f>
        <v/>
      </c>
      <c r="S599" s="148" t="n">
        <v>156798</v>
      </c>
      <c r="T599" s="148" t="n">
        <v>5</v>
      </c>
      <c r="U599" s="148" t="n">
        <v>4.5</v>
      </c>
      <c r="V599" s="148" t="n">
        <v>676</v>
      </c>
      <c r="W599" s="148" t="n">
        <v>38313</v>
      </c>
      <c r="X599" s="148" t="n">
        <v>0.4058418317542347</v>
      </c>
      <c r="Y599" s="148" t="n">
        <v>97</v>
      </c>
      <c r="Z599" s="148" t="n">
        <v>98</v>
      </c>
      <c r="AA599" s="148" t="n">
        <v>780</v>
      </c>
      <c r="AB599" s="148" t="n"/>
      <c r="AC599" s="148" t="inlineStr">
        <is>
          <t>US CL Pillowcases</t>
        </is>
      </c>
      <c r="AD599" s="148">
        <f>'US CL Pillowcases'!BF55</f>
        <v/>
      </c>
      <c r="AE599" s="148">
        <f>'US CL Pillowcases'!BI55</f>
        <v/>
      </c>
      <c r="AF599" s="148" t="inlineStr">
        <is>
          <t>Queen</t>
        </is>
      </c>
      <c r="AG599" s="148" t="inlineStr">
        <is>
          <t>Grey</t>
        </is>
      </c>
      <c r="AH599" s="148">
        <f>AND(E599="CA",OR('CA Dashboard'!$C$4="All",'CA Dashboard'!$C$4=D599),OR('CA Dashboard'!$C$5="All",'CA Dashboard'!$C$5=G599),OR('CA Dashboard'!$C$6="All",'CA Dashboard'!$C$6=H599),OR('CA Dashboard'!$C$7="All",'CA Dashboard'!$C$7=F599),OR('CA Dashboard'!$C$8="All",'CA Dashboard'!$C$8=AJ599))</f>
        <v/>
      </c>
      <c r="AI599" s="148">
        <f>IF(AH599,AI598+1,AI598)</f>
        <v/>
      </c>
      <c r="AJ599" s="148" t="inlineStr">
        <is>
          <t>Material not verified</t>
        </is>
      </c>
      <c r="AK599" s="148" t="inlineStr">
        <is>
          <t>Pillowcase like ours, but the material is not stated (material not stated on the page or in the title); verify before treating as direct.</t>
        </is>
      </c>
    </row>
    <row r="600">
      <c r="A600" s="148">
        <f>AND(E600="US",OR('US Dashboard'!$C$4="All",'US Dashboard'!$C$4=D600),OR('US Dashboard'!$C$5="All",'US Dashboard'!$C$5=G600),OR('US Dashboard'!$C$6="All",'US Dashboard'!$C$6=H600),OR('US Dashboard'!$C$7="All",'US Dashboard'!$C$7=F600),OR('US Dashboard'!$C$8="All",'US Dashboard'!$C$8=AJ600))</f>
        <v/>
      </c>
      <c r="B600" s="148">
        <f>IF(A600,B599+1,B599)</f>
        <v/>
      </c>
      <c r="C600" s="148" t="n">
        <v>70</v>
      </c>
      <c r="D600" s="148" t="inlineStr">
        <is>
          <t>CL Pillowcases</t>
        </is>
      </c>
      <c r="E600" s="148" t="inlineStr">
        <is>
          <t>US</t>
        </is>
      </c>
      <c r="F600" s="148" t="inlineStr">
        <is>
          <t>Cooling</t>
        </is>
      </c>
      <c r="G600" s="148" t="inlineStr">
        <is>
          <t>Coop Home Goods</t>
        </is>
      </c>
      <c r="H600" s="148" t="inlineStr">
        <is>
          <t>Beatable</t>
        </is>
      </c>
      <c r="I600" s="148" t="inlineStr">
        <is>
          <t>Coop Home Goods Cool Side Pillowcase, Queen Size Cooling Pillow Case for Hot Sle</t>
        </is>
      </c>
      <c r="J600" s="148" t="inlineStr">
        <is>
          <t>https://m.media-amazon.com/images/I/51JlZslZgfL._AC_SL1005_.jpg</t>
        </is>
      </c>
      <c r="K600" s="148" t="inlineStr">
        <is>
          <t>B0DGH3JKZ5</t>
        </is>
      </c>
      <c r="L600" s="148" t="inlineStr">
        <is>
          <t>B08B448344</t>
        </is>
      </c>
      <c r="M600" s="148" t="n">
        <v>7</v>
      </c>
      <c r="N600" s="148" t="n">
        <v>25.5</v>
      </c>
      <c r="O600" s="148" t="n"/>
      <c r="P600" s="148">
        <f>IF(AND(ISNUMBER(O600),ISNUMBER(N600),N(N600)&gt;0),O600/N600-1,"")</f>
        <v/>
      </c>
      <c r="Q600" s="148" t="n">
        <v>19.99</v>
      </c>
      <c r="R600" s="148">
        <f>IF(AND(ISNUMBER(N600),ISNUMBER(Q600),N(Q600)&gt;0),N600/Q600-1,"")</f>
        <v/>
      </c>
      <c r="S600" s="148" t="n">
        <v>66369</v>
      </c>
      <c r="T600" s="148" t="n">
        <v>5</v>
      </c>
      <c r="U600" s="148" t="n">
        <v>4.3</v>
      </c>
      <c r="V600" s="148" t="n">
        <v>1158</v>
      </c>
      <c r="W600" s="148" t="n">
        <v>26180</v>
      </c>
      <c r="X600" s="148" t="n">
        <v>0.9925127425515661</v>
      </c>
      <c r="Y600" s="148" t="n">
        <v>24</v>
      </c>
      <c r="Z600" s="148" t="n">
        <v>15</v>
      </c>
      <c r="AA600" s="148" t="n">
        <v>15</v>
      </c>
      <c r="AB600" s="148" t="n">
        <v>0.6264367816091955</v>
      </c>
      <c r="AC600" s="148" t="inlineStr">
        <is>
          <t>US CL Pillowcases</t>
        </is>
      </c>
      <c r="AD600" s="148">
        <f>'US CL Pillowcases'!BF56</f>
        <v/>
      </c>
      <c r="AE600" s="148">
        <f>'US CL Pillowcases'!BI56</f>
        <v/>
      </c>
      <c r="AF600" s="148" t="inlineStr">
        <is>
          <t>Queen</t>
        </is>
      </c>
      <c r="AG600" s="148" t="inlineStr">
        <is>
          <t>Standard</t>
        </is>
      </c>
      <c r="AH600" s="148">
        <f>AND(E600="CA",OR('CA Dashboard'!$C$4="All",'CA Dashboard'!$C$4=D600),OR('CA Dashboard'!$C$5="All",'CA Dashboard'!$C$5=G600),OR('CA Dashboard'!$C$6="All",'CA Dashboard'!$C$6=H600),OR('CA Dashboard'!$C$7="All",'CA Dashboard'!$C$7=F600),OR('CA Dashboard'!$C$8="All",'CA Dashboard'!$C$8=AJ600))</f>
        <v/>
      </c>
      <c r="AI600" s="148">
        <f>IF(AH600,AI599+1,AI599)</f>
        <v/>
      </c>
      <c r="AJ600" s="148" t="inlineStr">
        <is>
          <t>Material not verified</t>
        </is>
      </c>
      <c r="AK600" s="148" t="inlineStr">
        <is>
          <t>Pillowcase like ours, but the material is not stated (material not stated on the page or in the title); verify before treating as direct.</t>
        </is>
      </c>
    </row>
    <row r="601">
      <c r="A601" s="148">
        <f>AND(E601="US",OR('US Dashboard'!$C$4="All",'US Dashboard'!$C$4=D601),OR('US Dashboard'!$C$5="All",'US Dashboard'!$C$5=G601),OR('US Dashboard'!$C$6="All",'US Dashboard'!$C$6=H601),OR('US Dashboard'!$C$7="All",'US Dashboard'!$C$7=F601),OR('US Dashboard'!$C$8="All",'US Dashboard'!$C$8=AJ601))</f>
        <v/>
      </c>
      <c r="B601" s="148">
        <f>IF(A601,B600+1,B600)</f>
        <v/>
      </c>
      <c r="C601" s="148" t="n">
        <v>70</v>
      </c>
      <c r="D601" s="148" t="inlineStr">
        <is>
          <t>CL Pillowcases</t>
        </is>
      </c>
      <c r="E601" s="148" t="inlineStr">
        <is>
          <t>US</t>
        </is>
      </c>
      <c r="F601" s="148" t="inlineStr">
        <is>
          <t>Cooling</t>
        </is>
      </c>
      <c r="G601" s="148" t="inlineStr">
        <is>
          <t>Marchpower</t>
        </is>
      </c>
      <c r="H601" s="148" t="inlineStr">
        <is>
          <t>Beatable</t>
        </is>
      </c>
      <c r="I601" s="148" t="inlineStr">
        <is>
          <t>Marchpower Cooling Pillow Cases for Hot Sleepers, Japanese Arc Chill Cooling Pil</t>
        </is>
      </c>
      <c r="J601" s="148" t="inlineStr">
        <is>
          <t>https://m.media-amazon.com/images/I/81UrnfqGQGL._AC_SL1500_.jpg</t>
        </is>
      </c>
      <c r="K601" s="148" t="inlineStr">
        <is>
          <t>B0CFY7SVV7</t>
        </is>
      </c>
      <c r="L601" s="148" t="inlineStr">
        <is>
          <t>B095GTMX4Y</t>
        </is>
      </c>
      <c r="M601" s="148" t="n">
        <v>9</v>
      </c>
      <c r="N601" s="148" t="n">
        <v>19.99</v>
      </c>
      <c r="O601" s="148" t="n"/>
      <c r="P601" s="148">
        <f>IF(AND(ISNUMBER(O601),ISNUMBER(N601),N(N601)&gt;0),O601/N601-1,"")</f>
        <v/>
      </c>
      <c r="Q601" s="148" t="n"/>
      <c r="R601" s="148">
        <f>IF(AND(ISNUMBER(N601),ISNUMBER(Q601),N(Q601)&gt;0),N601/Q601-1,"")</f>
        <v/>
      </c>
      <c r="S601" s="148" t="n">
        <v>265537</v>
      </c>
      <c r="T601" s="148" t="n">
        <v>5</v>
      </c>
      <c r="U601" s="148" t="n">
        <v>4.3</v>
      </c>
      <c r="V601" s="148" t="n">
        <v>1247</v>
      </c>
      <c r="W601" s="148" t="n">
        <v>5423</v>
      </c>
      <c r="X601" s="148" t="n">
        <v>0.9321121519454174</v>
      </c>
      <c r="Y601" s="148" t="n">
        <v>46</v>
      </c>
      <c r="Z601" s="148" t="n">
        <v>20</v>
      </c>
      <c r="AA601" s="148" t="n">
        <v>41</v>
      </c>
      <c r="AB601" s="148" t="n"/>
      <c r="AC601" s="148" t="inlineStr">
        <is>
          <t>US CL Pillowcases</t>
        </is>
      </c>
      <c r="AD601" s="148">
        <f>'US CL Pillowcases'!BF57</f>
        <v/>
      </c>
      <c r="AE601" s="148">
        <f>'US CL Pillowcases'!BI57</f>
        <v/>
      </c>
      <c r="AF601" s="148" t="inlineStr">
        <is>
          <t>Standard 20"x 26"</t>
        </is>
      </c>
      <c r="AG601" s="148" t="inlineStr">
        <is>
          <t>Green</t>
        </is>
      </c>
      <c r="AH601" s="148">
        <f>AND(E601="CA",OR('CA Dashboard'!$C$4="All",'CA Dashboard'!$C$4=D601),OR('CA Dashboard'!$C$5="All",'CA Dashboard'!$C$5=G601),OR('CA Dashboard'!$C$6="All",'CA Dashboard'!$C$6=H601),OR('CA Dashboard'!$C$7="All",'CA Dashboard'!$C$7=F601),OR('CA Dashboard'!$C$8="All",'CA Dashboard'!$C$8=AJ601))</f>
        <v/>
      </c>
      <c r="AI601" s="148">
        <f>IF(AH601,AI600+1,AI600)</f>
        <v/>
      </c>
      <c r="AJ601" s="148" t="inlineStr">
        <is>
          <t>Alternative material</t>
        </is>
      </c>
      <c r="AK601" s="148" t="inlineStr">
        <is>
          <t>Pillowcase in Cotton (product page material: Cooling Fabric &amp; 100% Cotton); ours is Synthetic cooling knit (same CooLoom cooling fabric as the CooLinens sheets). Shopper may cross-shop, but not like-for-like.</t>
        </is>
      </c>
    </row>
    <row r="602">
      <c r="A602" s="148">
        <f>AND(E602="US",OR('US Dashboard'!$C$4="All",'US Dashboard'!$C$4=D602),OR('US Dashboard'!$C$5="All",'US Dashboard'!$C$5=G602),OR('US Dashboard'!$C$6="All",'US Dashboard'!$C$6=H602),OR('US Dashboard'!$C$7="All",'US Dashboard'!$C$7=F602),OR('US Dashboard'!$C$8="All",'US Dashboard'!$C$8=AJ602))</f>
        <v/>
      </c>
      <c r="B602" s="148">
        <f>IF(A602,B601+1,B601)</f>
        <v/>
      </c>
      <c r="C602" s="148" t="n">
        <v>70</v>
      </c>
      <c r="D602" s="148" t="inlineStr">
        <is>
          <t>CL Pillowcases</t>
        </is>
      </c>
      <c r="E602" s="148" t="inlineStr">
        <is>
          <t>US</t>
        </is>
      </c>
      <c r="F602" s="148" t="inlineStr">
        <is>
          <t>Cooling</t>
        </is>
      </c>
      <c r="G602" s="148" t="inlineStr">
        <is>
          <t>Rifens</t>
        </is>
      </c>
      <c r="H602" s="148" t="inlineStr">
        <is>
          <t>Beatable</t>
        </is>
      </c>
      <c r="I602" s="148" t="inlineStr">
        <is>
          <t>Ice Cooling Pillowcase for Hot Sleepers, Instantly Cool, Stay Cold All Night, Softer Than Silk Pillow Cases, Pillow Covers with Invisible Zipper, Gift for Men &amp; Women - Standard, Light Gray (1 Pack)</t>
        </is>
      </c>
      <c r="J602" s="148" t="inlineStr">
        <is>
          <t>https://images-na.ssl-images-amazon.com/images/I/71JIe-f4CUL.jpg</t>
        </is>
      </c>
      <c r="K602" s="148" t="inlineStr">
        <is>
          <t>B0DJ933TY2</t>
        </is>
      </c>
      <c r="L602" s="148" t="inlineStr">
        <is>
          <t>B0DJ933TY2</t>
        </is>
      </c>
      <c r="M602" s="148" t="n">
        <v>1</v>
      </c>
      <c r="N602" s="148" t="n">
        <v>18.99</v>
      </c>
      <c r="O602" s="148" t="n"/>
      <c r="P602" s="148">
        <f>IF(AND(ISNUMBER(O602),ISNUMBER(N602),N(N602)&gt;0),O602/N602-1,"")</f>
        <v/>
      </c>
      <c r="Q602" s="148" t="n">
        <v>17.99</v>
      </c>
      <c r="R602" s="148">
        <f>IF(AND(ISNUMBER(N602),ISNUMBER(Q602),N(Q602)&gt;0),N602/Q602-1,"")</f>
        <v/>
      </c>
      <c r="S602" s="148" t="n">
        <v>519777</v>
      </c>
      <c r="T602" s="148" t="n">
        <v>5</v>
      </c>
      <c r="U602" s="148" t="n">
        <v>4.6</v>
      </c>
      <c r="V602" s="148" t="n">
        <v>219</v>
      </c>
      <c r="W602" s="148" t="n">
        <v>8663</v>
      </c>
      <c r="X602" s="148" t="n">
        <v>1</v>
      </c>
      <c r="Y602" s="148" t="n">
        <v>28</v>
      </c>
      <c r="Z602" s="148" t="n">
        <v>20</v>
      </c>
      <c r="AA602" s="148" t="n">
        <v>0</v>
      </c>
      <c r="AB602" s="148" t="n"/>
      <c r="AC602" s="148" t="inlineStr">
        <is>
          <t>US CL Pillowcases</t>
        </is>
      </c>
      <c r="AD602" s="148">
        <f>'US CL Pillowcases'!BF58</f>
        <v/>
      </c>
      <c r="AE602" s="148">
        <f>'US CL Pillowcases'!BI58</f>
        <v/>
      </c>
      <c r="AF602" s="148" t="inlineStr">
        <is>
          <t>Standard</t>
        </is>
      </c>
      <c r="AG602" s="148" t="inlineStr">
        <is>
          <t>Gray</t>
        </is>
      </c>
      <c r="AH602" s="148">
        <f>AND(E602="CA",OR('CA Dashboard'!$C$4="All",'CA Dashboard'!$C$4=D602),OR('CA Dashboard'!$C$5="All",'CA Dashboard'!$C$5=G602),OR('CA Dashboard'!$C$6="All",'CA Dashboard'!$C$6=H602),OR('CA Dashboard'!$C$7="All",'CA Dashboard'!$C$7=F602),OR('CA Dashboard'!$C$8="All",'CA Dashboard'!$C$8=AJ602))</f>
        <v/>
      </c>
      <c r="AI602" s="148">
        <f>IF(AH602,AI601+1,AI601)</f>
        <v/>
      </c>
      <c r="AJ602" s="148" t="inlineStr">
        <is>
          <t>Alternative material</t>
        </is>
      </c>
      <c r="AK602" s="148" t="inlineStr">
        <is>
          <t>Pillowcase in Silk (title: Ice Cooling Pillowcase for Hot Sleepers, Instantly Cool, Sta); ours is Synthetic cooling knit (same CooLoom cooling fabric as the CooLinens sheets). Shopper may cross-shop, but not like-for-like.</t>
        </is>
      </c>
    </row>
    <row r="603">
      <c r="A603" s="148">
        <f>AND(E603="US",OR('US Dashboard'!$C$4="All",'US Dashboard'!$C$4=D603),OR('US Dashboard'!$C$5="All",'US Dashboard'!$C$5=G603),OR('US Dashboard'!$C$6="All",'US Dashboard'!$C$6=H603),OR('US Dashboard'!$C$7="All",'US Dashboard'!$C$7=F603),OR('US Dashboard'!$C$8="All",'US Dashboard'!$C$8=AJ603))</f>
        <v/>
      </c>
      <c r="B603" s="148">
        <f>IF(A603,B602+1,B602)</f>
        <v/>
      </c>
      <c r="C603" s="148" t="n">
        <v>43</v>
      </c>
      <c r="D603" s="148" t="inlineStr">
        <is>
          <t>SL Cooling Pillowcase</t>
        </is>
      </c>
      <c r="E603" s="148" t="inlineStr">
        <is>
          <t>US</t>
        </is>
      </c>
      <c r="F603" s="148" t="inlineStr">
        <is>
          <t>Cooling</t>
        </is>
      </c>
      <c r="G603" s="148" t="inlineStr">
        <is>
          <t>Serta</t>
        </is>
      </c>
      <c r="H603" s="148" t="inlineStr">
        <is>
          <t>Aspirational</t>
        </is>
      </c>
      <c r="I603" s="148" t="inlineStr">
        <is>
          <t>Serta Power Chill Cooling Pillow Protectors, Standard/Queen (2 Pack)</t>
        </is>
      </c>
      <c r="J603" s="148" t="inlineStr">
        <is>
          <t>https://images-na.ssl-images-amazon.com/images/I/81Y85wfagkL.jpg</t>
        </is>
      </c>
      <c r="K603" s="148" t="inlineStr">
        <is>
          <t>B0D15BSQCT</t>
        </is>
      </c>
      <c r="L603" s="148" t="inlineStr">
        <is>
          <t>B098TRFLHZ</t>
        </is>
      </c>
      <c r="M603" s="148" t="n">
        <v>4</v>
      </c>
      <c r="N603" s="148" t="n">
        <v>19.02</v>
      </c>
      <c r="O603" s="148" t="n"/>
      <c r="P603" s="148">
        <f>IF(AND(ISNUMBER(O603),ISNUMBER(N603),N(N603)&gt;0),O603/N603-1,"")</f>
        <v/>
      </c>
      <c r="Q603" s="148" t="n">
        <v>20.87814814814815</v>
      </c>
      <c r="R603" s="148">
        <f>IF(AND(ISNUMBER(N603),ISNUMBER(Q603),N(Q603)&gt;0),N603/Q603-1,"")</f>
        <v/>
      </c>
      <c r="S603" s="148" t="n">
        <v>4285</v>
      </c>
      <c r="T603" s="148" t="n">
        <v>1040</v>
      </c>
      <c r="U603" s="148" t="n">
        <v>4.3</v>
      </c>
      <c r="V603" s="148" t="n">
        <v>3545</v>
      </c>
      <c r="W603" s="148" t="n">
        <v>290958</v>
      </c>
      <c r="X603" s="148" t="n">
        <v>0.6924335141154392</v>
      </c>
      <c r="Y603" s="148" t="n">
        <v>2</v>
      </c>
      <c r="Z603" s="148" t="n">
        <v>38</v>
      </c>
      <c r="AA603" s="148" t="n">
        <v>699</v>
      </c>
      <c r="AB603" s="148" t="n">
        <v>2.020360867406059</v>
      </c>
      <c r="AC603" s="148" t="inlineStr">
        <is>
          <t>US SL Cooling Pillowcase</t>
        </is>
      </c>
      <c r="AD603" s="148">
        <f>'US SL Cooling Pillowcase'!BF53</f>
        <v/>
      </c>
      <c r="AE603" s="148">
        <f>'US SL Cooling Pillowcase'!BI53</f>
        <v/>
      </c>
      <c r="AF603" s="148" t="inlineStr">
        <is>
          <t>Standard/Queen</t>
        </is>
      </c>
      <c r="AG603" s="148" t="inlineStr">
        <is>
          <t>White</t>
        </is>
      </c>
      <c r="AH603" s="148">
        <f>AND(E603="CA",OR('CA Dashboard'!$C$4="All",'CA Dashboard'!$C$4=D603),OR('CA Dashboard'!$C$5="All",'CA Dashboard'!$C$5=G603),OR('CA Dashboard'!$C$6="All",'CA Dashboard'!$C$6=H603),OR('CA Dashboard'!$C$7="All",'CA Dashboard'!$C$7=F603),OR('CA Dashboard'!$C$8="All",'CA Dashboard'!$C$8=AJ603))</f>
        <v/>
      </c>
      <c r="AI603" s="148">
        <f>IF(AH603,AI602+1,AI602)</f>
        <v/>
      </c>
      <c r="AJ603" s="148" t="inlineStr">
        <is>
          <t>Direct</t>
        </is>
      </c>
      <c r="AK603" s="148" t="inlineStr">
        <is>
          <t>Same product (pillowcase) in the same material family: Synthetic cooling knit (product page material: Nylon, Spandex); ours: BreezeWeave cooling fabric, nylon-spandex like CooLoom (confirmed Oct 15, 2026).</t>
        </is>
      </c>
    </row>
    <row r="604">
      <c r="A604" s="148">
        <f>AND(E604="US",OR('US Dashboard'!$C$4="All",'US Dashboard'!$C$4=D604),OR('US Dashboard'!$C$5="All",'US Dashboard'!$C$5=G604),OR('US Dashboard'!$C$6="All",'US Dashboard'!$C$6=H604),OR('US Dashboard'!$C$7="All",'US Dashboard'!$C$7=F604),OR('US Dashboard'!$C$8="All",'US Dashboard'!$C$8=AJ604))</f>
        <v/>
      </c>
      <c r="B604" s="148">
        <f>IF(A604,B603+1,B603)</f>
        <v/>
      </c>
      <c r="C604" s="148" t="n">
        <v>43</v>
      </c>
      <c r="D604" s="148" t="inlineStr">
        <is>
          <t>SL Cooling Pillowcase</t>
        </is>
      </c>
      <c r="E604" s="148" t="inlineStr">
        <is>
          <t>US</t>
        </is>
      </c>
      <c r="F604" s="148" t="inlineStr">
        <is>
          <t>Cooling</t>
        </is>
      </c>
      <c r="G604" s="148" t="inlineStr">
        <is>
          <t>Avolare</t>
        </is>
      </c>
      <c r="H604" s="148" t="inlineStr">
        <is>
          <t>Aspirational</t>
        </is>
      </c>
      <c r="I604" s="148" t="inlineStr">
        <is>
          <t>Avolare Cooling Pillow Cases for Hot Sleepers Queen Size 2 Pack, Grey</t>
        </is>
      </c>
      <c r="J604" s="148" t="inlineStr">
        <is>
          <t>https://images-na.ssl-images-amazon.com/images/I/71xbyEBZ5WL.jpg</t>
        </is>
      </c>
      <c r="K604" s="148" t="inlineStr">
        <is>
          <t>B0H3PX4VQC</t>
        </is>
      </c>
      <c r="L604" s="148" t="inlineStr">
        <is>
          <t>B08TBL21VT</t>
        </is>
      </c>
      <c r="M604" s="148" t="n">
        <v>25</v>
      </c>
      <c r="N604" s="148" t="n">
        <v>17.52</v>
      </c>
      <c r="O604" s="148" t="n">
        <v>19.99</v>
      </c>
      <c r="P604" s="148">
        <f>IF(AND(ISNUMBER(O604),ISNUMBER(N604),N(N604)&gt;0),O604/N604-1,"")</f>
        <v/>
      </c>
      <c r="Q604" s="148" t="n">
        <v>21.99</v>
      </c>
      <c r="R604" s="148">
        <f>IF(AND(ISNUMBER(N604),ISNUMBER(Q604),N(Q604)&gt;0),N604/Q604-1,"")</f>
        <v/>
      </c>
      <c r="S604" s="148" t="n">
        <v>18613</v>
      </c>
      <c r="T604" s="148" t="n">
        <v>92</v>
      </c>
      <c r="U604" s="148" t="n">
        <v>4.4</v>
      </c>
      <c r="V604" s="148" t="n">
        <v>3872</v>
      </c>
      <c r="W604" s="148" t="n">
        <v>53763</v>
      </c>
      <c r="X604" s="148" t="n">
        <v>0.6823409073154402</v>
      </c>
      <c r="Y604" s="148" t="n">
        <v>3</v>
      </c>
      <c r="Z604" s="148" t="n">
        <v>38</v>
      </c>
      <c r="AA604" s="148" t="n">
        <v>191</v>
      </c>
      <c r="AB604" s="148" t="n">
        <v>1.099737532808399</v>
      </c>
      <c r="AC604" s="148" t="inlineStr">
        <is>
          <t>US SL Cooling Pillowcase</t>
        </is>
      </c>
      <c r="AD604" s="148">
        <f>'US SL Cooling Pillowcase'!BF54</f>
        <v/>
      </c>
      <c r="AE604" s="148">
        <f>'US SL Cooling Pillowcase'!BI54</f>
        <v/>
      </c>
      <c r="AF604" s="148" t="inlineStr">
        <is>
          <t>Queen (U.S. Standard)</t>
        </is>
      </c>
      <c r="AG604" s="148" t="inlineStr">
        <is>
          <t>Blue</t>
        </is>
      </c>
      <c r="AH604" s="148">
        <f>AND(E604="CA",OR('CA Dashboard'!$C$4="All",'CA Dashboard'!$C$4=D604),OR('CA Dashboard'!$C$5="All",'CA Dashboard'!$C$5=G604),OR('CA Dashboard'!$C$6="All",'CA Dashboard'!$C$6=H604),OR('CA Dashboard'!$C$7="All",'CA Dashboard'!$C$7=F604),OR('CA Dashboard'!$C$8="All",'CA Dashboard'!$C$8=AJ604))</f>
        <v/>
      </c>
      <c r="AI604" s="148">
        <f>IF(AH604,AI603+1,AI603)</f>
        <v/>
      </c>
      <c r="AJ604" s="148" t="inlineStr">
        <is>
          <t>Direct</t>
        </is>
      </c>
      <c r="AK604" s="148" t="inlineStr">
        <is>
          <t>Same product (pillowcase) in the same material family: Synthetic cooling knit (product page material: Nylon, Spandex); ours: BreezeWeave cooling fabric, nylon-spandex like CooLoom (confirmed Oct 15, 2026).</t>
        </is>
      </c>
    </row>
    <row r="605">
      <c r="A605" s="148">
        <f>AND(E605="US",OR('US Dashboard'!$C$4="All",'US Dashboard'!$C$4=D605),OR('US Dashboard'!$C$5="All",'US Dashboard'!$C$5=G605),OR('US Dashboard'!$C$6="All",'US Dashboard'!$C$6=H605),OR('US Dashboard'!$C$7="All",'US Dashboard'!$C$7=F605),OR('US Dashboard'!$C$8="All",'US Dashboard'!$C$8=AJ605))</f>
        <v/>
      </c>
      <c r="B605" s="148">
        <f>IF(A605,B604+1,B604)</f>
        <v/>
      </c>
      <c r="C605" s="148" t="n">
        <v>43</v>
      </c>
      <c r="D605" s="148" t="inlineStr">
        <is>
          <t>SL Cooling Pillowcase</t>
        </is>
      </c>
      <c r="E605" s="148" t="inlineStr">
        <is>
          <t>US</t>
        </is>
      </c>
      <c r="F605" s="148" t="inlineStr">
        <is>
          <t>Cooling</t>
        </is>
      </c>
      <c r="G605" s="148" t="inlineStr">
        <is>
          <t>Elegear</t>
        </is>
      </c>
      <c r="H605" s="148" t="inlineStr">
        <is>
          <t>Aspirational</t>
        </is>
      </c>
      <c r="I605" s="148" t="inlineStr">
        <is>
          <t>Elegear Cooling Pillow Cases for Hot Sleepers, Set of 2, Queen 20'' x 30''</t>
        </is>
      </c>
      <c r="J605" s="148" t="inlineStr">
        <is>
          <t>https://m.media-amazon.com/images/I/71zamuFJA8L._AC_SL1500_.jpg</t>
        </is>
      </c>
      <c r="K605" s="148" t="inlineStr">
        <is>
          <t>B0HFSJ3HLW</t>
        </is>
      </c>
      <c r="L605" s="148" t="inlineStr">
        <is>
          <t>B07TMF54XC</t>
        </is>
      </c>
      <c r="M605" s="148" t="n">
        <v>19</v>
      </c>
      <c r="N605" s="148" t="n">
        <v>16.88</v>
      </c>
      <c r="O605" s="148" t="n"/>
      <c r="P605" s="148">
        <f>IF(AND(ISNUMBER(O605),ISNUMBER(N605),N(N605)&gt;0),O605/N605-1,"")</f>
        <v/>
      </c>
      <c r="Q605" s="148" t="n">
        <v>20.87814814814815</v>
      </c>
      <c r="R605" s="148">
        <f>IF(AND(ISNUMBER(N605),ISNUMBER(Q605),N(Q605)&gt;0),N605/Q605-1,"")</f>
        <v/>
      </c>
      <c r="S605" s="148" t="n">
        <v>29862</v>
      </c>
      <c r="T605" s="148" t="n">
        <v>35</v>
      </c>
      <c r="U605" s="148" t="n">
        <v>4.3</v>
      </c>
      <c r="V605" s="148" t="n">
        <v>8391</v>
      </c>
      <c r="W605" s="148" t="n">
        <v>12595</v>
      </c>
      <c r="X605" s="148" t="n">
        <v>0.8238290353314806</v>
      </c>
      <c r="Y605" s="148" t="n">
        <v>4</v>
      </c>
      <c r="Z605" s="148" t="n">
        <v>34</v>
      </c>
      <c r="AA605" s="148" t="n">
        <v>31</v>
      </c>
      <c r="AB605" s="148" t="n"/>
      <c r="AC605" s="148" t="inlineStr">
        <is>
          <t>US SL Cooling Pillowcase</t>
        </is>
      </c>
      <c r="AD605" s="148">
        <f>'US SL Cooling Pillowcase'!BF55</f>
        <v/>
      </c>
      <c r="AE605" s="148">
        <f>'US SL Cooling Pillowcase'!BI55</f>
        <v/>
      </c>
      <c r="AF605" s="148" t="inlineStr">
        <is>
          <t>Standard (20" x 26")</t>
        </is>
      </c>
      <c r="AG605" s="148" t="inlineStr">
        <is>
          <t>Grey</t>
        </is>
      </c>
      <c r="AH605" s="148">
        <f>AND(E605="CA",OR('CA Dashboard'!$C$4="All",'CA Dashboard'!$C$4=D605),OR('CA Dashboard'!$C$5="All",'CA Dashboard'!$C$5=G605),OR('CA Dashboard'!$C$6="All",'CA Dashboard'!$C$6=H605),OR('CA Dashboard'!$C$7="All",'CA Dashboard'!$C$7=F605),OR('CA Dashboard'!$C$8="All",'CA Dashboard'!$C$8=AJ605))</f>
        <v/>
      </c>
      <c r="AI605" s="148">
        <f>IF(AH605,AI604+1,AI604)</f>
        <v/>
      </c>
      <c r="AJ605" s="148" t="inlineStr">
        <is>
          <t>Direct</t>
        </is>
      </c>
      <c r="AK605" s="148" t="inlineStr">
        <is>
          <t>Same product (pillowcase) in the same material family: Synthetic cooling knit (product page material: Arc-Chill Cool Fabric 3.0); ours: BreezeWeave cooling fabric, nylon-spandex like CooLoom (confirmed Oct 15, 2026).</t>
        </is>
      </c>
    </row>
    <row r="606">
      <c r="A606" s="148">
        <f>AND(E606="US",OR('US Dashboard'!$C$4="All",'US Dashboard'!$C$4=D606),OR('US Dashboard'!$C$5="All",'US Dashboard'!$C$5=G606),OR('US Dashboard'!$C$6="All",'US Dashboard'!$C$6=H606),OR('US Dashboard'!$C$7="All",'US Dashboard'!$C$7=F606),OR('US Dashboard'!$C$8="All",'US Dashboard'!$C$8=AJ606))</f>
        <v/>
      </c>
      <c r="B606" s="148">
        <f>IF(A606,B605+1,B605)</f>
        <v/>
      </c>
      <c r="C606" s="148" t="n">
        <v>43</v>
      </c>
      <c r="D606" s="148" t="inlineStr">
        <is>
          <t>SL Cooling Pillowcase</t>
        </is>
      </c>
      <c r="E606" s="148" t="inlineStr">
        <is>
          <t>US</t>
        </is>
      </c>
      <c r="F606" s="148" t="inlineStr">
        <is>
          <t>Cooling</t>
        </is>
      </c>
      <c r="G606" s="148" t="inlineStr">
        <is>
          <t>Avolare</t>
        </is>
      </c>
      <c r="H606" s="148" t="inlineStr">
        <is>
          <t>Beatable</t>
        </is>
      </c>
      <c r="I606" s="148" t="inlineStr">
        <is>
          <t>Avolare Cooling Pillow Cases Queen Size Set of 2,Arc-Chill 3.0 Cool Pillowcases</t>
        </is>
      </c>
      <c r="J606" s="148" t="inlineStr">
        <is>
          <t>https://m.media-amazon.com/images/I/71xUOkl9QGL._AC_SL1500_.jpg</t>
        </is>
      </c>
      <c r="K606" s="148" t="inlineStr">
        <is>
          <t>B0H3PX4VQC</t>
        </is>
      </c>
      <c r="L606" s="148" t="inlineStr">
        <is>
          <t>B08TBL21VT</t>
        </is>
      </c>
      <c r="M606" s="148" t="n"/>
      <c r="N606" s="148" t="n">
        <v>17.52</v>
      </c>
      <c r="O606" s="148" t="n">
        <v>19.99</v>
      </c>
      <c r="P606" s="148">
        <f>IF(AND(ISNUMBER(O606),ISNUMBER(N606),N(N606)&gt;0),O606/N606-1,"")</f>
        <v/>
      </c>
      <c r="Q606" s="148" t="n">
        <v>21.99</v>
      </c>
      <c r="R606" s="148">
        <f>IF(AND(ISNUMBER(N606),ISNUMBER(Q606),N(Q606)&gt;0),N606/Q606-1,"")</f>
        <v/>
      </c>
      <c r="S606" s="148" t="n">
        <v>14178</v>
      </c>
      <c r="T606" s="148" t="n">
        <v>173</v>
      </c>
      <c r="U606" s="148" t="n">
        <v>4.4</v>
      </c>
      <c r="V606" s="148" t="n">
        <v>3832</v>
      </c>
      <c r="W606" s="148" t="n"/>
      <c r="X606" s="148" t="n"/>
      <c r="Y606" s="148" t="n"/>
      <c r="Z606" s="148" t="n"/>
      <c r="AA606" s="148" t="n"/>
      <c r="AB606" s="148" t="n">
        <v>1.099737532808399</v>
      </c>
      <c r="AC606" s="148" t="inlineStr">
        <is>
          <t>US SL Cooling Pillowcase</t>
        </is>
      </c>
      <c r="AD606" s="148">
        <f>'US SL Cooling Pillowcase'!BF56</f>
        <v/>
      </c>
      <c r="AE606" s="148">
        <f>'US SL Cooling Pillowcase'!BI56</f>
        <v/>
      </c>
      <c r="AF606" s="148" t="inlineStr">
        <is>
          <t>Queen (U.S. Standard)</t>
        </is>
      </c>
      <c r="AG606" s="148" t="inlineStr">
        <is>
          <t>Blue</t>
        </is>
      </c>
      <c r="AH606" s="148">
        <f>AND(E606="CA",OR('CA Dashboard'!$C$4="All",'CA Dashboard'!$C$4=D606),OR('CA Dashboard'!$C$5="All",'CA Dashboard'!$C$5=G606),OR('CA Dashboard'!$C$6="All",'CA Dashboard'!$C$6=H606),OR('CA Dashboard'!$C$7="All",'CA Dashboard'!$C$7=F606),OR('CA Dashboard'!$C$8="All",'CA Dashboard'!$C$8=AJ606))</f>
        <v/>
      </c>
      <c r="AI606" s="148">
        <f>IF(AH606,AI605+1,AI605)</f>
        <v/>
      </c>
      <c r="AJ606" s="148" t="inlineStr">
        <is>
          <t>Direct</t>
        </is>
      </c>
      <c r="AK606" s="148" t="inlineStr">
        <is>
          <t>Same product (pillowcase) in the same material family: Synthetic cooling knit (product page material: Nylon, Spandex); ours: BreezeWeave cooling fabric, nylon-spandex like CooLoom (confirmed Oct 15, 2026).</t>
        </is>
      </c>
    </row>
    <row r="607">
      <c r="A607" s="148">
        <f>AND(E607="US",OR('US Dashboard'!$C$4="All",'US Dashboard'!$C$4=D607),OR('US Dashboard'!$C$5="All",'US Dashboard'!$C$5=G607),OR('US Dashboard'!$C$6="All",'US Dashboard'!$C$6=H607),OR('US Dashboard'!$C$7="All",'US Dashboard'!$C$7=F607),OR('US Dashboard'!$C$8="All",'US Dashboard'!$C$8=AJ607))</f>
        <v/>
      </c>
      <c r="B607" s="148">
        <f>IF(A607,B606+1,B606)</f>
        <v/>
      </c>
      <c r="C607" s="148" t="n">
        <v>43</v>
      </c>
      <c r="D607" s="148" t="inlineStr">
        <is>
          <t>SL Cooling Pillowcase</t>
        </is>
      </c>
      <c r="E607" s="148" t="inlineStr">
        <is>
          <t>US</t>
        </is>
      </c>
      <c r="F607" s="148" t="inlineStr">
        <is>
          <t>Cooling</t>
        </is>
      </c>
      <c r="G607" s="148" t="inlineStr">
        <is>
          <t>CHOSHOME</t>
        </is>
      </c>
      <c r="H607" s="148" t="inlineStr">
        <is>
          <t>Beatable</t>
        </is>
      </c>
      <c r="I607" s="148" t="inlineStr">
        <is>
          <t>CHOSHOME Cooling Pillow Cases Zipper Pillow Covers Q-Max &gt; 0.45 Zippered Pillowcases for Hot Sleepers, Soft, Breathable, Skin-Friendly, 2 Pack (Standard, 20" x 26", Grey)</t>
        </is>
      </c>
      <c r="J607" s="148" t="inlineStr">
        <is>
          <t>https://images-na.ssl-images-amazon.com/images/I/81mbqqKQImL.jpg</t>
        </is>
      </c>
      <c r="K607" s="148" t="inlineStr">
        <is>
          <t>B0B75178W1</t>
        </is>
      </c>
      <c r="L607" s="148" t="inlineStr">
        <is>
          <t>B08X2KBD67</t>
        </is>
      </c>
      <c r="M607" s="148" t="n">
        <v>54</v>
      </c>
      <c r="N607" s="148" t="n">
        <v>14.6</v>
      </c>
      <c r="O607" s="148" t="n"/>
      <c r="P607" s="148">
        <f>IF(AND(ISNUMBER(O607),ISNUMBER(N607),N(N607)&gt;0),O607/N607-1,"")</f>
        <v/>
      </c>
      <c r="Q607" s="148" t="n">
        <v>16.99</v>
      </c>
      <c r="R607" s="148">
        <f>IF(AND(ISNUMBER(N607),ISNUMBER(Q607),N(Q607)&gt;0),N607/Q607-1,"")</f>
        <v/>
      </c>
      <c r="S607" s="148" t="n">
        <v>28988</v>
      </c>
      <c r="T607" s="148" t="n">
        <v>104</v>
      </c>
      <c r="U607" s="148" t="n">
        <v>4.4</v>
      </c>
      <c r="V607" s="148" t="n">
        <v>1768</v>
      </c>
      <c r="W607" s="148" t="n">
        <v>17999</v>
      </c>
      <c r="X607" s="148" t="n">
        <v>0.8252617812100672</v>
      </c>
      <c r="Y607" s="148" t="n">
        <v>2</v>
      </c>
      <c r="Z607" s="148" t="n">
        <v>34</v>
      </c>
      <c r="AA607" s="148" t="n">
        <v>43</v>
      </c>
      <c r="AB607" s="148" t="n">
        <v>1.111111111111111</v>
      </c>
      <c r="AC607" s="148" t="inlineStr">
        <is>
          <t>US SL Cooling Pillowcase</t>
        </is>
      </c>
      <c r="AD607" s="148">
        <f>'US SL Cooling Pillowcase'!BF57</f>
        <v/>
      </c>
      <c r="AE607" s="148">
        <f>'US SL Cooling Pillowcase'!BI57</f>
        <v/>
      </c>
      <c r="AF607" s="148" t="inlineStr">
        <is>
          <t>Standard</t>
        </is>
      </c>
      <c r="AG607" s="148" t="inlineStr">
        <is>
          <t>Grey</t>
        </is>
      </c>
      <c r="AH607" s="148">
        <f>AND(E607="CA",OR('CA Dashboard'!$C$4="All",'CA Dashboard'!$C$4=D607),OR('CA Dashboard'!$C$5="All",'CA Dashboard'!$C$5=G607),OR('CA Dashboard'!$C$6="All",'CA Dashboard'!$C$6=H607),OR('CA Dashboard'!$C$7="All",'CA Dashboard'!$C$7=F607),OR('CA Dashboard'!$C$8="All",'CA Dashboard'!$C$8=AJ607))</f>
        <v/>
      </c>
      <c r="AI607" s="148">
        <f>IF(AH607,AI606+1,AI606)</f>
        <v/>
      </c>
      <c r="AJ607" s="148" t="inlineStr">
        <is>
          <t>Direct</t>
        </is>
      </c>
      <c r="AK607" s="148" t="inlineStr">
        <is>
          <t>Same product (pillowcase) in the same material family: Synthetic cooling knit (title: CHOSHOME Cooling Pillow Cases Zipper Pillow Covers Q-Max &gt; 0); ours: BreezeWeave cooling fabric, nylon-spandex like CooLoom (confirmed Oct 15, 2026).</t>
        </is>
      </c>
    </row>
    <row r="608">
      <c r="A608" s="148">
        <f>AND(E608="US",OR('US Dashboard'!$C$4="All",'US Dashboard'!$C$4=D608),OR('US Dashboard'!$C$5="All",'US Dashboard'!$C$5=G608),OR('US Dashboard'!$C$6="All",'US Dashboard'!$C$6=H608),OR('US Dashboard'!$C$7="All",'US Dashboard'!$C$7=F608),OR('US Dashboard'!$C$8="All",'US Dashboard'!$C$8=AJ608))</f>
        <v/>
      </c>
      <c r="B608" s="148">
        <f>IF(A608,B607+1,B607)</f>
        <v/>
      </c>
      <c r="C608" s="148" t="n">
        <v>43</v>
      </c>
      <c r="D608" s="148" t="inlineStr">
        <is>
          <t>SL Cooling Pillowcase</t>
        </is>
      </c>
      <c r="E608" s="148" t="inlineStr">
        <is>
          <t>US</t>
        </is>
      </c>
      <c r="F608" s="148" t="inlineStr">
        <is>
          <t>Cooling</t>
        </is>
      </c>
      <c r="G608" s="148" t="inlineStr">
        <is>
          <t>Coop Home Goods</t>
        </is>
      </c>
      <c r="H608" s="148" t="inlineStr">
        <is>
          <t>Beatable</t>
        </is>
      </c>
      <c r="I608" s="148" t="inlineStr">
        <is>
          <t>Coop Home Goods Cool+ Cooling Pillow Case Set of 2, Dove Grey Queen Size Pillow</t>
        </is>
      </c>
      <c r="J608" s="148" t="inlineStr">
        <is>
          <t>https://m.media-amazon.com/images/I/51rB9WC++HL._AC_SL1000_.jpg</t>
        </is>
      </c>
      <c r="K608" s="148" t="inlineStr">
        <is>
          <t>B0D4BZDBY7</t>
        </is>
      </c>
      <c r="L608" s="148" t="inlineStr">
        <is>
          <t>B0GKDH5DJ9</t>
        </is>
      </c>
      <c r="M608" s="148" t="n">
        <v>14</v>
      </c>
      <c r="N608" s="148" t="n">
        <v>33.15</v>
      </c>
      <c r="O608" s="148" t="n">
        <v>39</v>
      </c>
      <c r="P608" s="148">
        <f>IF(AND(ISNUMBER(O608),ISNUMBER(N608),N(N608)&gt;0),O608/N608-1,"")</f>
        <v/>
      </c>
      <c r="Q608" s="148" t="n">
        <v>21.99</v>
      </c>
      <c r="R608" s="148">
        <f>IF(AND(ISNUMBER(N608),ISNUMBER(Q608),N(Q608)&gt;0),N608/Q608-1,"")</f>
        <v/>
      </c>
      <c r="S608" s="148" t="n">
        <v>16917</v>
      </c>
      <c r="T608" s="148" t="n">
        <v>104</v>
      </c>
      <c r="U608" s="148" t="n">
        <v>4.5</v>
      </c>
      <c r="V608" s="148" t="n">
        <v>507</v>
      </c>
      <c r="W608" s="148" t="n">
        <v>80590</v>
      </c>
      <c r="X608" s="148" t="n">
        <v>0.4567044707780124</v>
      </c>
      <c r="Y608" s="148" t="n">
        <v>5</v>
      </c>
      <c r="Z608" s="148" t="n">
        <v>32</v>
      </c>
      <c r="AA608" s="148" t="n">
        <v>710</v>
      </c>
      <c r="AB608" s="148" t="n"/>
      <c r="AC608" s="148" t="inlineStr">
        <is>
          <t>US SL Cooling Pillowcase</t>
        </is>
      </c>
      <c r="AD608" s="148">
        <f>'US SL Cooling Pillowcase'!BF58</f>
        <v/>
      </c>
      <c r="AE608" s="148">
        <f>'US SL Cooling Pillowcase'!BI58</f>
        <v/>
      </c>
      <c r="AF608" s="148" t="inlineStr">
        <is>
          <t>Queen</t>
        </is>
      </c>
      <c r="AG608" s="148" t="inlineStr">
        <is>
          <t>White</t>
        </is>
      </c>
      <c r="AH608" s="148">
        <f>AND(E608="CA",OR('CA Dashboard'!$C$4="All",'CA Dashboard'!$C$4=D608),OR('CA Dashboard'!$C$5="All",'CA Dashboard'!$C$5=G608),OR('CA Dashboard'!$C$6="All",'CA Dashboard'!$C$6=H608),OR('CA Dashboard'!$C$7="All",'CA Dashboard'!$C$7=F608),OR('CA Dashboard'!$C$8="All",'CA Dashboard'!$C$8=AJ608))</f>
        <v/>
      </c>
      <c r="AI608" s="148">
        <f>IF(AH608,AI607+1,AI607)</f>
        <v/>
      </c>
      <c r="AJ608" s="148" t="inlineStr">
        <is>
          <t>Direct</t>
        </is>
      </c>
      <c r="AK608" s="148" t="inlineStr">
        <is>
          <t>Same product (pillowcase) in the same material family: Synthetic cooling knit (product page material: Nylon/Spandex); ours: BreezeWeave cooling fabric, nylon-spandex like CooLoom (confirmed Oct 15, 2026).</t>
        </is>
      </c>
    </row>
    <row r="609">
      <c r="A609" s="148">
        <f>AND(E609="US",OR('US Dashboard'!$C$4="All",'US Dashboard'!$C$4=D609),OR('US Dashboard'!$C$5="All",'US Dashboard'!$C$5=G609),OR('US Dashboard'!$C$6="All",'US Dashboard'!$C$6=H609),OR('US Dashboard'!$C$7="All",'US Dashboard'!$C$7=F609),OR('US Dashboard'!$C$8="All",'US Dashboard'!$C$8=AJ609))</f>
        <v/>
      </c>
      <c r="B609" s="148">
        <f>IF(A609,B608+1,B608)</f>
        <v/>
      </c>
      <c r="C609" s="148" t="n">
        <v>43</v>
      </c>
      <c r="D609" s="148" t="inlineStr">
        <is>
          <t>SL Cooling Pillowcase</t>
        </is>
      </c>
      <c r="E609" s="148" t="inlineStr">
        <is>
          <t>US</t>
        </is>
      </c>
      <c r="F609" s="148" t="inlineStr">
        <is>
          <t>Cooling</t>
        </is>
      </c>
      <c r="G609" s="148" t="inlineStr">
        <is>
          <t>Cozy Bliss</t>
        </is>
      </c>
      <c r="H609" s="148" t="inlineStr">
        <is>
          <t>Beatable</t>
        </is>
      </c>
      <c r="I609" s="148" t="inlineStr">
        <is>
          <t>Cozy Bliss 2 Pack Cooling Pillow Cases, Queen 20" x 30", Dark Gray</t>
        </is>
      </c>
      <c r="J609" s="148" t="inlineStr">
        <is>
          <t>https://m.media-amazon.com/images/I/61X3PkxbAmL._AC_SL1500_.jpg</t>
        </is>
      </c>
      <c r="K609" s="148" t="inlineStr">
        <is>
          <t>B0CP7J6RB8</t>
        </is>
      </c>
      <c r="L609" s="148" t="inlineStr">
        <is>
          <t>B0CH8B5HZB</t>
        </is>
      </c>
      <c r="M609" s="148" t="n">
        <v>18</v>
      </c>
      <c r="N609" s="148" t="n">
        <v>18.99</v>
      </c>
      <c r="O609" s="148" t="n"/>
      <c r="P609" s="148">
        <f>IF(AND(ISNUMBER(O609),ISNUMBER(N609),N(N609)&gt;0),O609/N609-1,"")</f>
        <v/>
      </c>
      <c r="Q609" s="148" t="n">
        <v>21.99</v>
      </c>
      <c r="R609" s="148">
        <f>IF(AND(ISNUMBER(N609),ISNUMBER(Q609),N(Q609)&gt;0),N609/Q609-1,"")</f>
        <v/>
      </c>
      <c r="S609" s="148" t="n">
        <v>54776</v>
      </c>
      <c r="T609" s="148" t="n">
        <v>35</v>
      </c>
      <c r="U609" s="148" t="n">
        <v>4.5</v>
      </c>
      <c r="V609" s="148" t="n">
        <v>707</v>
      </c>
      <c r="W609" s="148" t="n">
        <v>19441</v>
      </c>
      <c r="X609" s="148" t="n">
        <v>0.4621178951700017</v>
      </c>
      <c r="Y609" s="148" t="n">
        <v>6</v>
      </c>
      <c r="Z609" s="148" t="n">
        <v>24</v>
      </c>
      <c r="AA609" s="148" t="n">
        <v>301</v>
      </c>
      <c r="AB609" s="148" t="n">
        <v>0.5581395348837209</v>
      </c>
      <c r="AC609" s="148" t="inlineStr">
        <is>
          <t>US SL Cooling Pillowcase</t>
        </is>
      </c>
      <c r="AD609" s="148">
        <f>'US SL Cooling Pillowcase'!BF59</f>
        <v/>
      </c>
      <c r="AE609" s="148">
        <f>'US SL Cooling Pillowcase'!BI59</f>
        <v/>
      </c>
      <c r="AF609" s="148" t="inlineStr">
        <is>
          <t>Queen(20"x30")</t>
        </is>
      </c>
      <c r="AG609" s="148" t="inlineStr">
        <is>
          <t>Blue</t>
        </is>
      </c>
      <c r="AH609" s="148">
        <f>AND(E609="CA",OR('CA Dashboard'!$C$4="All",'CA Dashboard'!$C$4=D609),OR('CA Dashboard'!$C$5="All",'CA Dashboard'!$C$5=G609),OR('CA Dashboard'!$C$6="All",'CA Dashboard'!$C$6=H609),OR('CA Dashboard'!$C$7="All",'CA Dashboard'!$C$7=F609),OR('CA Dashboard'!$C$8="All",'CA Dashboard'!$C$8=AJ609))</f>
        <v/>
      </c>
      <c r="AI609" s="148">
        <f>IF(AH609,AI608+1,AI608)</f>
        <v/>
      </c>
      <c r="AJ609" s="148" t="inlineStr">
        <is>
          <t>Direct</t>
        </is>
      </c>
      <c r="AK609" s="148" t="inlineStr">
        <is>
          <t>Same product (pillowcase) in the same material family: Synthetic cooling knit (product page material: Arc-Chill Cooling Fabric); ours: BreezeWeave cooling fabric, nylon-spandex like CooLoom (confirmed Oct 15, 2026).</t>
        </is>
      </c>
    </row>
    <row r="610">
      <c r="A610" s="148">
        <f>AND(E610="US",OR('US Dashboard'!$C$4="All",'US Dashboard'!$C$4=D610),OR('US Dashboard'!$C$5="All",'US Dashboard'!$C$5=G610),OR('US Dashboard'!$C$6="All",'US Dashboard'!$C$6=H610),OR('US Dashboard'!$C$7="All",'US Dashboard'!$C$7=F610),OR('US Dashboard'!$C$8="All",'US Dashboard'!$C$8=AJ610))</f>
        <v/>
      </c>
      <c r="B610" s="148">
        <f>IF(A610,B609+1,B609)</f>
        <v/>
      </c>
      <c r="C610" s="148" t="n">
        <v>43</v>
      </c>
      <c r="D610" s="148" t="inlineStr">
        <is>
          <t>SL Cooling Pillowcase</t>
        </is>
      </c>
      <c r="E610" s="148" t="inlineStr">
        <is>
          <t>US</t>
        </is>
      </c>
      <c r="F610" s="148" t="inlineStr">
        <is>
          <t>Cooling</t>
        </is>
      </c>
      <c r="G610" s="148" t="inlineStr">
        <is>
          <t>QUTOOL</t>
        </is>
      </c>
      <c r="H610" s="148" t="inlineStr">
        <is>
          <t>Beatable</t>
        </is>
      </c>
      <c r="I610" s="148" t="inlineStr">
        <is>
          <t>Luxury Cooling Pillowcases Queen Size 2 Pack, Q-Max&gt;0.4 Cool Touch for Hot Sleepers&amp;Night Sweats Beauty Sleep Anti-Frizz, Softer Than Silk Pillowcover Oeko-TEX Certified Light Gray</t>
        </is>
      </c>
      <c r="J610" s="148" t="inlineStr">
        <is>
          <t>https://images-na.ssl-images-amazon.com/images/I/61xlOGglCHL.jpg</t>
        </is>
      </c>
      <c r="K610" s="148" t="inlineStr">
        <is>
          <t>B0DL5R7SSB</t>
        </is>
      </c>
      <c r="L610" s="148" t="inlineStr">
        <is>
          <t>B0DLB4PQS8</t>
        </is>
      </c>
      <c r="M610" s="148" t="n">
        <v>22</v>
      </c>
      <c r="N610" s="148" t="n">
        <v>16.99</v>
      </c>
      <c r="O610" s="148" t="n"/>
      <c r="P610" s="148">
        <f>IF(AND(ISNUMBER(O610),ISNUMBER(N610),N(N610)&gt;0),O610/N610-1,"")</f>
        <v/>
      </c>
      <c r="Q610" s="148" t="n">
        <v>21.99</v>
      </c>
      <c r="R610" s="148">
        <f>IF(AND(ISNUMBER(N610),ISNUMBER(Q610),N(Q610)&gt;0),N610/Q610-1,"")</f>
        <v/>
      </c>
      <c r="S610" s="148" t="n">
        <v>39446</v>
      </c>
      <c r="T610" s="148" t="n">
        <v>35</v>
      </c>
      <c r="U610" s="148" t="n">
        <v>4.4</v>
      </c>
      <c r="V610" s="148" t="n">
        <v>769</v>
      </c>
      <c r="W610" s="148" t="n">
        <v>15503</v>
      </c>
      <c r="X610" s="148" t="n">
        <v>0.6025155131264917</v>
      </c>
      <c r="Y610" s="148" t="n">
        <v>3</v>
      </c>
      <c r="Z610" s="148" t="n">
        <v>31</v>
      </c>
      <c r="AA610" s="148" t="n">
        <v>71</v>
      </c>
      <c r="AB610" s="148" t="n"/>
      <c r="AC610" s="148" t="inlineStr">
        <is>
          <t>US SL Cooling Pillowcase</t>
        </is>
      </c>
      <c r="AD610" s="148">
        <f>'US SL Cooling Pillowcase'!BF60</f>
        <v/>
      </c>
      <c r="AE610" s="148">
        <f>'US SL Cooling Pillowcase'!BI60</f>
        <v/>
      </c>
      <c r="AF610" s="148" t="inlineStr">
        <is>
          <t>Queen</t>
        </is>
      </c>
      <c r="AG610" s="148" t="inlineStr">
        <is>
          <t>Gray</t>
        </is>
      </c>
      <c r="AH610" s="148">
        <f>AND(E610="CA",OR('CA Dashboard'!$C$4="All",'CA Dashboard'!$C$4=D610),OR('CA Dashboard'!$C$5="All",'CA Dashboard'!$C$5=G610),OR('CA Dashboard'!$C$6="All",'CA Dashboard'!$C$6=H610),OR('CA Dashboard'!$C$7="All",'CA Dashboard'!$C$7=F610),OR('CA Dashboard'!$C$8="All",'CA Dashboard'!$C$8=AJ610))</f>
        <v/>
      </c>
      <c r="AI610" s="148">
        <f>IF(AH610,AI609+1,AI609)</f>
        <v/>
      </c>
      <c r="AJ610" s="148" t="inlineStr">
        <is>
          <t>Direct</t>
        </is>
      </c>
      <c r="AK610" s="148" t="inlineStr">
        <is>
          <t>Same product (pillowcase) in the same material family: Synthetic cooling knit (title: Luxury Cooling Pillowcases Queen Size 2 Pack, Q-Max&gt;0.4 Cool); ours: BreezeWeave cooling fabric, nylon-spandex like CooLoom (confirmed Oct 15, 2026).</t>
        </is>
      </c>
    </row>
    <row r="611">
      <c r="A611" s="148">
        <f>AND(E611="US",OR('US Dashboard'!$C$4="All",'US Dashboard'!$C$4=D611),OR('US Dashboard'!$C$5="All",'US Dashboard'!$C$5=G611),OR('US Dashboard'!$C$6="All",'US Dashboard'!$C$6=H611),OR('US Dashboard'!$C$7="All",'US Dashboard'!$C$7=F611),OR('US Dashboard'!$C$8="All",'US Dashboard'!$C$8=AJ611))</f>
        <v/>
      </c>
      <c r="B611" s="148">
        <f>IF(A611,B610+1,B610)</f>
        <v/>
      </c>
      <c r="C611" s="148" t="n">
        <v>43</v>
      </c>
      <c r="D611" s="148" t="inlineStr">
        <is>
          <t>SL Cooling Pillowcase</t>
        </is>
      </c>
      <c r="E611" s="148" t="inlineStr">
        <is>
          <t>US</t>
        </is>
      </c>
      <c r="F611" s="148" t="inlineStr">
        <is>
          <t>Cooling</t>
        </is>
      </c>
      <c r="G611" s="148" t="inlineStr">
        <is>
          <t>Breescape</t>
        </is>
      </c>
      <c r="H611" s="148" t="inlineStr">
        <is>
          <t>Beatable</t>
        </is>
      </c>
      <c r="I611" s="148" t="inlineStr">
        <is>
          <t>Breescape Cooling Pillow Cases Queen Size Set of 2, BlendTek™ Cooling Technology</t>
        </is>
      </c>
      <c r="J611" s="148" t="inlineStr">
        <is>
          <t>https://m.media-amazon.com/images/I/71B3AMV8imL._AC_SL1500_.jpg</t>
        </is>
      </c>
      <c r="K611" s="148" t="inlineStr">
        <is>
          <t>B0F53TNFSX</t>
        </is>
      </c>
      <c r="L611" s="148" t="inlineStr">
        <is>
          <t>B0DSQ12L6F</t>
        </is>
      </c>
      <c r="M611" s="148" t="n">
        <v>13</v>
      </c>
      <c r="N611" s="148" t="n">
        <v>54.99</v>
      </c>
      <c r="O611" s="148" t="n"/>
      <c r="P611" s="148">
        <f>IF(AND(ISNUMBER(O611),ISNUMBER(N611),N(N611)&gt;0),O611/N611-1,"")</f>
        <v/>
      </c>
      <c r="Q611" s="148" t="n">
        <v>23.99</v>
      </c>
      <c r="R611" s="148">
        <f>IF(AND(ISNUMBER(N611),ISNUMBER(Q611),N(Q611)&gt;0),N611/Q611-1,"")</f>
        <v/>
      </c>
      <c r="S611" s="148" t="n">
        <v>132996</v>
      </c>
      <c r="T611" s="148" t="n">
        <v>18</v>
      </c>
      <c r="U611" s="148" t="n">
        <v>4.4</v>
      </c>
      <c r="V611" s="148" t="n">
        <v>305</v>
      </c>
      <c r="W611" s="148" t="n">
        <v>25040</v>
      </c>
      <c r="X611" s="148" t="n">
        <v>0.3706715455271565</v>
      </c>
      <c r="Y611" s="148" t="n">
        <v>1</v>
      </c>
      <c r="Z611" s="148" t="n">
        <v>32</v>
      </c>
      <c r="AA611" s="148" t="n">
        <v>467</v>
      </c>
      <c r="AB611" s="148" t="n"/>
      <c r="AC611" s="148" t="inlineStr">
        <is>
          <t>US SL Cooling Pillowcase</t>
        </is>
      </c>
      <c r="AD611" s="148">
        <f>'US SL Cooling Pillowcase'!BF61</f>
        <v/>
      </c>
      <c r="AE611" s="148">
        <f>'US SL Cooling Pillowcase'!BI61</f>
        <v/>
      </c>
      <c r="AF611" s="148" t="inlineStr">
        <is>
          <t>King</t>
        </is>
      </c>
      <c r="AG611" s="148" t="inlineStr">
        <is>
          <t>Misty Gray</t>
        </is>
      </c>
      <c r="AH611" s="148">
        <f>AND(E611="CA",OR('CA Dashboard'!$C$4="All",'CA Dashboard'!$C$4=D611),OR('CA Dashboard'!$C$5="All",'CA Dashboard'!$C$5=G611),OR('CA Dashboard'!$C$6="All",'CA Dashboard'!$C$6=H611),OR('CA Dashboard'!$C$7="All",'CA Dashboard'!$C$7=F611),OR('CA Dashboard'!$C$8="All",'CA Dashboard'!$C$8=AJ611))</f>
        <v/>
      </c>
      <c r="AI611" s="148">
        <f>IF(AH611,AI610+1,AI610)</f>
        <v/>
      </c>
      <c r="AJ611" s="148" t="inlineStr">
        <is>
          <t>Direct</t>
        </is>
      </c>
      <c r="AK611" s="148" t="inlineStr">
        <is>
          <t>Same product (pillowcase) in the same material family: Synthetic cooling knit (product page material: BlendTek™ Fabric); ours: BreezeWeave cooling fabric, nylon-spandex like CooLoom (confirmed Oct 15, 2026).</t>
        </is>
      </c>
    </row>
    <row r="612">
      <c r="A612" s="148">
        <f>AND(E612="US",OR('US Dashboard'!$C$4="All",'US Dashboard'!$C$4=D612),OR('US Dashboard'!$C$5="All",'US Dashboard'!$C$5=G612),OR('US Dashboard'!$C$6="All",'US Dashboard'!$C$6=H612),OR('US Dashboard'!$C$7="All",'US Dashboard'!$C$7=F612),OR('US Dashboard'!$C$8="All",'US Dashboard'!$C$8=AJ612))</f>
        <v/>
      </c>
      <c r="B612" s="148">
        <f>IF(A612,B611+1,B611)</f>
        <v/>
      </c>
      <c r="C612" s="148" t="n">
        <v>43</v>
      </c>
      <c r="D612" s="148" t="inlineStr">
        <is>
          <t>SL Cooling Pillowcase</t>
        </is>
      </c>
      <c r="E612" s="148" t="inlineStr">
        <is>
          <t>US</t>
        </is>
      </c>
      <c r="F612" s="148" t="inlineStr">
        <is>
          <t>Cooling</t>
        </is>
      </c>
      <c r="G612" s="148" t="inlineStr">
        <is>
          <t>Fittia</t>
        </is>
      </c>
      <c r="H612" s="148" t="inlineStr">
        <is>
          <t>Beatable</t>
        </is>
      </c>
      <c r="I612" s="148" t="inlineStr">
        <is>
          <t>FITTIA Cooling Pillow Cases with Zipper, 2 Pack, Standard Size 20"x26"</t>
        </is>
      </c>
      <c r="J612" s="148" t="inlineStr">
        <is>
          <t>https://images-na.ssl-images-amazon.com/images/I/71dsthjuVUL.jpg</t>
        </is>
      </c>
      <c r="K612" s="148" t="inlineStr">
        <is>
          <t>B099JMGRBY</t>
        </is>
      </c>
      <c r="L612" s="148" t="inlineStr">
        <is>
          <t>B099J7KMK5</t>
        </is>
      </c>
      <c r="M612" s="148" t="n">
        <v>16</v>
      </c>
      <c r="N612" s="148" t="n">
        <v>19.99</v>
      </c>
      <c r="O612" s="148" t="n"/>
      <c r="P612" s="148">
        <f>IF(AND(ISNUMBER(O612),ISNUMBER(N612),N(N612)&gt;0),O612/N612-1,"")</f>
        <v/>
      </c>
      <c r="Q612" s="148" t="n">
        <v>20.87814814814815</v>
      </c>
      <c r="R612" s="148">
        <f>IF(AND(ISNUMBER(N612),ISNUMBER(Q612),N(Q612)&gt;0),N612/Q612-1,"")</f>
        <v/>
      </c>
      <c r="S612" s="148" t="n">
        <v>156607</v>
      </c>
      <c r="T612" s="148" t="n">
        <v>18</v>
      </c>
      <c r="U612" s="148" t="n">
        <v>4.3</v>
      </c>
      <c r="V612" s="148" t="n">
        <v>1335</v>
      </c>
      <c r="W612" s="148" t="n">
        <v>16144</v>
      </c>
      <c r="X612" s="148" t="n">
        <v>0.8876912784935578</v>
      </c>
      <c r="Y612" s="148" t="n">
        <v>5</v>
      </c>
      <c r="Z612" s="148" t="n">
        <v>25</v>
      </c>
      <c r="AA612" s="148" t="n">
        <v>24</v>
      </c>
      <c r="AB612" s="148" t="n">
        <v>1.175373134328358</v>
      </c>
      <c r="AC612" s="148" t="inlineStr">
        <is>
          <t>US SL Cooling Pillowcase</t>
        </is>
      </c>
      <c r="AD612" s="148">
        <f>'US SL Cooling Pillowcase'!BF62</f>
        <v/>
      </c>
      <c r="AE612" s="148">
        <f>'US SL Cooling Pillowcase'!BI62</f>
        <v/>
      </c>
      <c r="AF612" s="148" t="inlineStr">
        <is>
          <t>Standard 20"x 26"</t>
        </is>
      </c>
      <c r="AG612" s="148" t="inlineStr">
        <is>
          <t>Grey</t>
        </is>
      </c>
      <c r="AH612" s="148">
        <f>AND(E612="CA",OR('CA Dashboard'!$C$4="All",'CA Dashboard'!$C$4=D612),OR('CA Dashboard'!$C$5="All",'CA Dashboard'!$C$5=G612),OR('CA Dashboard'!$C$6="All",'CA Dashboard'!$C$6=H612),OR('CA Dashboard'!$C$7="All",'CA Dashboard'!$C$7=F612),OR('CA Dashboard'!$C$8="All",'CA Dashboard'!$C$8=AJ612))</f>
        <v/>
      </c>
      <c r="AI612" s="148">
        <f>IF(AH612,AI611+1,AI611)</f>
        <v/>
      </c>
      <c r="AJ612" s="148" t="inlineStr">
        <is>
          <t>Direct</t>
        </is>
      </c>
      <c r="AK612" s="148" t="inlineStr">
        <is>
          <t>Same product (pillowcase) in the same material family: Synthetic cooling knit (product page material: Both Sides Made of Q-max&gt;0.4 Cooling Fiber(50% Mica Cooling ); ours: BreezeWeave cooling fabric, nylon-spandex like CooLoom (confirmed Oct 15, 2026).</t>
        </is>
      </c>
    </row>
    <row r="613">
      <c r="A613" s="148">
        <f>AND(E613="US",OR('US Dashboard'!$C$4="All",'US Dashboard'!$C$4=D613),OR('US Dashboard'!$C$5="All",'US Dashboard'!$C$5=G613),OR('US Dashboard'!$C$6="All",'US Dashboard'!$C$6=H613),OR('US Dashboard'!$C$7="All",'US Dashboard'!$C$7=F613),OR('US Dashboard'!$C$8="All",'US Dashboard'!$C$8=AJ613))</f>
        <v/>
      </c>
      <c r="B613" s="148">
        <f>IF(A613,B612+1,B612)</f>
        <v/>
      </c>
      <c r="C613" s="148" t="n">
        <v>43</v>
      </c>
      <c r="D613" s="148" t="inlineStr">
        <is>
          <t>SL Cooling Pillowcase</t>
        </is>
      </c>
      <c r="E613" s="148" t="inlineStr">
        <is>
          <t>US</t>
        </is>
      </c>
      <c r="F613" s="148" t="inlineStr">
        <is>
          <t>Cooling</t>
        </is>
      </c>
      <c r="G613" s="148" t="inlineStr">
        <is>
          <t>Niagara Sleep Solution</t>
        </is>
      </c>
      <c r="H613" s="148" t="inlineStr">
        <is>
          <t>Beatable</t>
        </is>
      </c>
      <c r="I613" s="148" t="inlineStr">
        <is>
          <t>Niagara Set of 2 Cooling Pillow Cases Standard Size, CoolSpan™ Technology Q-Max 0.4 Cooling Pillowcases for Hot Sleepers, Hidden Zipper Pillow Covers, Soft, Anti-Static (20x26'') - Light Grey</t>
        </is>
      </c>
      <c r="J613" s="148" t="inlineStr">
        <is>
          <t>https://images-na.ssl-images-amazon.com/images/I/81fWRYUTfVL.jpg</t>
        </is>
      </c>
      <c r="K613" s="148" t="inlineStr">
        <is>
          <t>B0CZB5B67X</t>
        </is>
      </c>
      <c r="L613" s="148" t="inlineStr">
        <is>
          <t>B0CZB5B67X</t>
        </is>
      </c>
      <c r="M613" s="148" t="n">
        <v>1</v>
      </c>
      <c r="N613" s="148" t="n">
        <v>14.6</v>
      </c>
      <c r="O613" s="148" t="n"/>
      <c r="P613" s="148">
        <f>IF(AND(ISNUMBER(O613),ISNUMBER(N613),N(N613)&gt;0),O613/N613-1,"")</f>
        <v/>
      </c>
      <c r="Q613" s="148" t="n">
        <v>16.99</v>
      </c>
      <c r="R613" s="148">
        <f>IF(AND(ISNUMBER(N613),ISNUMBER(Q613),N(Q613)&gt;0),N613/Q613-1,"")</f>
        <v/>
      </c>
      <c r="S613" s="148" t="n">
        <v>1393717</v>
      </c>
      <c r="T613" s="148" t="n">
        <v>5</v>
      </c>
      <c r="U613" s="148" t="n">
        <v>4.4</v>
      </c>
      <c r="V613" s="148" t="n">
        <v>109</v>
      </c>
      <c r="W613" s="148" t="n"/>
      <c r="X613" s="148" t="n"/>
      <c r="Y613" s="148" t="n"/>
      <c r="Z613" s="148" t="n"/>
      <c r="AA613" s="148" t="n"/>
      <c r="AB613" s="148" t="n"/>
      <c r="AC613" s="148" t="inlineStr">
        <is>
          <t>US SL Cooling Pillowcase</t>
        </is>
      </c>
      <c r="AD613" s="148">
        <f>'US SL Cooling Pillowcase'!BF63</f>
        <v/>
      </c>
      <c r="AE613" s="148">
        <f>'US SL Cooling Pillowcase'!BI63</f>
        <v/>
      </c>
      <c r="AF613" s="148" t="inlineStr">
        <is>
          <t>Standard</t>
        </is>
      </c>
      <c r="AG613" s="148" t="inlineStr">
        <is>
          <t>Grey</t>
        </is>
      </c>
      <c r="AH613" s="148">
        <f>AND(E613="CA",OR('CA Dashboard'!$C$4="All",'CA Dashboard'!$C$4=D613),OR('CA Dashboard'!$C$5="All",'CA Dashboard'!$C$5=G613),OR('CA Dashboard'!$C$6="All",'CA Dashboard'!$C$6=H613),OR('CA Dashboard'!$C$7="All",'CA Dashboard'!$C$7=F613),OR('CA Dashboard'!$C$8="All",'CA Dashboard'!$C$8=AJ613))</f>
        <v/>
      </c>
      <c r="AI613" s="148">
        <f>IF(AH613,AI612+1,AI612)</f>
        <v/>
      </c>
      <c r="AJ613" s="148" t="inlineStr">
        <is>
          <t>Direct</t>
        </is>
      </c>
      <c r="AK613" s="148" t="inlineStr">
        <is>
          <t>Same product (pillowcase) in the same material family: Synthetic cooling knit (title: Niagara Set of 2 Cooling Pillow Cases Standard Size, CoolSpa); ours: BreezeWeave cooling fabric, nylon-spandex like CooLoom (confirmed Oct 15, 2026).</t>
        </is>
      </c>
    </row>
    <row r="614">
      <c r="A614" s="148">
        <f>AND(E614="US",OR('US Dashboard'!$C$4="All",'US Dashboard'!$C$4=D614),OR('US Dashboard'!$C$5="All",'US Dashboard'!$C$5=G614),OR('US Dashboard'!$C$6="All",'US Dashboard'!$C$6=H614),OR('US Dashboard'!$C$7="All",'US Dashboard'!$C$7=F614),OR('US Dashboard'!$C$8="All",'US Dashboard'!$C$8=AJ614))</f>
        <v/>
      </c>
      <c r="B614" s="148">
        <f>IF(A614,B613+1,B613)</f>
        <v/>
      </c>
      <c r="C614" s="148" t="n">
        <v>43</v>
      </c>
      <c r="D614" s="148" t="inlineStr">
        <is>
          <t>SL Cooling Pillowcase</t>
        </is>
      </c>
      <c r="E614" s="148" t="inlineStr">
        <is>
          <t>US</t>
        </is>
      </c>
      <c r="F614" s="148" t="inlineStr">
        <is>
          <t>Cooling</t>
        </is>
      </c>
      <c r="G614" s="148" t="inlineStr">
        <is>
          <t>Topcee</t>
        </is>
      </c>
      <c r="H614" s="148" t="inlineStr">
        <is>
          <t>Beatable</t>
        </is>
      </c>
      <c r="I614" s="148" t="inlineStr">
        <is>
          <t>Topcee Cooling Pillowcases, 2 Packs Queen Size Arc-Chill Q-Max&gt;0.5 Ultra Soft Co</t>
        </is>
      </c>
      <c r="J614" s="148" t="inlineStr">
        <is>
          <t>https://m.media-amazon.com/images/I/71h5hh9havL._AC_SL1500_.jpg</t>
        </is>
      </c>
      <c r="K614" s="148" t="inlineStr">
        <is>
          <t>B0BR9J5DGW</t>
        </is>
      </c>
      <c r="L614" s="148" t="inlineStr">
        <is>
          <t>B0BR9J5DGW</t>
        </is>
      </c>
      <c r="M614" s="148" t="n"/>
      <c r="N614" s="148" t="n">
        <v>18.95</v>
      </c>
      <c r="O614" s="148" t="n"/>
      <c r="P614" s="148">
        <f>IF(AND(ISNUMBER(O614),ISNUMBER(N614),N(N614)&gt;0),O614/N614-1,"")</f>
        <v/>
      </c>
      <c r="Q614" s="148" t="n">
        <v>21.99</v>
      </c>
      <c r="R614" s="148">
        <f>IF(AND(ISNUMBER(N614),ISNUMBER(Q614),N(Q614)&gt;0),N614/Q614-1,"")</f>
        <v/>
      </c>
      <c r="S614" s="148" t="n">
        <v>1292801</v>
      </c>
      <c r="T614" s="148" t="n">
        <v>5</v>
      </c>
      <c r="U614" s="148" t="n">
        <v>4.2</v>
      </c>
      <c r="V614" s="148" t="n">
        <v>227</v>
      </c>
      <c r="W614" s="148" t="n"/>
      <c r="X614" s="148" t="n"/>
      <c r="Y614" s="148" t="n"/>
      <c r="Z614" s="148" t="n"/>
      <c r="AA614" s="148" t="n"/>
      <c r="AB614" s="148" t="n"/>
      <c r="AC614" s="148" t="inlineStr">
        <is>
          <t>US SL Cooling Pillowcase</t>
        </is>
      </c>
      <c r="AD614" s="148">
        <f>'US SL Cooling Pillowcase'!BF64</f>
        <v/>
      </c>
      <c r="AE614" s="148">
        <f>'US SL Cooling Pillowcase'!BI64</f>
        <v/>
      </c>
      <c r="AF614" s="148" t="inlineStr">
        <is>
          <t>Queen(20"x30")</t>
        </is>
      </c>
      <c r="AG614" s="148" t="inlineStr">
        <is>
          <t>Gray</t>
        </is>
      </c>
      <c r="AH614" s="148">
        <f>AND(E614="CA",OR('CA Dashboard'!$C$4="All",'CA Dashboard'!$C$4=D614),OR('CA Dashboard'!$C$5="All",'CA Dashboard'!$C$5=G614),OR('CA Dashboard'!$C$6="All",'CA Dashboard'!$C$6=H614),OR('CA Dashboard'!$C$7="All",'CA Dashboard'!$C$7=F614),OR('CA Dashboard'!$C$8="All",'CA Dashboard'!$C$8=AJ614))</f>
        <v/>
      </c>
      <c r="AI614" s="148">
        <f>IF(AH614,AI613+1,AI613)</f>
        <v/>
      </c>
      <c r="AJ614" s="148" t="inlineStr">
        <is>
          <t>Direct</t>
        </is>
      </c>
      <c r="AK614" s="148" t="inlineStr">
        <is>
          <t>Same product (pillowcase) in the same material family: Synthetic cooling knit (product page material: One Side is Q-Max &gt;0.4 Arc-Chill Cooling Fibers, One Side is); ours: BreezeWeave cooling fabric, nylon-spandex like CooLoom (confirmed Oct 15, 2026).</t>
        </is>
      </c>
    </row>
    <row r="615">
      <c r="A615" s="148">
        <f>AND(E615="US",OR('US Dashboard'!$C$4="All",'US Dashboard'!$C$4=D615),OR('US Dashboard'!$C$5="All",'US Dashboard'!$C$5=G615),OR('US Dashboard'!$C$6="All",'US Dashboard'!$C$6=H615),OR('US Dashboard'!$C$7="All",'US Dashboard'!$C$7=F615),OR('US Dashboard'!$C$8="All",'US Dashboard'!$C$8=AJ615))</f>
        <v/>
      </c>
      <c r="B615" s="148">
        <f>IF(A615,B614+1,B614)</f>
        <v/>
      </c>
      <c r="C615" s="148" t="n">
        <v>43</v>
      </c>
      <c r="D615" s="148" t="inlineStr">
        <is>
          <t>SL Cooling Pillowcase</t>
        </is>
      </c>
      <c r="E615" s="148" t="inlineStr">
        <is>
          <t>US</t>
        </is>
      </c>
      <c r="F615" s="148" t="inlineStr">
        <is>
          <t>Cooling</t>
        </is>
      </c>
      <c r="G615" s="148" t="inlineStr">
        <is>
          <t>LUXEAR</t>
        </is>
      </c>
      <c r="H615" s="148" t="inlineStr">
        <is>
          <t>Untiered</t>
        </is>
      </c>
      <c r="I615" s="148" t="inlineStr">
        <is>
          <t>LUXEAR 2 Pack Cooling Pillow Cases for Hot Sleepers, Arc-Chill Q-Max &gt; 0.5 Cool</t>
        </is>
      </c>
      <c r="J615" s="148" t="inlineStr">
        <is>
          <t>https://m.media-amazon.com/images/I/71Q9BFvL64L._AC_SL1500_.jpg</t>
        </is>
      </c>
      <c r="K615" s="148" t="inlineStr">
        <is>
          <t>B0H8YXSQ1P</t>
        </is>
      </c>
      <c r="L615" s="148" t="inlineStr">
        <is>
          <t>B07V6SKZ7V</t>
        </is>
      </c>
      <c r="M615" s="148" t="n"/>
      <c r="N615" s="148" t="n">
        <v>15.95</v>
      </c>
      <c r="O615" s="148" t="n"/>
      <c r="P615" s="148">
        <f>IF(AND(ISNUMBER(O615),ISNUMBER(N615),N(N615)&gt;0),O615/N615-1,"")</f>
        <v/>
      </c>
      <c r="Q615" s="148" t="n">
        <v>20.87814814814815</v>
      </c>
      <c r="R615" s="148">
        <f>IF(AND(ISNUMBER(N615),ISNUMBER(Q615),N(Q615)&gt;0),N615/Q615-1,"")</f>
        <v/>
      </c>
      <c r="S615" s="148" t="n">
        <v>50724</v>
      </c>
      <c r="T615" s="148" t="n">
        <v>35</v>
      </c>
      <c r="U615" s="148" t="n">
        <v>4.2</v>
      </c>
      <c r="V615" s="148" t="n">
        <v>6718</v>
      </c>
      <c r="W615" s="148" t="n"/>
      <c r="X615" s="148" t="n"/>
      <c r="Y615" s="148" t="n"/>
      <c r="Z615" s="148" t="n"/>
      <c r="AA615" s="148" t="n"/>
      <c r="AB615" s="148" t="n"/>
      <c r="AC615" s="148" t="inlineStr">
        <is>
          <t>US SL Cooling Pillowcase</t>
        </is>
      </c>
      <c r="AD615" s="148">
        <f>'US SL Cooling Pillowcase'!BF65</f>
        <v/>
      </c>
      <c r="AE615" s="148">
        <f>'US SL Cooling Pillowcase'!BI65</f>
        <v/>
      </c>
      <c r="AF615" s="148" t="inlineStr">
        <is>
          <t>Standard (20" X 26")</t>
        </is>
      </c>
      <c r="AG615" s="148" t="inlineStr">
        <is>
          <t>Gray</t>
        </is>
      </c>
      <c r="AH615" s="148">
        <f>AND(E615="CA",OR('CA Dashboard'!$C$4="All",'CA Dashboard'!$C$4=D615),OR('CA Dashboard'!$C$5="All",'CA Dashboard'!$C$5=G615),OR('CA Dashboard'!$C$6="All",'CA Dashboard'!$C$6=H615),OR('CA Dashboard'!$C$7="All",'CA Dashboard'!$C$7=F615),OR('CA Dashboard'!$C$8="All",'CA Dashboard'!$C$8=AJ615))</f>
        <v/>
      </c>
      <c r="AI615" s="148">
        <f>IF(AH615,AI614+1,AI614)</f>
        <v/>
      </c>
      <c r="AJ615" s="148" t="inlineStr">
        <is>
          <t>Direct</t>
        </is>
      </c>
      <c r="AK615" s="148" t="inlineStr">
        <is>
          <t>Same product (pillowcase) in the same material family: Synthetic cooling knit (product page material: One Side is Q-Max &gt;0.5 Arc-Chill Cooling Fibers, One Side is); ours: BreezeWeave cooling fabric, nylon-spandex like CooLoom (confirmed Oct 15, 2026).</t>
        </is>
      </c>
    </row>
    <row r="616">
      <c r="A616" s="148">
        <f>AND(E616="US",OR('US Dashboard'!$C$4="All",'US Dashboard'!$C$4=D616),OR('US Dashboard'!$C$5="All",'US Dashboard'!$C$5=G616),OR('US Dashboard'!$C$6="All",'US Dashboard'!$C$6=H616),OR('US Dashboard'!$C$7="All",'US Dashboard'!$C$7=F616),OR('US Dashboard'!$C$8="All",'US Dashboard'!$C$8=AJ616))</f>
        <v/>
      </c>
      <c r="B616" s="148">
        <f>IF(A616,B615+1,B615)</f>
        <v/>
      </c>
      <c r="C616" s="148" t="n">
        <v>43</v>
      </c>
      <c r="D616" s="148" t="inlineStr">
        <is>
          <t>SL Cooling Pillowcase</t>
        </is>
      </c>
      <c r="E616" s="148" t="inlineStr">
        <is>
          <t>US</t>
        </is>
      </c>
      <c r="F616" s="148" t="inlineStr">
        <is>
          <t>Cooling</t>
        </is>
      </c>
      <c r="G616" s="148" t="inlineStr">
        <is>
          <t>REST</t>
        </is>
      </c>
      <c r="H616" s="148" t="inlineStr">
        <is>
          <t>Beatable</t>
        </is>
      </c>
      <c r="I616" s="148" t="inlineStr">
        <is>
          <t>REST® Evercool®+ Cooling Pillowcases for Hot Sleepers, Standard, 2PCS</t>
        </is>
      </c>
      <c r="J616" s="148" t="inlineStr">
        <is>
          <t>https://images-na.ssl-images-amazon.com/images/I/71eYQFtuPxL.jpg</t>
        </is>
      </c>
      <c r="K616" s="148" t="inlineStr">
        <is>
          <t>B0C13Y18JW</t>
        </is>
      </c>
      <c r="L616" s="148" t="inlineStr">
        <is>
          <t>B0C141VGM6</t>
        </is>
      </c>
      <c r="M616" s="148" t="n">
        <v>12</v>
      </c>
      <c r="N616" s="148" t="n">
        <v>59.25</v>
      </c>
      <c r="O616" s="148" t="n">
        <v>79</v>
      </c>
      <c r="P616" s="148">
        <f>IF(AND(ISNUMBER(O616),ISNUMBER(N616),N(N616)&gt;0),O616/N616-1,"")</f>
        <v/>
      </c>
      <c r="Q616" s="148" t="n">
        <v>20.87814814814815</v>
      </c>
      <c r="R616" s="148">
        <f>IF(AND(ISNUMBER(N616),ISNUMBER(Q616),N(Q616)&gt;0),N616/Q616-1,"")</f>
        <v/>
      </c>
      <c r="S616" s="148" t="n">
        <v>4369</v>
      </c>
      <c r="T616" s="148" t="n">
        <v>208</v>
      </c>
      <c r="U616" s="148" t="n">
        <v>4.4</v>
      </c>
      <c r="V616" s="148" t="n">
        <v>1226</v>
      </c>
      <c r="W616" s="148" t="n">
        <v>345367</v>
      </c>
      <c r="X616" s="148" t="n">
        <v>0.2641106081356929</v>
      </c>
      <c r="Y616" s="148" t="n">
        <v>2</v>
      </c>
      <c r="Z616" s="148" t="n">
        <v>40</v>
      </c>
      <c r="AA616" s="148" t="n">
        <v>1942</v>
      </c>
      <c r="AB616" s="148" t="n">
        <v>2.252856054836253</v>
      </c>
      <c r="AC616" s="148" t="inlineStr">
        <is>
          <t>US SL Cooling Pillowcase</t>
        </is>
      </c>
      <c r="AD616" s="148">
        <f>'US SL Cooling Pillowcase'!BF66</f>
        <v/>
      </c>
      <c r="AE616" s="148">
        <f>'US SL Cooling Pillowcase'!BI66</f>
        <v/>
      </c>
      <c r="AF616" s="148" t="inlineStr">
        <is>
          <t>Standard (2 pcs)</t>
        </is>
      </c>
      <c r="AG616" s="148" t="inlineStr">
        <is>
          <t>Light Gray</t>
        </is>
      </c>
      <c r="AH616" s="148">
        <f>AND(E616="CA",OR('CA Dashboard'!$C$4="All",'CA Dashboard'!$C$4=D616),OR('CA Dashboard'!$C$5="All",'CA Dashboard'!$C$5=G616),OR('CA Dashboard'!$C$6="All",'CA Dashboard'!$C$6=H616),OR('CA Dashboard'!$C$7="All",'CA Dashboard'!$C$7=F616),OR('CA Dashboard'!$C$8="All",'CA Dashboard'!$C$8=AJ616))</f>
        <v/>
      </c>
      <c r="AI616" s="148">
        <f>IF(AH616,AI615+1,AI615)</f>
        <v/>
      </c>
      <c r="AJ616" s="148" t="inlineStr">
        <is>
          <t>Material not verified</t>
        </is>
      </c>
      <c r="AK616" s="148" t="inlineStr">
        <is>
          <t>Pillowcase like ours, but the material is not stated (material not stated on the page or in the title); verify before treating as direct.</t>
        </is>
      </c>
    </row>
    <row r="617">
      <c r="A617" s="148">
        <f>AND(E617="US",OR('US Dashboard'!$C$4="All",'US Dashboard'!$C$4=D617),OR('US Dashboard'!$C$5="All",'US Dashboard'!$C$5=G617),OR('US Dashboard'!$C$6="All",'US Dashboard'!$C$6=H617),OR('US Dashboard'!$C$7="All",'US Dashboard'!$C$7=F617),OR('US Dashboard'!$C$8="All",'US Dashboard'!$C$8=AJ617))</f>
        <v/>
      </c>
      <c r="B617" s="148">
        <f>IF(A617,B616+1,B616)</f>
        <v/>
      </c>
      <c r="C617" s="148" t="n">
        <v>43</v>
      </c>
      <c r="D617" s="148" t="inlineStr">
        <is>
          <t>SL Cooling Pillowcase</t>
        </is>
      </c>
      <c r="E617" s="148" t="inlineStr">
        <is>
          <t>US</t>
        </is>
      </c>
      <c r="F617" s="148" t="inlineStr">
        <is>
          <t>Cooling</t>
        </is>
      </c>
      <c r="G617" s="148" t="inlineStr">
        <is>
          <t>HOMFINE</t>
        </is>
      </c>
      <c r="H617" s="148" t="inlineStr">
        <is>
          <t>Beatable</t>
        </is>
      </c>
      <c r="I617" s="148" t="inlineStr">
        <is>
          <t>HOMFINE Cooling Pillowcases for Hot Sleepers King Size Set of 2, Grey</t>
        </is>
      </c>
      <c r="J617" s="148" t="inlineStr">
        <is>
          <t>https://images-na.ssl-images-amazon.com/images/I/818UAaS5dSL.jpg</t>
        </is>
      </c>
      <c r="K617" s="148" t="inlineStr">
        <is>
          <t>B0CN6YFBVJ</t>
        </is>
      </c>
      <c r="L617" s="148" t="inlineStr">
        <is>
          <t>B0BLT2MCT6</t>
        </is>
      </c>
      <c r="M617" s="148" t="n">
        <v>22</v>
      </c>
      <c r="N617" s="148" t="n">
        <v>9.99</v>
      </c>
      <c r="O617" s="148" t="n"/>
      <c r="P617" s="148">
        <f>IF(AND(ISNUMBER(O617),ISNUMBER(N617),N(N617)&gt;0),O617/N617-1,"")</f>
        <v/>
      </c>
      <c r="Q617" s="148" t="n">
        <v>23.99</v>
      </c>
      <c r="R617" s="148">
        <f>IF(AND(ISNUMBER(N617),ISNUMBER(Q617),N(Q617)&gt;0),N617/Q617-1,"")</f>
        <v/>
      </c>
      <c r="S617" s="148" t="n">
        <v>31417</v>
      </c>
      <c r="T617" s="148" t="n">
        <v>81</v>
      </c>
      <c r="U617" s="148" t="n">
        <v>4.3</v>
      </c>
      <c r="V617" s="148" t="n">
        <v>1309</v>
      </c>
      <c r="W617" s="148" t="n">
        <v>17008</v>
      </c>
      <c r="X617" s="148" t="n">
        <v>0.9595514640169331</v>
      </c>
      <c r="Y617" s="148" t="n">
        <v>2</v>
      </c>
      <c r="Z617" s="148" t="n">
        <v>37</v>
      </c>
      <c r="AA617" s="148" t="n">
        <v>26</v>
      </c>
      <c r="AB617" s="148" t="n">
        <v>0.8495145631067961</v>
      </c>
      <c r="AC617" s="148" t="inlineStr">
        <is>
          <t>US SL Cooling Pillowcase</t>
        </is>
      </c>
      <c r="AD617" s="148">
        <f>'US SL Cooling Pillowcase'!BF67</f>
        <v/>
      </c>
      <c r="AE617" s="148">
        <f>'US SL Cooling Pillowcase'!BI67</f>
        <v/>
      </c>
      <c r="AF617" s="148" t="inlineStr">
        <is>
          <t>King</t>
        </is>
      </c>
      <c r="AG617" s="148" t="inlineStr">
        <is>
          <t>Grey</t>
        </is>
      </c>
      <c r="AH617" s="148">
        <f>AND(E617="CA",OR('CA Dashboard'!$C$4="All",'CA Dashboard'!$C$4=D617),OR('CA Dashboard'!$C$5="All",'CA Dashboard'!$C$5=G617),OR('CA Dashboard'!$C$6="All",'CA Dashboard'!$C$6=H617),OR('CA Dashboard'!$C$7="All",'CA Dashboard'!$C$7=F617),OR('CA Dashboard'!$C$8="All",'CA Dashboard'!$C$8=AJ617))</f>
        <v/>
      </c>
      <c r="AI617" s="148">
        <f>IF(AH617,AI616+1,AI616)</f>
        <v/>
      </c>
      <c r="AJ617" s="148" t="inlineStr">
        <is>
          <t>Material not verified</t>
        </is>
      </c>
      <c r="AK617" s="148" t="inlineStr">
        <is>
          <t>Pillowcase like ours, but the material is not stated (material not stated on the page or in the title); verify before treating as direct.</t>
        </is>
      </c>
    </row>
    <row r="618">
      <c r="A618" s="148">
        <f>AND(E618="US",OR('US Dashboard'!$C$4="All",'US Dashboard'!$C$4=D618),OR('US Dashboard'!$C$5="All",'US Dashboard'!$C$5=G618),OR('US Dashboard'!$C$6="All",'US Dashboard'!$C$6=H618),OR('US Dashboard'!$C$7="All",'US Dashboard'!$C$7=F618),OR('US Dashboard'!$C$8="All",'US Dashboard'!$C$8=AJ618))</f>
        <v/>
      </c>
      <c r="B618" s="148">
        <f>IF(A618,B617+1,B617)</f>
        <v/>
      </c>
      <c r="C618" s="148" t="n">
        <v>43</v>
      </c>
      <c r="D618" s="148" t="inlineStr">
        <is>
          <t>SL Cooling Pillowcase</t>
        </is>
      </c>
      <c r="E618" s="148" t="inlineStr">
        <is>
          <t>US</t>
        </is>
      </c>
      <c r="F618" s="148" t="inlineStr">
        <is>
          <t>Cooling</t>
        </is>
      </c>
      <c r="G618" s="148" t="inlineStr">
        <is>
          <t>Bedsure</t>
        </is>
      </c>
      <c r="H618" s="148" t="inlineStr">
        <is>
          <t>Beatable</t>
        </is>
      </c>
      <c r="I618" s="148" t="inlineStr">
        <is>
          <t>Bedsure Cooling Pillow Cases Queen Size Set of 2 for Hot Sleepers, Grey</t>
        </is>
      </c>
      <c r="J618" s="148" t="inlineStr">
        <is>
          <t>https://images-na.ssl-images-amazon.com/images/I/81lPRf0QezL.jpg</t>
        </is>
      </c>
      <c r="K618" s="148" t="inlineStr">
        <is>
          <t>B0GS2D7MBT</t>
        </is>
      </c>
      <c r="L618" s="148" t="inlineStr">
        <is>
          <t>B0CP3NX181</t>
        </is>
      </c>
      <c r="M618" s="148" t="n">
        <v>7</v>
      </c>
      <c r="N618" s="148" t="n">
        <v>18.99</v>
      </c>
      <c r="O618" s="148" t="n">
        <v>24.99</v>
      </c>
      <c r="P618" s="148">
        <f>IF(AND(ISNUMBER(O618),ISNUMBER(N618),N(N618)&gt;0),O618/N618-1,"")</f>
        <v/>
      </c>
      <c r="Q618" s="148" t="n">
        <v>21.99</v>
      </c>
      <c r="R618" s="148">
        <f>IF(AND(ISNUMBER(N618),ISNUMBER(Q618),N(Q618)&gt;0),N618/Q618-1,"")</f>
        <v/>
      </c>
      <c r="S618" s="148" t="n">
        <v>156798</v>
      </c>
      <c r="T618" s="148" t="n">
        <v>5</v>
      </c>
      <c r="U618" s="148" t="n">
        <v>4.5</v>
      </c>
      <c r="V618" s="148" t="n">
        <v>676</v>
      </c>
      <c r="W618" s="148" t="n">
        <v>38313</v>
      </c>
      <c r="X618" s="148" t="n">
        <v>0.4058418317542347</v>
      </c>
      <c r="Y618" s="148" t="n">
        <v>2</v>
      </c>
      <c r="Z618" s="148" t="n">
        <v>36</v>
      </c>
      <c r="AA618" s="148" t="n">
        <v>785</v>
      </c>
      <c r="AB618" s="148" t="n"/>
      <c r="AC618" s="148" t="inlineStr">
        <is>
          <t>US SL Cooling Pillowcase</t>
        </is>
      </c>
      <c r="AD618" s="148">
        <f>'US SL Cooling Pillowcase'!BF68</f>
        <v/>
      </c>
      <c r="AE618" s="148">
        <f>'US SL Cooling Pillowcase'!BI68</f>
        <v/>
      </c>
      <c r="AF618" s="148" t="inlineStr">
        <is>
          <t>Queen</t>
        </is>
      </c>
      <c r="AG618" s="148" t="inlineStr">
        <is>
          <t>Grey</t>
        </is>
      </c>
      <c r="AH618" s="148">
        <f>AND(E618="CA",OR('CA Dashboard'!$C$4="All",'CA Dashboard'!$C$4=D618),OR('CA Dashboard'!$C$5="All",'CA Dashboard'!$C$5=G618),OR('CA Dashboard'!$C$6="All",'CA Dashboard'!$C$6=H618),OR('CA Dashboard'!$C$7="All",'CA Dashboard'!$C$7=F618),OR('CA Dashboard'!$C$8="All",'CA Dashboard'!$C$8=AJ618))</f>
        <v/>
      </c>
      <c r="AI618" s="148">
        <f>IF(AH618,AI617+1,AI617)</f>
        <v/>
      </c>
      <c r="AJ618" s="148" t="inlineStr">
        <is>
          <t>Material not verified</t>
        </is>
      </c>
      <c r="AK618" s="148" t="inlineStr">
        <is>
          <t>Pillowcase like ours, but the material is not stated (material not stated on the page or in the title); verify before treating as direct.</t>
        </is>
      </c>
    </row>
    <row r="619">
      <c r="A619" s="148">
        <f>AND(E619="US",OR('US Dashboard'!$C$4="All",'US Dashboard'!$C$4=D619),OR('US Dashboard'!$C$5="All",'US Dashboard'!$C$5=G619),OR('US Dashboard'!$C$6="All",'US Dashboard'!$C$6=H619),OR('US Dashboard'!$C$7="All",'US Dashboard'!$C$7=F619),OR('US Dashboard'!$C$8="All",'US Dashboard'!$C$8=AJ619))</f>
        <v/>
      </c>
      <c r="B619" s="148">
        <f>IF(A619,B618+1,B618)</f>
        <v/>
      </c>
      <c r="C619" s="148" t="n">
        <v>43</v>
      </c>
      <c r="D619" s="148" t="inlineStr">
        <is>
          <t>SL Cooling Pillowcase</t>
        </is>
      </c>
      <c r="E619" s="148" t="inlineStr">
        <is>
          <t>US</t>
        </is>
      </c>
      <c r="F619" s="148" t="inlineStr">
        <is>
          <t>Cooling</t>
        </is>
      </c>
      <c r="G619" s="148" t="inlineStr">
        <is>
          <t>Coop Home Goods</t>
        </is>
      </c>
      <c r="H619" s="148" t="inlineStr">
        <is>
          <t>Beatable</t>
        </is>
      </c>
      <c r="I619" s="148" t="inlineStr">
        <is>
          <t>Coop Home Goods Cool Side Pillowcase, Queen Size Cooling Pillow Case for Hot Sle</t>
        </is>
      </c>
      <c r="J619" s="148" t="inlineStr">
        <is>
          <t>https://m.media-amazon.com/images/I/51JlZslZgfL._AC_SL1005_.jpg</t>
        </is>
      </c>
      <c r="K619" s="148" t="inlineStr">
        <is>
          <t>B0DGH3JKZ5</t>
        </is>
      </c>
      <c r="L619" s="148" t="inlineStr">
        <is>
          <t>B08B448344</t>
        </is>
      </c>
      <c r="M619" s="148" t="n">
        <v>7</v>
      </c>
      <c r="N619" s="148" t="n">
        <v>25.5</v>
      </c>
      <c r="O619" s="148" t="n"/>
      <c r="P619" s="148">
        <f>IF(AND(ISNUMBER(O619),ISNUMBER(N619),N(N619)&gt;0),O619/N619-1,"")</f>
        <v/>
      </c>
      <c r="Q619" s="148" t="n">
        <v>21.99</v>
      </c>
      <c r="R619" s="148">
        <f>IF(AND(ISNUMBER(N619),ISNUMBER(Q619),N(Q619)&gt;0),N619/Q619-1,"")</f>
        <v/>
      </c>
      <c r="S619" s="148" t="n">
        <v>66369</v>
      </c>
      <c r="T619" s="148" t="n">
        <v>5</v>
      </c>
      <c r="U619" s="148" t="n">
        <v>4.3</v>
      </c>
      <c r="V619" s="148" t="n">
        <v>1158</v>
      </c>
      <c r="W619" s="148" t="n">
        <v>26180</v>
      </c>
      <c r="X619" s="148" t="n">
        <v>0.9925127425515661</v>
      </c>
      <c r="Y619" s="148" t="n">
        <v>3</v>
      </c>
      <c r="Z619" s="148" t="n">
        <v>22</v>
      </c>
      <c r="AA619" s="148" t="n">
        <v>15</v>
      </c>
      <c r="AB619" s="148" t="n">
        <v>0.6264367816091955</v>
      </c>
      <c r="AC619" s="148" t="inlineStr">
        <is>
          <t>US SL Cooling Pillowcase</t>
        </is>
      </c>
      <c r="AD619" s="148">
        <f>'US SL Cooling Pillowcase'!BF69</f>
        <v/>
      </c>
      <c r="AE619" s="148">
        <f>'US SL Cooling Pillowcase'!BI69</f>
        <v/>
      </c>
      <c r="AF619" s="148" t="inlineStr">
        <is>
          <t>Queen</t>
        </is>
      </c>
      <c r="AG619" s="148" t="inlineStr">
        <is>
          <t>Standard</t>
        </is>
      </c>
      <c r="AH619" s="148">
        <f>AND(E619="CA",OR('CA Dashboard'!$C$4="All",'CA Dashboard'!$C$4=D619),OR('CA Dashboard'!$C$5="All",'CA Dashboard'!$C$5=G619),OR('CA Dashboard'!$C$6="All",'CA Dashboard'!$C$6=H619),OR('CA Dashboard'!$C$7="All",'CA Dashboard'!$C$7=F619),OR('CA Dashboard'!$C$8="All",'CA Dashboard'!$C$8=AJ619))</f>
        <v/>
      </c>
      <c r="AI619" s="148">
        <f>IF(AH619,AI618+1,AI618)</f>
        <v/>
      </c>
      <c r="AJ619" s="148" t="inlineStr">
        <is>
          <t>Material not verified</t>
        </is>
      </c>
      <c r="AK619" s="148" t="inlineStr">
        <is>
          <t>Pillowcase like ours, but the material is not stated (material not stated on the page or in the title); verify before treating as direct.</t>
        </is>
      </c>
    </row>
    <row r="620">
      <c r="A620" s="148">
        <f>AND(E620="US",OR('US Dashboard'!$C$4="All",'US Dashboard'!$C$4=D620),OR('US Dashboard'!$C$5="All",'US Dashboard'!$C$5=G620),OR('US Dashboard'!$C$6="All",'US Dashboard'!$C$6=H620),OR('US Dashboard'!$C$7="All",'US Dashboard'!$C$7=F620),OR('US Dashboard'!$C$8="All",'US Dashboard'!$C$8=AJ620))</f>
        <v/>
      </c>
      <c r="B620" s="148">
        <f>IF(A620,B619+1,B619)</f>
        <v/>
      </c>
      <c r="C620" s="148" t="n">
        <v>43</v>
      </c>
      <c r="D620" s="148" t="inlineStr">
        <is>
          <t>SL Cooling Pillowcase</t>
        </is>
      </c>
      <c r="E620" s="148" t="inlineStr">
        <is>
          <t>US</t>
        </is>
      </c>
      <c r="F620" s="148" t="inlineStr">
        <is>
          <t>Cooling</t>
        </is>
      </c>
      <c r="G620" s="148" t="inlineStr">
        <is>
          <t>WISHSMILE</t>
        </is>
      </c>
      <c r="H620" s="148" t="inlineStr">
        <is>
          <t>Aspirational</t>
        </is>
      </c>
      <c r="I620" s="148" t="inlineStr">
        <is>
          <t>WishSmile Cooling Queen Pillowcases Set of 2 Breathable Cool Silky Soft Rayon De</t>
        </is>
      </c>
      <c r="J620" s="148" t="inlineStr">
        <is>
          <t>https://m.media-amazon.com/images/I/51lX1uo9xJL._AC_SL1500_.jpg</t>
        </is>
      </c>
      <c r="K620" s="148" t="inlineStr">
        <is>
          <t>B09BKQK7RZ</t>
        </is>
      </c>
      <c r="L620" s="148" t="inlineStr">
        <is>
          <t>B09BL2SMVG</t>
        </is>
      </c>
      <c r="M620" s="148" t="n">
        <v>41</v>
      </c>
      <c r="N620" s="148" t="n">
        <v>12.99</v>
      </c>
      <c r="O620" s="148" t="n"/>
      <c r="P620" s="148">
        <f>IF(AND(ISNUMBER(O620),ISNUMBER(N620),N(N620)&gt;0),O620/N620-1,"")</f>
        <v/>
      </c>
      <c r="Q620" s="148" t="n">
        <v>20.87814814814815</v>
      </c>
      <c r="R620" s="148">
        <f>IF(AND(ISNUMBER(N620),ISNUMBER(Q620),N(Q620)&gt;0),N620/Q620-1,"")</f>
        <v/>
      </c>
      <c r="S620" s="148" t="n">
        <v>2467</v>
      </c>
      <c r="T620" s="148" t="n">
        <v>809</v>
      </c>
      <c r="U620" s="148" t="n">
        <v>4.4</v>
      </c>
      <c r="V620" s="148" t="n">
        <v>7225</v>
      </c>
      <c r="W620" s="148" t="n">
        <v>151964</v>
      </c>
      <c r="X620" s="148" t="n">
        <v>0.8020060705167013</v>
      </c>
      <c r="Y620" s="148" t="n">
        <v>2</v>
      </c>
      <c r="Z620" s="148" t="n">
        <v>37</v>
      </c>
      <c r="AA620" s="148" t="n">
        <v>526</v>
      </c>
      <c r="AB620" s="148" t="n">
        <v>1.226522481502561</v>
      </c>
      <c r="AC620" s="148" t="inlineStr">
        <is>
          <t>US SL Cooling Pillowcase</t>
        </is>
      </c>
      <c r="AD620" s="148">
        <f>'US SL Cooling Pillowcase'!BF70</f>
        <v/>
      </c>
      <c r="AE620" s="148">
        <f>'US SL Cooling Pillowcase'!BI70</f>
        <v/>
      </c>
      <c r="AF620" s="148" t="inlineStr">
        <is>
          <t>1 Pack Body(20x54)-Regular</t>
        </is>
      </c>
      <c r="AG620" s="148" t="inlineStr">
        <is>
          <t>Dark Grey</t>
        </is>
      </c>
      <c r="AH620" s="148">
        <f>AND(E620="CA",OR('CA Dashboard'!$C$4="All",'CA Dashboard'!$C$4=D620),OR('CA Dashboard'!$C$5="All",'CA Dashboard'!$C$5=G620),OR('CA Dashboard'!$C$6="All",'CA Dashboard'!$C$6=H620),OR('CA Dashboard'!$C$7="All",'CA Dashboard'!$C$7=F620),OR('CA Dashboard'!$C$8="All",'CA Dashboard'!$C$8=AJ620))</f>
        <v/>
      </c>
      <c r="AI620" s="148">
        <f>IF(AH620,AI619+1,AI619)</f>
        <v/>
      </c>
      <c r="AJ620" s="148" t="inlineStr">
        <is>
          <t>Alternative material</t>
        </is>
      </c>
      <c r="AK620" s="148" t="inlineStr">
        <is>
          <t>Pillowcase in Bamboo viscose (product page material: Rayon derived from bamboo); ours is Synthetic cooling knit (BreezeWeave cooling fabric, nylon-spandex like CooLoom (confirmed Oct 15, 2026)). Shopper may cross-shop, but not like-for-like.</t>
        </is>
      </c>
    </row>
    <row r="621">
      <c r="A621" s="148">
        <f>AND(E621="US",OR('US Dashboard'!$C$4="All",'US Dashboard'!$C$4=D621),OR('US Dashboard'!$C$5="All",'US Dashboard'!$C$5=G621),OR('US Dashboard'!$C$6="All",'US Dashboard'!$C$6=H621),OR('US Dashboard'!$C$7="All",'US Dashboard'!$C$7=F621),OR('US Dashboard'!$C$8="All",'US Dashboard'!$C$8=AJ621))</f>
        <v/>
      </c>
      <c r="B621" s="148">
        <f>IF(A621,B620+1,B620)</f>
        <v/>
      </c>
      <c r="C621" s="148" t="n">
        <v>43</v>
      </c>
      <c r="D621" s="148" t="inlineStr">
        <is>
          <t>SL Cooling Pillowcase</t>
        </is>
      </c>
      <c r="E621" s="148" t="inlineStr">
        <is>
          <t>US</t>
        </is>
      </c>
      <c r="F621" s="148" t="inlineStr">
        <is>
          <t>Cooling</t>
        </is>
      </c>
      <c r="G621" s="148" t="inlineStr">
        <is>
          <t>ELIBABA</t>
        </is>
      </c>
      <c r="H621" s="148" t="inlineStr">
        <is>
          <t>Beatable</t>
        </is>
      </c>
      <c r="I621" s="148" t="inlineStr">
        <is>
          <t>Cooling Side Sleeper Pillow Cases - Curved Rayon Derived from Bamboo Pillowcase</t>
        </is>
      </c>
      <c r="J621" s="148" t="inlineStr">
        <is>
          <t>https://m.media-amazon.com/images/I/71ShKn05Z2L._AC_SL1500_.jpg</t>
        </is>
      </c>
      <c r="K621" s="148" t="inlineStr">
        <is>
          <t>B0HGLD1P8V</t>
        </is>
      </c>
      <c r="L621" s="148" t="inlineStr">
        <is>
          <t>B0CQK3KHHH</t>
        </is>
      </c>
      <c r="M621" s="148" t="n">
        <v>25</v>
      </c>
      <c r="N621" s="148" t="n">
        <v>17.99</v>
      </c>
      <c r="O621" s="148" t="n"/>
      <c r="P621" s="148">
        <f>IF(AND(ISNUMBER(O621),ISNUMBER(N621),N(N621)&gt;0),O621/N621-1,"")</f>
        <v/>
      </c>
      <c r="Q621" s="148" t="n">
        <v>20.87814814814815</v>
      </c>
      <c r="R621" s="148">
        <f>IF(AND(ISNUMBER(N621),ISNUMBER(Q621),N(Q621)&gt;0),N621/Q621-1,"")</f>
        <v/>
      </c>
      <c r="S621" s="148" t="n">
        <v>12744</v>
      </c>
      <c r="T621" s="148" t="n">
        <v>92</v>
      </c>
      <c r="U621" s="148" t="n">
        <v>4.2</v>
      </c>
      <c r="V621" s="148" t="n">
        <v>1630</v>
      </c>
      <c r="W621" s="148" t="n">
        <v>15537</v>
      </c>
      <c r="X621" s="148" t="n">
        <v>0.770486258608483</v>
      </c>
      <c r="Y621" s="148" t="n">
        <v>5</v>
      </c>
      <c r="Z621" s="148" t="n">
        <v>25</v>
      </c>
      <c r="AA621" s="148" t="n">
        <v>34</v>
      </c>
      <c r="AB621" s="148" t="n">
        <v>0.8564593301435407</v>
      </c>
      <c r="AC621" s="148" t="inlineStr">
        <is>
          <t>US SL Cooling Pillowcase</t>
        </is>
      </c>
      <c r="AD621" s="148">
        <f>'US SL Cooling Pillowcase'!BF71</f>
        <v/>
      </c>
      <c r="AE621" s="148">
        <f>'US SL Cooling Pillowcase'!BI71</f>
        <v/>
      </c>
      <c r="AF621" s="148" t="inlineStr">
        <is>
          <t>1 Pack Queen (20 x 30)</t>
        </is>
      </c>
      <c r="AG621" s="148" t="inlineStr">
        <is>
          <t>Dark Grey</t>
        </is>
      </c>
      <c r="AH621" s="148">
        <f>AND(E621="CA",OR('CA Dashboard'!$C$4="All",'CA Dashboard'!$C$4=D621),OR('CA Dashboard'!$C$5="All",'CA Dashboard'!$C$5=G621),OR('CA Dashboard'!$C$6="All",'CA Dashboard'!$C$6=H621),OR('CA Dashboard'!$C$7="All",'CA Dashboard'!$C$7=F621),OR('CA Dashboard'!$C$8="All",'CA Dashboard'!$C$8=AJ621))</f>
        <v/>
      </c>
      <c r="AI621" s="148">
        <f>IF(AH621,AI620+1,AI620)</f>
        <v/>
      </c>
      <c r="AJ621" s="148" t="inlineStr">
        <is>
          <t>Alternative material</t>
        </is>
      </c>
      <c r="AK621" s="148" t="inlineStr">
        <is>
          <t>Pillowcase in Bamboo viscose (product page material: rayon derived from bamboo); ours is Synthetic cooling knit (BreezeWeave cooling fabric, nylon-spandex like CooLoom (confirmed Oct 15, 2026)). Shopper may cross-shop, but not like-for-like.</t>
        </is>
      </c>
    </row>
    <row r="622">
      <c r="A622" s="148">
        <f>AND(E622="US",OR('US Dashboard'!$C$4="All",'US Dashboard'!$C$4=D622),OR('US Dashboard'!$C$5="All",'US Dashboard'!$C$5=G622),OR('US Dashboard'!$C$6="All",'US Dashboard'!$C$6=H622),OR('US Dashboard'!$C$7="All",'US Dashboard'!$C$7=F622),OR('US Dashboard'!$C$8="All",'US Dashboard'!$C$8=AJ622))</f>
        <v/>
      </c>
      <c r="B622" s="148">
        <f>IF(A622,B621+1,B621)</f>
        <v/>
      </c>
      <c r="C622" s="148" t="n">
        <v>43</v>
      </c>
      <c r="D622" s="148" t="inlineStr">
        <is>
          <t>SL Cooling Pillowcase</t>
        </is>
      </c>
      <c r="E622" s="148" t="inlineStr">
        <is>
          <t>US</t>
        </is>
      </c>
      <c r="F622" s="148" t="inlineStr">
        <is>
          <t>Cooling</t>
        </is>
      </c>
      <c r="G622" s="148" t="inlineStr">
        <is>
          <t>Marchpower</t>
        </is>
      </c>
      <c r="H622" s="148" t="inlineStr">
        <is>
          <t>Beatable</t>
        </is>
      </c>
      <c r="I622" s="148" t="inlineStr">
        <is>
          <t>Marchpower Cooling Pillow Cases for Hot Sleepers, Japanese Arc Chill Cooling Pil</t>
        </is>
      </c>
      <c r="J622" s="148" t="inlineStr">
        <is>
          <t>https://m.media-amazon.com/images/I/81UrnfqGQGL._AC_SL1500_.jpg</t>
        </is>
      </c>
      <c r="K622" s="148" t="inlineStr">
        <is>
          <t>B0CFY7SVV7</t>
        </is>
      </c>
      <c r="L622" s="148" t="inlineStr">
        <is>
          <t>B095GTMX4Y</t>
        </is>
      </c>
      <c r="M622" s="148" t="n">
        <v>9</v>
      </c>
      <c r="N622" s="148" t="n">
        <v>19.99</v>
      </c>
      <c r="O622" s="148" t="n"/>
      <c r="P622" s="148">
        <f>IF(AND(ISNUMBER(O622),ISNUMBER(N622),N(N622)&gt;0),O622/N622-1,"")</f>
        <v/>
      </c>
      <c r="Q622" s="148" t="n">
        <v>20.87814814814815</v>
      </c>
      <c r="R622" s="148">
        <f>IF(AND(ISNUMBER(N622),ISNUMBER(Q622),N(Q622)&gt;0),N622/Q622-1,"")</f>
        <v/>
      </c>
      <c r="S622" s="148" t="n">
        <v>265537</v>
      </c>
      <c r="T622" s="148" t="n">
        <v>5</v>
      </c>
      <c r="U622" s="148" t="n">
        <v>4.3</v>
      </c>
      <c r="V622" s="148" t="n">
        <v>1247</v>
      </c>
      <c r="W622" s="148" t="n">
        <v>5423</v>
      </c>
      <c r="X622" s="148" t="n">
        <v>0.9321121519454174</v>
      </c>
      <c r="Y622" s="148" t="n">
        <v>4</v>
      </c>
      <c r="Z622" s="148" t="n">
        <v>26</v>
      </c>
      <c r="AA622" s="148" t="n">
        <v>42</v>
      </c>
      <c r="AB622" s="148" t="n"/>
      <c r="AC622" s="148" t="inlineStr">
        <is>
          <t>US SL Cooling Pillowcase</t>
        </is>
      </c>
      <c r="AD622" s="148">
        <f>'US SL Cooling Pillowcase'!BF72</f>
        <v/>
      </c>
      <c r="AE622" s="148">
        <f>'US SL Cooling Pillowcase'!BI72</f>
        <v/>
      </c>
      <c r="AF622" s="148" t="inlineStr">
        <is>
          <t>Standard 20"x 26"</t>
        </is>
      </c>
      <c r="AG622" s="148" t="inlineStr">
        <is>
          <t>Green</t>
        </is>
      </c>
      <c r="AH622" s="148">
        <f>AND(E622="CA",OR('CA Dashboard'!$C$4="All",'CA Dashboard'!$C$4=D622),OR('CA Dashboard'!$C$5="All",'CA Dashboard'!$C$5=G622),OR('CA Dashboard'!$C$6="All",'CA Dashboard'!$C$6=H622),OR('CA Dashboard'!$C$7="All",'CA Dashboard'!$C$7=F622),OR('CA Dashboard'!$C$8="All",'CA Dashboard'!$C$8=AJ622))</f>
        <v/>
      </c>
      <c r="AI622" s="148">
        <f>IF(AH622,AI621+1,AI621)</f>
        <v/>
      </c>
      <c r="AJ622" s="148" t="inlineStr">
        <is>
          <t>Alternative material</t>
        </is>
      </c>
      <c r="AK622" s="148" t="inlineStr">
        <is>
          <t>Pillowcase in Cotton (product page material: Cooling Fabric &amp; 100% Cotton); ours is Synthetic cooling knit (BreezeWeave cooling fabric, nylon-spandex like CooLoom (confirmed Oct 15, 2026)). Shopper may cross-shop, but not like-for-like.</t>
        </is>
      </c>
    </row>
    <row r="623">
      <c r="A623" s="148">
        <f>AND(E623="US",OR('US Dashboard'!$C$4="All",'US Dashboard'!$C$4=D623),OR('US Dashboard'!$C$5="All",'US Dashboard'!$C$5=G623),OR('US Dashboard'!$C$6="All",'US Dashboard'!$C$6=H623),OR('US Dashboard'!$C$7="All",'US Dashboard'!$C$7=F623),OR('US Dashboard'!$C$8="All",'US Dashboard'!$C$8=AJ623))</f>
        <v/>
      </c>
      <c r="B623" s="148">
        <f>IF(A623,B622+1,B622)</f>
        <v/>
      </c>
      <c r="C623" s="148" t="n">
        <v>43</v>
      </c>
      <c r="D623" s="148" t="inlineStr">
        <is>
          <t>SL Cooling Pillowcase</t>
        </is>
      </c>
      <c r="E623" s="148" t="inlineStr">
        <is>
          <t>US</t>
        </is>
      </c>
      <c r="F623" s="148" t="inlineStr">
        <is>
          <t>Cooling</t>
        </is>
      </c>
      <c r="G623" s="148" t="inlineStr">
        <is>
          <t>Rifens</t>
        </is>
      </c>
      <c r="H623" s="148" t="inlineStr">
        <is>
          <t>Beatable</t>
        </is>
      </c>
      <c r="I623" s="148" t="inlineStr">
        <is>
          <t>Ice Cooling Pillowcase for Hot Sleepers, Instantly Cool, Stay Cold All Night, Softer Than Silk Pillow Cases, Pillow Covers with Invisible Zipper, Gift for Men &amp; Women - Standard, Light Gray (1 Pack)</t>
        </is>
      </c>
      <c r="J623" s="148" t="inlineStr">
        <is>
          <t>https://images-na.ssl-images-amazon.com/images/I/71JIe-f4CUL.jpg</t>
        </is>
      </c>
      <c r="K623" s="148" t="inlineStr">
        <is>
          <t>B0DJ933TY2</t>
        </is>
      </c>
      <c r="L623" s="148" t="inlineStr">
        <is>
          <t>B0DJ933TY2</t>
        </is>
      </c>
      <c r="M623" s="148" t="n">
        <v>1</v>
      </c>
      <c r="N623" s="148" t="n">
        <v>18.99</v>
      </c>
      <c r="O623" s="148" t="n"/>
      <c r="P623" s="148">
        <f>IF(AND(ISNUMBER(O623),ISNUMBER(N623),N(N623)&gt;0),O623/N623-1,"")</f>
        <v/>
      </c>
      <c r="Q623" s="148" t="n">
        <v>16.99</v>
      </c>
      <c r="R623" s="148">
        <f>IF(AND(ISNUMBER(N623),ISNUMBER(Q623),N(Q623)&gt;0),N623/Q623-1,"")</f>
        <v/>
      </c>
      <c r="S623" s="148" t="n">
        <v>519777</v>
      </c>
      <c r="T623" s="148" t="n">
        <v>5</v>
      </c>
      <c r="U623" s="148" t="n">
        <v>4.6</v>
      </c>
      <c r="V623" s="148" t="n">
        <v>219</v>
      </c>
      <c r="W623" s="148" t="n">
        <v>8663</v>
      </c>
      <c r="X623" s="148" t="n">
        <v>1</v>
      </c>
      <c r="Y623" s="148" t="n">
        <v>4</v>
      </c>
      <c r="Z623" s="148" t="n">
        <v>23</v>
      </c>
      <c r="AA623" s="148" t="n">
        <v>0</v>
      </c>
      <c r="AB623" s="148" t="n"/>
      <c r="AC623" s="148" t="inlineStr">
        <is>
          <t>US SL Cooling Pillowcase</t>
        </is>
      </c>
      <c r="AD623" s="148">
        <f>'US SL Cooling Pillowcase'!BF73</f>
        <v/>
      </c>
      <c r="AE623" s="148">
        <f>'US SL Cooling Pillowcase'!BI73</f>
        <v/>
      </c>
      <c r="AF623" s="148" t="inlineStr">
        <is>
          <t>Standard</t>
        </is>
      </c>
      <c r="AG623" s="148" t="inlineStr">
        <is>
          <t>Gray</t>
        </is>
      </c>
      <c r="AH623" s="148">
        <f>AND(E623="CA",OR('CA Dashboard'!$C$4="All",'CA Dashboard'!$C$4=D623),OR('CA Dashboard'!$C$5="All",'CA Dashboard'!$C$5=G623),OR('CA Dashboard'!$C$6="All",'CA Dashboard'!$C$6=H623),OR('CA Dashboard'!$C$7="All",'CA Dashboard'!$C$7=F623),OR('CA Dashboard'!$C$8="All",'CA Dashboard'!$C$8=AJ623))</f>
        <v/>
      </c>
      <c r="AI623" s="148">
        <f>IF(AH623,AI622+1,AI622)</f>
        <v/>
      </c>
      <c r="AJ623" s="148" t="inlineStr">
        <is>
          <t>Alternative material</t>
        </is>
      </c>
      <c r="AK623" s="148" t="inlineStr">
        <is>
          <t>Pillowcase in Silk (title: Ice Cooling Pillowcase for Hot Sleepers, Instantly Cool, Sta); ours is Synthetic cooling knit (BreezeWeave cooling fabric, nylon-spandex like CooLoom (confirmed Oct 15, 2026)). Shopper may cross-shop, but not like-for-like.</t>
        </is>
      </c>
    </row>
    <row r="624">
      <c r="A624" s="148">
        <f>AND(E624="US",OR('US Dashboard'!$C$4="All",'US Dashboard'!$C$4=D624),OR('US Dashboard'!$C$5="All",'US Dashboard'!$C$5=G624),OR('US Dashboard'!$C$6="All",'US Dashboard'!$C$6=H624),OR('US Dashboard'!$C$7="All",'US Dashboard'!$C$7=F624),OR('US Dashboard'!$C$8="All",'US Dashboard'!$C$8=AJ624))</f>
        <v/>
      </c>
      <c r="B624" s="148">
        <f>IF(A624,B623+1,B623)</f>
        <v/>
      </c>
      <c r="C624" s="148" t="n">
        <v>42</v>
      </c>
      <c r="D624" s="148" t="inlineStr">
        <is>
          <t>SL Cooling Comforter</t>
        </is>
      </c>
      <c r="E624" s="148" t="inlineStr">
        <is>
          <t>US</t>
        </is>
      </c>
      <c r="F624" s="148" t="inlineStr">
        <is>
          <t>Cooling</t>
        </is>
      </c>
      <c r="G624" s="148" t="inlineStr">
        <is>
          <t>Cozy Bliss</t>
        </is>
      </c>
      <c r="H624" s="148" t="inlineStr">
        <is>
          <t>Aspirational</t>
        </is>
      </c>
      <c r="I624" s="148" t="inlineStr">
        <is>
          <t>SL Cooling Comforter</t>
        </is>
      </c>
      <c r="J624" s="148" t="inlineStr">
        <is>
          <t>https://m.media-amazon.com/images/I/61QNA5R3yLL._AC_SL1500_.jpg</t>
        </is>
      </c>
      <c r="K624" s="148" t="inlineStr">
        <is>
          <t>B0BVQMYKYS</t>
        </is>
      </c>
      <c r="L624" s="148" t="inlineStr">
        <is>
          <t>B0BVQMB99W</t>
        </is>
      </c>
      <c r="M624" s="148" t="n">
        <v>26</v>
      </c>
      <c r="N624" s="148" t="n">
        <v>59.99</v>
      </c>
      <c r="O624" s="148" t="n">
        <v>79.98999999999999</v>
      </c>
      <c r="P624" s="148">
        <f>IF(AND(ISNUMBER(O624),ISNUMBER(N624),N(N624)&gt;0),O624/N624-1,"")</f>
        <v/>
      </c>
      <c r="Q624" s="148" t="n">
        <v>69.98999999999999</v>
      </c>
      <c r="R624" s="148">
        <f>IF(AND(ISNUMBER(N624),ISNUMBER(Q624),N(Q624)&gt;0),N624/Q624-1,"")</f>
        <v/>
      </c>
      <c r="S624" s="148" t="n">
        <v>7806</v>
      </c>
      <c r="T624" s="148" t="n">
        <v>104</v>
      </c>
      <c r="U624" s="148" t="n">
        <v>4.5</v>
      </c>
      <c r="V624" s="148" t="n">
        <v>2707</v>
      </c>
      <c r="W624" s="148" t="n">
        <v>338464</v>
      </c>
      <c r="X624" s="148" t="n">
        <v>0.6728438451356722</v>
      </c>
      <c r="Y624" s="148" t="n">
        <v>13</v>
      </c>
      <c r="Z624" s="148" t="n">
        <v>225</v>
      </c>
      <c r="AA624" s="148" t="n">
        <v>819</v>
      </c>
      <c r="AB624" s="148" t="n">
        <v>0.4224883566200932</v>
      </c>
      <c r="AC624" s="148" t="inlineStr">
        <is>
          <t>US SL Cooling Comforter</t>
        </is>
      </c>
      <c r="AD624" s="148">
        <f>'US SL Cooling Comforter'!BF63</f>
        <v/>
      </c>
      <c r="AE624" s="148">
        <f>'US SL Cooling Comforter'!BI63</f>
        <v/>
      </c>
      <c r="AF624" s="148" t="inlineStr">
        <is>
          <t>Queen(90"*90")</t>
        </is>
      </c>
      <c r="AG624" s="148" t="inlineStr">
        <is>
          <t>Blue</t>
        </is>
      </c>
      <c r="AH624" s="148">
        <f>AND(E624="CA",OR('CA Dashboard'!$C$4="All",'CA Dashboard'!$C$4=D624),OR('CA Dashboard'!$C$5="All",'CA Dashboard'!$C$5=G624),OR('CA Dashboard'!$C$6="All",'CA Dashboard'!$C$6=H624),OR('CA Dashboard'!$C$7="All",'CA Dashboard'!$C$7=F624),OR('CA Dashboard'!$C$8="All",'CA Dashboard'!$C$8=AJ624))</f>
        <v/>
      </c>
      <c r="AI624" s="148">
        <f>IF(AH624,AI623+1,AI623)</f>
        <v/>
      </c>
      <c r="AJ624" s="148" t="inlineStr">
        <is>
          <t>Direct</t>
        </is>
      </c>
      <c r="AK624" s="148" t="inlineStr">
        <is>
          <t>Same product (comforter) in the same material family: Synthetic cooling knit (product page material: Nylon); ours: BreezeWeave cooling fabric, nylon-spandex like CooLoom (confirmed Oct 15, 2026).</t>
        </is>
      </c>
    </row>
    <row r="625">
      <c r="A625" s="148">
        <f>AND(E625="US",OR('US Dashboard'!$C$4="All",'US Dashboard'!$C$4=D625),OR('US Dashboard'!$C$5="All",'US Dashboard'!$C$5=G625),OR('US Dashboard'!$C$6="All",'US Dashboard'!$C$6=H625),OR('US Dashboard'!$C$7="All",'US Dashboard'!$C$7=F625),OR('US Dashboard'!$C$8="All",'US Dashboard'!$C$8=AJ625))</f>
        <v/>
      </c>
      <c r="B625" s="148">
        <f>IF(A625,B624+1,B624)</f>
        <v/>
      </c>
      <c r="C625" s="148" t="n">
        <v>42</v>
      </c>
      <c r="D625" s="148" t="inlineStr">
        <is>
          <t>SL Cooling Comforter</t>
        </is>
      </c>
      <c r="E625" s="148" t="inlineStr">
        <is>
          <t>US</t>
        </is>
      </c>
      <c r="F625" s="148" t="inlineStr">
        <is>
          <t>Cooling</t>
        </is>
      </c>
      <c r="G625" s="148" t="inlineStr">
        <is>
          <t>Bedsure</t>
        </is>
      </c>
      <c r="H625" s="148" t="inlineStr">
        <is>
          <t>Beatable</t>
        </is>
      </c>
      <c r="I625" s="148" t="inlineStr">
        <is>
          <t>Cooling Comforter</t>
        </is>
      </c>
      <c r="J625" s="148" t="inlineStr">
        <is>
          <t>https://m.media-amazon.com/images/I/812J9qTg99L._AC_SL1500_.jpg</t>
        </is>
      </c>
      <c r="K625" s="148" t="inlineStr">
        <is>
          <t>B0G3WWQ7DL</t>
        </is>
      </c>
      <c r="L625" s="148" t="inlineStr">
        <is>
          <t>B0G3W85TSH</t>
        </is>
      </c>
      <c r="M625" s="148" t="n">
        <v>6</v>
      </c>
      <c r="N625" s="148" t="n">
        <v>44.99</v>
      </c>
      <c r="O625" s="148" t="n">
        <v>59.99</v>
      </c>
      <c r="P625" s="148">
        <f>IF(AND(ISNUMBER(O625),ISNUMBER(N625),N(N625)&gt;0),O625/N625-1,"")</f>
        <v/>
      </c>
      <c r="Q625" s="148" t="n">
        <v>79.98999999999999</v>
      </c>
      <c r="R625" s="148">
        <f>IF(AND(ISNUMBER(N625),ISNUMBER(Q625),N(Q625)&gt;0),N625/Q625-1,"")</f>
        <v/>
      </c>
      <c r="S625" s="148" t="n">
        <v>58503</v>
      </c>
      <c r="T625" s="148" t="n">
        <v>185</v>
      </c>
      <c r="U625" s="148" t="n">
        <v>4.5</v>
      </c>
      <c r="V625" s="148" t="n">
        <v>142</v>
      </c>
      <c r="W625" s="148" t="n">
        <v>68067</v>
      </c>
      <c r="X625" s="148" t="n">
        <v>0.4309867248446382</v>
      </c>
      <c r="Y625" s="148" t="n">
        <v>30</v>
      </c>
      <c r="Z625" s="148" t="n">
        <v>147</v>
      </c>
      <c r="AA625" s="148" t="n">
        <v>118</v>
      </c>
      <c r="AB625" s="148" t="n">
        <v>1.660633484162896</v>
      </c>
      <c r="AC625" s="148" t="inlineStr">
        <is>
          <t>US SL Cooling Comforter</t>
        </is>
      </c>
      <c r="AD625" s="148">
        <f>'US SL Cooling Comforter'!BF64</f>
        <v/>
      </c>
      <c r="AE625" s="148">
        <f>'US SL Cooling Comforter'!BI64</f>
        <v/>
      </c>
      <c r="AF625" s="148" t="inlineStr">
        <is>
          <t>King(102"x90")</t>
        </is>
      </c>
      <c r="AG625" s="148" t="inlineStr">
        <is>
          <t>Grey</t>
        </is>
      </c>
      <c r="AH625" s="148">
        <f>AND(E625="CA",OR('CA Dashboard'!$C$4="All",'CA Dashboard'!$C$4=D625),OR('CA Dashboard'!$C$5="All",'CA Dashboard'!$C$5=G625),OR('CA Dashboard'!$C$6="All",'CA Dashboard'!$C$6=H625),OR('CA Dashboard'!$C$7="All",'CA Dashboard'!$C$7=F625),OR('CA Dashboard'!$C$8="All",'CA Dashboard'!$C$8=AJ625))</f>
        <v/>
      </c>
      <c r="AI625" s="148">
        <f>IF(AH625,AI624+1,AI624)</f>
        <v/>
      </c>
      <c r="AJ625" s="148" t="inlineStr">
        <is>
          <t>Direct</t>
        </is>
      </c>
      <c r="AK625" s="148" t="inlineStr">
        <is>
          <t>Same product (comforter) in the same material family: Synthetic cooling knit (product page material: 85% Nylon, 15% Spandex); ours: BreezeWeave cooling fabric, nylon-spandex like CooLoom (confirmed Oct 15, 2026).</t>
        </is>
      </c>
    </row>
    <row r="626">
      <c r="A626" s="148">
        <f>AND(E626="US",OR('US Dashboard'!$C$4="All",'US Dashboard'!$C$4=D626),OR('US Dashboard'!$C$5="All",'US Dashboard'!$C$5=G626),OR('US Dashboard'!$C$6="All",'US Dashboard'!$C$6=H626),OR('US Dashboard'!$C$7="All",'US Dashboard'!$C$7=F626),OR('US Dashboard'!$C$8="All",'US Dashboard'!$C$8=AJ626))</f>
        <v/>
      </c>
      <c r="B626" s="148">
        <f>IF(A626,B625+1,B625)</f>
        <v/>
      </c>
      <c r="C626" s="148" t="n">
        <v>42</v>
      </c>
      <c r="D626" s="148" t="inlineStr">
        <is>
          <t>SL Cooling Comforter</t>
        </is>
      </c>
      <c r="E626" s="148" t="inlineStr">
        <is>
          <t>US</t>
        </is>
      </c>
      <c r="F626" s="148" t="inlineStr">
        <is>
          <t>Cooling</t>
        </is>
      </c>
      <c r="G626" s="148" t="inlineStr">
        <is>
          <t>bedsmile</t>
        </is>
      </c>
      <c r="H626" s="148" t="inlineStr">
        <is>
          <t>Beatable</t>
        </is>
      </c>
      <c r="I626" s="148" t="inlineStr">
        <is>
          <t>SL Cooling Comforter</t>
        </is>
      </c>
      <c r="J626" s="148" t="inlineStr">
        <is>
          <t>https://m.media-amazon.com/images/I/71EMZA5-oPL._AC_SL1500_.jpg</t>
        </is>
      </c>
      <c r="K626" s="148" t="inlineStr">
        <is>
          <t>B0DWNGWXVQ</t>
        </is>
      </c>
      <c r="L626" s="148" t="inlineStr">
        <is>
          <t>B0DWNFHNXL</t>
        </is>
      </c>
      <c r="M626" s="148" t="n">
        <v>19</v>
      </c>
      <c r="N626" s="148" t="n">
        <v>44.99</v>
      </c>
      <c r="O626" s="148" t="n"/>
      <c r="P626" s="148">
        <f>IF(AND(ISNUMBER(O626),ISNUMBER(N626),N(N626)&gt;0),O626/N626-1,"")</f>
        <v/>
      </c>
      <c r="Q626" s="148" t="n">
        <v>69.98999999999999</v>
      </c>
      <c r="R626" s="148">
        <f>IF(AND(ISNUMBER(N626),ISNUMBER(Q626),N(Q626)&gt;0),N626/Q626-1,"")</f>
        <v/>
      </c>
      <c r="S626" s="148" t="n">
        <v>25690</v>
      </c>
      <c r="T626" s="148" t="n">
        <v>92</v>
      </c>
      <c r="U626" s="148" t="n">
        <v>4.3</v>
      </c>
      <c r="V626" s="148" t="n">
        <v>741</v>
      </c>
      <c r="W626" s="148" t="n">
        <v>150494</v>
      </c>
      <c r="X626" s="148" t="n">
        <v>0.7684716287692533</v>
      </c>
      <c r="Y626" s="148" t="n">
        <v>15</v>
      </c>
      <c r="Z626" s="148" t="n">
        <v>190</v>
      </c>
      <c r="AA626" s="148" t="n">
        <v>309</v>
      </c>
      <c r="AB626" s="148" t="n"/>
      <c r="AC626" s="148" t="inlineStr">
        <is>
          <t>US SL Cooling Comforter</t>
        </is>
      </c>
      <c r="AD626" s="148">
        <f>'US SL Cooling Comforter'!BF65</f>
        <v/>
      </c>
      <c r="AE626" s="148">
        <f>'US SL Cooling Comforter'!BI65</f>
        <v/>
      </c>
      <c r="AF626" s="148" t="inlineStr">
        <is>
          <t>Queen(90"x90")</t>
        </is>
      </c>
      <c r="AG626" s="148" t="inlineStr">
        <is>
          <t>Dark Gray</t>
        </is>
      </c>
      <c r="AH626" s="148">
        <f>AND(E626="CA",OR('CA Dashboard'!$C$4="All",'CA Dashboard'!$C$4=D626),OR('CA Dashboard'!$C$5="All",'CA Dashboard'!$C$5=G626),OR('CA Dashboard'!$C$6="All",'CA Dashboard'!$C$6=H626),OR('CA Dashboard'!$C$7="All",'CA Dashboard'!$C$7=F626),OR('CA Dashboard'!$C$8="All",'CA Dashboard'!$C$8=AJ626))</f>
        <v/>
      </c>
      <c r="AI626" s="148">
        <f>IF(AH626,AI625+1,AI625)</f>
        <v/>
      </c>
      <c r="AJ626" s="148" t="inlineStr">
        <is>
          <t>Direct</t>
        </is>
      </c>
      <c r="AK626" s="148" t="inlineStr">
        <is>
          <t>Same product (comforter) in the same material family: Synthetic cooling knit (product page material: Nylon); ours: BreezeWeave cooling fabric, nylon-spandex like CooLoom (confirmed Oct 15, 2026).</t>
        </is>
      </c>
    </row>
    <row r="627">
      <c r="A627" s="148">
        <f>AND(E627="US",OR('US Dashboard'!$C$4="All",'US Dashboard'!$C$4=D627),OR('US Dashboard'!$C$5="All",'US Dashboard'!$C$5=G627),OR('US Dashboard'!$C$6="All",'US Dashboard'!$C$6=H627),OR('US Dashboard'!$C$7="All",'US Dashboard'!$C$7=F627),OR('US Dashboard'!$C$8="All",'US Dashboard'!$C$8=AJ627))</f>
        <v/>
      </c>
      <c r="B627" s="148">
        <f>IF(A627,B626+1,B626)</f>
        <v/>
      </c>
      <c r="C627" s="148" t="n">
        <v>42</v>
      </c>
      <c r="D627" s="148" t="inlineStr">
        <is>
          <t>SL Cooling Comforter</t>
        </is>
      </c>
      <c r="E627" s="148" t="inlineStr">
        <is>
          <t>US</t>
        </is>
      </c>
      <c r="F627" s="148" t="inlineStr">
        <is>
          <t>Cooling</t>
        </is>
      </c>
      <c r="G627" s="148" t="inlineStr">
        <is>
          <t>EASELAND</t>
        </is>
      </c>
      <c r="H627" s="148" t="inlineStr">
        <is>
          <t>Beatable</t>
        </is>
      </c>
      <c r="I627" s="148" t="inlineStr">
        <is>
          <t>SL Cooling Comforter</t>
        </is>
      </c>
      <c r="J627" s="148" t="inlineStr">
        <is>
          <t>https://m.media-amazon.com/images/I/71gyU+FTBWL._AC_SL1500_.jpg</t>
        </is>
      </c>
      <c r="K627" s="148" t="inlineStr">
        <is>
          <t>B0HFJBMMDZ</t>
        </is>
      </c>
      <c r="L627" s="148" t="inlineStr">
        <is>
          <t>B0BQ6YY21S</t>
        </is>
      </c>
      <c r="M627" s="148" t="n">
        <v>9</v>
      </c>
      <c r="N627" s="148" t="n">
        <v>48.9</v>
      </c>
      <c r="O627" s="148" t="n"/>
      <c r="P627" s="148">
        <f>IF(AND(ISNUMBER(O627),ISNUMBER(N627),N(N627)&gt;0),O627/N627-1,"")</f>
        <v/>
      </c>
      <c r="Q627" s="148" t="n">
        <v>67.68230769230767</v>
      </c>
      <c r="R627" s="148">
        <f>IF(AND(ISNUMBER(N627),ISNUMBER(Q627),N(Q627)&gt;0),N627/Q627-1,"")</f>
        <v/>
      </c>
      <c r="S627" s="148" t="n">
        <v>33756</v>
      </c>
      <c r="T627" s="148" t="n">
        <v>81</v>
      </c>
      <c r="U627" s="148" t="n">
        <v>4.4</v>
      </c>
      <c r="V627" s="148" t="n">
        <v>1093</v>
      </c>
      <c r="W627" s="148" t="n">
        <v>110161</v>
      </c>
      <c r="X627" s="148" t="n">
        <v>0.8081959241473839</v>
      </c>
      <c r="Y627" s="148" t="n">
        <v>34</v>
      </c>
      <c r="Z627" s="148" t="n">
        <v>186</v>
      </c>
      <c r="AA627" s="148" t="n">
        <v>401</v>
      </c>
      <c r="AB627" s="148" t="n">
        <v>0.8732339089481946</v>
      </c>
      <c r="AC627" s="148" t="inlineStr">
        <is>
          <t>US SL Cooling Comforter</t>
        </is>
      </c>
      <c r="AD627" s="148">
        <f>'US SL Cooling Comforter'!BF66</f>
        <v/>
      </c>
      <c r="AE627" s="148">
        <f>'US SL Cooling Comforter'!BI66</f>
        <v/>
      </c>
      <c r="AF627" s="148" t="inlineStr">
        <is>
          <t>90"x90"</t>
        </is>
      </c>
      <c r="AG627" s="148" t="inlineStr">
        <is>
          <t>Grey</t>
        </is>
      </c>
      <c r="AH627" s="148">
        <f>AND(E627="CA",OR('CA Dashboard'!$C$4="All",'CA Dashboard'!$C$4=D627),OR('CA Dashboard'!$C$5="All",'CA Dashboard'!$C$5=G627),OR('CA Dashboard'!$C$6="All",'CA Dashboard'!$C$6=H627),OR('CA Dashboard'!$C$7="All",'CA Dashboard'!$C$7=F627),OR('CA Dashboard'!$C$8="All",'CA Dashboard'!$C$8=AJ627))</f>
        <v/>
      </c>
      <c r="AI627" s="148">
        <f>IF(AH627,AI626+1,AI626)</f>
        <v/>
      </c>
      <c r="AJ627" s="148" t="inlineStr">
        <is>
          <t>Direct</t>
        </is>
      </c>
      <c r="AK627" s="148" t="inlineStr">
        <is>
          <t>Same product (comforter) in the same material family: Synthetic cooling knit (product page material: 90% Cooling Nylon,10% Spandex); ours: BreezeWeave cooling fabric, nylon-spandex like CooLoom (confirmed Oct 15, 2026).</t>
        </is>
      </c>
    </row>
    <row r="628">
      <c r="A628" s="148">
        <f>AND(E628="US",OR('US Dashboard'!$C$4="All",'US Dashboard'!$C$4=D628),OR('US Dashboard'!$C$5="All",'US Dashboard'!$C$5=G628),OR('US Dashboard'!$C$6="All",'US Dashboard'!$C$6=H628),OR('US Dashboard'!$C$7="All",'US Dashboard'!$C$7=F628),OR('US Dashboard'!$C$8="All",'US Dashboard'!$C$8=AJ628))</f>
        <v/>
      </c>
      <c r="B628" s="148">
        <f>IF(A628,B627+1,B627)</f>
        <v/>
      </c>
      <c r="C628" s="148" t="n">
        <v>42</v>
      </c>
      <c r="D628" s="148" t="inlineStr">
        <is>
          <t>SL Cooling Comforter</t>
        </is>
      </c>
      <c r="E628" s="148" t="inlineStr">
        <is>
          <t>US</t>
        </is>
      </c>
      <c r="F628" s="148" t="inlineStr">
        <is>
          <t>Cooling</t>
        </is>
      </c>
      <c r="G628" s="148" t="inlineStr">
        <is>
          <t>Elegear</t>
        </is>
      </c>
      <c r="H628" s="148" t="inlineStr">
        <is>
          <t>Beatable</t>
        </is>
      </c>
      <c r="I628" s="148" t="inlineStr">
        <is>
          <t>SL Cooling Comforter</t>
        </is>
      </c>
      <c r="J628" s="148" t="inlineStr">
        <is>
          <t>https://m.media-amazon.com/images/I/71B7Gv9AHOL._AC_SL1500_.jpg</t>
        </is>
      </c>
      <c r="K628" s="148" t="inlineStr">
        <is>
          <t>B0D4J5Q1TK</t>
        </is>
      </c>
      <c r="L628" s="148" t="inlineStr">
        <is>
          <t>B094C72SZ4</t>
        </is>
      </c>
      <c r="M628" s="148" t="n">
        <v>14</v>
      </c>
      <c r="N628" s="148" t="n">
        <v>39.98</v>
      </c>
      <c r="O628" s="148" t="n">
        <v>44.89</v>
      </c>
      <c r="P628" s="148">
        <f>IF(AND(ISNUMBER(O628),ISNUMBER(N628),N(N628)&gt;0),O628/N628-1,"")</f>
        <v/>
      </c>
      <c r="Q628" s="148" t="n">
        <v>69.98999999999999</v>
      </c>
      <c r="R628" s="148">
        <f>IF(AND(ISNUMBER(N628),ISNUMBER(Q628),N(Q628)&gt;0),N628/Q628-1,"")</f>
        <v/>
      </c>
      <c r="S628" s="148" t="n">
        <v>90652</v>
      </c>
      <c r="T628" s="148" t="n">
        <v>35</v>
      </c>
      <c r="U628" s="148" t="n">
        <v>4.2</v>
      </c>
      <c r="V628" s="148" t="n">
        <v>1487</v>
      </c>
      <c r="W628" s="148" t="n">
        <v>25258</v>
      </c>
      <c r="X628" s="148" t="n">
        <v>0.8588992715179345</v>
      </c>
      <c r="Y628" s="148" t="n">
        <v>63</v>
      </c>
      <c r="Z628" s="148" t="n">
        <v>83</v>
      </c>
      <c r="AA628" s="148" t="n">
        <v>138</v>
      </c>
      <c r="AB628" s="148" t="n"/>
      <c r="AC628" s="148" t="inlineStr">
        <is>
          <t>US SL Cooling Comforter</t>
        </is>
      </c>
      <c r="AD628" s="148">
        <f>'US SL Cooling Comforter'!BF67</f>
        <v/>
      </c>
      <c r="AE628" s="148">
        <f>'US SL Cooling Comforter'!BI67</f>
        <v/>
      </c>
      <c r="AF628" s="148" t="inlineStr">
        <is>
          <t>Queen 79'' x 86''</t>
        </is>
      </c>
      <c r="AG628" s="148" t="inlineStr">
        <is>
          <t>Dark Gray</t>
        </is>
      </c>
      <c r="AH628" s="148">
        <f>AND(E628="CA",OR('CA Dashboard'!$C$4="All",'CA Dashboard'!$C$4=D628),OR('CA Dashboard'!$C$5="All",'CA Dashboard'!$C$5=G628),OR('CA Dashboard'!$C$6="All",'CA Dashboard'!$C$6=H628),OR('CA Dashboard'!$C$7="All",'CA Dashboard'!$C$7=F628),OR('CA Dashboard'!$C$8="All",'CA Dashboard'!$C$8=AJ628))</f>
        <v/>
      </c>
      <c r="AI628" s="148">
        <f>IF(AH628,AI627+1,AI627)</f>
        <v/>
      </c>
      <c r="AJ628" s="148" t="inlineStr">
        <is>
          <t>Direct</t>
        </is>
      </c>
      <c r="AK628" s="148" t="inlineStr">
        <is>
          <t>Same product (comforter) in the same material family: Synthetic cooling knit (product page material: Arc-Chill® 3.0 Cool Fabric); ours: BreezeWeave cooling fabric, nylon-spandex like CooLoom (confirmed Oct 15, 2026).</t>
        </is>
      </c>
    </row>
    <row r="629">
      <c r="A629" s="148">
        <f>AND(E629="US",OR('US Dashboard'!$C$4="All",'US Dashboard'!$C$4=D629),OR('US Dashboard'!$C$5="All",'US Dashboard'!$C$5=G629),OR('US Dashboard'!$C$6="All",'US Dashboard'!$C$6=H629),OR('US Dashboard'!$C$7="All",'US Dashboard'!$C$7=F629),OR('US Dashboard'!$C$8="All",'US Dashboard'!$C$8=AJ629))</f>
        <v/>
      </c>
      <c r="B629" s="148">
        <f>IF(A629,B628+1,B628)</f>
        <v/>
      </c>
      <c r="C629" s="148" t="n">
        <v>42</v>
      </c>
      <c r="D629" s="148" t="inlineStr">
        <is>
          <t>SL Cooling Comforter</t>
        </is>
      </c>
      <c r="E629" s="148" t="inlineStr">
        <is>
          <t>US</t>
        </is>
      </c>
      <c r="F629" s="148" t="inlineStr">
        <is>
          <t>Cooling</t>
        </is>
      </c>
      <c r="G629" s="148" t="inlineStr">
        <is>
          <t>Gehtmnl</t>
        </is>
      </c>
      <c r="H629" s="148" t="inlineStr">
        <is>
          <t>Beatable</t>
        </is>
      </c>
      <c r="I629" s="148" t="inlineStr">
        <is>
          <t>SL Cooling Comforter</t>
        </is>
      </c>
      <c r="J629" s="148" t="inlineStr">
        <is>
          <t>https://m.media-amazon.com/images/I/71Aydw6Ao8L._AC_SL1500_.jpg</t>
        </is>
      </c>
      <c r="K629" s="148" t="inlineStr">
        <is>
          <t>B0GKFXT56N</t>
        </is>
      </c>
      <c r="L629" s="148" t="inlineStr">
        <is>
          <t>B0GKHZKQ9W</t>
        </is>
      </c>
      <c r="M629" s="148" t="n">
        <v>16</v>
      </c>
      <c r="N629" s="148" t="n">
        <v>53.99</v>
      </c>
      <c r="O629" s="148" t="n"/>
      <c r="P629" s="148">
        <f>IF(AND(ISNUMBER(O629),ISNUMBER(N629),N(N629)&gt;0),O629/N629-1,"")</f>
        <v/>
      </c>
      <c r="Q629" s="148" t="n">
        <v>69.98999999999999</v>
      </c>
      <c r="R629" s="148">
        <f>IF(AND(ISNUMBER(N629),ISNUMBER(Q629),N(Q629)&gt;0),N629/Q629-1,"")</f>
        <v/>
      </c>
      <c r="S629" s="148" t="n">
        <v>74902</v>
      </c>
      <c r="T629" s="148" t="n">
        <v>35</v>
      </c>
      <c r="U629" s="148" t="n">
        <v>4.4</v>
      </c>
      <c r="V629" s="148" t="n">
        <v>655</v>
      </c>
      <c r="W629" s="148" t="n">
        <v>69715</v>
      </c>
      <c r="X629" s="148" t="n">
        <v>0.7072078304525564</v>
      </c>
      <c r="Y629" s="148" t="n">
        <v>52</v>
      </c>
      <c r="Z629" s="148" t="n">
        <v>114</v>
      </c>
      <c r="AA629" s="148" t="n">
        <v>256</v>
      </c>
      <c r="AB629" s="148" t="n">
        <v>1.454662104362703</v>
      </c>
      <c r="AC629" s="148" t="inlineStr">
        <is>
          <t>US SL Cooling Comforter</t>
        </is>
      </c>
      <c r="AD629" s="148">
        <f>'US SL Cooling Comforter'!BF68</f>
        <v/>
      </c>
      <c r="AE629" s="148">
        <f>'US SL Cooling Comforter'!BI68</f>
        <v/>
      </c>
      <c r="AF629" s="148" t="inlineStr">
        <is>
          <t>Queen(90"x90")</t>
        </is>
      </c>
      <c r="AG629" s="148" t="inlineStr">
        <is>
          <t>Frosty Light Grey</t>
        </is>
      </c>
      <c r="AH629" s="148">
        <f>AND(E629="CA",OR('CA Dashboard'!$C$4="All",'CA Dashboard'!$C$4=D629),OR('CA Dashboard'!$C$5="All",'CA Dashboard'!$C$5=G629),OR('CA Dashboard'!$C$6="All",'CA Dashboard'!$C$6=H629),OR('CA Dashboard'!$C$7="All",'CA Dashboard'!$C$7=F629),OR('CA Dashboard'!$C$8="All",'CA Dashboard'!$C$8=AJ629))</f>
        <v/>
      </c>
      <c r="AI629" s="148">
        <f>IF(AH629,AI628+1,AI628)</f>
        <v/>
      </c>
      <c r="AJ629" s="148" t="inlineStr">
        <is>
          <t>Direct</t>
        </is>
      </c>
      <c r="AK629" s="148" t="inlineStr">
        <is>
          <t>Same product (comforter) in the same material family: Synthetic cooling knit (product page material: Nylon); ours: BreezeWeave cooling fabric, nylon-spandex like CooLoom (confirmed Oct 15, 2026).</t>
        </is>
      </c>
    </row>
    <row r="630">
      <c r="A630" s="148">
        <f>AND(E630="US",OR('US Dashboard'!$C$4="All",'US Dashboard'!$C$4=D630),OR('US Dashboard'!$C$5="All",'US Dashboard'!$C$5=G630),OR('US Dashboard'!$C$6="All",'US Dashboard'!$C$6=H630),OR('US Dashboard'!$C$7="All",'US Dashboard'!$C$7=F630),OR('US Dashboard'!$C$8="All",'US Dashboard'!$C$8=AJ630))</f>
        <v/>
      </c>
      <c r="B630" s="148">
        <f>IF(A630,B629+1,B629)</f>
        <v/>
      </c>
      <c r="C630" s="148" t="n">
        <v>42</v>
      </c>
      <c r="D630" s="148" t="inlineStr">
        <is>
          <t>SL Cooling Comforter</t>
        </is>
      </c>
      <c r="E630" s="148" t="inlineStr">
        <is>
          <t>US</t>
        </is>
      </c>
      <c r="F630" s="148" t="inlineStr">
        <is>
          <t>Cooling</t>
        </is>
      </c>
      <c r="G630" s="148" t="inlineStr">
        <is>
          <t>Vine Voice</t>
        </is>
      </c>
      <c r="H630" s="148" t="inlineStr">
        <is>
          <t>Beatable</t>
        </is>
      </c>
      <c r="I630" s="148" t="inlineStr">
        <is>
          <t>SL Cooling Comforter</t>
        </is>
      </c>
      <c r="J630" s="148" t="inlineStr">
        <is>
          <t>https://m.media-amazon.com/images/I/61859HweXCL._AC_SL1500_.jpg</t>
        </is>
      </c>
      <c r="K630" s="148" t="inlineStr">
        <is>
          <t>B0GVYJX6MB</t>
        </is>
      </c>
      <c r="L630" s="148" t="inlineStr">
        <is>
          <t>B0GK9776YF</t>
        </is>
      </c>
      <c r="M630" s="148" t="n">
        <v>39</v>
      </c>
      <c r="N630" s="148" t="n">
        <v>56.99</v>
      </c>
      <c r="O630" s="148" t="n"/>
      <c r="P630" s="148">
        <f>IF(AND(ISNUMBER(O630),ISNUMBER(N630),N(N630)&gt;0),O630/N630-1,"")</f>
        <v/>
      </c>
      <c r="Q630" s="148" t="n">
        <v>64.98999999999999</v>
      </c>
      <c r="R630" s="148">
        <f>IF(AND(ISNUMBER(N630),ISNUMBER(Q630),N(Q630)&gt;0),N630/Q630-1,"")</f>
        <v/>
      </c>
      <c r="S630" s="148" t="n">
        <v>28045</v>
      </c>
      <c r="T630" s="148" t="n">
        <v>35</v>
      </c>
      <c r="U630" s="148" t="n">
        <v>4.4</v>
      </c>
      <c r="V630" s="148" t="n">
        <v>888</v>
      </c>
      <c r="W630" s="148" t="n">
        <v>149817</v>
      </c>
      <c r="X630" s="148" t="n">
        <v>0.7796245933372051</v>
      </c>
      <c r="Y630" s="148" t="n">
        <v>11</v>
      </c>
      <c r="Z630" s="148" t="n">
        <v>189</v>
      </c>
      <c r="AA630" s="148" t="n">
        <v>292</v>
      </c>
      <c r="AB630" s="148" t="n"/>
      <c r="AC630" s="148" t="inlineStr">
        <is>
          <t>US SL Cooling Comforter</t>
        </is>
      </c>
      <c r="AD630" s="148">
        <f>'US SL Cooling Comforter'!BF69</f>
        <v/>
      </c>
      <c r="AE630" s="148">
        <f>'US SL Cooling Comforter'!BI69</f>
        <v/>
      </c>
      <c r="AF630" s="148" t="inlineStr">
        <is>
          <t>Full / Queen (90"x90")</t>
        </is>
      </c>
      <c r="AG630" s="148" t="inlineStr">
        <is>
          <t>Silver Gray</t>
        </is>
      </c>
      <c r="AH630" s="148">
        <f>AND(E630="CA",OR('CA Dashboard'!$C$4="All",'CA Dashboard'!$C$4=D630),OR('CA Dashboard'!$C$5="All",'CA Dashboard'!$C$5=G630),OR('CA Dashboard'!$C$6="All",'CA Dashboard'!$C$6=H630),OR('CA Dashboard'!$C$7="All",'CA Dashboard'!$C$7=F630),OR('CA Dashboard'!$C$8="All",'CA Dashboard'!$C$8=AJ630))</f>
        <v/>
      </c>
      <c r="AI630" s="148">
        <f>IF(AH630,AI629+1,AI629)</f>
        <v/>
      </c>
      <c r="AJ630" s="148" t="inlineStr">
        <is>
          <t>Direct</t>
        </is>
      </c>
      <c r="AK630" s="148" t="inlineStr">
        <is>
          <t>Same product (comforter) in the same material family: Synthetic cooling knit (product page material: Nylon); ours: BreezeWeave cooling fabric, nylon-spandex like CooLoom (confirmed Oct 15, 2026).</t>
        </is>
      </c>
    </row>
    <row r="631">
      <c r="A631" s="148">
        <f>AND(E631="US",OR('US Dashboard'!$C$4="All",'US Dashboard'!$C$4=D631),OR('US Dashboard'!$C$5="All",'US Dashboard'!$C$5=G631),OR('US Dashboard'!$C$6="All",'US Dashboard'!$C$6=H631),OR('US Dashboard'!$C$7="All",'US Dashboard'!$C$7=F631),OR('US Dashboard'!$C$8="All",'US Dashboard'!$C$8=AJ631))</f>
        <v/>
      </c>
      <c r="B631" s="148">
        <f>IF(A631,B630+1,B630)</f>
        <v/>
      </c>
      <c r="C631" s="148" t="n">
        <v>42</v>
      </c>
      <c r="D631" s="148" t="inlineStr">
        <is>
          <t>SL Cooling Comforter</t>
        </is>
      </c>
      <c r="E631" s="148" t="inlineStr">
        <is>
          <t>US</t>
        </is>
      </c>
      <c r="F631" s="148" t="inlineStr">
        <is>
          <t>Cooling</t>
        </is>
      </c>
      <c r="G631" s="148" t="inlineStr">
        <is>
          <t>Breescape</t>
        </is>
      </c>
      <c r="H631" s="148" t="inlineStr">
        <is>
          <t>Beatable</t>
        </is>
      </c>
      <c r="I631" s="148" t="inlineStr">
        <is>
          <t>SL Cooling Comforter</t>
        </is>
      </c>
      <c r="J631" s="148" t="inlineStr">
        <is>
          <t>https://m.media-amazon.com/images/I/71MQ5TmOMXL._AC_SL1500_.jpg</t>
        </is>
      </c>
      <c r="K631" s="148" t="inlineStr">
        <is>
          <t>B0F38CR981</t>
        </is>
      </c>
      <c r="L631" s="148" t="inlineStr">
        <is>
          <t>B0DSPZQ9JG</t>
        </is>
      </c>
      <c r="M631" s="148" t="n">
        <v>19</v>
      </c>
      <c r="N631" s="148" t="n">
        <v>149.99</v>
      </c>
      <c r="O631" s="148" t="n"/>
      <c r="P631" s="148">
        <f>IF(AND(ISNUMBER(O631),ISNUMBER(N631),N(N631)&gt;0),O631/N631-1,"")</f>
        <v/>
      </c>
      <c r="Q631" s="148" t="n">
        <v>79.98999999999999</v>
      </c>
      <c r="R631" s="148">
        <f>IF(AND(ISNUMBER(N631),ISNUMBER(Q631),N(Q631)&gt;0),N631/Q631-1,"")</f>
        <v/>
      </c>
      <c r="S631" s="148" t="n">
        <v>110181</v>
      </c>
      <c r="T631" s="148" t="n">
        <v>18</v>
      </c>
      <c r="U631" s="148" t="n">
        <v>4.4</v>
      </c>
      <c r="V631" s="148" t="n">
        <v>343</v>
      </c>
      <c r="W631" s="148" t="n">
        <v>87874</v>
      </c>
      <c r="X631" s="148" t="n">
        <v>0.2855783553724651</v>
      </c>
      <c r="Y631" s="148" t="n">
        <v>47</v>
      </c>
      <c r="Z631" s="148" t="n">
        <v>183</v>
      </c>
      <c r="AA631" s="148" t="n">
        <v>1556</v>
      </c>
      <c r="AB631" s="148" t="n">
        <v>1.336633663366336</v>
      </c>
      <c r="AC631" s="148" t="inlineStr">
        <is>
          <t>US SL Cooling Comforter</t>
        </is>
      </c>
      <c r="AD631" s="148">
        <f>'US SL Cooling Comforter'!BF70</f>
        <v/>
      </c>
      <c r="AE631" s="148">
        <f>'US SL Cooling Comforter'!BI70</f>
        <v/>
      </c>
      <c r="AF631" s="148" t="inlineStr">
        <is>
          <t>King / Cali King (96"x106")</t>
        </is>
      </c>
      <c r="AG631" s="148" t="inlineStr">
        <is>
          <t>Misty Gray</t>
        </is>
      </c>
      <c r="AH631" s="148">
        <f>AND(E631="CA",OR('CA Dashboard'!$C$4="All",'CA Dashboard'!$C$4=D631),OR('CA Dashboard'!$C$5="All",'CA Dashboard'!$C$5=G631),OR('CA Dashboard'!$C$6="All",'CA Dashboard'!$C$6=H631),OR('CA Dashboard'!$C$7="All",'CA Dashboard'!$C$7=F631),OR('CA Dashboard'!$C$8="All",'CA Dashboard'!$C$8=AJ631))</f>
        <v/>
      </c>
      <c r="AI631" s="148">
        <f>IF(AH631,AI630+1,AI630)</f>
        <v/>
      </c>
      <c r="AJ631" s="148" t="inlineStr">
        <is>
          <t>Direct</t>
        </is>
      </c>
      <c r="AK631" s="148" t="inlineStr">
        <is>
          <t>Same product (comforter) in the same material family: Synthetic cooling knit (product page material: BlendTek Fabric); ours: BreezeWeave cooling fabric, nylon-spandex like CooLoom (confirmed Oct 15, 2026).</t>
        </is>
      </c>
    </row>
    <row r="632">
      <c r="A632" s="148">
        <f>AND(E632="US",OR('US Dashboard'!$C$4="All",'US Dashboard'!$C$4=D632),OR('US Dashboard'!$C$5="All",'US Dashboard'!$C$5=G632),OR('US Dashboard'!$C$6="All",'US Dashboard'!$C$6=H632),OR('US Dashboard'!$C$7="All",'US Dashboard'!$C$7=F632),OR('US Dashboard'!$C$8="All",'US Dashboard'!$C$8=AJ632))</f>
        <v/>
      </c>
      <c r="B632" s="148">
        <f>IF(A632,B631+1,B631)</f>
        <v/>
      </c>
      <c r="C632" s="148" t="n">
        <v>42</v>
      </c>
      <c r="D632" s="148" t="inlineStr">
        <is>
          <t>SL Cooling Comforter</t>
        </is>
      </c>
      <c r="E632" s="148" t="inlineStr">
        <is>
          <t>US</t>
        </is>
      </c>
      <c r="F632" s="148" t="inlineStr">
        <is>
          <t>Cooling</t>
        </is>
      </c>
      <c r="G632" s="148" t="inlineStr">
        <is>
          <t>Bedsure</t>
        </is>
      </c>
      <c r="H632" s="148" t="inlineStr">
        <is>
          <t>Beatable</t>
        </is>
      </c>
      <c r="I632" s="148" t="inlineStr">
        <is>
          <t>SL Cooling Comforter</t>
        </is>
      </c>
      <c r="J632" s="148" t="inlineStr">
        <is>
          <t>https://m.media-amazon.com/images/I/81aCc4lf8iL._AC_SL1500_.jpg</t>
        </is>
      </c>
      <c r="K632" s="148" t="inlineStr">
        <is>
          <t>B0DYZMVM53</t>
        </is>
      </c>
      <c r="L632" s="148" t="inlineStr">
        <is>
          <t>B0DFW11ZMW</t>
        </is>
      </c>
      <c r="M632" s="148" t="n">
        <v>5</v>
      </c>
      <c r="N632" s="148" t="n">
        <v>41.85</v>
      </c>
      <c r="O632" s="148" t="n"/>
      <c r="P632" s="148">
        <f>IF(AND(ISNUMBER(O632),ISNUMBER(N632),N(N632)&gt;0),O632/N632-1,"")</f>
        <v/>
      </c>
      <c r="Q632" s="148" t="n">
        <v>64.98999999999999</v>
      </c>
      <c r="R632" s="148">
        <f>IF(AND(ISNUMBER(N632),ISNUMBER(Q632),N(Q632)&gt;0),N632/Q632-1,"")</f>
        <v/>
      </c>
      <c r="S632" s="148" t="n">
        <v>225567</v>
      </c>
      <c r="T632" s="148" t="n">
        <v>5</v>
      </c>
      <c r="U632" s="148" t="n">
        <v>4.4</v>
      </c>
      <c r="V632" s="148" t="n">
        <v>282</v>
      </c>
      <c r="W632" s="148" t="n">
        <v>18504</v>
      </c>
      <c r="X632" s="148" t="n">
        <v>0.9711953307392996</v>
      </c>
      <c r="Y632" s="148" t="n">
        <v>41</v>
      </c>
      <c r="Z632" s="148" t="n">
        <v>52</v>
      </c>
      <c r="AA632" s="148" t="n">
        <v>1</v>
      </c>
      <c r="AB632" s="148" t="n"/>
      <c r="AC632" s="148" t="inlineStr">
        <is>
          <t>US SL Cooling Comforter</t>
        </is>
      </c>
      <c r="AD632" s="148">
        <f>'US SL Cooling Comforter'!BF71</f>
        <v/>
      </c>
      <c r="AE632" s="148">
        <f>'US SL Cooling Comforter'!BI71</f>
        <v/>
      </c>
      <c r="AF632" s="148" t="inlineStr">
        <is>
          <t>Full/Queen(88"x88")</t>
        </is>
      </c>
      <c r="AG632" s="148" t="inlineStr">
        <is>
          <t>Gray</t>
        </is>
      </c>
      <c r="AH632" s="148">
        <f>AND(E632="CA",OR('CA Dashboard'!$C$4="All",'CA Dashboard'!$C$4=D632),OR('CA Dashboard'!$C$5="All",'CA Dashboard'!$C$5=G632),OR('CA Dashboard'!$C$6="All",'CA Dashboard'!$C$6=H632),OR('CA Dashboard'!$C$7="All",'CA Dashboard'!$C$7=F632),OR('CA Dashboard'!$C$8="All",'CA Dashboard'!$C$8=AJ632))</f>
        <v/>
      </c>
      <c r="AI632" s="148">
        <f>IF(AH632,AI631+1,AI631)</f>
        <v/>
      </c>
      <c r="AJ632" s="148" t="inlineStr">
        <is>
          <t>Direct</t>
        </is>
      </c>
      <c r="AK632" s="148" t="inlineStr">
        <is>
          <t>Same product (comforter) in the same material family: Synthetic cooling knit (product page material: Nylon); ours: BreezeWeave cooling fabric, nylon-spandex like CooLoom (confirmed Oct 15, 2026).</t>
        </is>
      </c>
    </row>
    <row r="633">
      <c r="A633" s="148">
        <f>AND(E633="US",OR('US Dashboard'!$C$4="All",'US Dashboard'!$C$4=D633),OR('US Dashboard'!$C$5="All",'US Dashboard'!$C$5=G633),OR('US Dashboard'!$C$6="All",'US Dashboard'!$C$6=H633),OR('US Dashboard'!$C$7="All",'US Dashboard'!$C$7=F633),OR('US Dashboard'!$C$8="All",'US Dashboard'!$C$8=AJ633))</f>
        <v/>
      </c>
      <c r="B633" s="148">
        <f>IF(A633,B632+1,B632)</f>
        <v/>
      </c>
      <c r="C633" s="148" t="n">
        <v>42</v>
      </c>
      <c r="D633" s="148" t="inlineStr">
        <is>
          <t>SL Cooling Comforter</t>
        </is>
      </c>
      <c r="E633" s="148" t="inlineStr">
        <is>
          <t>US</t>
        </is>
      </c>
      <c r="F633" s="148" t="inlineStr">
        <is>
          <t>Cooling</t>
        </is>
      </c>
      <c r="G633" s="148" t="inlineStr">
        <is>
          <t>DOWNCOOL</t>
        </is>
      </c>
      <c r="H633" s="148" t="inlineStr">
        <is>
          <t>Untiered</t>
        </is>
      </c>
      <c r="I633" s="148" t="inlineStr">
        <is>
          <t>SL Cooling Comforter</t>
        </is>
      </c>
      <c r="J633" s="148" t="inlineStr">
        <is>
          <t>https://m.media-amazon.com/images/I/81yu1O856KL._AC_SL1500_.jpg</t>
        </is>
      </c>
      <c r="K633" s="148" t="inlineStr">
        <is>
          <t>B0H71QH7J8</t>
        </is>
      </c>
      <c r="L633" s="148" t="inlineStr">
        <is>
          <t>B0G7YZWPHK</t>
        </is>
      </c>
      <c r="M633" s="148" t="n"/>
      <c r="N633" s="148" t="n">
        <v>31.99</v>
      </c>
      <c r="O633" s="148" t="n">
        <v>39.99</v>
      </c>
      <c r="P633" s="148">
        <f>IF(AND(ISNUMBER(O633),ISNUMBER(N633),N(N633)&gt;0),O633/N633-1,"")</f>
        <v/>
      </c>
      <c r="Q633" s="148" t="n">
        <v>64.98999999999999</v>
      </c>
      <c r="R633" s="148">
        <f>IF(AND(ISNUMBER(N633),ISNUMBER(Q633),N(Q633)&gt;0),N633/Q633-1,"")</f>
        <v/>
      </c>
      <c r="S633" s="148" t="n">
        <v>14419</v>
      </c>
      <c r="T633" s="148" t="n">
        <v>104</v>
      </c>
      <c r="U633" s="148" t="n">
        <v>4.4</v>
      </c>
      <c r="V633" s="148" t="n">
        <v>904</v>
      </c>
      <c r="W633" s="148" t="n"/>
      <c r="X633" s="148" t="n"/>
      <c r="Y633" s="148" t="n"/>
      <c r="Z633" s="148" t="n"/>
      <c r="AA633" s="148" t="n"/>
      <c r="AB633" s="148" t="n"/>
      <c r="AC633" s="148" t="inlineStr">
        <is>
          <t>US SL Cooling Comforter</t>
        </is>
      </c>
      <c r="AD633" s="148">
        <f>'US SL Cooling Comforter'!BF72</f>
        <v/>
      </c>
      <c r="AE633" s="148">
        <f>'US SL Cooling Comforter'!BI72</f>
        <v/>
      </c>
      <c r="AF633" s="148" t="inlineStr">
        <is>
          <t>Full/Queen(90"x90")</t>
        </is>
      </c>
      <c r="AG633" s="148" t="inlineStr">
        <is>
          <t>01dark Grey</t>
        </is>
      </c>
      <c r="AH633" s="148">
        <f>AND(E633="CA",OR('CA Dashboard'!$C$4="All",'CA Dashboard'!$C$4=D633),OR('CA Dashboard'!$C$5="All",'CA Dashboard'!$C$5=G633),OR('CA Dashboard'!$C$6="All",'CA Dashboard'!$C$6=H633),OR('CA Dashboard'!$C$7="All",'CA Dashboard'!$C$7=F633),OR('CA Dashboard'!$C$8="All",'CA Dashboard'!$C$8=AJ633))</f>
        <v/>
      </c>
      <c r="AI633" s="148">
        <f>IF(AH633,AI632+1,AI632)</f>
        <v/>
      </c>
      <c r="AJ633" s="148" t="inlineStr">
        <is>
          <t>Direct</t>
        </is>
      </c>
      <c r="AK633" s="148" t="inlineStr">
        <is>
          <t>Same product (comforter) in the same material family: Synthetic cooling knit (product page material: Nylon); ours: BreezeWeave cooling fabric, nylon-spandex like CooLoom (confirmed Oct 15, 2026).</t>
        </is>
      </c>
    </row>
    <row r="634">
      <c r="A634" s="148">
        <f>AND(E634="US",OR('US Dashboard'!$C$4="All",'US Dashboard'!$C$4=D634),OR('US Dashboard'!$C$5="All",'US Dashboard'!$C$5=G634),OR('US Dashboard'!$C$6="All",'US Dashboard'!$C$6=H634),OR('US Dashboard'!$C$7="All",'US Dashboard'!$C$7=F634),OR('US Dashboard'!$C$8="All",'US Dashboard'!$C$8=AJ634))</f>
        <v/>
      </c>
      <c r="B634" s="148">
        <f>IF(A634,B633+1,B633)</f>
        <v/>
      </c>
      <c r="C634" s="148" t="n">
        <v>42</v>
      </c>
      <c r="D634" s="148" t="inlineStr">
        <is>
          <t>SL Cooling Comforter</t>
        </is>
      </c>
      <c r="E634" s="148" t="inlineStr">
        <is>
          <t>US</t>
        </is>
      </c>
      <c r="F634" s="148" t="inlineStr">
        <is>
          <t>Cooling</t>
        </is>
      </c>
      <c r="G634" s="148" t="inlineStr">
        <is>
          <t>MASVIS</t>
        </is>
      </c>
      <c r="H634" s="148" t="inlineStr">
        <is>
          <t>Untiered</t>
        </is>
      </c>
      <c r="I634" s="148" t="inlineStr">
        <is>
          <t>SL Cooling Comforter</t>
        </is>
      </c>
      <c r="J634" s="148" t="inlineStr">
        <is>
          <t>https://m.media-amazon.com/images/I/81FADKRDqtL._AC_SL1500_.jpg</t>
        </is>
      </c>
      <c r="K634" s="148" t="inlineStr">
        <is>
          <t>B0GBWB3NSS</t>
        </is>
      </c>
      <c r="L634" s="148" t="inlineStr">
        <is>
          <t>B0GBV12MKL</t>
        </is>
      </c>
      <c r="M634" s="148" t="n"/>
      <c r="N634" s="148" t="n">
        <v>66.98999999999999</v>
      </c>
      <c r="O634" s="148" t="n"/>
      <c r="P634" s="148">
        <f>IF(AND(ISNUMBER(O634),ISNUMBER(N634),N(N634)&gt;0),O634/N634-1,"")</f>
        <v/>
      </c>
      <c r="Q634" s="148" t="n">
        <v>69.98999999999999</v>
      </c>
      <c r="R634" s="148">
        <f>IF(AND(ISNUMBER(N634),ISNUMBER(Q634),N(Q634)&gt;0),N634/Q634-1,"")</f>
        <v/>
      </c>
      <c r="S634" s="148" t="n">
        <v>469677</v>
      </c>
      <c r="T634" s="148" t="n">
        <v>5</v>
      </c>
      <c r="U634" s="148" t="n">
        <v>4.5</v>
      </c>
      <c r="V634" s="148" t="n">
        <v>204</v>
      </c>
      <c r="W634" s="148" t="n"/>
      <c r="X634" s="148" t="n"/>
      <c r="Y634" s="148" t="n"/>
      <c r="Z634" s="148" t="n"/>
      <c r="AA634" s="148" t="n"/>
      <c r="AB634" s="148" t="n"/>
      <c r="AC634" s="148" t="inlineStr">
        <is>
          <t>US SL Cooling Comforter</t>
        </is>
      </c>
      <c r="AD634" s="148">
        <f>'US SL Cooling Comforter'!BF73</f>
        <v/>
      </c>
      <c r="AE634" s="148">
        <f>'US SL Cooling Comforter'!BI73</f>
        <v/>
      </c>
      <c r="AF634" s="148" t="inlineStr">
        <is>
          <t>Queen (90"x90")</t>
        </is>
      </c>
      <c r="AG634" s="148" t="inlineStr">
        <is>
          <t>Beige</t>
        </is>
      </c>
      <c r="AH634" s="148">
        <f>AND(E634="CA",OR('CA Dashboard'!$C$4="All",'CA Dashboard'!$C$4=D634),OR('CA Dashboard'!$C$5="All",'CA Dashboard'!$C$5=G634),OR('CA Dashboard'!$C$6="All",'CA Dashboard'!$C$6=H634),OR('CA Dashboard'!$C$7="All",'CA Dashboard'!$C$7=F634),OR('CA Dashboard'!$C$8="All",'CA Dashboard'!$C$8=AJ634))</f>
        <v/>
      </c>
      <c r="AI634" s="148">
        <f>IF(AH634,AI633+1,AI633)</f>
        <v/>
      </c>
      <c r="AJ634" s="148" t="inlineStr">
        <is>
          <t>Direct</t>
        </is>
      </c>
      <c r="AK634" s="148" t="inlineStr">
        <is>
          <t>Same product (comforter) in the same material family: Synthetic cooling knit (product page material: Nylon); ours: BreezeWeave cooling fabric, nylon-spandex like CooLoom (confirmed Oct 15, 2026).</t>
        </is>
      </c>
    </row>
    <row r="635">
      <c r="A635" s="148">
        <f>AND(E635="US",OR('US Dashboard'!$C$4="All",'US Dashboard'!$C$4=D635),OR('US Dashboard'!$C$5="All",'US Dashboard'!$C$5=G635),OR('US Dashboard'!$C$6="All",'US Dashboard'!$C$6=H635),OR('US Dashboard'!$C$7="All",'US Dashboard'!$C$7=F635),OR('US Dashboard'!$C$8="All",'US Dashboard'!$C$8=AJ635))</f>
        <v/>
      </c>
      <c r="B635" s="148">
        <f>IF(A635,B634+1,B634)</f>
        <v/>
      </c>
      <c r="C635" s="148" t="n">
        <v>42</v>
      </c>
      <c r="D635" s="148" t="inlineStr">
        <is>
          <t>SL Cooling Comforter</t>
        </is>
      </c>
      <c r="E635" s="148" t="inlineStr">
        <is>
          <t>US</t>
        </is>
      </c>
      <c r="F635" s="148" t="inlineStr">
        <is>
          <t>Cooling</t>
        </is>
      </c>
      <c r="G635" s="148" t="inlineStr">
        <is>
          <t>Wolliwa</t>
        </is>
      </c>
      <c r="H635" s="148" t="inlineStr">
        <is>
          <t>Untiered</t>
        </is>
      </c>
      <c r="I635" s="148" t="inlineStr">
        <is>
          <t>SL Cooling Comforter</t>
        </is>
      </c>
      <c r="J635" s="148" t="inlineStr">
        <is>
          <t>https://m.media-amazon.com/images/I/71kB930U55L._AC_SL1500_.jpg</t>
        </is>
      </c>
      <c r="K635" s="148" t="inlineStr">
        <is>
          <t>B0FDWBSS6T</t>
        </is>
      </c>
      <c r="L635" s="148" t="inlineStr">
        <is>
          <t>B0DYNVCJG9</t>
        </is>
      </c>
      <c r="M635" s="148" t="n"/>
      <c r="N635" s="148" t="n">
        <v>40.37</v>
      </c>
      <c r="O635" s="148" t="n"/>
      <c r="P635" s="148">
        <f>IF(AND(ISNUMBER(O635),ISNUMBER(N635),N(N635)&gt;0),O635/N635-1,"")</f>
        <v/>
      </c>
      <c r="Q635" s="148" t="n">
        <v>67.68230769230767</v>
      </c>
      <c r="R635" s="148">
        <f>IF(AND(ISNUMBER(N635),ISNUMBER(Q635),N(Q635)&gt;0),N635/Q635-1,"")</f>
        <v/>
      </c>
      <c r="S635" s="148" t="n">
        <v>587105</v>
      </c>
      <c r="T635" s="148" t="n">
        <v>5</v>
      </c>
      <c r="U635" s="148" t="n">
        <v>4.5</v>
      </c>
      <c r="V635" s="148" t="n">
        <v>384</v>
      </c>
      <c r="W635" s="148" t="n"/>
      <c r="X635" s="148" t="n"/>
      <c r="Y635" s="148" t="n"/>
      <c r="Z635" s="148" t="n"/>
      <c r="AA635" s="148" t="n"/>
      <c r="AB635" s="148" t="n"/>
      <c r="AC635" s="148" t="inlineStr">
        <is>
          <t>US SL Cooling Comforter</t>
        </is>
      </c>
      <c r="AD635" s="148">
        <f>'US SL Cooling Comforter'!BF74</f>
        <v/>
      </c>
      <c r="AE635" s="148">
        <f>'US SL Cooling Comforter'!BI74</f>
        <v/>
      </c>
      <c r="AF635" s="148" t="inlineStr">
        <is>
          <t>108"x90“</t>
        </is>
      </c>
      <c r="AG635" s="148" t="inlineStr">
        <is>
          <t>Light Blue</t>
        </is>
      </c>
      <c r="AH635" s="148">
        <f>AND(E635="CA",OR('CA Dashboard'!$C$4="All",'CA Dashboard'!$C$4=D635),OR('CA Dashboard'!$C$5="All",'CA Dashboard'!$C$5=G635),OR('CA Dashboard'!$C$6="All",'CA Dashboard'!$C$6=H635),OR('CA Dashboard'!$C$7="All",'CA Dashboard'!$C$7=F635),OR('CA Dashboard'!$C$8="All",'CA Dashboard'!$C$8=AJ635))</f>
        <v/>
      </c>
      <c r="AI635" s="148">
        <f>IF(AH635,AI634+1,AI634)</f>
        <v/>
      </c>
      <c r="AJ635" s="148" t="inlineStr">
        <is>
          <t>Direct</t>
        </is>
      </c>
      <c r="AK635" s="148" t="inlineStr">
        <is>
          <t>Same product (comforter) in the same material family: Synthetic cooling knit (product page material: Double-sided Cold Tech Fabric,Fabric is 90% nylon +10% spand); ours: BreezeWeave cooling fabric, nylon-spandex like CooLoom (confirmed Oct 15, 2026).</t>
        </is>
      </c>
    </row>
    <row r="636">
      <c r="A636" s="148">
        <f>AND(E636="US",OR('US Dashboard'!$C$4="All",'US Dashboard'!$C$4=D636),OR('US Dashboard'!$C$5="All",'US Dashboard'!$C$5=G636),OR('US Dashboard'!$C$6="All",'US Dashboard'!$C$6=H636),OR('US Dashboard'!$C$7="All",'US Dashboard'!$C$7=F636),OR('US Dashboard'!$C$8="All",'US Dashboard'!$C$8=AJ636))</f>
        <v/>
      </c>
      <c r="B636" s="148">
        <f>IF(A636,B635+1,B635)</f>
        <v/>
      </c>
      <c r="C636" s="148" t="n">
        <v>42</v>
      </c>
      <c r="D636" s="148" t="inlineStr">
        <is>
          <t>SL Cooling Comforter</t>
        </is>
      </c>
      <c r="E636" s="148" t="inlineStr">
        <is>
          <t>US</t>
        </is>
      </c>
      <c r="F636" s="148" t="inlineStr">
        <is>
          <t>Cooling</t>
        </is>
      </c>
      <c r="G636" s="148" t="inlineStr">
        <is>
          <t>REST</t>
        </is>
      </c>
      <c r="H636" s="148" t="inlineStr">
        <is>
          <t>Beatable</t>
        </is>
      </c>
      <c r="I636" s="148" t="inlineStr">
        <is>
          <t>SL Cooling Comforter</t>
        </is>
      </c>
      <c r="J636" s="148" t="inlineStr">
        <is>
          <t>https://m.media-amazon.com/images/I/71hHyI4f4WL._AC_SL1500_.jpg</t>
        </is>
      </c>
      <c r="K636" s="148" t="inlineStr">
        <is>
          <t>B0B5TLCZ4X</t>
        </is>
      </c>
      <c r="L636" s="148" t="inlineStr">
        <is>
          <t>B0B5TG8ZVW</t>
        </is>
      </c>
      <c r="M636" s="148" t="n">
        <v>18</v>
      </c>
      <c r="N636" s="148" t="n">
        <v>186.75</v>
      </c>
      <c r="O636" s="148" t="n">
        <v>249</v>
      </c>
      <c r="P636" s="148">
        <f>IF(AND(ISNUMBER(O636),ISNUMBER(N636),N(N636)&gt;0),O636/N636-1,"")</f>
        <v/>
      </c>
      <c r="Q636" s="148" t="n">
        <v>79.98999999999999</v>
      </c>
      <c r="R636" s="148">
        <f>IF(AND(ISNUMBER(N636),ISNUMBER(Q636),N(Q636)&gt;0),N636/Q636-1,"")</f>
        <v/>
      </c>
      <c r="S636" s="148" t="n">
        <v>2263</v>
      </c>
      <c r="T636" s="148" t="n">
        <v>220</v>
      </c>
      <c r="U636" s="148" t="n">
        <v>4.3</v>
      </c>
      <c r="V636" s="148" t="n">
        <v>4110</v>
      </c>
      <c r="W636" s="148" t="n">
        <v>1443297</v>
      </c>
      <c r="X636" s="148" t="n">
        <v>0.3077375513148022</v>
      </c>
      <c r="Y636" s="148" t="n">
        <v>7</v>
      </c>
      <c r="Z636" s="148" t="n">
        <v>254</v>
      </c>
      <c r="AA636" s="148" t="n">
        <v>2643</v>
      </c>
      <c r="AB636" s="148" t="n">
        <v>1.413290113452188</v>
      </c>
      <c r="AC636" s="148" t="inlineStr">
        <is>
          <t>US SL Cooling Comforter</t>
        </is>
      </c>
      <c r="AD636" s="148">
        <f>'US SL Cooling Comforter'!BF75</f>
        <v/>
      </c>
      <c r="AE636" s="148">
        <f>'US SL Cooling Comforter'!BI75</f>
        <v/>
      </c>
      <c r="AF636" s="148" t="inlineStr">
        <is>
          <t>King / Cali King (106"x90")</t>
        </is>
      </c>
      <c r="AG636" s="148" t="inlineStr">
        <is>
          <t>Cool Gray</t>
        </is>
      </c>
      <c r="AH636" s="148">
        <f>AND(E636="CA",OR('CA Dashboard'!$C$4="All",'CA Dashboard'!$C$4=D636),OR('CA Dashboard'!$C$5="All",'CA Dashboard'!$C$5=G636),OR('CA Dashboard'!$C$6="All",'CA Dashboard'!$C$6=H636),OR('CA Dashboard'!$C$7="All",'CA Dashboard'!$C$7=F636),OR('CA Dashboard'!$C$8="All",'CA Dashboard'!$C$8=AJ636))</f>
        <v/>
      </c>
      <c r="AI636" s="148">
        <f>IF(AH636,AI635+1,AI635)</f>
        <v/>
      </c>
      <c r="AJ636" s="148" t="inlineStr">
        <is>
          <t>Material not verified</t>
        </is>
      </c>
      <c r="AK636" s="148" t="inlineStr">
        <is>
          <t>Comforter like ours, but the material is not stated (material not stated on the page or in the title); verify before treating as direct.</t>
        </is>
      </c>
    </row>
    <row r="637">
      <c r="A637" s="148">
        <f>AND(E637="US",OR('US Dashboard'!$C$4="All",'US Dashboard'!$C$4=D637),OR('US Dashboard'!$C$5="All",'US Dashboard'!$C$5=G637),OR('US Dashboard'!$C$6="All",'US Dashboard'!$C$6=H637),OR('US Dashboard'!$C$7="All",'US Dashboard'!$C$7=F637),OR('US Dashboard'!$C$8="All",'US Dashboard'!$C$8=AJ637))</f>
        <v/>
      </c>
      <c r="B637" s="148">
        <f>IF(A637,B636+1,B636)</f>
        <v/>
      </c>
      <c r="C637" s="148" t="n">
        <v>42</v>
      </c>
      <c r="D637" s="148" t="inlineStr">
        <is>
          <t>SL Cooling Comforter</t>
        </is>
      </c>
      <c r="E637" s="148" t="inlineStr">
        <is>
          <t>US</t>
        </is>
      </c>
      <c r="F637" s="148" t="inlineStr">
        <is>
          <t>Cooling</t>
        </is>
      </c>
      <c r="G637" s="148" t="inlineStr">
        <is>
          <t>Bedtter</t>
        </is>
      </c>
      <c r="H637" s="148" t="inlineStr">
        <is>
          <t>Beatable</t>
        </is>
      </c>
      <c r="I637" s="148" t="inlineStr">
        <is>
          <t>Cooling Comforter</t>
        </is>
      </c>
      <c r="J637" s="148" t="inlineStr">
        <is>
          <t>https://m.media-amazon.com/images/I/71sXVoE-fEL._AC_SL1500_.jpg</t>
        </is>
      </c>
      <c r="K637" s="148" t="inlineStr">
        <is>
          <t>B0F7GKNYTQ</t>
        </is>
      </c>
      <c r="L637" s="148" t="inlineStr">
        <is>
          <t>B0F7GKNYTQ</t>
        </is>
      </c>
      <c r="M637" s="148" t="n">
        <v>17</v>
      </c>
      <c r="N637" s="148" t="n">
        <v>44.99</v>
      </c>
      <c r="O637" s="148" t="n"/>
      <c r="P637" s="148">
        <f>IF(AND(ISNUMBER(O637),ISNUMBER(N637),N(N637)&gt;0),O637/N637-1,"")</f>
        <v/>
      </c>
      <c r="Q637" s="148" t="n">
        <v>64.98999999999999</v>
      </c>
      <c r="R637" s="148">
        <f>IF(AND(ISNUMBER(N637),ISNUMBER(Q637),N(Q637)&gt;0),N637/Q637-1,"")</f>
        <v/>
      </c>
      <c r="S637" s="148" t="n">
        <v>2319142</v>
      </c>
      <c r="T637" s="148" t="n">
        <v>5</v>
      </c>
      <c r="U637" s="148" t="n">
        <v>4.5</v>
      </c>
      <c r="V637" s="148" t="n">
        <v>12</v>
      </c>
      <c r="W637" s="148" t="n">
        <v>178117</v>
      </c>
      <c r="X637" s="148" t="n">
        <v>0.2390197437639301</v>
      </c>
      <c r="Y637" s="148" t="n">
        <v>38</v>
      </c>
      <c r="Z637" s="148" t="n">
        <v>181</v>
      </c>
      <c r="AA637" s="148" t="n">
        <v>1057</v>
      </c>
      <c r="AB637" s="148" t="n"/>
      <c r="AC637" s="148" t="inlineStr">
        <is>
          <t>US SL Cooling Comforter</t>
        </is>
      </c>
      <c r="AD637" s="148">
        <f>'US SL Cooling Comforter'!BF76</f>
        <v/>
      </c>
      <c r="AE637" s="148">
        <f>'US SL Cooling Comforter'!BI76</f>
        <v/>
      </c>
      <c r="AF637" s="148" t="inlineStr">
        <is>
          <t>Twin</t>
        </is>
      </c>
      <c r="AG637" s="148" t="inlineStr">
        <is>
          <t>Grey Stripes</t>
        </is>
      </c>
      <c r="AH637" s="148">
        <f>AND(E637="CA",OR('CA Dashboard'!$C$4="All",'CA Dashboard'!$C$4=D637),OR('CA Dashboard'!$C$5="All",'CA Dashboard'!$C$5=G637),OR('CA Dashboard'!$C$6="All",'CA Dashboard'!$C$6=H637),OR('CA Dashboard'!$C$7="All",'CA Dashboard'!$C$7=F637),OR('CA Dashboard'!$C$8="All",'CA Dashboard'!$C$8=AJ637))</f>
        <v/>
      </c>
      <c r="AI637" s="148">
        <f>IF(AH637,AI636+1,AI636)</f>
        <v/>
      </c>
      <c r="AJ637" s="148" t="inlineStr">
        <is>
          <t>Material not verified</t>
        </is>
      </c>
      <c r="AK637" s="148" t="inlineStr">
        <is>
          <t>Comforter like ours, but the material is not stated (material not stated on the page or in the title); verify before treating as direct.</t>
        </is>
      </c>
    </row>
    <row r="638">
      <c r="A638" s="148">
        <f>AND(E638="US",OR('US Dashboard'!$C$4="All",'US Dashboard'!$C$4=D638),OR('US Dashboard'!$C$5="All",'US Dashboard'!$C$5=G638),OR('US Dashboard'!$C$6="All",'US Dashboard'!$C$6=H638),OR('US Dashboard'!$C$7="All",'US Dashboard'!$C$7=F638),OR('US Dashboard'!$C$8="All",'US Dashboard'!$C$8=AJ638))</f>
        <v/>
      </c>
      <c r="B638" s="148">
        <f>IF(A638,B637+1,B637)</f>
        <v/>
      </c>
      <c r="C638" s="148" t="n">
        <v>42</v>
      </c>
      <c r="D638" s="148" t="inlineStr">
        <is>
          <t>SL Cooling Comforter</t>
        </is>
      </c>
      <c r="E638" s="148" t="inlineStr">
        <is>
          <t>US</t>
        </is>
      </c>
      <c r="F638" s="148" t="inlineStr">
        <is>
          <t>Cooling</t>
        </is>
      </c>
      <c r="G638" s="148" t="inlineStr">
        <is>
          <t>jiaao</t>
        </is>
      </c>
      <c r="H638" s="148" t="inlineStr">
        <is>
          <t>Untiered</t>
        </is>
      </c>
      <c r="I638" s="148" t="inlineStr">
        <is>
          <t>Cooling Comforter</t>
        </is>
      </c>
      <c r="J638" s="148" t="inlineStr">
        <is>
          <t>https://m.media-amazon.com/images/I/81hCz+bp4cL._AC_SL1500_.jpg</t>
        </is>
      </c>
      <c r="K638" s="148" t="inlineStr">
        <is>
          <t>B0GR4L84HS</t>
        </is>
      </c>
      <c r="L638" s="148" t="inlineStr">
        <is>
          <t>B0GR4L84HS</t>
        </is>
      </c>
      <c r="M638" s="148" t="n">
        <v>1</v>
      </c>
      <c r="N638" s="148" t="n">
        <v>40</v>
      </c>
      <c r="O638" s="148" t="n"/>
      <c r="P638" s="148">
        <f>IF(AND(ISNUMBER(O638),ISNUMBER(N638),N(N638)&gt;0),O638/N638-1,"")</f>
        <v/>
      </c>
      <c r="Q638" s="148" t="n">
        <v>69.98999999999999</v>
      </c>
      <c r="R638" s="148">
        <f>IF(AND(ISNUMBER(N638),ISNUMBER(Q638),N(Q638)&gt;0),N638/Q638-1,"")</f>
        <v/>
      </c>
      <c r="S638" s="148" t="n">
        <v>764449</v>
      </c>
      <c r="T638" s="148" t="n">
        <v>5</v>
      </c>
      <c r="U638" s="148" t="n">
        <v>4</v>
      </c>
      <c r="V638" s="148" t="n">
        <v>83</v>
      </c>
      <c r="W638" s="148" t="n">
        <v>19888</v>
      </c>
      <c r="X638" s="148" t="n">
        <v>1</v>
      </c>
      <c r="Y638" s="148" t="n">
        <v>38</v>
      </c>
      <c r="Z638" s="148" t="n">
        <v>70</v>
      </c>
      <c r="AA638" s="148" t="n">
        <v>0</v>
      </c>
      <c r="AB638" s="148" t="n"/>
      <c r="AC638" s="148" t="inlineStr">
        <is>
          <t>US SL Cooling Comforter</t>
        </is>
      </c>
      <c r="AD638" s="148">
        <f>'US SL Cooling Comforter'!BF77</f>
        <v/>
      </c>
      <c r="AE638" s="148">
        <f>'US SL Cooling Comforter'!BI77</f>
        <v/>
      </c>
      <c r="AF638" s="148" t="inlineStr">
        <is>
          <t>Queen Size(90" X90“)</t>
        </is>
      </c>
      <c r="AG638" s="148" t="inlineStr">
        <is>
          <t>Light Grey</t>
        </is>
      </c>
      <c r="AH638" s="148">
        <f>AND(E638="CA",OR('CA Dashboard'!$C$4="All",'CA Dashboard'!$C$4=D638),OR('CA Dashboard'!$C$5="All",'CA Dashboard'!$C$5=G638),OR('CA Dashboard'!$C$6="All",'CA Dashboard'!$C$6=H638),OR('CA Dashboard'!$C$7="All",'CA Dashboard'!$C$7=F638),OR('CA Dashboard'!$C$8="All",'CA Dashboard'!$C$8=AJ638))</f>
        <v/>
      </c>
      <c r="AI638" s="148">
        <f>IF(AH638,AI637+1,AI637)</f>
        <v/>
      </c>
      <c r="AJ638" s="148" t="inlineStr">
        <is>
          <t>Material not verified</t>
        </is>
      </c>
      <c r="AK638" s="148" t="inlineStr">
        <is>
          <t>Comforter like ours, but the material is not stated (material not stated on the page or in the title); verify before treating as direct.</t>
        </is>
      </c>
    </row>
    <row r="639">
      <c r="A639" s="148">
        <f>AND(E639="US",OR('US Dashboard'!$C$4="All",'US Dashboard'!$C$4=D639),OR('US Dashboard'!$C$5="All",'US Dashboard'!$C$5=G639),OR('US Dashboard'!$C$6="All",'US Dashboard'!$C$6=H639),OR('US Dashboard'!$C$7="All",'US Dashboard'!$C$7=F639),OR('US Dashboard'!$C$8="All",'US Dashboard'!$C$8=AJ639))</f>
        <v/>
      </c>
      <c r="B639" s="148">
        <f>IF(A639,B638+1,B638)</f>
        <v/>
      </c>
      <c r="C639" s="148" t="n">
        <v>42</v>
      </c>
      <c r="D639" s="148" t="inlineStr">
        <is>
          <t>SL Cooling Comforter</t>
        </is>
      </c>
      <c r="E639" s="148" t="inlineStr">
        <is>
          <t>US</t>
        </is>
      </c>
      <c r="F639" s="148" t="inlineStr">
        <is>
          <t>Cooling</t>
        </is>
      </c>
      <c r="G639" s="148" t="inlineStr">
        <is>
          <t>HOMFINE</t>
        </is>
      </c>
      <c r="H639" s="148" t="inlineStr">
        <is>
          <t>Beatable</t>
        </is>
      </c>
      <c r="I639" s="148" t="inlineStr">
        <is>
          <t>Cooling Comforter</t>
        </is>
      </c>
      <c r="J639" s="148" t="inlineStr">
        <is>
          <t>https://m.media-amazon.com/images/I/71ujOWiAvrL._AC_SL1500_.jpg</t>
        </is>
      </c>
      <c r="K639" s="148" t="inlineStr">
        <is>
          <t>B0HCMWRT6G</t>
        </is>
      </c>
      <c r="L639" s="148" t="inlineStr">
        <is>
          <t>B0C3RB67HV</t>
        </is>
      </c>
      <c r="M639" s="148" t="n">
        <v>17</v>
      </c>
      <c r="N639" s="148" t="n">
        <v>51.99</v>
      </c>
      <c r="O639" s="148" t="n"/>
      <c r="P639" s="148">
        <f>IF(AND(ISNUMBER(O639),ISNUMBER(N639),N(N639)&gt;0),O639/N639-1,"")</f>
        <v/>
      </c>
      <c r="Q639" s="148" t="n">
        <v>69.98999999999999</v>
      </c>
      <c r="R639" s="148">
        <f>IF(AND(ISNUMBER(N639),ISNUMBER(Q639),N(Q639)&gt;0),N639/Q639-1,"")</f>
        <v/>
      </c>
      <c r="S639" s="148" t="n">
        <v>15665</v>
      </c>
      <c r="T639" s="148" t="n">
        <v>185</v>
      </c>
      <c r="U639" s="148" t="n">
        <v>4.5</v>
      </c>
      <c r="V639" s="148" t="n">
        <v>1560</v>
      </c>
      <c r="W639" s="148" t="n">
        <v>273765</v>
      </c>
      <c r="X639" s="148" t="n">
        <v>0.4184264584588973</v>
      </c>
      <c r="Y639" s="148" t="n">
        <v>26</v>
      </c>
      <c r="Z639" s="148" t="n">
        <v>184</v>
      </c>
      <c r="AA639" s="148" t="n">
        <v>461</v>
      </c>
      <c r="AB639" s="148" t="n">
        <v>1.540563459907661</v>
      </c>
      <c r="AC639" s="148" t="inlineStr">
        <is>
          <t>US SL Cooling Comforter</t>
        </is>
      </c>
      <c r="AD639" s="148">
        <f>'US SL Cooling Comforter'!BF78</f>
        <v/>
      </c>
      <c r="AE639" s="148">
        <f>'US SL Cooling Comforter'!BI78</f>
        <v/>
      </c>
      <c r="AF639" s="148" t="inlineStr">
        <is>
          <t>Queen (90"x90")</t>
        </is>
      </c>
      <c r="AG639" s="148" t="inlineStr">
        <is>
          <t>Gray</t>
        </is>
      </c>
      <c r="AH639" s="148">
        <f>AND(E639="CA",OR('CA Dashboard'!$C$4="All",'CA Dashboard'!$C$4=D639),OR('CA Dashboard'!$C$5="All",'CA Dashboard'!$C$5=G639),OR('CA Dashboard'!$C$6="All",'CA Dashboard'!$C$6=H639),OR('CA Dashboard'!$C$7="All",'CA Dashboard'!$C$7=F639),OR('CA Dashboard'!$C$8="All",'CA Dashboard'!$C$8=AJ639))</f>
        <v/>
      </c>
      <c r="AI639" s="148">
        <f>IF(AH639,AI638+1,AI638)</f>
        <v/>
      </c>
      <c r="AJ639" s="148" t="inlineStr">
        <is>
          <t>Alternative material</t>
        </is>
      </c>
      <c r="AK639" s="148" t="inlineStr">
        <is>
          <t>Comforter in Microfiber / polyester (product page material: Polyester); ours is Synthetic cooling knit (BreezeWeave cooling fabric, nylon-spandex like CooLoom (confirmed Oct 15, 2026)). Shopper may cross-shop, but not like-for-like.</t>
        </is>
      </c>
    </row>
    <row r="640">
      <c r="A640" s="148">
        <f>AND(E640="US",OR('US Dashboard'!$C$4="All",'US Dashboard'!$C$4=D640),OR('US Dashboard'!$C$5="All",'US Dashboard'!$C$5=G640),OR('US Dashboard'!$C$6="All",'US Dashboard'!$C$6=H640),OR('US Dashboard'!$C$7="All",'US Dashboard'!$C$7=F640),OR('US Dashboard'!$C$8="All",'US Dashboard'!$C$8=AJ640))</f>
        <v/>
      </c>
      <c r="B640" s="148">
        <f>IF(A640,B639+1,B639)</f>
        <v/>
      </c>
      <c r="C640" s="148" t="n">
        <v>42</v>
      </c>
      <c r="D640" s="148" t="inlineStr">
        <is>
          <t>SL Cooling Comforter</t>
        </is>
      </c>
      <c r="E640" s="148" t="inlineStr">
        <is>
          <t>US</t>
        </is>
      </c>
      <c r="F640" s="148" t="inlineStr">
        <is>
          <t>Cooling</t>
        </is>
      </c>
      <c r="G640" s="148" t="inlineStr">
        <is>
          <t>Cozy Bliss</t>
        </is>
      </c>
      <c r="H640" s="148" t="inlineStr">
        <is>
          <t>Beatable</t>
        </is>
      </c>
      <c r="I640" s="148" t="inlineStr">
        <is>
          <t>SL Cooling Comforter</t>
        </is>
      </c>
      <c r="J640" s="148" t="inlineStr">
        <is>
          <t>https://m.media-amazon.com/images/I/61CJL0I7RHL._AC_SL1500_.jpg</t>
        </is>
      </c>
      <c r="K640" s="148" t="inlineStr">
        <is>
          <t>B0DVSHCVND</t>
        </is>
      </c>
      <c r="L640" s="148" t="inlineStr">
        <is>
          <t>B0DMCWVMVH</t>
        </is>
      </c>
      <c r="M640" s="148" t="n">
        <v>14</v>
      </c>
      <c r="N640" s="148" t="n">
        <v>49.99</v>
      </c>
      <c r="O640" s="148" t="n"/>
      <c r="P640" s="148">
        <f>IF(AND(ISNUMBER(O640),ISNUMBER(N640),N(N640)&gt;0),O640/N640-1,"")</f>
        <v/>
      </c>
      <c r="Q640" s="148" t="n">
        <v>69.98999999999999</v>
      </c>
      <c r="R640" s="148">
        <f>IF(AND(ISNUMBER(N640),ISNUMBER(Q640),N(Q640)&gt;0),N640/Q640-1,"")</f>
        <v/>
      </c>
      <c r="S640" s="148" t="n">
        <v>69052</v>
      </c>
      <c r="T640" s="148" t="n">
        <v>81</v>
      </c>
      <c r="U640" s="148" t="n">
        <v>4.5</v>
      </c>
      <c r="V640" s="148" t="n">
        <v>442</v>
      </c>
      <c r="W640" s="148" t="n">
        <v>80120</v>
      </c>
      <c r="X640" s="148" t="n">
        <v>0.4955746293060403</v>
      </c>
      <c r="Y640" s="148" t="n">
        <v>32</v>
      </c>
      <c r="Z640" s="148" t="n">
        <v>155</v>
      </c>
      <c r="AA640" s="148" t="n">
        <v>292</v>
      </c>
      <c r="AB640" s="148" t="n"/>
      <c r="AC640" s="148" t="inlineStr">
        <is>
          <t>US SL Cooling Comforter</t>
        </is>
      </c>
      <c r="AD640" s="148">
        <f>'US SL Cooling Comforter'!BF79</f>
        <v/>
      </c>
      <c r="AE640" s="148">
        <f>'US SL Cooling Comforter'!BI79</f>
        <v/>
      </c>
      <c r="AF640" s="148" t="inlineStr">
        <is>
          <t>Queen(90"*90")</t>
        </is>
      </c>
      <c r="AG640" s="148" t="inlineStr">
        <is>
          <t>Creamy Ivory/Soft Apricot</t>
        </is>
      </c>
      <c r="AH640" s="148">
        <f>AND(E640="CA",OR('CA Dashboard'!$C$4="All",'CA Dashboard'!$C$4=D640),OR('CA Dashboard'!$C$5="All",'CA Dashboard'!$C$5=G640),OR('CA Dashboard'!$C$6="All",'CA Dashboard'!$C$6=H640),OR('CA Dashboard'!$C$7="All",'CA Dashboard'!$C$7=F640),OR('CA Dashboard'!$C$8="All",'CA Dashboard'!$C$8=AJ640))</f>
        <v/>
      </c>
      <c r="AI640" s="148">
        <f>IF(AH640,AI639+1,AI639)</f>
        <v/>
      </c>
      <c r="AJ640" s="148" t="inlineStr">
        <is>
          <t>Alternative material</t>
        </is>
      </c>
      <c r="AK640" s="148" t="inlineStr">
        <is>
          <t>Comforter in Microfiber / polyester (product page material: Polyester); ours is Synthetic cooling knit (BreezeWeave cooling fabric, nylon-spandex like CooLoom (confirmed Oct 15, 2026)). Shopper may cross-shop, but not like-for-like.</t>
        </is>
      </c>
    </row>
    <row r="641">
      <c r="A641" s="148">
        <f>AND(E641="US",OR('US Dashboard'!$C$4="All",'US Dashboard'!$C$4=D641),OR('US Dashboard'!$C$5="All",'US Dashboard'!$C$5=G641),OR('US Dashboard'!$C$6="All",'US Dashboard'!$C$6=H641),OR('US Dashboard'!$C$7="All",'US Dashboard'!$C$7=F641),OR('US Dashboard'!$C$8="All",'US Dashboard'!$C$8=AJ641))</f>
        <v/>
      </c>
      <c r="B641" s="148">
        <f>IF(A641,B640+1,B640)</f>
        <v/>
      </c>
      <c r="C641" s="148" t="n">
        <v>42</v>
      </c>
      <c r="D641" s="148" t="inlineStr">
        <is>
          <t>SL Cooling Comforter</t>
        </is>
      </c>
      <c r="E641" s="148" t="inlineStr">
        <is>
          <t>US</t>
        </is>
      </c>
      <c r="F641" s="148" t="inlineStr">
        <is>
          <t>Cooling</t>
        </is>
      </c>
      <c r="G641" s="148" t="inlineStr">
        <is>
          <t>Bedsure</t>
        </is>
      </c>
      <c r="H641" s="148" t="inlineStr">
        <is>
          <t>Untiered</t>
        </is>
      </c>
      <c r="I641" s="148" t="inlineStr">
        <is>
          <t>SL Cooling Comforter</t>
        </is>
      </c>
      <c r="J641" s="148" t="inlineStr">
        <is>
          <t>https://m.media-amazon.com/images/I/91hq2AOKs0L._AC_SL1500_.jpg</t>
        </is>
      </c>
      <c r="K641" s="148" t="inlineStr">
        <is>
          <t>B0H9S19J4V</t>
        </is>
      </c>
      <c r="L641" s="148" t="inlineStr">
        <is>
          <t>B0BN5TKJ8D</t>
        </is>
      </c>
      <c r="M641" s="148" t="n">
        <v>18</v>
      </c>
      <c r="N641" s="148" t="n">
        <v>55.79</v>
      </c>
      <c r="O641" s="148" t="n"/>
      <c r="P641" s="148">
        <f>IF(AND(ISNUMBER(O641),ISNUMBER(N641),N(N641)&gt;0),O641/N641-1,"")</f>
        <v/>
      </c>
      <c r="Q641" s="148" t="n">
        <v>69.98999999999999</v>
      </c>
      <c r="R641" s="148">
        <f>IF(AND(ISNUMBER(N641),ISNUMBER(Q641),N(Q641)&gt;0),N641/Q641-1,"")</f>
        <v/>
      </c>
      <c r="S641" s="148" t="n">
        <v>12115</v>
      </c>
      <c r="T641" s="148" t="n">
        <v>347</v>
      </c>
      <c r="U641" s="148" t="n">
        <v>4.4</v>
      </c>
      <c r="V641" s="148" t="n">
        <v>3538</v>
      </c>
      <c r="W641" s="148" t="n">
        <v>643949</v>
      </c>
      <c r="X641" s="148" t="n">
        <v>0.7308647324555207</v>
      </c>
      <c r="Y641" s="148" t="n">
        <v>17</v>
      </c>
      <c r="Z641" s="148" t="n">
        <v>176</v>
      </c>
      <c r="AA641" s="148" t="n">
        <v>1401</v>
      </c>
      <c r="AB641" s="148" t="n">
        <v>1.066945606694561</v>
      </c>
      <c r="AC641" s="148" t="inlineStr">
        <is>
          <t>US SL Cooling Comforter</t>
        </is>
      </c>
      <c r="AD641" s="148">
        <f>'US SL Cooling Comforter'!BF80</f>
        <v/>
      </c>
      <c r="AE641" s="148">
        <f>'US SL Cooling Comforter'!BI80</f>
        <v/>
      </c>
      <c r="AF641" s="148" t="inlineStr">
        <is>
          <t>Queen</t>
        </is>
      </c>
      <c r="AG641" s="148" t="inlineStr">
        <is>
          <t>Charcoal Black</t>
        </is>
      </c>
      <c r="AH641" s="148">
        <f>AND(E641="CA",OR('CA Dashboard'!$C$4="All",'CA Dashboard'!$C$4=D641),OR('CA Dashboard'!$C$5="All",'CA Dashboard'!$C$5=G641),OR('CA Dashboard'!$C$6="All",'CA Dashboard'!$C$6=H641),OR('CA Dashboard'!$C$7="All",'CA Dashboard'!$C$7=F641),OR('CA Dashboard'!$C$8="All",'CA Dashboard'!$C$8=AJ641))</f>
        <v/>
      </c>
      <c r="AI641" s="148">
        <f>IF(AH641,AI640+1,AI640)</f>
        <v/>
      </c>
      <c r="AJ641" s="148" t="inlineStr">
        <is>
          <t>Alternative material</t>
        </is>
      </c>
      <c r="AK641" s="148" t="inlineStr">
        <is>
          <t>Comforter in Microfiber / polyester (product page material: Polyester); ours is Synthetic cooling knit (BreezeWeave cooling fabric, nylon-spandex like CooLoom (confirmed Oct 15, 2026)). Shopper may cross-shop, but not like-for-like.</t>
        </is>
      </c>
    </row>
    <row r="642">
      <c r="A642" s="148">
        <f>AND(E642="US",OR('US Dashboard'!$C$4="All",'US Dashboard'!$C$4=D642),OR('US Dashboard'!$C$5="All",'US Dashboard'!$C$5=G642),OR('US Dashboard'!$C$6="All",'US Dashboard'!$C$6=H642),OR('US Dashboard'!$C$7="All",'US Dashboard'!$C$7=F642),OR('US Dashboard'!$C$8="All",'US Dashboard'!$C$8=AJ642))</f>
        <v/>
      </c>
      <c r="B642" s="148">
        <f>IF(A642,B641+1,B641)</f>
        <v/>
      </c>
      <c r="C642" s="148" t="n">
        <v>44</v>
      </c>
      <c r="D642" s="148" t="inlineStr">
        <is>
          <t>SL Cooling Fitted</t>
        </is>
      </c>
      <c r="E642" s="148" t="inlineStr">
        <is>
          <t>US</t>
        </is>
      </c>
      <c r="F642" s="148" t="inlineStr">
        <is>
          <t>Cooling</t>
        </is>
      </c>
      <c r="G642" s="148" t="inlineStr">
        <is>
          <t>REST</t>
        </is>
      </c>
      <c r="H642" s="148" t="inlineStr">
        <is>
          <t>Beatable</t>
        </is>
      </c>
      <c r="I642" s="148" t="inlineStr">
        <is>
          <t>REST® Evercool®+ Fitted Sheet, Full Size, Light Blue, 15" Deep (up to 18’’), Bre</t>
        </is>
      </c>
      <c r="J642" s="148" t="inlineStr">
        <is>
          <t>https://m.media-amazon.com/images/I/61L1TXtZ28L._AC_SL1500_.jpg</t>
        </is>
      </c>
      <c r="K642" s="148" t="inlineStr">
        <is>
          <t>B0C14HFDS1</t>
        </is>
      </c>
      <c r="L642" s="148" t="inlineStr">
        <is>
          <t>B0D4Y6RKLL</t>
        </is>
      </c>
      <c r="M642" s="148" t="n">
        <v>36</v>
      </c>
      <c r="N642" s="148" t="n">
        <v>111.2</v>
      </c>
      <c r="O642" s="148" t="n">
        <v>139</v>
      </c>
      <c r="P642" s="148">
        <f>IF(AND(ISNUMBER(O642),ISNUMBER(N642),N(N642)&gt;0),O642/N642-1,"")</f>
        <v/>
      </c>
      <c r="Q642" s="148" t="n">
        <v>39.99</v>
      </c>
      <c r="R642" s="148">
        <f>IF(AND(ISNUMBER(N642),ISNUMBER(Q642),N(Q642)&gt;0),N642/Q642-1,"")</f>
        <v/>
      </c>
      <c r="S642" s="148" t="n">
        <v>22651</v>
      </c>
      <c r="T642" s="148" t="n">
        <v>35</v>
      </c>
      <c r="U642" s="148" t="n">
        <v>4.4</v>
      </c>
      <c r="V642" s="148" t="n">
        <v>663</v>
      </c>
      <c r="W642" s="148" t="n">
        <v>110996</v>
      </c>
      <c r="X642" s="148" t="n">
        <v>0.5327084201232477</v>
      </c>
      <c r="Y642" s="148" t="n">
        <v>102</v>
      </c>
      <c r="Z642" s="148" t="n">
        <v>119</v>
      </c>
      <c r="AA642" s="148" t="n">
        <v>766</v>
      </c>
      <c r="AB642" s="148" t="n"/>
      <c r="AC642" s="148" t="inlineStr">
        <is>
          <t>US SL Cooling Fitted</t>
        </is>
      </c>
      <c r="AD642" s="148">
        <f>'US SL Cooling Fitted'!BF107</f>
        <v/>
      </c>
      <c r="AE642" s="148">
        <f>'US SL Cooling Fitted'!BI107</f>
        <v/>
      </c>
      <c r="AF642" s="148" t="inlineStr">
        <is>
          <t>King</t>
        </is>
      </c>
      <c r="AG642" s="148" t="inlineStr">
        <is>
          <t>Arctic White</t>
        </is>
      </c>
      <c r="AH642" s="148">
        <f>AND(E642="CA",OR('CA Dashboard'!$C$4="All",'CA Dashboard'!$C$4=D642),OR('CA Dashboard'!$C$5="All",'CA Dashboard'!$C$5=G642),OR('CA Dashboard'!$C$6="All",'CA Dashboard'!$C$6=H642),OR('CA Dashboard'!$C$7="All",'CA Dashboard'!$C$7=F642),OR('CA Dashboard'!$C$8="All",'CA Dashboard'!$C$8=AJ642))</f>
        <v/>
      </c>
      <c r="AI642" s="148">
        <f>IF(AH642,AI641+1,AI641)</f>
        <v/>
      </c>
      <c r="AJ642" s="148" t="inlineStr">
        <is>
          <t>Direct</t>
        </is>
      </c>
      <c r="AK642" s="148" t="inlineStr">
        <is>
          <t>Same product (fitted sheet) in the same material family: Synthetic cooling knit (product page material: IONIC+ silver yarn, superfine denier nylon, spandex, Skin Fr); ours: BreezeWeave cooling fabric, nylon-spandex like CooLoom (confirmed Oct 15, 2026).</t>
        </is>
      </c>
    </row>
    <row r="643">
      <c r="A643" s="148">
        <f>AND(E643="US",OR('US Dashboard'!$C$4="All",'US Dashboard'!$C$4=D643),OR('US Dashboard'!$C$5="All",'US Dashboard'!$C$5=G643),OR('US Dashboard'!$C$6="All",'US Dashboard'!$C$6=H643),OR('US Dashboard'!$C$7="All",'US Dashboard'!$C$7=F643),OR('US Dashboard'!$C$8="All",'US Dashboard'!$C$8=AJ643))</f>
        <v/>
      </c>
      <c r="B643" s="148">
        <f>IF(A643,B642+1,B642)</f>
        <v/>
      </c>
      <c r="C643" s="148" t="n">
        <v>44</v>
      </c>
      <c r="D643" s="148" t="inlineStr">
        <is>
          <t>SL Cooling Fitted</t>
        </is>
      </c>
      <c r="E643" s="148" t="inlineStr">
        <is>
          <t>US</t>
        </is>
      </c>
      <c r="F643" s="148" t="inlineStr">
        <is>
          <t>Cooling</t>
        </is>
      </c>
      <c r="G643" s="148" t="inlineStr">
        <is>
          <t>Cozy Bliss</t>
        </is>
      </c>
      <c r="H643" s="148" t="inlineStr">
        <is>
          <t>Beatable</t>
        </is>
      </c>
      <c r="I643" s="148" t="inlineStr">
        <is>
          <t>Cooling Fitted Sheet</t>
        </is>
      </c>
      <c r="J643" s="148" t="inlineStr">
        <is>
          <t>https://m.media-amazon.com/images/I/71EKXfc2t8L._AC_SL1500_.jpg</t>
        </is>
      </c>
      <c r="K643" s="148" t="inlineStr">
        <is>
          <t>B0DT14Y4VJ</t>
        </is>
      </c>
      <c r="L643" s="148" t="inlineStr">
        <is>
          <t>B0DMNMPVJP</t>
        </is>
      </c>
      <c r="M643" s="148" t="n">
        <v>23</v>
      </c>
      <c r="N643" s="148" t="n">
        <v>74.98999999999999</v>
      </c>
      <c r="O643" s="148" t="n"/>
      <c r="P643" s="148">
        <f>IF(AND(ISNUMBER(O643),ISNUMBER(N643),N(N643)&gt;0),O643/N643-1,"")</f>
        <v/>
      </c>
      <c r="Q643" s="148" t="n">
        <v>37.99</v>
      </c>
      <c r="R643" s="148">
        <f>IF(AND(ISNUMBER(N643),ISNUMBER(Q643),N(Q643)&gt;0),N643/Q643-1,"")</f>
        <v/>
      </c>
      <c r="S643" s="148" t="n">
        <v>100300</v>
      </c>
      <c r="T643" s="148" t="n">
        <v>5</v>
      </c>
      <c r="U643" s="148" t="n">
        <v>4.5</v>
      </c>
      <c r="V643" s="148" t="n">
        <v>456</v>
      </c>
      <c r="W643" s="148" t="n">
        <v>14965</v>
      </c>
      <c r="X643" s="148" t="n">
        <v>0.8178404944871368</v>
      </c>
      <c r="Y643" s="148" t="n">
        <v>83</v>
      </c>
      <c r="Z643" s="148" t="n">
        <v>29</v>
      </c>
      <c r="AA643" s="148" t="n">
        <v>67</v>
      </c>
      <c r="AB643" s="148" t="n"/>
      <c r="AC643" s="148" t="inlineStr">
        <is>
          <t>US SL Cooling Fitted</t>
        </is>
      </c>
      <c r="AD643" s="148">
        <f>'US SL Cooling Fitted'!BF108</f>
        <v/>
      </c>
      <c r="AE643" s="148">
        <f>'US SL Cooling Fitted'!BI108</f>
        <v/>
      </c>
      <c r="AF643" s="148" t="inlineStr">
        <is>
          <t>Queen(no Flat Sheet)</t>
        </is>
      </c>
      <c r="AG643" s="148" t="inlineStr">
        <is>
          <t>Cool Blue</t>
        </is>
      </c>
      <c r="AH643" s="148">
        <f>AND(E643="CA",OR('CA Dashboard'!$C$4="All",'CA Dashboard'!$C$4=D643),OR('CA Dashboard'!$C$5="All",'CA Dashboard'!$C$5=G643),OR('CA Dashboard'!$C$6="All",'CA Dashboard'!$C$6=H643),OR('CA Dashboard'!$C$7="All",'CA Dashboard'!$C$7=F643),OR('CA Dashboard'!$C$8="All",'CA Dashboard'!$C$8=AJ643))</f>
        <v/>
      </c>
      <c r="AI643" s="148">
        <f>IF(AH643,AI642+1,AI642)</f>
        <v/>
      </c>
      <c r="AJ643" s="148" t="inlineStr">
        <is>
          <t>Direct</t>
        </is>
      </c>
      <c r="AK643" s="148" t="inlineStr">
        <is>
          <t>Same product (fitted sheet) in the same material family: Synthetic cooling knit (product page material: 90%Nylon 10%Spandex); ours: BreezeWeave cooling fabric, nylon-spandex like CooLoom (confirmed Oct 15, 2026).</t>
        </is>
      </c>
    </row>
    <row r="644">
      <c r="A644" s="148">
        <f>AND(E644="US",OR('US Dashboard'!$C$4="All",'US Dashboard'!$C$4=D644),OR('US Dashboard'!$C$5="All",'US Dashboard'!$C$5=G644),OR('US Dashboard'!$C$6="All",'US Dashboard'!$C$6=H644),OR('US Dashboard'!$C$7="All",'US Dashboard'!$C$7=F644),OR('US Dashboard'!$C$8="All",'US Dashboard'!$C$8=AJ644))</f>
        <v/>
      </c>
      <c r="B644" s="148">
        <f>IF(A644,B643+1,B643)</f>
        <v/>
      </c>
      <c r="C644" s="148" t="n">
        <v>44</v>
      </c>
      <c r="D644" s="148" t="inlineStr">
        <is>
          <t>SL Cooling Fitted</t>
        </is>
      </c>
      <c r="E644" s="148" t="inlineStr">
        <is>
          <t>US</t>
        </is>
      </c>
      <c r="F644" s="148" t="inlineStr">
        <is>
          <t>Cooling</t>
        </is>
      </c>
      <c r="G644" s="148" t="inlineStr">
        <is>
          <t>Bedsure</t>
        </is>
      </c>
      <c r="H644" s="148" t="inlineStr">
        <is>
          <t>Poor</t>
        </is>
      </c>
      <c r="I644" s="148" t="inlineStr">
        <is>
          <t>Cooling Fitted Sheet</t>
        </is>
      </c>
      <c r="J644" s="148" t="inlineStr">
        <is>
          <t>https://m.media-amazon.com/images/I/81X83saQSpL._AC_SL1500_.jpg</t>
        </is>
      </c>
      <c r="K644" s="148" t="inlineStr">
        <is>
          <t>B0GNMKSLRZ</t>
        </is>
      </c>
      <c r="L644" s="148" t="inlineStr">
        <is>
          <t>B0FQPCYCVQ</t>
        </is>
      </c>
      <c r="M644" s="148" t="n"/>
      <c r="N644" s="148" t="n">
        <v>29.99</v>
      </c>
      <c r="O644" s="148" t="n"/>
      <c r="P644" s="148">
        <f>IF(AND(ISNUMBER(O644),ISNUMBER(N644),N(N644)&gt;0),O644/N644-1,"")</f>
        <v/>
      </c>
      <c r="Q644" s="148" t="n">
        <v>39.99</v>
      </c>
      <c r="R644" s="148">
        <f>IF(AND(ISNUMBER(N644),ISNUMBER(Q644),N(Q644)&gt;0),N644/Q644-1,"")</f>
        <v/>
      </c>
      <c r="S644" s="148" t="n">
        <v>616342</v>
      </c>
      <c r="T644" s="148" t="n">
        <v>5</v>
      </c>
      <c r="U644" s="148" t="n">
        <v>4.3</v>
      </c>
      <c r="V644" s="148" t="n">
        <v>111</v>
      </c>
      <c r="W644" s="148" t="n"/>
      <c r="X644" s="148" t="n"/>
      <c r="Y644" s="148" t="n"/>
      <c r="Z644" s="148" t="n"/>
      <c r="AA644" s="148" t="n"/>
      <c r="AB644" s="148" t="n"/>
      <c r="AC644" s="148" t="inlineStr">
        <is>
          <t>US SL Cooling Fitted</t>
        </is>
      </c>
      <c r="AD644" s="148">
        <f>'US SL Cooling Fitted'!BF109</f>
        <v/>
      </c>
      <c r="AE644" s="148">
        <f>'US SL Cooling Fitted'!BI109</f>
        <v/>
      </c>
      <c r="AF644" s="148" t="inlineStr">
        <is>
          <t>King (78x80+16)</t>
        </is>
      </c>
      <c r="AG644" s="148" t="inlineStr">
        <is>
          <t>04 - Blue</t>
        </is>
      </c>
      <c r="AH644" s="148">
        <f>AND(E644="CA",OR('CA Dashboard'!$C$4="All",'CA Dashboard'!$C$4=D644),OR('CA Dashboard'!$C$5="All",'CA Dashboard'!$C$5=G644),OR('CA Dashboard'!$C$6="All",'CA Dashboard'!$C$6=H644),OR('CA Dashboard'!$C$7="All",'CA Dashboard'!$C$7=F644),OR('CA Dashboard'!$C$8="All",'CA Dashboard'!$C$8=AJ644))</f>
        <v/>
      </c>
      <c r="AI644" s="148">
        <f>IF(AH644,AI643+1,AI643)</f>
        <v/>
      </c>
      <c r="AJ644" s="148" t="inlineStr">
        <is>
          <t>Direct</t>
        </is>
      </c>
      <c r="AK644" s="148" t="inlineStr">
        <is>
          <t>Same product (fitted sheet) in the same material family: Synthetic cooling knit (product page material: 90% Nylon, 10% Spandex); ours: BreezeWeave cooling fabric, nylon-spandex like CooLoom (confirmed Oct 15, 2026).</t>
        </is>
      </c>
    </row>
    <row r="645">
      <c r="A645" s="148">
        <f>AND(E645="US",OR('US Dashboard'!$C$4="All",'US Dashboard'!$C$4=D645),OR('US Dashboard'!$C$5="All",'US Dashboard'!$C$5=G645),OR('US Dashboard'!$C$6="All",'US Dashboard'!$C$6=H645),OR('US Dashboard'!$C$7="All",'US Dashboard'!$C$7=F645),OR('US Dashboard'!$C$8="All",'US Dashboard'!$C$8=AJ645))</f>
        <v/>
      </c>
      <c r="B645" s="148">
        <f>IF(A645,B644+1,B644)</f>
        <v/>
      </c>
      <c r="C645" s="148" t="n">
        <v>44</v>
      </c>
      <c r="D645" s="148" t="inlineStr">
        <is>
          <t>SL Cooling Fitted</t>
        </is>
      </c>
      <c r="E645" s="148" t="inlineStr">
        <is>
          <t>US</t>
        </is>
      </c>
      <c r="F645" s="148" t="inlineStr">
        <is>
          <t>Cooling</t>
        </is>
      </c>
      <c r="G645" s="148" t="inlineStr">
        <is>
          <t>Zaizaihome</t>
        </is>
      </c>
      <c r="H645" s="148" t="inlineStr">
        <is>
          <t>Beatable</t>
        </is>
      </c>
      <c r="I645" s="148" t="inlineStr">
        <is>
          <t>Bamboo Viscose Cooling Fitted Sheet King Size Only</t>
        </is>
      </c>
      <c r="J645" s="148" t="inlineStr">
        <is>
          <t>https://images-na.ssl-images-amazon.com/images/I/81UgXZwkGpL.jpg</t>
        </is>
      </c>
      <c r="K645" s="148" t="inlineStr">
        <is>
          <t>B0CXPDKH51</t>
        </is>
      </c>
      <c r="L645" s="148" t="inlineStr">
        <is>
          <t>B0CXPKK5DD</t>
        </is>
      </c>
      <c r="M645" s="148" t="n">
        <v>79</v>
      </c>
      <c r="N645" s="148" t="n">
        <v>29.99</v>
      </c>
      <c r="O645" s="148" t="n"/>
      <c r="P645" s="148">
        <f>IF(AND(ISNUMBER(O645),ISNUMBER(N645),N(N645)&gt;0),O645/N645-1,"")</f>
        <v/>
      </c>
      <c r="Q645" s="148" t="n">
        <v>39.99</v>
      </c>
      <c r="R645" s="148">
        <f>IF(AND(ISNUMBER(N645),ISNUMBER(Q645),N(Q645)&gt;0),N645/Q645-1,"")</f>
        <v/>
      </c>
      <c r="S645" s="148" t="n">
        <v>9600</v>
      </c>
      <c r="T645" s="148" t="n">
        <v>81</v>
      </c>
      <c r="U645" s="148" t="n">
        <v>4.3</v>
      </c>
      <c r="V645" s="148" t="n">
        <v>1029</v>
      </c>
      <c r="W645" s="148" t="n">
        <v>80454</v>
      </c>
      <c r="X645" s="148" t="n">
        <v>0.9934371106470778</v>
      </c>
      <c r="Y645" s="148" t="n">
        <v>39</v>
      </c>
      <c r="Z645" s="148" t="n">
        <v>214</v>
      </c>
      <c r="AA645" s="148" t="n">
        <v>39</v>
      </c>
      <c r="AB645" s="148" t="n">
        <v>0.9810017271157168</v>
      </c>
      <c r="AC645" s="148" t="inlineStr">
        <is>
          <t>US SL Cooling Fitted</t>
        </is>
      </c>
      <c r="AD645" s="148">
        <f>'US SL Cooling Fitted'!BF110</f>
        <v/>
      </c>
      <c r="AE645" s="148">
        <f>'US SL Cooling Fitted'!BI110</f>
        <v/>
      </c>
      <c r="AF645" s="148" t="inlineStr">
        <is>
          <t>King</t>
        </is>
      </c>
      <c r="AG645" s="148" t="inlineStr">
        <is>
          <t>Dark Grey</t>
        </is>
      </c>
      <c r="AH645" s="148">
        <f>AND(E645="CA",OR('CA Dashboard'!$C$4="All",'CA Dashboard'!$C$4=D645),OR('CA Dashboard'!$C$5="All",'CA Dashboard'!$C$5=G645),OR('CA Dashboard'!$C$6="All",'CA Dashboard'!$C$6=H645),OR('CA Dashboard'!$C$7="All",'CA Dashboard'!$C$7=F645),OR('CA Dashboard'!$C$8="All",'CA Dashboard'!$C$8=AJ645))</f>
        <v/>
      </c>
      <c r="AI645" s="148">
        <f>IF(AH645,AI644+1,AI644)</f>
        <v/>
      </c>
      <c r="AJ645" s="148" t="inlineStr">
        <is>
          <t>Alternative material</t>
        </is>
      </c>
      <c r="AK645" s="148" t="inlineStr">
        <is>
          <t>Fitted sheet in Bamboo viscose (product page material: Viscose Derived from Bamboo); ours is Synthetic cooling knit (BreezeWeave cooling fabric, nylon-spandex like CooLoom (confirmed Oct 15, 2026)). Shopper may cross-shop, but not like-for-like.</t>
        </is>
      </c>
    </row>
    <row r="646">
      <c r="A646" s="148">
        <f>AND(E646="US",OR('US Dashboard'!$C$4="All",'US Dashboard'!$C$4=D646),OR('US Dashboard'!$C$5="All",'US Dashboard'!$C$5=G646),OR('US Dashboard'!$C$6="All",'US Dashboard'!$C$6=H646),OR('US Dashboard'!$C$7="All",'US Dashboard'!$C$7=F646),OR('US Dashboard'!$C$8="All",'US Dashboard'!$C$8=AJ646))</f>
        <v/>
      </c>
      <c r="B646" s="148">
        <f>IF(A646,B645+1,B645)</f>
        <v/>
      </c>
      <c r="C646" s="148" t="n">
        <v>44</v>
      </c>
      <c r="D646" s="148" t="inlineStr">
        <is>
          <t>SL Cooling Fitted</t>
        </is>
      </c>
      <c r="E646" s="148" t="inlineStr">
        <is>
          <t>US</t>
        </is>
      </c>
      <c r="F646" s="148" t="inlineStr">
        <is>
          <t>Cooling</t>
        </is>
      </c>
      <c r="G646" s="148" t="inlineStr">
        <is>
          <t>Bedsure</t>
        </is>
      </c>
      <c r="H646" s="148" t="inlineStr">
        <is>
          <t>Beatable</t>
        </is>
      </c>
      <c r="I646" s="148" t="inlineStr">
        <is>
          <t>Bedsure PureWoven Queen Fitted Sheet Qnly, 100% Rayon Derived from Bamboo</t>
        </is>
      </c>
      <c r="J646" s="148" t="inlineStr">
        <is>
          <t>https://images-na.ssl-images-amazon.com/images/I/81OVUx9lkCL.jpg</t>
        </is>
      </c>
      <c r="K646" s="148" t="inlineStr">
        <is>
          <t>B0FW3SSM8K</t>
        </is>
      </c>
      <c r="L646" s="148" t="inlineStr">
        <is>
          <t>B0FW38KM4S</t>
        </is>
      </c>
      <c r="M646" s="148" t="n">
        <v>24</v>
      </c>
      <c r="N646" s="148" t="n">
        <v>44.99</v>
      </c>
      <c r="O646" s="148" t="n"/>
      <c r="P646" s="148">
        <f>IF(AND(ISNUMBER(O646),ISNUMBER(N646),N(N646)&gt;0),O646/N646-1,"")</f>
        <v/>
      </c>
      <c r="Q646" s="148" t="n">
        <v>37.99</v>
      </c>
      <c r="R646" s="148">
        <f>IF(AND(ISNUMBER(N646),ISNUMBER(Q646),N(Q646)&gt;0),N646/Q646-1,"")</f>
        <v/>
      </c>
      <c r="S646" s="148" t="n">
        <v>19075</v>
      </c>
      <c r="T646" s="148" t="n">
        <v>81</v>
      </c>
      <c r="U646" s="148" t="n">
        <v>4.4</v>
      </c>
      <c r="V646" s="148" t="n">
        <v>168</v>
      </c>
      <c r="W646" s="148" t="n">
        <v>95724</v>
      </c>
      <c r="X646" s="148" t="n">
        <v>0.3728984204588193</v>
      </c>
      <c r="Y646" s="148" t="n">
        <v>56</v>
      </c>
      <c r="Z646" s="148" t="n">
        <v>240</v>
      </c>
      <c r="AA646" s="148" t="n">
        <v>438</v>
      </c>
      <c r="AB646" s="148" t="n">
        <v>1.177319587628866</v>
      </c>
      <c r="AC646" s="148" t="inlineStr">
        <is>
          <t>US SL Cooling Fitted</t>
        </is>
      </c>
      <c r="AD646" s="148">
        <f>'US SL Cooling Fitted'!BF111</f>
        <v/>
      </c>
      <c r="AE646" s="148">
        <f>'US SL Cooling Fitted'!BI111</f>
        <v/>
      </c>
      <c r="AF646" s="148" t="inlineStr">
        <is>
          <t>Queen (1 PC)</t>
        </is>
      </c>
      <c r="AG646" s="148" t="inlineStr">
        <is>
          <t>01 - Grey</t>
        </is>
      </c>
      <c r="AH646" s="148">
        <f>AND(E646="CA",OR('CA Dashboard'!$C$4="All",'CA Dashboard'!$C$4=D646),OR('CA Dashboard'!$C$5="All",'CA Dashboard'!$C$5=G646),OR('CA Dashboard'!$C$6="All",'CA Dashboard'!$C$6=H646),OR('CA Dashboard'!$C$7="All",'CA Dashboard'!$C$7=F646),OR('CA Dashboard'!$C$8="All",'CA Dashboard'!$C$8=AJ646))</f>
        <v/>
      </c>
      <c r="AI646" s="148">
        <f>IF(AH646,AI645+1,AI645)</f>
        <v/>
      </c>
      <c r="AJ646" s="148" t="inlineStr">
        <is>
          <t>Alternative material</t>
        </is>
      </c>
      <c r="AK646" s="148" t="inlineStr">
        <is>
          <t>Fitted sheet in Bamboo viscose (product page material: Rayon Derived from Bamboo); ours is Synthetic cooling knit (BreezeWeave cooling fabric, nylon-spandex like CooLoom (confirmed Oct 15, 2026)). Shopper may cross-shop, but not like-for-like.</t>
        </is>
      </c>
    </row>
    <row r="647">
      <c r="A647" s="148">
        <f>AND(E647="US",OR('US Dashboard'!$C$4="All",'US Dashboard'!$C$4=D647),OR('US Dashboard'!$C$5="All",'US Dashboard'!$C$5=G647),OR('US Dashboard'!$C$6="All",'US Dashboard'!$C$6=H647),OR('US Dashboard'!$C$7="All",'US Dashboard'!$C$7=F647),OR('US Dashboard'!$C$8="All",'US Dashboard'!$C$8=AJ647))</f>
        <v/>
      </c>
      <c r="B647" s="148">
        <f>IF(A647,B646+1,B646)</f>
        <v/>
      </c>
      <c r="C647" s="148" t="n">
        <v>44</v>
      </c>
      <c r="D647" s="148" t="inlineStr">
        <is>
          <t>SL Cooling Fitted</t>
        </is>
      </c>
      <c r="E647" s="148" t="inlineStr">
        <is>
          <t>US</t>
        </is>
      </c>
      <c r="F647" s="148" t="inlineStr">
        <is>
          <t>Cooling</t>
        </is>
      </c>
      <c r="G647" s="148" t="inlineStr">
        <is>
          <t>BC BELLA COTERIE</t>
        </is>
      </c>
      <c r="H647" s="148" t="inlineStr">
        <is>
          <t>Untiered</t>
        </is>
      </c>
      <c r="I647" s="148" t="inlineStr">
        <is>
          <t>Bella Coterie | Luxury Bamboo Viscose King Size Fitted Sheet Only</t>
        </is>
      </c>
      <c r="J647" s="148" t="inlineStr">
        <is>
          <t>https://images-na.ssl-images-amazon.com/images/I/71AIQ3TCTsL.jpg</t>
        </is>
      </c>
      <c r="K647" s="148" t="inlineStr">
        <is>
          <t>B0FP7WBFNJ</t>
        </is>
      </c>
      <c r="L647" s="148" t="inlineStr">
        <is>
          <t>B0CZXZCTJP</t>
        </is>
      </c>
      <c r="M647" s="148" t="n">
        <v>126</v>
      </c>
      <c r="N647" s="148" t="n">
        <v>54.99</v>
      </c>
      <c r="O647" s="148" t="n"/>
      <c r="P647" s="148">
        <f>IF(AND(ISNUMBER(O647),ISNUMBER(N647),N(N647)&gt;0),O647/N647-1,"")</f>
        <v/>
      </c>
      <c r="Q647" s="148" t="n">
        <v>39.99</v>
      </c>
      <c r="R647" s="148">
        <f>IF(AND(ISNUMBER(N647),ISNUMBER(Q647),N(Q647)&gt;0),N647/Q647-1,"")</f>
        <v/>
      </c>
      <c r="S647" s="148" t="n">
        <v>13383</v>
      </c>
      <c r="T647" s="148" t="n">
        <v>35</v>
      </c>
      <c r="U647" s="148" t="n">
        <v>4.5</v>
      </c>
      <c r="V647" s="148" t="n">
        <v>331</v>
      </c>
      <c r="W647" s="148" t="n">
        <v>157609</v>
      </c>
      <c r="X647" s="148" t="n">
        <v>0.3003846861537098</v>
      </c>
      <c r="Y647" s="148" t="n">
        <v>67</v>
      </c>
      <c r="Z647" s="148" t="n">
        <v>227</v>
      </c>
      <c r="AA647" s="148" t="n">
        <v>950</v>
      </c>
      <c r="AB647" s="148" t="n">
        <v>1.303030303030303</v>
      </c>
      <c r="AC647" s="148" t="inlineStr">
        <is>
          <t>US SL Cooling Fitted</t>
        </is>
      </c>
      <c r="AD647" s="148">
        <f>'US SL Cooling Fitted'!BF112</f>
        <v/>
      </c>
      <c r="AE647" s="148">
        <f>'US SL Cooling Fitted'!BI112</f>
        <v/>
      </c>
      <c r="AF647" s="148" t="inlineStr">
        <is>
          <t>King</t>
        </is>
      </c>
      <c r="AG647" s="148" t="inlineStr">
        <is>
          <t>Ivory</t>
        </is>
      </c>
      <c r="AH647" s="148">
        <f>AND(E647="CA",OR('CA Dashboard'!$C$4="All",'CA Dashboard'!$C$4=D647),OR('CA Dashboard'!$C$5="All",'CA Dashboard'!$C$5=G647),OR('CA Dashboard'!$C$6="All",'CA Dashboard'!$C$6=H647),OR('CA Dashboard'!$C$7="All",'CA Dashboard'!$C$7=F647),OR('CA Dashboard'!$C$8="All",'CA Dashboard'!$C$8=AJ647))</f>
        <v/>
      </c>
      <c r="AI647" s="148">
        <f>IF(AH647,AI646+1,AI646)</f>
        <v/>
      </c>
      <c r="AJ647" s="148" t="inlineStr">
        <is>
          <t>Alternative material</t>
        </is>
      </c>
      <c r="AK647" s="148" t="inlineStr">
        <is>
          <t>Fitted sheet in Bamboo viscose (product page material: Organically Grown Viscose Made From Bamboo); ours is Synthetic cooling knit (BreezeWeave cooling fabric, nylon-spandex like CooLoom (confirmed Oct 15, 2026)). Shopper may cross-shop, but not like-for-like.</t>
        </is>
      </c>
    </row>
    <row r="648">
      <c r="A648" s="148">
        <f>AND(E648="US",OR('US Dashboard'!$C$4="All",'US Dashboard'!$C$4=D648),OR('US Dashboard'!$C$5="All",'US Dashboard'!$C$5=G648),OR('US Dashboard'!$C$6="All",'US Dashboard'!$C$6=H648),OR('US Dashboard'!$C$7="All",'US Dashboard'!$C$7=F648),OR('US Dashboard'!$C$8="All",'US Dashboard'!$C$8=AJ648))</f>
        <v/>
      </c>
      <c r="B648" s="148">
        <f>IF(A648,B647+1,B647)</f>
        <v/>
      </c>
      <c r="C648" s="148" t="n">
        <v>44</v>
      </c>
      <c r="D648" s="148" t="inlineStr">
        <is>
          <t>SL Cooling Fitted</t>
        </is>
      </c>
      <c r="E648" s="148" t="inlineStr">
        <is>
          <t>US</t>
        </is>
      </c>
      <c r="F648" s="148" t="inlineStr">
        <is>
          <t>Cooling</t>
        </is>
      </c>
      <c r="G648" s="148" t="inlineStr">
        <is>
          <t>Pure Bamboo</t>
        </is>
      </c>
      <c r="H648" s="148" t="inlineStr">
        <is>
          <t>Aspirational</t>
        </is>
      </c>
      <c r="I648" s="148" t="inlineStr">
        <is>
          <t>Pure Bamboo King Sheets, Genuine 100% Organic Viscose Derived from Bamboo Bed Sheet Set, Luxuriously Soft &amp; Cooling, Double Stitching, 2 Year Quality Promise (King, Ivory)</t>
        </is>
      </c>
      <c r="J648" s="148" t="inlineStr">
        <is>
          <t>https://images-na.ssl-images-amazon.com/images/I/91dfner9BkL.jpg</t>
        </is>
      </c>
      <c r="K648" s="148" t="inlineStr">
        <is>
          <t>B0CZQ52MTQ</t>
        </is>
      </c>
      <c r="L648" s="148" t="inlineStr">
        <is>
          <t>B07DZTQ4JC</t>
        </is>
      </c>
      <c r="M648" s="148" t="n">
        <v>181</v>
      </c>
      <c r="N648" s="148" t="n">
        <v>109.99</v>
      </c>
      <c r="O648" s="148" t="n"/>
      <c r="P648" s="148">
        <f>IF(AND(ISNUMBER(O648),ISNUMBER(N648),N(N648)&gt;0),O648/N648-1,"")</f>
        <v/>
      </c>
      <c r="Q648" s="148" t="n">
        <v>39.99</v>
      </c>
      <c r="R648" s="148">
        <f>IF(AND(ISNUMBER(N648),ISNUMBER(Q648),N(Q648)&gt;0),N648/Q648-1,"")</f>
        <v/>
      </c>
      <c r="S648" s="148" t="n">
        <v>304</v>
      </c>
      <c r="T648" s="148" t="n">
        <v>809</v>
      </c>
      <c r="U648" s="148" t="n">
        <v>4.5</v>
      </c>
      <c r="V648" s="148" t="n">
        <v>21927</v>
      </c>
      <c r="W648" s="148" t="n">
        <v>2565055</v>
      </c>
      <c r="X648" s="148" t="n">
        <v>0.4648594811807159</v>
      </c>
      <c r="Y648" s="148" t="n">
        <v>56</v>
      </c>
      <c r="Z648" s="148" t="n">
        <v>287</v>
      </c>
      <c r="AA648" s="148" t="n">
        <v>3797</v>
      </c>
      <c r="AB648" s="148" t="n">
        <v>1.180104147961932</v>
      </c>
      <c r="AC648" s="148" t="inlineStr">
        <is>
          <t>US SL Cooling Fitted</t>
        </is>
      </c>
      <c r="AD648" s="148">
        <f>'US SL Cooling Fitted'!BF113</f>
        <v/>
      </c>
      <c r="AE648" s="148">
        <f>'US SL Cooling Fitted'!BI113</f>
        <v/>
      </c>
      <c r="AF648" s="148" t="inlineStr">
        <is>
          <t>King</t>
        </is>
      </c>
      <c r="AG648" s="148" t="inlineStr">
        <is>
          <t>Ivory</t>
        </is>
      </c>
      <c r="AH648" s="148">
        <f>AND(E648="CA",OR('CA Dashboard'!$C$4="All",'CA Dashboard'!$C$4=D648),OR('CA Dashboard'!$C$5="All",'CA Dashboard'!$C$5=G648),OR('CA Dashboard'!$C$6="All",'CA Dashboard'!$C$6=H648),OR('CA Dashboard'!$C$7="All",'CA Dashboard'!$C$7=F648),OR('CA Dashboard'!$C$8="All",'CA Dashboard'!$C$8=AJ648))</f>
        <v/>
      </c>
      <c r="AI648" s="148">
        <f>IF(AH648,AI647+1,AI647)</f>
        <v/>
      </c>
      <c r="AJ648" s="148" t="inlineStr">
        <is>
          <t>Different product type</t>
        </is>
      </c>
      <c r="AK648" s="148" t="inlineStr">
        <is>
          <t>Sells a sheet set; ours is a fitted sheet.</t>
        </is>
      </c>
    </row>
    <row r="649">
      <c r="A649" s="148">
        <f>AND(E649="US",OR('US Dashboard'!$C$4="All",'US Dashboard'!$C$4=D649),OR('US Dashboard'!$C$5="All",'US Dashboard'!$C$5=G649),OR('US Dashboard'!$C$6="All",'US Dashboard'!$C$6=H649),OR('US Dashboard'!$C$7="All",'US Dashboard'!$C$7=F649),OR('US Dashboard'!$C$8="All",'US Dashboard'!$C$8=AJ649))</f>
        <v/>
      </c>
      <c r="B649" s="148">
        <f>IF(A649,B648+1,B648)</f>
        <v/>
      </c>
      <c r="C649" s="148" t="n">
        <v>44</v>
      </c>
      <c r="D649" s="148" t="inlineStr">
        <is>
          <t>SL Cooling Fitted</t>
        </is>
      </c>
      <c r="E649" s="148" t="inlineStr">
        <is>
          <t>US</t>
        </is>
      </c>
      <c r="F649" s="148" t="inlineStr">
        <is>
          <t>Cooling</t>
        </is>
      </c>
      <c r="G649" s="148" t="inlineStr">
        <is>
          <t>Bedsure</t>
        </is>
      </c>
      <c r="H649" s="148" t="inlineStr">
        <is>
          <t>Beatable</t>
        </is>
      </c>
      <c r="I649" s="148" t="inlineStr">
        <is>
          <t>Bedsure PureWoven Organically Grown Bamboo Viscose Queen Sheet Set, 4PCS</t>
        </is>
      </c>
      <c r="J649" s="148" t="inlineStr">
        <is>
          <t>https://images-na.ssl-images-amazon.com/images/I/81suQgVR0GL.jpg</t>
        </is>
      </c>
      <c r="K649" s="148" t="inlineStr">
        <is>
          <t>B0FB8XS4D1</t>
        </is>
      </c>
      <c r="L649" s="148" t="inlineStr">
        <is>
          <t>B0FB8XR43Q</t>
        </is>
      </c>
      <c r="M649" s="148" t="n">
        <v>39</v>
      </c>
      <c r="N649" s="148" t="n">
        <v>89.98999999999999</v>
      </c>
      <c r="O649" s="148" t="n">
        <v>119.99</v>
      </c>
      <c r="P649" s="148">
        <f>IF(AND(ISNUMBER(O649),ISNUMBER(N649),N(N649)&gt;0),O649/N649-1,"")</f>
        <v/>
      </c>
      <c r="Q649" s="148" t="n">
        <v>37.99</v>
      </c>
      <c r="R649" s="148">
        <f>IF(AND(ISNUMBER(N649),ISNUMBER(Q649),N(Q649)&gt;0),N649/Q649-1,"")</f>
        <v/>
      </c>
      <c r="S649" s="148" t="n">
        <v>8938</v>
      </c>
      <c r="T649" s="148" t="n">
        <v>104</v>
      </c>
      <c r="U649" s="148" t="n">
        <v>4.5</v>
      </c>
      <c r="V649" s="148" t="n">
        <v>588</v>
      </c>
      <c r="W649" s="148" t="n">
        <v>840292</v>
      </c>
      <c r="X649" s="148" t="n">
        <v>0.1404099194089678</v>
      </c>
      <c r="Y649" s="148" t="n">
        <v>58</v>
      </c>
      <c r="Z649" s="148" t="n">
        <v>268</v>
      </c>
      <c r="AA649" s="148" t="n">
        <v>2465</v>
      </c>
      <c r="AB649" s="148" t="n">
        <v>1.764832022873481</v>
      </c>
      <c r="AC649" s="148" t="inlineStr">
        <is>
          <t>US SL Cooling Fitted</t>
        </is>
      </c>
      <c r="AD649" s="148">
        <f>'US SL Cooling Fitted'!BF114</f>
        <v/>
      </c>
      <c r="AE649" s="148">
        <f>'US SL Cooling Fitted'!BI114</f>
        <v/>
      </c>
      <c r="AF649" s="148" t="inlineStr">
        <is>
          <t>Queen</t>
        </is>
      </c>
      <c r="AG649" s="148" t="inlineStr">
        <is>
          <t>01 - White</t>
        </is>
      </c>
      <c r="AH649" s="148">
        <f>AND(E649="CA",OR('CA Dashboard'!$C$4="All",'CA Dashboard'!$C$4=D649),OR('CA Dashboard'!$C$5="All",'CA Dashboard'!$C$5=G649),OR('CA Dashboard'!$C$6="All",'CA Dashboard'!$C$6=H649),OR('CA Dashboard'!$C$7="All",'CA Dashboard'!$C$7=F649),OR('CA Dashboard'!$C$8="All",'CA Dashboard'!$C$8=AJ649))</f>
        <v/>
      </c>
      <c r="AI649" s="148">
        <f>IF(AH649,AI648+1,AI648)</f>
        <v/>
      </c>
      <c r="AJ649" s="148" t="inlineStr">
        <is>
          <t>Different product type</t>
        </is>
      </c>
      <c r="AK649" s="148" t="inlineStr">
        <is>
          <t>Sells a sheet set; ours is a fitted sheet.</t>
        </is>
      </c>
    </row>
    <row r="650">
      <c r="A650" s="148">
        <f>AND(E650="US",OR('US Dashboard'!$C$4="All",'US Dashboard'!$C$4=D650),OR('US Dashboard'!$C$5="All",'US Dashboard'!$C$5=G650),OR('US Dashboard'!$C$6="All",'US Dashboard'!$C$6=H650),OR('US Dashboard'!$C$7="All",'US Dashboard'!$C$7=F650),OR('US Dashboard'!$C$8="All",'US Dashboard'!$C$8=AJ650))</f>
        <v/>
      </c>
      <c r="B650" s="148">
        <f>IF(A650,B649+1,B649)</f>
        <v/>
      </c>
      <c r="C650" s="148" t="n">
        <v>44</v>
      </c>
      <c r="D650" s="148" t="inlineStr">
        <is>
          <t>SL Cooling Fitted</t>
        </is>
      </c>
      <c r="E650" s="148" t="inlineStr">
        <is>
          <t>US</t>
        </is>
      </c>
      <c r="F650" s="148" t="inlineStr">
        <is>
          <t>Cooling</t>
        </is>
      </c>
      <c r="G650" s="148" t="inlineStr">
        <is>
          <t>OMERAI</t>
        </is>
      </c>
      <c r="H650" s="148" t="inlineStr">
        <is>
          <t>Beatable</t>
        </is>
      </c>
      <c r="I650" s="148" t="inlineStr">
        <is>
          <t>Cooling Sheets</t>
        </is>
      </c>
      <c r="J650" s="148" t="inlineStr">
        <is>
          <t>https://m.media-amazon.com/images/I/818EX2hLSoL._AC_SL1500_.jpg</t>
        </is>
      </c>
      <c r="K650" s="148" t="inlineStr">
        <is>
          <t>B0HDC7BMTC</t>
        </is>
      </c>
      <c r="L650" s="148" t="inlineStr">
        <is>
          <t>B0FX8K1CG9</t>
        </is>
      </c>
      <c r="M650" s="148" t="n">
        <v>10</v>
      </c>
      <c r="N650" s="148" t="n">
        <v>42.99</v>
      </c>
      <c r="O650" s="148" t="n">
        <v>59.99</v>
      </c>
      <c r="P650" s="148">
        <f>IF(AND(ISNUMBER(O650),ISNUMBER(N650),N(N650)&gt;0),O650/N650-1,"")</f>
        <v/>
      </c>
      <c r="Q650" s="148" t="n">
        <v>39.99</v>
      </c>
      <c r="R650" s="148">
        <f>IF(AND(ISNUMBER(N650),ISNUMBER(Q650),N(Q650)&gt;0),N650/Q650-1,"")</f>
        <v/>
      </c>
      <c r="S650" s="148" t="n">
        <v>115669</v>
      </c>
      <c r="T650" s="148" t="n">
        <v>5</v>
      </c>
      <c r="U650" s="148" t="n">
        <v>4.7</v>
      </c>
      <c r="V650" s="148" t="n">
        <v>4</v>
      </c>
      <c r="W650" s="148" t="n">
        <v>13712</v>
      </c>
      <c r="X650" s="148" t="n">
        <v>0.8852072199533255</v>
      </c>
      <c r="Y650" s="148" t="n">
        <v>40</v>
      </c>
      <c r="Z650" s="148" t="n">
        <v>65</v>
      </c>
      <c r="AA650" s="148" t="n">
        <v>56</v>
      </c>
      <c r="AB650" s="148" t="n"/>
      <c r="AC650" s="148" t="inlineStr">
        <is>
          <t>US SL Cooling Fitted</t>
        </is>
      </c>
      <c r="AD650" s="148">
        <f>'US SL Cooling Fitted'!BF115</f>
        <v/>
      </c>
      <c r="AE650" s="148">
        <f>'US SL Cooling Fitted'!BI115</f>
        <v/>
      </c>
      <c r="AF650" s="148" t="inlineStr">
        <is>
          <t>King 4 PC</t>
        </is>
      </c>
      <c r="AG650" s="148" t="inlineStr">
        <is>
          <t>Blue</t>
        </is>
      </c>
      <c r="AH650" s="148">
        <f>AND(E650="CA",OR('CA Dashboard'!$C$4="All",'CA Dashboard'!$C$4=D650),OR('CA Dashboard'!$C$5="All",'CA Dashboard'!$C$5=G650),OR('CA Dashboard'!$C$6="All",'CA Dashboard'!$C$6=H650),OR('CA Dashboard'!$C$7="All",'CA Dashboard'!$C$7=F650),OR('CA Dashboard'!$C$8="All",'CA Dashboard'!$C$8=AJ650))</f>
        <v/>
      </c>
      <c r="AI650" s="148">
        <f>IF(AH650,AI649+1,AI649)</f>
        <v/>
      </c>
      <c r="AJ650" s="148" t="inlineStr">
        <is>
          <t>Different product type</t>
        </is>
      </c>
      <c r="AK650" s="148" t="inlineStr">
        <is>
          <t>Sells a sheet set; ours is a fitted sheet.</t>
        </is>
      </c>
    </row>
    <row r="651">
      <c r="A651" s="148">
        <f>AND(E651="US",OR('US Dashboard'!$C$4="All",'US Dashboard'!$C$4=D651),OR('US Dashboard'!$C$5="All",'US Dashboard'!$C$5=G651),OR('US Dashboard'!$C$6="All",'US Dashboard'!$C$6=H651),OR('US Dashboard'!$C$7="All",'US Dashboard'!$C$7=F651),OR('US Dashboard'!$C$8="All",'US Dashboard'!$C$8=AJ651))</f>
        <v/>
      </c>
      <c r="B651" s="148">
        <f>IF(A651,B650+1,B650)</f>
        <v/>
      </c>
      <c r="C651" s="148" t="n">
        <v>44</v>
      </c>
      <c r="D651" s="148" t="inlineStr">
        <is>
          <t>SL Cooling Fitted</t>
        </is>
      </c>
      <c r="E651" s="148" t="inlineStr">
        <is>
          <t>US</t>
        </is>
      </c>
      <c r="F651" s="148" t="inlineStr">
        <is>
          <t>Cooling</t>
        </is>
      </c>
      <c r="G651" s="148" t="inlineStr">
        <is>
          <t>Bedsure</t>
        </is>
      </c>
      <c r="H651" s="148" t="inlineStr">
        <is>
          <t>Untiered</t>
        </is>
      </c>
      <c r="I651" s="148" t="inlineStr">
        <is>
          <t>Bedsure PureWoven 100% Rayon Derived from Bamboo, Queen Sheets, 4 Pieces</t>
        </is>
      </c>
      <c r="J651" s="148" t="inlineStr">
        <is>
          <t>https://images-na.ssl-images-amazon.com/images/I/81L2xb5ly6L.jpg</t>
        </is>
      </c>
      <c r="K651" s="148" t="inlineStr">
        <is>
          <t>B0BZ8T5BJ6</t>
        </is>
      </c>
      <c r="L651" s="148" t="inlineStr">
        <is>
          <t>B07YK8VTJV</t>
        </is>
      </c>
      <c r="M651" s="148" t="n">
        <v>131</v>
      </c>
      <c r="N651" s="148" t="n">
        <v>62.99</v>
      </c>
      <c r="O651" s="148" t="n">
        <v>69.98999999999999</v>
      </c>
      <c r="P651" s="148">
        <f>IF(AND(ISNUMBER(O651),ISNUMBER(N651),N(N651)&gt;0),O651/N651-1,"")</f>
        <v/>
      </c>
      <c r="Q651" s="148" t="n">
        <v>37.99</v>
      </c>
      <c r="R651" s="148">
        <f>IF(AND(ISNUMBER(N651),ISNUMBER(Q651),N(Q651)&gt;0),N651/Q651-1,"")</f>
        <v/>
      </c>
      <c r="S651" s="148" t="n">
        <v>256</v>
      </c>
      <c r="T651" s="148" t="n">
        <v>809</v>
      </c>
      <c r="U651" s="148" t="n">
        <v>4.4</v>
      </c>
      <c r="V651" s="148" t="n">
        <v>65061</v>
      </c>
      <c r="W651" s="148" t="n">
        <v>2166046</v>
      </c>
      <c r="X651" s="148" t="n">
        <v>0.5902383405984899</v>
      </c>
      <c r="Y651" s="148" t="n">
        <v>47</v>
      </c>
      <c r="Z651" s="148" t="n">
        <v>301</v>
      </c>
      <c r="AA651" s="148" t="n">
        <v>3470</v>
      </c>
      <c r="AB651" s="148" t="n">
        <v>1.066623404715553</v>
      </c>
      <c r="AC651" s="148" t="inlineStr">
        <is>
          <t>US SL Cooling Fitted</t>
        </is>
      </c>
      <c r="AD651" s="148">
        <f>'US SL Cooling Fitted'!BF116</f>
        <v/>
      </c>
      <c r="AE651" s="148">
        <f>'US SL Cooling Fitted'!BI116</f>
        <v/>
      </c>
      <c r="AF651" s="148" t="inlineStr">
        <is>
          <t>Queen</t>
        </is>
      </c>
      <c r="AG651" s="148" t="inlineStr">
        <is>
          <t>02 - White</t>
        </is>
      </c>
      <c r="AH651" s="148">
        <f>AND(E651="CA",OR('CA Dashboard'!$C$4="All",'CA Dashboard'!$C$4=D651),OR('CA Dashboard'!$C$5="All",'CA Dashboard'!$C$5=G651),OR('CA Dashboard'!$C$6="All",'CA Dashboard'!$C$6=H651),OR('CA Dashboard'!$C$7="All",'CA Dashboard'!$C$7=F651),OR('CA Dashboard'!$C$8="All",'CA Dashboard'!$C$8=AJ651))</f>
        <v/>
      </c>
      <c r="AI651" s="148">
        <f>IF(AH651,AI650+1,AI650)</f>
        <v/>
      </c>
      <c r="AJ651" s="148" t="inlineStr">
        <is>
          <t>Different product type</t>
        </is>
      </c>
      <c r="AK651" s="148" t="inlineStr">
        <is>
          <t>Sells a sheet set; ours is a fitted sheet.</t>
        </is>
      </c>
    </row>
    <row r="652">
      <c r="A652" s="148">
        <f>AND(E652="US",OR('US Dashboard'!$C$4="All",'US Dashboard'!$C$4=D652),OR('US Dashboard'!$C$5="All",'US Dashboard'!$C$5=G652),OR('US Dashboard'!$C$6="All",'US Dashboard'!$C$6=H652),OR('US Dashboard'!$C$7="All",'US Dashboard'!$C$7=F652),OR('US Dashboard'!$C$8="All",'US Dashboard'!$C$8=AJ652))</f>
        <v/>
      </c>
      <c r="B652" s="148">
        <f>IF(A652,B651+1,B651)</f>
        <v/>
      </c>
      <c r="C652" s="148" t="n">
        <v>44</v>
      </c>
      <c r="D652" s="148" t="inlineStr">
        <is>
          <t>SL Cooling Fitted</t>
        </is>
      </c>
      <c r="E652" s="148" t="inlineStr">
        <is>
          <t>US</t>
        </is>
      </c>
      <c r="F652" s="148" t="inlineStr">
        <is>
          <t>Cooling</t>
        </is>
      </c>
      <c r="G652" s="148" t="inlineStr">
        <is>
          <t>REST</t>
        </is>
      </c>
      <c r="H652" s="148" t="inlineStr">
        <is>
          <t>Untiered</t>
        </is>
      </c>
      <c r="I652" s="148" t="inlineStr">
        <is>
          <t>Cooling Sheets</t>
        </is>
      </c>
      <c r="J652" s="148" t="inlineStr">
        <is>
          <t>https://m.media-amazon.com/images/I/71lWpVXtIFL._AC_SL1500_.jpg</t>
        </is>
      </c>
      <c r="K652" s="148" t="inlineStr">
        <is>
          <t>B0HC6866B7</t>
        </is>
      </c>
      <c r="L652" s="148" t="inlineStr">
        <is>
          <t>B0D9JHBBCZ</t>
        </is>
      </c>
      <c r="M652" s="148" t="n">
        <v>69</v>
      </c>
      <c r="N652" s="148" t="n">
        <v>224.25</v>
      </c>
      <c r="O652" s="148" t="n">
        <v>299</v>
      </c>
      <c r="P652" s="148">
        <f>IF(AND(ISNUMBER(O652),ISNUMBER(N652),N(N652)&gt;0),O652/N652-1,"")</f>
        <v/>
      </c>
      <c r="Q652" s="148" t="n">
        <v>37.99</v>
      </c>
      <c r="R652" s="148">
        <f>IF(AND(ISNUMBER(N652),ISNUMBER(Q652),N(Q652)&gt;0),N652/Q652-1,"")</f>
        <v/>
      </c>
      <c r="S652" s="148" t="n">
        <v>5255</v>
      </c>
      <c r="T652" s="148" t="n">
        <v>81</v>
      </c>
      <c r="U652" s="148" t="n">
        <v>4.3</v>
      </c>
      <c r="V652" s="148" t="n">
        <v>1149</v>
      </c>
      <c r="W652" s="148" t="n">
        <v>522593</v>
      </c>
      <c r="X652" s="148" t="n">
        <v>0.2234137663535486</v>
      </c>
      <c r="Y652" s="148" t="n">
        <v>69</v>
      </c>
      <c r="Z652" s="148" t="n">
        <v>162</v>
      </c>
      <c r="AA652" s="148" t="n">
        <v>3287</v>
      </c>
      <c r="AB652" s="148" t="n"/>
      <c r="AC652" s="148" t="inlineStr">
        <is>
          <t>US SL Cooling Fitted</t>
        </is>
      </c>
      <c r="AD652" s="148">
        <f>'US SL Cooling Fitted'!BF117</f>
        <v/>
      </c>
      <c r="AE652" s="148">
        <f>'US SL Cooling Fitted'!BI117</f>
        <v/>
      </c>
      <c r="AF652" s="148" t="inlineStr">
        <is>
          <t>Queen</t>
        </is>
      </c>
      <c r="AG652" s="148" t="inlineStr">
        <is>
          <t>Midnight Blue</t>
        </is>
      </c>
      <c r="AH652" s="148">
        <f>AND(E652="CA",OR('CA Dashboard'!$C$4="All",'CA Dashboard'!$C$4=D652),OR('CA Dashboard'!$C$5="All",'CA Dashboard'!$C$5=G652),OR('CA Dashboard'!$C$6="All",'CA Dashboard'!$C$6=H652),OR('CA Dashboard'!$C$7="All",'CA Dashboard'!$C$7=F652),OR('CA Dashboard'!$C$8="All",'CA Dashboard'!$C$8=AJ652))</f>
        <v/>
      </c>
      <c r="AI652" s="148">
        <f>IF(AH652,AI651+1,AI651)</f>
        <v/>
      </c>
      <c r="AJ652" s="148" t="inlineStr">
        <is>
          <t>Different product type</t>
        </is>
      </c>
      <c r="AK652" s="148" t="inlineStr">
        <is>
          <t>Sells a sheet set; ours is a fitted sheet.</t>
        </is>
      </c>
    </row>
    <row r="653">
      <c r="A653" s="148">
        <f>AND(E653="US",OR('US Dashboard'!$C$4="All",'US Dashboard'!$C$4=D653),OR('US Dashboard'!$C$5="All",'US Dashboard'!$C$5=G653),OR('US Dashboard'!$C$6="All",'US Dashboard'!$C$6=H653),OR('US Dashboard'!$C$7="All",'US Dashboard'!$C$7=F653),OR('US Dashboard'!$C$8="All",'US Dashboard'!$C$8=AJ653))</f>
        <v/>
      </c>
      <c r="B653" s="148">
        <f>IF(A653,B652+1,B652)</f>
        <v/>
      </c>
      <c r="C653" s="148" t="n">
        <v>46</v>
      </c>
      <c r="D653" s="148" t="inlineStr">
        <is>
          <t>SL Quilt Set</t>
        </is>
      </c>
      <c r="E653" s="148" t="inlineStr">
        <is>
          <t>US</t>
        </is>
      </c>
      <c r="F653" s="148" t="inlineStr">
        <is>
          <t>Other</t>
        </is>
      </c>
      <c r="G653" s="148" t="inlineStr">
        <is>
          <t>Love's cabin</t>
        </is>
      </c>
      <c r="H653" s="148" t="inlineStr">
        <is>
          <t>Aspirational</t>
        </is>
      </c>
      <c r="I653" s="148" t="inlineStr">
        <is>
          <t>Love's cabin Quilts for Queen Bed Blue Bedspreads - Soft Bed Summer Lightweight Bedspread Comforter - Modern Style Coin Pattern Coverlet for All Season - 3 Pieces (1 Quilt, 2 Pillow Shams)</t>
        </is>
      </c>
      <c r="J653" s="148" t="inlineStr">
        <is>
          <t>https://images-na.ssl-images-amazon.com/images/I/91rbRjfsNlL.jpg</t>
        </is>
      </c>
      <c r="K653" s="148" t="inlineStr">
        <is>
          <t>B0859YNTXN</t>
        </is>
      </c>
      <c r="L653" s="148" t="inlineStr">
        <is>
          <t>B08LDD8HBW</t>
        </is>
      </c>
      <c r="M653" s="148" t="n">
        <v>280</v>
      </c>
      <c r="N653" s="148" t="n">
        <v>25.99</v>
      </c>
      <c r="O653" s="148" t="n">
        <v>31.99</v>
      </c>
      <c r="P653" s="148">
        <f>IF(AND(ISNUMBER(O653),ISNUMBER(N653),N(N653)&gt;0),O653/N653-1,"")</f>
        <v/>
      </c>
      <c r="Q653" s="148" t="n">
        <v>41.99</v>
      </c>
      <c r="R653" s="148">
        <f>IF(AND(ISNUMBER(N653),ISNUMBER(Q653),N(Q653)&gt;0),N653/Q653-1,"")</f>
        <v/>
      </c>
      <c r="S653" s="148" t="n">
        <v>368</v>
      </c>
      <c r="T653" s="148" t="n">
        <v>809</v>
      </c>
      <c r="U653" s="148" t="n">
        <v>4.6</v>
      </c>
      <c r="V653" s="148" t="n">
        <v>9469</v>
      </c>
      <c r="W653" s="148" t="n"/>
      <c r="X653" s="148" t="n"/>
      <c r="Y653" s="148" t="n"/>
      <c r="Z653" s="148" t="n"/>
      <c r="AA653" s="148" t="n"/>
      <c r="AB653" s="148" t="n">
        <v>0.9342541687491479</v>
      </c>
      <c r="AC653" s="148" t="inlineStr">
        <is>
          <t>US SL Quilt Set</t>
        </is>
      </c>
      <c r="AD653" s="148">
        <f>'US SL Quilt Set'!BF61</f>
        <v/>
      </c>
      <c r="AE653" s="148">
        <f>'US SL Quilt Set'!BI61</f>
        <v/>
      </c>
      <c r="AF653" s="148" t="inlineStr">
        <is>
          <t>Queen</t>
        </is>
      </c>
      <c r="AG653" s="148" t="inlineStr">
        <is>
          <t>Blue</t>
        </is>
      </c>
      <c r="AH653" s="148">
        <f>AND(E653="CA",OR('CA Dashboard'!$C$4="All",'CA Dashboard'!$C$4=D653),OR('CA Dashboard'!$C$5="All",'CA Dashboard'!$C$5=G653),OR('CA Dashboard'!$C$6="All",'CA Dashboard'!$C$6=H653),OR('CA Dashboard'!$C$7="All",'CA Dashboard'!$C$7=F653),OR('CA Dashboard'!$C$8="All",'CA Dashboard'!$C$8=AJ653))</f>
        <v/>
      </c>
      <c r="AI653" s="148">
        <f>IF(AH653,AI652+1,AI652)</f>
        <v/>
      </c>
      <c r="AJ653" s="148" t="inlineStr">
        <is>
          <t>Not classified</t>
        </is>
      </c>
      <c r="AK653" s="148" t="inlineStr">
        <is>
          <t>Not a sheet, pillowcase or comforter product; competitors are compared on price and sales only.</t>
        </is>
      </c>
    </row>
    <row r="654">
      <c r="A654" s="148">
        <f>AND(E654="US",OR('US Dashboard'!$C$4="All",'US Dashboard'!$C$4=D654),OR('US Dashboard'!$C$5="All",'US Dashboard'!$C$5=G654),OR('US Dashboard'!$C$6="All",'US Dashboard'!$C$6=H654),OR('US Dashboard'!$C$7="All",'US Dashboard'!$C$7=F654),OR('US Dashboard'!$C$8="All",'US Dashboard'!$C$8=AJ654))</f>
        <v/>
      </c>
      <c r="B654" s="148">
        <f>IF(A654,B653+1,B653)</f>
        <v/>
      </c>
      <c r="C654" s="148" t="n">
        <v>46</v>
      </c>
      <c r="D654" s="148" t="inlineStr">
        <is>
          <t>SL Quilt Set</t>
        </is>
      </c>
      <c r="E654" s="148" t="inlineStr">
        <is>
          <t>US</t>
        </is>
      </c>
      <c r="F654" s="148" t="inlineStr">
        <is>
          <t>Other</t>
        </is>
      </c>
      <c r="G654" s="148" t="inlineStr">
        <is>
          <t>FLYMME</t>
        </is>
      </c>
      <c r="H654" s="148" t="inlineStr">
        <is>
          <t>Aspirational</t>
        </is>
      </c>
      <c r="I654" s="148" t="inlineStr">
        <is>
          <t>FLYMME Quilts Queen Size - Ultra Soft Navy Blue Quilt Lightweight Microfiber Bedspreads, Classic Basket Weave Pattern Bedspread Bed Coverlet 3 Pieces for All-Season (1 Quilt, 2 Pillow Shams)</t>
        </is>
      </c>
      <c r="J654" s="148" t="inlineStr">
        <is>
          <t>https://images-na.ssl-images-amazon.com/images/I/81FerbiIQ9L.jpg</t>
        </is>
      </c>
      <c r="K654" s="148" t="inlineStr">
        <is>
          <t>B0DS2L4CG2</t>
        </is>
      </c>
      <c r="L654" s="148" t="inlineStr">
        <is>
          <t>B0D8JF6DDS</t>
        </is>
      </c>
      <c r="M654" s="148" t="n">
        <v>113</v>
      </c>
      <c r="N654" s="148" t="n">
        <v>27.99</v>
      </c>
      <c r="O654" s="148" t="n"/>
      <c r="P654" s="148">
        <f>IF(AND(ISNUMBER(O654),ISNUMBER(N654),N(N654)&gt;0),O654/N654-1,"")</f>
        <v/>
      </c>
      <c r="Q654" s="148" t="n">
        <v>41.99</v>
      </c>
      <c r="R654" s="148">
        <f>IF(AND(ISNUMBER(N654),ISNUMBER(Q654),N(Q654)&gt;0),N654/Q654-1,"")</f>
        <v/>
      </c>
      <c r="S654" s="148" t="n">
        <v>9598</v>
      </c>
      <c r="T654" s="148" t="n">
        <v>347</v>
      </c>
      <c r="U654" s="148" t="n">
        <v>4.3</v>
      </c>
      <c r="V654" s="148" t="n">
        <v>1454</v>
      </c>
      <c r="W654" s="148" t="n"/>
      <c r="X654" s="148" t="n"/>
      <c r="Y654" s="148" t="n"/>
      <c r="Z654" s="148" t="n"/>
      <c r="AA654" s="148" t="n"/>
      <c r="AB654" s="148" t="n">
        <v>1.132025914901068</v>
      </c>
      <c r="AC654" s="148" t="inlineStr">
        <is>
          <t>US SL Quilt Set</t>
        </is>
      </c>
      <c r="AD654" s="148">
        <f>'US SL Quilt Set'!BF62</f>
        <v/>
      </c>
      <c r="AE654" s="148">
        <f>'US SL Quilt Set'!BI62</f>
        <v/>
      </c>
      <c r="AF654" s="148" t="inlineStr">
        <is>
          <t>Queen</t>
        </is>
      </c>
      <c r="AG654" s="148" t="inlineStr">
        <is>
          <t>Navy</t>
        </is>
      </c>
      <c r="AH654" s="148">
        <f>AND(E654="CA",OR('CA Dashboard'!$C$4="All",'CA Dashboard'!$C$4=D654),OR('CA Dashboard'!$C$5="All",'CA Dashboard'!$C$5=G654),OR('CA Dashboard'!$C$6="All",'CA Dashboard'!$C$6=H654),OR('CA Dashboard'!$C$7="All",'CA Dashboard'!$C$7=F654),OR('CA Dashboard'!$C$8="All",'CA Dashboard'!$C$8=AJ654))</f>
        <v/>
      </c>
      <c r="AI654" s="148">
        <f>IF(AH654,AI653+1,AI653)</f>
        <v/>
      </c>
      <c r="AJ654" s="148" t="inlineStr">
        <is>
          <t>Not classified</t>
        </is>
      </c>
      <c r="AK654" s="148" t="inlineStr">
        <is>
          <t>Not a sheet, pillowcase or comforter product; competitors are compared on price and sales only.</t>
        </is>
      </c>
    </row>
    <row r="655">
      <c r="A655" s="148">
        <f>AND(E655="US",OR('US Dashboard'!$C$4="All",'US Dashboard'!$C$4=D655),OR('US Dashboard'!$C$5="All",'US Dashboard'!$C$5=G655),OR('US Dashboard'!$C$6="All",'US Dashboard'!$C$6=H655),OR('US Dashboard'!$C$7="All",'US Dashboard'!$C$7=F655),OR('US Dashboard'!$C$8="All",'US Dashboard'!$C$8=AJ655))</f>
        <v/>
      </c>
      <c r="B655" s="148">
        <f>IF(A655,B654+1,B654)</f>
        <v/>
      </c>
      <c r="C655" s="148" t="n">
        <v>46</v>
      </c>
      <c r="D655" s="148" t="inlineStr">
        <is>
          <t>SL Quilt Set</t>
        </is>
      </c>
      <c r="E655" s="148" t="inlineStr">
        <is>
          <t>US</t>
        </is>
      </c>
      <c r="F655" s="148" t="inlineStr">
        <is>
          <t>Other</t>
        </is>
      </c>
      <c r="G655" s="148" t="inlineStr">
        <is>
          <t>HORIMOTE HOME</t>
        </is>
      </c>
      <c r="H655" s="148" t="inlineStr">
        <is>
          <t>Aspirational</t>
        </is>
      </c>
      <c r="I655" s="148" t="inlineStr">
        <is>
          <t>HORIMOTE HOME Quilt Set Queen Size Navy Blue, Classic Geometric Diamond Stitched Pattern, Ultra Soft Microfiber Lightweight Bedding Bedspread Coverlet for All Season with 1 Quilt 2 Pillow Shams</t>
        </is>
      </c>
      <c r="J655" s="148" t="inlineStr">
        <is>
          <t>https://images-na.ssl-images-amazon.com/images/I/71vQq9x6aXL.jpg</t>
        </is>
      </c>
      <c r="K655" s="148" t="inlineStr">
        <is>
          <t>B0BS5MVH9Q</t>
        </is>
      </c>
      <c r="L655" s="148" t="inlineStr">
        <is>
          <t>B085DLHZQ1</t>
        </is>
      </c>
      <c r="M655" s="148" t="n">
        <v>81</v>
      </c>
      <c r="N655" s="148" t="n">
        <v>29.99</v>
      </c>
      <c r="O655" s="148" t="n"/>
      <c r="P655" s="148">
        <f>IF(AND(ISNUMBER(O655),ISNUMBER(N655),N(N655)&gt;0),O655/N655-1,"")</f>
        <v/>
      </c>
      <c r="Q655" s="148" t="n">
        <v>41.99</v>
      </c>
      <c r="R655" s="148">
        <f>IF(AND(ISNUMBER(N655),ISNUMBER(Q655),N(Q655)&gt;0),N655/Q655-1,"")</f>
        <v/>
      </c>
      <c r="S655" s="148" t="n">
        <v>5785</v>
      </c>
      <c r="T655" s="148" t="n">
        <v>185</v>
      </c>
      <c r="U655" s="148" t="n">
        <v>4.6</v>
      </c>
      <c r="V655" s="148" t="n">
        <v>9080</v>
      </c>
      <c r="W655" s="148" t="n"/>
      <c r="X655" s="148" t="n"/>
      <c r="Y655" s="148" t="n"/>
      <c r="Z655" s="148" t="n"/>
      <c r="AA655" s="148" t="n"/>
      <c r="AB655" s="148" t="n">
        <v>1.138737985791893</v>
      </c>
      <c r="AC655" s="148" t="inlineStr">
        <is>
          <t>US SL Quilt Set</t>
        </is>
      </c>
      <c r="AD655" s="148">
        <f>'US SL Quilt Set'!BF63</f>
        <v/>
      </c>
      <c r="AE655" s="148">
        <f>'US SL Quilt Set'!BI63</f>
        <v/>
      </c>
      <c r="AF655" s="148" t="inlineStr">
        <is>
          <t>Queen</t>
        </is>
      </c>
      <c r="AG655" s="148" t="inlineStr">
        <is>
          <t>Navy</t>
        </is>
      </c>
      <c r="AH655" s="148">
        <f>AND(E655="CA",OR('CA Dashboard'!$C$4="All",'CA Dashboard'!$C$4=D655),OR('CA Dashboard'!$C$5="All",'CA Dashboard'!$C$5=G655),OR('CA Dashboard'!$C$6="All",'CA Dashboard'!$C$6=H655),OR('CA Dashboard'!$C$7="All",'CA Dashboard'!$C$7=F655),OR('CA Dashboard'!$C$8="All",'CA Dashboard'!$C$8=AJ655))</f>
        <v/>
      </c>
      <c r="AI655" s="148">
        <f>IF(AH655,AI654+1,AI654)</f>
        <v/>
      </c>
      <c r="AJ655" s="148" t="inlineStr">
        <is>
          <t>Not classified</t>
        </is>
      </c>
      <c r="AK655" s="148" t="inlineStr">
        <is>
          <t>Not a sheet, pillowcase or comforter product; competitors are compared on price and sales only.</t>
        </is>
      </c>
    </row>
    <row r="656">
      <c r="A656" s="148">
        <f>AND(E656="US",OR('US Dashboard'!$C$4="All",'US Dashboard'!$C$4=D656),OR('US Dashboard'!$C$5="All",'US Dashboard'!$C$5=G656),OR('US Dashboard'!$C$6="All",'US Dashboard'!$C$6=H656),OR('US Dashboard'!$C$7="All",'US Dashboard'!$C$7=F656),OR('US Dashboard'!$C$8="All",'US Dashboard'!$C$8=AJ656))</f>
        <v/>
      </c>
      <c r="B656" s="148">
        <f>IF(A656,B655+1,B655)</f>
        <v/>
      </c>
      <c r="C656" s="148" t="n">
        <v>46</v>
      </c>
      <c r="D656" s="148" t="inlineStr">
        <is>
          <t>SL Quilt Set</t>
        </is>
      </c>
      <c r="E656" s="148" t="inlineStr">
        <is>
          <t>US</t>
        </is>
      </c>
      <c r="F656" s="148" t="inlineStr">
        <is>
          <t>Other</t>
        </is>
      </c>
      <c r="G656" s="148" t="inlineStr">
        <is>
          <t>Exclusivo Mezcla</t>
        </is>
      </c>
      <c r="H656" s="148" t="inlineStr">
        <is>
          <t>Aspirational</t>
        </is>
      </c>
      <c r="I656" s="148" t="inlineStr">
        <is>
          <t>Exclusivo Mezcla Reversible Full Queen Quilt Bedding Set, Grey</t>
        </is>
      </c>
      <c r="J656" s="148" t="inlineStr">
        <is>
          <t>https://images-na.ssl-images-amazon.com/images/I/81j7fsOEGfL.jpg</t>
        </is>
      </c>
      <c r="K656" s="148" t="inlineStr">
        <is>
          <t>B07TZHQQ2L</t>
        </is>
      </c>
      <c r="L656" s="148" t="inlineStr">
        <is>
          <t>B07S6N5C5P</t>
        </is>
      </c>
      <c r="M656" s="148" t="n">
        <v>96</v>
      </c>
      <c r="N656" s="148" t="n">
        <v>25.19</v>
      </c>
      <c r="O656" s="148" t="n">
        <v>27.99</v>
      </c>
      <c r="P656" s="148">
        <f>IF(AND(ISNUMBER(O656),ISNUMBER(N656),N(N656)&gt;0),O656/N656-1,"")</f>
        <v/>
      </c>
      <c r="Q656" s="148" t="n">
        <v>29.02125</v>
      </c>
      <c r="R656" s="148">
        <f>IF(AND(ISNUMBER(N656),ISNUMBER(Q656),N(Q656)&gt;0),N656/Q656-1,"")</f>
        <v/>
      </c>
      <c r="S656" s="148" t="n">
        <v>6071</v>
      </c>
      <c r="T656" s="148" t="n">
        <v>104</v>
      </c>
      <c r="U656" s="148" t="n">
        <v>4.5</v>
      </c>
      <c r="V656" s="148" t="n">
        <v>17360</v>
      </c>
      <c r="W656" s="148" t="n"/>
      <c r="X656" s="148" t="n"/>
      <c r="Y656" s="148" t="n"/>
      <c r="Z656" s="148" t="n"/>
      <c r="AA656" s="148" t="n"/>
      <c r="AB656" s="148" t="n">
        <v>1.14822247706422</v>
      </c>
      <c r="AC656" s="148" t="inlineStr">
        <is>
          <t>US SL Quilt Set</t>
        </is>
      </c>
      <c r="AD656" s="148">
        <f>'US SL Quilt Set'!BF64</f>
        <v/>
      </c>
      <c r="AE656" s="148">
        <f>'US SL Quilt Set'!BI64</f>
        <v/>
      </c>
      <c r="AF656" s="148" t="inlineStr">
        <is>
          <t>Full</t>
        </is>
      </c>
      <c r="AG656" s="148" t="inlineStr">
        <is>
          <t>Grey</t>
        </is>
      </c>
      <c r="AH656" s="148">
        <f>AND(E656="CA",OR('CA Dashboard'!$C$4="All",'CA Dashboard'!$C$4=D656),OR('CA Dashboard'!$C$5="All",'CA Dashboard'!$C$5=G656),OR('CA Dashboard'!$C$6="All",'CA Dashboard'!$C$6=H656),OR('CA Dashboard'!$C$7="All",'CA Dashboard'!$C$7=F656),OR('CA Dashboard'!$C$8="All",'CA Dashboard'!$C$8=AJ656))</f>
        <v/>
      </c>
      <c r="AI656" s="148">
        <f>IF(AH656,AI655+1,AI655)</f>
        <v/>
      </c>
      <c r="AJ656" s="148" t="inlineStr">
        <is>
          <t>Not classified</t>
        </is>
      </c>
      <c r="AK656" s="148" t="inlineStr">
        <is>
          <t>Not a sheet, pillowcase or comforter product; competitors are compared on price and sales only.</t>
        </is>
      </c>
    </row>
    <row r="657">
      <c r="A657" s="148">
        <f>AND(E657="US",OR('US Dashboard'!$C$4="All",'US Dashboard'!$C$4=D657),OR('US Dashboard'!$C$5="All",'US Dashboard'!$C$5=G657),OR('US Dashboard'!$C$6="All",'US Dashboard'!$C$6=H657),OR('US Dashboard'!$C$7="All",'US Dashboard'!$C$7=F657),OR('US Dashboard'!$C$8="All",'US Dashboard'!$C$8=AJ657))</f>
        <v/>
      </c>
      <c r="B657" s="148">
        <f>IF(A657,B656+1,B656)</f>
        <v/>
      </c>
      <c r="C657" s="148" t="n">
        <v>46</v>
      </c>
      <c r="D657" s="148" t="inlineStr">
        <is>
          <t>SL Quilt Set</t>
        </is>
      </c>
      <c r="E657" s="148" t="inlineStr">
        <is>
          <t>US</t>
        </is>
      </c>
      <c r="F657" s="148" t="inlineStr">
        <is>
          <t>Other</t>
        </is>
      </c>
      <c r="G657" s="148" t="inlineStr">
        <is>
          <t>Maple&amp;Stone</t>
        </is>
      </c>
      <c r="H657" s="148" t="inlineStr">
        <is>
          <t>Aspirational</t>
        </is>
      </c>
      <c r="I657" s="148" t="inlineStr">
        <is>
          <t>Maple&amp;Stone White Quilt Set Queen Size, Lightweight Bedspread</t>
        </is>
      </c>
      <c r="J657" s="148" t="inlineStr">
        <is>
          <t>https://images-na.ssl-images-amazon.com/images/I/71PwPZaCa+L.jpg</t>
        </is>
      </c>
      <c r="K657" s="148" t="inlineStr">
        <is>
          <t>B09HGJGKYD</t>
        </is>
      </c>
      <c r="L657" s="148" t="inlineStr">
        <is>
          <t>B09P3NKL53</t>
        </is>
      </c>
      <c r="M657" s="148" t="n">
        <v>63</v>
      </c>
      <c r="N657" s="148" t="n">
        <v>29.99</v>
      </c>
      <c r="O657" s="148" t="n"/>
      <c r="P657" s="148">
        <f>IF(AND(ISNUMBER(O657),ISNUMBER(N657),N(N657)&gt;0),O657/N657-1,"")</f>
        <v/>
      </c>
      <c r="Q657" s="148" t="n">
        <v>41.99</v>
      </c>
      <c r="R657" s="148">
        <f>IF(AND(ISNUMBER(N657),ISNUMBER(Q657),N(Q657)&gt;0),N657/Q657-1,"")</f>
        <v/>
      </c>
      <c r="S657" s="148" t="n">
        <v>25352</v>
      </c>
      <c r="T657" s="148" t="n">
        <v>104</v>
      </c>
      <c r="U657" s="148" t="n">
        <v>4.4</v>
      </c>
      <c r="V657" s="148" t="n">
        <v>2762</v>
      </c>
      <c r="W657" s="148" t="n"/>
      <c r="X657" s="148" t="n"/>
      <c r="Y657" s="148" t="n"/>
      <c r="Z657" s="148" t="n"/>
      <c r="AA657" s="148" t="n"/>
      <c r="AB657" s="148" t="n">
        <v>1.059339177343223</v>
      </c>
      <c r="AC657" s="148" t="inlineStr">
        <is>
          <t>US SL Quilt Set</t>
        </is>
      </c>
      <c r="AD657" s="148">
        <f>'US SL Quilt Set'!BF65</f>
        <v/>
      </c>
      <c r="AE657" s="148">
        <f>'US SL Quilt Set'!BI65</f>
        <v/>
      </c>
      <c r="AF657" s="148" t="inlineStr">
        <is>
          <t>Queen</t>
        </is>
      </c>
      <c r="AG657" s="148" t="inlineStr">
        <is>
          <t>White</t>
        </is>
      </c>
      <c r="AH657" s="148">
        <f>AND(E657="CA",OR('CA Dashboard'!$C$4="All",'CA Dashboard'!$C$4=D657),OR('CA Dashboard'!$C$5="All",'CA Dashboard'!$C$5=G657),OR('CA Dashboard'!$C$6="All",'CA Dashboard'!$C$6=H657),OR('CA Dashboard'!$C$7="All",'CA Dashboard'!$C$7=F657),OR('CA Dashboard'!$C$8="All",'CA Dashboard'!$C$8=AJ657))</f>
        <v/>
      </c>
      <c r="AI657" s="148">
        <f>IF(AH657,AI656+1,AI656)</f>
        <v/>
      </c>
      <c r="AJ657" s="148" t="inlineStr">
        <is>
          <t>Not classified</t>
        </is>
      </c>
      <c r="AK657" s="148" t="inlineStr">
        <is>
          <t>Not a sheet, pillowcase or comforter product; competitors are compared on price and sales only.</t>
        </is>
      </c>
    </row>
    <row r="658">
      <c r="A658" s="148">
        <f>AND(E658="US",OR('US Dashboard'!$C$4="All",'US Dashboard'!$C$4=D658),OR('US Dashboard'!$C$5="All",'US Dashboard'!$C$5=G658),OR('US Dashboard'!$C$6="All",'US Dashboard'!$C$6=H658),OR('US Dashboard'!$C$7="All",'US Dashboard'!$C$7=F658),OR('US Dashboard'!$C$8="All",'US Dashboard'!$C$8=AJ658))</f>
        <v/>
      </c>
      <c r="B658" s="148">
        <f>IF(A658,B657+1,B657)</f>
        <v/>
      </c>
      <c r="C658" s="148" t="n">
        <v>46</v>
      </c>
      <c r="D658" s="148" t="inlineStr">
        <is>
          <t>SL Quilt Set</t>
        </is>
      </c>
      <c r="E658" s="148" t="inlineStr">
        <is>
          <t>US</t>
        </is>
      </c>
      <c r="F658" s="148" t="inlineStr">
        <is>
          <t>Other</t>
        </is>
      </c>
      <c r="G658" s="148" t="inlineStr">
        <is>
          <t>Mybedsoul</t>
        </is>
      </c>
      <c r="H658" s="148" t="inlineStr">
        <is>
          <t>Aspirational</t>
        </is>
      </c>
      <c r="I658" s="148" t="inlineStr">
        <is>
          <t>Mybedsoul Boho Quilts Queen Size, Patchwork Floral Bedding Set, Blue</t>
        </is>
      </c>
      <c r="J658" s="148" t="inlineStr">
        <is>
          <t>https://images-na.ssl-images-amazon.com/images/I/9146yXrH8xL.jpg</t>
        </is>
      </c>
      <c r="K658" s="148" t="inlineStr">
        <is>
          <t>B0B4JBJGT9</t>
        </is>
      </c>
      <c r="L658" s="148" t="inlineStr">
        <is>
          <t>B0BGS9VP2S</t>
        </is>
      </c>
      <c r="M658" s="148" t="n">
        <v>79</v>
      </c>
      <c r="N658" s="148" t="n">
        <v>35.99</v>
      </c>
      <c r="O658" s="148" t="n"/>
      <c r="P658" s="148">
        <f>IF(AND(ISNUMBER(O658),ISNUMBER(N658),N(N658)&gt;0),O658/N658-1,"")</f>
        <v/>
      </c>
      <c r="Q658" s="148" t="n">
        <v>41.99</v>
      </c>
      <c r="R658" s="148">
        <f>IF(AND(ISNUMBER(N658),ISNUMBER(Q658),N(Q658)&gt;0),N658/Q658-1,"")</f>
        <v/>
      </c>
      <c r="S658" s="148" t="n">
        <v>7768</v>
      </c>
      <c r="T658" s="148" t="n">
        <v>92</v>
      </c>
      <c r="U658" s="148" t="n">
        <v>4.6</v>
      </c>
      <c r="V658" s="148" t="n">
        <v>4352</v>
      </c>
      <c r="W658" s="148" t="n"/>
      <c r="X658" s="148" t="n"/>
      <c r="Y658" s="148" t="n"/>
      <c r="Z658" s="148" t="n"/>
      <c r="AA658" s="148" t="n"/>
      <c r="AB658" s="148" t="n">
        <v>1.341538461538462</v>
      </c>
      <c r="AC658" s="148" t="inlineStr">
        <is>
          <t>US SL Quilt Set</t>
        </is>
      </c>
      <c r="AD658" s="148">
        <f>'US SL Quilt Set'!BF66</f>
        <v/>
      </c>
      <c r="AE658" s="148">
        <f>'US SL Quilt Set'!BI66</f>
        <v/>
      </c>
      <c r="AF658" s="148" t="inlineStr">
        <is>
          <t>Queen</t>
        </is>
      </c>
      <c r="AG658" s="148" t="inlineStr">
        <is>
          <t>Blue</t>
        </is>
      </c>
      <c r="AH658" s="148">
        <f>AND(E658="CA",OR('CA Dashboard'!$C$4="All",'CA Dashboard'!$C$4=D658),OR('CA Dashboard'!$C$5="All",'CA Dashboard'!$C$5=G658),OR('CA Dashboard'!$C$6="All",'CA Dashboard'!$C$6=H658),OR('CA Dashboard'!$C$7="All",'CA Dashboard'!$C$7=F658),OR('CA Dashboard'!$C$8="All",'CA Dashboard'!$C$8=AJ658))</f>
        <v/>
      </c>
      <c r="AI658" s="148">
        <f>IF(AH658,AI657+1,AI657)</f>
        <v/>
      </c>
      <c r="AJ658" s="148" t="inlineStr">
        <is>
          <t>Not classified</t>
        </is>
      </c>
      <c r="AK658" s="148" t="inlineStr">
        <is>
          <t>Not a sheet, pillowcase or comforter product; competitors are compared on price and sales only.</t>
        </is>
      </c>
    </row>
    <row r="659">
      <c r="A659" s="148">
        <f>AND(E659="US",OR('US Dashboard'!$C$4="All",'US Dashboard'!$C$4=D659),OR('US Dashboard'!$C$5="All",'US Dashboard'!$C$5=G659),OR('US Dashboard'!$C$6="All",'US Dashboard'!$C$6=H659),OR('US Dashboard'!$C$7="All",'US Dashboard'!$C$7=F659),OR('US Dashboard'!$C$8="All",'US Dashboard'!$C$8=AJ659))</f>
        <v/>
      </c>
      <c r="B659" s="148">
        <f>IF(A659,B658+1,B658)</f>
        <v/>
      </c>
      <c r="C659" s="148" t="n">
        <v>46</v>
      </c>
      <c r="D659" s="148" t="inlineStr">
        <is>
          <t>SL Quilt Set</t>
        </is>
      </c>
      <c r="E659" s="148" t="inlineStr">
        <is>
          <t>US</t>
        </is>
      </c>
      <c r="F659" s="148" t="inlineStr">
        <is>
          <t>Other</t>
        </is>
      </c>
      <c r="G659" s="148" t="inlineStr">
        <is>
          <t>Hansleep</t>
        </is>
      </c>
      <c r="H659" s="148" t="inlineStr">
        <is>
          <t>Aspirational</t>
        </is>
      </c>
      <c r="I659" s="148" t="inlineStr">
        <is>
          <t>Bamboo Sheets</t>
        </is>
      </c>
      <c r="J659" s="148" t="inlineStr">
        <is>
          <t>https://m.media-amazon.com/images/I/81NPo9ZNhYL._AC_SL1500_.jpg</t>
        </is>
      </c>
      <c r="K659" s="148" t="inlineStr">
        <is>
          <t>B089VRY7KD</t>
        </is>
      </c>
      <c r="L659" s="148" t="inlineStr">
        <is>
          <t>B089VT34WN</t>
        </is>
      </c>
      <c r="M659" s="148" t="n"/>
      <c r="N659" s="148" t="n">
        <v>36.99</v>
      </c>
      <c r="O659" s="148" t="n"/>
      <c r="P659" s="148">
        <f>IF(AND(ISNUMBER(O659),ISNUMBER(N659),N(N659)&gt;0),O659/N659-1,"")</f>
        <v/>
      </c>
      <c r="Q659" s="148" t="n">
        <v>29.02125</v>
      </c>
      <c r="R659" s="148">
        <f>IF(AND(ISNUMBER(N659),ISNUMBER(Q659),N(Q659)&gt;0),N659/Q659-1,"")</f>
        <v/>
      </c>
      <c r="S659" s="148" t="n">
        <v>32750</v>
      </c>
      <c r="T659" s="148" t="n">
        <v>35</v>
      </c>
      <c r="U659" s="148" t="n">
        <v>4.6</v>
      </c>
      <c r="V659" s="148" t="n">
        <v>5920</v>
      </c>
      <c r="W659" s="148" t="n"/>
      <c r="X659" s="148" t="n"/>
      <c r="Y659" s="148" t="n"/>
      <c r="Z659" s="148" t="n"/>
      <c r="AA659" s="148" t="n"/>
      <c r="AB659" s="148" t="n"/>
      <c r="AC659" s="148" t="inlineStr">
        <is>
          <t>US SL Quilt Set</t>
        </is>
      </c>
      <c r="AD659" s="148">
        <f>'US SL Quilt Set'!BF67</f>
        <v/>
      </c>
      <c r="AE659" s="148">
        <f>'US SL Quilt Set'!BI67</f>
        <v/>
      </c>
      <c r="AF659" s="148" t="inlineStr">
        <is>
          <t>Oversized King-106"x96"</t>
        </is>
      </c>
      <c r="AG659" s="148" t="inlineStr">
        <is>
          <t>White</t>
        </is>
      </c>
      <c r="AH659" s="148">
        <f>AND(E659="CA",OR('CA Dashboard'!$C$4="All",'CA Dashboard'!$C$4=D659),OR('CA Dashboard'!$C$5="All",'CA Dashboard'!$C$5=G659),OR('CA Dashboard'!$C$6="All",'CA Dashboard'!$C$6=H659),OR('CA Dashboard'!$C$7="All",'CA Dashboard'!$C$7=F659),OR('CA Dashboard'!$C$8="All",'CA Dashboard'!$C$8=AJ659))</f>
        <v/>
      </c>
      <c r="AI659" s="148">
        <f>IF(AH659,AI658+1,AI658)</f>
        <v/>
      </c>
      <c r="AJ659" s="148" t="inlineStr">
        <is>
          <t>Not classified</t>
        </is>
      </c>
      <c r="AK659" s="148" t="inlineStr">
        <is>
          <t>Not a sheet, pillowcase or comforter product; competitors are compared on price and sales only.</t>
        </is>
      </c>
    </row>
    <row r="660">
      <c r="A660" s="148">
        <f>AND(E660="US",OR('US Dashboard'!$C$4="All",'US Dashboard'!$C$4=D660),OR('US Dashboard'!$C$5="All",'US Dashboard'!$C$5=G660),OR('US Dashboard'!$C$6="All",'US Dashboard'!$C$6=H660),OR('US Dashboard'!$C$7="All",'US Dashboard'!$C$7=F660),OR('US Dashboard'!$C$8="All",'US Dashboard'!$C$8=AJ660))</f>
        <v/>
      </c>
      <c r="B660" s="148">
        <f>IF(A660,B659+1,B659)</f>
        <v/>
      </c>
      <c r="C660" s="148" t="n">
        <v>46</v>
      </c>
      <c r="D660" s="148" t="inlineStr">
        <is>
          <t>SL Quilt Set</t>
        </is>
      </c>
      <c r="E660" s="148" t="inlineStr">
        <is>
          <t>US</t>
        </is>
      </c>
      <c r="F660" s="148" t="inlineStr">
        <is>
          <t>Other</t>
        </is>
      </c>
      <c r="G660" s="148" t="inlineStr">
        <is>
          <t>Wake In Cloud</t>
        </is>
      </c>
      <c r="H660" s="148" t="inlineStr">
        <is>
          <t>Aspirational</t>
        </is>
      </c>
      <c r="I660" s="148" t="inlineStr">
        <is>
          <t>Bamboo Sheets</t>
        </is>
      </c>
      <c r="J660" s="148" t="inlineStr">
        <is>
          <t>https://m.media-amazon.com/images/I/81vCprsAEzL._AC_SL1500_.jpg</t>
        </is>
      </c>
      <c r="K660" s="148" t="inlineStr">
        <is>
          <t>B0D7V5YL6V</t>
        </is>
      </c>
      <c r="L660" s="148" t="inlineStr">
        <is>
          <t>B0CRPTW9GV</t>
        </is>
      </c>
      <c r="M660" s="148" t="n"/>
      <c r="N660" s="148" t="n">
        <v>27.99</v>
      </c>
      <c r="O660" s="148" t="n"/>
      <c r="P660" s="148">
        <f>IF(AND(ISNUMBER(O660),ISNUMBER(N660),N(N660)&gt;0),O660/N660-1,"")</f>
        <v/>
      </c>
      <c r="Q660" s="148" t="n">
        <v>44.99</v>
      </c>
      <c r="R660" s="148">
        <f>IF(AND(ISNUMBER(N660),ISNUMBER(Q660),N(Q660)&gt;0),N660/Q660-1,"")</f>
        <v/>
      </c>
      <c r="S660" s="148" t="n">
        <v>32539</v>
      </c>
      <c r="T660" s="148" t="n">
        <v>18</v>
      </c>
      <c r="U660" s="148" t="n">
        <v>4.6</v>
      </c>
      <c r="V660" s="148" t="n">
        <v>512</v>
      </c>
      <c r="W660" s="148" t="n"/>
      <c r="X660" s="148" t="n"/>
      <c r="Y660" s="148" t="n"/>
      <c r="Z660" s="148" t="n"/>
      <c r="AA660" s="148" t="n"/>
      <c r="AB660" s="148" t="n"/>
      <c r="AC660" s="148" t="inlineStr">
        <is>
          <t>US SL Quilt Set</t>
        </is>
      </c>
      <c r="AD660" s="148">
        <f>'US SL Quilt Set'!BF68</f>
        <v/>
      </c>
      <c r="AE660" s="148">
        <f>'US SL Quilt Set'!BI68</f>
        <v/>
      </c>
      <c r="AF660" s="148" t="inlineStr">
        <is>
          <t>King</t>
        </is>
      </c>
      <c r="AG660" s="148" t="inlineStr">
        <is>
          <t>Pink</t>
        </is>
      </c>
      <c r="AH660" s="148">
        <f>AND(E660="CA",OR('CA Dashboard'!$C$4="All",'CA Dashboard'!$C$4=D660),OR('CA Dashboard'!$C$5="All",'CA Dashboard'!$C$5=G660),OR('CA Dashboard'!$C$6="All",'CA Dashboard'!$C$6=H660),OR('CA Dashboard'!$C$7="All",'CA Dashboard'!$C$7=F660),OR('CA Dashboard'!$C$8="All",'CA Dashboard'!$C$8=AJ660))</f>
        <v/>
      </c>
      <c r="AI660" s="148">
        <f>IF(AH660,AI659+1,AI659)</f>
        <v/>
      </c>
      <c r="AJ660" s="148" t="inlineStr">
        <is>
          <t>Not classified</t>
        </is>
      </c>
      <c r="AK660" s="148" t="inlineStr">
        <is>
          <t>Not a sheet, pillowcase or comforter product; competitors are compared on price and sales only.</t>
        </is>
      </c>
    </row>
    <row r="661">
      <c r="A661" s="148">
        <f>AND(E661="US",OR('US Dashboard'!$C$4="All",'US Dashboard'!$C$4=D661),OR('US Dashboard'!$C$5="All",'US Dashboard'!$C$5=G661),OR('US Dashboard'!$C$6="All",'US Dashboard'!$C$6=H661),OR('US Dashboard'!$C$7="All",'US Dashboard'!$C$7=F661),OR('US Dashboard'!$C$8="All",'US Dashboard'!$C$8=AJ661))</f>
        <v/>
      </c>
      <c r="B661" s="148">
        <f>IF(A661,B660+1,B660)</f>
        <v/>
      </c>
      <c r="C661" s="148" t="n">
        <v>46</v>
      </c>
      <c r="D661" s="148" t="inlineStr">
        <is>
          <t>SL Quilt Set</t>
        </is>
      </c>
      <c r="E661" s="148" t="inlineStr">
        <is>
          <t>US</t>
        </is>
      </c>
      <c r="F661" s="148" t="inlineStr">
        <is>
          <t>Other</t>
        </is>
      </c>
      <c r="G661" s="148" t="inlineStr">
        <is>
          <t>WDCOZY</t>
        </is>
      </c>
      <c r="H661" s="148" t="inlineStr">
        <is>
          <t>Beatable</t>
        </is>
      </c>
      <c r="I661" s="148" t="inlineStr">
        <is>
          <t>WDCOZY Beige Queen Size Quilts Bedding Sets with 2 Pillow Shams, Neutral Lightweight Soft Bedspread Coverlet, Quilted Blanket Thin Comforter Bed Cover for All Season, 3 Pieces, 90x90 inches</t>
        </is>
      </c>
      <c r="J661" s="148" t="inlineStr">
        <is>
          <t>https://images-na.ssl-images-amazon.com/images/I/81Vj1MSRN6L.jpg</t>
        </is>
      </c>
      <c r="K661" s="148" t="inlineStr">
        <is>
          <t>B0CRH88PXZ</t>
        </is>
      </c>
      <c r="L661" s="148" t="inlineStr">
        <is>
          <t>B0DJ6XGCFD</t>
        </is>
      </c>
      <c r="M661" s="148" t="n">
        <v>79</v>
      </c>
      <c r="N661" s="148" t="n">
        <v>44.99</v>
      </c>
      <c r="O661" s="148" t="n"/>
      <c r="P661" s="148">
        <f>IF(AND(ISNUMBER(O661),ISNUMBER(N661),N(N661)&gt;0),O661/N661-1,"")</f>
        <v/>
      </c>
      <c r="Q661" s="148" t="n">
        <v>41.99</v>
      </c>
      <c r="R661" s="148">
        <f>IF(AND(ISNUMBER(N661),ISNUMBER(Q661),N(Q661)&gt;0),N661/Q661-1,"")</f>
        <v/>
      </c>
      <c r="S661" s="148" t="n">
        <v>479</v>
      </c>
      <c r="T661" s="148" t="n">
        <v>347</v>
      </c>
      <c r="U661" s="148" t="n">
        <v>4.4</v>
      </c>
      <c r="V661" s="148" t="n">
        <v>5513</v>
      </c>
      <c r="W661" s="148" t="n">
        <v>691328</v>
      </c>
      <c r="X661" s="148" t="n">
        <v>0.9625961895077294</v>
      </c>
      <c r="Y661" s="148" t="n">
        <v>11</v>
      </c>
      <c r="Z661" s="148" t="n">
        <v>355</v>
      </c>
      <c r="AA661" s="148" t="n">
        <v>225</v>
      </c>
      <c r="AB661" s="148" t="n"/>
      <c r="AC661" s="148" t="inlineStr">
        <is>
          <t>US SL Quilt Set</t>
        </is>
      </c>
      <c r="AD661" s="148">
        <f>'US SL Quilt Set'!BF69</f>
        <v/>
      </c>
      <c r="AE661" s="148">
        <f>'US SL Quilt Set'!BI69</f>
        <v/>
      </c>
      <c r="AF661" s="148" t="inlineStr">
        <is>
          <t>Queen</t>
        </is>
      </c>
      <c r="AG661" s="148" t="inlineStr">
        <is>
          <t>Beige</t>
        </is>
      </c>
      <c r="AH661" s="148">
        <f>AND(E661="CA",OR('CA Dashboard'!$C$4="All",'CA Dashboard'!$C$4=D661),OR('CA Dashboard'!$C$5="All",'CA Dashboard'!$C$5=G661),OR('CA Dashboard'!$C$6="All",'CA Dashboard'!$C$6=H661),OR('CA Dashboard'!$C$7="All",'CA Dashboard'!$C$7=F661),OR('CA Dashboard'!$C$8="All",'CA Dashboard'!$C$8=AJ661))</f>
        <v/>
      </c>
      <c r="AI661" s="148">
        <f>IF(AH661,AI660+1,AI660)</f>
        <v/>
      </c>
      <c r="AJ661" s="148" t="inlineStr">
        <is>
          <t>Not classified</t>
        </is>
      </c>
      <c r="AK661" s="148" t="inlineStr">
        <is>
          <t>Not a sheet, pillowcase or comforter product; competitors are compared on price and sales only.</t>
        </is>
      </c>
    </row>
    <row r="662">
      <c r="A662" s="148">
        <f>AND(E662="US",OR('US Dashboard'!$C$4="All",'US Dashboard'!$C$4=D662),OR('US Dashboard'!$C$5="All",'US Dashboard'!$C$5=G662),OR('US Dashboard'!$C$6="All",'US Dashboard'!$C$6=H662),OR('US Dashboard'!$C$7="All",'US Dashboard'!$C$7=F662),OR('US Dashboard'!$C$8="All",'US Dashboard'!$C$8=AJ662))</f>
        <v/>
      </c>
      <c r="B662" s="148">
        <f>IF(A662,B661+1,B661)</f>
        <v/>
      </c>
      <c r="C662" s="148" t="n">
        <v>46</v>
      </c>
      <c r="D662" s="148" t="inlineStr">
        <is>
          <t>SL Quilt Set</t>
        </is>
      </c>
      <c r="E662" s="148" t="inlineStr">
        <is>
          <t>US</t>
        </is>
      </c>
      <c r="F662" s="148" t="inlineStr">
        <is>
          <t>Other</t>
        </is>
      </c>
      <c r="G662" s="148" t="inlineStr">
        <is>
          <t>WRENSONGE</t>
        </is>
      </c>
      <c r="H662" s="148" t="inlineStr">
        <is>
          <t>Beatable</t>
        </is>
      </c>
      <c r="I662" s="148" t="inlineStr">
        <is>
          <t>Queen Quilt-Lightweight Bedspreads Olive Green Queen Size Quilt Bedding Set</t>
        </is>
      </c>
      <c r="J662" s="148" t="inlineStr">
        <is>
          <t>https://images-na.ssl-images-amazon.com/images/I/71ghS2nS1bL.jpg</t>
        </is>
      </c>
      <c r="K662" s="148" t="inlineStr">
        <is>
          <t>B0CQSZMYXD</t>
        </is>
      </c>
      <c r="L662" s="148" t="inlineStr">
        <is>
          <t>B0CQT8LKMK</t>
        </is>
      </c>
      <c r="M662" s="148" t="n">
        <v>73</v>
      </c>
      <c r="N662" s="148" t="n">
        <v>39.99</v>
      </c>
      <c r="O662" s="148" t="n"/>
      <c r="P662" s="148">
        <f>IF(AND(ISNUMBER(O662),ISNUMBER(N662),N(N662)&gt;0),O662/N662-1,"")</f>
        <v/>
      </c>
      <c r="Q662" s="148" t="n">
        <v>41.99</v>
      </c>
      <c r="R662" s="148">
        <f>IF(AND(ISNUMBER(N662),ISNUMBER(Q662),N(Q662)&gt;0),N662/Q662-1,"")</f>
        <v/>
      </c>
      <c r="S662" s="148" t="n">
        <v>5766</v>
      </c>
      <c r="T662" s="148" t="n">
        <v>220</v>
      </c>
      <c r="U662" s="148" t="n">
        <v>4.5</v>
      </c>
      <c r="V662" s="148" t="n">
        <v>942</v>
      </c>
      <c r="W662" s="148" t="n"/>
      <c r="X662" s="148" t="n"/>
      <c r="Y662" s="148" t="n"/>
      <c r="Z662" s="148" t="n"/>
      <c r="AA662" s="148" t="n"/>
      <c r="AB662" s="148" t="n">
        <v>1.010340370529944</v>
      </c>
      <c r="AC662" s="148" t="inlineStr">
        <is>
          <t>US SL Quilt Set</t>
        </is>
      </c>
      <c r="AD662" s="148">
        <f>'US SL Quilt Set'!BF70</f>
        <v/>
      </c>
      <c r="AE662" s="148">
        <f>'US SL Quilt Set'!BI70</f>
        <v/>
      </c>
      <c r="AF662" s="148" t="inlineStr">
        <is>
          <t>Queen</t>
        </is>
      </c>
      <c r="AG662" s="148" t="inlineStr">
        <is>
          <t>Green</t>
        </is>
      </c>
      <c r="AH662" s="148">
        <f>AND(E662="CA",OR('CA Dashboard'!$C$4="All",'CA Dashboard'!$C$4=D662),OR('CA Dashboard'!$C$5="All",'CA Dashboard'!$C$5=G662),OR('CA Dashboard'!$C$6="All",'CA Dashboard'!$C$6=H662),OR('CA Dashboard'!$C$7="All",'CA Dashboard'!$C$7=F662),OR('CA Dashboard'!$C$8="All",'CA Dashboard'!$C$8=AJ662))</f>
        <v/>
      </c>
      <c r="AI662" s="148">
        <f>IF(AH662,AI661+1,AI661)</f>
        <v/>
      </c>
      <c r="AJ662" s="148" t="inlineStr">
        <is>
          <t>Not classified</t>
        </is>
      </c>
      <c r="AK662" s="148" t="inlineStr">
        <is>
          <t>Not a sheet, pillowcase or comforter product; competitors are compared on price and sales only.</t>
        </is>
      </c>
    </row>
    <row r="663">
      <c r="A663" s="148">
        <f>AND(E663="US",OR('US Dashboard'!$C$4="All",'US Dashboard'!$C$4=D663),OR('US Dashboard'!$C$5="All",'US Dashboard'!$C$5=G663),OR('US Dashboard'!$C$6="All",'US Dashboard'!$C$6=H663),OR('US Dashboard'!$C$7="All",'US Dashboard'!$C$7=F663),OR('US Dashboard'!$C$8="All",'US Dashboard'!$C$8=AJ663))</f>
        <v/>
      </c>
      <c r="B663" s="148">
        <f>IF(A663,B662+1,B662)</f>
        <v/>
      </c>
      <c r="C663" s="148" t="n">
        <v>46</v>
      </c>
      <c r="D663" s="148" t="inlineStr">
        <is>
          <t>SL Quilt Set</t>
        </is>
      </c>
      <c r="E663" s="148" t="inlineStr">
        <is>
          <t>US</t>
        </is>
      </c>
      <c r="F663" s="148" t="inlineStr">
        <is>
          <t>Other</t>
        </is>
      </c>
      <c r="G663" s="148" t="inlineStr">
        <is>
          <t>akkialla</t>
        </is>
      </c>
      <c r="H663" s="148" t="inlineStr">
        <is>
          <t>Beatable</t>
        </is>
      </c>
      <c r="I663" s="148" t="inlineStr">
        <is>
          <t>akkialla Full/Queen Size Quilt Bedding Set,Beige Lightweight Microfiber Soft Bedspread,Modern Style Geoetric Pattern Coverlet Set for All Seasons,3 Piece(1 Quilt,2 Pillow Shams)</t>
        </is>
      </c>
      <c r="J663" s="148" t="inlineStr">
        <is>
          <t>https://images-na.ssl-images-amazon.com/images/I/81fj2tyxBwL.jpg</t>
        </is>
      </c>
      <c r="K663" s="148" t="inlineStr">
        <is>
          <t>B0DKDSQXBH</t>
        </is>
      </c>
      <c r="L663" s="148" t="inlineStr">
        <is>
          <t>B0DD3YKGCZ</t>
        </is>
      </c>
      <c r="M663" s="148" t="n">
        <v>116</v>
      </c>
      <c r="N663" s="148" t="n">
        <v>27.99</v>
      </c>
      <c r="O663" s="148" t="n"/>
      <c r="P663" s="148">
        <f>IF(AND(ISNUMBER(O663),ISNUMBER(N663),N(N663)&gt;0),O663/N663-1,"")</f>
        <v/>
      </c>
      <c r="Q663" s="148" t="n">
        <v>29.02125</v>
      </c>
      <c r="R663" s="148">
        <f>IF(AND(ISNUMBER(N663),ISNUMBER(Q663),N(Q663)&gt;0),N663/Q663-1,"")</f>
        <v/>
      </c>
      <c r="S663" s="148" t="n">
        <v>9638</v>
      </c>
      <c r="T663" s="148" t="n">
        <v>197</v>
      </c>
      <c r="U663" s="148" t="n">
        <v>4.4</v>
      </c>
      <c r="V663" s="148" t="n">
        <v>1378</v>
      </c>
      <c r="W663" s="148" t="n"/>
      <c r="X663" s="148" t="n"/>
      <c r="Y663" s="148" t="n"/>
      <c r="Z663" s="148" t="n"/>
      <c r="AA663" s="148" t="n"/>
      <c r="AB663" s="148" t="n">
        <v>1.10208030962748</v>
      </c>
      <c r="AC663" s="148" t="inlineStr">
        <is>
          <t>US SL Quilt Set</t>
        </is>
      </c>
      <c r="AD663" s="148">
        <f>'US SL Quilt Set'!BF71</f>
        <v/>
      </c>
      <c r="AE663" s="148">
        <f>'US SL Quilt Set'!BI71</f>
        <v/>
      </c>
      <c r="AF663" s="148" t="inlineStr">
        <is>
          <t>Full</t>
        </is>
      </c>
      <c r="AG663" s="148" t="inlineStr">
        <is>
          <t>Beige</t>
        </is>
      </c>
      <c r="AH663" s="148">
        <f>AND(E663="CA",OR('CA Dashboard'!$C$4="All",'CA Dashboard'!$C$4=D663),OR('CA Dashboard'!$C$5="All",'CA Dashboard'!$C$5=G663),OR('CA Dashboard'!$C$6="All",'CA Dashboard'!$C$6=H663),OR('CA Dashboard'!$C$7="All",'CA Dashboard'!$C$7=F663),OR('CA Dashboard'!$C$8="All",'CA Dashboard'!$C$8=AJ663))</f>
        <v/>
      </c>
      <c r="AI663" s="148">
        <f>IF(AH663,AI662+1,AI662)</f>
        <v/>
      </c>
      <c r="AJ663" s="148" t="inlineStr">
        <is>
          <t>Not classified</t>
        </is>
      </c>
      <c r="AK663" s="148" t="inlineStr">
        <is>
          <t>Not a sheet, pillowcase or comforter product; competitors are compared on price and sales only.</t>
        </is>
      </c>
    </row>
    <row r="664">
      <c r="A664" s="148">
        <f>AND(E664="US",OR('US Dashboard'!$C$4="All",'US Dashboard'!$C$4=D664),OR('US Dashboard'!$C$5="All",'US Dashboard'!$C$5=G664),OR('US Dashboard'!$C$6="All",'US Dashboard'!$C$6=H664),OR('US Dashboard'!$C$7="All",'US Dashboard'!$C$7=F664),OR('US Dashboard'!$C$8="All",'US Dashboard'!$C$8=AJ664))</f>
        <v/>
      </c>
      <c r="B664" s="148">
        <f>IF(A664,B663+1,B663)</f>
        <v/>
      </c>
      <c r="C664" s="148" t="n">
        <v>46</v>
      </c>
      <c r="D664" s="148" t="inlineStr">
        <is>
          <t>SL Quilt Set</t>
        </is>
      </c>
      <c r="E664" s="148" t="inlineStr">
        <is>
          <t>US</t>
        </is>
      </c>
      <c r="F664" s="148" t="inlineStr">
        <is>
          <t>Other</t>
        </is>
      </c>
      <c r="G664" s="148" t="inlineStr">
        <is>
          <t>EverGrace</t>
        </is>
      </c>
      <c r="H664" s="148" t="inlineStr">
        <is>
          <t>Beatable</t>
        </is>
      </c>
      <c r="I664" s="148" t="inlineStr">
        <is>
          <t>EverGrace Striped Channel Velvet Quilt Set, King Size, Urban Taupe</t>
        </is>
      </c>
      <c r="J664" s="148" t="inlineStr">
        <is>
          <t>https://images-na.ssl-images-amazon.com/images/I/71Wz8MFCVVL.jpg</t>
        </is>
      </c>
      <c r="K664" s="148" t="inlineStr">
        <is>
          <t>B0C4L25XW9</t>
        </is>
      </c>
      <c r="L664" s="148" t="inlineStr">
        <is>
          <t>B0D14LPTLP</t>
        </is>
      </c>
      <c r="M664" s="148" t="n">
        <v>30</v>
      </c>
      <c r="N664" s="148" t="n">
        <v>88.34</v>
      </c>
      <c r="O664" s="148" t="n">
        <v>92.98999999999999</v>
      </c>
      <c r="P664" s="148">
        <f>IF(AND(ISNUMBER(O664),ISNUMBER(N664),N(N664)&gt;0),O664/N664-1,"")</f>
        <v/>
      </c>
      <c r="Q664" s="148" t="n">
        <v>44.99</v>
      </c>
      <c r="R664" s="148">
        <f>IF(AND(ISNUMBER(N664),ISNUMBER(Q664),N(Q664)&gt;0),N664/Q664-1,"")</f>
        <v/>
      </c>
      <c r="S664" s="148" t="n">
        <v>7973</v>
      </c>
      <c r="T664" s="148" t="n">
        <v>173</v>
      </c>
      <c r="U664" s="148" t="n">
        <v>4.5</v>
      </c>
      <c r="V664" s="148" t="n">
        <v>1097</v>
      </c>
      <c r="W664" s="148" t="n"/>
      <c r="X664" s="148" t="n"/>
      <c r="Y664" s="148" t="n"/>
      <c r="Z664" s="148" t="n"/>
      <c r="AA664" s="148" t="n"/>
      <c r="AB664" s="148" t="n">
        <v>1.72992700729927</v>
      </c>
      <c r="AC664" s="148" t="inlineStr">
        <is>
          <t>US SL Quilt Set</t>
        </is>
      </c>
      <c r="AD664" s="148">
        <f>'US SL Quilt Set'!BF72</f>
        <v/>
      </c>
      <c r="AE664" s="148">
        <f>'US SL Quilt Set'!BI72</f>
        <v/>
      </c>
      <c r="AF664" s="148" t="inlineStr">
        <is>
          <t>King</t>
        </is>
      </c>
      <c r="AG664" s="148" t="inlineStr">
        <is>
          <t>Taupe</t>
        </is>
      </c>
      <c r="AH664" s="148">
        <f>AND(E664="CA",OR('CA Dashboard'!$C$4="All",'CA Dashboard'!$C$4=D664),OR('CA Dashboard'!$C$5="All",'CA Dashboard'!$C$5=G664),OR('CA Dashboard'!$C$6="All",'CA Dashboard'!$C$6=H664),OR('CA Dashboard'!$C$7="All",'CA Dashboard'!$C$7=F664),OR('CA Dashboard'!$C$8="All",'CA Dashboard'!$C$8=AJ664))</f>
        <v/>
      </c>
      <c r="AI664" s="148">
        <f>IF(AH664,AI663+1,AI663)</f>
        <v/>
      </c>
      <c r="AJ664" s="148" t="inlineStr">
        <is>
          <t>Not classified</t>
        </is>
      </c>
      <c r="AK664" s="148" t="inlineStr">
        <is>
          <t>Not a sheet, pillowcase or comforter product; competitors are compared on price and sales only.</t>
        </is>
      </c>
    </row>
    <row r="665">
      <c r="A665" s="148">
        <f>AND(E665="US",OR('US Dashboard'!$C$4="All",'US Dashboard'!$C$4=D665),OR('US Dashboard'!$C$5="All",'US Dashboard'!$C$5=G665),OR('US Dashboard'!$C$6="All",'US Dashboard'!$C$6=H665),OR('US Dashboard'!$C$7="All",'US Dashboard'!$C$7=F665),OR('US Dashboard'!$C$8="All",'US Dashboard'!$C$8=AJ665))</f>
        <v/>
      </c>
      <c r="B665" s="148">
        <f>IF(A665,B664+1,B664)</f>
        <v/>
      </c>
      <c r="C665" s="148" t="n">
        <v>46</v>
      </c>
      <c r="D665" s="148" t="inlineStr">
        <is>
          <t>SL Quilt Set</t>
        </is>
      </c>
      <c r="E665" s="148" t="inlineStr">
        <is>
          <t>US</t>
        </is>
      </c>
      <c r="F665" s="148" t="inlineStr">
        <is>
          <t>Other</t>
        </is>
      </c>
      <c r="G665" s="148" t="inlineStr">
        <is>
          <t>Bedsure</t>
        </is>
      </c>
      <c r="H665" s="148" t="inlineStr">
        <is>
          <t>Beatable</t>
        </is>
      </c>
      <c r="I665" s="148" t="inlineStr">
        <is>
          <t>Bamboo Sheets</t>
        </is>
      </c>
      <c r="J665" s="148" t="inlineStr">
        <is>
          <t>https://m.media-amazon.com/images/I/81ESlc5bjTL._AC_SL1500_.jpg</t>
        </is>
      </c>
      <c r="K665" s="148" t="inlineStr">
        <is>
          <t>B0D14LL4GY</t>
        </is>
      </c>
      <c r="L665" s="148" t="inlineStr">
        <is>
          <t>B0FH51CVXT</t>
        </is>
      </c>
      <c r="M665" s="148" t="n"/>
      <c r="N665" s="148" t="n">
        <v>46.99</v>
      </c>
      <c r="O665" s="148" t="n"/>
      <c r="P665" s="148">
        <f>IF(AND(ISNUMBER(O665),ISNUMBER(N665),N(N665)&gt;0),O665/N665-1,"")</f>
        <v/>
      </c>
      <c r="Q665" s="148" t="n">
        <v>41.99</v>
      </c>
      <c r="R665" s="148">
        <f>IF(AND(ISNUMBER(N665),ISNUMBER(Q665),N(Q665)&gt;0),N665/Q665-1,"")</f>
        <v/>
      </c>
      <c r="S665" s="148" t="n">
        <v>41764</v>
      </c>
      <c r="T665" s="148" t="n">
        <v>81</v>
      </c>
      <c r="U665" s="148" t="n">
        <v>4.6</v>
      </c>
      <c r="V665" s="148" t="n">
        <v>1294</v>
      </c>
      <c r="W665" s="148" t="n"/>
      <c r="X665" s="148" t="n"/>
      <c r="Y665" s="148" t="n"/>
      <c r="Z665" s="148" t="n"/>
      <c r="AA665" s="148" t="n"/>
      <c r="AB665" s="148" t="n">
        <v>0.9979818365287589</v>
      </c>
      <c r="AC665" s="148" t="inlineStr">
        <is>
          <t>US SL Quilt Set</t>
        </is>
      </c>
      <c r="AD665" s="148">
        <f>'US SL Quilt Set'!BF73</f>
        <v/>
      </c>
      <c r="AE665" s="148">
        <f>'US SL Quilt Set'!BI73</f>
        <v/>
      </c>
      <c r="AF665" s="148" t="inlineStr">
        <is>
          <t>Queen / Full</t>
        </is>
      </c>
      <c r="AG665" s="148" t="inlineStr">
        <is>
          <t>01 - Light Beige (Solid Border)</t>
        </is>
      </c>
      <c r="AH665" s="148">
        <f>AND(E665="CA",OR('CA Dashboard'!$C$4="All",'CA Dashboard'!$C$4=D665),OR('CA Dashboard'!$C$5="All",'CA Dashboard'!$C$5=G665),OR('CA Dashboard'!$C$6="All",'CA Dashboard'!$C$6=H665),OR('CA Dashboard'!$C$7="All",'CA Dashboard'!$C$7=F665),OR('CA Dashboard'!$C$8="All",'CA Dashboard'!$C$8=AJ665))</f>
        <v/>
      </c>
      <c r="AI665" s="148">
        <f>IF(AH665,AI664+1,AI664)</f>
        <v/>
      </c>
      <c r="AJ665" s="148" t="inlineStr">
        <is>
          <t>Not classified</t>
        </is>
      </c>
      <c r="AK665" s="148" t="inlineStr">
        <is>
          <t>Not a sheet, pillowcase or comforter product; competitors are compared on price and sales only.</t>
        </is>
      </c>
    </row>
    <row r="666">
      <c r="A666" s="148">
        <f>AND(E666="US",OR('US Dashboard'!$C$4="All",'US Dashboard'!$C$4=D666),OR('US Dashboard'!$C$5="All",'US Dashboard'!$C$5=G666),OR('US Dashboard'!$C$6="All",'US Dashboard'!$C$6=H666),OR('US Dashboard'!$C$7="All",'US Dashboard'!$C$7=F666),OR('US Dashboard'!$C$8="All",'US Dashboard'!$C$8=AJ666))</f>
        <v/>
      </c>
      <c r="B666" s="148">
        <f>IF(A666,B665+1,B665)</f>
        <v/>
      </c>
      <c r="C666" s="148" t="n">
        <v>46</v>
      </c>
      <c r="D666" s="148" t="inlineStr">
        <is>
          <t>SL Quilt Set</t>
        </is>
      </c>
      <c r="E666" s="148" t="inlineStr">
        <is>
          <t>US</t>
        </is>
      </c>
      <c r="F666" s="148" t="inlineStr">
        <is>
          <t>Other</t>
        </is>
      </c>
      <c r="G666" s="148" t="inlineStr">
        <is>
          <t>Joyreap</t>
        </is>
      </c>
      <c r="H666" s="148" t="inlineStr">
        <is>
          <t>Beatable</t>
        </is>
      </c>
      <c r="I666" s="148" t="inlineStr">
        <is>
          <t>Bamboo Sheets</t>
        </is>
      </c>
      <c r="J666" s="148" t="inlineStr">
        <is>
          <t>https://m.media-amazon.com/images/I/91ojjgNK4TL._AC_SL1500_.jpg</t>
        </is>
      </c>
      <c r="K666" s="148" t="inlineStr">
        <is>
          <t>B0D1KPS93N</t>
        </is>
      </c>
      <c r="L666" s="148" t="inlineStr">
        <is>
          <t>B0D1KHV9TM</t>
        </is>
      </c>
      <c r="M666" s="148" t="n"/>
      <c r="N666" s="148" t="n">
        <v>29.99</v>
      </c>
      <c r="O666" s="148" t="n"/>
      <c r="P666" s="148">
        <f>IF(AND(ISNUMBER(O666),ISNUMBER(N666),N(N666)&gt;0),O666/N666-1,"")</f>
        <v/>
      </c>
      <c r="Q666" s="148" t="n">
        <v>41.99</v>
      </c>
      <c r="R666" s="148">
        <f>IF(AND(ISNUMBER(N666),ISNUMBER(Q666),N(Q666)&gt;0),N666/Q666-1,"")</f>
        <v/>
      </c>
      <c r="S666" s="148" t="n">
        <v>25190</v>
      </c>
      <c r="T666" s="148" t="n">
        <v>81</v>
      </c>
      <c r="U666" s="148" t="n">
        <v>4.6</v>
      </c>
      <c r="V666" s="148" t="n">
        <v>1595</v>
      </c>
      <c r="W666" s="148" t="n"/>
      <c r="X666" s="148" t="n"/>
      <c r="Y666" s="148" t="n"/>
      <c r="Z666" s="148" t="n"/>
      <c r="AA666" s="148" t="n"/>
      <c r="AB666" s="148" t="n">
        <v>1.020408163265306</v>
      </c>
      <c r="AC666" s="148" t="inlineStr">
        <is>
          <t>US SL Quilt Set</t>
        </is>
      </c>
      <c r="AD666" s="148">
        <f>'US SL Quilt Set'!BF74</f>
        <v/>
      </c>
      <c r="AE666" s="148">
        <f>'US SL Quilt Set'!BI74</f>
        <v/>
      </c>
      <c r="AF666" s="148" t="inlineStr">
        <is>
          <t>Queen-90"x90"</t>
        </is>
      </c>
      <c r="AG666" s="148" t="inlineStr">
        <is>
          <t>Orange</t>
        </is>
      </c>
      <c r="AH666" s="148">
        <f>AND(E666="CA",OR('CA Dashboard'!$C$4="All",'CA Dashboard'!$C$4=D666),OR('CA Dashboard'!$C$5="All",'CA Dashboard'!$C$5=G666),OR('CA Dashboard'!$C$6="All",'CA Dashboard'!$C$6=H666),OR('CA Dashboard'!$C$7="All",'CA Dashboard'!$C$7=F666),OR('CA Dashboard'!$C$8="All",'CA Dashboard'!$C$8=AJ666))</f>
        <v/>
      </c>
      <c r="AI666" s="148">
        <f>IF(AH666,AI665+1,AI665)</f>
        <v/>
      </c>
      <c r="AJ666" s="148" t="inlineStr">
        <is>
          <t>Not classified</t>
        </is>
      </c>
      <c r="AK666" s="148" t="inlineStr">
        <is>
          <t>Not a sheet, pillowcase or comforter product; competitors are compared on price and sales only.</t>
        </is>
      </c>
    </row>
    <row r="667">
      <c r="A667" s="148">
        <f>AND(E667="US",OR('US Dashboard'!$C$4="All",'US Dashboard'!$C$4=D667),OR('US Dashboard'!$C$5="All",'US Dashboard'!$C$5=G667),OR('US Dashboard'!$C$6="All",'US Dashboard'!$C$6=H667),OR('US Dashboard'!$C$7="All",'US Dashboard'!$C$7=F667),OR('US Dashboard'!$C$8="All",'US Dashboard'!$C$8=AJ667))</f>
        <v/>
      </c>
      <c r="B667" s="148">
        <f>IF(A667,B666+1,B666)</f>
        <v/>
      </c>
      <c r="C667" s="148" t="n">
        <v>46</v>
      </c>
      <c r="D667" s="148" t="inlineStr">
        <is>
          <t>SL Quilt Set</t>
        </is>
      </c>
      <c r="E667" s="148" t="inlineStr">
        <is>
          <t>US</t>
        </is>
      </c>
      <c r="F667" s="148" t="inlineStr">
        <is>
          <t>Other</t>
        </is>
      </c>
      <c r="G667" s="148" t="inlineStr">
        <is>
          <t>Tyrot</t>
        </is>
      </c>
      <c r="H667" s="148" t="inlineStr">
        <is>
          <t>Beatable</t>
        </is>
      </c>
      <c r="I667" s="148" t="inlineStr">
        <is>
          <t>Tyrot 3 Piece Black Boho Floral King Quilt Bedding Sets</t>
        </is>
      </c>
      <c r="J667" s="148" t="inlineStr">
        <is>
          <t>https://images-na.ssl-images-amazon.com/images/I/81S6ZErX1dL.jpg</t>
        </is>
      </c>
      <c r="K667" s="148" t="inlineStr">
        <is>
          <t>B0CY5H7RHH</t>
        </is>
      </c>
      <c r="L667" s="148" t="inlineStr">
        <is>
          <t>B0CY5BYX7W</t>
        </is>
      </c>
      <c r="M667" s="148" t="n">
        <v>23</v>
      </c>
      <c r="N667" s="148" t="n">
        <v>52.99</v>
      </c>
      <c r="O667" s="148" t="n"/>
      <c r="P667" s="148">
        <f>IF(AND(ISNUMBER(O667),ISNUMBER(N667),N(N667)&gt;0),O667/N667-1,"")</f>
        <v/>
      </c>
      <c r="Q667" s="148" t="n">
        <v>44.99</v>
      </c>
      <c r="R667" s="148">
        <f>IF(AND(ISNUMBER(N667),ISNUMBER(Q667),N(Q667)&gt;0),N667/Q667-1,"")</f>
        <v/>
      </c>
      <c r="S667" s="148" t="n">
        <v>18942</v>
      </c>
      <c r="T667" s="148" t="n">
        <v>81</v>
      </c>
      <c r="U667" s="148" t="n">
        <v>4.7</v>
      </c>
      <c r="V667" s="148" t="n">
        <v>1849</v>
      </c>
      <c r="W667" s="148" t="n"/>
      <c r="X667" s="148" t="n"/>
      <c r="Y667" s="148" t="n"/>
      <c r="Z667" s="148" t="n"/>
      <c r="AA667" s="148" t="n"/>
      <c r="AB667" s="148" t="n"/>
      <c r="AC667" s="148" t="inlineStr">
        <is>
          <t>US SL Quilt Set</t>
        </is>
      </c>
      <c r="AD667" s="148">
        <f>'US SL Quilt Set'!BF75</f>
        <v/>
      </c>
      <c r="AE667" s="148">
        <f>'US SL Quilt Set'!BI75</f>
        <v/>
      </c>
      <c r="AF667" s="148" t="inlineStr">
        <is>
          <t>King</t>
        </is>
      </c>
      <c r="AG667" s="148" t="inlineStr">
        <is>
          <t>Black</t>
        </is>
      </c>
      <c r="AH667" s="148">
        <f>AND(E667="CA",OR('CA Dashboard'!$C$4="All",'CA Dashboard'!$C$4=D667),OR('CA Dashboard'!$C$5="All",'CA Dashboard'!$C$5=G667),OR('CA Dashboard'!$C$6="All",'CA Dashboard'!$C$6=H667),OR('CA Dashboard'!$C$7="All",'CA Dashboard'!$C$7=F667),OR('CA Dashboard'!$C$8="All",'CA Dashboard'!$C$8=AJ667))</f>
        <v/>
      </c>
      <c r="AI667" s="148">
        <f>IF(AH667,AI666+1,AI666)</f>
        <v/>
      </c>
      <c r="AJ667" s="148" t="inlineStr">
        <is>
          <t>Not classified</t>
        </is>
      </c>
      <c r="AK667" s="148" t="inlineStr">
        <is>
          <t>Not a sheet, pillowcase or comforter product; competitors are compared on price and sales only.</t>
        </is>
      </c>
    </row>
    <row r="668">
      <c r="A668" s="148">
        <f>AND(E668="US",OR('US Dashboard'!$C$4="All",'US Dashboard'!$C$4=D668),OR('US Dashboard'!$C$5="All",'US Dashboard'!$C$5=G668),OR('US Dashboard'!$C$6="All",'US Dashboard'!$C$6=H668),OR('US Dashboard'!$C$7="All",'US Dashboard'!$C$7=F668),OR('US Dashboard'!$C$8="All",'US Dashboard'!$C$8=AJ668))</f>
        <v/>
      </c>
      <c r="B668" s="148">
        <f>IF(A668,B667+1,B667)</f>
        <v/>
      </c>
      <c r="C668" s="148" t="n">
        <v>46</v>
      </c>
      <c r="D668" s="148" t="inlineStr">
        <is>
          <t>SL Quilt Set</t>
        </is>
      </c>
      <c r="E668" s="148" t="inlineStr">
        <is>
          <t>US</t>
        </is>
      </c>
      <c r="F668" s="148" t="inlineStr">
        <is>
          <t>Other</t>
        </is>
      </c>
      <c r="G668" s="148" t="inlineStr">
        <is>
          <t>Luxudecor</t>
        </is>
      </c>
      <c r="H668" s="148" t="inlineStr">
        <is>
          <t>Beatable</t>
        </is>
      </c>
      <c r="I668" s="148" t="inlineStr">
        <is>
          <t>Luxudecor Quilts Queen Size Boho Sage Green Quilt Bedspreads Bedding Set, 3 Pieces Summer Queen Coverlet Sets with 2 Shams,Soft Lightweight Striped Patchwork Quilt for Bed 96"x90"</t>
        </is>
      </c>
      <c r="J668" s="148" t="inlineStr">
        <is>
          <t>https://images-na.ssl-images-amazon.com/images/I/71b4fXGePgL.jpg</t>
        </is>
      </c>
      <c r="K668" s="148" t="inlineStr">
        <is>
          <t>B0GDXK4KHR</t>
        </is>
      </c>
      <c r="L668" s="148" t="inlineStr">
        <is>
          <t>B0FWQB61X1</t>
        </is>
      </c>
      <c r="M668" s="148" t="n">
        <v>2</v>
      </c>
      <c r="N668" s="148" t="n">
        <v>33.99</v>
      </c>
      <c r="O668" s="148" t="n"/>
      <c r="P668" s="148">
        <f>IF(AND(ISNUMBER(O668),ISNUMBER(N668),N(N668)&gt;0),O668/N668-1,"")</f>
        <v/>
      </c>
      <c r="Q668" s="148" t="n">
        <v>41.99</v>
      </c>
      <c r="R668" s="148">
        <f>IF(AND(ISNUMBER(N668),ISNUMBER(Q668),N(Q668)&gt;0),N668/Q668-1,"")</f>
        <v/>
      </c>
      <c r="S668" s="148" t="n">
        <v>1652676</v>
      </c>
      <c r="T668" s="148" t="n">
        <v>5</v>
      </c>
      <c r="U668" s="148" t="n">
        <v>4.6</v>
      </c>
      <c r="V668" s="148" t="n">
        <v>40</v>
      </c>
      <c r="W668" s="148" t="n"/>
      <c r="X668" s="148" t="n"/>
      <c r="Y668" s="148" t="n"/>
      <c r="Z668" s="148" t="n"/>
      <c r="AA668" s="148" t="n"/>
      <c r="AB668" s="148" t="n"/>
      <c r="AC668" s="148" t="inlineStr">
        <is>
          <t>US SL Quilt Set</t>
        </is>
      </c>
      <c r="AD668" s="148">
        <f>'US SL Quilt Set'!BF76</f>
        <v/>
      </c>
      <c r="AE668" s="148">
        <f>'US SL Quilt Set'!BI76</f>
        <v/>
      </c>
      <c r="AF668" s="148" t="inlineStr">
        <is>
          <t>Queen</t>
        </is>
      </c>
      <c r="AG668" s="148" t="inlineStr">
        <is>
          <t>Green</t>
        </is>
      </c>
      <c r="AH668" s="148">
        <f>AND(E668="CA",OR('CA Dashboard'!$C$4="All",'CA Dashboard'!$C$4=D668),OR('CA Dashboard'!$C$5="All",'CA Dashboard'!$C$5=G668),OR('CA Dashboard'!$C$6="All",'CA Dashboard'!$C$6=H668),OR('CA Dashboard'!$C$7="All",'CA Dashboard'!$C$7=F668),OR('CA Dashboard'!$C$8="All",'CA Dashboard'!$C$8=AJ668))</f>
        <v/>
      </c>
      <c r="AI668" s="148">
        <f>IF(AH668,AI667+1,AI667)</f>
        <v/>
      </c>
      <c r="AJ668" s="148" t="inlineStr">
        <is>
          <t>Not classified</t>
        </is>
      </c>
      <c r="AK668" s="148" t="inlineStr">
        <is>
          <t>Not a sheet, pillowcase or comforter product; competitors are compared on price and sales only.</t>
        </is>
      </c>
    </row>
    <row r="669">
      <c r="A669" s="148">
        <f>AND(E669="US",OR('US Dashboard'!$C$4="All",'US Dashboard'!$C$4=D669),OR('US Dashboard'!$C$5="All",'US Dashboard'!$C$5=G669),OR('US Dashboard'!$C$6="All",'US Dashboard'!$C$6=H669),OR('US Dashboard'!$C$7="All",'US Dashboard'!$C$7=F669),OR('US Dashboard'!$C$8="All",'US Dashboard'!$C$8=AJ669))</f>
        <v/>
      </c>
      <c r="B669" s="148">
        <f>IF(A669,B668+1,B668)</f>
        <v/>
      </c>
      <c r="C669" s="148" t="n">
        <v>46</v>
      </c>
      <c r="D669" s="148" t="inlineStr">
        <is>
          <t>SL Quilt Set</t>
        </is>
      </c>
      <c r="E669" s="148" t="inlineStr">
        <is>
          <t>US</t>
        </is>
      </c>
      <c r="F669" s="148" t="inlineStr">
        <is>
          <t>Other</t>
        </is>
      </c>
      <c r="G669" s="148" t="inlineStr">
        <is>
          <t>Ycosy</t>
        </is>
      </c>
      <c r="H669" s="148" t="inlineStr">
        <is>
          <t>Beatable</t>
        </is>
      </c>
      <c r="I669" s="148" t="inlineStr">
        <is>
          <t>Bamboo Sheets</t>
        </is>
      </c>
      <c r="J669" s="148" t="inlineStr">
        <is>
          <t>https://m.media-amazon.com/images/I/81fCqpuz8GL._AC_SL1500_.jpg</t>
        </is>
      </c>
      <c r="K669" s="148" t="inlineStr">
        <is>
          <t>B08MX8D8KK</t>
        </is>
      </c>
      <c r="L669" s="148" t="inlineStr">
        <is>
          <t>B0FC6F4RYY</t>
        </is>
      </c>
      <c r="M669" s="148" t="n"/>
      <c r="N669" s="148" t="n">
        <v>32.99</v>
      </c>
      <c r="O669" s="148" t="n"/>
      <c r="P669" s="148">
        <f>IF(AND(ISNUMBER(O669),ISNUMBER(N669),N(N669)&gt;0),O669/N669-1,"")</f>
        <v/>
      </c>
      <c r="Q669" s="148" t="n">
        <v>44.99</v>
      </c>
      <c r="R669" s="148">
        <f>IF(AND(ISNUMBER(N669),ISNUMBER(Q669),N(Q669)&gt;0),N669/Q669-1,"")</f>
        <v/>
      </c>
      <c r="S669" s="148" t="n">
        <v>642294</v>
      </c>
      <c r="T669" s="148" t="n">
        <v>5</v>
      </c>
      <c r="U669" s="148" t="n">
        <v>4.5</v>
      </c>
      <c r="V669" s="148" t="n">
        <v>1264</v>
      </c>
      <c r="W669" s="148" t="n"/>
      <c r="X669" s="148" t="n"/>
      <c r="Y669" s="148" t="n"/>
      <c r="Z669" s="148" t="n"/>
      <c r="AA669" s="148" t="n"/>
      <c r="AB669" s="148" t="n"/>
      <c r="AC669" s="148" t="inlineStr">
        <is>
          <t>US SL Quilt Set</t>
        </is>
      </c>
      <c r="AD669" s="148">
        <f>'US SL Quilt Set'!BF77</f>
        <v/>
      </c>
      <c r="AE669" s="148">
        <f>'US SL Quilt Set'!BI77</f>
        <v/>
      </c>
      <c r="AF669" s="148" t="inlineStr">
        <is>
          <t>King</t>
        </is>
      </c>
      <c r="AG669" s="148" t="inlineStr">
        <is>
          <t>Grey Brown Plaid</t>
        </is>
      </c>
      <c r="AH669" s="148">
        <f>AND(E669="CA",OR('CA Dashboard'!$C$4="All",'CA Dashboard'!$C$4=D669),OR('CA Dashboard'!$C$5="All",'CA Dashboard'!$C$5=G669),OR('CA Dashboard'!$C$6="All",'CA Dashboard'!$C$6=H669),OR('CA Dashboard'!$C$7="All",'CA Dashboard'!$C$7=F669),OR('CA Dashboard'!$C$8="All",'CA Dashboard'!$C$8=AJ669))</f>
        <v/>
      </c>
      <c r="AI669" s="148">
        <f>IF(AH669,AI668+1,AI668)</f>
        <v/>
      </c>
      <c r="AJ669" s="148" t="inlineStr">
        <is>
          <t>Not classified</t>
        </is>
      </c>
      <c r="AK669" s="148" t="inlineStr">
        <is>
          <t>Not a sheet, pillowcase or comforter product; competitors are compared on price and sales only.</t>
        </is>
      </c>
    </row>
    <row r="670">
      <c r="A670" s="148">
        <f>AND(E670="US",OR('US Dashboard'!$C$4="All",'US Dashboard'!$C$4=D670),OR('US Dashboard'!$C$5="All",'US Dashboard'!$C$5=G670),OR('US Dashboard'!$C$6="All",'US Dashboard'!$C$6=H670),OR('US Dashboard'!$C$7="All",'US Dashboard'!$C$7=F670),OR('US Dashboard'!$C$8="All",'US Dashboard'!$C$8=AJ670))</f>
        <v/>
      </c>
      <c r="B670" s="148">
        <f>IF(A670,B669+1,B669)</f>
        <v/>
      </c>
      <c r="C670" s="148" t="n">
        <v>46</v>
      </c>
      <c r="D670" s="148" t="inlineStr">
        <is>
          <t>SL Quilt Set</t>
        </is>
      </c>
      <c r="E670" s="148" t="inlineStr">
        <is>
          <t>US</t>
        </is>
      </c>
      <c r="F670" s="148" t="inlineStr">
        <is>
          <t>Other</t>
        </is>
      </c>
      <c r="G670" s="148" t="inlineStr">
        <is>
          <t>Anibedding</t>
        </is>
      </c>
      <c r="H670" s="148" t="inlineStr">
        <is>
          <t>Poor</t>
        </is>
      </c>
      <c r="I670" s="148" t="inlineStr">
        <is>
          <t>Bamboo Sheets</t>
        </is>
      </c>
      <c r="J670" s="148" t="inlineStr">
        <is>
          <t>https://m.media-amazon.com/images/I/81ccKlcUZYL._AC_SL1500_.jpg</t>
        </is>
      </c>
      <c r="K670" s="148" t="inlineStr">
        <is>
          <t>B0F82F4MD4</t>
        </is>
      </c>
      <c r="L670" s="148" t="inlineStr">
        <is>
          <t>B0F8N6XCJ5</t>
        </is>
      </c>
      <c r="M670" s="148" t="n"/>
      <c r="N670" s="148" t="n">
        <v>32.28</v>
      </c>
      <c r="O670" s="148" t="n"/>
      <c r="P670" s="148">
        <f>IF(AND(ISNUMBER(O670),ISNUMBER(N670),N(N670)&gt;0),O670/N670-1,"")</f>
        <v/>
      </c>
      <c r="Q670" s="148" t="n">
        <v>41.99</v>
      </c>
      <c r="R670" s="148">
        <f>IF(AND(ISNUMBER(N670),ISNUMBER(Q670),N(Q670)&gt;0),N670/Q670-1,"")</f>
        <v/>
      </c>
      <c r="S670" s="148" t="n">
        <v>55055</v>
      </c>
      <c r="T670" s="148" t="n">
        <v>35</v>
      </c>
      <c r="U670" s="148" t="n">
        <v>4.6</v>
      </c>
      <c r="V670" s="148" t="n">
        <v>361</v>
      </c>
      <c r="W670" s="148" t="n"/>
      <c r="X670" s="148" t="n"/>
      <c r="Y670" s="148" t="n"/>
      <c r="Z670" s="148" t="n"/>
      <c r="AA670" s="148" t="n"/>
      <c r="AB670" s="148" t="n"/>
      <c r="AC670" s="148" t="inlineStr">
        <is>
          <t>US SL Quilt Set</t>
        </is>
      </c>
      <c r="AD670" s="148">
        <f>'US SL Quilt Set'!BF78</f>
        <v/>
      </c>
      <c r="AE670" s="148">
        <f>'US SL Quilt Set'!BI78</f>
        <v/>
      </c>
      <c r="AF670" s="148" t="inlineStr">
        <is>
          <t>Queen</t>
        </is>
      </c>
      <c r="AG670" s="148" t="inlineStr">
        <is>
          <t>Pumpkin (Black and White)</t>
        </is>
      </c>
      <c r="AH670" s="148">
        <f>AND(E670="CA",OR('CA Dashboard'!$C$4="All",'CA Dashboard'!$C$4=D670),OR('CA Dashboard'!$C$5="All",'CA Dashboard'!$C$5=G670),OR('CA Dashboard'!$C$6="All",'CA Dashboard'!$C$6=H670),OR('CA Dashboard'!$C$7="All",'CA Dashboard'!$C$7=F670),OR('CA Dashboard'!$C$8="All",'CA Dashboard'!$C$8=AJ670))</f>
        <v/>
      </c>
      <c r="AI670" s="148">
        <f>IF(AH670,AI669+1,AI669)</f>
        <v/>
      </c>
      <c r="AJ670" s="148" t="inlineStr">
        <is>
          <t>Not classified</t>
        </is>
      </c>
      <c r="AK670" s="148" t="inlineStr">
        <is>
          <t>Not a sheet, pillowcase or comforter product; competitors are compared on price and sales only.</t>
        </is>
      </c>
    </row>
    <row r="671">
      <c r="A671" s="148">
        <f>AND(E671="US",OR('US Dashboard'!$C$4="All",'US Dashboard'!$C$4=D671),OR('US Dashboard'!$C$5="All",'US Dashboard'!$C$5=G671),OR('US Dashboard'!$C$6="All",'US Dashboard'!$C$6=H671),OR('US Dashboard'!$C$7="All",'US Dashboard'!$C$7=F671),OR('US Dashboard'!$C$8="All",'US Dashboard'!$C$8=AJ671))</f>
        <v/>
      </c>
      <c r="B671" s="148">
        <f>IF(A671,B670+1,B670)</f>
        <v/>
      </c>
      <c r="C671" s="148" t="n">
        <v>46</v>
      </c>
      <c r="D671" s="148" t="inlineStr">
        <is>
          <t>SL Quilt Set</t>
        </is>
      </c>
      <c r="E671" s="148" t="inlineStr">
        <is>
          <t>US</t>
        </is>
      </c>
      <c r="F671" s="148" t="inlineStr">
        <is>
          <t>Other</t>
        </is>
      </c>
      <c r="G671" s="148" t="inlineStr">
        <is>
          <t>DJY</t>
        </is>
      </c>
      <c r="H671" s="148" t="inlineStr">
        <is>
          <t>Poor</t>
        </is>
      </c>
      <c r="I671" s="148" t="inlineStr">
        <is>
          <t>Bamboo Sheets</t>
        </is>
      </c>
      <c r="J671" s="148" t="inlineStr">
        <is>
          <t>https://m.media-amazon.com/images/I/81Cb8CjVwcL._AC_SL1500_.jpg</t>
        </is>
      </c>
      <c r="K671" s="148" t="inlineStr">
        <is>
          <t>B0DHCGW8HR</t>
        </is>
      </c>
      <c r="L671" s="148" t="inlineStr">
        <is>
          <t>B0DHCG7VDK</t>
        </is>
      </c>
      <c r="M671" s="148" t="n"/>
      <c r="N671" s="148" t="n">
        <v>29.85</v>
      </c>
      <c r="O671" s="148" t="n"/>
      <c r="P671" s="148">
        <f>IF(AND(ISNUMBER(O671),ISNUMBER(N671),N(N671)&gt;0),O671/N671-1,"")</f>
        <v/>
      </c>
      <c r="Q671" s="148" t="n">
        <v>41.99</v>
      </c>
      <c r="R671" s="148">
        <f>IF(AND(ISNUMBER(N671),ISNUMBER(Q671),N(Q671)&gt;0),N671/Q671-1,"")</f>
        <v/>
      </c>
      <c r="S671" s="148" t="n">
        <v>159647</v>
      </c>
      <c r="T671" s="148" t="n">
        <v>5</v>
      </c>
      <c r="U671" s="148" t="n">
        <v>4.6</v>
      </c>
      <c r="V671" s="148" t="n">
        <v>424</v>
      </c>
      <c r="W671" s="148" t="n"/>
      <c r="X671" s="148" t="n"/>
      <c r="Y671" s="148" t="n"/>
      <c r="Z671" s="148" t="n"/>
      <c r="AA671" s="148" t="n"/>
      <c r="AB671" s="148" t="n"/>
      <c r="AC671" s="148" t="inlineStr">
        <is>
          <t>US SL Quilt Set</t>
        </is>
      </c>
      <c r="AD671" s="148">
        <f>'US SL Quilt Set'!BF79</f>
        <v/>
      </c>
      <c r="AE671" s="148">
        <f>'US SL Quilt Set'!BI79</f>
        <v/>
      </c>
      <c r="AF671" s="148" t="inlineStr">
        <is>
          <t>Queen</t>
        </is>
      </c>
      <c r="AG671" s="148" t="inlineStr">
        <is>
          <t>Green</t>
        </is>
      </c>
      <c r="AH671" s="148">
        <f>AND(E671="CA",OR('CA Dashboard'!$C$4="All",'CA Dashboard'!$C$4=D671),OR('CA Dashboard'!$C$5="All",'CA Dashboard'!$C$5=G671),OR('CA Dashboard'!$C$6="All",'CA Dashboard'!$C$6=H671),OR('CA Dashboard'!$C$7="All",'CA Dashboard'!$C$7=F671),OR('CA Dashboard'!$C$8="All",'CA Dashboard'!$C$8=AJ671))</f>
        <v/>
      </c>
      <c r="AI671" s="148">
        <f>IF(AH671,AI670+1,AI670)</f>
        <v/>
      </c>
      <c r="AJ671" s="148" t="inlineStr">
        <is>
          <t>Not classified</t>
        </is>
      </c>
      <c r="AK671" s="148" t="inlineStr">
        <is>
          <t>Not a sheet, pillowcase or comforter product; competitors are compared on price and sales only.</t>
        </is>
      </c>
    </row>
    <row r="672">
      <c r="A672" s="148">
        <f>AND(E672="US",OR('US Dashboard'!$C$4="All",'US Dashboard'!$C$4=D672),OR('US Dashboard'!$C$5="All",'US Dashboard'!$C$5=G672),OR('US Dashboard'!$C$6="All",'US Dashboard'!$C$6=H672),OR('US Dashboard'!$C$7="All",'US Dashboard'!$C$7=F672),OR('US Dashboard'!$C$8="All",'US Dashboard'!$C$8=AJ672))</f>
        <v/>
      </c>
      <c r="B672" s="148">
        <f>IF(A672,B671+1,B671)</f>
        <v/>
      </c>
      <c r="C672" s="148" t="n">
        <v>53</v>
      </c>
      <c r="D672" s="148" t="inlineStr">
        <is>
          <t>DC Linen Curtains</t>
        </is>
      </c>
      <c r="E672" s="148" t="inlineStr">
        <is>
          <t>US</t>
        </is>
      </c>
      <c r="F672" s="148" t="inlineStr">
        <is>
          <t>Other</t>
        </is>
      </c>
      <c r="G672" s="148" t="inlineStr">
        <is>
          <t>MIULEE</t>
        </is>
      </c>
      <c r="H672" s="148" t="inlineStr">
        <is>
          <t>Aspirational</t>
        </is>
      </c>
      <c r="I672" s="148" t="inlineStr">
        <is>
          <t>MIULEE 100% Blackout Linen Curtains for Bedroom 52x84 Inches Natural Beige</t>
        </is>
      </c>
      <c r="J672" s="148" t="inlineStr">
        <is>
          <t>https://images-na.ssl-images-amazon.com/images/I/812kUwGK2qL.jpg</t>
        </is>
      </c>
      <c r="K672" s="148" t="inlineStr">
        <is>
          <t>B0H7XKHWFT</t>
        </is>
      </c>
      <c r="L672" s="148" t="inlineStr">
        <is>
          <t>B08SBYPF14</t>
        </is>
      </c>
      <c r="M672" s="148" t="n">
        <v>487</v>
      </c>
      <c r="N672" s="148" t="n">
        <v>25.95</v>
      </c>
      <c r="O672" s="148" t="n"/>
      <c r="P672" s="148">
        <f>IF(AND(ISNUMBER(O672),ISNUMBER(N672),N(N672)&gt;0),O672/N672-1,"")</f>
        <v/>
      </c>
      <c r="Q672" s="148" t="n">
        <v>29.82333333333333</v>
      </c>
      <c r="R672" s="148">
        <f>IF(AND(ISNUMBER(N672),ISNUMBER(Q672),N(Q672)&gt;0),N672/Q672-1,"")</f>
        <v/>
      </c>
      <c r="S672" s="148" t="n">
        <v>143</v>
      </c>
      <c r="T672" s="148" t="n">
        <v>3464</v>
      </c>
      <c r="U672" s="148" t="n">
        <v>4.6</v>
      </c>
      <c r="V672" s="148" t="n">
        <v>10414</v>
      </c>
      <c r="W672" s="148" t="n"/>
      <c r="X672" s="148" t="n"/>
      <c r="Y672" s="148" t="n"/>
      <c r="Z672" s="148" t="n"/>
      <c r="AA672" s="148" t="n"/>
      <c r="AB672" s="148" t="n">
        <v>0.8301788448382579</v>
      </c>
      <c r="AC672" s="148" t="inlineStr">
        <is>
          <t>US DC Linen Curtains</t>
        </is>
      </c>
      <c r="AD672" s="148">
        <f>'US DC Linen Curtains'!BF81</f>
        <v/>
      </c>
      <c r="AE672" s="148">
        <f>'US DC Linen Curtains'!BI81</f>
        <v/>
      </c>
      <c r="AF672" s="148" t="inlineStr">
        <is>
          <t>52"W x 84"L (Pack of 2)</t>
        </is>
      </c>
      <c r="AG672" s="148" t="inlineStr">
        <is>
          <t>Beige</t>
        </is>
      </c>
      <c r="AH672" s="148">
        <f>AND(E672="CA",OR('CA Dashboard'!$C$4="All",'CA Dashboard'!$C$4=D672),OR('CA Dashboard'!$C$5="All",'CA Dashboard'!$C$5=G672),OR('CA Dashboard'!$C$6="All",'CA Dashboard'!$C$6=H672),OR('CA Dashboard'!$C$7="All",'CA Dashboard'!$C$7=F672),OR('CA Dashboard'!$C$8="All",'CA Dashboard'!$C$8=AJ672))</f>
        <v/>
      </c>
      <c r="AI672" s="148">
        <f>IF(AH672,AI671+1,AI671)</f>
        <v/>
      </c>
      <c r="AJ672" s="148" t="inlineStr">
        <is>
          <t>Not classified</t>
        </is>
      </c>
      <c r="AK672" s="148" t="inlineStr">
        <is>
          <t>Not a sheet, pillowcase or comforter product; competitors are compared on price and sales only.</t>
        </is>
      </c>
    </row>
    <row r="673">
      <c r="A673" s="148">
        <f>AND(E673="US",OR('US Dashboard'!$C$4="All",'US Dashboard'!$C$4=D673),OR('US Dashboard'!$C$5="All",'US Dashboard'!$C$5=G673),OR('US Dashboard'!$C$6="All",'US Dashboard'!$C$6=H673),OR('US Dashboard'!$C$7="All",'US Dashboard'!$C$7=F673),OR('US Dashboard'!$C$8="All",'US Dashboard'!$C$8=AJ673))</f>
        <v/>
      </c>
      <c r="B673" s="148">
        <f>IF(A673,B672+1,B672)</f>
        <v/>
      </c>
      <c r="C673" s="148" t="n">
        <v>53</v>
      </c>
      <c r="D673" s="148" t="inlineStr">
        <is>
          <t>DC Linen Curtains</t>
        </is>
      </c>
      <c r="E673" s="148" t="inlineStr">
        <is>
          <t>US</t>
        </is>
      </c>
      <c r="F673" s="148" t="inlineStr">
        <is>
          <t>Other</t>
        </is>
      </c>
      <c r="G673" s="148" t="inlineStr">
        <is>
          <t>100% Blackout Shield</t>
        </is>
      </c>
      <c r="H673" s="148" t="inlineStr">
        <is>
          <t>Aspirational</t>
        </is>
      </c>
      <c r="I673" s="148" t="inlineStr">
        <is>
          <t>Linen Total Blackout Curtains for Bedroom Living Room 84 Inch, Cream</t>
        </is>
      </c>
      <c r="J673" s="148" t="inlineStr">
        <is>
          <t>https://images-na.ssl-images-amazon.com/images/I/7121kw+gfyL.jpg</t>
        </is>
      </c>
      <c r="K673" s="148" t="inlineStr">
        <is>
          <t>B0D6GLVXHM</t>
        </is>
      </c>
      <c r="L673" s="148" t="inlineStr">
        <is>
          <t>B0BR3STN87</t>
        </is>
      </c>
      <c r="M673" s="148" t="n">
        <v>286</v>
      </c>
      <c r="N673" s="148" t="n">
        <v>32.97</v>
      </c>
      <c r="O673" s="148" t="n">
        <v>39.99</v>
      </c>
      <c r="P673" s="148">
        <f>IF(AND(ISNUMBER(O673),ISNUMBER(N673),N(N673)&gt;0),O673/N673-1,"")</f>
        <v/>
      </c>
      <c r="Q673" s="148" t="n">
        <v>29.82333333333333</v>
      </c>
      <c r="R673" s="148">
        <f>IF(AND(ISNUMBER(N673),ISNUMBER(Q673),N(Q673)&gt;0),N673/Q673-1,"")</f>
        <v/>
      </c>
      <c r="S673" s="148" t="n">
        <v>84</v>
      </c>
      <c r="T673" s="148" t="n">
        <v>2079</v>
      </c>
      <c r="U673" s="148" t="n">
        <v>4.5</v>
      </c>
      <c r="V673" s="148" t="n">
        <v>9093</v>
      </c>
      <c r="W673" s="148" t="n"/>
      <c r="X673" s="148" t="n"/>
      <c r="Y673" s="148" t="n"/>
      <c r="Z673" s="148" t="n"/>
      <c r="AA673" s="148" t="n"/>
      <c r="AB673" s="148" t="n">
        <v>0.8692836478488202</v>
      </c>
      <c r="AC673" s="148" t="inlineStr">
        <is>
          <t>US DC Linen Curtains</t>
        </is>
      </c>
      <c r="AD673" s="148">
        <f>'US DC Linen Curtains'!BF82</f>
        <v/>
      </c>
      <c r="AE673" s="148">
        <f>'US DC Linen Curtains'!BI82</f>
        <v/>
      </c>
      <c r="AF673" s="148" t="inlineStr">
        <is>
          <t>50"W x 84"L (Pack of 2)</t>
        </is>
      </c>
      <c r="AG673" s="148" t="inlineStr">
        <is>
          <t>Alba | Cream</t>
        </is>
      </c>
      <c r="AH673" s="148">
        <f>AND(E673="CA",OR('CA Dashboard'!$C$4="All",'CA Dashboard'!$C$4=D673),OR('CA Dashboard'!$C$5="All",'CA Dashboard'!$C$5=G673),OR('CA Dashboard'!$C$6="All",'CA Dashboard'!$C$6=H673),OR('CA Dashboard'!$C$7="All",'CA Dashboard'!$C$7=F673),OR('CA Dashboard'!$C$8="All",'CA Dashboard'!$C$8=AJ673))</f>
        <v/>
      </c>
      <c r="AI673" s="148">
        <f>IF(AH673,AI672+1,AI672)</f>
        <v/>
      </c>
      <c r="AJ673" s="148" t="inlineStr">
        <is>
          <t>Not classified</t>
        </is>
      </c>
      <c r="AK673" s="148" t="inlineStr">
        <is>
          <t>Not a sheet, pillowcase or comforter product; competitors are compared on price and sales only.</t>
        </is>
      </c>
    </row>
    <row r="674">
      <c r="A674" s="148">
        <f>AND(E674="US",OR('US Dashboard'!$C$4="All",'US Dashboard'!$C$4=D674),OR('US Dashboard'!$C$5="All",'US Dashboard'!$C$5=G674),OR('US Dashboard'!$C$6="All",'US Dashboard'!$C$6=H674),OR('US Dashboard'!$C$7="All",'US Dashboard'!$C$7=F674),OR('US Dashboard'!$C$8="All",'US Dashboard'!$C$8=AJ674))</f>
        <v/>
      </c>
      <c r="B674" s="148">
        <f>IF(A674,B673+1,B673)</f>
        <v/>
      </c>
      <c r="C674" s="148" t="n">
        <v>53</v>
      </c>
      <c r="D674" s="148" t="inlineStr">
        <is>
          <t>DC Linen Curtains</t>
        </is>
      </c>
      <c r="E674" s="148" t="inlineStr">
        <is>
          <t>US</t>
        </is>
      </c>
      <c r="F674" s="148" t="inlineStr">
        <is>
          <t>Other</t>
        </is>
      </c>
      <c r="G674" s="148" t="inlineStr">
        <is>
          <t>Nanspring</t>
        </is>
      </c>
      <c r="H674" s="148" t="inlineStr">
        <is>
          <t>Aspirational</t>
        </is>
      </c>
      <c r="I674" s="148" t="inlineStr">
        <is>
          <t>Cream Linen Back Tab Curtains 84 Inch Length for Living Room 2 Panel Set Neutral</t>
        </is>
      </c>
      <c r="J674" s="148" t="inlineStr">
        <is>
          <t>https://m.media-amazon.com/images/I/71HJGiZ6OCL._AC_SL1500_.jpg</t>
        </is>
      </c>
      <c r="K674" s="148" t="inlineStr">
        <is>
          <t>B0BWJC73QX</t>
        </is>
      </c>
      <c r="L674" s="148" t="inlineStr">
        <is>
          <t>B0BWJDW3BX</t>
        </is>
      </c>
      <c r="M674" s="148" t="n"/>
      <c r="N674" s="148" t="n">
        <v>13.98</v>
      </c>
      <c r="O674" s="148" t="n"/>
      <c r="P674" s="148">
        <f>IF(AND(ISNUMBER(O674),ISNUMBER(N674),N(N674)&gt;0),O674/N674-1,"")</f>
        <v/>
      </c>
      <c r="Q674" s="148" t="n">
        <v>29.82333333333333</v>
      </c>
      <c r="R674" s="148">
        <f>IF(AND(ISNUMBER(N674),ISNUMBER(Q674),N(Q674)&gt;0),N674/Q674-1,"")</f>
        <v/>
      </c>
      <c r="S674" s="148" t="n">
        <v>278</v>
      </c>
      <c r="T674" s="148" t="n">
        <v>2079</v>
      </c>
      <c r="U674" s="148" t="n">
        <v>4.7</v>
      </c>
      <c r="V674" s="148" t="n">
        <v>7261</v>
      </c>
      <c r="W674" s="148" t="n"/>
      <c r="X674" s="148" t="n"/>
      <c r="Y674" s="148" t="n"/>
      <c r="Z674" s="148" t="n"/>
      <c r="AA674" s="148" t="n"/>
      <c r="AB674" s="148" t="n"/>
      <c r="AC674" s="148" t="inlineStr">
        <is>
          <t>US DC Linen Curtains</t>
        </is>
      </c>
      <c r="AD674" s="148">
        <f>'US DC Linen Curtains'!BF83</f>
        <v/>
      </c>
      <c r="AE674" s="148">
        <f>'US DC Linen Curtains'!BI83</f>
        <v/>
      </c>
      <c r="AF674" s="148" t="inlineStr">
        <is>
          <t>52"W x 84"L (Pack of 2)</t>
        </is>
      </c>
      <c r="AG674" s="148" t="inlineStr">
        <is>
          <t>Natural</t>
        </is>
      </c>
      <c r="AH674" s="148">
        <f>AND(E674="CA",OR('CA Dashboard'!$C$4="All",'CA Dashboard'!$C$4=D674),OR('CA Dashboard'!$C$5="All",'CA Dashboard'!$C$5=G674),OR('CA Dashboard'!$C$6="All",'CA Dashboard'!$C$6=H674),OR('CA Dashboard'!$C$7="All",'CA Dashboard'!$C$7=F674),OR('CA Dashboard'!$C$8="All",'CA Dashboard'!$C$8=AJ674))</f>
        <v/>
      </c>
      <c r="AI674" s="148">
        <f>IF(AH674,AI673+1,AI673)</f>
        <v/>
      </c>
      <c r="AJ674" s="148" t="inlineStr">
        <is>
          <t>Not classified</t>
        </is>
      </c>
      <c r="AK674" s="148" t="inlineStr">
        <is>
          <t>Not a sheet, pillowcase or comforter product; competitors are compared on price and sales only.</t>
        </is>
      </c>
    </row>
    <row r="675">
      <c r="A675" s="148">
        <f>AND(E675="US",OR('US Dashboard'!$C$4="All",'US Dashboard'!$C$4=D675),OR('US Dashboard'!$C$5="All",'US Dashboard'!$C$5=G675),OR('US Dashboard'!$C$6="All",'US Dashboard'!$C$6=H675),OR('US Dashboard'!$C$7="All",'US Dashboard'!$C$7=F675),OR('US Dashboard'!$C$8="All",'US Dashboard'!$C$8=AJ675))</f>
        <v/>
      </c>
      <c r="B675" s="148">
        <f>IF(A675,B674+1,B674)</f>
        <v/>
      </c>
      <c r="C675" s="148" t="n">
        <v>53</v>
      </c>
      <c r="D675" s="148" t="inlineStr">
        <is>
          <t>DC Linen Curtains</t>
        </is>
      </c>
      <c r="E675" s="148" t="inlineStr">
        <is>
          <t>US</t>
        </is>
      </c>
      <c r="F675" s="148" t="inlineStr">
        <is>
          <t>Other</t>
        </is>
      </c>
      <c r="G675" s="148" t="inlineStr">
        <is>
          <t>H.VERSAILTEX</t>
        </is>
      </c>
      <c r="H675" s="148" t="inlineStr">
        <is>
          <t>Aspirational</t>
        </is>
      </c>
      <c r="I675" s="148" t="inlineStr">
        <is>
          <t>H.VERSAILTEX 100% Blackout Linen Curtains 84" L 2 Panels Natural</t>
        </is>
      </c>
      <c r="J675" s="148" t="inlineStr">
        <is>
          <t>https://images-na.ssl-images-amazon.com/images/I/71vhA-t8PDL.jpg</t>
        </is>
      </c>
      <c r="K675" s="148" t="inlineStr">
        <is>
          <t>B0FGK6NVTC</t>
        </is>
      </c>
      <c r="L675" s="148" t="inlineStr">
        <is>
          <t>B07C9HL1G1</t>
        </is>
      </c>
      <c r="M675" s="148" t="n">
        <v>381</v>
      </c>
      <c r="N675" s="148" t="n">
        <v>27.95</v>
      </c>
      <c r="O675" s="148" t="n"/>
      <c r="P675" s="148">
        <f>IF(AND(ISNUMBER(O675),ISNUMBER(N675),N(N675)&gt;0),O675/N675-1,"")</f>
        <v/>
      </c>
      <c r="Q675" s="148" t="n">
        <v>29.82333333333333</v>
      </c>
      <c r="R675" s="148">
        <f>IF(AND(ISNUMBER(N675),ISNUMBER(Q675),N(Q675)&gt;0),N675/Q675-1,"")</f>
        <v/>
      </c>
      <c r="S675" s="148" t="n">
        <v>358</v>
      </c>
      <c r="T675" s="148" t="n">
        <v>809</v>
      </c>
      <c r="U675" s="148" t="n">
        <v>4.6</v>
      </c>
      <c r="V675" s="148" t="n">
        <v>25977</v>
      </c>
      <c r="W675" s="148" t="n"/>
      <c r="X675" s="148" t="n"/>
      <c r="Y675" s="148" t="n"/>
      <c r="Z675" s="148" t="n"/>
      <c r="AA675" s="148" t="n"/>
      <c r="AB675" s="148" t="n">
        <v>0.9676046059033409</v>
      </c>
      <c r="AC675" s="148" t="inlineStr">
        <is>
          <t>US DC Linen Curtains</t>
        </is>
      </c>
      <c r="AD675" s="148">
        <f>'US DC Linen Curtains'!BF84</f>
        <v/>
      </c>
      <c r="AE675" s="148">
        <f>'US DC Linen Curtains'!BI84</f>
        <v/>
      </c>
      <c r="AF675" s="148" t="inlineStr">
        <is>
          <t>52"W x 84"L (Pack of 2)</t>
        </is>
      </c>
      <c r="AG675" s="148" t="inlineStr">
        <is>
          <t>Natural</t>
        </is>
      </c>
      <c r="AH675" s="148">
        <f>AND(E675="CA",OR('CA Dashboard'!$C$4="All",'CA Dashboard'!$C$4=D675),OR('CA Dashboard'!$C$5="All",'CA Dashboard'!$C$5=G675),OR('CA Dashboard'!$C$6="All",'CA Dashboard'!$C$6=H675),OR('CA Dashboard'!$C$7="All",'CA Dashboard'!$C$7=F675),OR('CA Dashboard'!$C$8="All",'CA Dashboard'!$C$8=AJ675))</f>
        <v/>
      </c>
      <c r="AI675" s="148">
        <f>IF(AH675,AI674+1,AI674)</f>
        <v/>
      </c>
      <c r="AJ675" s="148" t="inlineStr">
        <is>
          <t>Not classified</t>
        </is>
      </c>
      <c r="AK675" s="148" t="inlineStr">
        <is>
          <t>Not a sheet, pillowcase or comforter product; competitors are compared on price and sales only.</t>
        </is>
      </c>
    </row>
    <row r="676">
      <c r="A676" s="148">
        <f>AND(E676="US",OR('US Dashboard'!$C$4="All",'US Dashboard'!$C$4=D676),OR('US Dashboard'!$C$5="All",'US Dashboard'!$C$5=G676),OR('US Dashboard'!$C$6="All",'US Dashboard'!$C$6=H676),OR('US Dashboard'!$C$7="All",'US Dashboard'!$C$7=F676),OR('US Dashboard'!$C$8="All",'US Dashboard'!$C$8=AJ676))</f>
        <v/>
      </c>
      <c r="B676" s="148">
        <f>IF(A676,B675+1,B675)</f>
        <v/>
      </c>
      <c r="C676" s="148" t="n">
        <v>53</v>
      </c>
      <c r="D676" s="148" t="inlineStr">
        <is>
          <t>DC Linen Curtains</t>
        </is>
      </c>
      <c r="E676" s="148" t="inlineStr">
        <is>
          <t>US</t>
        </is>
      </c>
      <c r="F676" s="148" t="inlineStr">
        <is>
          <t>Other</t>
        </is>
      </c>
      <c r="G676" s="148" t="inlineStr">
        <is>
          <t>INOVADAY</t>
        </is>
      </c>
      <c r="H676" s="148" t="inlineStr">
        <is>
          <t>Aspirational</t>
        </is>
      </c>
      <c r="I676" s="148" t="inlineStr">
        <is>
          <t>INOVADAY 100% Blackout Curtains for Bedroom Black Out Curtains 84 Inch Long</t>
        </is>
      </c>
      <c r="J676" s="148" t="inlineStr">
        <is>
          <t>https://images-na.ssl-images-amazon.com/images/I/71cQmB+zfDL.jpg</t>
        </is>
      </c>
      <c r="K676" s="148" t="inlineStr">
        <is>
          <t>B09MT5BQHW</t>
        </is>
      </c>
      <c r="L676" s="148" t="inlineStr">
        <is>
          <t>B09MT485FQ</t>
        </is>
      </c>
      <c r="M676" s="148" t="n">
        <v>194</v>
      </c>
      <c r="N676" s="148" t="n">
        <v>28.33</v>
      </c>
      <c r="O676" s="148" t="n">
        <v>34.95</v>
      </c>
      <c r="P676" s="148">
        <f>IF(AND(ISNUMBER(O676),ISNUMBER(N676),N(N676)&gt;0),O676/N676-1,"")</f>
        <v/>
      </c>
      <c r="Q676" s="148" t="n">
        <v>29.82333333333333</v>
      </c>
      <c r="R676" s="148">
        <f>IF(AND(ISNUMBER(N676),ISNUMBER(Q676),N(Q676)&gt;0),N676/Q676-1,"")</f>
        <v/>
      </c>
      <c r="S676" s="148" t="n">
        <v>1543</v>
      </c>
      <c r="T676" s="148" t="n">
        <v>347</v>
      </c>
      <c r="U676" s="148" t="n">
        <v>4.5</v>
      </c>
      <c r="V676" s="148" t="n">
        <v>5371</v>
      </c>
      <c r="W676" s="148" t="n"/>
      <c r="X676" s="148" t="n"/>
      <c r="Y676" s="148" t="n"/>
      <c r="Z676" s="148" t="n"/>
      <c r="AA676" s="148" t="n"/>
      <c r="AB676" s="148" t="n">
        <v>0.483405141801998</v>
      </c>
      <c r="AC676" s="148" t="inlineStr">
        <is>
          <t>US DC Linen Curtains</t>
        </is>
      </c>
      <c r="AD676" s="148">
        <f>'US DC Linen Curtains'!BF85</f>
        <v/>
      </c>
      <c r="AE676" s="148">
        <f>'US DC Linen Curtains'!BI85</f>
        <v/>
      </c>
      <c r="AF676" s="148" t="inlineStr">
        <is>
          <t>50"W x 84"L (Pack of 2)</t>
        </is>
      </c>
      <c r="AG676" s="148" t="inlineStr">
        <is>
          <t>Beige</t>
        </is>
      </c>
      <c r="AH676" s="148">
        <f>AND(E676="CA",OR('CA Dashboard'!$C$4="All",'CA Dashboard'!$C$4=D676),OR('CA Dashboard'!$C$5="All",'CA Dashboard'!$C$5=G676),OR('CA Dashboard'!$C$6="All",'CA Dashboard'!$C$6=H676),OR('CA Dashboard'!$C$7="All",'CA Dashboard'!$C$7=F676),OR('CA Dashboard'!$C$8="All",'CA Dashboard'!$C$8=AJ676))</f>
        <v/>
      </c>
      <c r="AI676" s="148">
        <f>IF(AH676,AI675+1,AI675)</f>
        <v/>
      </c>
      <c r="AJ676" s="148" t="inlineStr">
        <is>
          <t>Not classified</t>
        </is>
      </c>
      <c r="AK676" s="148" t="inlineStr">
        <is>
          <t>Not a sheet, pillowcase or comforter product; competitors are compared on price and sales only.</t>
        </is>
      </c>
    </row>
    <row r="677">
      <c r="A677" s="148">
        <f>AND(E677="US",OR('US Dashboard'!$C$4="All",'US Dashboard'!$C$4=D677),OR('US Dashboard'!$C$5="All",'US Dashboard'!$C$5=G677),OR('US Dashboard'!$C$6="All",'US Dashboard'!$C$6=H677),OR('US Dashboard'!$C$7="All",'US Dashboard'!$C$7=F677),OR('US Dashboard'!$C$8="All",'US Dashboard'!$C$8=AJ677))</f>
        <v/>
      </c>
      <c r="B677" s="148">
        <f>IF(A677,B676+1,B676)</f>
        <v/>
      </c>
      <c r="C677" s="148" t="n">
        <v>53</v>
      </c>
      <c r="D677" s="148" t="inlineStr">
        <is>
          <t>DC Linen Curtains</t>
        </is>
      </c>
      <c r="E677" s="148" t="inlineStr">
        <is>
          <t>US</t>
        </is>
      </c>
      <c r="F677" s="148" t="inlineStr">
        <is>
          <t>Other</t>
        </is>
      </c>
      <c r="G677" s="148" t="inlineStr">
        <is>
          <t>NICETOWN</t>
        </is>
      </c>
      <c r="H677" s="148" t="inlineStr">
        <is>
          <t>Aspirational</t>
        </is>
      </c>
      <c r="I677" s="148" t="inlineStr">
        <is>
          <t>NICETOWN Natural 100% Blackout Linen Curtains 84 inch Long Burg for Living Room, 1 Pair, 52" Width Each Panel, Farmhouse Thick Completely Blackout Window Treatment Thermal Insulated Drapes</t>
        </is>
      </c>
      <c r="J677" s="148" t="inlineStr">
        <is>
          <t>https://images-na.ssl-images-amazon.com/images/I/813-ZpIkpEL.jpg</t>
        </is>
      </c>
      <c r="K677" s="148" t="inlineStr">
        <is>
          <t>B0D3XTPMX3</t>
        </is>
      </c>
      <c r="L677" s="148" t="inlineStr">
        <is>
          <t>B0B7DX7C51</t>
        </is>
      </c>
      <c r="M677" s="148" t="n">
        <v>537</v>
      </c>
      <c r="N677" s="148" t="n">
        <v>18.88</v>
      </c>
      <c r="O677" s="148" t="n">
        <v>27.29</v>
      </c>
      <c r="P677" s="148">
        <f>IF(AND(ISNUMBER(O677),ISNUMBER(N677),N(N677)&gt;0),O677/N677-1,"")</f>
        <v/>
      </c>
      <c r="Q677" s="148" t="n">
        <v>29.82333333333333</v>
      </c>
      <c r="R677" s="148">
        <f>IF(AND(ISNUMBER(N677),ISNUMBER(Q677),N(Q677)&gt;0),N677/Q677-1,"")</f>
        <v/>
      </c>
      <c r="S677" s="148" t="n">
        <v>2750</v>
      </c>
      <c r="T677" s="148" t="n">
        <v>347</v>
      </c>
      <c r="U677" s="148" t="n">
        <v>4.5</v>
      </c>
      <c r="V677" s="148" t="n">
        <v>4378</v>
      </c>
      <c r="W677" s="148" t="n"/>
      <c r="X677" s="148" t="n"/>
      <c r="Y677" s="148" t="n"/>
      <c r="Z677" s="148" t="n"/>
      <c r="AA677" s="148" t="n"/>
      <c r="AB677" s="148" t="n">
        <v>1.039507336115224</v>
      </c>
      <c r="AC677" s="148" t="inlineStr">
        <is>
          <t>US DC Linen Curtains</t>
        </is>
      </c>
      <c r="AD677" s="148">
        <f>'US DC Linen Curtains'!BF86</f>
        <v/>
      </c>
      <c r="AE677" s="148">
        <f>'US DC Linen Curtains'!BI86</f>
        <v/>
      </c>
      <c r="AF677" s="148" t="inlineStr">
        <is>
          <t>52"W x 84"L (Pack of 2)</t>
        </is>
      </c>
      <c r="AG677" s="148" t="inlineStr">
        <is>
          <t>Natural</t>
        </is>
      </c>
      <c r="AH677" s="148">
        <f>AND(E677="CA",OR('CA Dashboard'!$C$4="All",'CA Dashboard'!$C$4=D677),OR('CA Dashboard'!$C$5="All",'CA Dashboard'!$C$5=G677),OR('CA Dashboard'!$C$6="All",'CA Dashboard'!$C$6=H677),OR('CA Dashboard'!$C$7="All",'CA Dashboard'!$C$7=F677),OR('CA Dashboard'!$C$8="All",'CA Dashboard'!$C$8=AJ677))</f>
        <v/>
      </c>
      <c r="AI677" s="148">
        <f>IF(AH677,AI676+1,AI676)</f>
        <v/>
      </c>
      <c r="AJ677" s="148" t="inlineStr">
        <is>
          <t>Not classified</t>
        </is>
      </c>
      <c r="AK677" s="148" t="inlineStr">
        <is>
          <t>Not a sheet, pillowcase or comforter product; competitors are compared on price and sales only.</t>
        </is>
      </c>
    </row>
    <row r="678">
      <c r="A678" s="148">
        <f>AND(E678="US",OR('US Dashboard'!$C$4="All",'US Dashboard'!$C$4=D678),OR('US Dashboard'!$C$5="All",'US Dashboard'!$C$5=G678),OR('US Dashboard'!$C$6="All",'US Dashboard'!$C$6=H678),OR('US Dashboard'!$C$7="All",'US Dashboard'!$C$7=F678),OR('US Dashboard'!$C$8="All",'US Dashboard'!$C$8=AJ678))</f>
        <v/>
      </c>
      <c r="B678" s="148">
        <f>IF(A678,B677+1,B677)</f>
        <v/>
      </c>
      <c r="C678" s="148" t="n">
        <v>53</v>
      </c>
      <c r="D678" s="148" t="inlineStr">
        <is>
          <t>DC Linen Curtains</t>
        </is>
      </c>
      <c r="E678" s="148" t="inlineStr">
        <is>
          <t>US</t>
        </is>
      </c>
      <c r="F678" s="148" t="inlineStr">
        <is>
          <t>Other</t>
        </is>
      </c>
      <c r="G678" s="148" t="inlineStr">
        <is>
          <t>Yakamok</t>
        </is>
      </c>
      <c r="H678" s="148" t="inlineStr">
        <is>
          <t>Aspirational</t>
        </is>
      </c>
      <c r="I678" s="148" t="inlineStr">
        <is>
          <t>Yakamok Natural Linen Textured Curtains 84 Inches Long for Living Room</t>
        </is>
      </c>
      <c r="J678" s="148" t="inlineStr">
        <is>
          <t>https://images-na.ssl-images-amazon.com/images/I/71N3qelasGL.jpg</t>
        </is>
      </c>
      <c r="K678" s="148" t="inlineStr">
        <is>
          <t>B0CRVBZ5GJ</t>
        </is>
      </c>
      <c r="L678" s="148" t="inlineStr">
        <is>
          <t>B0CRTM5ZDN</t>
        </is>
      </c>
      <c r="M678" s="148" t="n">
        <v>428</v>
      </c>
      <c r="N678" s="148" t="n">
        <v>23.99</v>
      </c>
      <c r="O678" s="148" t="n"/>
      <c r="P678" s="148">
        <f>IF(AND(ISNUMBER(O678),ISNUMBER(N678),N(N678)&gt;0),O678/N678-1,"")</f>
        <v/>
      </c>
      <c r="Q678" s="148" t="n">
        <v>29.82333333333333</v>
      </c>
      <c r="R678" s="148">
        <f>IF(AND(ISNUMBER(N678),ISNUMBER(Q678),N(Q678)&gt;0),N678/Q678-1,"")</f>
        <v/>
      </c>
      <c r="S678" s="148" t="n">
        <v>4776</v>
      </c>
      <c r="T678" s="148" t="n">
        <v>35</v>
      </c>
      <c r="U678" s="148" t="n">
        <v>4.7</v>
      </c>
      <c r="V678" s="148" t="n">
        <v>22765</v>
      </c>
      <c r="W678" s="148" t="n"/>
      <c r="X678" s="148" t="n"/>
      <c r="Y678" s="148" t="n"/>
      <c r="Z678" s="148" t="n"/>
      <c r="AA678" s="148" t="n"/>
      <c r="AB678" s="148" t="n"/>
      <c r="AC678" s="148" t="inlineStr">
        <is>
          <t>US DC Linen Curtains</t>
        </is>
      </c>
      <c r="AD678" s="148">
        <f>'US DC Linen Curtains'!BF87</f>
        <v/>
      </c>
      <c r="AE678" s="148">
        <f>'US DC Linen Curtains'!BI87</f>
        <v/>
      </c>
      <c r="AF678" s="148" t="inlineStr">
        <is>
          <t>52"W x 84"L (Pack of 2)</t>
        </is>
      </c>
      <c r="AG678" s="148" t="inlineStr">
        <is>
          <t>Natural Linen</t>
        </is>
      </c>
      <c r="AH678" s="148">
        <f>AND(E678="CA",OR('CA Dashboard'!$C$4="All",'CA Dashboard'!$C$4=D678),OR('CA Dashboard'!$C$5="All",'CA Dashboard'!$C$5=G678),OR('CA Dashboard'!$C$6="All",'CA Dashboard'!$C$6=H678),OR('CA Dashboard'!$C$7="All",'CA Dashboard'!$C$7=F678),OR('CA Dashboard'!$C$8="All",'CA Dashboard'!$C$8=AJ678))</f>
        <v/>
      </c>
      <c r="AI678" s="148">
        <f>IF(AH678,AI677+1,AI677)</f>
        <v/>
      </c>
      <c r="AJ678" s="148" t="inlineStr">
        <is>
          <t>Not classified</t>
        </is>
      </c>
      <c r="AK678" s="148" t="inlineStr">
        <is>
          <t>Not a sheet, pillowcase or comforter product; competitors are compared on price and sales only.</t>
        </is>
      </c>
    </row>
    <row r="679">
      <c r="A679" s="148">
        <f>AND(E679="US",OR('US Dashboard'!$C$4="All",'US Dashboard'!$C$4=D679),OR('US Dashboard'!$C$5="All",'US Dashboard'!$C$5=G679),OR('US Dashboard'!$C$6="All",'US Dashboard'!$C$6=H679),OR('US Dashboard'!$C$7="All",'US Dashboard'!$C$7=F679),OR('US Dashboard'!$C$8="All",'US Dashboard'!$C$8=AJ679))</f>
        <v/>
      </c>
      <c r="B679" s="148">
        <f>IF(A679,B678+1,B678)</f>
        <v/>
      </c>
      <c r="C679" s="148" t="n">
        <v>53</v>
      </c>
      <c r="D679" s="148" t="inlineStr">
        <is>
          <t>DC Linen Curtains</t>
        </is>
      </c>
      <c r="E679" s="148" t="inlineStr">
        <is>
          <t>US</t>
        </is>
      </c>
      <c r="F679" s="148" t="inlineStr">
        <is>
          <t>Other</t>
        </is>
      </c>
      <c r="G679" s="148" t="inlineStr">
        <is>
          <t>Guken</t>
        </is>
      </c>
      <c r="H679" s="148" t="inlineStr">
        <is>
          <t>Beatable</t>
        </is>
      </c>
      <c r="I679" s="148" t="inlineStr">
        <is>
          <t>Guken Cream Linen Blackout Curtains 84 Inch Length 2 Panels Set for Living Room Bedroom Back Tab Thermal Insulated 100% Black Out Drapes Room Darkening Window Curtain Ivory Natural Beige</t>
        </is>
      </c>
      <c r="J679" s="148" t="inlineStr">
        <is>
          <t>https://images-na.ssl-images-amazon.com/images/I/812ffz+BwYL.jpg</t>
        </is>
      </c>
      <c r="K679" s="148" t="inlineStr">
        <is>
          <t>B0CYLVSHZV</t>
        </is>
      </c>
      <c r="L679" s="148" t="inlineStr">
        <is>
          <t>B0CYLS2C62</t>
        </is>
      </c>
      <c r="M679" s="148" t="n">
        <v>379</v>
      </c>
      <c r="N679" s="148" t="n">
        <v>17.86</v>
      </c>
      <c r="O679" s="148" t="n">
        <v>18.8</v>
      </c>
      <c r="P679" s="148">
        <f>IF(AND(ISNUMBER(O679),ISNUMBER(N679),N(N679)&gt;0),O679/N679-1,"")</f>
        <v/>
      </c>
      <c r="Q679" s="148" t="n">
        <v>29.82333333333333</v>
      </c>
      <c r="R679" s="148">
        <f>IF(AND(ISNUMBER(N679),ISNUMBER(Q679),N(Q679)&gt;0),N679/Q679-1,"")</f>
        <v/>
      </c>
      <c r="S679" s="148" t="n">
        <v>983</v>
      </c>
      <c r="T679" s="148" t="n">
        <v>2079</v>
      </c>
      <c r="U679" s="148" t="n">
        <v>4.5</v>
      </c>
      <c r="V679" s="148" t="n">
        <v>2791</v>
      </c>
      <c r="W679" s="148" t="n"/>
      <c r="X679" s="148" t="n"/>
      <c r="Y679" s="148" t="n"/>
      <c r="Z679" s="148" t="n"/>
      <c r="AA679" s="148" t="n"/>
      <c r="AB679" s="148" t="n">
        <v>0.4432346665207638</v>
      </c>
      <c r="AC679" s="148" t="inlineStr">
        <is>
          <t>US DC Linen Curtains</t>
        </is>
      </c>
      <c r="AD679" s="148">
        <f>'US DC Linen Curtains'!BF88</f>
        <v/>
      </c>
      <c r="AE679" s="148">
        <f>'US DC Linen Curtains'!BI88</f>
        <v/>
      </c>
      <c r="AF679" s="148" t="inlineStr">
        <is>
          <t>52"W x 84"L (Pack of 2)</t>
        </is>
      </c>
      <c r="AG679" s="148" t="inlineStr">
        <is>
          <t>Cream</t>
        </is>
      </c>
      <c r="AH679" s="148">
        <f>AND(E679="CA",OR('CA Dashboard'!$C$4="All",'CA Dashboard'!$C$4=D679),OR('CA Dashboard'!$C$5="All",'CA Dashboard'!$C$5=G679),OR('CA Dashboard'!$C$6="All",'CA Dashboard'!$C$6=H679),OR('CA Dashboard'!$C$7="All",'CA Dashboard'!$C$7=F679),OR('CA Dashboard'!$C$8="All",'CA Dashboard'!$C$8=AJ679))</f>
        <v/>
      </c>
      <c r="AI679" s="148">
        <f>IF(AH679,AI678+1,AI678)</f>
        <v/>
      </c>
      <c r="AJ679" s="148" t="inlineStr">
        <is>
          <t>Not classified</t>
        </is>
      </c>
      <c r="AK679" s="148" t="inlineStr">
        <is>
          <t>Not a sheet, pillowcase or comforter product; competitors are compared on price and sales only.</t>
        </is>
      </c>
    </row>
    <row r="680">
      <c r="A680" s="148">
        <f>AND(E680="US",OR('US Dashboard'!$C$4="All",'US Dashboard'!$C$4=D680),OR('US Dashboard'!$C$5="All",'US Dashboard'!$C$5=G680),OR('US Dashboard'!$C$6="All",'US Dashboard'!$C$6=H680),OR('US Dashboard'!$C$7="All",'US Dashboard'!$C$7=F680),OR('US Dashboard'!$C$8="All",'US Dashboard'!$C$8=AJ680))</f>
        <v/>
      </c>
      <c r="B680" s="148">
        <f>IF(A680,B679+1,B679)</f>
        <v/>
      </c>
      <c r="C680" s="148" t="n">
        <v>53</v>
      </c>
      <c r="D680" s="148" t="inlineStr">
        <is>
          <t>DC Linen Curtains</t>
        </is>
      </c>
      <c r="E680" s="148" t="inlineStr">
        <is>
          <t>US</t>
        </is>
      </c>
      <c r="F680" s="148" t="inlineStr">
        <is>
          <t>Other</t>
        </is>
      </c>
      <c r="G680" s="148" t="inlineStr">
        <is>
          <t>BGment</t>
        </is>
      </c>
      <c r="H680" s="148" t="inlineStr">
        <is>
          <t>Beatable</t>
        </is>
      </c>
      <c r="I680" s="148" t="inlineStr">
        <is>
          <t>BGment Oatmeal Linen Curtains 84 Inch Length 2 Panels Set for Living Room</t>
        </is>
      </c>
      <c r="J680" s="148" t="inlineStr">
        <is>
          <t>https://images-na.ssl-images-amazon.com/images/I/814g2JKCJuL.jpg</t>
        </is>
      </c>
      <c r="K680" s="148" t="inlineStr">
        <is>
          <t>B0CJHW1J7V</t>
        </is>
      </c>
      <c r="L680" s="148" t="inlineStr">
        <is>
          <t>B0CJHZYHGB</t>
        </is>
      </c>
      <c r="M680" s="148" t="n">
        <v>93</v>
      </c>
      <c r="N680" s="148" t="n">
        <v>21.29</v>
      </c>
      <c r="O680" s="148" t="n"/>
      <c r="P680" s="148">
        <f>IF(AND(ISNUMBER(O680),ISNUMBER(N680),N(N680)&gt;0),O680/N680-1,"")</f>
        <v/>
      </c>
      <c r="Q680" s="148" t="n">
        <v>29.82333333333333</v>
      </c>
      <c r="R680" s="148">
        <f>IF(AND(ISNUMBER(N680),ISNUMBER(Q680),N(Q680)&gt;0),N680/Q680-1,"")</f>
        <v/>
      </c>
      <c r="S680" s="148" t="n">
        <v>10367</v>
      </c>
      <c r="T680" s="148" t="n">
        <v>347</v>
      </c>
      <c r="U680" s="148" t="n">
        <v>4.6</v>
      </c>
      <c r="V680" s="148" t="n">
        <v>718</v>
      </c>
      <c r="W680" s="148" t="n"/>
      <c r="X680" s="148" t="n"/>
      <c r="Y680" s="148" t="n"/>
      <c r="Z680" s="148" t="n"/>
      <c r="AA680" s="148" t="n"/>
      <c r="AB680" s="148" t="n">
        <v>0.7805755395683452</v>
      </c>
      <c r="AC680" s="148" t="inlineStr">
        <is>
          <t>US DC Linen Curtains</t>
        </is>
      </c>
      <c r="AD680" s="148">
        <f>'US DC Linen Curtains'!BF89</f>
        <v/>
      </c>
      <c r="AE680" s="148">
        <f>'US DC Linen Curtains'!BI89</f>
        <v/>
      </c>
      <c r="AF680" s="148" t="inlineStr">
        <is>
          <t>52"W x 84"L (Pack of 2)</t>
        </is>
      </c>
      <c r="AG680" s="148" t="inlineStr">
        <is>
          <t>Oatmeal</t>
        </is>
      </c>
      <c r="AH680" s="148">
        <f>AND(E680="CA",OR('CA Dashboard'!$C$4="All",'CA Dashboard'!$C$4=D680),OR('CA Dashboard'!$C$5="All",'CA Dashboard'!$C$5=G680),OR('CA Dashboard'!$C$6="All",'CA Dashboard'!$C$6=H680),OR('CA Dashboard'!$C$7="All",'CA Dashboard'!$C$7=F680),OR('CA Dashboard'!$C$8="All",'CA Dashboard'!$C$8=AJ680))</f>
        <v/>
      </c>
      <c r="AI680" s="148">
        <f>IF(AH680,AI679+1,AI679)</f>
        <v/>
      </c>
      <c r="AJ680" s="148" t="inlineStr">
        <is>
          <t>Not classified</t>
        </is>
      </c>
      <c r="AK680" s="148" t="inlineStr">
        <is>
          <t>Not a sheet, pillowcase or comforter product; competitors are compared on price and sales only.</t>
        </is>
      </c>
    </row>
    <row r="681">
      <c r="A681" s="148">
        <f>AND(E681="US",OR('US Dashboard'!$C$4="All",'US Dashboard'!$C$4=D681),OR('US Dashboard'!$C$5="All",'US Dashboard'!$C$5=G681),OR('US Dashboard'!$C$6="All",'US Dashboard'!$C$6=H681),OR('US Dashboard'!$C$7="All",'US Dashboard'!$C$7=F681),OR('US Dashboard'!$C$8="All",'US Dashboard'!$C$8=AJ681))</f>
        <v/>
      </c>
      <c r="B681" s="148">
        <f>IF(A681,B680+1,B680)</f>
        <v/>
      </c>
      <c r="C681" s="148" t="n">
        <v>53</v>
      </c>
      <c r="D681" s="148" t="inlineStr">
        <is>
          <t>DC Linen Curtains</t>
        </is>
      </c>
      <c r="E681" s="148" t="inlineStr">
        <is>
          <t>US</t>
        </is>
      </c>
      <c r="F681" s="148" t="inlineStr">
        <is>
          <t>Other</t>
        </is>
      </c>
      <c r="G681" s="148" t="inlineStr">
        <is>
          <t>Pitalk</t>
        </is>
      </c>
      <c r="H681" s="148" t="inlineStr">
        <is>
          <t>Beatable</t>
        </is>
      </c>
      <c r="I681" s="148" t="inlineStr">
        <is>
          <t>100% Blackout Curtains 84 Inch Length 2 Panels Set Neutral Boho Linen Farmhouse for Bedroom Windows Living Room Darkening Thermal Insulated Drapes Natural Cream Ivory 7ft Long Back Tab Pleated Pocket</t>
        </is>
      </c>
      <c r="J681" s="148" t="inlineStr">
        <is>
          <t>https://images-na.ssl-images-amazon.com/images/I/71v8QaOCutL.jpg</t>
        </is>
      </c>
      <c r="K681" s="148" t="inlineStr">
        <is>
          <t>B0DG84J1H5</t>
        </is>
      </c>
      <c r="L681" s="148" t="inlineStr">
        <is>
          <t>B0DG84XRDW</t>
        </is>
      </c>
      <c r="M681" s="148" t="n">
        <v>210</v>
      </c>
      <c r="N681" s="148" t="n">
        <v>23.98</v>
      </c>
      <c r="O681" s="148" t="n">
        <v>26.98</v>
      </c>
      <c r="P681" s="148">
        <f>IF(AND(ISNUMBER(O681),ISNUMBER(N681),N(N681)&gt;0),O681/N681-1,"")</f>
        <v/>
      </c>
      <c r="Q681" s="148" t="n">
        <v>29.82333333333333</v>
      </c>
      <c r="R681" s="148">
        <f>IF(AND(ISNUMBER(N681),ISNUMBER(Q681),N(Q681)&gt;0),N681/Q681-1,"")</f>
        <v/>
      </c>
      <c r="S681" s="148" t="n">
        <v>4498</v>
      </c>
      <c r="T681" s="148" t="n">
        <v>347</v>
      </c>
      <c r="U681" s="148" t="n">
        <v>4.4</v>
      </c>
      <c r="V681" s="148" t="n">
        <v>1608</v>
      </c>
      <c r="W681" s="148" t="n"/>
      <c r="X681" s="148" t="n"/>
      <c r="Y681" s="148" t="n"/>
      <c r="Z681" s="148" t="n"/>
      <c r="AA681" s="148" t="n"/>
      <c r="AB681" s="148" t="n">
        <v>1.253755431409063</v>
      </c>
      <c r="AC681" s="148" t="inlineStr">
        <is>
          <t>US DC Linen Curtains</t>
        </is>
      </c>
      <c r="AD681" s="148">
        <f>'US DC Linen Curtains'!BF90</f>
        <v/>
      </c>
      <c r="AE681" s="148">
        <f>'US DC Linen Curtains'!BI90</f>
        <v/>
      </c>
      <c r="AF681" s="148" t="inlineStr">
        <is>
          <t>52"W x 84"L (Pack of 2)</t>
        </is>
      </c>
      <c r="AG681" s="148" t="inlineStr">
        <is>
          <t>Natural</t>
        </is>
      </c>
      <c r="AH681" s="148">
        <f>AND(E681="CA",OR('CA Dashboard'!$C$4="All",'CA Dashboard'!$C$4=D681),OR('CA Dashboard'!$C$5="All",'CA Dashboard'!$C$5=G681),OR('CA Dashboard'!$C$6="All",'CA Dashboard'!$C$6=H681),OR('CA Dashboard'!$C$7="All",'CA Dashboard'!$C$7=F681),OR('CA Dashboard'!$C$8="All",'CA Dashboard'!$C$8=AJ681))</f>
        <v/>
      </c>
      <c r="AI681" s="148">
        <f>IF(AH681,AI680+1,AI680)</f>
        <v/>
      </c>
      <c r="AJ681" s="148" t="inlineStr">
        <is>
          <t>Not classified</t>
        </is>
      </c>
      <c r="AK681" s="148" t="inlineStr">
        <is>
          <t>Not a sheet, pillowcase or comforter product; competitors are compared on price and sales only.</t>
        </is>
      </c>
    </row>
    <row r="682">
      <c r="A682" s="148">
        <f>AND(E682="US",OR('US Dashboard'!$C$4="All",'US Dashboard'!$C$4=D682),OR('US Dashboard'!$C$5="All",'US Dashboard'!$C$5=G682),OR('US Dashboard'!$C$6="All",'US Dashboard'!$C$6=H682),OR('US Dashboard'!$C$7="All",'US Dashboard'!$C$7=F682),OR('US Dashboard'!$C$8="All",'US Dashboard'!$C$8=AJ682))</f>
        <v/>
      </c>
      <c r="B682" s="148">
        <f>IF(A682,B681+1,B681)</f>
        <v/>
      </c>
      <c r="C682" s="148" t="n">
        <v>53</v>
      </c>
      <c r="D682" s="148" t="inlineStr">
        <is>
          <t>DC Linen Curtains</t>
        </is>
      </c>
      <c r="E682" s="148" t="inlineStr">
        <is>
          <t>US</t>
        </is>
      </c>
      <c r="F682" s="148" t="inlineStr">
        <is>
          <t>Other</t>
        </is>
      </c>
      <c r="G682" s="148" t="inlineStr">
        <is>
          <t>Topfinel</t>
        </is>
      </c>
      <c r="H682" s="148" t="inlineStr">
        <is>
          <t>Beatable</t>
        </is>
      </c>
      <c r="I682" s="148" t="inlineStr">
        <is>
          <t>Topfinel Cream Linen Blackout Curtains 84 Inch Long for Bedroom Living Room, Ivo</t>
        </is>
      </c>
      <c r="J682" s="148" t="inlineStr">
        <is>
          <t>https://m.media-amazon.com/images/I/71QptGI8BKL._AC_SL1500_.jpg</t>
        </is>
      </c>
      <c r="K682" s="148" t="inlineStr">
        <is>
          <t>B0F6YR5VMZ</t>
        </is>
      </c>
      <c r="L682" s="148" t="inlineStr">
        <is>
          <t>B0DFWPKBG1</t>
        </is>
      </c>
      <c r="M682" s="148" t="n"/>
      <c r="N682" s="148" t="n">
        <v>28.04</v>
      </c>
      <c r="O682" s="148" t="n">
        <v>32.99</v>
      </c>
      <c r="P682" s="148">
        <f>IF(AND(ISNUMBER(O682),ISNUMBER(N682),N(N682)&gt;0),O682/N682-1,"")</f>
        <v/>
      </c>
      <c r="Q682" s="148" t="n">
        <v>29.82333333333333</v>
      </c>
      <c r="R682" s="148">
        <f>IF(AND(ISNUMBER(N682),ISNUMBER(Q682),N(Q682)&gt;0),N682/Q682-1,"")</f>
        <v/>
      </c>
      <c r="S682" s="148" t="n">
        <v>2135</v>
      </c>
      <c r="T682" s="148" t="n">
        <v>347</v>
      </c>
      <c r="U682" s="148" t="n">
        <v>4.3</v>
      </c>
      <c r="V682" s="148" t="n">
        <v>1639</v>
      </c>
      <c r="W682" s="148" t="n"/>
      <c r="X682" s="148" t="n"/>
      <c r="Y682" s="148" t="n"/>
      <c r="Z682" s="148" t="n"/>
      <c r="AA682" s="148" t="n"/>
      <c r="AB682" s="148" t="n"/>
      <c r="AC682" s="148" t="inlineStr">
        <is>
          <t>US DC Linen Curtains</t>
        </is>
      </c>
      <c r="AD682" s="148">
        <f>'US DC Linen Curtains'!BF91</f>
        <v/>
      </c>
      <c r="AE682" s="148">
        <f>'US DC Linen Curtains'!BI91</f>
        <v/>
      </c>
      <c r="AF682" s="148" t="inlineStr">
        <is>
          <t>52"W x 84"L (Pack of 2)</t>
        </is>
      </c>
      <c r="AG682" s="148" t="inlineStr">
        <is>
          <t>Birch</t>
        </is>
      </c>
      <c r="AH682" s="148">
        <f>AND(E682="CA",OR('CA Dashboard'!$C$4="All",'CA Dashboard'!$C$4=D682),OR('CA Dashboard'!$C$5="All",'CA Dashboard'!$C$5=G682),OR('CA Dashboard'!$C$6="All",'CA Dashboard'!$C$6=H682),OR('CA Dashboard'!$C$7="All",'CA Dashboard'!$C$7=F682),OR('CA Dashboard'!$C$8="All",'CA Dashboard'!$C$8=AJ682))</f>
        <v/>
      </c>
      <c r="AI682" s="148">
        <f>IF(AH682,AI681+1,AI681)</f>
        <v/>
      </c>
      <c r="AJ682" s="148" t="inlineStr">
        <is>
          <t>Not classified</t>
        </is>
      </c>
      <c r="AK682" s="148" t="inlineStr">
        <is>
          <t>Not a sheet, pillowcase or comforter product; competitors are compared on price and sales only.</t>
        </is>
      </c>
    </row>
    <row r="683">
      <c r="A683" s="148">
        <f>AND(E683="US",OR('US Dashboard'!$C$4="All",'US Dashboard'!$C$4=D683),OR('US Dashboard'!$C$5="All",'US Dashboard'!$C$5=G683),OR('US Dashboard'!$C$6="All",'US Dashboard'!$C$6=H683),OR('US Dashboard'!$C$7="All",'US Dashboard'!$C$7=F683),OR('US Dashboard'!$C$8="All",'US Dashboard'!$C$8=AJ683))</f>
        <v/>
      </c>
      <c r="B683" s="148">
        <f>IF(A683,B682+1,B682)</f>
        <v/>
      </c>
      <c r="C683" s="148" t="n">
        <v>53</v>
      </c>
      <c r="D683" s="148" t="inlineStr">
        <is>
          <t>DC Linen Curtains</t>
        </is>
      </c>
      <c r="E683" s="148" t="inlineStr">
        <is>
          <t>US</t>
        </is>
      </c>
      <c r="F683" s="148" t="inlineStr">
        <is>
          <t>Other</t>
        </is>
      </c>
      <c r="G683" s="148" t="inlineStr">
        <is>
          <t>YoungsTex</t>
        </is>
      </c>
      <c r="H683" s="148" t="inlineStr">
        <is>
          <t>Beatable</t>
        </is>
      </c>
      <c r="I683" s="148" t="inlineStr">
        <is>
          <t>Linen Curtains</t>
        </is>
      </c>
      <c r="J683" s="148" t="inlineStr">
        <is>
          <t>https://m.media-amazon.com/images/I/71PFD5rRRAL._AC_SL1500_.jpg</t>
        </is>
      </c>
      <c r="K683" s="148" t="inlineStr">
        <is>
          <t>B0B5684GHJ</t>
        </is>
      </c>
      <c r="L683" s="148" t="inlineStr">
        <is>
          <t>B09Q2YTRL3</t>
        </is>
      </c>
      <c r="M683" s="148" t="n"/>
      <c r="N683" s="148" t="n">
        <v>19.58</v>
      </c>
      <c r="O683" s="148" t="n"/>
      <c r="P683" s="148">
        <f>IF(AND(ISNUMBER(O683),ISNUMBER(N683),N(N683)&gt;0),O683/N683-1,"")</f>
        <v/>
      </c>
      <c r="Q683" s="148" t="n">
        <v>29.82333333333333</v>
      </c>
      <c r="R683" s="148">
        <f>IF(AND(ISNUMBER(N683),ISNUMBER(Q683),N(Q683)&gt;0),N683/Q683-1,"")</f>
        <v/>
      </c>
      <c r="S683" s="148" t="n">
        <v>5384</v>
      </c>
      <c r="T683" s="148" t="n">
        <v>208</v>
      </c>
      <c r="U683" s="148" t="n">
        <v>4.7</v>
      </c>
      <c r="V683" s="148" t="n">
        <v>2019</v>
      </c>
      <c r="W683" s="148" t="n"/>
      <c r="X683" s="148" t="n"/>
      <c r="Y683" s="148" t="n"/>
      <c r="Z683" s="148" t="n"/>
      <c r="AA683" s="148" t="n"/>
      <c r="AB683" s="148" t="n">
        <v>0.7720746590093323</v>
      </c>
      <c r="AC683" s="148" t="inlineStr">
        <is>
          <t>US DC Linen Curtains</t>
        </is>
      </c>
      <c r="AD683" s="148">
        <f>'US DC Linen Curtains'!BF92</f>
        <v/>
      </c>
      <c r="AE683" s="148">
        <f>'US DC Linen Curtains'!BI92</f>
        <v/>
      </c>
      <c r="AF683" s="148" t="inlineStr">
        <is>
          <t>52"W x 63"L (Pack of 2)</t>
        </is>
      </c>
      <c r="AG683" s="148" t="inlineStr">
        <is>
          <t>Beige</t>
        </is>
      </c>
      <c r="AH683" s="148">
        <f>AND(E683="CA",OR('CA Dashboard'!$C$4="All",'CA Dashboard'!$C$4=D683),OR('CA Dashboard'!$C$5="All",'CA Dashboard'!$C$5=G683),OR('CA Dashboard'!$C$6="All",'CA Dashboard'!$C$6=H683),OR('CA Dashboard'!$C$7="All",'CA Dashboard'!$C$7=F683),OR('CA Dashboard'!$C$8="All",'CA Dashboard'!$C$8=AJ683))</f>
        <v/>
      </c>
      <c r="AI683" s="148">
        <f>IF(AH683,AI682+1,AI682)</f>
        <v/>
      </c>
      <c r="AJ683" s="148" t="inlineStr">
        <is>
          <t>Not classified</t>
        </is>
      </c>
      <c r="AK683" s="148" t="inlineStr">
        <is>
          <t>Not a sheet, pillowcase or comforter product; competitors are compared on price and sales only.</t>
        </is>
      </c>
    </row>
    <row r="684">
      <c r="A684" s="148">
        <f>AND(E684="US",OR('US Dashboard'!$C$4="All",'US Dashboard'!$C$4=D684),OR('US Dashboard'!$C$5="All",'US Dashboard'!$C$5=G684),OR('US Dashboard'!$C$6="All",'US Dashboard'!$C$6=H684),OR('US Dashboard'!$C$7="All",'US Dashboard'!$C$7=F684),OR('US Dashboard'!$C$8="All",'US Dashboard'!$C$8=AJ684))</f>
        <v/>
      </c>
      <c r="B684" s="148">
        <f>IF(A684,B683+1,B683)</f>
        <v/>
      </c>
      <c r="C684" s="148" t="n">
        <v>53</v>
      </c>
      <c r="D684" s="148" t="inlineStr">
        <is>
          <t>DC Linen Curtains</t>
        </is>
      </c>
      <c r="E684" s="148" t="inlineStr">
        <is>
          <t>US</t>
        </is>
      </c>
      <c r="F684" s="148" t="inlineStr">
        <is>
          <t>Other</t>
        </is>
      </c>
      <c r="G684" s="148" t="inlineStr">
        <is>
          <t>CUCRAF</t>
        </is>
      </c>
      <c r="H684" s="148" t="inlineStr">
        <is>
          <t>Beatable</t>
        </is>
      </c>
      <c r="I684" s="148" t="inlineStr">
        <is>
          <t>CUCRAF 100% Blackout Window Curtains 84 inches Long 2 Panels Set, Faux Linen Look Thermal Insulated Grommet Drapes, Room Darkening Curtain for Bedroom Living Room(W52 x L84 Inch, Light Khaki)</t>
        </is>
      </c>
      <c r="J684" s="148" t="inlineStr">
        <is>
          <t>https://images-na.ssl-images-amazon.com/images/I/913VjImt8xL.jpg</t>
        </is>
      </c>
      <c r="K684" s="148" t="inlineStr">
        <is>
          <t>B0D7MDYKGV</t>
        </is>
      </c>
      <c r="L684" s="148" t="inlineStr">
        <is>
          <t>B08V8HD2WT</t>
        </is>
      </c>
      <c r="M684" s="148" t="n">
        <v>86</v>
      </c>
      <c r="N684" s="148" t="n">
        <v>23.99</v>
      </c>
      <c r="O684" s="148" t="n">
        <v>27.99</v>
      </c>
      <c r="P684" s="148">
        <f>IF(AND(ISNUMBER(O684),ISNUMBER(N684),N(N684)&gt;0),O684/N684-1,"")</f>
        <v/>
      </c>
      <c r="Q684" s="148" t="n">
        <v>29.82333333333333</v>
      </c>
      <c r="R684" s="148">
        <f>IF(AND(ISNUMBER(N684),ISNUMBER(Q684),N(Q684)&gt;0),N684/Q684-1,"")</f>
        <v/>
      </c>
      <c r="S684" s="148" t="n">
        <v>26182</v>
      </c>
      <c r="T684" s="148" t="n">
        <v>173</v>
      </c>
      <c r="U684" s="148" t="n">
        <v>4.7</v>
      </c>
      <c r="V684" s="148" t="n">
        <v>2808</v>
      </c>
      <c r="W684" s="148" t="n"/>
      <c r="X684" s="148" t="n"/>
      <c r="Y684" s="148" t="n"/>
      <c r="Z684" s="148" t="n"/>
      <c r="AA684" s="148" t="n"/>
      <c r="AB684" s="148" t="n">
        <v>0.6864216054013503</v>
      </c>
      <c r="AC684" s="148" t="inlineStr">
        <is>
          <t>US DC Linen Curtains</t>
        </is>
      </c>
      <c r="AD684" s="148">
        <f>'US DC Linen Curtains'!BF93</f>
        <v/>
      </c>
      <c r="AE684" s="148">
        <f>'US DC Linen Curtains'!BI93</f>
        <v/>
      </c>
      <c r="AF684" s="148" t="inlineStr">
        <is>
          <t>52"W x 84"L (Pack of 2)</t>
        </is>
      </c>
      <c r="AG684" s="148" t="inlineStr">
        <is>
          <t>Light Khaki</t>
        </is>
      </c>
      <c r="AH684" s="148">
        <f>AND(E684="CA",OR('CA Dashboard'!$C$4="All",'CA Dashboard'!$C$4=D684),OR('CA Dashboard'!$C$5="All",'CA Dashboard'!$C$5=G684),OR('CA Dashboard'!$C$6="All",'CA Dashboard'!$C$6=H684),OR('CA Dashboard'!$C$7="All",'CA Dashboard'!$C$7=F684),OR('CA Dashboard'!$C$8="All",'CA Dashboard'!$C$8=AJ684))</f>
        <v/>
      </c>
      <c r="AI684" s="148">
        <f>IF(AH684,AI683+1,AI683)</f>
        <v/>
      </c>
      <c r="AJ684" s="148" t="inlineStr">
        <is>
          <t>Not classified</t>
        </is>
      </c>
      <c r="AK684" s="148" t="inlineStr">
        <is>
          <t>Not a sheet, pillowcase or comforter product; competitors are compared on price and sales only.</t>
        </is>
      </c>
    </row>
    <row r="685">
      <c r="A685" s="148">
        <f>AND(E685="US",OR('US Dashboard'!$C$4="All",'US Dashboard'!$C$4=D685),OR('US Dashboard'!$C$5="All",'US Dashboard'!$C$5=G685),OR('US Dashboard'!$C$6="All",'US Dashboard'!$C$6=H685),OR('US Dashboard'!$C$7="All",'US Dashboard'!$C$7=F685),OR('US Dashboard'!$C$8="All",'US Dashboard'!$C$8=AJ685))</f>
        <v/>
      </c>
      <c r="B685" s="148">
        <f>IF(A685,B684+1,B684)</f>
        <v/>
      </c>
      <c r="C685" s="148" t="n">
        <v>53</v>
      </c>
      <c r="D685" s="148" t="inlineStr">
        <is>
          <t>DC Linen Curtains</t>
        </is>
      </c>
      <c r="E685" s="148" t="inlineStr">
        <is>
          <t>US</t>
        </is>
      </c>
      <c r="F685" s="148" t="inlineStr">
        <is>
          <t>Other</t>
        </is>
      </c>
      <c r="G685" s="148" t="inlineStr">
        <is>
          <t>Lajode</t>
        </is>
      </c>
      <c r="H685" s="148" t="inlineStr">
        <is>
          <t>Beatable</t>
        </is>
      </c>
      <c r="I685" s="148" t="inlineStr">
        <is>
          <t>Lajode Natural Linen Blackout Curtains for Bedroom - 52x84 Inch 2 Panels</t>
        </is>
      </c>
      <c r="J685" s="148" t="inlineStr">
        <is>
          <t>https://images-na.ssl-images-amazon.com/images/I/81mz6Jz1-XL.jpg</t>
        </is>
      </c>
      <c r="K685" s="148" t="inlineStr">
        <is>
          <t>B0CX3LSG5D</t>
        </is>
      </c>
      <c r="L685" s="148" t="inlineStr">
        <is>
          <t>B0CX47TFJ4</t>
        </is>
      </c>
      <c r="M685" s="148" t="n">
        <v>130</v>
      </c>
      <c r="N685" s="148" t="n">
        <v>29.94</v>
      </c>
      <c r="O685" s="148" t="n"/>
      <c r="P685" s="148">
        <f>IF(AND(ISNUMBER(O685),ISNUMBER(N685),N(N685)&gt;0),O685/N685-1,"")</f>
        <v/>
      </c>
      <c r="Q685" s="148" t="n">
        <v>29.82333333333333</v>
      </c>
      <c r="R685" s="148">
        <f>IF(AND(ISNUMBER(N685),ISNUMBER(Q685),N(Q685)&gt;0),N685/Q685-1,"")</f>
        <v/>
      </c>
      <c r="S685" s="148" t="n">
        <v>13252</v>
      </c>
      <c r="T685" s="148" t="n">
        <v>92</v>
      </c>
      <c r="U685" s="148" t="n">
        <v>4.6</v>
      </c>
      <c r="V685" s="148" t="n">
        <v>1408</v>
      </c>
      <c r="W685" s="148" t="n"/>
      <c r="X685" s="148" t="n"/>
      <c r="Y685" s="148" t="n"/>
      <c r="Z685" s="148" t="n"/>
      <c r="AA685" s="148" t="n"/>
      <c r="AB685" s="148" t="n">
        <v>1.373060211049038</v>
      </c>
      <c r="AC685" s="148" t="inlineStr">
        <is>
          <t>US DC Linen Curtains</t>
        </is>
      </c>
      <c r="AD685" s="148">
        <f>'US DC Linen Curtains'!BF94</f>
        <v/>
      </c>
      <c r="AE685" s="148">
        <f>'US DC Linen Curtains'!BI94</f>
        <v/>
      </c>
      <c r="AF685" s="148" t="inlineStr">
        <is>
          <t>52"W x 84"L (Pack of 2)</t>
        </is>
      </c>
      <c r="AG685" s="148" t="inlineStr">
        <is>
          <t>Natural</t>
        </is>
      </c>
      <c r="AH685" s="148">
        <f>AND(E685="CA",OR('CA Dashboard'!$C$4="All",'CA Dashboard'!$C$4=D685),OR('CA Dashboard'!$C$5="All",'CA Dashboard'!$C$5=G685),OR('CA Dashboard'!$C$6="All",'CA Dashboard'!$C$6=H685),OR('CA Dashboard'!$C$7="All",'CA Dashboard'!$C$7=F685),OR('CA Dashboard'!$C$8="All",'CA Dashboard'!$C$8=AJ685))</f>
        <v/>
      </c>
      <c r="AI685" s="148">
        <f>IF(AH685,AI684+1,AI684)</f>
        <v/>
      </c>
      <c r="AJ685" s="148" t="inlineStr">
        <is>
          <t>Not classified</t>
        </is>
      </c>
      <c r="AK685" s="148" t="inlineStr">
        <is>
          <t>Not a sheet, pillowcase or comforter product; competitors are compared on price and sales only.</t>
        </is>
      </c>
    </row>
    <row r="686">
      <c r="A686" s="148">
        <f>AND(E686="US",OR('US Dashboard'!$C$4="All",'US Dashboard'!$C$4=D686),OR('US Dashboard'!$C$5="All",'US Dashboard'!$C$5=G686),OR('US Dashboard'!$C$6="All",'US Dashboard'!$C$6=H686),OR('US Dashboard'!$C$7="All",'US Dashboard'!$C$7=F686),OR('US Dashboard'!$C$8="All",'US Dashboard'!$C$8=AJ686))</f>
        <v/>
      </c>
      <c r="B686" s="148">
        <f>IF(A686,B685+1,B685)</f>
        <v/>
      </c>
      <c r="C686" s="148" t="n">
        <v>53</v>
      </c>
      <c r="D686" s="148" t="inlineStr">
        <is>
          <t>DC Linen Curtains</t>
        </is>
      </c>
      <c r="E686" s="148" t="inlineStr">
        <is>
          <t>US</t>
        </is>
      </c>
      <c r="F686" s="148" t="inlineStr">
        <is>
          <t>Other</t>
        </is>
      </c>
      <c r="G686" s="148" t="inlineStr">
        <is>
          <t>Threadmade</t>
        </is>
      </c>
      <c r="H686" s="148" t="inlineStr">
        <is>
          <t>Beatable</t>
        </is>
      </c>
      <c r="I686" s="148" t="inlineStr">
        <is>
          <t>Threadmade Brighton Windowpane Plaid Blackout Window Curtain Panel, Linen - 52" W x 84" L</t>
        </is>
      </c>
      <c r="J686" s="148" t="inlineStr">
        <is>
          <t>https://images-na.ssl-images-amazon.com/images/I/814g0Iz3A0L.jpg</t>
        </is>
      </c>
      <c r="K686" s="148" t="inlineStr">
        <is>
          <t>B0H8T2BYZK</t>
        </is>
      </c>
      <c r="L686" s="148" t="inlineStr">
        <is>
          <t>B08N891RBV</t>
        </is>
      </c>
      <c r="M686" s="148" t="n">
        <v>32</v>
      </c>
      <c r="N686" s="148" t="n">
        <v>36.29</v>
      </c>
      <c r="O686" s="148" t="n">
        <v>44.99</v>
      </c>
      <c r="P686" s="148">
        <f>IF(AND(ISNUMBER(O686),ISNUMBER(N686),N(N686)&gt;0),O686/N686-1,"")</f>
        <v/>
      </c>
      <c r="Q686" s="148" t="n">
        <v>29.82333333333333</v>
      </c>
      <c r="R686" s="148">
        <f>IF(AND(ISNUMBER(N686),ISNUMBER(Q686),N(Q686)&gt;0),N686/Q686-1,"")</f>
        <v/>
      </c>
      <c r="S686" s="148" t="n">
        <v>16354</v>
      </c>
      <c r="T686" s="148" t="n">
        <v>92</v>
      </c>
      <c r="U686" s="148" t="n">
        <v>4.5</v>
      </c>
      <c r="V686" s="148" t="n">
        <v>2281</v>
      </c>
      <c r="W686" s="148" t="n"/>
      <c r="X686" s="148" t="n"/>
      <c r="Y686" s="148" t="n"/>
      <c r="Z686" s="148" t="n"/>
      <c r="AA686" s="148" t="n"/>
      <c r="AB686" s="148" t="n"/>
      <c r="AC686" s="148" t="inlineStr">
        <is>
          <t>US DC Linen Curtains</t>
        </is>
      </c>
      <c r="AD686" s="148">
        <f>'US DC Linen Curtains'!BF95</f>
        <v/>
      </c>
      <c r="AE686" s="148">
        <f>'US DC Linen Curtains'!BI95</f>
        <v/>
      </c>
      <c r="AF686" s="148" t="inlineStr">
        <is>
          <t>52"W x 84"L (Pack of 1)</t>
        </is>
      </c>
      <c r="AG686" s="148" t="inlineStr">
        <is>
          <t>Linen</t>
        </is>
      </c>
      <c r="AH686" s="148">
        <f>AND(E686="CA",OR('CA Dashboard'!$C$4="All",'CA Dashboard'!$C$4=D686),OR('CA Dashboard'!$C$5="All",'CA Dashboard'!$C$5=G686),OR('CA Dashboard'!$C$6="All",'CA Dashboard'!$C$6=H686),OR('CA Dashboard'!$C$7="All",'CA Dashboard'!$C$7=F686),OR('CA Dashboard'!$C$8="All",'CA Dashboard'!$C$8=AJ686))</f>
        <v/>
      </c>
      <c r="AI686" s="148">
        <f>IF(AH686,AI685+1,AI685)</f>
        <v/>
      </c>
      <c r="AJ686" s="148" t="inlineStr">
        <is>
          <t>Not classified</t>
        </is>
      </c>
      <c r="AK686" s="148" t="inlineStr">
        <is>
          <t>Not a sheet, pillowcase or comforter product; competitors are compared on price and sales only.</t>
        </is>
      </c>
    </row>
    <row r="687">
      <c r="A687" s="148">
        <f>AND(E687="US",OR('US Dashboard'!$C$4="All",'US Dashboard'!$C$4=D687),OR('US Dashboard'!$C$5="All",'US Dashboard'!$C$5=G687),OR('US Dashboard'!$C$6="All",'US Dashboard'!$C$6=H687),OR('US Dashboard'!$C$7="All",'US Dashboard'!$C$7=F687),OR('US Dashboard'!$C$8="All",'US Dashboard'!$C$8=AJ687))</f>
        <v/>
      </c>
      <c r="B687" s="148">
        <f>IF(A687,B686+1,B686)</f>
        <v/>
      </c>
      <c r="C687" s="148" t="n">
        <v>53</v>
      </c>
      <c r="D687" s="148" t="inlineStr">
        <is>
          <t>DC Linen Curtains</t>
        </is>
      </c>
      <c r="E687" s="148" t="inlineStr">
        <is>
          <t>US</t>
        </is>
      </c>
      <c r="F687" s="148" t="inlineStr">
        <is>
          <t>Other</t>
        </is>
      </c>
      <c r="G687" s="148" t="inlineStr">
        <is>
          <t>Joydeco</t>
        </is>
      </c>
      <c r="H687" s="148" t="inlineStr">
        <is>
          <t>Poor</t>
        </is>
      </c>
      <c r="I687" s="148" t="inlineStr">
        <is>
          <t>Joydeco Linen Curtains 96 inch Length 2 Panel Set, Light Filtering Curtain for Living Room Bedroom, 52 inch Wide Drapes with Rod Pocket Back Tab (96" Lx52 W, Ivory on Linen)</t>
        </is>
      </c>
      <c r="J687" s="148" t="inlineStr">
        <is>
          <t>https://images-na.ssl-images-amazon.com/images/I/81tA9iHmfeL.jpg</t>
        </is>
      </c>
      <c r="K687" s="148" t="inlineStr">
        <is>
          <t>B0DBM44C7Y</t>
        </is>
      </c>
      <c r="L687" s="148" t="inlineStr">
        <is>
          <t>B0BYD1BPNB</t>
        </is>
      </c>
      <c r="M687" s="148" t="n">
        <v>126</v>
      </c>
      <c r="N687" s="148" t="n">
        <v>32.28</v>
      </c>
      <c r="O687" s="148" t="n">
        <v>42.99</v>
      </c>
      <c r="P687" s="148">
        <f>IF(AND(ISNUMBER(O687),ISNUMBER(N687),N(N687)&gt;0),O687/N687-1,"")</f>
        <v/>
      </c>
      <c r="Q687" s="148" t="n">
        <v>29.82333333333333</v>
      </c>
      <c r="R687" s="148">
        <f>IF(AND(ISNUMBER(N687),ISNUMBER(Q687),N(Q687)&gt;0),N687/Q687-1,"")</f>
        <v/>
      </c>
      <c r="S687" s="148" t="n">
        <v>5349</v>
      </c>
      <c r="T687" s="148" t="n">
        <v>347</v>
      </c>
      <c r="U687" s="148" t="n">
        <v>4.7</v>
      </c>
      <c r="V687" s="148" t="n">
        <v>1430</v>
      </c>
      <c r="W687" s="148" t="n"/>
      <c r="X687" s="148" t="n"/>
      <c r="Y687" s="148" t="n"/>
      <c r="Z687" s="148" t="n"/>
      <c r="AA687" s="148" t="n"/>
      <c r="AB687" s="148" t="n"/>
      <c r="AC687" s="148" t="inlineStr">
        <is>
          <t>US DC Linen Curtains</t>
        </is>
      </c>
      <c r="AD687" s="148">
        <f>'US DC Linen Curtains'!BF96</f>
        <v/>
      </c>
      <c r="AE687" s="148">
        <f>'US DC Linen Curtains'!BI96</f>
        <v/>
      </c>
      <c r="AF687" s="148" t="inlineStr">
        <is>
          <t>52"W x 96"L (Pack of 2)</t>
        </is>
      </c>
      <c r="AG687" s="148" t="inlineStr">
        <is>
          <t>Ivory on Linen</t>
        </is>
      </c>
      <c r="AH687" s="148">
        <f>AND(E687="CA",OR('CA Dashboard'!$C$4="All",'CA Dashboard'!$C$4=D687),OR('CA Dashboard'!$C$5="All",'CA Dashboard'!$C$5=G687),OR('CA Dashboard'!$C$6="All",'CA Dashboard'!$C$6=H687),OR('CA Dashboard'!$C$7="All",'CA Dashboard'!$C$7=F687),OR('CA Dashboard'!$C$8="All",'CA Dashboard'!$C$8=AJ687))</f>
        <v/>
      </c>
      <c r="AI687" s="148">
        <f>IF(AH687,AI686+1,AI686)</f>
        <v/>
      </c>
      <c r="AJ687" s="148" t="inlineStr">
        <is>
          <t>Not classified</t>
        </is>
      </c>
      <c r="AK687" s="148" t="inlineStr">
        <is>
          <t>Not a sheet, pillowcase or comforter product; competitors are compared on price and sales only.</t>
        </is>
      </c>
    </row>
    <row r="688">
      <c r="A688" s="148">
        <f>AND(E688="US",OR('US Dashboard'!$C$4="All",'US Dashboard'!$C$4=D688),OR('US Dashboard'!$C$5="All",'US Dashboard'!$C$5=G688),OR('US Dashboard'!$C$6="All",'US Dashboard'!$C$6=H688),OR('US Dashboard'!$C$7="All",'US Dashboard'!$C$7=F688),OR('US Dashboard'!$C$8="All",'US Dashboard'!$C$8=AJ688))</f>
        <v/>
      </c>
      <c r="B688" s="148">
        <f>IF(A688,B687+1,B687)</f>
        <v/>
      </c>
      <c r="C688" s="148" t="n">
        <v>53</v>
      </c>
      <c r="D688" s="148" t="inlineStr">
        <is>
          <t>DC Linen Curtains</t>
        </is>
      </c>
      <c r="E688" s="148" t="inlineStr">
        <is>
          <t>US</t>
        </is>
      </c>
      <c r="F688" s="148" t="inlineStr">
        <is>
          <t>Other</t>
        </is>
      </c>
      <c r="G688" s="148" t="inlineStr">
        <is>
          <t>RYB HOME</t>
        </is>
      </c>
      <c r="H688" s="148" t="inlineStr">
        <is>
          <t>Poor</t>
        </is>
      </c>
      <c r="I688" s="148" t="inlineStr">
        <is>
          <t>RYB HOME Natural Beige 100% Blackout Curtains for Bedroom 84 Inch Long</t>
        </is>
      </c>
      <c r="J688" s="148" t="inlineStr">
        <is>
          <t>https://images-na.ssl-images-amazon.com/images/I/81dOAC5a8JL.jpg</t>
        </is>
      </c>
      <c r="K688" s="148" t="inlineStr">
        <is>
          <t>B0C7GWSQ7G</t>
        </is>
      </c>
      <c r="L688" s="148" t="inlineStr">
        <is>
          <t>B0C7GTHJP6</t>
        </is>
      </c>
      <c r="M688" s="148" t="n">
        <v>140</v>
      </c>
      <c r="N688" s="148" t="n">
        <v>21.33</v>
      </c>
      <c r="O688" s="148" t="n">
        <v>29.85</v>
      </c>
      <c r="P688" s="148">
        <f>IF(AND(ISNUMBER(O688),ISNUMBER(N688),N(N688)&gt;0),O688/N688-1,"")</f>
        <v/>
      </c>
      <c r="Q688" s="148" t="n">
        <v>29.82333333333333</v>
      </c>
      <c r="R688" s="148">
        <f>IF(AND(ISNUMBER(N688),ISNUMBER(Q688),N(Q688)&gt;0),N688/Q688-1,"")</f>
        <v/>
      </c>
      <c r="S688" s="148" t="n">
        <v>3194</v>
      </c>
      <c r="T688" s="148" t="n">
        <v>347</v>
      </c>
      <c r="U688" s="148" t="n">
        <v>4.5</v>
      </c>
      <c r="V688" s="148" t="n">
        <v>1072</v>
      </c>
      <c r="W688" s="148" t="n"/>
      <c r="X688" s="148" t="n"/>
      <c r="Y688" s="148" t="n"/>
      <c r="Z688" s="148" t="n"/>
      <c r="AA688" s="148" t="n"/>
      <c r="AB688" s="148" t="n"/>
      <c r="AC688" s="148" t="inlineStr">
        <is>
          <t>US DC Linen Curtains</t>
        </is>
      </c>
      <c r="AD688" s="148">
        <f>'US DC Linen Curtains'!BF97</f>
        <v/>
      </c>
      <c r="AE688" s="148">
        <f>'US DC Linen Curtains'!BI97</f>
        <v/>
      </c>
      <c r="AF688" s="148" t="inlineStr">
        <is>
          <t>52"W x 84"L (Pack of 2)</t>
        </is>
      </c>
      <c r="AG688" s="148" t="inlineStr">
        <is>
          <t>Natural Beige</t>
        </is>
      </c>
      <c r="AH688" s="148">
        <f>AND(E688="CA",OR('CA Dashboard'!$C$4="All",'CA Dashboard'!$C$4=D688),OR('CA Dashboard'!$C$5="All",'CA Dashboard'!$C$5=G688),OR('CA Dashboard'!$C$6="All",'CA Dashboard'!$C$6=H688),OR('CA Dashboard'!$C$7="All",'CA Dashboard'!$C$7=F688),OR('CA Dashboard'!$C$8="All",'CA Dashboard'!$C$8=AJ688))</f>
        <v/>
      </c>
      <c r="AI688" s="148">
        <f>IF(AH688,AI687+1,AI687)</f>
        <v/>
      </c>
      <c r="AJ688" s="148" t="inlineStr">
        <is>
          <t>Not classified</t>
        </is>
      </c>
      <c r="AK688" s="148" t="inlineStr">
        <is>
          <t>Not a sheet, pillowcase or comforter product; competitors are compared on price and sales only.</t>
        </is>
      </c>
    </row>
    <row r="689">
      <c r="A689" s="148">
        <f>AND(E689="US",OR('US Dashboard'!$C$4="All",'US Dashboard'!$C$4=D689),OR('US Dashboard'!$C$5="All",'US Dashboard'!$C$5=G689),OR('US Dashboard'!$C$6="All",'US Dashboard'!$C$6=H689),OR('US Dashboard'!$C$7="All",'US Dashboard'!$C$7=F689),OR('US Dashboard'!$C$8="All",'US Dashboard'!$C$8=AJ689))</f>
        <v/>
      </c>
      <c r="B689" s="148">
        <f>IF(A689,B688+1,B688)</f>
        <v/>
      </c>
      <c r="C689" s="148" t="n">
        <v>53</v>
      </c>
      <c r="D689" s="148" t="inlineStr">
        <is>
          <t>DC Linen Curtains</t>
        </is>
      </c>
      <c r="E689" s="148" t="inlineStr">
        <is>
          <t>US</t>
        </is>
      </c>
      <c r="F689" s="148" t="inlineStr">
        <is>
          <t>Other</t>
        </is>
      </c>
      <c r="G689" s="148" t="inlineStr">
        <is>
          <t>Jowels</t>
        </is>
      </c>
      <c r="H689" s="148" t="inlineStr">
        <is>
          <t>Poor</t>
        </is>
      </c>
      <c r="I689" s="148" t="inlineStr">
        <is>
          <t>Jowels Natural Linen Grommet Curtains 84 Inch Long 2 Panels for Living Room</t>
        </is>
      </c>
      <c r="J689" s="148" t="inlineStr">
        <is>
          <t>https://images-na.ssl-images-amazon.com/images/I/81YrpBfe+XL.jpg</t>
        </is>
      </c>
      <c r="K689" s="148" t="inlineStr">
        <is>
          <t>B0CX1RMCK5</t>
        </is>
      </c>
      <c r="L689" s="148" t="inlineStr">
        <is>
          <t>B0CWWWFZ16</t>
        </is>
      </c>
      <c r="M689" s="148" t="n">
        <v>483</v>
      </c>
      <c r="N689" s="148" t="n">
        <v>20.99</v>
      </c>
      <c r="O689" s="148" t="n"/>
      <c r="P689" s="148">
        <f>IF(AND(ISNUMBER(O689),ISNUMBER(N689),N(N689)&gt;0),O689/N689-1,"")</f>
        <v/>
      </c>
      <c r="Q689" s="148" t="n">
        <v>29.82333333333333</v>
      </c>
      <c r="R689" s="148">
        <f>IF(AND(ISNUMBER(N689),ISNUMBER(Q689),N(Q689)&gt;0),N689/Q689-1,"")</f>
        <v/>
      </c>
      <c r="S689" s="148" t="n">
        <v>4213</v>
      </c>
      <c r="T689" s="148" t="n">
        <v>197</v>
      </c>
      <c r="U689" s="148" t="n">
        <v>4.6</v>
      </c>
      <c r="V689" s="148" t="n">
        <v>1089</v>
      </c>
      <c r="W689" s="148" t="n"/>
      <c r="X689" s="148" t="n"/>
      <c r="Y689" s="148" t="n"/>
      <c r="Z689" s="148" t="n"/>
      <c r="AA689" s="148" t="n"/>
      <c r="AB689" s="148" t="n"/>
      <c r="AC689" s="148" t="inlineStr">
        <is>
          <t>US DC Linen Curtains</t>
        </is>
      </c>
      <c r="AD689" s="148">
        <f>'US DC Linen Curtains'!BF98</f>
        <v/>
      </c>
      <c r="AE689" s="148">
        <f>'US DC Linen Curtains'!BI98</f>
        <v/>
      </c>
      <c r="AF689" s="148" t="inlineStr">
        <is>
          <t>52"W x 84"L (Pack of 2)</t>
        </is>
      </c>
      <c r="AG689" s="148" t="inlineStr">
        <is>
          <t>Natural</t>
        </is>
      </c>
      <c r="AH689" s="148">
        <f>AND(E689="CA",OR('CA Dashboard'!$C$4="All",'CA Dashboard'!$C$4=D689),OR('CA Dashboard'!$C$5="All",'CA Dashboard'!$C$5=G689),OR('CA Dashboard'!$C$6="All",'CA Dashboard'!$C$6=H689),OR('CA Dashboard'!$C$7="All",'CA Dashboard'!$C$7=F689),OR('CA Dashboard'!$C$8="All",'CA Dashboard'!$C$8=AJ689))</f>
        <v/>
      </c>
      <c r="AI689" s="148">
        <f>IF(AH689,AI688+1,AI688)</f>
        <v/>
      </c>
      <c r="AJ689" s="148" t="inlineStr">
        <is>
          <t>Not classified</t>
        </is>
      </c>
      <c r="AK689" s="148" t="inlineStr">
        <is>
          <t>Not a sheet, pillowcase or comforter product; competitors are compared on price and sales only.</t>
        </is>
      </c>
    </row>
    <row r="690">
      <c r="A690" s="148">
        <f>AND(E690="US",OR('US Dashboard'!$C$4="All",'US Dashboard'!$C$4=D690),OR('US Dashboard'!$C$5="All",'US Dashboard'!$C$5=G690),OR('US Dashboard'!$C$6="All",'US Dashboard'!$C$6=H690),OR('US Dashboard'!$C$7="All",'US Dashboard'!$C$7=F690),OR('US Dashboard'!$C$8="All",'US Dashboard'!$C$8=AJ690))</f>
        <v/>
      </c>
      <c r="B690" s="148">
        <f>IF(A690,B689+1,B689)</f>
        <v/>
      </c>
      <c r="C690" s="148" t="n">
        <v>53</v>
      </c>
      <c r="D690" s="148" t="inlineStr">
        <is>
          <t>DC Linen Curtains</t>
        </is>
      </c>
      <c r="E690" s="148" t="inlineStr">
        <is>
          <t>US</t>
        </is>
      </c>
      <c r="F690" s="148" t="inlineStr">
        <is>
          <t>Other</t>
        </is>
      </c>
      <c r="G690" s="148" t="inlineStr">
        <is>
          <t>Zyvola Store</t>
        </is>
      </c>
      <c r="H690" s="148" t="inlineStr">
        <is>
          <t>Poor</t>
        </is>
      </c>
      <c r="I690" s="148" t="inlineStr">
        <is>
          <t>Zyvola 100% Blackout Curtains 84 inch Length Faux Linen (W52 x L84, Beige)</t>
        </is>
      </c>
      <c r="J690" s="148" t="inlineStr">
        <is>
          <t>https://images-na.ssl-images-amazon.com/images/I/71iWOFTvsgL.jpg</t>
        </is>
      </c>
      <c r="K690" s="148" t="inlineStr">
        <is>
          <t>B0GYNL4FXW</t>
        </is>
      </c>
      <c r="L690" s="148" t="inlineStr">
        <is>
          <t>B0F538X5VQ</t>
        </is>
      </c>
      <c r="M690" s="148" t="n">
        <v>97</v>
      </c>
      <c r="N690" s="148" t="n">
        <v>23.99</v>
      </c>
      <c r="O690" s="148" t="n"/>
      <c r="P690" s="148">
        <f>IF(AND(ISNUMBER(O690),ISNUMBER(N690),N(N690)&gt;0),O690/N690-1,"")</f>
        <v/>
      </c>
      <c r="Q690" s="148" t="n">
        <v>29.82333333333333</v>
      </c>
      <c r="R690" s="148">
        <f>IF(AND(ISNUMBER(N690),ISNUMBER(Q690),N(Q690)&gt;0),N690/Q690-1,"")</f>
        <v/>
      </c>
      <c r="S690" s="148" t="n">
        <v>40931</v>
      </c>
      <c r="T690" s="148" t="n">
        <v>92</v>
      </c>
      <c r="U690" s="148" t="n">
        <v>4.8</v>
      </c>
      <c r="V690" s="148" t="n">
        <v>767</v>
      </c>
      <c r="W690" s="148" t="n"/>
      <c r="X690" s="148" t="n"/>
      <c r="Y690" s="148" t="n"/>
      <c r="Z690" s="148" t="n"/>
      <c r="AA690" s="148" t="n"/>
      <c r="AB690" s="148" t="n"/>
      <c r="AC690" s="148" t="inlineStr">
        <is>
          <t>US DC Linen Curtains</t>
        </is>
      </c>
      <c r="AD690" s="148">
        <f>'US DC Linen Curtains'!BF99</f>
        <v/>
      </c>
      <c r="AE690" s="148">
        <f>'US DC Linen Curtains'!BI99</f>
        <v/>
      </c>
      <c r="AF690" s="148" t="inlineStr">
        <is>
          <t>52"W x 84"L (Pack of 2)</t>
        </is>
      </c>
      <c r="AG690" s="148" t="inlineStr">
        <is>
          <t>Beige</t>
        </is>
      </c>
      <c r="AH690" s="148">
        <f>AND(E690="CA",OR('CA Dashboard'!$C$4="All",'CA Dashboard'!$C$4=D690),OR('CA Dashboard'!$C$5="All",'CA Dashboard'!$C$5=G690),OR('CA Dashboard'!$C$6="All",'CA Dashboard'!$C$6=H690),OR('CA Dashboard'!$C$7="All",'CA Dashboard'!$C$7=F690),OR('CA Dashboard'!$C$8="All",'CA Dashboard'!$C$8=AJ690))</f>
        <v/>
      </c>
      <c r="AI690" s="148">
        <f>IF(AH690,AI689+1,AI689)</f>
        <v/>
      </c>
      <c r="AJ690" s="148" t="inlineStr">
        <is>
          <t>Not classified</t>
        </is>
      </c>
      <c r="AK690" s="148" t="inlineStr">
        <is>
          <t>Not a sheet, pillowcase or comforter product; competitors are compared on price and sales only.</t>
        </is>
      </c>
    </row>
    <row r="691">
      <c r="A691" s="148">
        <f>AND(E691="US",OR('US Dashboard'!$C$4="All",'US Dashboard'!$C$4=D691),OR('US Dashboard'!$C$5="All",'US Dashboard'!$C$5=G691),OR('US Dashboard'!$C$6="All",'US Dashboard'!$C$6=H691),OR('US Dashboard'!$C$7="All",'US Dashboard'!$C$7=F691),OR('US Dashboard'!$C$8="All",'US Dashboard'!$C$8=AJ691))</f>
        <v/>
      </c>
      <c r="B691" s="148">
        <f>IF(A691,B690+1,B690)</f>
        <v/>
      </c>
      <c r="C691" s="148" t="n">
        <v>53</v>
      </c>
      <c r="D691" s="148" t="inlineStr">
        <is>
          <t>DC Linen Curtains</t>
        </is>
      </c>
      <c r="E691" s="148" t="inlineStr">
        <is>
          <t>US</t>
        </is>
      </c>
      <c r="F691" s="148" t="inlineStr">
        <is>
          <t>Other</t>
        </is>
      </c>
      <c r="G691" s="148" t="inlineStr">
        <is>
          <t>PONY DANCE</t>
        </is>
      </c>
      <c r="H691" s="148" t="inlineStr">
        <is>
          <t>Poor</t>
        </is>
      </c>
      <c r="I691" s="148" t="inlineStr">
        <is>
          <t>PONY DANCE Linen Blackout Curtains for Bedroom 84 Inches Long, 2 Panels Set</t>
        </is>
      </c>
      <c r="J691" s="148" t="inlineStr">
        <is>
          <t>https://images-na.ssl-images-amazon.com/images/I/81WQK0JB0zL.jpg</t>
        </is>
      </c>
      <c r="K691" s="148" t="inlineStr">
        <is>
          <t>B0DT64LH8Q</t>
        </is>
      </c>
      <c r="L691" s="148" t="inlineStr">
        <is>
          <t>B0DT5T2BXX</t>
        </is>
      </c>
      <c r="M691" s="148" t="n">
        <v>83</v>
      </c>
      <c r="N691" s="148" t="n">
        <v>22.97</v>
      </c>
      <c r="O691" s="148" t="n"/>
      <c r="P691" s="148">
        <f>IF(AND(ISNUMBER(O691),ISNUMBER(N691),N(N691)&gt;0),O691/N691-1,"")</f>
        <v/>
      </c>
      <c r="Q691" s="148" t="n">
        <v>29.82333333333333</v>
      </c>
      <c r="R691" s="148">
        <f>IF(AND(ISNUMBER(N691),ISNUMBER(Q691),N(Q691)&gt;0),N691/Q691-1,"")</f>
        <v/>
      </c>
      <c r="S691" s="148" t="n">
        <v>71182</v>
      </c>
      <c r="T691" s="148" t="n">
        <v>81</v>
      </c>
      <c r="U691" s="148" t="n">
        <v>4.8</v>
      </c>
      <c r="V691" s="148" t="n">
        <v>267</v>
      </c>
      <c r="W691" s="148" t="n"/>
      <c r="X691" s="148" t="n"/>
      <c r="Y691" s="148" t="n"/>
      <c r="Z691" s="148" t="n"/>
      <c r="AA691" s="148" t="n"/>
      <c r="AB691" s="148" t="n"/>
      <c r="AC691" s="148" t="inlineStr">
        <is>
          <t>US DC Linen Curtains</t>
        </is>
      </c>
      <c r="AD691" s="148">
        <f>'US DC Linen Curtains'!BF100</f>
        <v/>
      </c>
      <c r="AE691" s="148">
        <f>'US DC Linen Curtains'!BI100</f>
        <v/>
      </c>
      <c r="AF691" s="148" t="inlineStr">
        <is>
          <t>52"W x 84"L (Pack of 2)</t>
        </is>
      </c>
      <c r="AG691" s="148" t="inlineStr">
        <is>
          <t>Linen</t>
        </is>
      </c>
      <c r="AH691" s="148">
        <f>AND(E691="CA",OR('CA Dashboard'!$C$4="All",'CA Dashboard'!$C$4=D691),OR('CA Dashboard'!$C$5="All",'CA Dashboard'!$C$5=G691),OR('CA Dashboard'!$C$6="All",'CA Dashboard'!$C$6=H691),OR('CA Dashboard'!$C$7="All",'CA Dashboard'!$C$7=F691),OR('CA Dashboard'!$C$8="All",'CA Dashboard'!$C$8=AJ691))</f>
        <v/>
      </c>
      <c r="AI691" s="148">
        <f>IF(AH691,AI690+1,AI690)</f>
        <v/>
      </c>
      <c r="AJ691" s="148" t="inlineStr">
        <is>
          <t>Not classified</t>
        </is>
      </c>
      <c r="AK691" s="148" t="inlineStr">
        <is>
          <t>Not a sheet, pillowcase or comforter product; competitors are compared on price and sales only.</t>
        </is>
      </c>
    </row>
    <row r="692">
      <c r="A692" s="148">
        <f>AND(E692="US",OR('US Dashboard'!$C$4="All",'US Dashboard'!$C$4=D692),OR('US Dashboard'!$C$5="All",'US Dashboard'!$C$5=G692),OR('US Dashboard'!$C$6="All",'US Dashboard'!$C$6=H692),OR('US Dashboard'!$C$7="All",'US Dashboard'!$C$7=F692),OR('US Dashboard'!$C$8="All",'US Dashboard'!$C$8=AJ692))</f>
        <v/>
      </c>
      <c r="B692" s="148">
        <f>IF(A692,B691+1,B691)</f>
        <v/>
      </c>
      <c r="C692" s="148" t="n">
        <v>53</v>
      </c>
      <c r="D692" s="148" t="inlineStr">
        <is>
          <t>DC Linen Curtains</t>
        </is>
      </c>
      <c r="E692" s="148" t="inlineStr">
        <is>
          <t>US</t>
        </is>
      </c>
      <c r="F692" s="148" t="inlineStr">
        <is>
          <t>Other</t>
        </is>
      </c>
      <c r="G692" s="148" t="inlineStr">
        <is>
          <t>Zyvola</t>
        </is>
      </c>
      <c r="H692" s="148" t="inlineStr">
        <is>
          <t>Poor</t>
        </is>
      </c>
      <c r="I692" s="148" t="inlineStr">
        <is>
          <t>Linen Curtains</t>
        </is>
      </c>
      <c r="J692" s="148" t="inlineStr">
        <is>
          <t>https://m.media-amazon.com/images/I/810EvTvac6L._AC_SL1500_.jpg</t>
        </is>
      </c>
      <c r="K692" s="148" t="inlineStr">
        <is>
          <t>B0F534LNF4</t>
        </is>
      </c>
      <c r="L692" s="148" t="inlineStr">
        <is>
          <t>B0F534LNF4</t>
        </is>
      </c>
      <c r="M692" s="148" t="n"/>
      <c r="N692" s="148" t="n">
        <v>42.99</v>
      </c>
      <c r="O692" s="148" t="n"/>
      <c r="P692" s="148">
        <f>IF(AND(ISNUMBER(O692),ISNUMBER(N692),N(N692)&gt;0),O692/N692-1,"")</f>
        <v/>
      </c>
      <c r="Q692" s="148" t="n">
        <v>29.82333333333333</v>
      </c>
      <c r="R692" s="148">
        <f>IF(AND(ISNUMBER(N692),ISNUMBER(Q692),N(Q692)&gt;0),N692/Q692-1,"")</f>
        <v/>
      </c>
      <c r="S692" s="148" t="n">
        <v>5171084</v>
      </c>
      <c r="T692" s="148" t="n">
        <v>5</v>
      </c>
      <c r="U692" s="148" t="n">
        <v>4.7</v>
      </c>
      <c r="V692" s="148" t="n">
        <v>4</v>
      </c>
      <c r="W692" s="148" t="n"/>
      <c r="X692" s="148" t="n"/>
      <c r="Y692" s="148" t="n"/>
      <c r="Z692" s="148" t="n"/>
      <c r="AA692" s="148" t="n"/>
      <c r="AB692" s="148" t="n"/>
      <c r="AC692" s="148" t="inlineStr">
        <is>
          <t>US DC Linen Curtains</t>
        </is>
      </c>
      <c r="AD692" s="148">
        <f>'US DC Linen Curtains'!BF101</f>
        <v/>
      </c>
      <c r="AE692" s="148">
        <f>'US DC Linen Curtains'!BI101</f>
        <v/>
      </c>
      <c r="AF692" s="148" t="inlineStr">
        <is>
          <t>52"W x 96"L (Pack of 2)</t>
        </is>
      </c>
      <c r="AG692" s="148" t="inlineStr">
        <is>
          <t>*Grommet | Light Grey</t>
        </is>
      </c>
      <c r="AH692" s="148">
        <f>AND(E692="CA",OR('CA Dashboard'!$C$4="All",'CA Dashboard'!$C$4=D692),OR('CA Dashboard'!$C$5="All",'CA Dashboard'!$C$5=G692),OR('CA Dashboard'!$C$6="All",'CA Dashboard'!$C$6=H692),OR('CA Dashboard'!$C$7="All",'CA Dashboard'!$C$7=F692),OR('CA Dashboard'!$C$8="All",'CA Dashboard'!$C$8=AJ692))</f>
        <v/>
      </c>
      <c r="AI692" s="148">
        <f>IF(AH692,AI691+1,AI691)</f>
        <v/>
      </c>
      <c r="AJ692" s="148" t="inlineStr">
        <is>
          <t>Not classified</t>
        </is>
      </c>
      <c r="AK692" s="148" t="inlineStr">
        <is>
          <t>Not a sheet, pillowcase or comforter product; competitors are compared on price and sales only.</t>
        </is>
      </c>
    </row>
    <row r="693">
      <c r="A693" s="148">
        <f>AND(E693="US",OR('US Dashboard'!$C$4="All",'US Dashboard'!$C$4=D693),OR('US Dashboard'!$C$5="All",'US Dashboard'!$C$5=G693),OR('US Dashboard'!$C$6="All",'US Dashboard'!$C$6=H693),OR('US Dashboard'!$C$7="All",'US Dashboard'!$C$7=F693),OR('US Dashboard'!$C$8="All",'US Dashboard'!$C$8=AJ693))</f>
        <v/>
      </c>
      <c r="B693" s="148">
        <f>IF(A693,B692+1,B692)</f>
        <v/>
      </c>
      <c r="C693" s="148" t="n">
        <v>49</v>
      </c>
      <c r="D693" s="148" t="inlineStr">
        <is>
          <t>DC Beach Towel</t>
        </is>
      </c>
      <c r="E693" s="148" t="inlineStr">
        <is>
          <t>US</t>
        </is>
      </c>
      <c r="F693" s="148" t="inlineStr">
        <is>
          <t>Other</t>
        </is>
      </c>
      <c r="G693" s="148" t="inlineStr">
        <is>
          <t>WETCAT</t>
        </is>
      </c>
      <c r="H693" s="148" t="inlineStr">
        <is>
          <t>Aspirational</t>
        </is>
      </c>
      <c r="I693" s="148" t="inlineStr">
        <is>
          <t>WETCAT Turkish Beach Towel Oversized (38"x71") 100% Turkish Cotton, Made in Turkey - Sand Free, Extra Large, Ultra Soft, Quick Drying, Compact &amp; Lightweight for Travel - Aqua</t>
        </is>
      </c>
      <c r="J693" s="148" t="inlineStr">
        <is>
          <t>https://images-na.ssl-images-amazon.com/images/I/811qaBHyr7L.jpg</t>
        </is>
      </c>
      <c r="K693" s="148" t="inlineStr">
        <is>
          <t>B0DCV7WBJM</t>
        </is>
      </c>
      <c r="L693" s="148" t="inlineStr">
        <is>
          <t>B07M67HRKS</t>
        </is>
      </c>
      <c r="M693" s="148" t="n">
        <v>38</v>
      </c>
      <c r="N693" s="148" t="n">
        <v>23.99</v>
      </c>
      <c r="O693" s="148" t="n"/>
      <c r="P693" s="148">
        <f>IF(AND(ISNUMBER(O693),ISNUMBER(N693),N(N693)&gt;0),O693/N693-1,"")</f>
        <v/>
      </c>
      <c r="Q693" s="148" t="n">
        <v>21.45</v>
      </c>
      <c r="R693" s="148">
        <f>IF(AND(ISNUMBER(N693),ISNUMBER(Q693),N(Q693)&gt;0),N693/Q693-1,"")</f>
        <v/>
      </c>
      <c r="S693" s="148" t="n">
        <v>17159</v>
      </c>
      <c r="T693" s="148" t="n">
        <v>81</v>
      </c>
      <c r="U693" s="148" t="n">
        <v>4.6</v>
      </c>
      <c r="V693" s="148" t="n">
        <v>13408</v>
      </c>
      <c r="W693" s="148" t="n"/>
      <c r="X693" s="148" t="n"/>
      <c r="Y693" s="148" t="n"/>
      <c r="Z693" s="148" t="n"/>
      <c r="AA693" s="148" t="n"/>
      <c r="AB693" s="148" t="n"/>
      <c r="AC693" s="148" t="inlineStr">
        <is>
          <t>US DC Beach Towel</t>
        </is>
      </c>
      <c r="AD693" s="148">
        <f>'US DC Beach Towel'!BF53</f>
        <v/>
      </c>
      <c r="AE693" s="148">
        <f>'US DC Beach Towel'!BI53</f>
        <v/>
      </c>
      <c r="AF693" s="148" t="inlineStr">
        <is>
          <t>Beach Towel (38" x 71")</t>
        </is>
      </c>
      <c r="AG693" s="148" t="inlineStr">
        <is>
          <t>Aqua</t>
        </is>
      </c>
      <c r="AH693" s="148">
        <f>AND(E693="CA",OR('CA Dashboard'!$C$4="All",'CA Dashboard'!$C$4=D693),OR('CA Dashboard'!$C$5="All",'CA Dashboard'!$C$5=G693),OR('CA Dashboard'!$C$6="All",'CA Dashboard'!$C$6=H693),OR('CA Dashboard'!$C$7="All",'CA Dashboard'!$C$7=F693),OR('CA Dashboard'!$C$8="All",'CA Dashboard'!$C$8=AJ693))</f>
        <v/>
      </c>
      <c r="AI693" s="148">
        <f>IF(AH693,AI692+1,AI692)</f>
        <v/>
      </c>
      <c r="AJ693" s="148" t="inlineStr">
        <is>
          <t>Not classified</t>
        </is>
      </c>
      <c r="AK693" s="148" t="inlineStr">
        <is>
          <t>Not a sheet, pillowcase or comforter product; competitors are compared on price and sales only.</t>
        </is>
      </c>
    </row>
    <row r="694">
      <c r="A694" s="148">
        <f>AND(E694="US",OR('US Dashboard'!$C$4="All",'US Dashboard'!$C$4=D694),OR('US Dashboard'!$C$5="All",'US Dashboard'!$C$5=G694),OR('US Dashboard'!$C$6="All",'US Dashboard'!$C$6=H694),OR('US Dashboard'!$C$7="All",'US Dashboard'!$C$7=F694),OR('US Dashboard'!$C$8="All",'US Dashboard'!$C$8=AJ694))</f>
        <v/>
      </c>
      <c r="B694" s="148">
        <f>IF(A694,B693+1,B693)</f>
        <v/>
      </c>
      <c r="C694" s="148" t="n">
        <v>49</v>
      </c>
      <c r="D694" s="148" t="inlineStr">
        <is>
          <t>DC Beach Towel</t>
        </is>
      </c>
      <c r="E694" s="148" t="inlineStr">
        <is>
          <t>US</t>
        </is>
      </c>
      <c r="F694" s="148" t="inlineStr">
        <is>
          <t>Other</t>
        </is>
      </c>
      <c r="G694" s="148" t="inlineStr">
        <is>
          <t>Mebien touche de la nature</t>
        </is>
      </c>
      <c r="H694" s="148" t="inlineStr">
        <is>
          <t>Aspirational</t>
        </is>
      </c>
      <c r="I694" s="148" t="inlineStr">
        <is>
          <t>Turkish Beach Towel</t>
        </is>
      </c>
      <c r="J694" s="148" t="inlineStr">
        <is>
          <t>https://m.media-amazon.com/images/I/91c-nYbKWjL._AC_SL1500_.jpg</t>
        </is>
      </c>
      <c r="K694" s="148" t="inlineStr">
        <is>
          <t>B07GFB5R1G</t>
        </is>
      </c>
      <c r="L694" s="148" t="inlineStr">
        <is>
          <t>B09WDMDJCH</t>
        </is>
      </c>
      <c r="M694" s="148" t="n"/>
      <c r="N694" s="148" t="n">
        <v>14.4</v>
      </c>
      <c r="O694" s="148" t="n">
        <v>19.99</v>
      </c>
      <c r="P694" s="148">
        <f>IF(AND(ISNUMBER(O694),ISNUMBER(N694),N(N694)&gt;0),O694/N694-1,"")</f>
        <v/>
      </c>
      <c r="Q694" s="148" t="n">
        <v>21.45</v>
      </c>
      <c r="R694" s="148">
        <f>IF(AND(ISNUMBER(N694),ISNUMBER(Q694),N(Q694)&gt;0),N694/Q694-1,"")</f>
        <v/>
      </c>
      <c r="S694" s="148" t="n">
        <v>356269</v>
      </c>
      <c r="T694" s="148" t="n">
        <v>5</v>
      </c>
      <c r="U694" s="148" t="n">
        <v>4.5</v>
      </c>
      <c r="V694" s="148" t="n">
        <v>2252</v>
      </c>
      <c r="W694" s="148" t="n"/>
      <c r="X694" s="148" t="n"/>
      <c r="Y694" s="148" t="n"/>
      <c r="Z694" s="148" t="n"/>
      <c r="AA694" s="148" t="n"/>
      <c r="AB694" s="148" t="n"/>
      <c r="AC694" s="148" t="inlineStr">
        <is>
          <t>US DC Beach Towel</t>
        </is>
      </c>
      <c r="AD694" s="148">
        <f>'US DC Beach Towel'!BF54</f>
        <v/>
      </c>
      <c r="AE694" s="148">
        <f>'US DC Beach Towel'!BI54</f>
        <v/>
      </c>
      <c r="AF694" s="148" t="inlineStr">
        <is>
          <t>Large</t>
        </is>
      </c>
      <c r="AG694" s="148" t="inlineStr">
        <is>
          <t>Teal</t>
        </is>
      </c>
      <c r="AH694" s="148">
        <f>AND(E694="CA",OR('CA Dashboard'!$C$4="All",'CA Dashboard'!$C$4=D694),OR('CA Dashboard'!$C$5="All",'CA Dashboard'!$C$5=G694),OR('CA Dashboard'!$C$6="All",'CA Dashboard'!$C$6=H694),OR('CA Dashboard'!$C$7="All",'CA Dashboard'!$C$7=F694),OR('CA Dashboard'!$C$8="All",'CA Dashboard'!$C$8=AJ694))</f>
        <v/>
      </c>
      <c r="AI694" s="148">
        <f>IF(AH694,AI693+1,AI693)</f>
        <v/>
      </c>
      <c r="AJ694" s="148" t="inlineStr">
        <is>
          <t>Not classified</t>
        </is>
      </c>
      <c r="AK694" s="148" t="inlineStr">
        <is>
          <t>Not a sheet, pillowcase or comforter product; competitors are compared on price and sales only.</t>
        </is>
      </c>
    </row>
    <row r="695">
      <c r="A695" s="148">
        <f>AND(E695="US",OR('US Dashboard'!$C$4="All",'US Dashboard'!$C$4=D695),OR('US Dashboard'!$C$5="All",'US Dashboard'!$C$5=G695),OR('US Dashboard'!$C$6="All",'US Dashboard'!$C$6=H695),OR('US Dashboard'!$C$7="All",'US Dashboard'!$C$7=F695),OR('US Dashboard'!$C$8="All",'US Dashboard'!$C$8=AJ695))</f>
        <v/>
      </c>
      <c r="B695" s="148">
        <f>IF(A695,B694+1,B694)</f>
        <v/>
      </c>
      <c r="C695" s="148" t="n">
        <v>49</v>
      </c>
      <c r="D695" s="148" t="inlineStr">
        <is>
          <t>DC Beach Towel</t>
        </is>
      </c>
      <c r="E695" s="148" t="inlineStr">
        <is>
          <t>US</t>
        </is>
      </c>
      <c r="F695" s="148" t="inlineStr">
        <is>
          <t>Other</t>
        </is>
      </c>
      <c r="G695" s="148" t="inlineStr">
        <is>
          <t>Nature Is Gift</t>
        </is>
      </c>
      <c r="H695" s="148" t="inlineStr">
        <is>
          <t>Aspirational</t>
        </is>
      </c>
      <c r="I695" s="148" t="inlineStr">
        <is>
          <t>Turkish Beach Towel</t>
        </is>
      </c>
      <c r="J695" s="148" t="inlineStr">
        <is>
          <t>https://m.media-amazon.com/images/I/915FA5nNiBL._AC_SL1500_.jpg</t>
        </is>
      </c>
      <c r="K695" s="148" t="inlineStr">
        <is>
          <t>B00JQFVKUO</t>
        </is>
      </c>
      <c r="L695" s="148" t="inlineStr">
        <is>
          <t>B017NZZG12</t>
        </is>
      </c>
      <c r="M695" s="148" t="n"/>
      <c r="N695" s="148" t="n">
        <v>13.99</v>
      </c>
      <c r="O695" s="148" t="n">
        <v>17.99</v>
      </c>
      <c r="P695" s="148">
        <f>IF(AND(ISNUMBER(O695),ISNUMBER(N695),N(N695)&gt;0),O695/N695-1,"")</f>
        <v/>
      </c>
      <c r="Q695" s="148" t="n">
        <v>21.45</v>
      </c>
      <c r="R695" s="148">
        <f>IF(AND(ISNUMBER(N695),ISNUMBER(Q695),N(Q695)&gt;0),N695/Q695-1,"")</f>
        <v/>
      </c>
      <c r="S695" s="148" t="n">
        <v>408785</v>
      </c>
      <c r="T695" s="148" t="n">
        <v>5</v>
      </c>
      <c r="U695" s="148" t="n">
        <v>4.6</v>
      </c>
      <c r="V695" s="148" t="n">
        <v>1901</v>
      </c>
      <c r="W695" s="148" t="n"/>
      <c r="X695" s="148" t="n"/>
      <c r="Y695" s="148" t="n"/>
      <c r="Z695" s="148" t="n"/>
      <c r="AA695" s="148" t="n"/>
      <c r="AB695" s="148" t="n"/>
      <c r="AC695" s="148" t="inlineStr">
        <is>
          <t>US DC Beach Towel</t>
        </is>
      </c>
      <c r="AD695" s="148">
        <f>'US DC Beach Towel'!BF55</f>
        <v/>
      </c>
      <c r="AE695" s="148">
        <f>'US DC Beach Towel'!BI55</f>
        <v/>
      </c>
      <c r="AF695" s="148" t="inlineStr">
        <is>
          <t>X-Large</t>
        </is>
      </c>
      <c r="AG695" s="148" t="inlineStr">
        <is>
          <t>Coral</t>
        </is>
      </c>
      <c r="AH695" s="148">
        <f>AND(E695="CA",OR('CA Dashboard'!$C$4="All",'CA Dashboard'!$C$4=D695),OR('CA Dashboard'!$C$5="All",'CA Dashboard'!$C$5=G695),OR('CA Dashboard'!$C$6="All",'CA Dashboard'!$C$6=H695),OR('CA Dashboard'!$C$7="All",'CA Dashboard'!$C$7=F695),OR('CA Dashboard'!$C$8="All",'CA Dashboard'!$C$8=AJ695))</f>
        <v/>
      </c>
      <c r="AI695" s="148">
        <f>IF(AH695,AI694+1,AI694)</f>
        <v/>
      </c>
      <c r="AJ695" s="148" t="inlineStr">
        <is>
          <t>Not classified</t>
        </is>
      </c>
      <c r="AK695" s="148" t="inlineStr">
        <is>
          <t>Not a sheet, pillowcase or comforter product; competitors are compared on price and sales only.</t>
        </is>
      </c>
    </row>
    <row r="696">
      <c r="A696" s="148">
        <f>AND(E696="US",OR('US Dashboard'!$C$4="All",'US Dashboard'!$C$4=D696),OR('US Dashboard'!$C$5="All",'US Dashboard'!$C$5=G696),OR('US Dashboard'!$C$6="All",'US Dashboard'!$C$6=H696),OR('US Dashboard'!$C$7="All",'US Dashboard'!$C$7=F696),OR('US Dashboard'!$C$8="All",'US Dashboard'!$C$8=AJ696))</f>
        <v/>
      </c>
      <c r="B696" s="148">
        <f>IF(A696,B695+1,B695)</f>
        <v/>
      </c>
      <c r="C696" s="148" t="n">
        <v>49</v>
      </c>
      <c r="D696" s="148" t="inlineStr">
        <is>
          <t>DC Beach Towel</t>
        </is>
      </c>
      <c r="E696" s="148" t="inlineStr">
        <is>
          <t>US</t>
        </is>
      </c>
      <c r="F696" s="148" t="inlineStr">
        <is>
          <t>Other</t>
        </is>
      </c>
      <c r="G696" s="148" t="inlineStr">
        <is>
          <t>SMYRNA TURKISH COTTON</t>
        </is>
      </c>
      <c r="H696" s="148" t="inlineStr">
        <is>
          <t>Aspirational</t>
        </is>
      </c>
      <c r="I696" s="148" t="inlineStr">
        <is>
          <t>SMYRNA TURKISH COTTON Classical Series Original Turkish Beach Towel | Prewashed, 37 x 71 Inches | Peshtemal and Turkish Bath Towel for SPA, Beach, Pool, Gym and Bathroom</t>
        </is>
      </c>
      <c r="J696" s="148" t="inlineStr">
        <is>
          <t>https://images-na.ssl-images-amazon.com/images/I/61cjIHCSQJL.jpg</t>
        </is>
      </c>
      <c r="K696" s="148" t="inlineStr">
        <is>
          <t>B0D8ZW2F3C</t>
        </is>
      </c>
      <c r="L696" s="148" t="inlineStr">
        <is>
          <t>B0DQKM17ZF</t>
        </is>
      </c>
      <c r="M696" s="148" t="n">
        <v>7</v>
      </c>
      <c r="N696" s="148" t="n">
        <v>7.99</v>
      </c>
      <c r="O696" s="148" t="n"/>
      <c r="P696" s="148">
        <f>IF(AND(ISNUMBER(O696),ISNUMBER(N696),N(N696)&gt;0),O696/N696-1,"")</f>
        <v/>
      </c>
      <c r="Q696" s="148" t="n">
        <v>21.45</v>
      </c>
      <c r="R696" s="148">
        <f>IF(AND(ISNUMBER(N696),ISNUMBER(Q696),N(Q696)&gt;0),N696/Q696-1,"")</f>
        <v/>
      </c>
      <c r="S696" s="148" t="n">
        <v>1066252</v>
      </c>
      <c r="T696" s="148" t="n">
        <v>5</v>
      </c>
      <c r="U696" s="148" t="n">
        <v>4.5</v>
      </c>
      <c r="V696" s="148" t="n">
        <v>4592</v>
      </c>
      <c r="W696" s="148" t="n"/>
      <c r="X696" s="148" t="n"/>
      <c r="Y696" s="148" t="n"/>
      <c r="Z696" s="148" t="n"/>
      <c r="AA696" s="148" t="n"/>
      <c r="AB696" s="148" t="n"/>
      <c r="AC696" s="148" t="inlineStr">
        <is>
          <t>US DC Beach Towel</t>
        </is>
      </c>
      <c r="AD696" s="148">
        <f>'US DC Beach Towel'!BF56</f>
        <v/>
      </c>
      <c r="AE696" s="148">
        <f>'US DC Beach Towel'!BI56</f>
        <v/>
      </c>
      <c r="AF696" s="148" t="inlineStr">
        <is>
          <t>One Pack</t>
        </is>
      </c>
      <c r="AG696" s="148" t="inlineStr">
        <is>
          <t>Pistachio Green</t>
        </is>
      </c>
      <c r="AH696" s="148">
        <f>AND(E696="CA",OR('CA Dashboard'!$C$4="All",'CA Dashboard'!$C$4=D696),OR('CA Dashboard'!$C$5="All",'CA Dashboard'!$C$5=G696),OR('CA Dashboard'!$C$6="All",'CA Dashboard'!$C$6=H696),OR('CA Dashboard'!$C$7="All",'CA Dashboard'!$C$7=F696),OR('CA Dashboard'!$C$8="All",'CA Dashboard'!$C$8=AJ696))</f>
        <v/>
      </c>
      <c r="AI696" s="148">
        <f>IF(AH696,AI695+1,AI695)</f>
        <v/>
      </c>
      <c r="AJ696" s="148" t="inlineStr">
        <is>
          <t>Not classified</t>
        </is>
      </c>
      <c r="AK696" s="148" t="inlineStr">
        <is>
          <t>Not a sheet, pillowcase or comforter product; competitors are compared on price and sales only.</t>
        </is>
      </c>
    </row>
    <row r="697">
      <c r="A697" s="148">
        <f>AND(E697="US",OR('US Dashboard'!$C$4="All",'US Dashboard'!$C$4=D697),OR('US Dashboard'!$C$5="All",'US Dashboard'!$C$5=G697),OR('US Dashboard'!$C$6="All",'US Dashboard'!$C$6=H697),OR('US Dashboard'!$C$7="All",'US Dashboard'!$C$7=F697),OR('US Dashboard'!$C$8="All",'US Dashboard'!$C$8=AJ697))</f>
        <v/>
      </c>
      <c r="B697" s="148">
        <f>IF(A697,B696+1,B696)</f>
        <v/>
      </c>
      <c r="C697" s="148" t="n">
        <v>49</v>
      </c>
      <c r="D697" s="148" t="inlineStr">
        <is>
          <t>DC Beach Towel</t>
        </is>
      </c>
      <c r="E697" s="148" t="inlineStr">
        <is>
          <t>US</t>
        </is>
      </c>
      <c r="F697" s="148" t="inlineStr">
        <is>
          <t>Other</t>
        </is>
      </c>
      <c r="G697" s="148" t="inlineStr">
        <is>
          <t>Cape Comforts</t>
        </is>
      </c>
      <c r="H697" s="148" t="inlineStr">
        <is>
          <t>Beatable</t>
        </is>
      </c>
      <c r="I697" s="148" t="inlineStr">
        <is>
          <t>Turkish Beach Towel</t>
        </is>
      </c>
      <c r="J697" s="148" t="inlineStr">
        <is>
          <t>https://m.media-amazon.com/images/I/91RYZ1NDQ+L._AC_SL1500_.jpg</t>
        </is>
      </c>
      <c r="K697" s="148" t="inlineStr">
        <is>
          <t>B0DGJ9RS81</t>
        </is>
      </c>
      <c r="L697" s="148" t="inlineStr">
        <is>
          <t>B0CNV2LF3N</t>
        </is>
      </c>
      <c r="M697" s="148" t="n"/>
      <c r="N697" s="148" t="n">
        <v>19.99</v>
      </c>
      <c r="O697" s="148" t="n"/>
      <c r="P697" s="148">
        <f>IF(AND(ISNUMBER(O697),ISNUMBER(N697),N(N697)&gt;0),O697/N697-1,"")</f>
        <v/>
      </c>
      <c r="Q697" s="148" t="n">
        <v>21.45</v>
      </c>
      <c r="R697" s="148">
        <f>IF(AND(ISNUMBER(N697),ISNUMBER(Q697),N(Q697)&gt;0),N697/Q697-1,"")</f>
        <v/>
      </c>
      <c r="S697" s="148" t="n">
        <v>258092</v>
      </c>
      <c r="T697" s="148" t="n">
        <v>5</v>
      </c>
      <c r="U697" s="148" t="n">
        <v>4.5</v>
      </c>
      <c r="V697" s="148" t="n">
        <v>444</v>
      </c>
      <c r="W697" s="148" t="n"/>
      <c r="X697" s="148" t="n"/>
      <c r="Y697" s="148" t="n"/>
      <c r="Z697" s="148" t="n"/>
      <c r="AA697" s="148" t="n"/>
      <c r="AB697" s="148" t="n"/>
      <c r="AC697" s="148" t="inlineStr">
        <is>
          <t>US DC Beach Towel</t>
        </is>
      </c>
      <c r="AD697" s="148">
        <f>'US DC Beach Towel'!BF57</f>
        <v/>
      </c>
      <c r="AE697" s="148">
        <f>'US DC Beach Towel'!BI57</f>
        <v/>
      </c>
      <c r="AF697" s="148" t="inlineStr">
        <is>
          <t>1 Pack</t>
        </is>
      </c>
      <c r="AG697" s="148" t="inlineStr">
        <is>
          <t>Diamond - Aqua</t>
        </is>
      </c>
      <c r="AH697" s="148">
        <f>AND(E697="CA",OR('CA Dashboard'!$C$4="All",'CA Dashboard'!$C$4=D697),OR('CA Dashboard'!$C$5="All",'CA Dashboard'!$C$5=G697),OR('CA Dashboard'!$C$6="All",'CA Dashboard'!$C$6=H697),OR('CA Dashboard'!$C$7="All",'CA Dashboard'!$C$7=F697),OR('CA Dashboard'!$C$8="All",'CA Dashboard'!$C$8=AJ697))</f>
        <v/>
      </c>
      <c r="AI697" s="148">
        <f>IF(AH697,AI696+1,AI696)</f>
        <v/>
      </c>
      <c r="AJ697" s="148" t="inlineStr">
        <is>
          <t>Not classified</t>
        </is>
      </c>
      <c r="AK697" s="148" t="inlineStr">
        <is>
          <t>Not a sheet, pillowcase or comforter product; competitors are compared on price and sales only.</t>
        </is>
      </c>
    </row>
    <row r="698">
      <c r="A698" s="148">
        <f>AND(E698="US",OR('US Dashboard'!$C$4="All",'US Dashboard'!$C$4=D698),OR('US Dashboard'!$C$5="All",'US Dashboard'!$C$5=G698),OR('US Dashboard'!$C$6="All",'US Dashboard'!$C$6=H698),OR('US Dashboard'!$C$7="All",'US Dashboard'!$C$7=F698),OR('US Dashboard'!$C$8="All",'US Dashboard'!$C$8=AJ698))</f>
        <v/>
      </c>
      <c r="B698" s="148">
        <f>IF(A698,B697+1,B697)</f>
        <v/>
      </c>
      <c r="C698" s="148" t="n">
        <v>49</v>
      </c>
      <c r="D698" s="148" t="inlineStr">
        <is>
          <t>DC Beach Towel</t>
        </is>
      </c>
      <c r="E698" s="148" t="inlineStr">
        <is>
          <t>US</t>
        </is>
      </c>
      <c r="F698" s="148" t="inlineStr">
        <is>
          <t>Other</t>
        </is>
      </c>
      <c r="G698" s="148" t="inlineStr">
        <is>
          <t>Casamollis</t>
        </is>
      </c>
      <c r="H698" s="148" t="inlineStr">
        <is>
          <t>Beatable</t>
        </is>
      </c>
      <c r="I698" s="148" t="inlineStr">
        <is>
          <t>Casamollis Turkish Beach Towel, Prewashed, 100% Cotton, Soft, Absorbent, Quick Dry, Sand Free Large Oversize Beach Towels for Bathroom Camping Yoga Gym Pool Travel Size 39x71 Inches (Blue)</t>
        </is>
      </c>
      <c r="J698" s="148" t="inlineStr">
        <is>
          <t>https://images-na.ssl-images-amazon.com/images/I/71YgUbWvq4L.jpg</t>
        </is>
      </c>
      <c r="K698" s="148" t="inlineStr">
        <is>
          <t>B0C37T2QLC</t>
        </is>
      </c>
      <c r="L698" s="148" t="inlineStr">
        <is>
          <t>B0BT9RNGDQ</t>
        </is>
      </c>
      <c r="M698" s="148" t="n">
        <v>1</v>
      </c>
      <c r="N698" s="148" t="n">
        <v>14.99</v>
      </c>
      <c r="O698" s="148" t="n"/>
      <c r="P698" s="148">
        <f>IF(AND(ISNUMBER(O698),ISNUMBER(N698),N(N698)&gt;0),O698/N698-1,"")</f>
        <v/>
      </c>
      <c r="Q698" s="148" t="n">
        <v>21.45</v>
      </c>
      <c r="R698" s="148">
        <f>IF(AND(ISNUMBER(N698),ISNUMBER(Q698),N(Q698)&gt;0),N698/Q698-1,"")</f>
        <v/>
      </c>
      <c r="S698" s="148" t="n">
        <v>1836471</v>
      </c>
      <c r="T698" s="148" t="n">
        <v>5</v>
      </c>
      <c r="U698" s="148" t="n">
        <v>4.4</v>
      </c>
      <c r="V698" s="148" t="n">
        <v>120</v>
      </c>
      <c r="W698" s="148" t="n"/>
      <c r="X698" s="148" t="n"/>
      <c r="Y698" s="148" t="n"/>
      <c r="Z698" s="148" t="n"/>
      <c r="AA698" s="148" t="n"/>
      <c r="AB698" s="148" t="n"/>
      <c r="AC698" s="148" t="inlineStr">
        <is>
          <t>US DC Beach Towel</t>
        </is>
      </c>
      <c r="AD698" s="148">
        <f>'US DC Beach Towel'!BF58</f>
        <v/>
      </c>
      <c r="AE698" s="148">
        <f>'US DC Beach Towel'!BI58</f>
        <v/>
      </c>
      <c r="AF698" s="148" t="inlineStr">
        <is>
          <t>Large</t>
        </is>
      </c>
      <c r="AG698" s="148" t="inlineStr">
        <is>
          <t>Blue</t>
        </is>
      </c>
      <c r="AH698" s="148">
        <f>AND(E698="CA",OR('CA Dashboard'!$C$4="All",'CA Dashboard'!$C$4=D698),OR('CA Dashboard'!$C$5="All",'CA Dashboard'!$C$5=G698),OR('CA Dashboard'!$C$6="All",'CA Dashboard'!$C$6=H698),OR('CA Dashboard'!$C$7="All",'CA Dashboard'!$C$7=F698),OR('CA Dashboard'!$C$8="All",'CA Dashboard'!$C$8=AJ698))</f>
        <v/>
      </c>
      <c r="AI698" s="148">
        <f>IF(AH698,AI697+1,AI697)</f>
        <v/>
      </c>
      <c r="AJ698" s="148" t="inlineStr">
        <is>
          <t>Not classified</t>
        </is>
      </c>
      <c r="AK698" s="148" t="inlineStr">
        <is>
          <t>Not a sheet, pillowcase or comforter product; competitors are compared on price and sales only.</t>
        </is>
      </c>
    </row>
    <row r="699">
      <c r="A699" s="148">
        <f>AND(E699="US",OR('US Dashboard'!$C$4="All",'US Dashboard'!$C$4=D699),OR('US Dashboard'!$C$5="All",'US Dashboard'!$C$5=G699),OR('US Dashboard'!$C$6="All",'US Dashboard'!$C$6=H699),OR('US Dashboard'!$C$7="All",'US Dashboard'!$C$7=F699),OR('US Dashboard'!$C$8="All",'US Dashboard'!$C$8=AJ699))</f>
        <v/>
      </c>
      <c r="B699" s="148">
        <f>IF(A699,B698+1,B698)</f>
        <v/>
      </c>
      <c r="C699" s="148" t="n">
        <v>49</v>
      </c>
      <c r="D699" s="148" t="inlineStr">
        <is>
          <t>DC Beach Towel</t>
        </is>
      </c>
      <c r="E699" s="148" t="inlineStr">
        <is>
          <t>US</t>
        </is>
      </c>
      <c r="F699" s="148" t="inlineStr">
        <is>
          <t>Other</t>
        </is>
      </c>
      <c r="G699" s="148" t="inlineStr">
        <is>
          <t>FESHKA</t>
        </is>
      </c>
      <c r="H699" s="148" t="inlineStr">
        <is>
          <t>Beatable</t>
        </is>
      </c>
      <c r="I699" s="148" t="inlineStr">
        <is>
          <t>FESHKA Sand Proof Turkish Beach Towel – Oversized, Quick Dry &amp; Lightweight Travel Towel - 100% Organic Cotton Beach Blanket - Perfect for Bath, Pool &amp; Picnic | Damask (Rust/Beige)</t>
        </is>
      </c>
      <c r="J699" s="148" t="inlineStr">
        <is>
          <t>https://images-na.ssl-images-amazon.com/images/I/91uCRX1VnEL.jpg</t>
        </is>
      </c>
      <c r="K699" s="148" t="inlineStr">
        <is>
          <t>B0CCFV2DPC</t>
        </is>
      </c>
      <c r="L699" s="148" t="inlineStr">
        <is>
          <t>B0B2KVR9RB</t>
        </is>
      </c>
      <c r="M699" s="148" t="n">
        <v>34</v>
      </c>
      <c r="N699" s="148" t="n">
        <v>14.99</v>
      </c>
      <c r="O699" s="148" t="n"/>
      <c r="P699" s="148">
        <f>IF(AND(ISNUMBER(O699),ISNUMBER(N699),N(N699)&gt;0),O699/N699-1,"")</f>
        <v/>
      </c>
      <c r="Q699" s="148" t="n">
        <v>21.45</v>
      </c>
      <c r="R699" s="148">
        <f>IF(AND(ISNUMBER(N699),ISNUMBER(Q699),N(Q699)&gt;0),N699/Q699-1,"")</f>
        <v/>
      </c>
      <c r="S699" s="148" t="n">
        <v>843146</v>
      </c>
      <c r="T699" s="148" t="n">
        <v>5</v>
      </c>
      <c r="U699" s="148" t="n">
        <v>4.4</v>
      </c>
      <c r="V699" s="148" t="n">
        <v>500</v>
      </c>
      <c r="W699" s="148" t="n"/>
      <c r="X699" s="148" t="n"/>
      <c r="Y699" s="148" t="n"/>
      <c r="Z699" s="148" t="n"/>
      <c r="AA699" s="148" t="n"/>
      <c r="AB699" s="148" t="n"/>
      <c r="AC699" s="148" t="inlineStr">
        <is>
          <t>US DC Beach Towel</t>
        </is>
      </c>
      <c r="AD699" s="148">
        <f>'US DC Beach Towel'!BF59</f>
        <v/>
      </c>
      <c r="AE699" s="148">
        <f>'US DC Beach Towel'!BI59</f>
        <v/>
      </c>
      <c r="AF699" s="148" t="inlineStr">
        <is>
          <t>Large</t>
        </is>
      </c>
      <c r="AG699" s="148" t="inlineStr">
        <is>
          <t>14 - Rust/Beige</t>
        </is>
      </c>
      <c r="AH699" s="148">
        <f>AND(E699="CA",OR('CA Dashboard'!$C$4="All",'CA Dashboard'!$C$4=D699),OR('CA Dashboard'!$C$5="All",'CA Dashboard'!$C$5=G699),OR('CA Dashboard'!$C$6="All",'CA Dashboard'!$C$6=H699),OR('CA Dashboard'!$C$7="All",'CA Dashboard'!$C$7=F699),OR('CA Dashboard'!$C$8="All",'CA Dashboard'!$C$8=AJ699))</f>
        <v/>
      </c>
      <c r="AI699" s="148">
        <f>IF(AH699,AI698+1,AI698)</f>
        <v/>
      </c>
      <c r="AJ699" s="148" t="inlineStr">
        <is>
          <t>Not classified</t>
        </is>
      </c>
      <c r="AK699" s="148" t="inlineStr">
        <is>
          <t>Not a sheet, pillowcase or comforter product; competitors are compared on price and sales only.</t>
        </is>
      </c>
    </row>
    <row r="700">
      <c r="A700" s="148">
        <f>AND(E700="US",OR('US Dashboard'!$C$4="All",'US Dashboard'!$C$4=D700),OR('US Dashboard'!$C$5="All",'US Dashboard'!$C$5=G700),OR('US Dashboard'!$C$6="All",'US Dashboard'!$C$6=H700),OR('US Dashboard'!$C$7="All",'US Dashboard'!$C$7=F700),OR('US Dashboard'!$C$8="All",'US Dashboard'!$C$8=AJ700))</f>
        <v/>
      </c>
      <c r="B700" s="148">
        <f>IF(A700,B699+1,B699)</f>
        <v/>
      </c>
      <c r="C700" s="148" t="n">
        <v>49</v>
      </c>
      <c r="D700" s="148" t="inlineStr">
        <is>
          <t>DC Beach Towel</t>
        </is>
      </c>
      <c r="E700" s="148" t="inlineStr">
        <is>
          <t>US</t>
        </is>
      </c>
      <c r="F700" s="148" t="inlineStr">
        <is>
          <t>Other</t>
        </is>
      </c>
      <c r="G700" s="148" t="inlineStr">
        <is>
          <t>Goroly Home</t>
        </is>
      </c>
      <c r="H700" s="148" t="inlineStr">
        <is>
          <t>Beatable</t>
        </is>
      </c>
      <c r="I700" s="148" t="inlineStr">
        <is>
          <t>Goroly Home Cotton Turkish Peshtemal Beach Towel, Extra Large, Thin Quick Dry Sand Free Pool &amp; Swim Towel, Bathing Blanket, Travel Essentials, (Pista Green, 36x71 Inches)</t>
        </is>
      </c>
      <c r="J700" s="148" t="inlineStr">
        <is>
          <t>https://images-na.ssl-images-amazon.com/images/I/91Lbax4bMGL.jpg</t>
        </is>
      </c>
      <c r="K700" s="148" t="inlineStr">
        <is>
          <t>B0CX5JQN29</t>
        </is>
      </c>
      <c r="L700" s="148" t="inlineStr">
        <is>
          <t>B08WS5MYK8</t>
        </is>
      </c>
      <c r="M700" s="148" t="n">
        <v>17</v>
      </c>
      <c r="N700" s="148" t="n">
        <v>29.99</v>
      </c>
      <c r="O700" s="148" t="n"/>
      <c r="P700" s="148">
        <f>IF(AND(ISNUMBER(O700),ISNUMBER(N700),N(N700)&gt;0),O700/N700-1,"")</f>
        <v/>
      </c>
      <c r="Q700" s="148" t="n">
        <v>21.45</v>
      </c>
      <c r="R700" s="148">
        <f>IF(AND(ISNUMBER(N700),ISNUMBER(Q700),N(Q700)&gt;0),N700/Q700-1,"")</f>
        <v/>
      </c>
      <c r="S700" s="148" t="n">
        <v>2046442</v>
      </c>
      <c r="T700" s="148" t="n">
        <v>5</v>
      </c>
      <c r="U700" s="148" t="n">
        <v>4.4</v>
      </c>
      <c r="V700" s="148" t="n">
        <v>206</v>
      </c>
      <c r="W700" s="148" t="n"/>
      <c r="X700" s="148" t="n"/>
      <c r="Y700" s="148" t="n"/>
      <c r="Z700" s="148" t="n"/>
      <c r="AA700" s="148" t="n"/>
      <c r="AB700" s="148" t="n"/>
      <c r="AC700" s="148" t="inlineStr">
        <is>
          <t>US DC Beach Towel</t>
        </is>
      </c>
      <c r="AD700" s="148">
        <f>'US DC Beach Towel'!BF60</f>
        <v/>
      </c>
      <c r="AE700" s="148">
        <f>'US DC Beach Towel'!BI60</f>
        <v/>
      </c>
      <c r="AF700" s="148" t="inlineStr">
        <is>
          <t>36x71</t>
        </is>
      </c>
      <c r="AG700" s="148" t="inlineStr">
        <is>
          <t>Pista Green</t>
        </is>
      </c>
      <c r="AH700" s="148">
        <f>AND(E700="CA",OR('CA Dashboard'!$C$4="All",'CA Dashboard'!$C$4=D700),OR('CA Dashboard'!$C$5="All",'CA Dashboard'!$C$5=G700),OR('CA Dashboard'!$C$6="All",'CA Dashboard'!$C$6=H700),OR('CA Dashboard'!$C$7="All",'CA Dashboard'!$C$7=F700),OR('CA Dashboard'!$C$8="All",'CA Dashboard'!$C$8=AJ700))</f>
        <v/>
      </c>
      <c r="AI700" s="148">
        <f>IF(AH700,AI699+1,AI699)</f>
        <v/>
      </c>
      <c r="AJ700" s="148" t="inlineStr">
        <is>
          <t>Not classified</t>
        </is>
      </c>
      <c r="AK700" s="148" t="inlineStr">
        <is>
          <t>Not a sheet, pillowcase or comforter product; competitors are compared on price and sales only.</t>
        </is>
      </c>
    </row>
    <row r="701">
      <c r="A701" s="148">
        <f>AND(E701="US",OR('US Dashboard'!$C$4="All",'US Dashboard'!$C$4=D701),OR('US Dashboard'!$C$5="All",'US Dashboard'!$C$5=G701),OR('US Dashboard'!$C$6="All",'US Dashboard'!$C$6=H701),OR('US Dashboard'!$C$7="All",'US Dashboard'!$C$7=F701),OR('US Dashboard'!$C$8="All",'US Dashboard'!$C$8=AJ701))</f>
        <v/>
      </c>
      <c r="B701" s="148">
        <f>IF(A701,B700+1,B700)</f>
        <v/>
      </c>
      <c r="C701" s="148" t="n">
        <v>49</v>
      </c>
      <c r="D701" s="148" t="inlineStr">
        <is>
          <t>DC Beach Towel</t>
        </is>
      </c>
      <c r="E701" s="148" t="inlineStr">
        <is>
          <t>US</t>
        </is>
      </c>
      <c r="F701" s="148" t="inlineStr">
        <is>
          <t>Other</t>
        </is>
      </c>
      <c r="G701" s="148" t="inlineStr">
        <is>
          <t>Organic Cotton Mart</t>
        </is>
      </c>
      <c r="H701" s="148" t="inlineStr">
        <is>
          <t>Beatable</t>
        </is>
      </c>
      <c r="I701" s="148" t="inlineStr">
        <is>
          <t>Turkish Beach Towel</t>
        </is>
      </c>
      <c r="J701" s="148" t="inlineStr">
        <is>
          <t>https://m.media-amazon.com/images/I/61cGevgkYRL._AC_SL1500_.jpg</t>
        </is>
      </c>
      <c r="K701" s="148" t="inlineStr">
        <is>
          <t>B095ZRFXH5</t>
        </is>
      </c>
      <c r="L701" s="148" t="inlineStr">
        <is>
          <t>B0961CH4WH</t>
        </is>
      </c>
      <c r="M701" s="148" t="n"/>
      <c r="N701" s="148" t="n">
        <v>19.99</v>
      </c>
      <c r="O701" s="148" t="n"/>
      <c r="P701" s="148">
        <f>IF(AND(ISNUMBER(O701),ISNUMBER(N701),N(N701)&gt;0),O701/N701-1,"")</f>
        <v/>
      </c>
      <c r="Q701" s="148" t="n">
        <v>21.45</v>
      </c>
      <c r="R701" s="148">
        <f>IF(AND(ISNUMBER(N701),ISNUMBER(Q701),N(Q701)&gt;0),N701/Q701-1,"")</f>
        <v/>
      </c>
      <c r="S701" s="148" t="n">
        <v>1082549</v>
      </c>
      <c r="T701" s="148" t="n">
        <v>5</v>
      </c>
      <c r="U701" s="148" t="n">
        <v>4.4</v>
      </c>
      <c r="V701" s="148" t="n">
        <v>72</v>
      </c>
      <c r="W701" s="148" t="n"/>
      <c r="X701" s="148" t="n"/>
      <c r="Y701" s="148" t="n"/>
      <c r="Z701" s="148" t="n"/>
      <c r="AA701" s="148" t="n"/>
      <c r="AB701" s="148" t="n"/>
      <c r="AC701" s="148" t="inlineStr">
        <is>
          <t>US DC Beach Towel</t>
        </is>
      </c>
      <c r="AD701" s="148">
        <f>'US DC Beach Towel'!BF61</f>
        <v/>
      </c>
      <c r="AE701" s="148">
        <f>'US DC Beach Towel'!BI61</f>
        <v/>
      </c>
      <c r="AF701" s="148" t="inlineStr">
        <is>
          <t>71"x37"</t>
        </is>
      </c>
      <c r="AG701" s="148" t="inlineStr">
        <is>
          <t>Teal</t>
        </is>
      </c>
      <c r="AH701" s="148">
        <f>AND(E701="CA",OR('CA Dashboard'!$C$4="All",'CA Dashboard'!$C$4=D701),OR('CA Dashboard'!$C$5="All",'CA Dashboard'!$C$5=G701),OR('CA Dashboard'!$C$6="All",'CA Dashboard'!$C$6=H701),OR('CA Dashboard'!$C$7="All",'CA Dashboard'!$C$7=F701),OR('CA Dashboard'!$C$8="All",'CA Dashboard'!$C$8=AJ701))</f>
        <v/>
      </c>
      <c r="AI701" s="148">
        <f>IF(AH701,AI700+1,AI700)</f>
        <v/>
      </c>
      <c r="AJ701" s="148" t="inlineStr">
        <is>
          <t>Not classified</t>
        </is>
      </c>
      <c r="AK701" s="148" t="inlineStr">
        <is>
          <t>Not a sheet, pillowcase or comforter product; competitors are compared on price and sales only.</t>
        </is>
      </c>
    </row>
    <row r="702">
      <c r="A702" s="148">
        <f>AND(E702="US",OR('US Dashboard'!$C$4="All",'US Dashboard'!$C$4=D702),OR('US Dashboard'!$C$5="All",'US Dashboard'!$C$5=G702),OR('US Dashboard'!$C$6="All",'US Dashboard'!$C$6=H702),OR('US Dashboard'!$C$7="All",'US Dashboard'!$C$7=F702),OR('US Dashboard'!$C$8="All",'US Dashboard'!$C$8=AJ702))</f>
        <v/>
      </c>
      <c r="B702" s="148">
        <f>IF(A702,B701+1,B701)</f>
        <v/>
      </c>
      <c r="C702" s="148" t="n">
        <v>49</v>
      </c>
      <c r="D702" s="148" t="inlineStr">
        <is>
          <t>DC Beach Towel</t>
        </is>
      </c>
      <c r="E702" s="148" t="inlineStr">
        <is>
          <t>US</t>
        </is>
      </c>
      <c r="F702" s="148" t="inlineStr">
        <is>
          <t>Other</t>
        </is>
      </c>
      <c r="G702" s="148" t="inlineStr">
        <is>
          <t>PARK&amp;OZ</t>
        </is>
      </c>
      <c r="H702" s="148" t="inlineStr">
        <is>
          <t>Beatable</t>
        </is>
      </c>
      <c r="I702" s="148" t="inlineStr">
        <is>
          <t>Turkish Beach Towel</t>
        </is>
      </c>
      <c r="J702" s="148" t="inlineStr">
        <is>
          <t>https://m.media-amazon.com/images/I/91QgW1yZ13L._AC_SL1500_.jpg</t>
        </is>
      </c>
      <c r="K702" s="148" t="inlineStr">
        <is>
          <t>B0DTSTCQF8</t>
        </is>
      </c>
      <c r="L702" s="148" t="inlineStr">
        <is>
          <t>B0BN99CBK2</t>
        </is>
      </c>
      <c r="M702" s="148" t="n"/>
      <c r="N702" s="148" t="n">
        <v>14.99</v>
      </c>
      <c r="O702" s="148" t="n"/>
      <c r="P702" s="148">
        <f>IF(AND(ISNUMBER(O702),ISNUMBER(N702),N(N702)&gt;0),O702/N702-1,"")</f>
        <v/>
      </c>
      <c r="Q702" s="148" t="n">
        <v>21.45</v>
      </c>
      <c r="R702" s="148">
        <f>IF(AND(ISNUMBER(N702),ISNUMBER(Q702),N(Q702)&gt;0),N702/Q702-1,"")</f>
        <v/>
      </c>
      <c r="S702" s="148" t="n">
        <v>491392</v>
      </c>
      <c r="T702" s="148" t="n">
        <v>5</v>
      </c>
      <c r="U702" s="148" t="n">
        <v>4.4</v>
      </c>
      <c r="V702" s="148" t="n">
        <v>290</v>
      </c>
      <c r="W702" s="148" t="n"/>
      <c r="X702" s="148" t="n"/>
      <c r="Y702" s="148" t="n"/>
      <c r="Z702" s="148" t="n"/>
      <c r="AA702" s="148" t="n"/>
      <c r="AB702" s="148" t="n"/>
      <c r="AC702" s="148" t="inlineStr">
        <is>
          <t>US DC Beach Towel</t>
        </is>
      </c>
      <c r="AD702" s="148">
        <f>'US DC Beach Towel'!BF62</f>
        <v/>
      </c>
      <c r="AE702" s="148">
        <f>'US DC Beach Towel'!BI62</f>
        <v/>
      </c>
      <c r="AF702" s="148" t="inlineStr">
        <is>
          <t>X Large</t>
        </is>
      </c>
      <c r="AG702" s="148" t="inlineStr">
        <is>
          <t>Pink</t>
        </is>
      </c>
      <c r="AH702" s="148">
        <f>AND(E702="CA",OR('CA Dashboard'!$C$4="All",'CA Dashboard'!$C$4=D702),OR('CA Dashboard'!$C$5="All",'CA Dashboard'!$C$5=G702),OR('CA Dashboard'!$C$6="All",'CA Dashboard'!$C$6=H702),OR('CA Dashboard'!$C$7="All",'CA Dashboard'!$C$7=F702),OR('CA Dashboard'!$C$8="All",'CA Dashboard'!$C$8=AJ702))</f>
        <v/>
      </c>
      <c r="AI702" s="148">
        <f>IF(AH702,AI701+1,AI701)</f>
        <v/>
      </c>
      <c r="AJ702" s="148" t="inlineStr">
        <is>
          <t>Not classified</t>
        </is>
      </c>
      <c r="AK702" s="148" t="inlineStr">
        <is>
          <t>Not a sheet, pillowcase or comforter product; competitors are compared on price and sales only.</t>
        </is>
      </c>
    </row>
    <row r="703">
      <c r="A703" s="148">
        <f>AND(E703="US",OR('US Dashboard'!$C$4="All",'US Dashboard'!$C$4=D703),OR('US Dashboard'!$C$5="All",'US Dashboard'!$C$5=G703),OR('US Dashboard'!$C$6="All",'US Dashboard'!$C$6=H703),OR('US Dashboard'!$C$7="All",'US Dashboard'!$C$7=F703),OR('US Dashboard'!$C$8="All",'US Dashboard'!$C$8=AJ703))</f>
        <v/>
      </c>
      <c r="B703" s="148">
        <f>IF(A703,B702+1,B702)</f>
        <v/>
      </c>
      <c r="C703" s="148" t="n">
        <v>49</v>
      </c>
      <c r="D703" s="148" t="inlineStr">
        <is>
          <t>DC Beach Towel</t>
        </is>
      </c>
      <c r="E703" s="148" t="inlineStr">
        <is>
          <t>US</t>
        </is>
      </c>
      <c r="F703" s="148" t="inlineStr">
        <is>
          <t>Other</t>
        </is>
      </c>
      <c r="G703" s="148" t="inlineStr">
        <is>
          <t>Your Choice</t>
        </is>
      </c>
      <c r="H703" s="148" t="inlineStr">
        <is>
          <t>Beatable</t>
        </is>
      </c>
      <c r="I703" s="148" t="inlineStr">
        <is>
          <t>Your Choice Turkish Beach Towel (71x41) - 100% Cotton Turkish Towel, Sand Free Quick Dry Oversized, Lightweight Compact Travel Towel - Color Navy</t>
        </is>
      </c>
      <c r="J703" s="148" t="inlineStr">
        <is>
          <t>https://images-na.ssl-images-amazon.com/images/I/91GQPkdw4dL.jpg</t>
        </is>
      </c>
      <c r="K703" s="148" t="inlineStr">
        <is>
          <t>B0B3DGBF86</t>
        </is>
      </c>
      <c r="L703" s="148" t="inlineStr">
        <is>
          <t>B09VC8ZM91</t>
        </is>
      </c>
      <c r="M703" s="148" t="n">
        <v>1</v>
      </c>
      <c r="N703" s="148" t="n">
        <v>17.99</v>
      </c>
      <c r="O703" s="148" t="n"/>
      <c r="P703" s="148">
        <f>IF(AND(ISNUMBER(O703),ISNUMBER(N703),N(N703)&gt;0),O703/N703-1,"")</f>
        <v/>
      </c>
      <c r="Q703" s="148" t="n">
        <v>21.45</v>
      </c>
      <c r="R703" s="148">
        <f>IF(AND(ISNUMBER(N703),ISNUMBER(Q703),N(Q703)&gt;0),N703/Q703-1,"")</f>
        <v/>
      </c>
      <c r="S703" s="148" t="n">
        <v>1308648</v>
      </c>
      <c r="T703" s="148" t="n">
        <v>5</v>
      </c>
      <c r="U703" s="148" t="n">
        <v>4.5</v>
      </c>
      <c r="V703" s="148" t="n">
        <v>315</v>
      </c>
      <c r="W703" s="148" t="n"/>
      <c r="X703" s="148" t="n"/>
      <c r="Y703" s="148" t="n"/>
      <c r="Z703" s="148" t="n"/>
      <c r="AA703" s="148" t="n"/>
      <c r="AB703" s="148" t="n"/>
      <c r="AC703" s="148" t="inlineStr">
        <is>
          <t>US DC Beach Towel</t>
        </is>
      </c>
      <c r="AD703" s="148">
        <f>'US DC Beach Towel'!BF63</f>
        <v/>
      </c>
      <c r="AE703" s="148">
        <f>'US DC Beach Towel'!BI63</f>
        <v/>
      </c>
      <c r="AF703" s="148" t="inlineStr">
        <is>
          <t>Large</t>
        </is>
      </c>
      <c r="AG703" s="148" t="inlineStr">
        <is>
          <t>1pc-navy</t>
        </is>
      </c>
      <c r="AH703" s="148">
        <f>AND(E703="CA",OR('CA Dashboard'!$C$4="All",'CA Dashboard'!$C$4=D703),OR('CA Dashboard'!$C$5="All",'CA Dashboard'!$C$5=G703),OR('CA Dashboard'!$C$6="All",'CA Dashboard'!$C$6=H703),OR('CA Dashboard'!$C$7="All",'CA Dashboard'!$C$7=F703),OR('CA Dashboard'!$C$8="All",'CA Dashboard'!$C$8=AJ703))</f>
        <v/>
      </c>
      <c r="AI703" s="148">
        <f>IF(AH703,AI702+1,AI702)</f>
        <v/>
      </c>
      <c r="AJ703" s="148" t="inlineStr">
        <is>
          <t>Not classified</t>
        </is>
      </c>
      <c r="AK703" s="148" t="inlineStr">
        <is>
          <t>Not a sheet, pillowcase or comforter product; competitors are compared on price and sales only.</t>
        </is>
      </c>
    </row>
    <row r="704">
      <c r="A704" s="148">
        <f>AND(E704="US",OR('US Dashboard'!$C$4="All",'US Dashboard'!$C$4=D704),OR('US Dashboard'!$C$5="All",'US Dashboard'!$C$5=G704),OR('US Dashboard'!$C$6="All",'US Dashboard'!$C$6=H704),OR('US Dashboard'!$C$7="All",'US Dashboard'!$C$7=F704),OR('US Dashboard'!$C$8="All",'US Dashboard'!$C$8=AJ704))</f>
        <v/>
      </c>
      <c r="B704" s="148">
        <f>IF(A704,B703+1,B703)</f>
        <v/>
      </c>
      <c r="C704" s="148" t="n">
        <v>49</v>
      </c>
      <c r="D704" s="148" t="inlineStr">
        <is>
          <t>DC Beach Towel</t>
        </is>
      </c>
      <c r="E704" s="148" t="inlineStr">
        <is>
          <t>US</t>
        </is>
      </c>
      <c r="F704" s="148" t="inlineStr">
        <is>
          <t>Other</t>
        </is>
      </c>
      <c r="G704" s="148" t="inlineStr">
        <is>
          <t>Salt Earth</t>
        </is>
      </c>
      <c r="H704" s="148" t="inlineStr">
        <is>
          <t>Untiered</t>
        </is>
      </c>
      <c r="I704" s="148" t="inlineStr">
        <is>
          <t>36"x72" Cotton Turkish Quick Dry Sand Free Beach Towel 4 Pack (Alloy) | Salt Ear</t>
        </is>
      </c>
      <c r="J704" s="148" t="inlineStr">
        <is>
          <t>https://m.media-amazon.com/images/I/91KoTfTuUFL._AC_SL1500_.jpg</t>
        </is>
      </c>
      <c r="K704" s="148" t="inlineStr">
        <is>
          <t>B0GTL61VXL</t>
        </is>
      </c>
      <c r="L704" s="148" t="inlineStr">
        <is>
          <t>B0F3X5N9F3</t>
        </is>
      </c>
      <c r="M704" s="148" t="n"/>
      <c r="N704" s="148" t="n">
        <v>23.99</v>
      </c>
      <c r="O704" s="148" t="n"/>
      <c r="P704" s="148">
        <f>IF(AND(ISNUMBER(O704),ISNUMBER(N704),N(N704)&gt;0),O704/N704-1,"")</f>
        <v/>
      </c>
      <c r="Q704" s="148" t="n">
        <v>21.45</v>
      </c>
      <c r="R704" s="148">
        <f>IF(AND(ISNUMBER(N704),ISNUMBER(Q704),N(Q704)&gt;0),N704/Q704-1,"")</f>
        <v/>
      </c>
      <c r="S704" s="148" t="n">
        <v>47829</v>
      </c>
      <c r="T704" s="148" t="n">
        <v>18</v>
      </c>
      <c r="U704" s="148" t="n">
        <v>4.4</v>
      </c>
      <c r="V704" s="148" t="n">
        <v>488</v>
      </c>
      <c r="W704" s="148" t="n"/>
      <c r="X704" s="148" t="n"/>
      <c r="Y704" s="148" t="n"/>
      <c r="Z704" s="148" t="n"/>
      <c r="AA704" s="148" t="n"/>
      <c r="AB704" s="148" t="n"/>
      <c r="AC704" s="148" t="inlineStr">
        <is>
          <t>US DC Beach Towel</t>
        </is>
      </c>
      <c r="AD704" s="148">
        <f>'US DC Beach Towel'!BF64</f>
        <v/>
      </c>
      <c r="AE704" s="148">
        <f>'US DC Beach Towel'!BI64</f>
        <v/>
      </c>
      <c r="AF704" s="148" t="inlineStr">
        <is>
          <t>Pack of 3</t>
        </is>
      </c>
      <c r="AG704" s="148" t="inlineStr">
        <is>
          <t>Olive Green, Brick, Sky Blue</t>
        </is>
      </c>
      <c r="AH704" s="148">
        <f>AND(E704="CA",OR('CA Dashboard'!$C$4="All",'CA Dashboard'!$C$4=D704),OR('CA Dashboard'!$C$5="All",'CA Dashboard'!$C$5=G704),OR('CA Dashboard'!$C$6="All",'CA Dashboard'!$C$6=H704),OR('CA Dashboard'!$C$7="All",'CA Dashboard'!$C$7=F704),OR('CA Dashboard'!$C$8="All",'CA Dashboard'!$C$8=AJ704))</f>
        <v/>
      </c>
      <c r="AI704" s="148">
        <f>IF(AH704,AI703+1,AI703)</f>
        <v/>
      </c>
      <c r="AJ704" s="148" t="inlineStr">
        <is>
          <t>Not classified</t>
        </is>
      </c>
      <c r="AK704" s="148" t="inlineStr">
        <is>
          <t>Not a sheet, pillowcase or comforter product; competitors are compared on price and sales only.</t>
        </is>
      </c>
    </row>
    <row r="705">
      <c r="A705" s="148">
        <f>AND(E705="US",OR('US Dashboard'!$C$4="All",'US Dashboard'!$C$4=D705),OR('US Dashboard'!$C$5="All",'US Dashboard'!$C$5=G705),OR('US Dashboard'!$C$6="All",'US Dashboard'!$C$6=H705),OR('US Dashboard'!$C$7="All",'US Dashboard'!$C$7=F705),OR('US Dashboard'!$C$8="All",'US Dashboard'!$C$8=AJ705))</f>
        <v/>
      </c>
      <c r="B705" s="148">
        <f>IF(A705,B704+1,B704)</f>
        <v/>
      </c>
      <c r="C705" s="148" t="n">
        <v>49</v>
      </c>
      <c r="D705" s="148" t="inlineStr">
        <is>
          <t>DC Beach Towel</t>
        </is>
      </c>
      <c r="E705" s="148" t="inlineStr">
        <is>
          <t>US</t>
        </is>
      </c>
      <c r="F705" s="148" t="inlineStr">
        <is>
          <t>Other</t>
        </is>
      </c>
      <c r="G705" s="148" t="inlineStr">
        <is>
          <t>SUNSPUN LINENS</t>
        </is>
      </c>
      <c r="H705" s="148" t="inlineStr">
        <is>
          <t>Untiered</t>
        </is>
      </c>
      <c r="I705" s="148" t="inlineStr">
        <is>
          <t>SUNSPUN LINENS Turkish Beach Towel, 39x63in Extra Large Quick Dry Cotton Oversized Turkish Bath Towel &amp; Blanket for Adults (Aqua)</t>
        </is>
      </c>
      <c r="J705" s="148" t="inlineStr">
        <is>
          <t>https://images-na.ssl-images-amazon.com/images/I/81O9gYOQIhL.jpg</t>
        </is>
      </c>
      <c r="K705" s="148" t="inlineStr">
        <is>
          <t>B0CBMMBZ67</t>
        </is>
      </c>
      <c r="L705" s="148" t="inlineStr">
        <is>
          <t>B085Y7YSVZ</t>
        </is>
      </c>
      <c r="M705" s="148" t="n">
        <v>1</v>
      </c>
      <c r="N705" s="148" t="n">
        <v>14.99</v>
      </c>
      <c r="O705" s="148" t="n"/>
      <c r="P705" s="148">
        <f>IF(AND(ISNUMBER(O705),ISNUMBER(N705),N(N705)&gt;0),O705/N705-1,"")</f>
        <v/>
      </c>
      <c r="Q705" s="148" t="n">
        <v>21.45</v>
      </c>
      <c r="R705" s="148">
        <f>IF(AND(ISNUMBER(N705),ISNUMBER(Q705),N(Q705)&gt;0),N705/Q705-1,"")</f>
        <v/>
      </c>
      <c r="S705" s="148" t="n">
        <v>1938053</v>
      </c>
      <c r="T705" s="148" t="n">
        <v>5</v>
      </c>
      <c r="U705" s="148" t="n">
        <v>4.4</v>
      </c>
      <c r="V705" s="148" t="n">
        <v>745</v>
      </c>
      <c r="W705" s="148" t="n"/>
      <c r="X705" s="148" t="n"/>
      <c r="Y705" s="148" t="n"/>
      <c r="Z705" s="148" t="n"/>
      <c r="AA705" s="148" t="n"/>
      <c r="AB705" s="148" t="n"/>
      <c r="AC705" s="148" t="inlineStr">
        <is>
          <t>US DC Beach Towel</t>
        </is>
      </c>
      <c r="AD705" s="148">
        <f>'US DC Beach Towel'!BF65</f>
        <v/>
      </c>
      <c r="AE705" s="148">
        <f>'US DC Beach Towel'!BI65</f>
        <v/>
      </c>
      <c r="AF705" s="148" t="inlineStr">
        <is>
          <t>39x63 inches</t>
        </is>
      </c>
      <c r="AG705" s="148" t="inlineStr">
        <is>
          <t>Aqua</t>
        </is>
      </c>
      <c r="AH705" s="148">
        <f>AND(E705="CA",OR('CA Dashboard'!$C$4="All",'CA Dashboard'!$C$4=D705),OR('CA Dashboard'!$C$5="All",'CA Dashboard'!$C$5=G705),OR('CA Dashboard'!$C$6="All",'CA Dashboard'!$C$6=H705),OR('CA Dashboard'!$C$7="All",'CA Dashboard'!$C$7=F705),OR('CA Dashboard'!$C$8="All",'CA Dashboard'!$C$8=AJ705))</f>
        <v/>
      </c>
      <c r="AI705" s="148">
        <f>IF(AH705,AI704+1,AI704)</f>
        <v/>
      </c>
      <c r="AJ705" s="148" t="inlineStr">
        <is>
          <t>Not classified</t>
        </is>
      </c>
      <c r="AK705" s="148" t="inlineStr">
        <is>
          <t>Not a sheet, pillowcase or comforter product; competitors are compared on price and sales only.</t>
        </is>
      </c>
    </row>
    <row r="706">
      <c r="A706" s="148">
        <f>AND(E706="US",OR('US Dashboard'!$C$4="All",'US Dashboard'!$C$4=D706),OR('US Dashboard'!$C$5="All",'US Dashboard'!$C$5=G706),OR('US Dashboard'!$C$6="All",'US Dashboard'!$C$6=H706),OR('US Dashboard'!$C$7="All",'US Dashboard'!$C$7=F706),OR('US Dashboard'!$C$8="All",'US Dashboard'!$C$8=AJ706))</f>
        <v/>
      </c>
      <c r="B706" s="148">
        <f>IF(A706,B705+1,B705)</f>
        <v/>
      </c>
      <c r="C706" s="148" t="n">
        <v>58</v>
      </c>
      <c r="D706" s="148" t="inlineStr">
        <is>
          <t>DC Welcome Sign</t>
        </is>
      </c>
      <c r="E706" s="148" t="inlineStr">
        <is>
          <t>US</t>
        </is>
      </c>
      <c r="F706" s="148" t="inlineStr">
        <is>
          <t>Other</t>
        </is>
      </c>
      <c r="G706" s="148" t="inlineStr">
        <is>
          <t>PERFNIQUE</t>
        </is>
      </c>
      <c r="H706" s="148" t="inlineStr">
        <is>
          <t>Aspirational</t>
        </is>
      </c>
      <c r="I706" s="148" t="inlineStr">
        <is>
          <t>Perfnique Welcome sign for front porch standing, 47 x 7.9 Inch Wooden Leaner Sign with 10 Interchangeable Designed Icons, Seasonal Decor for Spring Easter Fall Christmas(Black)</t>
        </is>
      </c>
      <c r="J706" s="148" t="inlineStr">
        <is>
          <t>https://images-na.ssl-images-amazon.com/images/I/811UFPxkJoL.jpg</t>
        </is>
      </c>
      <c r="K706" s="148" t="inlineStr">
        <is>
          <t>B0CBV2JW6G</t>
        </is>
      </c>
      <c r="L706" s="148" t="inlineStr">
        <is>
          <t>B09P4228F4</t>
        </is>
      </c>
      <c r="M706" s="148" t="n">
        <v>4</v>
      </c>
      <c r="N706" s="148" t="n">
        <v>34.99</v>
      </c>
      <c r="O706" s="148" t="n"/>
      <c r="P706" s="148">
        <f>IF(AND(ISNUMBER(O706),ISNUMBER(N706),N(N706)&gt;0),O706/N706-1,"")</f>
        <v/>
      </c>
      <c r="Q706" s="148" t="n">
        <v>37.95</v>
      </c>
      <c r="R706" s="148">
        <f>IF(AND(ISNUMBER(N706),ISNUMBER(Q706),N(Q706)&gt;0),N706/Q706-1,"")</f>
        <v/>
      </c>
      <c r="S706" s="148" t="n">
        <v>44319</v>
      </c>
      <c r="T706" s="148" t="n">
        <v>104</v>
      </c>
      <c r="U706" s="148" t="n">
        <v>4.5</v>
      </c>
      <c r="V706" s="148" t="n">
        <v>1039</v>
      </c>
      <c r="W706" s="148" t="n"/>
      <c r="X706" s="148" t="n"/>
      <c r="Y706" s="148" t="n"/>
      <c r="Z706" s="148" t="n"/>
      <c r="AA706" s="148" t="n"/>
      <c r="AB706" s="148" t="n"/>
      <c r="AC706" s="148" t="inlineStr">
        <is>
          <t>US DC Welcome Sign</t>
        </is>
      </c>
      <c r="AD706" s="148">
        <f>'US DC Welcome Sign'!BF47</f>
        <v/>
      </c>
      <c r="AE706" s="148">
        <f>'US DC Welcome Sign'!BI47</f>
        <v/>
      </c>
      <c r="AF706" s="148" t="inlineStr">
        <is>
          <t>Black</t>
        </is>
      </c>
      <c r="AG706" s="148" t="inlineStr">
        <is>
          <t>Black</t>
        </is>
      </c>
      <c r="AH706" s="148">
        <f>AND(E706="CA",OR('CA Dashboard'!$C$4="All",'CA Dashboard'!$C$4=D706),OR('CA Dashboard'!$C$5="All",'CA Dashboard'!$C$5=G706),OR('CA Dashboard'!$C$6="All",'CA Dashboard'!$C$6=H706),OR('CA Dashboard'!$C$7="All",'CA Dashboard'!$C$7=F706),OR('CA Dashboard'!$C$8="All",'CA Dashboard'!$C$8=AJ706))</f>
        <v/>
      </c>
      <c r="AI706" s="148">
        <f>IF(AH706,AI705+1,AI705)</f>
        <v/>
      </c>
      <c r="AJ706" s="148" t="inlineStr">
        <is>
          <t>Not classified</t>
        </is>
      </c>
      <c r="AK706" s="148" t="inlineStr">
        <is>
          <t>Not a sheet, pillowcase or comforter product; competitors are compared on price and sales only.</t>
        </is>
      </c>
    </row>
    <row r="707">
      <c r="A707" s="148">
        <f>AND(E707="US",OR('US Dashboard'!$C$4="All",'US Dashboard'!$C$4=D707),OR('US Dashboard'!$C$5="All",'US Dashboard'!$C$5=G707),OR('US Dashboard'!$C$6="All",'US Dashboard'!$C$6=H707),OR('US Dashboard'!$C$7="All",'US Dashboard'!$C$7=F707),OR('US Dashboard'!$C$8="All",'US Dashboard'!$C$8=AJ707))</f>
        <v/>
      </c>
      <c r="B707" s="148">
        <f>IF(A707,B706+1,B706)</f>
        <v/>
      </c>
      <c r="C707" s="148" t="n">
        <v>58</v>
      </c>
      <c r="D707" s="148" t="inlineStr">
        <is>
          <t>DC Welcome Sign</t>
        </is>
      </c>
      <c r="E707" s="148" t="inlineStr">
        <is>
          <t>US</t>
        </is>
      </c>
      <c r="F707" s="148" t="inlineStr">
        <is>
          <t>Other</t>
        </is>
      </c>
      <c r="G707" s="148" t="inlineStr">
        <is>
          <t>MONJITA</t>
        </is>
      </c>
      <c r="H707" s="148" t="inlineStr">
        <is>
          <t>Aspirational</t>
        </is>
      </c>
      <c r="I707" s="148" t="inlineStr">
        <is>
          <t>Monjita Welcome Sign for Front Porch Standing, Interchangeable Wooden Sign with 5 Designed Double-Sided Icons for Front Door, All Seasonal Farmhouse Rustic Modern Porch Decor for Fall Harvest</t>
        </is>
      </c>
      <c r="J707" s="148" t="inlineStr">
        <is>
          <t>https://images-na.ssl-images-amazon.com/images/I/81M6KkWpSrL.jpg</t>
        </is>
      </c>
      <c r="K707" s="148" t="inlineStr">
        <is>
          <t>B0BBQDKL36</t>
        </is>
      </c>
      <c r="L707" s="148" t="inlineStr">
        <is>
          <t>B0BBQ84DMS</t>
        </is>
      </c>
      <c r="M707" s="148" t="n">
        <v>2</v>
      </c>
      <c r="N707" s="148" t="n">
        <v>33.99</v>
      </c>
      <c r="O707" s="148" t="n"/>
      <c r="P707" s="148">
        <f>IF(AND(ISNUMBER(O707),ISNUMBER(N707),N(N707)&gt;0),O707/N707-1,"")</f>
        <v/>
      </c>
      <c r="Q707" s="148" t="n">
        <v>37.95</v>
      </c>
      <c r="R707" s="148">
        <f>IF(AND(ISNUMBER(N707),ISNUMBER(Q707),N(Q707)&gt;0),N707/Q707-1,"")</f>
        <v/>
      </c>
      <c r="S707" s="148" t="n">
        <v>137133</v>
      </c>
      <c r="T707" s="148" t="n">
        <v>35</v>
      </c>
      <c r="U707" s="148" t="n">
        <v>4.5</v>
      </c>
      <c r="V707" s="148" t="n">
        <v>498</v>
      </c>
      <c r="W707" s="148" t="n"/>
      <c r="X707" s="148" t="n"/>
      <c r="Y707" s="148" t="n"/>
      <c r="Z707" s="148" t="n"/>
      <c r="AA707" s="148" t="n"/>
      <c r="AB707" s="148" t="n"/>
      <c r="AC707" s="148" t="inlineStr">
        <is>
          <t>US DC Welcome Sign</t>
        </is>
      </c>
      <c r="AD707" s="148">
        <f>'US DC Welcome Sign'!BF48</f>
        <v/>
      </c>
      <c r="AE707" s="148">
        <f>'US DC Welcome Sign'!BI48</f>
        <v/>
      </c>
      <c r="AF707" s="148" t="inlineStr">
        <is>
          <t>XL</t>
        </is>
      </c>
      <c r="AG707" s="148" t="inlineStr">
        <is>
          <t>Black</t>
        </is>
      </c>
      <c r="AH707" s="148">
        <f>AND(E707="CA",OR('CA Dashboard'!$C$4="All",'CA Dashboard'!$C$4=D707),OR('CA Dashboard'!$C$5="All",'CA Dashboard'!$C$5=G707),OR('CA Dashboard'!$C$6="All",'CA Dashboard'!$C$6=H707),OR('CA Dashboard'!$C$7="All",'CA Dashboard'!$C$7=F707),OR('CA Dashboard'!$C$8="All",'CA Dashboard'!$C$8=AJ707))</f>
        <v/>
      </c>
      <c r="AI707" s="148">
        <f>IF(AH707,AI706+1,AI706)</f>
        <v/>
      </c>
      <c r="AJ707" s="148" t="inlineStr">
        <is>
          <t>Not classified</t>
        </is>
      </c>
      <c r="AK707" s="148" t="inlineStr">
        <is>
          <t>Not a sheet, pillowcase or comforter product; competitors are compared on price and sales only.</t>
        </is>
      </c>
    </row>
    <row r="708">
      <c r="A708" s="148">
        <f>AND(E708="US",OR('US Dashboard'!$C$4="All",'US Dashboard'!$C$4=D708),OR('US Dashboard'!$C$5="All",'US Dashboard'!$C$5=G708),OR('US Dashboard'!$C$6="All",'US Dashboard'!$C$6=H708),OR('US Dashboard'!$C$7="All",'US Dashboard'!$C$7=F708),OR('US Dashboard'!$C$8="All",'US Dashboard'!$C$8=AJ708))</f>
        <v/>
      </c>
      <c r="B708" s="148">
        <f>IF(A708,B707+1,B707)</f>
        <v/>
      </c>
      <c r="C708" s="148" t="n">
        <v>58</v>
      </c>
      <c r="D708" s="148" t="inlineStr">
        <is>
          <t>DC Welcome Sign</t>
        </is>
      </c>
      <c r="E708" s="148" t="inlineStr">
        <is>
          <t>US</t>
        </is>
      </c>
      <c r="F708" s="148" t="inlineStr">
        <is>
          <t>Other</t>
        </is>
      </c>
      <c r="G708" s="148" t="inlineStr">
        <is>
          <t>Surfapans</t>
        </is>
      </c>
      <c r="H708" s="148" t="inlineStr">
        <is>
          <t>Aspirational</t>
        </is>
      </c>
      <c r="I708" s="148" t="inlineStr">
        <is>
          <t>Surfapans Welcome Sign for Front porch Standing 45"X9" Black</t>
        </is>
      </c>
      <c r="J708" s="148" t="inlineStr">
        <is>
          <t>https://images-na.ssl-images-amazon.com/images/I/81prHHD5oqL.jpg</t>
        </is>
      </c>
      <c r="K708" s="148" t="inlineStr">
        <is>
          <t>B0GLG3DN2P</t>
        </is>
      </c>
      <c r="L708" s="148" t="inlineStr">
        <is>
          <t>B0CL5YGW86</t>
        </is>
      </c>
      <c r="M708" s="148" t="n">
        <v>8</v>
      </c>
      <c r="N708" s="148" t="n">
        <v>40.99</v>
      </c>
      <c r="O708" s="148" t="n"/>
      <c r="P708" s="148">
        <f>IF(AND(ISNUMBER(O708),ISNUMBER(N708),N(N708)&gt;0),O708/N708-1,"")</f>
        <v/>
      </c>
      <c r="Q708" s="148" t="n">
        <v>37.95</v>
      </c>
      <c r="R708" s="148">
        <f>IF(AND(ISNUMBER(N708),ISNUMBER(Q708),N(Q708)&gt;0),N708/Q708-1,"")</f>
        <v/>
      </c>
      <c r="S708" s="148" t="n">
        <v>146388</v>
      </c>
      <c r="T708" s="148" t="n">
        <v>35</v>
      </c>
      <c r="U708" s="148" t="n">
        <v>4.4</v>
      </c>
      <c r="V708" s="148" t="n">
        <v>574</v>
      </c>
      <c r="W708" s="148" t="n"/>
      <c r="X708" s="148" t="n"/>
      <c r="Y708" s="148" t="n"/>
      <c r="Z708" s="148" t="n"/>
      <c r="AA708" s="148" t="n"/>
      <c r="AB708" s="148" t="n"/>
      <c r="AC708" s="148" t="inlineStr">
        <is>
          <t>US DC Welcome Sign</t>
        </is>
      </c>
      <c r="AD708" s="148">
        <f>'US DC Welcome Sign'!BF49</f>
        <v/>
      </c>
      <c r="AE708" s="148">
        <f>'US DC Welcome Sign'!BI49</f>
        <v/>
      </c>
      <c r="AF708" s="148" t="inlineStr">
        <is>
          <t>45"L x 9"W</t>
        </is>
      </c>
      <c r="AG708" s="148" t="inlineStr">
        <is>
          <t>Welcome（Black)</t>
        </is>
      </c>
      <c r="AH708" s="148">
        <f>AND(E708="CA",OR('CA Dashboard'!$C$4="All",'CA Dashboard'!$C$4=D708),OR('CA Dashboard'!$C$5="All",'CA Dashboard'!$C$5=G708),OR('CA Dashboard'!$C$6="All",'CA Dashboard'!$C$6=H708),OR('CA Dashboard'!$C$7="All",'CA Dashboard'!$C$7=F708),OR('CA Dashboard'!$C$8="All",'CA Dashboard'!$C$8=AJ708))</f>
        <v/>
      </c>
      <c r="AI708" s="148">
        <f>IF(AH708,AI707+1,AI707)</f>
        <v/>
      </c>
      <c r="AJ708" s="148" t="inlineStr">
        <is>
          <t>Not classified</t>
        </is>
      </c>
      <c r="AK708" s="148" t="inlineStr">
        <is>
          <t>Not a sheet, pillowcase or comforter product; competitors are compared on price and sales only.</t>
        </is>
      </c>
    </row>
    <row r="709">
      <c r="A709" s="148">
        <f>AND(E709="US",OR('US Dashboard'!$C$4="All",'US Dashboard'!$C$4=D709),OR('US Dashboard'!$C$5="All",'US Dashboard'!$C$5=G709),OR('US Dashboard'!$C$6="All",'US Dashboard'!$C$6=H709),OR('US Dashboard'!$C$7="All",'US Dashboard'!$C$7=F709),OR('US Dashboard'!$C$8="All",'US Dashboard'!$C$8=AJ709))</f>
        <v/>
      </c>
      <c r="B709" s="148">
        <f>IF(A709,B708+1,B708)</f>
        <v/>
      </c>
      <c r="C709" s="148" t="n">
        <v>58</v>
      </c>
      <c r="D709" s="148" t="inlineStr">
        <is>
          <t>DC Welcome Sign</t>
        </is>
      </c>
      <c r="E709" s="148" t="inlineStr">
        <is>
          <t>US</t>
        </is>
      </c>
      <c r="F709" s="148" t="inlineStr">
        <is>
          <t>Other</t>
        </is>
      </c>
      <c r="G709" s="148" t="inlineStr">
        <is>
          <t>Seimip</t>
        </is>
      </c>
      <c r="H709" s="148" t="inlineStr">
        <is>
          <t>Beatable</t>
        </is>
      </c>
      <c r="I709" s="148" t="inlineStr">
        <is>
          <t>Front Door Welcome Sign</t>
        </is>
      </c>
      <c r="J709" s="148" t="inlineStr">
        <is>
          <t>https://m.media-amazon.com/images/I/81dv7YjkNdL._AC_SL1500_.jpg</t>
        </is>
      </c>
      <c r="K709" s="148" t="inlineStr">
        <is>
          <t>B0DK6WGD3R</t>
        </is>
      </c>
      <c r="L709" s="148" t="inlineStr">
        <is>
          <t>B0D4Q71SDC</t>
        </is>
      </c>
      <c r="M709" s="148" t="n"/>
      <c r="N709" s="148" t="n">
        <v>23.99</v>
      </c>
      <c r="O709" s="148" t="n"/>
      <c r="P709" s="148">
        <f>IF(AND(ISNUMBER(O709),ISNUMBER(N709),N(N709)&gt;0),O709/N709-1,"")</f>
        <v/>
      </c>
      <c r="Q709" s="148" t="n">
        <v>37.95</v>
      </c>
      <c r="R709" s="148">
        <f>IF(AND(ISNUMBER(N709),ISNUMBER(Q709),N(Q709)&gt;0),N709/Q709-1,"")</f>
        <v/>
      </c>
      <c r="S709" s="148" t="n">
        <v>8978</v>
      </c>
      <c r="T709" s="148" t="n">
        <v>104</v>
      </c>
      <c r="U709" s="148" t="n">
        <v>3.9</v>
      </c>
      <c r="V709" s="148" t="n">
        <v>299</v>
      </c>
      <c r="W709" s="148" t="n"/>
      <c r="X709" s="148" t="n"/>
      <c r="Y709" s="148" t="n"/>
      <c r="Z709" s="148" t="n"/>
      <c r="AA709" s="148" t="n"/>
      <c r="AB709" s="148" t="n"/>
      <c r="AC709" s="148" t="inlineStr">
        <is>
          <t>US DC Welcome Sign</t>
        </is>
      </c>
      <c r="AD709" s="148">
        <f>'US DC Welcome Sign'!BF50</f>
        <v/>
      </c>
      <c r="AE709" s="148">
        <f>'US DC Welcome Sign'!BI50</f>
        <v/>
      </c>
      <c r="AF709" s="148" t="inlineStr">
        <is>
          <t>large</t>
        </is>
      </c>
      <c r="AG709" s="148" t="inlineStr">
        <is>
          <t>Fall Pumpkin</t>
        </is>
      </c>
      <c r="AH709" s="148">
        <f>AND(E709="CA",OR('CA Dashboard'!$C$4="All",'CA Dashboard'!$C$4=D709),OR('CA Dashboard'!$C$5="All",'CA Dashboard'!$C$5=G709),OR('CA Dashboard'!$C$6="All",'CA Dashboard'!$C$6=H709),OR('CA Dashboard'!$C$7="All",'CA Dashboard'!$C$7=F709),OR('CA Dashboard'!$C$8="All",'CA Dashboard'!$C$8=AJ709))</f>
        <v/>
      </c>
      <c r="AI709" s="148">
        <f>IF(AH709,AI708+1,AI708)</f>
        <v/>
      </c>
      <c r="AJ709" s="148" t="inlineStr">
        <is>
          <t>Not classified</t>
        </is>
      </c>
      <c r="AK709" s="148" t="inlineStr">
        <is>
          <t>Not a sheet, pillowcase or comforter product; competitors are compared on price and sales only.</t>
        </is>
      </c>
    </row>
    <row r="710">
      <c r="A710" s="148">
        <f>AND(E710="US",OR('US Dashboard'!$C$4="All",'US Dashboard'!$C$4=D710),OR('US Dashboard'!$C$5="All",'US Dashboard'!$C$5=G710),OR('US Dashboard'!$C$6="All",'US Dashboard'!$C$6=H710),OR('US Dashboard'!$C$7="All",'US Dashboard'!$C$7=F710),OR('US Dashboard'!$C$8="All",'US Dashboard'!$C$8=AJ710))</f>
        <v/>
      </c>
      <c r="B710" s="148">
        <f>IF(A710,B709+1,B709)</f>
        <v/>
      </c>
      <c r="C710" s="148" t="n">
        <v>58</v>
      </c>
      <c r="D710" s="148" t="inlineStr">
        <is>
          <t>DC Welcome Sign</t>
        </is>
      </c>
      <c r="E710" s="148" t="inlineStr">
        <is>
          <t>US</t>
        </is>
      </c>
      <c r="F710" s="148" t="inlineStr">
        <is>
          <t>Other</t>
        </is>
      </c>
      <c r="G710" s="148" t="inlineStr">
        <is>
          <t>DOUSUI</t>
        </is>
      </c>
      <c r="H710" s="148" t="inlineStr">
        <is>
          <t>Beatable</t>
        </is>
      </c>
      <c r="I710" s="148" t="inlineStr">
        <is>
          <t>Vertical Wood Welcome Sign for Front Porch Vertical Decorative Sign Front Door Outdoor Indoor Welcome Sign 47.2x7.8 Inch Large Farmhouse Style(white)</t>
        </is>
      </c>
      <c r="J710" s="148" t="inlineStr">
        <is>
          <t>https://images-na.ssl-images-amazon.com/images/I/71pRDih9AmL.jpg</t>
        </is>
      </c>
      <c r="K710" s="148" t="inlineStr">
        <is>
          <t>B0FSZBDYV5</t>
        </is>
      </c>
      <c r="L710" s="148" t="inlineStr">
        <is>
          <t>B0FSZ8GX57</t>
        </is>
      </c>
      <c r="M710" s="148" t="n">
        <v>3</v>
      </c>
      <c r="N710" s="148" t="n">
        <v>24.99</v>
      </c>
      <c r="O710" s="148" t="n"/>
      <c r="P710" s="148">
        <f>IF(AND(ISNUMBER(O710),ISNUMBER(N710),N(N710)&gt;0),O710/N710-1,"")</f>
        <v/>
      </c>
      <c r="Q710" s="148" t="n">
        <v>37.95</v>
      </c>
      <c r="R710" s="148">
        <f>IF(AND(ISNUMBER(N710),ISNUMBER(Q710),N(Q710)&gt;0),N710/Q710-1,"")</f>
        <v/>
      </c>
      <c r="S710" s="148" t="n">
        <v>65913</v>
      </c>
      <c r="T710" s="148" t="n">
        <v>81</v>
      </c>
      <c r="U710" s="148" t="n">
        <v>3.6</v>
      </c>
      <c r="V710" s="148" t="n">
        <v>139</v>
      </c>
      <c r="W710" s="148" t="n"/>
      <c r="X710" s="148" t="n"/>
      <c r="Y710" s="148" t="n"/>
      <c r="Z710" s="148" t="n"/>
      <c r="AA710" s="148" t="n"/>
      <c r="AB710" s="148" t="n"/>
      <c r="AC710" s="148" t="inlineStr">
        <is>
          <t>US DC Welcome Sign</t>
        </is>
      </c>
      <c r="AD710" s="148">
        <f>'US DC Welcome Sign'!BF51</f>
        <v/>
      </c>
      <c r="AE710" s="148">
        <f>'US DC Welcome Sign'!BI51</f>
        <v/>
      </c>
      <c r="AF710" s="148" t="inlineStr">
        <is>
          <t>47.2x7.8 Inch</t>
        </is>
      </c>
      <c r="AG710" s="148" t="inlineStr">
        <is>
          <t>white</t>
        </is>
      </c>
      <c r="AH710" s="148">
        <f>AND(E710="CA",OR('CA Dashboard'!$C$4="All",'CA Dashboard'!$C$4=D710),OR('CA Dashboard'!$C$5="All",'CA Dashboard'!$C$5=G710),OR('CA Dashboard'!$C$6="All",'CA Dashboard'!$C$6=H710),OR('CA Dashboard'!$C$7="All",'CA Dashboard'!$C$7=F710),OR('CA Dashboard'!$C$8="All",'CA Dashboard'!$C$8=AJ710))</f>
        <v/>
      </c>
      <c r="AI710" s="148">
        <f>IF(AH710,AI709+1,AI709)</f>
        <v/>
      </c>
      <c r="AJ710" s="148" t="inlineStr">
        <is>
          <t>Not classified</t>
        </is>
      </c>
      <c r="AK710" s="148" t="inlineStr">
        <is>
          <t>Not a sheet, pillowcase or comforter product; competitors are compared on price and sales only.</t>
        </is>
      </c>
    </row>
    <row r="711">
      <c r="A711" s="148">
        <f>AND(E711="US",OR('US Dashboard'!$C$4="All",'US Dashboard'!$C$4=D711),OR('US Dashboard'!$C$5="All",'US Dashboard'!$C$5=G711),OR('US Dashboard'!$C$6="All",'US Dashboard'!$C$6=H711),OR('US Dashboard'!$C$7="All",'US Dashboard'!$C$7=F711),OR('US Dashboard'!$C$8="All",'US Dashboard'!$C$8=AJ711))</f>
        <v/>
      </c>
      <c r="B711" s="148">
        <f>IF(A711,B710+1,B710)</f>
        <v/>
      </c>
      <c r="C711" s="148" t="n">
        <v>58</v>
      </c>
      <c r="D711" s="148" t="inlineStr">
        <is>
          <t>DC Welcome Sign</t>
        </is>
      </c>
      <c r="E711" s="148" t="inlineStr">
        <is>
          <t>US</t>
        </is>
      </c>
      <c r="F711" s="148" t="inlineStr">
        <is>
          <t>Other</t>
        </is>
      </c>
      <c r="G711" s="148" t="inlineStr">
        <is>
          <t>TQianJiang</t>
        </is>
      </c>
      <c r="H711" s="148" t="inlineStr">
        <is>
          <t>Beatable</t>
        </is>
      </c>
      <c r="I711" s="148" t="inlineStr">
        <is>
          <t>Interchangeable Welcome Sign for Front Porch Standing 47"X8" Wood</t>
        </is>
      </c>
      <c r="J711" s="148" t="inlineStr">
        <is>
          <t>https://images-na.ssl-images-amazon.com/images/I/81Z4WE5vHsL.jpg</t>
        </is>
      </c>
      <c r="K711" s="148" t="inlineStr">
        <is>
          <t>B0D2XCKW3D</t>
        </is>
      </c>
      <c r="L711" s="148" t="inlineStr">
        <is>
          <t>B0D2X1FT1X</t>
        </is>
      </c>
      <c r="M711" s="148" t="n">
        <v>3</v>
      </c>
      <c r="N711" s="148" t="n">
        <v>34.99</v>
      </c>
      <c r="O711" s="148" t="n"/>
      <c r="P711" s="148">
        <f>IF(AND(ISNUMBER(O711),ISNUMBER(N711),N(N711)&gt;0),O711/N711-1,"")</f>
        <v/>
      </c>
      <c r="Q711" s="148" t="n">
        <v>37.95</v>
      </c>
      <c r="R711" s="148">
        <f>IF(AND(ISNUMBER(N711),ISNUMBER(Q711),N(Q711)&gt;0),N711/Q711-1,"")</f>
        <v/>
      </c>
      <c r="S711" s="148" t="n">
        <v>202496</v>
      </c>
      <c r="T711" s="148" t="n">
        <v>35</v>
      </c>
      <c r="U711" s="148" t="n">
        <v>3.8</v>
      </c>
      <c r="V711" s="148" t="n">
        <v>221</v>
      </c>
      <c r="W711" s="148" t="n"/>
      <c r="X711" s="148" t="n"/>
      <c r="Y711" s="148" t="n"/>
      <c r="Z711" s="148" t="n"/>
      <c r="AA711" s="148" t="n"/>
      <c r="AB711" s="148" t="n"/>
      <c r="AC711" s="148" t="inlineStr">
        <is>
          <t>US DC Welcome Sign</t>
        </is>
      </c>
      <c r="AD711" s="148">
        <f>'US DC Welcome Sign'!BF52</f>
        <v/>
      </c>
      <c r="AE711" s="148">
        <f>'US DC Welcome Sign'!BI52</f>
        <v/>
      </c>
      <c r="AF711" s="148" t="inlineStr">
        <is>
          <t>47 ×8Inches</t>
        </is>
      </c>
      <c r="AG711" s="148" t="inlineStr">
        <is>
          <t>Wood</t>
        </is>
      </c>
      <c r="AH711" s="148">
        <f>AND(E711="CA",OR('CA Dashboard'!$C$4="All",'CA Dashboard'!$C$4=D711),OR('CA Dashboard'!$C$5="All",'CA Dashboard'!$C$5=G711),OR('CA Dashboard'!$C$6="All",'CA Dashboard'!$C$6=H711),OR('CA Dashboard'!$C$7="All",'CA Dashboard'!$C$7=F711),OR('CA Dashboard'!$C$8="All",'CA Dashboard'!$C$8=AJ711))</f>
        <v/>
      </c>
      <c r="AI711" s="148">
        <f>IF(AH711,AI710+1,AI710)</f>
        <v/>
      </c>
      <c r="AJ711" s="148" t="inlineStr">
        <is>
          <t>Not classified</t>
        </is>
      </c>
      <c r="AK711" s="148" t="inlineStr">
        <is>
          <t>Not a sheet, pillowcase or comforter product; competitors are compared on price and sales only.</t>
        </is>
      </c>
    </row>
    <row r="712">
      <c r="A712" s="148">
        <f>AND(E712="US",OR('US Dashboard'!$C$4="All",'US Dashboard'!$C$4=D712),OR('US Dashboard'!$C$5="All",'US Dashboard'!$C$5=G712),OR('US Dashboard'!$C$6="All",'US Dashboard'!$C$6=H712),OR('US Dashboard'!$C$7="All",'US Dashboard'!$C$7=F712),OR('US Dashboard'!$C$8="All",'US Dashboard'!$C$8=AJ712))</f>
        <v/>
      </c>
      <c r="B712" s="148">
        <f>IF(A712,B711+1,B711)</f>
        <v/>
      </c>
      <c r="C712" s="148" t="n">
        <v>58</v>
      </c>
      <c r="D712" s="148" t="inlineStr">
        <is>
          <t>DC Welcome Sign</t>
        </is>
      </c>
      <c r="E712" s="148" t="inlineStr">
        <is>
          <t>US</t>
        </is>
      </c>
      <c r="F712" s="148" t="inlineStr">
        <is>
          <t>Other</t>
        </is>
      </c>
      <c r="G712" s="148" t="inlineStr">
        <is>
          <t>comurdyo</t>
        </is>
      </c>
      <c r="H712" s="148" t="inlineStr">
        <is>
          <t>Beatable</t>
        </is>
      </c>
      <c r="I712" s="148" t="inlineStr">
        <is>
          <t>comurdyo Welcome-ish Sign for Front porch Standing 45"X9" Wood Black</t>
        </is>
      </c>
      <c r="J712" s="148" t="inlineStr">
        <is>
          <t>https://images-na.ssl-images-amazon.com/images/I/81idvhxcZdL.jpg</t>
        </is>
      </c>
      <c r="K712" s="148" t="inlineStr">
        <is>
          <t>B0CLV68M42</t>
        </is>
      </c>
      <c r="L712" s="148" t="inlineStr">
        <is>
          <t>B0CLV2KQ6T</t>
        </is>
      </c>
      <c r="M712" s="148" t="n">
        <v>3</v>
      </c>
      <c r="N712" s="148" t="n">
        <v>35.69</v>
      </c>
      <c r="O712" s="148" t="n">
        <v>39.89</v>
      </c>
      <c r="P712" s="148">
        <f>IF(AND(ISNUMBER(O712),ISNUMBER(N712),N(N712)&gt;0),O712/N712-1,"")</f>
        <v/>
      </c>
      <c r="Q712" s="148" t="n">
        <v>37.95</v>
      </c>
      <c r="R712" s="148">
        <f>IF(AND(ISNUMBER(N712),ISNUMBER(Q712),N(Q712)&gt;0),N712/Q712-1,"")</f>
        <v/>
      </c>
      <c r="S712" s="148" t="n">
        <v>62615</v>
      </c>
      <c r="T712" s="148" t="n">
        <v>18</v>
      </c>
      <c r="U712" s="148" t="n">
        <v>4.2</v>
      </c>
      <c r="V712" s="148" t="n">
        <v>263</v>
      </c>
      <c r="W712" s="148" t="n"/>
      <c r="X712" s="148" t="n"/>
      <c r="Y712" s="148" t="n"/>
      <c r="Z712" s="148" t="n"/>
      <c r="AA712" s="148" t="n"/>
      <c r="AB712" s="148" t="n"/>
      <c r="AC712" s="148" t="inlineStr">
        <is>
          <t>US DC Welcome Sign</t>
        </is>
      </c>
      <c r="AD712" s="148">
        <f>'US DC Welcome Sign'!BF53</f>
        <v/>
      </c>
      <c r="AE712" s="148">
        <f>'US DC Welcome Sign'!BI53</f>
        <v/>
      </c>
      <c r="AF712" s="148" t="inlineStr">
        <is>
          <t>45x9 Inches</t>
        </is>
      </c>
      <c r="AG712" s="148" t="inlineStr">
        <is>
          <t>Wood Black-Wood Sign</t>
        </is>
      </c>
      <c r="AH712" s="148">
        <f>AND(E712="CA",OR('CA Dashboard'!$C$4="All",'CA Dashboard'!$C$4=D712),OR('CA Dashboard'!$C$5="All",'CA Dashboard'!$C$5=G712),OR('CA Dashboard'!$C$6="All",'CA Dashboard'!$C$6=H712),OR('CA Dashboard'!$C$7="All",'CA Dashboard'!$C$7=F712),OR('CA Dashboard'!$C$8="All",'CA Dashboard'!$C$8=AJ712))</f>
        <v/>
      </c>
      <c r="AI712" s="148">
        <f>IF(AH712,AI711+1,AI711)</f>
        <v/>
      </c>
      <c r="AJ712" s="148" t="inlineStr">
        <is>
          <t>Not classified</t>
        </is>
      </c>
      <c r="AK712" s="148" t="inlineStr">
        <is>
          <t>Not a sheet, pillowcase or comforter product; competitors are compared on price and sales only.</t>
        </is>
      </c>
    </row>
    <row r="713">
      <c r="A713" s="148">
        <f>AND(E713="US",OR('US Dashboard'!$C$4="All",'US Dashboard'!$C$4=D713),OR('US Dashboard'!$C$5="All",'US Dashboard'!$C$5=G713),OR('US Dashboard'!$C$6="All",'US Dashboard'!$C$6=H713),OR('US Dashboard'!$C$7="All",'US Dashboard'!$C$7=F713),OR('US Dashboard'!$C$8="All",'US Dashboard'!$C$8=AJ713))</f>
        <v/>
      </c>
      <c r="B713" s="148">
        <f>IF(A713,B712+1,B712)</f>
        <v/>
      </c>
      <c r="C713" s="148" t="n">
        <v>58</v>
      </c>
      <c r="D713" s="148" t="inlineStr">
        <is>
          <t>DC Welcome Sign</t>
        </is>
      </c>
      <c r="E713" s="148" t="inlineStr">
        <is>
          <t>US</t>
        </is>
      </c>
      <c r="F713" s="148" t="inlineStr">
        <is>
          <t>Other</t>
        </is>
      </c>
      <c r="G713" s="148" t="inlineStr">
        <is>
          <t>LianheCy</t>
        </is>
      </c>
      <c r="H713" s="148" t="inlineStr">
        <is>
          <t>Beatable</t>
        </is>
      </c>
      <c r="I713" s="148" t="inlineStr">
        <is>
          <t>Front Door Welcome Sign</t>
        </is>
      </c>
      <c r="J713" s="148" t="inlineStr">
        <is>
          <t>https://m.media-amazon.com/images/I/71srtIyHG1L._AC_SL1500_.jpg</t>
        </is>
      </c>
      <c r="K713" s="148" t="inlineStr">
        <is>
          <t>B0FSCRCQQR</t>
        </is>
      </c>
      <c r="L713" s="148" t="inlineStr">
        <is>
          <t>B0FSD5K63B</t>
        </is>
      </c>
      <c r="M713" s="148" t="n"/>
      <c r="N713" s="148" t="n">
        <v>24.99</v>
      </c>
      <c r="O713" s="148" t="n"/>
      <c r="P713" s="148">
        <f>IF(AND(ISNUMBER(O713),ISNUMBER(N713),N(N713)&gt;0),O713/N713-1,"")</f>
        <v/>
      </c>
      <c r="Q713" s="148" t="n">
        <v>37.95</v>
      </c>
      <c r="R713" s="148">
        <f>IF(AND(ISNUMBER(N713),ISNUMBER(Q713),N(Q713)&gt;0),N713/Q713-1,"")</f>
        <v/>
      </c>
      <c r="S713" s="148" t="n">
        <v>176481</v>
      </c>
      <c r="T713" s="148" t="n">
        <v>18</v>
      </c>
      <c r="U713" s="148" t="n">
        <v>4</v>
      </c>
      <c r="V713" s="148" t="n">
        <v>115</v>
      </c>
      <c r="W713" s="148" t="n"/>
      <c r="X713" s="148" t="n"/>
      <c r="Y713" s="148" t="n"/>
      <c r="Z713" s="148" t="n"/>
      <c r="AA713" s="148" t="n"/>
      <c r="AB713" s="148" t="n"/>
      <c r="AC713" s="148" t="inlineStr">
        <is>
          <t>US DC Welcome Sign</t>
        </is>
      </c>
      <c r="AD713" s="148">
        <f>'US DC Welcome Sign'!BF54</f>
        <v/>
      </c>
      <c r="AE713" s="148">
        <f>'US DC Welcome Sign'!BI54</f>
        <v/>
      </c>
      <c r="AF713" s="148" t="inlineStr">
        <is>
          <t>47x7.8x0.9 inches</t>
        </is>
      </c>
      <c r="AG713" s="148" t="inlineStr">
        <is>
          <t>home-Brown</t>
        </is>
      </c>
      <c r="AH713" s="148">
        <f>AND(E713="CA",OR('CA Dashboard'!$C$4="All",'CA Dashboard'!$C$4=D713),OR('CA Dashboard'!$C$5="All",'CA Dashboard'!$C$5=G713),OR('CA Dashboard'!$C$6="All",'CA Dashboard'!$C$6=H713),OR('CA Dashboard'!$C$7="All",'CA Dashboard'!$C$7=F713),OR('CA Dashboard'!$C$8="All",'CA Dashboard'!$C$8=AJ713))</f>
        <v/>
      </c>
      <c r="AI713" s="148">
        <f>IF(AH713,AI712+1,AI712)</f>
        <v/>
      </c>
      <c r="AJ713" s="148" t="inlineStr">
        <is>
          <t>Not classified</t>
        </is>
      </c>
      <c r="AK713" s="148" t="inlineStr">
        <is>
          <t>Not a sheet, pillowcase or comforter product; competitors are compared on price and sales only.</t>
        </is>
      </c>
    </row>
    <row r="714">
      <c r="A714" s="148">
        <f>AND(E714="US",OR('US Dashboard'!$C$4="All",'US Dashboard'!$C$4=D714),OR('US Dashboard'!$C$5="All",'US Dashboard'!$C$5=G714),OR('US Dashboard'!$C$6="All",'US Dashboard'!$C$6=H714),OR('US Dashboard'!$C$7="All",'US Dashboard'!$C$7=F714),OR('US Dashboard'!$C$8="All",'US Dashboard'!$C$8=AJ714))</f>
        <v/>
      </c>
      <c r="B714" s="148">
        <f>IF(A714,B713+1,B713)</f>
        <v/>
      </c>
      <c r="C714" s="148" t="n">
        <v>58</v>
      </c>
      <c r="D714" s="148" t="inlineStr">
        <is>
          <t>DC Welcome Sign</t>
        </is>
      </c>
      <c r="E714" s="148" t="inlineStr">
        <is>
          <t>US</t>
        </is>
      </c>
      <c r="F714" s="148" t="inlineStr">
        <is>
          <t>Other</t>
        </is>
      </c>
      <c r="G714" s="148" t="inlineStr">
        <is>
          <t>MODE HOME</t>
        </is>
      </c>
      <c r="H714" s="148" t="inlineStr">
        <is>
          <t>Beatable</t>
        </is>
      </c>
      <c r="I714" s="148" t="inlineStr">
        <is>
          <t>MODE HOME Large Vertical Welcome Sign for Front Door Porch, 47x10 Inch Solid Wood Farmhouse Porch Decor, 3D Raised Letters Rustic Welcome to Our Home Sign with Beads &amp; Bow, No Assembly Required, Whitewashed</t>
        </is>
      </c>
      <c r="J714" s="148" t="inlineStr">
        <is>
          <t>https://images-na.ssl-images-amazon.com/images/I/71-ZcYRNwZL.jpg</t>
        </is>
      </c>
      <c r="K714" s="148" t="inlineStr">
        <is>
          <t>B0BTW5F4LQ</t>
        </is>
      </c>
      <c r="L714" s="148" t="inlineStr">
        <is>
          <t>B0DM8RQ2MV</t>
        </is>
      </c>
      <c r="M714" s="148" t="n">
        <v>3</v>
      </c>
      <c r="N714" s="148" t="n">
        <v>43.99</v>
      </c>
      <c r="O714" s="148" t="n"/>
      <c r="P714" s="148">
        <f>IF(AND(ISNUMBER(O714),ISNUMBER(N714),N(N714)&gt;0),O714/N714-1,"")</f>
        <v/>
      </c>
      <c r="Q714" s="148" t="n">
        <v>37.95</v>
      </c>
      <c r="R714" s="148">
        <f>IF(AND(ISNUMBER(N714),ISNUMBER(Q714),N(Q714)&gt;0),N714/Q714-1,"")</f>
        <v/>
      </c>
      <c r="S714" s="148" t="n">
        <v>216901</v>
      </c>
      <c r="T714" s="148" t="n">
        <v>18</v>
      </c>
      <c r="U714" s="148" t="n">
        <v>4.4</v>
      </c>
      <c r="V714" s="148" t="n">
        <v>312</v>
      </c>
      <c r="W714" s="148" t="n"/>
      <c r="X714" s="148" t="n"/>
      <c r="Y714" s="148" t="n"/>
      <c r="Z714" s="148" t="n"/>
      <c r="AA714" s="148" t="n"/>
      <c r="AB714" s="148" t="n"/>
      <c r="AC714" s="148" t="inlineStr">
        <is>
          <t>US DC Welcome Sign</t>
        </is>
      </c>
      <c r="AD714" s="148">
        <f>'US DC Welcome Sign'!BF55</f>
        <v/>
      </c>
      <c r="AE714" s="148">
        <f>'US DC Welcome Sign'!BI55</f>
        <v/>
      </c>
      <c r="AF714" s="148" t="inlineStr">
        <is>
          <t>47.21 inches x 9.84 inches</t>
        </is>
      </c>
      <c r="AG714" s="148" t="inlineStr">
        <is>
          <t>Whitewashed</t>
        </is>
      </c>
      <c r="AH714" s="148">
        <f>AND(E714="CA",OR('CA Dashboard'!$C$4="All",'CA Dashboard'!$C$4=D714),OR('CA Dashboard'!$C$5="All",'CA Dashboard'!$C$5=G714),OR('CA Dashboard'!$C$6="All",'CA Dashboard'!$C$6=H714),OR('CA Dashboard'!$C$7="All",'CA Dashboard'!$C$7=F714),OR('CA Dashboard'!$C$8="All",'CA Dashboard'!$C$8=AJ714))</f>
        <v/>
      </c>
      <c r="AI714" s="148">
        <f>IF(AH714,AI713+1,AI713)</f>
        <v/>
      </c>
      <c r="AJ714" s="148" t="inlineStr">
        <is>
          <t>Not classified</t>
        </is>
      </c>
      <c r="AK714" s="148" t="inlineStr">
        <is>
          <t>Not a sheet, pillowcase or comforter product; competitors are compared on price and sales only.</t>
        </is>
      </c>
    </row>
    <row r="715">
      <c r="A715" s="148">
        <f>AND(E715="US",OR('US Dashboard'!$C$4="All",'US Dashboard'!$C$4=D715),OR('US Dashboard'!$C$5="All",'US Dashboard'!$C$5=G715),OR('US Dashboard'!$C$6="All",'US Dashboard'!$C$6=H715),OR('US Dashboard'!$C$7="All",'US Dashboard'!$C$7=F715),OR('US Dashboard'!$C$8="All",'US Dashboard'!$C$8=AJ715))</f>
        <v/>
      </c>
      <c r="B715" s="148">
        <f>IF(A715,B714+1,B714)</f>
        <v/>
      </c>
      <c r="C715" s="148" t="n">
        <v>58</v>
      </c>
      <c r="D715" s="148" t="inlineStr">
        <is>
          <t>DC Welcome Sign</t>
        </is>
      </c>
      <c r="E715" s="148" t="inlineStr">
        <is>
          <t>US</t>
        </is>
      </c>
      <c r="F715" s="148" t="inlineStr">
        <is>
          <t>Other</t>
        </is>
      </c>
      <c r="G715" s="148" t="inlineStr">
        <is>
          <t>SRSZHIYUE</t>
        </is>
      </c>
      <c r="H715" s="148" t="inlineStr">
        <is>
          <t>Beatable</t>
        </is>
      </c>
      <c r="I715" s="148" t="inlineStr">
        <is>
          <t>Front Door Welcome Sign</t>
        </is>
      </c>
      <c r="J715" s="148" t="inlineStr">
        <is>
          <t>https://m.media-amazon.com/images/I/81dGwx5TqEL._AC_SL1500_.jpg</t>
        </is>
      </c>
      <c r="K715" s="148" t="inlineStr">
        <is>
          <t>B0HHR2H9D1</t>
        </is>
      </c>
      <c r="L715" s="148" t="inlineStr">
        <is>
          <t>B0FLPZN8VF</t>
        </is>
      </c>
      <c r="M715" s="148" t="n"/>
      <c r="N715" s="148" t="n">
        <v>40.89</v>
      </c>
      <c r="O715" s="148" t="n"/>
      <c r="P715" s="148">
        <f>IF(AND(ISNUMBER(O715),ISNUMBER(N715),N(N715)&gt;0),O715/N715-1,"")</f>
        <v/>
      </c>
      <c r="Q715" s="148" t="n">
        <v>37.95</v>
      </c>
      <c r="R715" s="148">
        <f>IF(AND(ISNUMBER(N715),ISNUMBER(Q715),N(Q715)&gt;0),N715/Q715-1,"")</f>
        <v/>
      </c>
      <c r="S715" s="148" t="n">
        <v>119925</v>
      </c>
      <c r="T715" s="148" t="n">
        <v>18</v>
      </c>
      <c r="U715" s="148" t="n">
        <v>3.9</v>
      </c>
      <c r="V715" s="148" t="n">
        <v>23</v>
      </c>
      <c r="W715" s="148" t="n"/>
      <c r="X715" s="148" t="n"/>
      <c r="Y715" s="148" t="n"/>
      <c r="Z715" s="148" t="n"/>
      <c r="AA715" s="148" t="n"/>
      <c r="AB715" s="148" t="n"/>
      <c r="AC715" s="148" t="inlineStr">
        <is>
          <t>US DC Welcome Sign</t>
        </is>
      </c>
      <c r="AD715" s="148">
        <f>'US DC Welcome Sign'!BF56</f>
        <v/>
      </c>
      <c r="AE715" s="148">
        <f>'US DC Welcome Sign'!BI56</f>
        <v/>
      </c>
      <c r="AF715" s="148" t="inlineStr">
        <is>
          <t>45"X9"</t>
        </is>
      </c>
      <c r="AG715" s="148" t="inlineStr">
        <is>
          <t>Interchangeable Welcome Black</t>
        </is>
      </c>
      <c r="AH715" s="148">
        <f>AND(E715="CA",OR('CA Dashboard'!$C$4="All",'CA Dashboard'!$C$4=D715),OR('CA Dashboard'!$C$5="All",'CA Dashboard'!$C$5=G715),OR('CA Dashboard'!$C$6="All",'CA Dashboard'!$C$6=H715),OR('CA Dashboard'!$C$7="All",'CA Dashboard'!$C$7=F715),OR('CA Dashboard'!$C$8="All",'CA Dashboard'!$C$8=AJ715))</f>
        <v/>
      </c>
      <c r="AI715" s="148">
        <f>IF(AH715,AI714+1,AI714)</f>
        <v/>
      </c>
      <c r="AJ715" s="148" t="inlineStr">
        <is>
          <t>Not classified</t>
        </is>
      </c>
      <c r="AK715" s="148" t="inlineStr">
        <is>
          <t>Not a sheet, pillowcase or comforter product; competitors are compared on price and sales only.</t>
        </is>
      </c>
    </row>
    <row r="716">
      <c r="A716" s="148">
        <f>AND(E716="US",OR('US Dashboard'!$C$4="All",'US Dashboard'!$C$4=D716),OR('US Dashboard'!$C$5="All",'US Dashboard'!$C$5=G716),OR('US Dashboard'!$C$6="All",'US Dashboard'!$C$6=H716),OR('US Dashboard'!$C$7="All",'US Dashboard'!$C$7=F716),OR('US Dashboard'!$C$8="All",'US Dashboard'!$C$8=AJ716))</f>
        <v/>
      </c>
      <c r="B716" s="148">
        <f>IF(A716,B715+1,B715)</f>
        <v/>
      </c>
      <c r="C716" s="148" t="n">
        <v>58</v>
      </c>
      <c r="D716" s="148" t="inlineStr">
        <is>
          <t>DC Welcome Sign</t>
        </is>
      </c>
      <c r="E716" s="148" t="inlineStr">
        <is>
          <t>US</t>
        </is>
      </c>
      <c r="F716" s="148" t="inlineStr">
        <is>
          <t>Other</t>
        </is>
      </c>
      <c r="G716" s="148" t="inlineStr">
        <is>
          <t>Yalikop</t>
        </is>
      </c>
      <c r="H716" s="148" t="inlineStr">
        <is>
          <t>Beatable</t>
        </is>
      </c>
      <c r="I716" s="148" t="inlineStr">
        <is>
          <t>Yalikop Interchangeable Welcome Sign for Front Porch 47 x 7.9'', Wood Color</t>
        </is>
      </c>
      <c r="J716" s="148" t="inlineStr">
        <is>
          <t>https://images-na.ssl-images-amazon.com/images/I/71pQygIBqtL.jpg</t>
        </is>
      </c>
      <c r="K716" s="148" t="inlineStr">
        <is>
          <t>B0FCS2QVKW</t>
        </is>
      </c>
      <c r="L716" s="148" t="inlineStr">
        <is>
          <t>B0FCRYV96S</t>
        </is>
      </c>
      <c r="M716" s="148" t="n">
        <v>2</v>
      </c>
      <c r="N716" s="148" t="n">
        <v>39.99</v>
      </c>
      <c r="O716" s="148" t="n"/>
      <c r="P716" s="148">
        <f>IF(AND(ISNUMBER(O716),ISNUMBER(N716),N(N716)&gt;0),O716/N716-1,"")</f>
        <v/>
      </c>
      <c r="Q716" s="148" t="n">
        <v>37.95</v>
      </c>
      <c r="R716" s="148">
        <f>IF(AND(ISNUMBER(N716),ISNUMBER(Q716),N(Q716)&gt;0),N716/Q716-1,"")</f>
        <v/>
      </c>
      <c r="S716" s="148" t="n">
        <v>245605</v>
      </c>
      <c r="T716" s="148" t="n">
        <v>18</v>
      </c>
      <c r="U716" s="148" t="n">
        <v>3.8</v>
      </c>
      <c r="V716" s="148" t="n">
        <v>51</v>
      </c>
      <c r="W716" s="148" t="n"/>
      <c r="X716" s="148" t="n"/>
      <c r="Y716" s="148" t="n"/>
      <c r="Z716" s="148" t="n"/>
      <c r="AA716" s="148" t="n"/>
      <c r="AB716" s="148" t="n"/>
      <c r="AC716" s="148" t="inlineStr">
        <is>
          <t>US DC Welcome Sign</t>
        </is>
      </c>
      <c r="AD716" s="148">
        <f>'US DC Welcome Sign'!BF57</f>
        <v/>
      </c>
      <c r="AE716" s="148">
        <f>'US DC Welcome Sign'!BI57</f>
        <v/>
      </c>
      <c r="AF716" s="148" t="inlineStr">
        <is>
          <t>47.2 x 7.9 x 0.8 inches</t>
        </is>
      </c>
      <c r="AG716" s="148" t="inlineStr">
        <is>
          <t>Wood Color</t>
        </is>
      </c>
      <c r="AH716" s="148">
        <f>AND(E716="CA",OR('CA Dashboard'!$C$4="All",'CA Dashboard'!$C$4=D716),OR('CA Dashboard'!$C$5="All",'CA Dashboard'!$C$5=G716),OR('CA Dashboard'!$C$6="All",'CA Dashboard'!$C$6=H716),OR('CA Dashboard'!$C$7="All",'CA Dashboard'!$C$7=F716),OR('CA Dashboard'!$C$8="All",'CA Dashboard'!$C$8=AJ716))</f>
        <v/>
      </c>
      <c r="AI716" s="148">
        <f>IF(AH716,AI715+1,AI715)</f>
        <v/>
      </c>
      <c r="AJ716" s="148" t="inlineStr">
        <is>
          <t>Not classified</t>
        </is>
      </c>
      <c r="AK716" s="148" t="inlineStr">
        <is>
          <t>Not a sheet, pillowcase or comforter product; competitors are compared on price and sales only.</t>
        </is>
      </c>
    </row>
    <row r="717">
      <c r="A717" s="148">
        <f>AND(E717="US",OR('US Dashboard'!$C$4="All",'US Dashboard'!$C$4=D717),OR('US Dashboard'!$C$5="All",'US Dashboard'!$C$5=G717),OR('US Dashboard'!$C$6="All",'US Dashboard'!$C$6=H717),OR('US Dashboard'!$C$7="All",'US Dashboard'!$C$7=F717),OR('US Dashboard'!$C$8="All",'US Dashboard'!$C$8=AJ717))</f>
        <v/>
      </c>
      <c r="B717" s="148">
        <f>IF(A717,B716+1,B716)</f>
        <v/>
      </c>
      <c r="C717" s="148" t="n">
        <v>58</v>
      </c>
      <c r="D717" s="148" t="inlineStr">
        <is>
          <t>DC Welcome Sign</t>
        </is>
      </c>
      <c r="E717" s="148" t="inlineStr">
        <is>
          <t>US</t>
        </is>
      </c>
      <c r="F717" s="148" t="inlineStr">
        <is>
          <t>Other</t>
        </is>
      </c>
      <c r="G717" s="148" t="inlineStr">
        <is>
          <t>Consevisen</t>
        </is>
      </c>
      <c r="H717" s="148" t="inlineStr">
        <is>
          <t>Beatable</t>
        </is>
      </c>
      <c r="I717" s="148" t="inlineStr">
        <is>
          <t>Consevisen Welcome Sign for Front Door Porch Standing, Interchangeable 47 x 7.9 Inch Outdoor Vertical Wooden Welcome Sign with 12 Seasonal Icons for Spring Fall Christmas Easter Farmhouse Home Decor</t>
        </is>
      </c>
      <c r="J717" s="148" t="inlineStr">
        <is>
          <t>https://images-na.ssl-images-amazon.com/images/I/8173SwtzP6L.jpg</t>
        </is>
      </c>
      <c r="K717" s="148" t="inlineStr">
        <is>
          <t>B0CKVSC1SZ</t>
        </is>
      </c>
      <c r="L717" s="148" t="inlineStr">
        <is>
          <t>B0CKVPXJ8Z</t>
        </is>
      </c>
      <c r="M717" s="148" t="n">
        <v>1</v>
      </c>
      <c r="N717" s="148" t="n">
        <v>31.99</v>
      </c>
      <c r="O717" s="148" t="n"/>
      <c r="P717" s="148">
        <f>IF(AND(ISNUMBER(O717),ISNUMBER(N717),N(N717)&gt;0),O717/N717-1,"")</f>
        <v/>
      </c>
      <c r="Q717" s="148" t="n">
        <v>37.95</v>
      </c>
      <c r="R717" s="148">
        <f>IF(AND(ISNUMBER(N717),ISNUMBER(Q717),N(Q717)&gt;0),N717/Q717-1,"")</f>
        <v/>
      </c>
      <c r="S717" s="148" t="n">
        <v>736260</v>
      </c>
      <c r="T717" s="148" t="n">
        <v>5</v>
      </c>
      <c r="U717" s="148" t="n">
        <v>3.5</v>
      </c>
      <c r="V717" s="148" t="n">
        <v>198</v>
      </c>
      <c r="W717" s="148" t="n"/>
      <c r="X717" s="148" t="n"/>
      <c r="Y717" s="148" t="n"/>
      <c r="Z717" s="148" t="n"/>
      <c r="AA717" s="148" t="n"/>
      <c r="AB717" s="148" t="n"/>
      <c r="AC717" s="148" t="inlineStr">
        <is>
          <t>US DC Welcome Sign</t>
        </is>
      </c>
      <c r="AD717" s="148">
        <f>'US DC Welcome Sign'!BF58</f>
        <v/>
      </c>
      <c r="AE717" s="148">
        <f>'US DC Welcome Sign'!BI58</f>
        <v/>
      </c>
      <c r="AF717" s="148" t="inlineStr">
        <is>
          <t>Large</t>
        </is>
      </c>
      <c r="AG717" s="148" t="inlineStr">
        <is>
          <t>Black</t>
        </is>
      </c>
      <c r="AH717" s="148">
        <f>AND(E717="CA",OR('CA Dashboard'!$C$4="All",'CA Dashboard'!$C$4=D717),OR('CA Dashboard'!$C$5="All",'CA Dashboard'!$C$5=G717),OR('CA Dashboard'!$C$6="All",'CA Dashboard'!$C$6=H717),OR('CA Dashboard'!$C$7="All",'CA Dashboard'!$C$7=F717),OR('CA Dashboard'!$C$8="All",'CA Dashboard'!$C$8=AJ717))</f>
        <v/>
      </c>
      <c r="AI717" s="148">
        <f>IF(AH717,AI716+1,AI716)</f>
        <v/>
      </c>
      <c r="AJ717" s="148" t="inlineStr">
        <is>
          <t>Not classified</t>
        </is>
      </c>
      <c r="AK717" s="148" t="inlineStr">
        <is>
          <t>Not a sheet, pillowcase or comforter product; competitors are compared on price and sales only.</t>
        </is>
      </c>
    </row>
    <row r="718">
      <c r="A718" s="148">
        <f>AND(E718="US",OR('US Dashboard'!$C$4="All",'US Dashboard'!$C$4=D718),OR('US Dashboard'!$C$5="All",'US Dashboard'!$C$5=G718),OR('US Dashboard'!$C$6="All",'US Dashboard'!$C$6=H718),OR('US Dashboard'!$C$7="All",'US Dashboard'!$C$7=F718),OR('US Dashboard'!$C$8="All",'US Dashboard'!$C$8=AJ718))</f>
        <v/>
      </c>
      <c r="B718" s="148">
        <f>IF(A718,B717+1,B717)</f>
        <v/>
      </c>
      <c r="C718" s="148" t="n">
        <v>58</v>
      </c>
      <c r="D718" s="148" t="inlineStr">
        <is>
          <t>DC Welcome Sign</t>
        </is>
      </c>
      <c r="E718" s="148" t="inlineStr">
        <is>
          <t>US</t>
        </is>
      </c>
      <c r="F718" s="148" t="inlineStr">
        <is>
          <t>Other</t>
        </is>
      </c>
      <c r="G718" s="148" t="inlineStr">
        <is>
          <t>flowtorely</t>
        </is>
      </c>
      <c r="H718" s="148" t="inlineStr">
        <is>
          <t>Beatable</t>
        </is>
      </c>
      <c r="I718" s="148" t="inlineStr">
        <is>
          <t>Front Door Welcome Sign</t>
        </is>
      </c>
      <c r="J718" s="148" t="inlineStr">
        <is>
          <t>https://m.media-amazon.com/images/I/81YYmnYwYCL._AC_SL1500_.jpg</t>
        </is>
      </c>
      <c r="K718" s="148" t="inlineStr">
        <is>
          <t>B0GMWJVN14</t>
        </is>
      </c>
      <c r="L718" s="148" t="inlineStr">
        <is>
          <t>B0D5HJM483</t>
        </is>
      </c>
      <c r="M718" s="148" t="n"/>
      <c r="N718" s="148" t="n">
        <v>40.99</v>
      </c>
      <c r="O718" s="148" t="n"/>
      <c r="P718" s="148">
        <f>IF(AND(ISNUMBER(O718),ISNUMBER(N718),N(N718)&gt;0),O718/N718-1,"")</f>
        <v/>
      </c>
      <c r="Q718" s="148" t="n">
        <v>37.95</v>
      </c>
      <c r="R718" s="148">
        <f>IF(AND(ISNUMBER(N718),ISNUMBER(Q718),N(Q718)&gt;0),N718/Q718-1,"")</f>
        <v/>
      </c>
      <c r="S718" s="148" t="n">
        <v>203350</v>
      </c>
      <c r="T718" s="148" t="n">
        <v>5</v>
      </c>
      <c r="U718" s="148" t="n">
        <v>4.5</v>
      </c>
      <c r="V718" s="148" t="n">
        <v>557</v>
      </c>
      <c r="W718" s="148" t="n"/>
      <c r="X718" s="148" t="n"/>
      <c r="Y718" s="148" t="n"/>
      <c r="Z718" s="148" t="n"/>
      <c r="AA718" s="148" t="n"/>
      <c r="AB718" s="148" t="n"/>
      <c r="AC718" s="148" t="inlineStr">
        <is>
          <t>US DC Welcome Sign</t>
        </is>
      </c>
      <c r="AD718" s="148">
        <f>'US DC Welcome Sign'!BF59</f>
        <v/>
      </c>
      <c r="AE718" s="148">
        <f>'US DC Welcome Sign'!BI59</f>
        <v/>
      </c>
      <c r="AF718" s="148" t="inlineStr">
        <is>
          <t>45"L x 9"W</t>
        </is>
      </c>
      <c r="AG718" s="148" t="inlineStr">
        <is>
          <t>Oh Hello There Outdoor （Welcome Black)</t>
        </is>
      </c>
      <c r="AH718" s="148">
        <f>AND(E718="CA",OR('CA Dashboard'!$C$4="All",'CA Dashboard'!$C$4=D718),OR('CA Dashboard'!$C$5="All",'CA Dashboard'!$C$5=G718),OR('CA Dashboard'!$C$6="All",'CA Dashboard'!$C$6=H718),OR('CA Dashboard'!$C$7="All",'CA Dashboard'!$C$7=F718),OR('CA Dashboard'!$C$8="All",'CA Dashboard'!$C$8=AJ718))</f>
        <v/>
      </c>
      <c r="AI718" s="148">
        <f>IF(AH718,AI717+1,AI717)</f>
        <v/>
      </c>
      <c r="AJ718" s="148" t="inlineStr">
        <is>
          <t>Not classified</t>
        </is>
      </c>
      <c r="AK718" s="148" t="inlineStr">
        <is>
          <t>Not a sheet, pillowcase or comforter product; competitors are compared on price and sales only.</t>
        </is>
      </c>
    </row>
    <row r="719">
      <c r="A719" s="148">
        <f>AND(E719="US",OR('US Dashboard'!$C$4="All",'US Dashboard'!$C$4=D719),OR('US Dashboard'!$C$5="All",'US Dashboard'!$C$5=G719),OR('US Dashboard'!$C$6="All",'US Dashboard'!$C$6=H719),OR('US Dashboard'!$C$7="All",'US Dashboard'!$C$7=F719),OR('US Dashboard'!$C$8="All",'US Dashboard'!$C$8=AJ719))</f>
        <v/>
      </c>
      <c r="B719" s="148">
        <f>IF(A719,B718+1,B718)</f>
        <v/>
      </c>
      <c r="C719" s="148" t="n">
        <v>58</v>
      </c>
      <c r="D719" s="148" t="inlineStr">
        <is>
          <t>DC Welcome Sign</t>
        </is>
      </c>
      <c r="E719" s="148" t="inlineStr">
        <is>
          <t>US</t>
        </is>
      </c>
      <c r="F719" s="148" t="inlineStr">
        <is>
          <t>Other</t>
        </is>
      </c>
      <c r="G719" s="148" t="inlineStr">
        <is>
          <t>Hentonwell</t>
        </is>
      </c>
      <c r="H719" s="148" t="inlineStr">
        <is>
          <t>Beatable</t>
        </is>
      </c>
      <c r="I719" s="148" t="inlineStr">
        <is>
          <t>Welcome Porch Sign Decor,Hanging Wooden Door Sign,Rustic Porch Standing Decorative Signs,Vertical Plaques for Front Door,Farmhouse Outdoor Indoor Welcome Sign 47.2"H（Black）</t>
        </is>
      </c>
      <c r="J719" s="148" t="inlineStr">
        <is>
          <t>https://images-na.ssl-images-amazon.com/images/I/81l+mEjvGuL.jpg</t>
        </is>
      </c>
      <c r="K719" s="148" t="inlineStr">
        <is>
          <t>B0FHWJW2GJ</t>
        </is>
      </c>
      <c r="L719" s="148" t="inlineStr">
        <is>
          <t>B0FHWKTVFW</t>
        </is>
      </c>
      <c r="M719" s="148" t="n">
        <v>1</v>
      </c>
      <c r="N719" s="148" t="n">
        <v>23.99</v>
      </c>
      <c r="O719" s="148" t="n">
        <v>26.99</v>
      </c>
      <c r="P719" s="148">
        <f>IF(AND(ISNUMBER(O719),ISNUMBER(N719),N(N719)&gt;0),O719/N719-1,"")</f>
        <v/>
      </c>
      <c r="Q719" s="148" t="n">
        <v>37.95</v>
      </c>
      <c r="R719" s="148">
        <f>IF(AND(ISNUMBER(N719),ISNUMBER(Q719),N(Q719)&gt;0),N719/Q719-1,"")</f>
        <v/>
      </c>
      <c r="S719" s="148" t="n">
        <v>854564</v>
      </c>
      <c r="T719" s="148" t="n">
        <v>5</v>
      </c>
      <c r="U719" s="148" t="n">
        <v>4</v>
      </c>
      <c r="V719" s="148" t="n">
        <v>54</v>
      </c>
      <c r="W719" s="148" t="n"/>
      <c r="X719" s="148" t="n"/>
      <c r="Y719" s="148" t="n"/>
      <c r="Z719" s="148" t="n"/>
      <c r="AA719" s="148" t="n"/>
      <c r="AB719" s="148" t="n"/>
      <c r="AC719" s="148" t="inlineStr">
        <is>
          <t>US DC Welcome Sign</t>
        </is>
      </c>
      <c r="AD719" s="148">
        <f>'US DC Welcome Sign'!BF60</f>
        <v/>
      </c>
      <c r="AE719" s="148">
        <f>'US DC Welcome Sign'!BI60</f>
        <v/>
      </c>
      <c r="AF719" s="148" t="inlineStr">
        <is>
          <t>47.2 inches (Height)</t>
        </is>
      </c>
      <c r="AG719" s="148" t="inlineStr">
        <is>
          <t>Black</t>
        </is>
      </c>
      <c r="AH719" s="148">
        <f>AND(E719="CA",OR('CA Dashboard'!$C$4="All",'CA Dashboard'!$C$4=D719),OR('CA Dashboard'!$C$5="All",'CA Dashboard'!$C$5=G719),OR('CA Dashboard'!$C$6="All",'CA Dashboard'!$C$6=H719),OR('CA Dashboard'!$C$7="All",'CA Dashboard'!$C$7=F719),OR('CA Dashboard'!$C$8="All",'CA Dashboard'!$C$8=AJ719))</f>
        <v/>
      </c>
      <c r="AI719" s="148">
        <f>IF(AH719,AI718+1,AI718)</f>
        <v/>
      </c>
      <c r="AJ719" s="148" t="inlineStr">
        <is>
          <t>Not classified</t>
        </is>
      </c>
      <c r="AK719" s="148" t="inlineStr">
        <is>
          <t>Not a sheet, pillowcase or comforter product; competitors are compared on price and sales only.</t>
        </is>
      </c>
    </row>
    <row r="720">
      <c r="A720" s="148">
        <f>AND(E720="US",OR('US Dashboard'!$C$4="All",'US Dashboard'!$C$4=D720),OR('US Dashboard'!$C$5="All",'US Dashboard'!$C$5=G720),OR('US Dashboard'!$C$6="All",'US Dashboard'!$C$6=H720),OR('US Dashboard'!$C$7="All",'US Dashboard'!$C$7=F720),OR('US Dashboard'!$C$8="All",'US Dashboard'!$C$8=AJ720))</f>
        <v/>
      </c>
      <c r="B720" s="148">
        <f>IF(A720,B719+1,B719)</f>
        <v/>
      </c>
      <c r="C720" s="148" t="n">
        <v>58</v>
      </c>
      <c r="D720" s="148" t="inlineStr">
        <is>
          <t>DC Welcome Sign</t>
        </is>
      </c>
      <c r="E720" s="148" t="inlineStr">
        <is>
          <t>US</t>
        </is>
      </c>
      <c r="F720" s="148" t="inlineStr">
        <is>
          <t>Other</t>
        </is>
      </c>
      <c r="G720" s="148" t="inlineStr">
        <is>
          <t>homuvdok</t>
        </is>
      </c>
      <c r="H720" s="148" t="inlineStr">
        <is>
          <t>Beatable</t>
        </is>
      </c>
      <c r="I720" s="148" t="inlineStr">
        <is>
          <t>Front Door Welcome Sign</t>
        </is>
      </c>
      <c r="J720" s="148" t="inlineStr">
        <is>
          <t>https://m.media-amazon.com/images/I/71r6jZo6jqL._AC_SL1500_.jpg</t>
        </is>
      </c>
      <c r="K720" s="148" t="inlineStr">
        <is>
          <t>B0G2XD3DW6</t>
        </is>
      </c>
      <c r="L720" s="148" t="inlineStr">
        <is>
          <t>B0FWC4V93F</t>
        </is>
      </c>
      <c r="M720" s="148" t="n"/>
      <c r="N720" s="148" t="n">
        <v>25.99</v>
      </c>
      <c r="O720" s="148" t="n"/>
      <c r="P720" s="148">
        <f>IF(AND(ISNUMBER(O720),ISNUMBER(N720),N(N720)&gt;0),O720/N720-1,"")</f>
        <v/>
      </c>
      <c r="Q720" s="148" t="n">
        <v>37.95</v>
      </c>
      <c r="R720" s="148">
        <f>IF(AND(ISNUMBER(N720),ISNUMBER(Q720),N(Q720)&gt;0),N720/Q720-1,"")</f>
        <v/>
      </c>
      <c r="S720" s="148" t="n">
        <v>89173</v>
      </c>
      <c r="T720" s="148" t="n">
        <v>5</v>
      </c>
      <c r="U720" s="148" t="n">
        <v>4</v>
      </c>
      <c r="V720" s="148" t="n">
        <v>129</v>
      </c>
      <c r="W720" s="148" t="n"/>
      <c r="X720" s="148" t="n"/>
      <c r="Y720" s="148" t="n"/>
      <c r="Z720" s="148" t="n"/>
      <c r="AA720" s="148" t="n"/>
      <c r="AB720" s="148" t="n"/>
      <c r="AC720" s="148" t="inlineStr">
        <is>
          <t>US DC Welcome Sign</t>
        </is>
      </c>
      <c r="AD720" s="148">
        <f>'US DC Welcome Sign'!BF61</f>
        <v/>
      </c>
      <c r="AE720" s="148">
        <f>'US DC Welcome Sign'!BI61</f>
        <v/>
      </c>
      <c r="AF720" s="148" t="inlineStr">
        <is>
          <t>7.8" x 47.2"</t>
        </is>
      </c>
      <c r="AG720" s="148" t="inlineStr">
        <is>
          <t>Natural Board</t>
        </is>
      </c>
      <c r="AH720" s="148">
        <f>AND(E720="CA",OR('CA Dashboard'!$C$4="All",'CA Dashboard'!$C$4=D720),OR('CA Dashboard'!$C$5="All",'CA Dashboard'!$C$5=G720),OR('CA Dashboard'!$C$6="All",'CA Dashboard'!$C$6=H720),OR('CA Dashboard'!$C$7="All",'CA Dashboard'!$C$7=F720),OR('CA Dashboard'!$C$8="All",'CA Dashboard'!$C$8=AJ720))</f>
        <v/>
      </c>
      <c r="AI720" s="148">
        <f>IF(AH720,AI719+1,AI719)</f>
        <v/>
      </c>
      <c r="AJ720" s="148" t="inlineStr">
        <is>
          <t>Not classified</t>
        </is>
      </c>
      <c r="AK720" s="148" t="inlineStr">
        <is>
          <t>Not a sheet, pillowcase or comforter product; competitors are compared on price and sales only.</t>
        </is>
      </c>
    </row>
    <row r="721">
      <c r="A721" s="148">
        <f>AND(E721="US",OR('US Dashboard'!$C$4="All",'US Dashboard'!$C$4=D721),OR('US Dashboard'!$C$5="All",'US Dashboard'!$C$5=G721),OR('US Dashboard'!$C$6="All",'US Dashboard'!$C$6=H721),OR('US Dashboard'!$C$7="All",'US Dashboard'!$C$7=F721),OR('US Dashboard'!$C$8="All",'US Dashboard'!$C$8=AJ721))</f>
        <v/>
      </c>
      <c r="B721" s="148">
        <f>IF(A721,B720+1,B720)</f>
        <v/>
      </c>
      <c r="C721" s="148" t="n">
        <v>58</v>
      </c>
      <c r="D721" s="148" t="inlineStr">
        <is>
          <t>DC Welcome Sign</t>
        </is>
      </c>
      <c r="E721" s="148" t="inlineStr">
        <is>
          <t>US</t>
        </is>
      </c>
      <c r="F721" s="148" t="inlineStr">
        <is>
          <t>Other</t>
        </is>
      </c>
      <c r="G721" s="148" t="inlineStr">
        <is>
          <t>RLWangChao</t>
        </is>
      </c>
      <c r="H721" s="148" t="inlineStr">
        <is>
          <t>Beatable</t>
        </is>
      </c>
      <c r="I721" s="148" t="inlineStr">
        <is>
          <t>Front Door Welcome Sign</t>
        </is>
      </c>
      <c r="J721" s="148" t="inlineStr">
        <is>
          <t>https://m.media-amazon.com/images/I/81+Gr2iZoCL._AC_SL1500_.jpg</t>
        </is>
      </c>
      <c r="K721" s="148" t="inlineStr">
        <is>
          <t>B0D1VHD6PY</t>
        </is>
      </c>
      <c r="L721" s="148" t="inlineStr">
        <is>
          <t>B0DG2RHFFV</t>
        </is>
      </c>
      <c r="M721" s="148" t="n"/>
      <c r="N721" s="148" t="n">
        <v>25.49</v>
      </c>
      <c r="O721" s="148" t="n">
        <v>29.99</v>
      </c>
      <c r="P721" s="148">
        <f>IF(AND(ISNUMBER(O721),ISNUMBER(N721),N(N721)&gt;0),O721/N721-1,"")</f>
        <v/>
      </c>
      <c r="Q721" s="148" t="n">
        <v>37.95</v>
      </c>
      <c r="R721" s="148">
        <f>IF(AND(ISNUMBER(N721),ISNUMBER(Q721),N(Q721)&gt;0),N721/Q721-1,"")</f>
        <v/>
      </c>
      <c r="S721" s="148" t="n">
        <v>111258</v>
      </c>
      <c r="T721" s="148" t="n">
        <v>5</v>
      </c>
      <c r="U721" s="148" t="n">
        <v>3.8</v>
      </c>
      <c r="V721" s="148" t="n">
        <v>233</v>
      </c>
      <c r="W721" s="148" t="n"/>
      <c r="X721" s="148" t="n"/>
      <c r="Y721" s="148" t="n"/>
      <c r="Z721" s="148" t="n"/>
      <c r="AA721" s="148" t="n"/>
      <c r="AB721" s="148" t="n"/>
      <c r="AC721" s="148" t="inlineStr">
        <is>
          <t>US DC Welcome Sign</t>
        </is>
      </c>
      <c r="AD721" s="148">
        <f>'US DC Welcome Sign'!BF62</f>
        <v/>
      </c>
      <c r="AE721" s="148">
        <f>'US DC Welcome Sign'!BI62</f>
        <v/>
      </c>
      <c r="AF721" s="148" t="inlineStr">
        <is>
          <t>47"L x 8"W</t>
        </is>
      </c>
      <c r="AG721" s="148" t="inlineStr">
        <is>
          <t>White</t>
        </is>
      </c>
      <c r="AH721" s="148">
        <f>AND(E721="CA",OR('CA Dashboard'!$C$4="All",'CA Dashboard'!$C$4=D721),OR('CA Dashboard'!$C$5="All",'CA Dashboard'!$C$5=G721),OR('CA Dashboard'!$C$6="All",'CA Dashboard'!$C$6=H721),OR('CA Dashboard'!$C$7="All",'CA Dashboard'!$C$7=F721),OR('CA Dashboard'!$C$8="All",'CA Dashboard'!$C$8=AJ721))</f>
        <v/>
      </c>
      <c r="AI721" s="148">
        <f>IF(AH721,AI720+1,AI720)</f>
        <v/>
      </c>
      <c r="AJ721" s="148" t="inlineStr">
        <is>
          <t>Not classified</t>
        </is>
      </c>
      <c r="AK721" s="148" t="inlineStr">
        <is>
          <t>Not a sheet, pillowcase or comforter product; competitors are compared on price and sales only.</t>
        </is>
      </c>
    </row>
    <row r="722">
      <c r="A722" s="148">
        <f>AND(E722="US",OR('US Dashboard'!$C$4="All",'US Dashboard'!$C$4=D722),OR('US Dashboard'!$C$5="All",'US Dashboard'!$C$5=G722),OR('US Dashboard'!$C$6="All",'US Dashboard'!$C$6=H722),OR('US Dashboard'!$C$7="All",'US Dashboard'!$C$7=F722),OR('US Dashboard'!$C$8="All",'US Dashboard'!$C$8=AJ722))</f>
        <v/>
      </c>
      <c r="B722" s="148">
        <f>IF(A722,B721+1,B721)</f>
        <v/>
      </c>
      <c r="C722" s="148" t="n">
        <v>58</v>
      </c>
      <c r="D722" s="148" t="inlineStr">
        <is>
          <t>DC Welcome Sign</t>
        </is>
      </c>
      <c r="E722" s="148" t="inlineStr">
        <is>
          <t>US</t>
        </is>
      </c>
      <c r="F722" s="148" t="inlineStr">
        <is>
          <t>Other</t>
        </is>
      </c>
      <c r="G722" s="148" t="inlineStr">
        <is>
          <t>Dlerom</t>
        </is>
      </c>
      <c r="H722" s="148" t="inlineStr">
        <is>
          <t>Untiered</t>
        </is>
      </c>
      <c r="I722" s="148" t="inlineStr">
        <is>
          <t>Spring Summer Welcome for Front Porch Standing, Daisy Wooden Porch Sign for Front Door Decorations, Rustic Farmhouse Hanging Wall Sign for Spring Home Decor, 47.2"H</t>
        </is>
      </c>
      <c r="J722" s="148" t="inlineStr">
        <is>
          <t>https://images-na.ssl-images-amazon.com/images/I/81CvR4cjzTL.jpg</t>
        </is>
      </c>
      <c r="K722" s="148" t="inlineStr">
        <is>
          <t>B0G82967V2</t>
        </is>
      </c>
      <c r="L722" s="148" t="inlineStr">
        <is>
          <t>B0G82967V2</t>
        </is>
      </c>
      <c r="M722" s="148" t="n">
        <v>1</v>
      </c>
      <c r="N722" s="148" t="n">
        <v>17.99</v>
      </c>
      <c r="O722" s="148" t="n"/>
      <c r="P722" s="148">
        <f>IF(AND(ISNUMBER(O722),ISNUMBER(N722),N(N722)&gt;0),O722/N722-1,"")</f>
        <v/>
      </c>
      <c r="Q722" s="148" t="n">
        <v>37.95</v>
      </c>
      <c r="R722" s="148">
        <f>IF(AND(ISNUMBER(N722),ISNUMBER(Q722),N(Q722)&gt;0),N722/Q722-1,"")</f>
        <v/>
      </c>
      <c r="S722" s="148" t="n">
        <v>1671691</v>
      </c>
      <c r="T722" s="148" t="n">
        <v>5</v>
      </c>
      <c r="U722" s="148" t="n">
        <v>3.9</v>
      </c>
      <c r="V722" s="148" t="n">
        <v>17</v>
      </c>
      <c r="W722" s="148" t="n"/>
      <c r="X722" s="148" t="n"/>
      <c r="Y722" s="148" t="n"/>
      <c r="Z722" s="148" t="n"/>
      <c r="AA722" s="148" t="n"/>
      <c r="AB722" s="148" t="n"/>
      <c r="AC722" s="148" t="inlineStr">
        <is>
          <t>US DC Welcome Sign</t>
        </is>
      </c>
      <c r="AD722" s="148">
        <f>'US DC Welcome Sign'!BF63</f>
        <v/>
      </c>
      <c r="AE722" s="148">
        <f>'US DC Welcome Sign'!BI63</f>
        <v/>
      </c>
      <c r="AF722" s="148" t="inlineStr">
        <is>
          <t>47x7.8 inches</t>
        </is>
      </c>
      <c r="AG722" s="148" t="inlineStr">
        <is>
          <t>Yellow &amp; White</t>
        </is>
      </c>
      <c r="AH722" s="148">
        <f>AND(E722="CA",OR('CA Dashboard'!$C$4="All",'CA Dashboard'!$C$4=D722),OR('CA Dashboard'!$C$5="All",'CA Dashboard'!$C$5=G722),OR('CA Dashboard'!$C$6="All",'CA Dashboard'!$C$6=H722),OR('CA Dashboard'!$C$7="All",'CA Dashboard'!$C$7=F722),OR('CA Dashboard'!$C$8="All",'CA Dashboard'!$C$8=AJ722))</f>
        <v/>
      </c>
      <c r="AI722" s="148">
        <f>IF(AH722,AI721+1,AI721)</f>
        <v/>
      </c>
      <c r="AJ722" s="148" t="inlineStr">
        <is>
          <t>Not classified</t>
        </is>
      </c>
      <c r="AK722" s="148" t="inlineStr">
        <is>
          <t>Not a sheet, pillowcase or comforter product; competitors are compared on price and sales only.</t>
        </is>
      </c>
    </row>
    <row r="723">
      <c r="A723" s="148">
        <f>AND(E723="US",OR('US Dashboard'!$C$4="All",'US Dashboard'!$C$4=D723),OR('US Dashboard'!$C$5="All",'US Dashboard'!$C$5=G723),OR('US Dashboard'!$C$6="All",'US Dashboard'!$C$6=H723),OR('US Dashboard'!$C$7="All",'US Dashboard'!$C$7=F723),OR('US Dashboard'!$C$8="All",'US Dashboard'!$C$8=AJ723))</f>
        <v/>
      </c>
      <c r="B723" s="148">
        <f>IF(A723,B722+1,B722)</f>
        <v/>
      </c>
      <c r="C723" s="148" t="n">
        <v>33</v>
      </c>
      <c r="D723" s="148" t="inlineStr">
        <is>
          <t>DC Chair Cover</t>
        </is>
      </c>
      <c r="E723" s="148" t="inlineStr">
        <is>
          <t>US</t>
        </is>
      </c>
      <c r="F723" s="148" t="inlineStr">
        <is>
          <t>Other</t>
        </is>
      </c>
      <c r="G723" s="148" t="inlineStr">
        <is>
          <t>BIETYONE</t>
        </is>
      </c>
      <c r="H723" s="148" t="inlineStr">
        <is>
          <t>Aspirational</t>
        </is>
      </c>
      <c r="I723" s="148" t="inlineStr">
        <is>
          <t>Waterproof Chair Cover</t>
        </is>
      </c>
      <c r="J723" s="148" t="inlineStr">
        <is>
          <t>https://m.media-amazon.com/images/I/71JDgyYulCL._AC_SL1500_.jpg</t>
        </is>
      </c>
      <c r="K723" s="148" t="inlineStr">
        <is>
          <t>B0HG11YYNY</t>
        </is>
      </c>
      <c r="L723" s="148" t="inlineStr">
        <is>
          <t>B0DGGSVWZQ</t>
        </is>
      </c>
      <c r="M723" s="148" t="n"/>
      <c r="N723" s="148" t="n">
        <v>20.99</v>
      </c>
      <c r="O723" s="148" t="n"/>
      <c r="P723" s="148">
        <f>IF(AND(ISNUMBER(O723),ISNUMBER(N723),N(N723)&gt;0),O723/N723-1,"")</f>
        <v/>
      </c>
      <c r="Q723" s="148" t="n">
        <v>25.24</v>
      </c>
      <c r="R723" s="148">
        <f>IF(AND(ISNUMBER(N723),ISNUMBER(Q723),N(Q723)&gt;0),N723/Q723-1,"")</f>
        <v/>
      </c>
      <c r="S723" s="148" t="n">
        <v>11189</v>
      </c>
      <c r="T723" s="148" t="n">
        <v>347</v>
      </c>
      <c r="U723" s="148" t="n">
        <v>4.6</v>
      </c>
      <c r="V723" s="148" t="n">
        <v>1765</v>
      </c>
      <c r="W723" s="148" t="n"/>
      <c r="X723" s="148" t="n"/>
      <c r="Y723" s="148" t="n"/>
      <c r="Z723" s="148" t="n"/>
      <c r="AA723" s="148" t="n"/>
      <c r="AB723" s="148" t="n"/>
      <c r="AC723" s="148" t="inlineStr">
        <is>
          <t>US DC Chair Cover</t>
        </is>
      </c>
      <c r="AD723" s="148">
        <f>'US DC Chair Cover'!BF54</f>
        <v/>
      </c>
      <c r="AE723" s="148">
        <f>'US DC Chair Cover'!BI54</f>
        <v/>
      </c>
      <c r="AF723" s="148" t="n"/>
      <c r="AG723" s="148" t="inlineStr">
        <is>
          <t>.Black</t>
        </is>
      </c>
      <c r="AH723" s="148">
        <f>AND(E723="CA",OR('CA Dashboard'!$C$4="All",'CA Dashboard'!$C$4=D723),OR('CA Dashboard'!$C$5="All",'CA Dashboard'!$C$5=G723),OR('CA Dashboard'!$C$6="All",'CA Dashboard'!$C$6=H723),OR('CA Dashboard'!$C$7="All",'CA Dashboard'!$C$7=F723),OR('CA Dashboard'!$C$8="All",'CA Dashboard'!$C$8=AJ723))</f>
        <v/>
      </c>
      <c r="AI723" s="148">
        <f>IF(AH723,AI722+1,AI722)</f>
        <v/>
      </c>
      <c r="AJ723" s="148" t="inlineStr">
        <is>
          <t>Not classified</t>
        </is>
      </c>
      <c r="AK723" s="148" t="inlineStr">
        <is>
          <t>Not a sheet, pillowcase or comforter product; competitors are compared on price and sales only.</t>
        </is>
      </c>
    </row>
    <row r="724">
      <c r="A724" s="148">
        <f>AND(E724="US",OR('US Dashboard'!$C$4="All",'US Dashboard'!$C$4=D724),OR('US Dashboard'!$C$5="All",'US Dashboard'!$C$5=G724),OR('US Dashboard'!$C$6="All",'US Dashboard'!$C$6=H724),OR('US Dashboard'!$C$7="All",'US Dashboard'!$C$7=F724),OR('US Dashboard'!$C$8="All",'US Dashboard'!$C$8=AJ724))</f>
        <v/>
      </c>
      <c r="B724" s="148">
        <f>IF(A724,B723+1,B723)</f>
        <v/>
      </c>
      <c r="C724" s="148" t="n">
        <v>33</v>
      </c>
      <c r="D724" s="148" t="inlineStr">
        <is>
          <t>DC Chair Cover</t>
        </is>
      </c>
      <c r="E724" s="148" t="inlineStr">
        <is>
          <t>US</t>
        </is>
      </c>
      <c r="F724" s="148" t="inlineStr">
        <is>
          <t>Other</t>
        </is>
      </c>
      <c r="G724" s="148" t="inlineStr">
        <is>
          <t>Fafua</t>
        </is>
      </c>
      <c r="H724" s="148" t="inlineStr">
        <is>
          <t>Aspirational</t>
        </is>
      </c>
      <c r="I724" s="148" t="inlineStr">
        <is>
          <t>Fafua Chair Covers, Stretch Dining Room Chair Covers Set of 6, Removable Washable Dining Chair Slipcovers for Home, Hotel, Banquet</t>
        </is>
      </c>
      <c r="J724" s="148" t="inlineStr">
        <is>
          <t>https://images-na.ssl-images-amazon.com/images/I/71VoH4GIgpL.jpg</t>
        </is>
      </c>
      <c r="K724" s="148" t="inlineStr">
        <is>
          <t>B0D6R57FVR</t>
        </is>
      </c>
      <c r="L724" s="148" t="inlineStr">
        <is>
          <t>B0CQ7YQJ5H</t>
        </is>
      </c>
      <c r="M724" s="148" t="n">
        <v>71</v>
      </c>
      <c r="N724" s="148" t="n">
        <v>17.89</v>
      </c>
      <c r="O724" s="148" t="n"/>
      <c r="P724" s="148">
        <f>IF(AND(ISNUMBER(O724),ISNUMBER(N724),N(N724)&gt;0),O724/N724-1,"")</f>
        <v/>
      </c>
      <c r="Q724" s="148" t="n">
        <v>25.24</v>
      </c>
      <c r="R724" s="148">
        <f>IF(AND(ISNUMBER(N724),ISNUMBER(Q724),N(Q724)&gt;0),N724/Q724-1,"")</f>
        <v/>
      </c>
      <c r="S724" s="148" t="n">
        <v>18955</v>
      </c>
      <c r="T724" s="148" t="n">
        <v>173</v>
      </c>
      <c r="U724" s="148" t="n">
        <v>4.6</v>
      </c>
      <c r="V724" s="148" t="n">
        <v>2227</v>
      </c>
      <c r="W724" s="148" t="n"/>
      <c r="X724" s="148" t="n"/>
      <c r="Y724" s="148" t="n"/>
      <c r="Z724" s="148" t="n"/>
      <c r="AA724" s="148" t="n"/>
      <c r="AB724" s="148" t="n"/>
      <c r="AC724" s="148" t="inlineStr">
        <is>
          <t>US DC Chair Cover</t>
        </is>
      </c>
      <c r="AD724" s="148">
        <f>'US DC Chair Cover'!BF55</f>
        <v/>
      </c>
      <c r="AE724" s="148">
        <f>'US DC Chair Cover'!BI55</f>
        <v/>
      </c>
      <c r="AF724" s="148" t="n"/>
      <c r="AG724" s="148" t="inlineStr">
        <is>
          <t>.Grey</t>
        </is>
      </c>
      <c r="AH724" s="148">
        <f>AND(E724="CA",OR('CA Dashboard'!$C$4="All",'CA Dashboard'!$C$4=D724),OR('CA Dashboard'!$C$5="All",'CA Dashboard'!$C$5=G724),OR('CA Dashboard'!$C$6="All",'CA Dashboard'!$C$6=H724),OR('CA Dashboard'!$C$7="All",'CA Dashboard'!$C$7=F724),OR('CA Dashboard'!$C$8="All",'CA Dashboard'!$C$8=AJ724))</f>
        <v/>
      </c>
      <c r="AI724" s="148">
        <f>IF(AH724,AI723+1,AI723)</f>
        <v/>
      </c>
      <c r="AJ724" s="148" t="inlineStr">
        <is>
          <t>Not classified</t>
        </is>
      </c>
      <c r="AK724" s="148" t="inlineStr">
        <is>
          <t>Not a sheet, pillowcase or comforter product; competitors are compared on price and sales only.</t>
        </is>
      </c>
    </row>
    <row r="725">
      <c r="A725" s="148">
        <f>AND(E725="US",OR('US Dashboard'!$C$4="All",'US Dashboard'!$C$4=D725),OR('US Dashboard'!$C$5="All",'US Dashboard'!$C$5=G725),OR('US Dashboard'!$C$6="All",'US Dashboard'!$C$6=H725),OR('US Dashboard'!$C$7="All",'US Dashboard'!$C$7=F725),OR('US Dashboard'!$C$8="All",'US Dashboard'!$C$8=AJ725))</f>
        <v/>
      </c>
      <c r="B725" s="148">
        <f>IF(A725,B724+1,B724)</f>
        <v/>
      </c>
      <c r="C725" s="148" t="n">
        <v>33</v>
      </c>
      <c r="D725" s="148" t="inlineStr">
        <is>
          <t>DC Chair Cover</t>
        </is>
      </c>
      <c r="E725" s="148" t="inlineStr">
        <is>
          <t>US</t>
        </is>
      </c>
      <c r="F725" s="148" t="inlineStr">
        <is>
          <t>Other</t>
        </is>
      </c>
      <c r="G725" s="148" t="inlineStr">
        <is>
          <t>Genina</t>
        </is>
      </c>
      <c r="H725" s="148" t="inlineStr">
        <is>
          <t>Aspirational</t>
        </is>
      </c>
      <c r="I725" s="148" t="inlineStr">
        <is>
          <t>Genina Waterproof Dining Chair Covers Set of 4 Parsons Chair Slipcovers</t>
        </is>
      </c>
      <c r="J725" s="148" t="inlineStr">
        <is>
          <t>https://images-na.ssl-images-amazon.com/images/I/81jPNujWT9L.jpg</t>
        </is>
      </c>
      <c r="K725" s="148" t="inlineStr">
        <is>
          <t>B0B136S1FV</t>
        </is>
      </c>
      <c r="L725" s="148" t="inlineStr">
        <is>
          <t>B0B136JQD1</t>
        </is>
      </c>
      <c r="M725" s="148" t="n">
        <v>57</v>
      </c>
      <c r="N725" s="148" t="n">
        <v>22.07</v>
      </c>
      <c r="O725" s="148" t="n"/>
      <c r="P725" s="148">
        <f>IF(AND(ISNUMBER(O725),ISNUMBER(N725),N(N725)&gt;0),O725/N725-1,"")</f>
        <v/>
      </c>
      <c r="Q725" s="148" t="n">
        <v>25.24</v>
      </c>
      <c r="R725" s="148">
        <f>IF(AND(ISNUMBER(N725),ISNUMBER(Q725),N(Q725)&gt;0),N725/Q725-1,"")</f>
        <v/>
      </c>
      <c r="S725" s="148" t="n">
        <v>15013</v>
      </c>
      <c r="T725" s="148" t="n">
        <v>173</v>
      </c>
      <c r="U725" s="148" t="n">
        <v>4.7</v>
      </c>
      <c r="V725" s="148" t="n">
        <v>2930</v>
      </c>
      <c r="W725" s="148" t="n"/>
      <c r="X725" s="148" t="n"/>
      <c r="Y725" s="148" t="n"/>
      <c r="Z725" s="148" t="n"/>
      <c r="AA725" s="148" t="n"/>
      <c r="AB725" s="148" t="n"/>
      <c r="AC725" s="148" t="inlineStr">
        <is>
          <t>US DC Chair Cover</t>
        </is>
      </c>
      <c r="AD725" s="148">
        <f>'US DC Chair Cover'!BF56</f>
        <v/>
      </c>
      <c r="AE725" s="148">
        <f>'US DC Chair Cover'!BI56</f>
        <v/>
      </c>
      <c r="AF725" s="148" t="n"/>
      <c r="AG725" s="148" t="inlineStr">
        <is>
          <t>Leaves-warm Gray</t>
        </is>
      </c>
      <c r="AH725" s="148">
        <f>AND(E725="CA",OR('CA Dashboard'!$C$4="All",'CA Dashboard'!$C$4=D725),OR('CA Dashboard'!$C$5="All",'CA Dashboard'!$C$5=G725),OR('CA Dashboard'!$C$6="All",'CA Dashboard'!$C$6=H725),OR('CA Dashboard'!$C$7="All",'CA Dashboard'!$C$7=F725),OR('CA Dashboard'!$C$8="All",'CA Dashboard'!$C$8=AJ725))</f>
        <v/>
      </c>
      <c r="AI725" s="148">
        <f>IF(AH725,AI724+1,AI724)</f>
        <v/>
      </c>
      <c r="AJ725" s="148" t="inlineStr">
        <is>
          <t>Not classified</t>
        </is>
      </c>
      <c r="AK725" s="148" t="inlineStr">
        <is>
          <t>Not a sheet, pillowcase or comforter product; competitors are compared on price and sales only.</t>
        </is>
      </c>
    </row>
    <row r="726">
      <c r="A726" s="148">
        <f>AND(E726="US",OR('US Dashboard'!$C$4="All",'US Dashboard'!$C$4=D726),OR('US Dashboard'!$C$5="All",'US Dashboard'!$C$5=G726),OR('US Dashboard'!$C$6="All",'US Dashboard'!$C$6=H726),OR('US Dashboard'!$C$7="All",'US Dashboard'!$C$7=F726),OR('US Dashboard'!$C$8="All",'US Dashboard'!$C$8=AJ726))</f>
        <v/>
      </c>
      <c r="B726" s="148">
        <f>IF(A726,B725+1,B725)</f>
        <v/>
      </c>
      <c r="C726" s="148" t="n">
        <v>33</v>
      </c>
      <c r="D726" s="148" t="inlineStr">
        <is>
          <t>DC Chair Cover</t>
        </is>
      </c>
      <c r="E726" s="148" t="inlineStr">
        <is>
          <t>US</t>
        </is>
      </c>
      <c r="F726" s="148" t="inlineStr">
        <is>
          <t>Other</t>
        </is>
      </c>
      <c r="G726" s="148" t="inlineStr">
        <is>
          <t>Artrello</t>
        </is>
      </c>
      <c r="H726" s="148" t="inlineStr">
        <is>
          <t>Aspirational</t>
        </is>
      </c>
      <c r="I726" s="148" t="inlineStr">
        <is>
          <t>Chair Covers for Dining Room - Stretch Chair Slipcovers for Decorative Seat Protector Armless Removable Washable Elastic Dinner Universal Spandex Solid Chair Slip Covers Set (autumn orange,4)</t>
        </is>
      </c>
      <c r="J726" s="148" t="inlineStr">
        <is>
          <t>https://images-na.ssl-images-amazon.com/images/I/71THLNBLXkL.jpg</t>
        </is>
      </c>
      <c r="K726" s="148" t="inlineStr">
        <is>
          <t>B0FSDPTLPL</t>
        </is>
      </c>
      <c r="L726" s="148" t="inlineStr">
        <is>
          <t>B08T761T9S</t>
        </is>
      </c>
      <c r="M726" s="148" t="n">
        <v>19</v>
      </c>
      <c r="N726" s="148" t="n">
        <v>23.99</v>
      </c>
      <c r="O726" s="148" t="n"/>
      <c r="P726" s="148">
        <f>IF(AND(ISNUMBER(O726),ISNUMBER(N726),N(N726)&gt;0),O726/N726-1,"")</f>
        <v/>
      </c>
      <c r="Q726" s="148" t="n">
        <v>25.24</v>
      </c>
      <c r="R726" s="148">
        <f>IF(AND(ISNUMBER(N726),ISNUMBER(Q726),N(Q726)&gt;0),N726/Q726-1,"")</f>
        <v/>
      </c>
      <c r="S726" s="148" t="n">
        <v>39894</v>
      </c>
      <c r="T726" s="148" t="n">
        <v>92</v>
      </c>
      <c r="U726" s="148" t="n">
        <v>4.5</v>
      </c>
      <c r="V726" s="148" t="n">
        <v>4016</v>
      </c>
      <c r="W726" s="148" t="n"/>
      <c r="X726" s="148" t="n"/>
      <c r="Y726" s="148" t="n"/>
      <c r="Z726" s="148" t="n"/>
      <c r="AA726" s="148" t="n"/>
      <c r="AB726" s="148" t="n"/>
      <c r="AC726" s="148" t="inlineStr">
        <is>
          <t>US DC Chair Cover</t>
        </is>
      </c>
      <c r="AD726" s="148">
        <f>'US DC Chair Cover'!BF57</f>
        <v/>
      </c>
      <c r="AE726" s="148">
        <f>'US DC Chair Cover'!BI57</f>
        <v/>
      </c>
      <c r="AF726" s="148" t="n"/>
      <c r="AG726" s="148" t="inlineStr">
        <is>
          <t>Autumn Orange</t>
        </is>
      </c>
      <c r="AH726" s="148">
        <f>AND(E726="CA",OR('CA Dashboard'!$C$4="All",'CA Dashboard'!$C$4=D726),OR('CA Dashboard'!$C$5="All",'CA Dashboard'!$C$5=G726),OR('CA Dashboard'!$C$6="All",'CA Dashboard'!$C$6=H726),OR('CA Dashboard'!$C$7="All",'CA Dashboard'!$C$7=F726),OR('CA Dashboard'!$C$8="All",'CA Dashboard'!$C$8=AJ726))</f>
        <v/>
      </c>
      <c r="AI726" s="148">
        <f>IF(AH726,AI725+1,AI725)</f>
        <v/>
      </c>
      <c r="AJ726" s="148" t="inlineStr">
        <is>
          <t>Not classified</t>
        </is>
      </c>
      <c r="AK726" s="148" t="inlineStr">
        <is>
          <t>Not a sheet, pillowcase or comforter product; competitors are compared on price and sales only.</t>
        </is>
      </c>
    </row>
    <row r="727">
      <c r="A727" s="148">
        <f>AND(E727="US",OR('US Dashboard'!$C$4="All",'US Dashboard'!$C$4=D727),OR('US Dashboard'!$C$5="All",'US Dashboard'!$C$5=G727),OR('US Dashboard'!$C$6="All",'US Dashboard'!$C$6=H727),OR('US Dashboard'!$C$7="All",'US Dashboard'!$C$7=F727),OR('US Dashboard'!$C$8="All",'US Dashboard'!$C$8=AJ727))</f>
        <v/>
      </c>
      <c r="B727" s="148">
        <f>IF(A727,B726+1,B726)</f>
        <v/>
      </c>
      <c r="C727" s="148" t="n">
        <v>33</v>
      </c>
      <c r="D727" s="148" t="inlineStr">
        <is>
          <t>DC Chair Cover</t>
        </is>
      </c>
      <c r="E727" s="148" t="inlineStr">
        <is>
          <t>US</t>
        </is>
      </c>
      <c r="F727" s="148" t="inlineStr">
        <is>
          <t>Other</t>
        </is>
      </c>
      <c r="G727" s="148" t="inlineStr">
        <is>
          <t>Easy-Going</t>
        </is>
      </c>
      <c r="H727" s="148" t="inlineStr">
        <is>
          <t>Aspirational</t>
        </is>
      </c>
      <c r="I727" s="148" t="inlineStr">
        <is>
          <t>Easy-Going 100% Waterproof Dining Room Chair Covers Set of 6, Large</t>
        </is>
      </c>
      <c r="J727" s="148" t="inlineStr">
        <is>
          <t>https://images-na.ssl-images-amazon.com/images/I/81LBQiUKrSS.jpg</t>
        </is>
      </c>
      <c r="K727" s="148" t="inlineStr">
        <is>
          <t>B0D56RHFVV</t>
        </is>
      </c>
      <c r="L727" s="148" t="inlineStr">
        <is>
          <t>B08TT88SXY</t>
        </is>
      </c>
      <c r="M727" s="148" t="n">
        <v>74</v>
      </c>
      <c r="N727" s="148" t="n">
        <v>25.99</v>
      </c>
      <c r="O727" s="148" t="n"/>
      <c r="P727" s="148">
        <f>IF(AND(ISNUMBER(O727),ISNUMBER(N727),N(N727)&gt;0),O727/N727-1,"")</f>
        <v/>
      </c>
      <c r="Q727" s="148" t="n">
        <v>25.24</v>
      </c>
      <c r="R727" s="148">
        <f>IF(AND(ISNUMBER(N727),ISNUMBER(Q727),N(Q727)&gt;0),N727/Q727-1,"")</f>
        <v/>
      </c>
      <c r="S727" s="148" t="n">
        <v>25992</v>
      </c>
      <c r="T727" s="148" t="n">
        <v>92</v>
      </c>
      <c r="U727" s="148" t="n">
        <v>4.6</v>
      </c>
      <c r="V727" s="148" t="n">
        <v>4711</v>
      </c>
      <c r="W727" s="148" t="n"/>
      <c r="X727" s="148" t="n"/>
      <c r="Y727" s="148" t="n"/>
      <c r="Z727" s="148" t="n"/>
      <c r="AA727" s="148" t="n"/>
      <c r="AB727" s="148" t="n"/>
      <c r="AC727" s="148" t="inlineStr">
        <is>
          <t>US DC Chair Cover</t>
        </is>
      </c>
      <c r="AD727" s="148">
        <f>'US DC Chair Cover'!BF58</f>
        <v/>
      </c>
      <c r="AE727" s="148">
        <f>'US DC Chair Cover'!BI58</f>
        <v/>
      </c>
      <c r="AF727" s="148" t="n"/>
      <c r="AG727" s="148" t="inlineStr">
        <is>
          <t>Light Gray</t>
        </is>
      </c>
      <c r="AH727" s="148">
        <f>AND(E727="CA",OR('CA Dashboard'!$C$4="All",'CA Dashboard'!$C$4=D727),OR('CA Dashboard'!$C$5="All",'CA Dashboard'!$C$5=G727),OR('CA Dashboard'!$C$6="All",'CA Dashboard'!$C$6=H727),OR('CA Dashboard'!$C$7="All",'CA Dashboard'!$C$7=F727),OR('CA Dashboard'!$C$8="All",'CA Dashboard'!$C$8=AJ727))</f>
        <v/>
      </c>
      <c r="AI727" s="148">
        <f>IF(AH727,AI726+1,AI726)</f>
        <v/>
      </c>
      <c r="AJ727" s="148" t="inlineStr">
        <is>
          <t>Not classified</t>
        </is>
      </c>
      <c r="AK727" s="148" t="inlineStr">
        <is>
          <t>Not a sheet, pillowcase or comforter product; competitors are compared on price and sales only.</t>
        </is>
      </c>
    </row>
    <row r="728">
      <c r="A728" s="148">
        <f>AND(E728="US",OR('US Dashboard'!$C$4="All",'US Dashboard'!$C$4=D728),OR('US Dashboard'!$C$5="All",'US Dashboard'!$C$5=G728),OR('US Dashboard'!$C$6="All",'US Dashboard'!$C$6=H728),OR('US Dashboard'!$C$7="All",'US Dashboard'!$C$7=F728),OR('US Dashboard'!$C$8="All",'US Dashboard'!$C$8=AJ728))</f>
        <v/>
      </c>
      <c r="B728" s="148">
        <f>IF(A728,B727+1,B727)</f>
        <v/>
      </c>
      <c r="C728" s="148" t="n">
        <v>33</v>
      </c>
      <c r="D728" s="148" t="inlineStr">
        <is>
          <t>DC Chair Cover</t>
        </is>
      </c>
      <c r="E728" s="148" t="inlineStr">
        <is>
          <t>US</t>
        </is>
      </c>
      <c r="F728" s="148" t="inlineStr">
        <is>
          <t>Other</t>
        </is>
      </c>
      <c r="G728" s="148" t="inlineStr">
        <is>
          <t>Genina</t>
        </is>
      </c>
      <c r="H728" s="148" t="inlineStr">
        <is>
          <t>Aspirational</t>
        </is>
      </c>
      <c r="I728" s="148" t="inlineStr">
        <is>
          <t>Waterproof Chair Cover</t>
        </is>
      </c>
      <c r="J728" s="148" t="inlineStr">
        <is>
          <t>https://m.media-amazon.com/images/I/71LwQAGMJHS._AC_SL1500_.jpg</t>
        </is>
      </c>
      <c r="K728" s="148" t="inlineStr">
        <is>
          <t>B0CD2CC5XV</t>
        </is>
      </c>
      <c r="L728" s="148" t="inlineStr">
        <is>
          <t>B095H7XNTP</t>
        </is>
      </c>
      <c r="M728" s="148" t="n"/>
      <c r="N728" s="148" t="n">
        <v>28.49</v>
      </c>
      <c r="O728" s="148" t="n"/>
      <c r="P728" s="148">
        <f>IF(AND(ISNUMBER(O728),ISNUMBER(N728),N(N728)&gt;0),O728/N728-1,"")</f>
        <v/>
      </c>
      <c r="Q728" s="148" t="n">
        <v>25.24</v>
      </c>
      <c r="R728" s="148">
        <f>IF(AND(ISNUMBER(N728),ISNUMBER(Q728),N(Q728)&gt;0),N728/Q728-1,"")</f>
        <v/>
      </c>
      <c r="S728" s="148" t="n">
        <v>36868</v>
      </c>
      <c r="T728" s="148" t="n">
        <v>92</v>
      </c>
      <c r="U728" s="148" t="n">
        <v>4.6</v>
      </c>
      <c r="V728" s="148" t="n">
        <v>2729</v>
      </c>
      <c r="W728" s="148" t="n"/>
      <c r="X728" s="148" t="n"/>
      <c r="Y728" s="148" t="n"/>
      <c r="Z728" s="148" t="n"/>
      <c r="AA728" s="148" t="n"/>
      <c r="AB728" s="148" t="n"/>
      <c r="AC728" s="148" t="inlineStr">
        <is>
          <t>US DC Chair Cover</t>
        </is>
      </c>
      <c r="AD728" s="148">
        <f>'US DC Chair Cover'!BF59</f>
        <v/>
      </c>
      <c r="AE728" s="148">
        <f>'US DC Chair Cover'!BI59</f>
        <v/>
      </c>
      <c r="AF728" s="148" t="n"/>
      <c r="AG728" s="148" t="inlineStr">
        <is>
          <t>Beige</t>
        </is>
      </c>
      <c r="AH728" s="148">
        <f>AND(E728="CA",OR('CA Dashboard'!$C$4="All",'CA Dashboard'!$C$4=D728),OR('CA Dashboard'!$C$5="All",'CA Dashboard'!$C$5=G728),OR('CA Dashboard'!$C$6="All",'CA Dashboard'!$C$6=H728),OR('CA Dashboard'!$C$7="All",'CA Dashboard'!$C$7=F728),OR('CA Dashboard'!$C$8="All",'CA Dashboard'!$C$8=AJ728))</f>
        <v/>
      </c>
      <c r="AI728" s="148">
        <f>IF(AH728,AI727+1,AI727)</f>
        <v/>
      </c>
      <c r="AJ728" s="148" t="inlineStr">
        <is>
          <t>Not classified</t>
        </is>
      </c>
      <c r="AK728" s="148" t="inlineStr">
        <is>
          <t>Not a sheet, pillowcase or comforter product; competitors are compared on price and sales only.</t>
        </is>
      </c>
    </row>
    <row r="729">
      <c r="A729" s="148">
        <f>AND(E729="US",OR('US Dashboard'!$C$4="All",'US Dashboard'!$C$4=D729),OR('US Dashboard'!$C$5="All",'US Dashboard'!$C$5=G729),OR('US Dashboard'!$C$6="All",'US Dashboard'!$C$6=H729),OR('US Dashboard'!$C$7="All",'US Dashboard'!$C$7=F729),OR('US Dashboard'!$C$8="All",'US Dashboard'!$C$8=AJ729))</f>
        <v/>
      </c>
      <c r="B729" s="148">
        <f>IF(A729,B728+1,B728)</f>
        <v/>
      </c>
      <c r="C729" s="148" t="n">
        <v>33</v>
      </c>
      <c r="D729" s="148" t="inlineStr">
        <is>
          <t>DC Chair Cover</t>
        </is>
      </c>
      <c r="E729" s="148" t="inlineStr">
        <is>
          <t>US</t>
        </is>
      </c>
      <c r="F729" s="148" t="inlineStr">
        <is>
          <t>Other</t>
        </is>
      </c>
      <c r="G729" s="148" t="inlineStr">
        <is>
          <t>SearchI</t>
        </is>
      </c>
      <c r="H729" s="148" t="inlineStr">
        <is>
          <t>Aspirational</t>
        </is>
      </c>
      <c r="I729" s="148" t="inlineStr">
        <is>
          <t>Waterproof Chair Cover</t>
        </is>
      </c>
      <c r="J729" s="148" t="inlineStr">
        <is>
          <t>https://m.media-amazon.com/images/I/81IZPD5HX+L._AC_SL1500_.jpg</t>
        </is>
      </c>
      <c r="K729" s="148" t="inlineStr">
        <is>
          <t>B0DC3S5WV2</t>
        </is>
      </c>
      <c r="L729" s="148" t="inlineStr">
        <is>
          <t>B09FL11K2J</t>
        </is>
      </c>
      <c r="M729" s="148" t="n"/>
      <c r="N729" s="148" t="n">
        <v>29.99</v>
      </c>
      <c r="O729" s="148" t="n">
        <v>34.99</v>
      </c>
      <c r="P729" s="148">
        <f>IF(AND(ISNUMBER(O729),ISNUMBER(N729),N(N729)&gt;0),O729/N729-1,"")</f>
        <v/>
      </c>
      <c r="Q729" s="148" t="n">
        <v>25.24</v>
      </c>
      <c r="R729" s="148">
        <f>IF(AND(ISNUMBER(N729),ISNUMBER(Q729),N(Q729)&gt;0),N729/Q729-1,"")</f>
        <v/>
      </c>
      <c r="S729" s="148" t="n">
        <v>10321</v>
      </c>
      <c r="T729" s="148" t="n">
        <v>92</v>
      </c>
      <c r="U729" s="148" t="n">
        <v>4.6</v>
      </c>
      <c r="V729" s="148" t="n">
        <v>10643</v>
      </c>
      <c r="W729" s="148" t="n"/>
      <c r="X729" s="148" t="n"/>
      <c r="Y729" s="148" t="n"/>
      <c r="Z729" s="148" t="n"/>
      <c r="AA729" s="148" t="n"/>
      <c r="AB729" s="148" t="n"/>
      <c r="AC729" s="148" t="inlineStr">
        <is>
          <t>US DC Chair Cover</t>
        </is>
      </c>
      <c r="AD729" s="148">
        <f>'US DC Chair Cover'!BF60</f>
        <v/>
      </c>
      <c r="AE729" s="148">
        <f>'US DC Chair Cover'!BI60</f>
        <v/>
      </c>
      <c r="AF729" s="148" t="n"/>
      <c r="AG729" s="148" t="inlineStr">
        <is>
          <t>Beige Rhombus</t>
        </is>
      </c>
      <c r="AH729" s="148">
        <f>AND(E729="CA",OR('CA Dashboard'!$C$4="All",'CA Dashboard'!$C$4=D729),OR('CA Dashboard'!$C$5="All",'CA Dashboard'!$C$5=G729),OR('CA Dashboard'!$C$6="All",'CA Dashboard'!$C$6=H729),OR('CA Dashboard'!$C$7="All",'CA Dashboard'!$C$7=F729),OR('CA Dashboard'!$C$8="All",'CA Dashboard'!$C$8=AJ729))</f>
        <v/>
      </c>
      <c r="AI729" s="148">
        <f>IF(AH729,AI728+1,AI728)</f>
        <v/>
      </c>
      <c r="AJ729" s="148" t="inlineStr">
        <is>
          <t>Not classified</t>
        </is>
      </c>
      <c r="AK729" s="148" t="inlineStr">
        <is>
          <t>Not a sheet, pillowcase or comforter product; competitors are compared on price and sales only.</t>
        </is>
      </c>
    </row>
    <row r="730">
      <c r="A730" s="148">
        <f>AND(E730="US",OR('US Dashboard'!$C$4="All",'US Dashboard'!$C$4=D730),OR('US Dashboard'!$C$5="All",'US Dashboard'!$C$5=G730),OR('US Dashboard'!$C$6="All",'US Dashboard'!$C$6=H730),OR('US Dashboard'!$C$7="All",'US Dashboard'!$C$7=F730),OR('US Dashboard'!$C$8="All",'US Dashboard'!$C$8=AJ730))</f>
        <v/>
      </c>
      <c r="B730" s="148">
        <f>IF(A730,B729+1,B729)</f>
        <v/>
      </c>
      <c r="C730" s="148" t="n">
        <v>33</v>
      </c>
      <c r="D730" s="148" t="inlineStr">
        <is>
          <t>DC Chair Cover</t>
        </is>
      </c>
      <c r="E730" s="148" t="inlineStr">
        <is>
          <t>US</t>
        </is>
      </c>
      <c r="F730" s="148" t="inlineStr">
        <is>
          <t>Other</t>
        </is>
      </c>
      <c r="G730" s="148" t="inlineStr">
        <is>
          <t>Genina</t>
        </is>
      </c>
      <c r="H730" s="148" t="inlineStr">
        <is>
          <t>Aspirational</t>
        </is>
      </c>
      <c r="I730" s="148" t="inlineStr">
        <is>
          <t>Waterproof Dining Room Chair Covers, Stretch Parsons Chair Slipcovers</t>
        </is>
      </c>
      <c r="J730" s="148" t="inlineStr">
        <is>
          <t>https://images-na.ssl-images-amazon.com/images/I/71jOUNGjjeL.jpg</t>
        </is>
      </c>
      <c r="K730" s="148" t="inlineStr">
        <is>
          <t>B0BYZ5J2G2</t>
        </is>
      </c>
      <c r="L730" s="148" t="inlineStr">
        <is>
          <t>B0B12QRW73</t>
        </is>
      </c>
      <c r="M730" s="148" t="n">
        <v>71</v>
      </c>
      <c r="N730" s="148" t="n">
        <v>19.99</v>
      </c>
      <c r="O730" s="148" t="n">
        <v>23.99</v>
      </c>
      <c r="P730" s="148">
        <f>IF(AND(ISNUMBER(O730),ISNUMBER(N730),N(N730)&gt;0),O730/N730-1,"")</f>
        <v/>
      </c>
      <c r="Q730" s="148" t="n">
        <v>25.24</v>
      </c>
      <c r="R730" s="148">
        <f>IF(AND(ISNUMBER(N730),ISNUMBER(Q730),N(Q730)&gt;0),N730/Q730-1,"")</f>
        <v/>
      </c>
      <c r="S730" s="148" t="n">
        <v>36704</v>
      </c>
      <c r="T730" s="148" t="n">
        <v>81</v>
      </c>
      <c r="U730" s="148" t="n">
        <v>4.7</v>
      </c>
      <c r="V730" s="148" t="n">
        <v>1655</v>
      </c>
      <c r="W730" s="148" t="n"/>
      <c r="X730" s="148" t="n"/>
      <c r="Y730" s="148" t="n"/>
      <c r="Z730" s="148" t="n"/>
      <c r="AA730" s="148" t="n"/>
      <c r="AB730" s="148" t="n"/>
      <c r="AC730" s="148" t="inlineStr">
        <is>
          <t>US DC Chair Cover</t>
        </is>
      </c>
      <c r="AD730" s="148">
        <f>'US DC Chair Cover'!BF61</f>
        <v/>
      </c>
      <c r="AE730" s="148">
        <f>'US DC Chair Cover'!BI61</f>
        <v/>
      </c>
      <c r="AF730" s="148" t="n"/>
      <c r="AG730" s="148" t="inlineStr">
        <is>
          <t>Flower Pattern-dark Gray</t>
        </is>
      </c>
      <c r="AH730" s="148">
        <f>AND(E730="CA",OR('CA Dashboard'!$C$4="All",'CA Dashboard'!$C$4=D730),OR('CA Dashboard'!$C$5="All",'CA Dashboard'!$C$5=G730),OR('CA Dashboard'!$C$6="All",'CA Dashboard'!$C$6=H730),OR('CA Dashboard'!$C$7="All",'CA Dashboard'!$C$7=F730),OR('CA Dashboard'!$C$8="All",'CA Dashboard'!$C$8=AJ730))</f>
        <v/>
      </c>
      <c r="AI730" s="148">
        <f>IF(AH730,AI729+1,AI729)</f>
        <v/>
      </c>
      <c r="AJ730" s="148" t="inlineStr">
        <is>
          <t>Not classified</t>
        </is>
      </c>
      <c r="AK730" s="148" t="inlineStr">
        <is>
          <t>Not a sheet, pillowcase or comforter product; competitors are compared on price and sales only.</t>
        </is>
      </c>
    </row>
    <row r="731">
      <c r="A731" s="148">
        <f>AND(E731="US",OR('US Dashboard'!$C$4="All",'US Dashboard'!$C$4=D731),OR('US Dashboard'!$C$5="All",'US Dashboard'!$C$5=G731),OR('US Dashboard'!$C$6="All",'US Dashboard'!$C$6=H731),OR('US Dashboard'!$C$7="All",'US Dashboard'!$C$7=F731),OR('US Dashboard'!$C$8="All",'US Dashboard'!$C$8=AJ731))</f>
        <v/>
      </c>
      <c r="B731" s="148">
        <f>IF(A731,B730+1,B730)</f>
        <v/>
      </c>
      <c r="C731" s="148" t="n">
        <v>33</v>
      </c>
      <c r="D731" s="148" t="inlineStr">
        <is>
          <t>DC Chair Cover</t>
        </is>
      </c>
      <c r="E731" s="148" t="inlineStr">
        <is>
          <t>US</t>
        </is>
      </c>
      <c r="F731" s="148" t="inlineStr">
        <is>
          <t>Other</t>
        </is>
      </c>
      <c r="G731" s="148" t="inlineStr">
        <is>
          <t>Genina</t>
        </is>
      </c>
      <c r="H731" s="148" t="inlineStr">
        <is>
          <t>Aspirational</t>
        </is>
      </c>
      <c r="I731" s="148" t="inlineStr">
        <is>
          <t>Genina Waterproof Chair Covers for Dining Room Chair Slipcovers Set of 4</t>
        </is>
      </c>
      <c r="J731" s="148" t="inlineStr">
        <is>
          <t>https://images-na.ssl-images-amazon.com/images/I/81w0LNt7hUS.jpg</t>
        </is>
      </c>
      <c r="K731" s="148" t="inlineStr">
        <is>
          <t>B0HCPK37ZX</t>
        </is>
      </c>
      <c r="L731" s="148" t="inlineStr">
        <is>
          <t>B08Z3KC7KL</t>
        </is>
      </c>
      <c r="M731" s="148" t="n">
        <v>50</v>
      </c>
      <c r="N731" s="148" t="n">
        <v>19.99</v>
      </c>
      <c r="O731" s="148" t="n"/>
      <c r="P731" s="148">
        <f>IF(AND(ISNUMBER(O731),ISNUMBER(N731),N(N731)&gt;0),O731/N731-1,"")</f>
        <v/>
      </c>
      <c r="Q731" s="148" t="n">
        <v>25.24</v>
      </c>
      <c r="R731" s="148">
        <f>IF(AND(ISNUMBER(N731),ISNUMBER(Q731),N(Q731)&gt;0),N731/Q731-1,"")</f>
        <v/>
      </c>
      <c r="S731" s="148" t="n">
        <v>28582</v>
      </c>
      <c r="T731" s="148" t="n">
        <v>81</v>
      </c>
      <c r="U731" s="148" t="n">
        <v>4.5</v>
      </c>
      <c r="V731" s="148" t="n">
        <v>1786</v>
      </c>
      <c r="W731" s="148" t="n"/>
      <c r="X731" s="148" t="n"/>
      <c r="Y731" s="148" t="n"/>
      <c r="Z731" s="148" t="n"/>
      <c r="AA731" s="148" t="n"/>
      <c r="AB731" s="148" t="n"/>
      <c r="AC731" s="148" t="inlineStr">
        <is>
          <t>US DC Chair Cover</t>
        </is>
      </c>
      <c r="AD731" s="148">
        <f>'US DC Chair Cover'!BF62</f>
        <v/>
      </c>
      <c r="AE731" s="148">
        <f>'US DC Chair Cover'!BI62</f>
        <v/>
      </c>
      <c r="AF731" s="148" t="n"/>
      <c r="AG731" s="148" t="inlineStr">
        <is>
          <t>Khaki</t>
        </is>
      </c>
      <c r="AH731" s="148">
        <f>AND(E731="CA",OR('CA Dashboard'!$C$4="All",'CA Dashboard'!$C$4=D731),OR('CA Dashboard'!$C$5="All",'CA Dashboard'!$C$5=G731),OR('CA Dashboard'!$C$6="All",'CA Dashboard'!$C$6=H731),OR('CA Dashboard'!$C$7="All",'CA Dashboard'!$C$7=F731),OR('CA Dashboard'!$C$8="All",'CA Dashboard'!$C$8=AJ731))</f>
        <v/>
      </c>
      <c r="AI731" s="148">
        <f>IF(AH731,AI730+1,AI730)</f>
        <v/>
      </c>
      <c r="AJ731" s="148" t="inlineStr">
        <is>
          <t>Not classified</t>
        </is>
      </c>
      <c r="AK731" s="148" t="inlineStr">
        <is>
          <t>Not a sheet, pillowcase or comforter product; competitors are compared on price and sales only.</t>
        </is>
      </c>
    </row>
    <row r="732">
      <c r="A732" s="148">
        <f>AND(E732="US",OR('US Dashboard'!$C$4="All",'US Dashboard'!$C$4=D732),OR('US Dashboard'!$C$5="All",'US Dashboard'!$C$5=G732),OR('US Dashboard'!$C$6="All",'US Dashboard'!$C$6=H732),OR('US Dashboard'!$C$7="All",'US Dashboard'!$C$7=F732),OR('US Dashboard'!$C$8="All",'US Dashboard'!$C$8=AJ732))</f>
        <v/>
      </c>
      <c r="B732" s="148">
        <f>IF(A732,B731+1,B731)</f>
        <v/>
      </c>
      <c r="C732" s="148" t="n">
        <v>33</v>
      </c>
      <c r="D732" s="148" t="inlineStr">
        <is>
          <t>DC Chair Cover</t>
        </is>
      </c>
      <c r="E732" s="148" t="inlineStr">
        <is>
          <t>US</t>
        </is>
      </c>
      <c r="F732" s="148" t="inlineStr">
        <is>
          <t>Other</t>
        </is>
      </c>
      <c r="G732" s="148" t="inlineStr">
        <is>
          <t>H.VERSAILTEX</t>
        </is>
      </c>
      <c r="H732" s="148" t="inlineStr">
        <is>
          <t>Aspirational</t>
        </is>
      </c>
      <c r="I732" s="148" t="inlineStr">
        <is>
          <t>H.VERSAILTEX Dining Chair Covers Stretch for Dining Room Set of 4 Parson Chair Slipcovers Protectors, Soft Thick Solid Velvet Fabric Washable, Taupe</t>
        </is>
      </c>
      <c r="J732" s="148" t="inlineStr">
        <is>
          <t>https://images-na.ssl-images-amazon.com/images/I/61hYlhWoWsL.jpg</t>
        </is>
      </c>
      <c r="K732" s="148" t="inlineStr">
        <is>
          <t>B093Q37D94</t>
        </is>
      </c>
      <c r="L732" s="148" t="inlineStr">
        <is>
          <t>B07TKS5LN7</t>
        </is>
      </c>
      <c r="M732" s="148" t="n">
        <v>37</v>
      </c>
      <c r="N732" s="148" t="n">
        <v>31.99</v>
      </c>
      <c r="O732" s="148" t="n"/>
      <c r="P732" s="148">
        <f>IF(AND(ISNUMBER(O732),ISNUMBER(N732),N(N732)&gt;0),O732/N732-1,"")</f>
        <v/>
      </c>
      <c r="Q732" s="148" t="n">
        <v>25.24</v>
      </c>
      <c r="R732" s="148">
        <f>IF(AND(ISNUMBER(N732),ISNUMBER(Q732),N(Q732)&gt;0),N732/Q732-1,"")</f>
        <v/>
      </c>
      <c r="S732" s="148" t="n">
        <v>16732</v>
      </c>
      <c r="T732" s="148" t="n">
        <v>81</v>
      </c>
      <c r="U732" s="148" t="n">
        <v>4.5</v>
      </c>
      <c r="V732" s="148" t="n">
        <v>5385</v>
      </c>
      <c r="W732" s="148" t="n"/>
      <c r="X732" s="148" t="n"/>
      <c r="Y732" s="148" t="n"/>
      <c r="Z732" s="148" t="n"/>
      <c r="AA732" s="148" t="n"/>
      <c r="AB732" s="148" t="n"/>
      <c r="AC732" s="148" t="inlineStr">
        <is>
          <t>US DC Chair Cover</t>
        </is>
      </c>
      <c r="AD732" s="148">
        <f>'US DC Chair Cover'!BF63</f>
        <v/>
      </c>
      <c r="AE732" s="148">
        <f>'US DC Chair Cover'!BI63</f>
        <v/>
      </c>
      <c r="AF732" s="148" t="n"/>
      <c r="AG732" s="148" t="inlineStr">
        <is>
          <t>Taupe</t>
        </is>
      </c>
      <c r="AH732" s="148">
        <f>AND(E732="CA",OR('CA Dashboard'!$C$4="All",'CA Dashboard'!$C$4=D732),OR('CA Dashboard'!$C$5="All",'CA Dashboard'!$C$5=G732),OR('CA Dashboard'!$C$6="All",'CA Dashboard'!$C$6=H732),OR('CA Dashboard'!$C$7="All",'CA Dashboard'!$C$7=F732),OR('CA Dashboard'!$C$8="All",'CA Dashboard'!$C$8=AJ732))</f>
        <v/>
      </c>
      <c r="AI732" s="148">
        <f>IF(AH732,AI731+1,AI731)</f>
        <v/>
      </c>
      <c r="AJ732" s="148" t="inlineStr">
        <is>
          <t>Not classified</t>
        </is>
      </c>
      <c r="AK732" s="148" t="inlineStr">
        <is>
          <t>Not a sheet, pillowcase or comforter product; competitors are compared on price and sales only.</t>
        </is>
      </c>
    </row>
    <row r="733">
      <c r="A733" s="148">
        <f>AND(E733="US",OR('US Dashboard'!$C$4="All",'US Dashboard'!$C$4=D733),OR('US Dashboard'!$C$5="All",'US Dashboard'!$C$5=G733),OR('US Dashboard'!$C$6="All",'US Dashboard'!$C$6=H733),OR('US Dashboard'!$C$7="All",'US Dashboard'!$C$7=F733),OR('US Dashboard'!$C$8="All",'US Dashboard'!$C$8=AJ733))</f>
        <v/>
      </c>
      <c r="B733" s="148">
        <f>IF(A733,B732+1,B732)</f>
        <v/>
      </c>
      <c r="C733" s="148" t="n">
        <v>33</v>
      </c>
      <c r="D733" s="148" t="inlineStr">
        <is>
          <t>DC Chair Cover</t>
        </is>
      </c>
      <c r="E733" s="148" t="inlineStr">
        <is>
          <t>US</t>
        </is>
      </c>
      <c r="F733" s="148" t="inlineStr">
        <is>
          <t>Other</t>
        </is>
      </c>
      <c r="G733" s="148" t="inlineStr">
        <is>
          <t>Sufdari</t>
        </is>
      </c>
      <c r="H733" s="148" t="inlineStr">
        <is>
          <t>Aspirational</t>
        </is>
      </c>
      <c r="I733" s="148" t="inlineStr">
        <is>
          <t>Sufdari Dining Chair Covers,Kitchen Cover,Parsons Slipcover,Spandex Protectors for Room Stretch Chairs Cover Set of 4 -Gray</t>
        </is>
      </c>
      <c r="J733" s="148" t="inlineStr">
        <is>
          <t>https://images-na.ssl-images-amazon.com/images/I/71hMTmCUTeL.jpg</t>
        </is>
      </c>
      <c r="K733" s="148" t="inlineStr">
        <is>
          <t>B0DHVVZF9Q</t>
        </is>
      </c>
      <c r="L733" s="148" t="inlineStr">
        <is>
          <t>B09GPP8TRT</t>
        </is>
      </c>
      <c r="M733" s="148" t="n">
        <v>85</v>
      </c>
      <c r="N733" s="148" t="n">
        <v>16.99</v>
      </c>
      <c r="O733" s="148" t="n"/>
      <c r="P733" s="148">
        <f>IF(AND(ISNUMBER(O733),ISNUMBER(N733),N(N733)&gt;0),O733/N733-1,"")</f>
        <v/>
      </c>
      <c r="Q733" s="148" t="n">
        <v>25.24</v>
      </c>
      <c r="R733" s="148">
        <f>IF(AND(ISNUMBER(N733),ISNUMBER(Q733),N(Q733)&gt;0),N733/Q733-1,"")</f>
        <v/>
      </c>
      <c r="S733" s="148" t="n">
        <v>59347</v>
      </c>
      <c r="T733" s="148" t="n">
        <v>81</v>
      </c>
      <c r="U733" s="148" t="n">
        <v>4.6</v>
      </c>
      <c r="V733" s="148" t="n">
        <v>2070</v>
      </c>
      <c r="W733" s="148" t="n"/>
      <c r="X733" s="148" t="n"/>
      <c r="Y733" s="148" t="n"/>
      <c r="Z733" s="148" t="n"/>
      <c r="AA733" s="148" t="n"/>
      <c r="AB733" s="148" t="n"/>
      <c r="AC733" s="148" t="inlineStr">
        <is>
          <t>US DC Chair Cover</t>
        </is>
      </c>
      <c r="AD733" s="148">
        <f>'US DC Chair Cover'!BF64</f>
        <v/>
      </c>
      <c r="AE733" s="148">
        <f>'US DC Chair Cover'!BI64</f>
        <v/>
      </c>
      <c r="AF733" s="148" t="n"/>
      <c r="AG733" s="148" t="inlineStr">
        <is>
          <t>.Gray</t>
        </is>
      </c>
      <c r="AH733" s="148">
        <f>AND(E733="CA",OR('CA Dashboard'!$C$4="All",'CA Dashboard'!$C$4=D733),OR('CA Dashboard'!$C$5="All",'CA Dashboard'!$C$5=G733),OR('CA Dashboard'!$C$6="All",'CA Dashboard'!$C$6=H733),OR('CA Dashboard'!$C$7="All",'CA Dashboard'!$C$7=F733),OR('CA Dashboard'!$C$8="All",'CA Dashboard'!$C$8=AJ733))</f>
        <v/>
      </c>
      <c r="AI733" s="148">
        <f>IF(AH733,AI732+1,AI732)</f>
        <v/>
      </c>
      <c r="AJ733" s="148" t="inlineStr">
        <is>
          <t>Not classified</t>
        </is>
      </c>
      <c r="AK733" s="148" t="inlineStr">
        <is>
          <t>Not a sheet, pillowcase or comforter product; competitors are compared on price and sales only.</t>
        </is>
      </c>
    </row>
    <row r="734">
      <c r="A734" s="148">
        <f>AND(E734="US",OR('US Dashboard'!$C$4="All",'US Dashboard'!$C$4=D734),OR('US Dashboard'!$C$5="All",'US Dashboard'!$C$5=G734),OR('US Dashboard'!$C$6="All",'US Dashboard'!$C$6=H734),OR('US Dashboard'!$C$7="All",'US Dashboard'!$C$7=F734),OR('US Dashboard'!$C$8="All",'US Dashboard'!$C$8=AJ734))</f>
        <v/>
      </c>
      <c r="B734" s="148">
        <f>IF(A734,B733+1,B733)</f>
        <v/>
      </c>
      <c r="C734" s="148" t="n">
        <v>33</v>
      </c>
      <c r="D734" s="148" t="inlineStr">
        <is>
          <t>DC Chair Cover</t>
        </is>
      </c>
      <c r="E734" s="148" t="inlineStr">
        <is>
          <t>US</t>
        </is>
      </c>
      <c r="F734" s="148" t="inlineStr">
        <is>
          <t>Other</t>
        </is>
      </c>
      <c r="G734" s="148" t="inlineStr">
        <is>
          <t>YUEANG</t>
        </is>
      </c>
      <c r="H734" s="148" t="inlineStr">
        <is>
          <t>Aspirational</t>
        </is>
      </c>
      <c r="I734" s="148" t="inlineStr">
        <is>
          <t>YUEANG Dining Chair Covers Set of 6, Stretch Parsons Chair Slipcovers</t>
        </is>
      </c>
      <c r="J734" s="148" t="inlineStr">
        <is>
          <t>https://images-na.ssl-images-amazon.com/images/I/81OP4LkrvyL.jpg</t>
        </is>
      </c>
      <c r="K734" s="148" t="inlineStr">
        <is>
          <t>B0CJTP9JFK</t>
        </is>
      </c>
      <c r="L734" s="148" t="inlineStr">
        <is>
          <t>B0BYCSLWR6</t>
        </is>
      </c>
      <c r="M734" s="148" t="n">
        <v>38</v>
      </c>
      <c r="N734" s="148" t="n">
        <v>29.99</v>
      </c>
      <c r="O734" s="148" t="n"/>
      <c r="P734" s="148">
        <f>IF(AND(ISNUMBER(O734),ISNUMBER(N734),N(N734)&gt;0),O734/N734-1,"")</f>
        <v/>
      </c>
      <c r="Q734" s="148" t="n">
        <v>25.24</v>
      </c>
      <c r="R734" s="148">
        <f>IF(AND(ISNUMBER(N734),ISNUMBER(Q734),N(Q734)&gt;0),N734/Q734-1,"")</f>
        <v/>
      </c>
      <c r="S734" s="148" t="n">
        <v>33484</v>
      </c>
      <c r="T734" s="148" t="n">
        <v>81</v>
      </c>
      <c r="U734" s="148" t="n">
        <v>4.6</v>
      </c>
      <c r="V734" s="148" t="n">
        <v>1526</v>
      </c>
      <c r="W734" s="148" t="n"/>
      <c r="X734" s="148" t="n"/>
      <c r="Y734" s="148" t="n"/>
      <c r="Z734" s="148" t="n"/>
      <c r="AA734" s="148" t="n"/>
      <c r="AB734" s="148" t="n"/>
      <c r="AC734" s="148" t="inlineStr">
        <is>
          <t>US DC Chair Cover</t>
        </is>
      </c>
      <c r="AD734" s="148">
        <f>'US DC Chair Cover'!BF65</f>
        <v/>
      </c>
      <c r="AE734" s="148">
        <f>'US DC Chair Cover'!BI65</f>
        <v/>
      </c>
      <c r="AF734" s="148" t="n"/>
      <c r="AG734" s="148" t="inlineStr">
        <is>
          <t>Taupe</t>
        </is>
      </c>
      <c r="AH734" s="148">
        <f>AND(E734="CA",OR('CA Dashboard'!$C$4="All",'CA Dashboard'!$C$4=D734),OR('CA Dashboard'!$C$5="All",'CA Dashboard'!$C$5=G734),OR('CA Dashboard'!$C$6="All",'CA Dashboard'!$C$6=H734),OR('CA Dashboard'!$C$7="All",'CA Dashboard'!$C$7=F734),OR('CA Dashboard'!$C$8="All",'CA Dashboard'!$C$8=AJ734))</f>
        <v/>
      </c>
      <c r="AI734" s="148">
        <f>IF(AH734,AI733+1,AI733)</f>
        <v/>
      </c>
      <c r="AJ734" s="148" t="inlineStr">
        <is>
          <t>Not classified</t>
        </is>
      </c>
      <c r="AK734" s="148" t="inlineStr">
        <is>
          <t>Not a sheet, pillowcase or comforter product; competitors are compared on price and sales only.</t>
        </is>
      </c>
    </row>
    <row r="735">
      <c r="A735" s="148">
        <f>AND(E735="US",OR('US Dashboard'!$C$4="All",'US Dashboard'!$C$4=D735),OR('US Dashboard'!$C$5="All",'US Dashboard'!$C$5=G735),OR('US Dashboard'!$C$6="All",'US Dashboard'!$C$6=H735),OR('US Dashboard'!$C$7="All",'US Dashboard'!$C$7=F735),OR('US Dashboard'!$C$8="All",'US Dashboard'!$C$8=AJ735))</f>
        <v/>
      </c>
      <c r="B735" s="148">
        <f>IF(A735,B734+1,B734)</f>
        <v/>
      </c>
      <c r="C735" s="148" t="n">
        <v>33</v>
      </c>
      <c r="D735" s="148" t="inlineStr">
        <is>
          <t>DC Chair Cover</t>
        </is>
      </c>
      <c r="E735" s="148" t="inlineStr">
        <is>
          <t>US</t>
        </is>
      </c>
      <c r="F735" s="148" t="inlineStr">
        <is>
          <t>Other</t>
        </is>
      </c>
      <c r="G735" s="148" t="inlineStr">
        <is>
          <t>Howhic</t>
        </is>
      </c>
      <c r="H735" s="148" t="inlineStr">
        <is>
          <t>Aspirational</t>
        </is>
      </c>
      <c r="I735" s="148" t="inlineStr">
        <is>
          <t>Waterproof Chair Cover</t>
        </is>
      </c>
      <c r="J735" s="148" t="inlineStr">
        <is>
          <t>https://m.media-amazon.com/images/I/71eyNKYGOQL._AC_SL1500_.jpg</t>
        </is>
      </c>
      <c r="K735" s="148" t="inlineStr">
        <is>
          <t>B09645XQZT</t>
        </is>
      </c>
      <c r="L735" s="148" t="inlineStr">
        <is>
          <t>B08GCF617Q</t>
        </is>
      </c>
      <c r="M735" s="148" t="n"/>
      <c r="N735" s="148" t="n">
        <v>32.99</v>
      </c>
      <c r="O735" s="148" t="n"/>
      <c r="P735" s="148">
        <f>IF(AND(ISNUMBER(O735),ISNUMBER(N735),N(N735)&gt;0),O735/N735-1,"")</f>
        <v/>
      </c>
      <c r="Q735" s="148" t="n">
        <v>25.24</v>
      </c>
      <c r="R735" s="148">
        <f>IF(AND(ISNUMBER(N735),ISNUMBER(Q735),N(Q735)&gt;0),N735/Q735-1,"")</f>
        <v/>
      </c>
      <c r="S735" s="148" t="n">
        <v>26195</v>
      </c>
      <c r="T735" s="148" t="n">
        <v>35</v>
      </c>
      <c r="U735" s="148" t="n">
        <v>4.6</v>
      </c>
      <c r="V735" s="148" t="n">
        <v>8870</v>
      </c>
      <c r="W735" s="148" t="n"/>
      <c r="X735" s="148" t="n"/>
      <c r="Y735" s="148" t="n"/>
      <c r="Z735" s="148" t="n"/>
      <c r="AA735" s="148" t="n"/>
      <c r="AB735" s="148" t="n"/>
      <c r="AC735" s="148" t="inlineStr">
        <is>
          <t>US DC Chair Cover</t>
        </is>
      </c>
      <c r="AD735" s="148">
        <f>'US DC Chair Cover'!BF66</f>
        <v/>
      </c>
      <c r="AE735" s="148">
        <f>'US DC Chair Cover'!BI66</f>
        <v/>
      </c>
      <c r="AF735" s="148" t="n"/>
      <c r="AG735" s="148" t="inlineStr">
        <is>
          <t>Pumpkin Orange</t>
        </is>
      </c>
      <c r="AH735" s="148">
        <f>AND(E735="CA",OR('CA Dashboard'!$C$4="All",'CA Dashboard'!$C$4=D735),OR('CA Dashboard'!$C$5="All",'CA Dashboard'!$C$5=G735),OR('CA Dashboard'!$C$6="All",'CA Dashboard'!$C$6=H735),OR('CA Dashboard'!$C$7="All",'CA Dashboard'!$C$7=F735),OR('CA Dashboard'!$C$8="All",'CA Dashboard'!$C$8=AJ735))</f>
        <v/>
      </c>
      <c r="AI735" s="148">
        <f>IF(AH735,AI734+1,AI734)</f>
        <v/>
      </c>
      <c r="AJ735" s="148" t="inlineStr">
        <is>
          <t>Not classified</t>
        </is>
      </c>
      <c r="AK735" s="148" t="inlineStr">
        <is>
          <t>Not a sheet, pillowcase or comforter product; competitors are compared on price and sales only.</t>
        </is>
      </c>
    </row>
    <row r="736">
      <c r="A736" s="148">
        <f>AND(E736="US",OR('US Dashboard'!$C$4="All",'US Dashboard'!$C$4=D736),OR('US Dashboard'!$C$5="All",'US Dashboard'!$C$5=G736),OR('US Dashboard'!$C$6="All",'US Dashboard'!$C$6=H736),OR('US Dashboard'!$C$7="All",'US Dashboard'!$C$7=F736),OR('US Dashboard'!$C$8="All",'US Dashboard'!$C$8=AJ736))</f>
        <v/>
      </c>
      <c r="B736" s="148">
        <f>IF(A736,B735+1,B735)</f>
        <v/>
      </c>
      <c r="C736" s="148" t="n">
        <v>33</v>
      </c>
      <c r="D736" s="148" t="inlineStr">
        <is>
          <t>DC Chair Cover</t>
        </is>
      </c>
      <c r="E736" s="148" t="inlineStr">
        <is>
          <t>US</t>
        </is>
      </c>
      <c r="F736" s="148" t="inlineStr">
        <is>
          <t>Other</t>
        </is>
      </c>
      <c r="G736" s="148" t="inlineStr">
        <is>
          <t>Lalluxy</t>
        </is>
      </c>
      <c r="H736" s="148" t="inlineStr">
        <is>
          <t>Aspirational</t>
        </is>
      </c>
      <c r="I736" s="148" t="inlineStr">
        <is>
          <t>Lalluxy Stretchy Washable Parson Dining Chair Covers/Slipcovers Set of 4</t>
        </is>
      </c>
      <c r="J736" s="148" t="inlineStr">
        <is>
          <t>https://images-na.ssl-images-amazon.com/images/I/81ekAED+8mL.jpg</t>
        </is>
      </c>
      <c r="K736" s="148" t="inlineStr">
        <is>
          <t>B0C53PPZMS</t>
        </is>
      </c>
      <c r="L736" s="148" t="inlineStr">
        <is>
          <t>B08FSDPZZP</t>
        </is>
      </c>
      <c r="M736" s="148" t="n">
        <v>81</v>
      </c>
      <c r="N736" s="148" t="n">
        <v>17.99</v>
      </c>
      <c r="O736" s="148" t="n"/>
      <c r="P736" s="148">
        <f>IF(AND(ISNUMBER(O736),ISNUMBER(N736),N(N736)&gt;0),O736/N736-1,"")</f>
        <v/>
      </c>
      <c r="Q736" s="148" t="n">
        <v>25.24</v>
      </c>
      <c r="R736" s="148">
        <f>IF(AND(ISNUMBER(N736),ISNUMBER(Q736),N(Q736)&gt;0),N736/Q736-1,"")</f>
        <v/>
      </c>
      <c r="S736" s="148" t="n">
        <v>59235</v>
      </c>
      <c r="T736" s="148" t="n">
        <v>18</v>
      </c>
      <c r="U736" s="148" t="n">
        <v>4.6</v>
      </c>
      <c r="V736" s="148" t="n">
        <v>3594</v>
      </c>
      <c r="W736" s="148" t="n"/>
      <c r="X736" s="148" t="n"/>
      <c r="Y736" s="148" t="n"/>
      <c r="Z736" s="148" t="n"/>
      <c r="AA736" s="148" t="n"/>
      <c r="AB736" s="148" t="n"/>
      <c r="AC736" s="148" t="inlineStr">
        <is>
          <t>US DC Chair Cover</t>
        </is>
      </c>
      <c r="AD736" s="148">
        <f>'US DC Chair Cover'!BF67</f>
        <v/>
      </c>
      <c r="AE736" s="148">
        <f>'US DC Chair Cover'!BI67</f>
        <v/>
      </c>
      <c r="AF736" s="148" t="n"/>
      <c r="AG736" s="148" t="inlineStr">
        <is>
          <t>Orange Flowers</t>
        </is>
      </c>
      <c r="AH736" s="148">
        <f>AND(E736="CA",OR('CA Dashboard'!$C$4="All",'CA Dashboard'!$C$4=D736),OR('CA Dashboard'!$C$5="All",'CA Dashboard'!$C$5=G736),OR('CA Dashboard'!$C$6="All",'CA Dashboard'!$C$6=H736),OR('CA Dashboard'!$C$7="All",'CA Dashboard'!$C$7=F736),OR('CA Dashboard'!$C$8="All",'CA Dashboard'!$C$8=AJ736))</f>
        <v/>
      </c>
      <c r="AI736" s="148">
        <f>IF(AH736,AI735+1,AI735)</f>
        <v/>
      </c>
      <c r="AJ736" s="148" t="inlineStr">
        <is>
          <t>Not classified</t>
        </is>
      </c>
      <c r="AK736" s="148" t="inlineStr">
        <is>
          <t>Not a sheet, pillowcase or comforter product; competitors are compared on price and sales only.</t>
        </is>
      </c>
    </row>
    <row r="737">
      <c r="A737" s="148">
        <f>AND(E737="US",OR('US Dashboard'!$C$4="All",'US Dashboard'!$C$4=D737),OR('US Dashboard'!$C$5="All",'US Dashboard'!$C$5=G737),OR('US Dashboard'!$C$6="All",'US Dashboard'!$C$6=H737),OR('US Dashboard'!$C$7="All",'US Dashboard'!$C$7=F737),OR('US Dashboard'!$C$8="All",'US Dashboard'!$C$8=AJ737))</f>
        <v/>
      </c>
      <c r="B737" s="148">
        <f>IF(A737,B736+1,B736)</f>
        <v/>
      </c>
      <c r="C737" s="148" t="n">
        <v>33</v>
      </c>
      <c r="D737" s="148" t="inlineStr">
        <is>
          <t>DC Chair Cover</t>
        </is>
      </c>
      <c r="E737" s="148" t="inlineStr">
        <is>
          <t>US</t>
        </is>
      </c>
      <c r="F737" s="148" t="inlineStr">
        <is>
          <t>Other</t>
        </is>
      </c>
      <c r="G737" s="148" t="inlineStr">
        <is>
          <t>SearchI</t>
        </is>
      </c>
      <c r="H737" s="148" t="inlineStr">
        <is>
          <t>Aspirational</t>
        </is>
      </c>
      <c r="I737" s="148" t="inlineStr">
        <is>
          <t>Waterproof Chair Cover</t>
        </is>
      </c>
      <c r="J737" s="148" t="inlineStr">
        <is>
          <t>https://m.media-amazon.com/images/I/81GjtLjgkdL._AC_SL1500_.jpg</t>
        </is>
      </c>
      <c r="K737" s="148" t="inlineStr">
        <is>
          <t>B09GY7YG2P</t>
        </is>
      </c>
      <c r="L737" s="148" t="inlineStr">
        <is>
          <t>B081GQBPRT</t>
        </is>
      </c>
      <c r="M737" s="148" t="n"/>
      <c r="N737" s="148" t="n">
        <v>22.94</v>
      </c>
      <c r="O737" s="148" t="n">
        <v>26.99</v>
      </c>
      <c r="P737" s="148">
        <f>IF(AND(ISNUMBER(O737),ISNUMBER(N737),N(N737)&gt;0),O737/N737-1,"")</f>
        <v/>
      </c>
      <c r="Q737" s="148" t="n">
        <v>25.24</v>
      </c>
      <c r="R737" s="148">
        <f>IF(AND(ISNUMBER(N737),ISNUMBER(Q737),N(Q737)&gt;0),N737/Q737-1,"")</f>
        <v/>
      </c>
      <c r="S737" s="148" t="n">
        <v>23786</v>
      </c>
      <c r="T737" s="148" t="n">
        <v>18</v>
      </c>
      <c r="U737" s="148" t="n">
        <v>4.6</v>
      </c>
      <c r="V737" s="148" t="n">
        <v>5341</v>
      </c>
      <c r="W737" s="148" t="n"/>
      <c r="X737" s="148" t="n"/>
      <c r="Y737" s="148" t="n"/>
      <c r="Z737" s="148" t="n"/>
      <c r="AA737" s="148" t="n"/>
      <c r="AB737" s="148" t="n"/>
      <c r="AC737" s="148" t="inlineStr">
        <is>
          <t>US DC Chair Cover</t>
        </is>
      </c>
      <c r="AD737" s="148">
        <f>'US DC Chair Cover'!BF68</f>
        <v/>
      </c>
      <c r="AE737" s="148">
        <f>'US DC Chair Cover'!BI68</f>
        <v/>
      </c>
      <c r="AF737" s="148" t="n"/>
      <c r="AG737" s="148" t="inlineStr">
        <is>
          <t>Beige+flowers</t>
        </is>
      </c>
      <c r="AH737" s="148">
        <f>AND(E737="CA",OR('CA Dashboard'!$C$4="All",'CA Dashboard'!$C$4=D737),OR('CA Dashboard'!$C$5="All",'CA Dashboard'!$C$5=G737),OR('CA Dashboard'!$C$6="All",'CA Dashboard'!$C$6=H737),OR('CA Dashboard'!$C$7="All",'CA Dashboard'!$C$7=F737),OR('CA Dashboard'!$C$8="All",'CA Dashboard'!$C$8=AJ737))</f>
        <v/>
      </c>
      <c r="AI737" s="148">
        <f>IF(AH737,AI736+1,AI736)</f>
        <v/>
      </c>
      <c r="AJ737" s="148" t="inlineStr">
        <is>
          <t>Not classified</t>
        </is>
      </c>
      <c r="AK737" s="148" t="inlineStr">
        <is>
          <t>Not a sheet, pillowcase or comforter product; competitors are compared on price and sales only.</t>
        </is>
      </c>
    </row>
    <row r="738">
      <c r="A738" s="148">
        <f>AND(E738="US",OR('US Dashboard'!$C$4="All",'US Dashboard'!$C$4=D738),OR('US Dashboard'!$C$5="All",'US Dashboard'!$C$5=G738),OR('US Dashboard'!$C$6="All",'US Dashboard'!$C$6=H738),OR('US Dashboard'!$C$7="All",'US Dashboard'!$C$7=F738),OR('US Dashboard'!$C$8="All",'US Dashboard'!$C$8=AJ738))</f>
        <v/>
      </c>
      <c r="B738" s="148">
        <f>IF(A738,B737+1,B737)</f>
        <v/>
      </c>
      <c r="C738" s="148" t="n">
        <v>33</v>
      </c>
      <c r="D738" s="148" t="inlineStr">
        <is>
          <t>DC Chair Cover</t>
        </is>
      </c>
      <c r="E738" s="148" t="inlineStr">
        <is>
          <t>US</t>
        </is>
      </c>
      <c r="F738" s="148" t="inlineStr">
        <is>
          <t>Other</t>
        </is>
      </c>
      <c r="G738" s="148" t="inlineStr">
        <is>
          <t>Smiry</t>
        </is>
      </c>
      <c r="H738" s="148" t="inlineStr">
        <is>
          <t>Aspirational</t>
        </is>
      </c>
      <c r="I738" s="148" t="inlineStr">
        <is>
          <t>Smiry Velvet Dining Chair Covers, Parsons Chair Slipcovers Set of 4</t>
        </is>
      </c>
      <c r="J738" s="148" t="inlineStr">
        <is>
          <t>https://images-na.ssl-images-amazon.com/images/I/51EsdapI2HL.jpg</t>
        </is>
      </c>
      <c r="K738" s="148" t="inlineStr">
        <is>
          <t>B0D4ZNRN1P</t>
        </is>
      </c>
      <c r="L738" s="148" t="inlineStr">
        <is>
          <t>B077XWCV6D</t>
        </is>
      </c>
      <c r="M738" s="148" t="n">
        <v>66</v>
      </c>
      <c r="N738" s="148" t="n">
        <v>26.99</v>
      </c>
      <c r="O738" s="148" t="n">
        <v>31.99</v>
      </c>
      <c r="P738" s="148">
        <f>IF(AND(ISNUMBER(O738),ISNUMBER(N738),N(N738)&gt;0),O738/N738-1,"")</f>
        <v/>
      </c>
      <c r="Q738" s="148" t="n">
        <v>25.24</v>
      </c>
      <c r="R738" s="148">
        <f>IF(AND(ISNUMBER(N738),ISNUMBER(Q738),N(Q738)&gt;0),N738/Q738-1,"")</f>
        <v/>
      </c>
      <c r="S738" s="148" t="n">
        <v>25653</v>
      </c>
      <c r="T738" s="148" t="n">
        <v>18</v>
      </c>
      <c r="U738" s="148" t="n">
        <v>4.6</v>
      </c>
      <c r="V738" s="148" t="n">
        <v>7521</v>
      </c>
      <c r="W738" s="148" t="n"/>
      <c r="X738" s="148" t="n"/>
      <c r="Y738" s="148" t="n"/>
      <c r="Z738" s="148" t="n"/>
      <c r="AA738" s="148" t="n"/>
      <c r="AB738" s="148" t="n"/>
      <c r="AC738" s="148" t="inlineStr">
        <is>
          <t>US DC Chair Cover</t>
        </is>
      </c>
      <c r="AD738" s="148">
        <f>'US DC Chair Cover'!BF69</f>
        <v/>
      </c>
      <c r="AE738" s="148">
        <f>'US DC Chair Cover'!BI69</f>
        <v/>
      </c>
      <c r="AF738" s="148" t="n"/>
      <c r="AG738" s="148" t="inlineStr">
        <is>
          <t>Black</t>
        </is>
      </c>
      <c r="AH738" s="148">
        <f>AND(E738="CA",OR('CA Dashboard'!$C$4="All",'CA Dashboard'!$C$4=D738),OR('CA Dashboard'!$C$5="All",'CA Dashboard'!$C$5=G738),OR('CA Dashboard'!$C$6="All",'CA Dashboard'!$C$6=H738),OR('CA Dashboard'!$C$7="All",'CA Dashboard'!$C$7=F738),OR('CA Dashboard'!$C$8="All",'CA Dashboard'!$C$8=AJ738))</f>
        <v/>
      </c>
      <c r="AI738" s="148">
        <f>IF(AH738,AI737+1,AI737)</f>
        <v/>
      </c>
      <c r="AJ738" s="148" t="inlineStr">
        <is>
          <t>Not classified</t>
        </is>
      </c>
      <c r="AK738" s="148" t="inlineStr">
        <is>
          <t>Not a sheet, pillowcase or comforter product; competitors are compared on price and sales only.</t>
        </is>
      </c>
    </row>
    <row r="739">
      <c r="A739" s="148">
        <f>AND(E739="US",OR('US Dashboard'!$C$4="All",'US Dashboard'!$C$4=D739),OR('US Dashboard'!$C$5="All",'US Dashboard'!$C$5=G739),OR('US Dashboard'!$C$6="All",'US Dashboard'!$C$6=H739),OR('US Dashboard'!$C$7="All",'US Dashboard'!$C$7=F739),OR('US Dashboard'!$C$8="All",'US Dashboard'!$C$8=AJ739))</f>
        <v/>
      </c>
      <c r="B739" s="148">
        <f>IF(A739,B738+1,B738)</f>
        <v/>
      </c>
      <c r="C739" s="148" t="n">
        <v>33</v>
      </c>
      <c r="D739" s="148" t="inlineStr">
        <is>
          <t>DC Chair Cover</t>
        </is>
      </c>
      <c r="E739" s="148" t="inlineStr">
        <is>
          <t>US</t>
        </is>
      </c>
      <c r="F739" s="148" t="inlineStr">
        <is>
          <t>Other</t>
        </is>
      </c>
      <c r="G739" s="148" t="inlineStr">
        <is>
          <t>SPRINGRICO</t>
        </is>
      </c>
      <c r="H739" s="148" t="inlineStr">
        <is>
          <t>Aspirational</t>
        </is>
      </c>
      <c r="I739" s="148" t="inlineStr">
        <is>
          <t>Waterproof Chair Cover</t>
        </is>
      </c>
      <c r="J739" s="148" t="inlineStr">
        <is>
          <t>https://m.media-amazon.com/images/I/81sQWrFcFeL._AC_SL1500_.jpg</t>
        </is>
      </c>
      <c r="K739" s="148" t="inlineStr">
        <is>
          <t>B08K7PDZ1F</t>
        </is>
      </c>
      <c r="L739" s="148" t="inlineStr">
        <is>
          <t>B08K7LPC9L</t>
        </is>
      </c>
      <c r="M739" s="148" t="n"/>
      <c r="N739" s="148" t="n">
        <v>25.49</v>
      </c>
      <c r="O739" s="148" t="n"/>
      <c r="P739" s="148">
        <f>IF(AND(ISNUMBER(O739),ISNUMBER(N739),N(N739)&gt;0),O739/N739-1,"")</f>
        <v/>
      </c>
      <c r="Q739" s="148" t="n">
        <v>25.24</v>
      </c>
      <c r="R739" s="148">
        <f>IF(AND(ISNUMBER(N739),ISNUMBER(Q739),N(Q739)&gt;0),N739/Q739-1,"")</f>
        <v/>
      </c>
      <c r="S739" s="148" t="n">
        <v>24520</v>
      </c>
      <c r="T739" s="148" t="n">
        <v>18</v>
      </c>
      <c r="U739" s="148" t="n">
        <v>4.7</v>
      </c>
      <c r="V739" s="148" t="n">
        <v>6302</v>
      </c>
      <c r="W739" s="148" t="n"/>
      <c r="X739" s="148" t="n"/>
      <c r="Y739" s="148" t="n"/>
      <c r="Z739" s="148" t="n"/>
      <c r="AA739" s="148" t="n"/>
      <c r="AB739" s="148" t="n"/>
      <c r="AC739" s="148" t="inlineStr">
        <is>
          <t>US DC Chair Cover</t>
        </is>
      </c>
      <c r="AD739" s="148">
        <f>'US DC Chair Cover'!BF70</f>
        <v/>
      </c>
      <c r="AE739" s="148">
        <f>'US DC Chair Cover'!BI70</f>
        <v/>
      </c>
      <c r="AF739" s="148" t="n"/>
      <c r="AG739" s="148" t="inlineStr">
        <is>
          <t>Floral4</t>
        </is>
      </c>
      <c r="AH739" s="148">
        <f>AND(E739="CA",OR('CA Dashboard'!$C$4="All",'CA Dashboard'!$C$4=D739),OR('CA Dashboard'!$C$5="All",'CA Dashboard'!$C$5=G739),OR('CA Dashboard'!$C$6="All",'CA Dashboard'!$C$6=H739),OR('CA Dashboard'!$C$7="All",'CA Dashboard'!$C$7=F739),OR('CA Dashboard'!$C$8="All",'CA Dashboard'!$C$8=AJ739))</f>
        <v/>
      </c>
      <c r="AI739" s="148">
        <f>IF(AH739,AI738+1,AI738)</f>
        <v/>
      </c>
      <c r="AJ739" s="148" t="inlineStr">
        <is>
          <t>Not classified</t>
        </is>
      </c>
      <c r="AK739" s="148" t="inlineStr">
        <is>
          <t>Not a sheet, pillowcase or comforter product; competitors are compared on price and sales only.</t>
        </is>
      </c>
    </row>
    <row r="740">
      <c r="A740" s="148">
        <f>AND(E740="US",OR('US Dashboard'!$C$4="All",'US Dashboard'!$C$4=D740),OR('US Dashboard'!$C$5="All",'US Dashboard'!$C$5=G740),OR('US Dashboard'!$C$6="All",'US Dashboard'!$C$6=H740),OR('US Dashboard'!$C$7="All",'US Dashboard'!$C$7=F740),OR('US Dashboard'!$C$8="All",'US Dashboard'!$C$8=AJ740))</f>
        <v/>
      </c>
      <c r="B740" s="148">
        <f>IF(A740,B739+1,B739)</f>
        <v/>
      </c>
      <c r="C740" s="148" t="n">
        <v>33</v>
      </c>
      <c r="D740" s="148" t="inlineStr">
        <is>
          <t>DC Chair Cover</t>
        </is>
      </c>
      <c r="E740" s="148" t="inlineStr">
        <is>
          <t>US</t>
        </is>
      </c>
      <c r="F740" s="148" t="inlineStr">
        <is>
          <t>Other</t>
        </is>
      </c>
      <c r="G740" s="148" t="inlineStr">
        <is>
          <t>Fafua</t>
        </is>
      </c>
      <c r="H740" s="148" t="inlineStr">
        <is>
          <t>Beatable</t>
        </is>
      </c>
      <c r="I740" s="148" t="inlineStr">
        <is>
          <t>Fafua Stretch Dining Room Chair Covers Set of 6, Removable Washable Chair Covers for Dining Chairs,Dining Room, Hotel, Ceremony</t>
        </is>
      </c>
      <c r="J740" s="148" t="inlineStr">
        <is>
          <t>https://images-na.ssl-images-amazon.com/images/I/71vREPERc7L.jpg</t>
        </is>
      </c>
      <c r="K740" s="148" t="inlineStr">
        <is>
          <t>B0DFY9MKGZ</t>
        </is>
      </c>
      <c r="L740" s="148" t="inlineStr">
        <is>
          <t>B0D59BMBK7</t>
        </is>
      </c>
      <c r="M740" s="148" t="n">
        <v>107</v>
      </c>
      <c r="N740" s="148" t="n">
        <v>19.1</v>
      </c>
      <c r="O740" s="148" t="n">
        <v>23.88</v>
      </c>
      <c r="P740" s="148">
        <f>IF(AND(ISNUMBER(O740),ISNUMBER(N740),N(N740)&gt;0),O740/N740-1,"")</f>
        <v/>
      </c>
      <c r="Q740" s="148" t="n">
        <v>25.24</v>
      </c>
      <c r="R740" s="148">
        <f>IF(AND(ISNUMBER(N740),ISNUMBER(Q740),N(Q740)&gt;0),N740/Q740-1,"")</f>
        <v/>
      </c>
      <c r="S740" s="148" t="n">
        <v>60827</v>
      </c>
      <c r="T740" s="148" t="n">
        <v>35</v>
      </c>
      <c r="U740" s="148" t="n">
        <v>4.6</v>
      </c>
      <c r="V740" s="148" t="n">
        <v>865</v>
      </c>
      <c r="W740" s="148" t="n"/>
      <c r="X740" s="148" t="n"/>
      <c r="Y740" s="148" t="n"/>
      <c r="Z740" s="148" t="n"/>
      <c r="AA740" s="148" t="n"/>
      <c r="AB740" s="148" t="n"/>
      <c r="AC740" s="148" t="inlineStr">
        <is>
          <t>US DC Chair Cover</t>
        </is>
      </c>
      <c r="AD740" s="148">
        <f>'US DC Chair Cover'!BF71</f>
        <v/>
      </c>
      <c r="AE740" s="148">
        <f>'US DC Chair Cover'!BI71</f>
        <v/>
      </c>
      <c r="AF740" s="148" t="n"/>
      <c r="AG740" s="148" t="inlineStr">
        <is>
          <t>.Black</t>
        </is>
      </c>
      <c r="AH740" s="148">
        <f>AND(E740="CA",OR('CA Dashboard'!$C$4="All",'CA Dashboard'!$C$4=D740),OR('CA Dashboard'!$C$5="All",'CA Dashboard'!$C$5=G740),OR('CA Dashboard'!$C$6="All",'CA Dashboard'!$C$6=H740),OR('CA Dashboard'!$C$7="All",'CA Dashboard'!$C$7=F740),OR('CA Dashboard'!$C$8="All",'CA Dashboard'!$C$8=AJ740))</f>
        <v/>
      </c>
      <c r="AI740" s="148">
        <f>IF(AH740,AI739+1,AI739)</f>
        <v/>
      </c>
      <c r="AJ740" s="148" t="inlineStr">
        <is>
          <t>Not classified</t>
        </is>
      </c>
      <c r="AK740" s="148" t="inlineStr">
        <is>
          <t>Not a sheet, pillowcase or comforter product; competitors are compared on price and sales only.</t>
        </is>
      </c>
    </row>
    <row r="741">
      <c r="A741" s="148">
        <f>AND(E741="US",OR('US Dashboard'!$C$4="All",'US Dashboard'!$C$4=D741),OR('US Dashboard'!$C$5="All",'US Dashboard'!$C$5=G741),OR('US Dashboard'!$C$6="All",'US Dashboard'!$C$6=H741),OR('US Dashboard'!$C$7="All",'US Dashboard'!$C$7=F741),OR('US Dashboard'!$C$8="All",'US Dashboard'!$C$8=AJ741))</f>
        <v/>
      </c>
      <c r="B741" s="148">
        <f>IF(A741,B740+1,B740)</f>
        <v/>
      </c>
      <c r="C741" s="148" t="n">
        <v>33</v>
      </c>
      <c r="D741" s="148" t="inlineStr">
        <is>
          <t>DC Chair Cover</t>
        </is>
      </c>
      <c r="E741" s="148" t="inlineStr">
        <is>
          <t>US</t>
        </is>
      </c>
      <c r="F741" s="148" t="inlineStr">
        <is>
          <t>Other</t>
        </is>
      </c>
      <c r="G741" s="148" t="inlineStr">
        <is>
          <t>Easy-Going</t>
        </is>
      </c>
      <c r="H741" s="148" t="inlineStr">
        <is>
          <t>Beatable</t>
        </is>
      </c>
      <c r="I741" s="148" t="inlineStr">
        <is>
          <t>Waterproof Chair Cover</t>
        </is>
      </c>
      <c r="J741" s="148" t="inlineStr">
        <is>
          <t>https://m.media-amazon.com/images/I/61XIecJDSKL._AC_SL1500_.jpg</t>
        </is>
      </c>
      <c r="K741" s="148" t="inlineStr">
        <is>
          <t>B0BNHBKDGJ</t>
        </is>
      </c>
      <c r="L741" s="148" t="inlineStr">
        <is>
          <t>B0BNHCYG6Z</t>
        </is>
      </c>
      <c r="M741" s="148" t="n"/>
      <c r="N741" s="148" t="n">
        <v>24.99</v>
      </c>
      <c r="O741" s="148" t="n"/>
      <c r="P741" s="148">
        <f>IF(AND(ISNUMBER(O741),ISNUMBER(N741),N(N741)&gt;0),O741/N741-1,"")</f>
        <v/>
      </c>
      <c r="Q741" s="148" t="n">
        <v>25.24</v>
      </c>
      <c r="R741" s="148">
        <f>IF(AND(ISNUMBER(N741),ISNUMBER(Q741),N(Q741)&gt;0),N741/Q741-1,"")</f>
        <v/>
      </c>
      <c r="S741" s="148" t="n">
        <v>48182</v>
      </c>
      <c r="T741" s="148" t="n">
        <v>18</v>
      </c>
      <c r="U741" s="148" t="n">
        <v>4.6</v>
      </c>
      <c r="V741" s="148" t="n">
        <v>1034</v>
      </c>
      <c r="W741" s="148" t="n"/>
      <c r="X741" s="148" t="n"/>
      <c r="Y741" s="148" t="n"/>
      <c r="Z741" s="148" t="n"/>
      <c r="AA741" s="148" t="n"/>
      <c r="AB741" s="148" t="n"/>
      <c r="AC741" s="148" t="inlineStr">
        <is>
          <t>US DC Chair Cover</t>
        </is>
      </c>
      <c r="AD741" s="148">
        <f>'US DC Chair Cover'!BF72</f>
        <v/>
      </c>
      <c r="AE741" s="148">
        <f>'US DC Chair Cover'!BI72</f>
        <v/>
      </c>
      <c r="AF741" s="148" t="n"/>
      <c r="AG741" s="148" t="inlineStr">
        <is>
          <t>White</t>
        </is>
      </c>
      <c r="AH741" s="148">
        <f>AND(E741="CA",OR('CA Dashboard'!$C$4="All",'CA Dashboard'!$C$4=D741),OR('CA Dashboard'!$C$5="All",'CA Dashboard'!$C$5=G741),OR('CA Dashboard'!$C$6="All",'CA Dashboard'!$C$6=H741),OR('CA Dashboard'!$C$7="All",'CA Dashboard'!$C$7=F741),OR('CA Dashboard'!$C$8="All",'CA Dashboard'!$C$8=AJ741))</f>
        <v/>
      </c>
      <c r="AI741" s="148">
        <f>IF(AH741,AI740+1,AI740)</f>
        <v/>
      </c>
      <c r="AJ741" s="148" t="inlineStr">
        <is>
          <t>Not classified</t>
        </is>
      </c>
      <c r="AK741" s="148" t="inlineStr">
        <is>
          <t>Not a sheet, pillowcase or comforter product; competitors are compared on price and sales only.</t>
        </is>
      </c>
    </row>
    <row r="742">
      <c r="A742" s="148">
        <f>AND(E742="US",OR('US Dashboard'!$C$4="All",'US Dashboard'!$C$4=D742),OR('US Dashboard'!$C$5="All",'US Dashboard'!$C$5=G742),OR('US Dashboard'!$C$6="All",'US Dashboard'!$C$6=H742),OR('US Dashboard'!$C$7="All",'US Dashboard'!$C$7=F742),OR('US Dashboard'!$C$8="All",'US Dashboard'!$C$8=AJ742))</f>
        <v/>
      </c>
      <c r="B742" s="148">
        <f>IF(A742,B741+1,B741)</f>
        <v/>
      </c>
      <c r="C742" s="148" t="n">
        <v>33</v>
      </c>
      <c r="D742" s="148" t="inlineStr">
        <is>
          <t>DC Chair Cover</t>
        </is>
      </c>
      <c r="E742" s="148" t="inlineStr">
        <is>
          <t>US</t>
        </is>
      </c>
      <c r="F742" s="148" t="inlineStr">
        <is>
          <t>Other</t>
        </is>
      </c>
      <c r="G742" s="148" t="inlineStr">
        <is>
          <t>SPRINGRICO</t>
        </is>
      </c>
      <c r="H742" s="148" t="inlineStr">
        <is>
          <t>Beatable</t>
        </is>
      </c>
      <c r="I742" s="148" t="inlineStr">
        <is>
          <t>Waterproof Chair Cover</t>
        </is>
      </c>
      <c r="J742" s="148" t="inlineStr">
        <is>
          <t>https://m.media-amazon.com/images/I/71w7-AePOOL._AC_SL1500_.jpg</t>
        </is>
      </c>
      <c r="K742" s="148" t="inlineStr">
        <is>
          <t>B0BLMYTK9C</t>
        </is>
      </c>
      <c r="L742" s="148" t="inlineStr">
        <is>
          <t>B0BLN1DSXW</t>
        </is>
      </c>
      <c r="M742" s="148" t="n"/>
      <c r="N742" s="148" t="n">
        <v>29.89</v>
      </c>
      <c r="O742" s="148" t="n"/>
      <c r="P742" s="148">
        <f>IF(AND(ISNUMBER(O742),ISNUMBER(N742),N(N742)&gt;0),O742/N742-1,"")</f>
        <v/>
      </c>
      <c r="Q742" s="148" t="n">
        <v>25.24</v>
      </c>
      <c r="R742" s="148">
        <f>IF(AND(ISNUMBER(N742),ISNUMBER(Q742),N(Q742)&gt;0),N742/Q742-1,"")</f>
        <v/>
      </c>
      <c r="S742" s="148" t="n">
        <v>50244</v>
      </c>
      <c r="T742" s="148" t="n">
        <v>18</v>
      </c>
      <c r="U742" s="148" t="n">
        <v>4.7</v>
      </c>
      <c r="V742" s="148" t="n">
        <v>1526</v>
      </c>
      <c r="W742" s="148" t="n"/>
      <c r="X742" s="148" t="n"/>
      <c r="Y742" s="148" t="n"/>
      <c r="Z742" s="148" t="n"/>
      <c r="AA742" s="148" t="n"/>
      <c r="AB742" s="148" t="n"/>
      <c r="AC742" s="148" t="inlineStr">
        <is>
          <t>US DC Chair Cover</t>
        </is>
      </c>
      <c r="AD742" s="148">
        <f>'US DC Chair Cover'!BF73</f>
        <v/>
      </c>
      <c r="AE742" s="148">
        <f>'US DC Chair Cover'!BI73</f>
        <v/>
      </c>
      <c r="AF742" s="148" t="n"/>
      <c r="AG742" s="148" t="inlineStr">
        <is>
          <t>S2-beige</t>
        </is>
      </c>
      <c r="AH742" s="148">
        <f>AND(E742="CA",OR('CA Dashboard'!$C$4="All",'CA Dashboard'!$C$4=D742),OR('CA Dashboard'!$C$5="All",'CA Dashboard'!$C$5=G742),OR('CA Dashboard'!$C$6="All",'CA Dashboard'!$C$6=H742),OR('CA Dashboard'!$C$7="All",'CA Dashboard'!$C$7=F742),OR('CA Dashboard'!$C$8="All",'CA Dashboard'!$C$8=AJ742))</f>
        <v/>
      </c>
      <c r="AI742" s="148">
        <f>IF(AH742,AI741+1,AI741)</f>
        <v/>
      </c>
      <c r="AJ742" s="148" t="inlineStr">
        <is>
          <t>Not classified</t>
        </is>
      </c>
      <c r="AK742" s="148" t="inlineStr">
        <is>
          <t>Not a sheet, pillowcase or comforter product; competitors are compared on price and sales only.</t>
        </is>
      </c>
    </row>
    <row r="743">
      <c r="A743" s="148">
        <f>AND(E743="US",OR('US Dashboard'!$C$4="All",'US Dashboard'!$C$4=D743),OR('US Dashboard'!$C$5="All",'US Dashboard'!$C$5=G743),OR('US Dashboard'!$C$6="All",'US Dashboard'!$C$6=H743),OR('US Dashboard'!$C$7="All",'US Dashboard'!$C$7=F743),OR('US Dashboard'!$C$8="All",'US Dashboard'!$C$8=AJ743))</f>
        <v/>
      </c>
      <c r="B743" s="148">
        <f>IF(A743,B742+1,B742)</f>
        <v/>
      </c>
      <c r="C743" s="148" t="n">
        <v>33</v>
      </c>
      <c r="D743" s="148" t="inlineStr">
        <is>
          <t>DC Chair Cover</t>
        </is>
      </c>
      <c r="E743" s="148" t="inlineStr">
        <is>
          <t>US</t>
        </is>
      </c>
      <c r="F743" s="148" t="inlineStr">
        <is>
          <t>Other</t>
        </is>
      </c>
      <c r="G743" s="148" t="inlineStr">
        <is>
          <t>YEMYHOM</t>
        </is>
      </c>
      <c r="H743" s="148" t="inlineStr">
        <is>
          <t>Beatable</t>
        </is>
      </c>
      <c r="I743" s="148" t="inlineStr">
        <is>
          <t>Waterproof Chair Cover</t>
        </is>
      </c>
      <c r="J743" s="148" t="inlineStr">
        <is>
          <t>https://m.media-amazon.com/images/I/71ye5oOKCzL._AC_SL1500_.jpg</t>
        </is>
      </c>
      <c r="K743" s="148" t="inlineStr">
        <is>
          <t>B0DM8Y65RT</t>
        </is>
      </c>
      <c r="L743" s="148" t="inlineStr">
        <is>
          <t>B0895VM7KG</t>
        </is>
      </c>
      <c r="M743" s="148" t="n"/>
      <c r="N743" s="148" t="n">
        <v>9.99</v>
      </c>
      <c r="O743" s="148" t="n"/>
      <c r="P743" s="148">
        <f>IF(AND(ISNUMBER(O743),ISNUMBER(N743),N(N743)&gt;0),O743/N743-1,"")</f>
        <v/>
      </c>
      <c r="Q743" s="148" t="n">
        <v>25.24</v>
      </c>
      <c r="R743" s="148">
        <f>IF(AND(ISNUMBER(N743),ISNUMBER(Q743),N(Q743)&gt;0),N743/Q743-1,"")</f>
        <v/>
      </c>
      <c r="S743" s="148" t="n">
        <v>49521</v>
      </c>
      <c r="T743" s="148" t="n">
        <v>18</v>
      </c>
      <c r="U743" s="148" t="n">
        <v>4.6</v>
      </c>
      <c r="V743" s="148" t="n">
        <v>1638</v>
      </c>
      <c r="W743" s="148" t="n"/>
      <c r="X743" s="148" t="n"/>
      <c r="Y743" s="148" t="n"/>
      <c r="Z743" s="148" t="n"/>
      <c r="AA743" s="148" t="n"/>
      <c r="AB743" s="148" t="n"/>
      <c r="AC743" s="148" t="inlineStr">
        <is>
          <t>US DC Chair Cover</t>
        </is>
      </c>
      <c r="AD743" s="148">
        <f>'US DC Chair Cover'!BF74</f>
        <v/>
      </c>
      <c r="AE743" s="148">
        <f>'US DC Chair Cover'!BI74</f>
        <v/>
      </c>
      <c r="AF743" s="148" t="n"/>
      <c r="AG743" s="148" t="inlineStr">
        <is>
          <t>Black</t>
        </is>
      </c>
      <c r="AH743" s="148">
        <f>AND(E743="CA",OR('CA Dashboard'!$C$4="All",'CA Dashboard'!$C$4=D743),OR('CA Dashboard'!$C$5="All",'CA Dashboard'!$C$5=G743),OR('CA Dashboard'!$C$6="All",'CA Dashboard'!$C$6=H743),OR('CA Dashboard'!$C$7="All",'CA Dashboard'!$C$7=F743),OR('CA Dashboard'!$C$8="All",'CA Dashboard'!$C$8=AJ743))</f>
        <v/>
      </c>
      <c r="AI743" s="148">
        <f>IF(AH743,AI742+1,AI742)</f>
        <v/>
      </c>
      <c r="AJ743" s="148" t="inlineStr">
        <is>
          <t>Not classified</t>
        </is>
      </c>
      <c r="AK743" s="148" t="inlineStr">
        <is>
          <t>Not a sheet, pillowcase or comforter product; competitors are compared on price and sales only.</t>
        </is>
      </c>
    </row>
    <row r="744">
      <c r="A744" s="148">
        <f>AND(E744="US",OR('US Dashboard'!$C$4="All",'US Dashboard'!$C$4=D744),OR('US Dashboard'!$C$5="All",'US Dashboard'!$C$5=G744),OR('US Dashboard'!$C$6="All",'US Dashboard'!$C$6=H744),OR('US Dashboard'!$C$7="All",'US Dashboard'!$C$7=F744),OR('US Dashboard'!$C$8="All",'US Dashboard'!$C$8=AJ744))</f>
        <v/>
      </c>
      <c r="B744" s="148">
        <f>IF(A744,B743+1,B743)</f>
        <v/>
      </c>
      <c r="C744" s="148" t="n">
        <v>33</v>
      </c>
      <c r="D744" s="148" t="inlineStr">
        <is>
          <t>DC Chair Cover</t>
        </is>
      </c>
      <c r="E744" s="148" t="inlineStr">
        <is>
          <t>US</t>
        </is>
      </c>
      <c r="F744" s="148" t="inlineStr">
        <is>
          <t>Other</t>
        </is>
      </c>
      <c r="G744" s="148" t="inlineStr">
        <is>
          <t>FORCHEER</t>
        </is>
      </c>
      <c r="H744" s="148" t="inlineStr">
        <is>
          <t>Beatable</t>
        </is>
      </c>
      <c r="I744" s="148" t="inlineStr">
        <is>
          <t>Waterproof Chair Cover</t>
        </is>
      </c>
      <c r="J744" s="148" t="inlineStr">
        <is>
          <t>https://m.media-amazon.com/images/I/71gL217ObSL._AC_SL1500_.jpg</t>
        </is>
      </c>
      <c r="K744" s="148" t="inlineStr">
        <is>
          <t>B07YDFJ5K2</t>
        </is>
      </c>
      <c r="L744" s="148" t="inlineStr">
        <is>
          <t>B0DD37H251</t>
        </is>
      </c>
      <c r="M744" s="148" t="n"/>
      <c r="N744" s="148" t="n">
        <v>16.99</v>
      </c>
      <c r="O744" s="148" t="n"/>
      <c r="P744" s="148">
        <f>IF(AND(ISNUMBER(O744),ISNUMBER(N744),N(N744)&gt;0),O744/N744-1,"")</f>
        <v/>
      </c>
      <c r="Q744" s="148" t="n">
        <v>25.24</v>
      </c>
      <c r="R744" s="148">
        <f>IF(AND(ISNUMBER(N744),ISNUMBER(Q744),N(Q744)&gt;0),N744/Q744-1,"")</f>
        <v/>
      </c>
      <c r="S744" s="148" t="n">
        <v>183734</v>
      </c>
      <c r="T744" s="148" t="n">
        <v>5</v>
      </c>
      <c r="U744" s="148" t="n">
        <v>4.6</v>
      </c>
      <c r="V744" s="148" t="n">
        <v>1385</v>
      </c>
      <c r="W744" s="148" t="n"/>
      <c r="X744" s="148" t="n"/>
      <c r="Y744" s="148" t="n"/>
      <c r="Z744" s="148" t="n"/>
      <c r="AA744" s="148" t="n"/>
      <c r="AB744" s="148" t="n"/>
      <c r="AC744" s="148" t="inlineStr">
        <is>
          <t>US DC Chair Cover</t>
        </is>
      </c>
      <c r="AD744" s="148">
        <f>'US DC Chair Cover'!BF75</f>
        <v/>
      </c>
      <c r="AE744" s="148">
        <f>'US DC Chair Cover'!BI75</f>
        <v/>
      </c>
      <c r="AF744" s="148" t="n"/>
      <c r="AG744" s="148" t="inlineStr">
        <is>
          <t>Christmas 5</t>
        </is>
      </c>
      <c r="AH744" s="148">
        <f>AND(E744="CA",OR('CA Dashboard'!$C$4="All",'CA Dashboard'!$C$4=D744),OR('CA Dashboard'!$C$5="All",'CA Dashboard'!$C$5=G744),OR('CA Dashboard'!$C$6="All",'CA Dashboard'!$C$6=H744),OR('CA Dashboard'!$C$7="All",'CA Dashboard'!$C$7=F744),OR('CA Dashboard'!$C$8="All",'CA Dashboard'!$C$8=AJ744))</f>
        <v/>
      </c>
      <c r="AI744" s="148">
        <f>IF(AH744,AI743+1,AI743)</f>
        <v/>
      </c>
      <c r="AJ744" s="148" t="inlineStr">
        <is>
          <t>Not classified</t>
        </is>
      </c>
      <c r="AK744" s="148" t="inlineStr">
        <is>
          <t>Not a sheet, pillowcase or comforter product; competitors are compared on price and sales only.</t>
        </is>
      </c>
    </row>
    <row r="745">
      <c r="A745" s="148">
        <f>AND(E745="US",OR('US Dashboard'!$C$4="All",'US Dashboard'!$C$4=D745),OR('US Dashboard'!$C$5="All",'US Dashboard'!$C$5=G745),OR('US Dashboard'!$C$6="All",'US Dashboard'!$C$6=H745),OR('US Dashboard'!$C$7="All",'US Dashboard'!$C$7=F745),OR('US Dashboard'!$C$8="All",'US Dashboard'!$C$8=AJ745))</f>
        <v/>
      </c>
      <c r="B745" s="148">
        <f>IF(A745,B744+1,B744)</f>
        <v/>
      </c>
      <c r="C745" s="148" t="n">
        <v>33</v>
      </c>
      <c r="D745" s="148" t="inlineStr">
        <is>
          <t>DC Chair Cover</t>
        </is>
      </c>
      <c r="E745" s="148" t="inlineStr">
        <is>
          <t>US</t>
        </is>
      </c>
      <c r="F745" s="148" t="inlineStr">
        <is>
          <t>Other</t>
        </is>
      </c>
      <c r="G745" s="148" t="inlineStr">
        <is>
          <t>Secgo</t>
        </is>
      </c>
      <c r="H745" s="148" t="inlineStr">
        <is>
          <t>Beatable</t>
        </is>
      </c>
      <c r="I745" s="148" t="inlineStr">
        <is>
          <t>Waterproof Chair Cover</t>
        </is>
      </c>
      <c r="J745" s="148" t="inlineStr">
        <is>
          <t>https://m.media-amazon.com/images/I/61Wv2MUdaKL._AC_SL1100_.jpg</t>
        </is>
      </c>
      <c r="K745" s="148" t="inlineStr">
        <is>
          <t>B0DNTT71SM</t>
        </is>
      </c>
      <c r="L745" s="148" t="inlineStr">
        <is>
          <t>B0CYSX48KJ</t>
        </is>
      </c>
      <c r="M745" s="148" t="n"/>
      <c r="N745" s="148" t="n">
        <v>9.48</v>
      </c>
      <c r="O745" s="148" t="n"/>
      <c r="P745" s="148">
        <f>IF(AND(ISNUMBER(O745),ISNUMBER(N745),N(N745)&gt;0),O745/N745-1,"")</f>
        <v/>
      </c>
      <c r="Q745" s="148" t="n">
        <v>25.24</v>
      </c>
      <c r="R745" s="148">
        <f>IF(AND(ISNUMBER(N745),ISNUMBER(Q745),N(Q745)&gt;0),N745/Q745-1,"")</f>
        <v/>
      </c>
      <c r="S745" s="148" t="n">
        <v>146727</v>
      </c>
      <c r="T745" s="148" t="n">
        <v>5</v>
      </c>
      <c r="U745" s="148" t="n">
        <v>4.6</v>
      </c>
      <c r="V745" s="148" t="n">
        <v>837</v>
      </c>
      <c r="W745" s="148" t="n"/>
      <c r="X745" s="148" t="n"/>
      <c r="Y745" s="148" t="n"/>
      <c r="Z745" s="148" t="n"/>
      <c r="AA745" s="148" t="n"/>
      <c r="AB745" s="148" t="n"/>
      <c r="AC745" s="148" t="inlineStr">
        <is>
          <t>US DC Chair Cover</t>
        </is>
      </c>
      <c r="AD745" s="148">
        <f>'US DC Chair Cover'!BF76</f>
        <v/>
      </c>
      <c r="AE745" s="148">
        <f>'US DC Chair Cover'!BI76</f>
        <v/>
      </c>
      <c r="AF745" s="148" t="n"/>
      <c r="AG745" s="148" t="inlineStr">
        <is>
          <t>Garden Glam</t>
        </is>
      </c>
      <c r="AH745" s="148">
        <f>AND(E745="CA",OR('CA Dashboard'!$C$4="All",'CA Dashboard'!$C$4=D745),OR('CA Dashboard'!$C$5="All",'CA Dashboard'!$C$5=G745),OR('CA Dashboard'!$C$6="All",'CA Dashboard'!$C$6=H745),OR('CA Dashboard'!$C$7="All",'CA Dashboard'!$C$7=F745),OR('CA Dashboard'!$C$8="All",'CA Dashboard'!$C$8=AJ745))</f>
        <v/>
      </c>
      <c r="AI745" s="148">
        <f>IF(AH745,AI744+1,AI744)</f>
        <v/>
      </c>
      <c r="AJ745" s="148" t="inlineStr">
        <is>
          <t>Not classified</t>
        </is>
      </c>
      <c r="AK745" s="148" t="inlineStr">
        <is>
          <t>Not a sheet, pillowcase or comforter product; competitors are compared on price and sales only.</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t="inlineStr">
        <is>
          <t>All</t>
        </is>
      </c>
      <c r="B1" t="inlineStr">
        <is>
          <t>All</t>
        </is>
      </c>
      <c r="C1" t="inlineStr">
        <is>
          <t>All</t>
        </is>
      </c>
      <c r="D1" t="inlineStr">
        <is>
          <t>All</t>
        </is>
      </c>
      <c r="E1" t="inlineStr">
        <is>
          <t>All</t>
        </is>
      </c>
      <c r="F1" t="inlineStr">
        <is>
          <t>All</t>
        </is>
      </c>
    </row>
    <row r="2">
      <c r="A2" t="inlineStr">
        <is>
          <t>DC B4</t>
        </is>
      </c>
      <c r="B2" t="inlineStr">
        <is>
          <t>DC B4</t>
        </is>
      </c>
      <c r="C2" t="inlineStr">
        <is>
          <t>100% Blackout Shield</t>
        </is>
      </c>
      <c r="D2" t="inlineStr">
        <is>
          <t>Aspirational</t>
        </is>
      </c>
      <c r="E2" t="inlineStr">
        <is>
          <t>Bamboo</t>
        </is>
      </c>
      <c r="F2" t="inlineStr">
        <is>
          <t>Direct</t>
        </is>
      </c>
    </row>
    <row r="3">
      <c r="A3" t="inlineStr">
        <is>
          <t>DC B6</t>
        </is>
      </c>
      <c r="B3" t="inlineStr">
        <is>
          <t>DC B6</t>
        </is>
      </c>
      <c r="C3" t="inlineStr">
        <is>
          <t>ACCURATEX</t>
        </is>
      </c>
      <c r="D3" t="inlineStr">
        <is>
          <t>Beatable</t>
        </is>
      </c>
      <c r="E3" t="inlineStr">
        <is>
          <t>Satin</t>
        </is>
      </c>
      <c r="F3" t="inlineStr">
        <is>
          <t>Alternative material</t>
        </is>
      </c>
    </row>
    <row r="4">
      <c r="A4" t="inlineStr">
        <is>
          <t>SL B6</t>
        </is>
      </c>
      <c r="B4" t="inlineStr">
        <is>
          <t>DC S4</t>
        </is>
      </c>
      <c r="C4" t="inlineStr">
        <is>
          <t>Adubor</t>
        </is>
      </c>
      <c r="D4" t="inlineStr">
        <is>
          <t>Poor</t>
        </is>
      </c>
      <c r="E4" t="inlineStr">
        <is>
          <t>Silk</t>
        </is>
      </c>
      <c r="F4" t="inlineStr">
        <is>
          <t>Material not verified</t>
        </is>
      </c>
    </row>
    <row r="5">
      <c r="A5" t="inlineStr">
        <is>
          <t>SL B4</t>
        </is>
      </c>
      <c r="B5" t="inlineStr">
        <is>
          <t>DC S6</t>
        </is>
      </c>
      <c r="C5" t="inlineStr">
        <is>
          <t>AiAngu</t>
        </is>
      </c>
      <c r="D5" t="inlineStr">
        <is>
          <t>Untiered</t>
        </is>
      </c>
      <c r="E5" t="inlineStr">
        <is>
          <t>Cooling</t>
        </is>
      </c>
      <c r="F5" t="inlineStr">
        <is>
          <t>Different product type</t>
        </is>
      </c>
    </row>
    <row r="6">
      <c r="A6" t="inlineStr">
        <is>
          <t>DC Bamboo Fitted</t>
        </is>
      </c>
      <c r="B6" t="inlineStr">
        <is>
          <t>SSS4</t>
        </is>
      </c>
      <c r="C6" t="inlineStr">
        <is>
          <t>akkialla</t>
        </is>
      </c>
      <c r="E6" t="inlineStr">
        <is>
          <t>Other</t>
        </is>
      </c>
      <c r="F6" t="inlineStr">
        <is>
          <t>Not classified</t>
        </is>
      </c>
    </row>
    <row r="7">
      <c r="A7" t="inlineStr">
        <is>
          <t>SL Bamboo Pillowcase</t>
        </is>
      </c>
      <c r="B7" t="inlineStr">
        <is>
          <t>DC Satin Fitted</t>
        </is>
      </c>
      <c r="C7" t="inlineStr">
        <is>
          <t>ALASKA BEAR</t>
        </is>
      </c>
    </row>
    <row r="8">
      <c r="A8" t="inlineStr">
        <is>
          <t>DC S4</t>
        </is>
      </c>
      <c r="C8" t="inlineStr">
        <is>
          <t>Amazon Basics</t>
        </is>
      </c>
    </row>
    <row r="9">
      <c r="A9" t="inlineStr">
        <is>
          <t>DC S6</t>
        </is>
      </c>
      <c r="C9" t="inlineStr">
        <is>
          <t>Andency</t>
        </is>
      </c>
    </row>
    <row r="10">
      <c r="A10" t="inlineStr">
        <is>
          <t>SSS4</t>
        </is>
      </c>
      <c r="C10" t="inlineStr">
        <is>
          <t>Anibedding</t>
        </is>
      </c>
    </row>
    <row r="11">
      <c r="A11" t="inlineStr">
        <is>
          <t>SL Satin 6pc</t>
        </is>
      </c>
      <c r="C11" t="inlineStr">
        <is>
          <t>Artrello</t>
        </is>
      </c>
    </row>
    <row r="12">
      <c r="A12" t="inlineStr">
        <is>
          <t>DC Satin Fitted</t>
        </is>
      </c>
      <c r="C12" t="inlineStr">
        <is>
          <t>ATreebay</t>
        </is>
      </c>
    </row>
    <row r="13">
      <c r="A13" t="inlineStr">
        <is>
          <t>DC Silk Pillowcase</t>
        </is>
      </c>
      <c r="C13" t="inlineStr">
        <is>
          <t>Avolare</t>
        </is>
      </c>
    </row>
    <row r="14">
      <c r="A14" t="inlineStr">
        <is>
          <t>SL Mask Contoured</t>
        </is>
      </c>
      <c r="C14" t="inlineStr">
        <is>
          <t>Back Bay Audio</t>
        </is>
      </c>
    </row>
    <row r="15">
      <c r="A15" t="inlineStr">
        <is>
          <t>SL Mask Velcro</t>
        </is>
      </c>
      <c r="C15" t="inlineStr">
        <is>
          <t>Bambaw</t>
        </is>
      </c>
    </row>
    <row r="16">
      <c r="A16" t="inlineStr">
        <is>
          <t>DC Cooling 4pc</t>
        </is>
      </c>
      <c r="C16" t="inlineStr">
        <is>
          <t>Bamboo Bay</t>
        </is>
      </c>
    </row>
    <row r="17">
      <c r="A17" t="inlineStr">
        <is>
          <t>SL Cooling 4pc</t>
        </is>
      </c>
      <c r="C17" t="inlineStr">
        <is>
          <t>BAMPURE</t>
        </is>
      </c>
    </row>
    <row r="18">
      <c r="A18" t="inlineStr">
        <is>
          <t>SL Cooling 6pc</t>
        </is>
      </c>
      <c r="C18" t="inlineStr">
        <is>
          <t>Bamtek</t>
        </is>
      </c>
    </row>
    <row r="19">
      <c r="A19" t="inlineStr">
        <is>
          <t>CL Cooling Sheets</t>
        </is>
      </c>
      <c r="C19" t="inlineStr">
        <is>
          <t>Bare Home</t>
        </is>
      </c>
    </row>
    <row r="20">
      <c r="A20" t="inlineStr">
        <is>
          <t>CL Pillowcases</t>
        </is>
      </c>
      <c r="C20" t="inlineStr">
        <is>
          <t>BC BELLA COTERIE</t>
        </is>
      </c>
    </row>
    <row r="21">
      <c r="A21" t="inlineStr">
        <is>
          <t>SL Cooling Pillowcase</t>
        </is>
      </c>
      <c r="C21" t="inlineStr">
        <is>
          <t>Beatrice Home Fashions</t>
        </is>
      </c>
    </row>
    <row r="22">
      <c r="A22" t="inlineStr">
        <is>
          <t>SL Cooling Comforter</t>
        </is>
      </c>
      <c r="C22" t="inlineStr">
        <is>
          <t>BEDELITE</t>
        </is>
      </c>
    </row>
    <row r="23">
      <c r="A23" t="inlineStr">
        <is>
          <t>SL Cooling Fitted</t>
        </is>
      </c>
      <c r="C23" t="inlineStr">
        <is>
          <t>Bedlifes</t>
        </is>
      </c>
    </row>
    <row r="24">
      <c r="A24" t="inlineStr">
        <is>
          <t>SL Quilt Set</t>
        </is>
      </c>
      <c r="C24" t="inlineStr">
        <is>
          <t>bedsmile</t>
        </is>
      </c>
    </row>
    <row r="25">
      <c r="A25" t="inlineStr">
        <is>
          <t>DC Linen Curtains</t>
        </is>
      </c>
      <c r="C25" t="inlineStr">
        <is>
          <t>Bedsure</t>
        </is>
      </c>
    </row>
    <row r="26">
      <c r="A26" t="inlineStr">
        <is>
          <t>DC Beach Towel</t>
        </is>
      </c>
      <c r="C26" t="inlineStr">
        <is>
          <t>Bedtter</t>
        </is>
      </c>
    </row>
    <row r="27">
      <c r="A27" t="inlineStr">
        <is>
          <t>DC Welcome Sign</t>
        </is>
      </c>
      <c r="C27" t="inlineStr">
        <is>
          <t>BGment</t>
        </is>
      </c>
    </row>
    <row r="28">
      <c r="A28" t="inlineStr">
        <is>
          <t>DC Chair Cover</t>
        </is>
      </c>
      <c r="C28" t="inlineStr">
        <is>
          <t>BIETYONE</t>
        </is>
      </c>
    </row>
    <row r="29">
      <c r="C29" t="inlineStr">
        <is>
          <t>BLISSFORD</t>
        </is>
      </c>
    </row>
    <row r="30">
      <c r="C30" t="inlineStr">
        <is>
          <t>BLISSY</t>
        </is>
      </c>
    </row>
    <row r="31">
      <c r="C31" t="inlineStr">
        <is>
          <t>BLSSNZ</t>
        </is>
      </c>
    </row>
    <row r="32">
      <c r="C32" t="inlineStr">
        <is>
          <t>Breescape</t>
        </is>
      </c>
    </row>
    <row r="33">
      <c r="C33" t="inlineStr">
        <is>
          <t>Brooklinen</t>
        </is>
      </c>
    </row>
    <row r="34">
      <c r="C34" t="inlineStr">
        <is>
          <t>Brooklyn Loom</t>
        </is>
      </c>
    </row>
    <row r="35">
      <c r="C35" t="inlineStr">
        <is>
          <t>Brookstone</t>
        </is>
      </c>
    </row>
    <row r="36">
      <c r="C36" t="inlineStr">
        <is>
          <t>California Design Den</t>
        </is>
      </c>
    </row>
    <row r="37">
      <c r="C37" t="inlineStr">
        <is>
          <t>Candoury</t>
        </is>
      </c>
    </row>
    <row r="38">
      <c r="C38" t="inlineStr">
        <is>
          <t>Cape Comforts</t>
        </is>
      </c>
    </row>
    <row r="39">
      <c r="C39" t="inlineStr">
        <is>
          <t>Cariloha</t>
        </is>
      </c>
    </row>
    <row r="40">
      <c r="C40" t="inlineStr">
        <is>
          <t>CAROMIO</t>
        </is>
      </c>
    </row>
    <row r="41">
      <c r="C41" t="inlineStr">
        <is>
          <t>Casamollis</t>
        </is>
      </c>
    </row>
    <row r="42">
      <c r="C42" t="inlineStr">
        <is>
          <t>Casbrove</t>
        </is>
      </c>
    </row>
    <row r="43">
      <c r="C43" t="inlineStr">
        <is>
          <t>CGK Unlimited</t>
        </is>
      </c>
    </row>
    <row r="44">
      <c r="C44" t="inlineStr">
        <is>
          <t>CHOSHOME</t>
        </is>
      </c>
    </row>
    <row r="45">
      <c r="C45" t="inlineStr">
        <is>
          <t>Cobedzy</t>
        </is>
      </c>
    </row>
    <row r="46">
      <c r="C46" t="inlineStr">
        <is>
          <t>Colorado Home Co</t>
        </is>
      </c>
    </row>
    <row r="47">
      <c r="C47" t="inlineStr">
        <is>
          <t>Comfort Spaces</t>
        </is>
      </c>
    </row>
    <row r="48">
      <c r="C48" t="inlineStr">
        <is>
          <t>comurdyo</t>
        </is>
      </c>
    </row>
    <row r="49">
      <c r="C49" t="inlineStr">
        <is>
          <t>Consevisen</t>
        </is>
      </c>
    </row>
    <row r="50">
      <c r="C50" t="inlineStr">
        <is>
          <t>Coop Home Goods</t>
        </is>
      </c>
    </row>
    <row r="51">
      <c r="C51" t="inlineStr">
        <is>
          <t>Cosy House Collection</t>
        </is>
      </c>
    </row>
    <row r="52">
      <c r="C52" t="inlineStr">
        <is>
          <t>Cozy Bliss</t>
        </is>
      </c>
    </row>
    <row r="53">
      <c r="C53" t="inlineStr">
        <is>
          <t>Cozy Earth</t>
        </is>
      </c>
    </row>
    <row r="54">
      <c r="C54" t="inlineStr">
        <is>
          <t>CozyLux</t>
        </is>
      </c>
    </row>
    <row r="55">
      <c r="C55" t="inlineStr">
        <is>
          <t>CUCRAF</t>
        </is>
      </c>
    </row>
    <row r="56">
      <c r="C56" t="inlineStr">
        <is>
          <t>David's Home</t>
        </is>
      </c>
    </row>
    <row r="57">
      <c r="C57" t="inlineStr">
        <is>
          <t>Davmabcjy</t>
        </is>
      </c>
    </row>
    <row r="58">
      <c r="C58" t="inlineStr">
        <is>
          <t>Degrees of Comfort</t>
        </is>
      </c>
    </row>
    <row r="59">
      <c r="C59" t="inlineStr">
        <is>
          <t>DJY</t>
        </is>
      </c>
    </row>
    <row r="60">
      <c r="C60" t="inlineStr">
        <is>
          <t>DKBslik</t>
        </is>
      </c>
    </row>
    <row r="61">
      <c r="C61" t="inlineStr">
        <is>
          <t>Dlerom</t>
        </is>
      </c>
    </row>
    <row r="62">
      <c r="C62" t="inlineStr">
        <is>
          <t>DOUSUI</t>
        </is>
      </c>
    </row>
    <row r="63">
      <c r="C63" t="inlineStr">
        <is>
          <t>DOWNCOOL</t>
        </is>
      </c>
    </row>
    <row r="64">
      <c r="C64" t="inlineStr">
        <is>
          <t>DOZ by SIJO</t>
        </is>
      </c>
    </row>
    <row r="65">
      <c r="C65" t="inlineStr">
        <is>
          <t>DREAMCARE</t>
        </is>
      </c>
    </row>
    <row r="66">
      <c r="C66" t="inlineStr">
        <is>
          <t>DROWSY</t>
        </is>
      </c>
    </row>
    <row r="67">
      <c r="C67" t="inlineStr">
        <is>
          <t>EASELAND</t>
        </is>
      </c>
    </row>
    <row r="68">
      <c r="C68" t="inlineStr">
        <is>
          <t>Easy-Going</t>
        </is>
      </c>
    </row>
    <row r="69">
      <c r="C69" t="inlineStr">
        <is>
          <t>Elegear</t>
        </is>
      </c>
    </row>
    <row r="70">
      <c r="C70" t="inlineStr">
        <is>
          <t>ELIBABA</t>
        </is>
      </c>
    </row>
    <row r="71">
      <c r="C71" t="inlineStr">
        <is>
          <t>EverGrace</t>
        </is>
      </c>
    </row>
    <row r="72">
      <c r="C72" t="inlineStr">
        <is>
          <t>Exclusivo Mezcla</t>
        </is>
      </c>
    </row>
    <row r="73">
      <c r="C73" t="inlineStr">
        <is>
          <t>Fafua</t>
        </is>
      </c>
    </row>
    <row r="74">
      <c r="C74" t="inlineStr">
        <is>
          <t>FengXinZi Store</t>
        </is>
      </c>
    </row>
    <row r="75">
      <c r="C75" t="inlineStr">
        <is>
          <t>FESHKA</t>
        </is>
      </c>
    </row>
    <row r="76">
      <c r="C76" t="inlineStr">
        <is>
          <t>Fishers Finery</t>
        </is>
      </c>
    </row>
    <row r="77">
      <c r="C77" t="inlineStr">
        <is>
          <t>Fittia</t>
        </is>
      </c>
    </row>
    <row r="78">
      <c r="C78" t="inlineStr">
        <is>
          <t>FLCA</t>
        </is>
      </c>
    </row>
    <row r="79">
      <c r="C79" t="inlineStr">
        <is>
          <t>flowtorely</t>
        </is>
      </c>
    </row>
    <row r="80">
      <c r="C80" t="inlineStr">
        <is>
          <t>FLYMME</t>
        </is>
      </c>
    </row>
    <row r="81">
      <c r="C81" t="inlineStr">
        <is>
          <t>FORCHEER</t>
        </is>
      </c>
    </row>
    <row r="82">
      <c r="C82" t="inlineStr">
        <is>
          <t>FreshCulture</t>
        </is>
      </c>
    </row>
    <row r="83">
      <c r="C83" t="inlineStr">
        <is>
          <t>Gabire</t>
        </is>
      </c>
    </row>
    <row r="84">
      <c r="C84" t="inlineStr">
        <is>
          <t>Gehtmnl</t>
        </is>
      </c>
    </row>
    <row r="85">
      <c r="C85" t="inlineStr">
        <is>
          <t>Genina</t>
        </is>
      </c>
    </row>
    <row r="86">
      <c r="C86" t="inlineStr">
        <is>
          <t>GOKOTTA</t>
        </is>
      </c>
    </row>
    <row r="87">
      <c r="C87" t="inlineStr">
        <is>
          <t>GOLAL</t>
        </is>
      </c>
    </row>
    <row r="88">
      <c r="C88" t="inlineStr">
        <is>
          <t>Goroly Home</t>
        </is>
      </c>
    </row>
    <row r="89">
      <c r="C89" t="inlineStr">
        <is>
          <t>Guken</t>
        </is>
      </c>
    </row>
    <row r="90">
      <c r="C90" t="inlineStr">
        <is>
          <t>H.VERSAILTEX</t>
        </is>
      </c>
    </row>
    <row r="91">
      <c r="C91" t="inlineStr">
        <is>
          <t>Hansleep</t>
        </is>
      </c>
    </row>
    <row r="92">
      <c r="C92" t="inlineStr">
        <is>
          <t>HENGWEITEXT</t>
        </is>
      </c>
    </row>
    <row r="93">
      <c r="C93" t="inlineStr">
        <is>
          <t>Hentonwell</t>
        </is>
      </c>
    </row>
    <row r="94">
      <c r="C94" t="inlineStr">
        <is>
          <t>HOMFINE</t>
        </is>
      </c>
    </row>
    <row r="95">
      <c r="C95" t="inlineStr">
        <is>
          <t>Homiest</t>
        </is>
      </c>
    </row>
    <row r="96">
      <c r="C96" t="inlineStr">
        <is>
          <t>HommxJF</t>
        </is>
      </c>
    </row>
    <row r="97">
      <c r="C97" t="inlineStr">
        <is>
          <t>homuvdok</t>
        </is>
      </c>
    </row>
    <row r="98">
      <c r="C98" t="inlineStr">
        <is>
          <t>Horbaunal</t>
        </is>
      </c>
    </row>
    <row r="99">
      <c r="C99" t="inlineStr">
        <is>
          <t>HORIMOTE HOME</t>
        </is>
      </c>
    </row>
    <row r="100">
      <c r="C100" t="inlineStr">
        <is>
          <t>HOT SLEEPER SHEETS</t>
        </is>
      </c>
    </row>
    <row r="101">
      <c r="C101" t="inlineStr">
        <is>
          <t>Hotel Sheets Direct</t>
        </is>
      </c>
    </row>
    <row r="102">
      <c r="C102" t="inlineStr">
        <is>
          <t>Howhic</t>
        </is>
      </c>
    </row>
    <row r="103">
      <c r="C103" t="inlineStr">
        <is>
          <t>iCooBreeze</t>
        </is>
      </c>
    </row>
    <row r="104">
      <c r="C104" t="inlineStr">
        <is>
          <t>INFIIXSO</t>
        </is>
      </c>
    </row>
    <row r="105">
      <c r="C105" t="inlineStr">
        <is>
          <t>INOVADAY</t>
        </is>
      </c>
    </row>
    <row r="106">
      <c r="C106" t="inlineStr">
        <is>
          <t>INSSL</t>
        </is>
      </c>
    </row>
    <row r="107">
      <c r="C107" t="inlineStr">
        <is>
          <t>J JIMOO</t>
        </is>
      </c>
    </row>
    <row r="108">
      <c r="C108" t="inlineStr">
        <is>
          <t>Jersey Slumber</t>
        </is>
      </c>
    </row>
    <row r="109">
      <c r="C109" t="inlineStr">
        <is>
          <t>jiaao</t>
        </is>
      </c>
    </row>
    <row r="110">
      <c r="C110" t="inlineStr">
        <is>
          <t>Jocoku</t>
        </is>
      </c>
    </row>
    <row r="111">
      <c r="C111" t="inlineStr">
        <is>
          <t>JOGJUE</t>
        </is>
      </c>
    </row>
    <row r="112">
      <c r="C112" t="inlineStr">
        <is>
          <t>Jowels</t>
        </is>
      </c>
    </row>
    <row r="113">
      <c r="C113" t="inlineStr">
        <is>
          <t>Joydeco</t>
        </is>
      </c>
    </row>
    <row r="114">
      <c r="C114" t="inlineStr">
        <is>
          <t>Joyreap</t>
        </is>
      </c>
    </row>
    <row r="115">
      <c r="C115" t="inlineStr">
        <is>
          <t>JSD</t>
        </is>
      </c>
    </row>
    <row r="116">
      <c r="C116" t="inlineStr">
        <is>
          <t>Juicy Couture</t>
        </is>
      </c>
    </row>
    <row r="117">
      <c r="C117" t="inlineStr">
        <is>
          <t>JUWENIN</t>
        </is>
      </c>
    </row>
    <row r="118">
      <c r="C118" t="inlineStr">
        <is>
          <t>KAKIJUMN</t>
        </is>
      </c>
    </row>
    <row r="119">
      <c r="C119" t="inlineStr">
        <is>
          <t>KARISSA MAE</t>
        </is>
      </c>
    </row>
    <row r="120">
      <c r="C120" t="inlineStr">
        <is>
          <t>Kickoff Home</t>
        </is>
      </c>
    </row>
    <row r="121">
      <c r="C121" t="inlineStr">
        <is>
          <t>Kinself</t>
        </is>
      </c>
    </row>
    <row r="122">
      <c r="C122" t="inlineStr">
        <is>
          <t>Kitsch</t>
        </is>
      </c>
    </row>
    <row r="123">
      <c r="C123" t="inlineStr">
        <is>
          <t>KRIMANO</t>
        </is>
      </c>
    </row>
    <row r="124">
      <c r="C124" t="inlineStr">
        <is>
          <t>Lajode</t>
        </is>
      </c>
    </row>
    <row r="125">
      <c r="C125" t="inlineStr">
        <is>
          <t>Lalluxy</t>
        </is>
      </c>
    </row>
    <row r="126">
      <c r="C126" t="inlineStr">
        <is>
          <t>Lanest Housing</t>
        </is>
      </c>
    </row>
    <row r="127">
      <c r="C127" t="inlineStr">
        <is>
          <t>Laura Ashley</t>
        </is>
      </c>
    </row>
    <row r="128">
      <c r="C128" t="inlineStr">
        <is>
          <t>LB Luxury Bamboo Market</t>
        </is>
      </c>
    </row>
    <row r="129">
      <c r="C129" t="inlineStr">
        <is>
          <t>LBRO2M</t>
        </is>
      </c>
    </row>
    <row r="130">
      <c r="C130" t="inlineStr">
        <is>
          <t>LianheCy</t>
        </is>
      </c>
    </row>
    <row r="131">
      <c r="C131" t="inlineStr">
        <is>
          <t>LIFCOM</t>
        </is>
      </c>
    </row>
    <row r="132">
      <c r="C132" t="inlineStr">
        <is>
          <t>Lirex</t>
        </is>
      </c>
    </row>
    <row r="133">
      <c r="C133" t="inlineStr">
        <is>
          <t>LitBear</t>
        </is>
      </c>
    </row>
    <row r="134">
      <c r="C134" t="inlineStr">
        <is>
          <t>Love's cabin</t>
        </is>
      </c>
    </row>
    <row r="135">
      <c r="C135" t="inlineStr">
        <is>
          <t>LULUSILK</t>
        </is>
      </c>
    </row>
    <row r="136">
      <c r="C136" t="inlineStr">
        <is>
          <t>Luxbedding</t>
        </is>
      </c>
    </row>
    <row r="137">
      <c r="C137" t="inlineStr">
        <is>
          <t>LUXEAR</t>
        </is>
      </c>
    </row>
    <row r="138">
      <c r="C138" t="inlineStr">
        <is>
          <t>Luxudecor</t>
        </is>
      </c>
    </row>
    <row r="139">
      <c r="C139" t="inlineStr">
        <is>
          <t>Madison Park</t>
        </is>
      </c>
    </row>
    <row r="140">
      <c r="C140" t="inlineStr">
        <is>
          <t>Manta Sleep</t>
        </is>
      </c>
    </row>
    <row r="141">
      <c r="C141" t="inlineStr">
        <is>
          <t>Manyshofu</t>
        </is>
      </c>
    </row>
    <row r="142">
      <c r="C142" t="inlineStr">
        <is>
          <t>Maple&amp;Stone</t>
        </is>
      </c>
    </row>
    <row r="143">
      <c r="C143" t="inlineStr">
        <is>
          <t>Marchpower</t>
        </is>
      </c>
    </row>
    <row r="144">
      <c r="C144" t="inlineStr">
        <is>
          <t>Martex</t>
        </is>
      </c>
    </row>
    <row r="145">
      <c r="C145" t="inlineStr">
        <is>
          <t>MASVIS</t>
        </is>
      </c>
    </row>
    <row r="146">
      <c r="C146" t="inlineStr">
        <is>
          <t>MCO</t>
        </is>
      </c>
    </row>
    <row r="147">
      <c r="C147" t="inlineStr">
        <is>
          <t>Mebien touche de la nature</t>
        </is>
      </c>
    </row>
    <row r="148">
      <c r="C148" t="inlineStr">
        <is>
          <t>MIULEE</t>
        </is>
      </c>
    </row>
    <row r="149">
      <c r="C149" t="inlineStr">
        <is>
          <t>MK Home</t>
        </is>
      </c>
    </row>
    <row r="150">
      <c r="C150" t="inlineStr">
        <is>
          <t>MODE HOME</t>
        </is>
      </c>
    </row>
    <row r="151">
      <c r="C151" t="inlineStr">
        <is>
          <t>MONJITA</t>
        </is>
      </c>
    </row>
    <row r="152">
      <c r="C152" t="inlineStr">
        <is>
          <t>MR&amp;HM</t>
        </is>
      </c>
    </row>
    <row r="153">
      <c r="C153" t="inlineStr">
        <is>
          <t>MRIDU</t>
        </is>
      </c>
    </row>
    <row r="154">
      <c r="C154" t="inlineStr">
        <is>
          <t>Mybedsoul</t>
        </is>
      </c>
    </row>
    <row r="155">
      <c r="C155" t="inlineStr">
        <is>
          <t>MZOO</t>
        </is>
      </c>
    </row>
    <row r="156">
      <c r="C156" t="inlineStr">
        <is>
          <t>Nanspring</t>
        </is>
      </c>
    </row>
    <row r="157">
      <c r="C157" t="inlineStr">
        <is>
          <t>Nature Is Gift</t>
        </is>
      </c>
    </row>
    <row r="158">
      <c r="C158" t="inlineStr">
        <is>
          <t>Niagara Sleep Solution</t>
        </is>
      </c>
    </row>
    <row r="159">
      <c r="C159" t="inlineStr">
        <is>
          <t>NICETOWN</t>
        </is>
      </c>
    </row>
    <row r="160">
      <c r="C160" t="inlineStr">
        <is>
          <t>NSGZ</t>
        </is>
      </c>
    </row>
    <row r="161">
      <c r="C161" t="inlineStr">
        <is>
          <t>OLESILK</t>
        </is>
      </c>
    </row>
    <row r="162">
      <c r="C162" t="inlineStr">
        <is>
          <t>OMERAI</t>
        </is>
      </c>
    </row>
    <row r="163">
      <c r="C163" t="inlineStr">
        <is>
          <t>Organic Cotton Mart</t>
        </is>
      </c>
    </row>
    <row r="164">
      <c r="C164" t="inlineStr">
        <is>
          <t>P Pothuiny</t>
        </is>
      </c>
    </row>
    <row r="165">
      <c r="C165" t="inlineStr">
        <is>
          <t>PARK&amp;OZ</t>
        </is>
      </c>
    </row>
    <row r="166">
      <c r="C166" t="inlineStr">
        <is>
          <t>PERFNIQUE</t>
        </is>
      </c>
    </row>
    <row r="167">
      <c r="C167" t="inlineStr">
        <is>
          <t>Pillcase</t>
        </is>
      </c>
    </row>
    <row r="168">
      <c r="C168" t="inlineStr">
        <is>
          <t>Pitalk</t>
        </is>
      </c>
    </row>
    <row r="169">
      <c r="C169" t="inlineStr">
        <is>
          <t>PONY DANCE</t>
        </is>
      </c>
    </row>
    <row r="170">
      <c r="C170" t="inlineStr">
        <is>
          <t>PROMEED</t>
        </is>
      </c>
    </row>
    <row r="171">
      <c r="C171" t="inlineStr">
        <is>
          <t>Pure Bamboo</t>
        </is>
      </c>
    </row>
    <row r="172">
      <c r="C172" t="inlineStr">
        <is>
          <t>Pure Bedding</t>
        </is>
      </c>
    </row>
    <row r="173">
      <c r="C173" t="inlineStr">
        <is>
          <t>QUTOOL</t>
        </is>
      </c>
    </row>
    <row r="174">
      <c r="C174" t="inlineStr">
        <is>
          <t>Ravmix</t>
        </is>
      </c>
    </row>
    <row r="175">
      <c r="C175" t="inlineStr">
        <is>
          <t>RENESSY</t>
        </is>
      </c>
    </row>
    <row r="176">
      <c r="C176" t="inlineStr">
        <is>
          <t>REST</t>
        </is>
      </c>
    </row>
    <row r="177">
      <c r="C177" t="inlineStr">
        <is>
          <t>Rifens</t>
        </is>
      </c>
    </row>
    <row r="178">
      <c r="C178" t="inlineStr">
        <is>
          <t>RLWangChao</t>
        </is>
      </c>
    </row>
    <row r="179">
      <c r="C179" t="inlineStr">
        <is>
          <t>ROSEWARD</t>
        </is>
      </c>
    </row>
    <row r="180">
      <c r="C180" t="inlineStr">
        <is>
          <t>RYB HOME</t>
        </is>
      </c>
    </row>
    <row r="181">
      <c r="C181" t="inlineStr">
        <is>
          <t>Salt Earth</t>
        </is>
      </c>
    </row>
    <row r="182">
      <c r="C182" t="inlineStr">
        <is>
          <t>Sasttie</t>
        </is>
      </c>
    </row>
    <row r="183">
      <c r="C183" t="inlineStr">
        <is>
          <t>SearchI</t>
        </is>
      </c>
    </row>
    <row r="184">
      <c r="C184" t="inlineStr">
        <is>
          <t>Secgo</t>
        </is>
      </c>
    </row>
    <row r="185">
      <c r="C185" t="inlineStr">
        <is>
          <t>SECZIPE</t>
        </is>
      </c>
    </row>
    <row r="186">
      <c r="C186" t="inlineStr">
        <is>
          <t>Seimip</t>
        </is>
      </c>
    </row>
    <row r="187">
      <c r="C187" t="inlineStr">
        <is>
          <t>Serta</t>
        </is>
      </c>
    </row>
    <row r="188">
      <c r="C188" t="inlineStr">
        <is>
          <t>SGMSILK</t>
        </is>
      </c>
    </row>
    <row r="189">
      <c r="C189" t="inlineStr">
        <is>
          <t>SHEEX</t>
        </is>
      </c>
    </row>
    <row r="190">
      <c r="C190" t="inlineStr">
        <is>
          <t>Shilucheng</t>
        </is>
      </c>
    </row>
    <row r="191">
      <c r="C191" t="inlineStr">
        <is>
          <t>Shunjie.Home</t>
        </is>
      </c>
    </row>
    <row r="192">
      <c r="C192" t="inlineStr">
        <is>
          <t>SiinvdaBZX</t>
        </is>
      </c>
    </row>
    <row r="193">
      <c r="C193" t="inlineStr">
        <is>
          <t>SIYUAN</t>
        </is>
      </c>
    </row>
    <row r="194">
      <c r="C194" t="inlineStr">
        <is>
          <t>SLIP</t>
        </is>
      </c>
    </row>
    <row r="195">
      <c r="C195" t="inlineStr">
        <is>
          <t>Slpbaby</t>
        </is>
      </c>
    </row>
    <row r="196">
      <c r="C196" t="inlineStr">
        <is>
          <t>Smiry</t>
        </is>
      </c>
    </row>
    <row r="197">
      <c r="C197" t="inlineStr">
        <is>
          <t>SMYRNA TURKISH COTTON</t>
        </is>
      </c>
    </row>
    <row r="198">
      <c r="C198" t="inlineStr">
        <is>
          <t>SONORO KATE</t>
        </is>
      </c>
    </row>
    <row r="199">
      <c r="C199" t="inlineStr">
        <is>
          <t>spacepower</t>
        </is>
      </c>
    </row>
    <row r="200">
      <c r="C200" t="inlineStr">
        <is>
          <t>SPRINGRICO</t>
        </is>
      </c>
    </row>
    <row r="201">
      <c r="C201" t="inlineStr">
        <is>
          <t>SRSZHIYUE</t>
        </is>
      </c>
    </row>
    <row r="202">
      <c r="C202" t="inlineStr">
        <is>
          <t>Suatien</t>
        </is>
      </c>
    </row>
    <row r="203">
      <c r="C203" t="inlineStr">
        <is>
          <t>Sufdari</t>
        </is>
      </c>
    </row>
    <row r="204">
      <c r="C204" t="inlineStr">
        <is>
          <t>SUNSPUN LINENS</t>
        </is>
      </c>
    </row>
    <row r="205">
      <c r="C205" t="inlineStr">
        <is>
          <t>Surfapans</t>
        </is>
      </c>
    </row>
    <row r="206">
      <c r="C206" t="inlineStr">
        <is>
          <t>Sweave</t>
        </is>
      </c>
    </row>
    <row r="207">
      <c r="C207" t="inlineStr">
        <is>
          <t>Tafts</t>
        </is>
      </c>
    </row>
    <row r="208">
      <c r="C208" t="inlineStr">
        <is>
          <t>TheSleepGuard</t>
        </is>
      </c>
    </row>
    <row r="209">
      <c r="C209" t="inlineStr">
        <is>
          <t>Threadmade</t>
        </is>
      </c>
    </row>
    <row r="210">
      <c r="C210" t="inlineStr">
        <is>
          <t>Topcee</t>
        </is>
      </c>
    </row>
    <row r="211">
      <c r="C211" t="inlineStr">
        <is>
          <t>Topfinel</t>
        </is>
      </c>
    </row>
    <row r="212">
      <c r="C212" t="inlineStr">
        <is>
          <t>TOSMO</t>
        </is>
      </c>
    </row>
    <row r="213">
      <c r="C213" t="inlineStr">
        <is>
          <t>TQianJiang</t>
        </is>
      </c>
    </row>
    <row r="214">
      <c r="C214" t="inlineStr">
        <is>
          <t>TREELY</t>
        </is>
      </c>
    </row>
    <row r="215">
      <c r="C215" t="inlineStr">
        <is>
          <t>TRUE BAMBOO</t>
        </is>
      </c>
    </row>
    <row r="216">
      <c r="C216" t="inlineStr">
        <is>
          <t>TWK</t>
        </is>
      </c>
    </row>
    <row r="217">
      <c r="C217" t="inlineStr">
        <is>
          <t>Tyrot</t>
        </is>
      </c>
    </row>
    <row r="218">
      <c r="C218" t="inlineStr">
        <is>
          <t>Umisleep Store</t>
        </is>
      </c>
    </row>
    <row r="219">
      <c r="C219" t="inlineStr">
        <is>
          <t>uxcell</t>
        </is>
      </c>
    </row>
    <row r="220">
      <c r="C220" t="inlineStr">
        <is>
          <t>VACVELT</t>
        </is>
      </c>
    </row>
    <row r="221">
      <c r="C221" t="inlineStr">
        <is>
          <t>Vesta</t>
        </is>
      </c>
    </row>
    <row r="222">
      <c r="C222" t="inlineStr">
        <is>
          <t>Vine Voice</t>
        </is>
      </c>
    </row>
    <row r="223">
      <c r="C223" t="inlineStr">
        <is>
          <t>Vipfree</t>
        </is>
      </c>
    </row>
    <row r="224">
      <c r="C224" t="inlineStr">
        <is>
          <t>Viviland</t>
        </is>
      </c>
    </row>
    <row r="225">
      <c r="C225" t="inlineStr">
        <is>
          <t>Vonty</t>
        </is>
      </c>
    </row>
    <row r="226">
      <c r="C226" t="inlineStr">
        <is>
          <t>Wake In Cloud</t>
        </is>
      </c>
    </row>
    <row r="227">
      <c r="C227" t="inlineStr">
        <is>
          <t>WDCOZY</t>
        </is>
      </c>
    </row>
    <row r="228">
      <c r="C228" t="inlineStr">
        <is>
          <t>WETCAT</t>
        </is>
      </c>
    </row>
    <row r="229">
      <c r="C229" t="inlineStr">
        <is>
          <t>WISHSMILE</t>
        </is>
      </c>
    </row>
    <row r="230">
      <c r="C230" t="inlineStr">
        <is>
          <t>WLOSJ</t>
        </is>
      </c>
    </row>
    <row r="231">
      <c r="C231" t="inlineStr">
        <is>
          <t>Wolliwa</t>
        </is>
      </c>
    </row>
    <row r="232">
      <c r="C232" t="inlineStr">
        <is>
          <t>WRENSONGE</t>
        </is>
      </c>
    </row>
    <row r="233">
      <c r="C233" t="inlineStr">
        <is>
          <t>Yakamok</t>
        </is>
      </c>
    </row>
    <row r="234">
      <c r="C234" t="inlineStr">
        <is>
          <t>Yalikop</t>
        </is>
      </c>
    </row>
    <row r="235">
      <c r="C235" t="inlineStr">
        <is>
          <t>YASMENG</t>
        </is>
      </c>
    </row>
    <row r="236">
      <c r="C236" t="inlineStr">
        <is>
          <t>Ycosy</t>
        </is>
      </c>
    </row>
    <row r="237">
      <c r="C237" t="inlineStr">
        <is>
          <t>YEMYHOM</t>
        </is>
      </c>
    </row>
    <row r="238">
      <c r="C238" t="inlineStr">
        <is>
          <t>YFONG</t>
        </is>
      </c>
    </row>
    <row r="239">
      <c r="C239" t="inlineStr">
        <is>
          <t>YoungsTex</t>
        </is>
      </c>
    </row>
    <row r="240">
      <c r="C240" t="inlineStr">
        <is>
          <t>Your Choice</t>
        </is>
      </c>
    </row>
    <row r="241">
      <c r="C241" t="inlineStr">
        <is>
          <t>YUEANG</t>
        </is>
      </c>
    </row>
    <row r="242">
      <c r="C242" t="inlineStr">
        <is>
          <t>Zaizaihome</t>
        </is>
      </c>
    </row>
    <row r="243">
      <c r="C243" t="inlineStr">
        <is>
          <t>Zenssia</t>
        </is>
      </c>
    </row>
    <row r="244">
      <c r="C244" t="inlineStr">
        <is>
          <t>ZIMASILK</t>
        </is>
      </c>
    </row>
    <row r="245">
      <c r="C245" t="inlineStr">
        <is>
          <t>Zyvola</t>
        </is>
      </c>
    </row>
    <row r="246">
      <c r="C246" t="inlineStr">
        <is>
          <t>Zyvola Store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s="149" t="inlineStr">
        <is>
          <t>key</t>
        </is>
      </c>
      <c r="B1" s="149" t="inlineStr">
        <is>
          <t>Product</t>
        </is>
      </c>
      <c r="C1" s="149" t="inlineStr">
        <is>
          <t>Tab</t>
        </is>
      </c>
      <c r="D1" s="149" t="inlineStr">
        <is>
          <t>Title</t>
        </is>
      </c>
      <c r="E1" s="149" t="inlineStr">
        <is>
          <t>Image URL</t>
        </is>
      </c>
      <c r="F1" s="149" t="inlineStr">
        <is>
          <t>Brand</t>
        </is>
      </c>
      <c r="G1" s="149" t="inlineStr">
        <is>
          <t>Parent ASIN</t>
        </is>
      </c>
      <c r="H1" s="149" t="inlineStr">
        <is>
          <t>Best-selling child</t>
        </is>
      </c>
      <c r="I1" s="149" t="inlineStr">
        <is>
          <t>Variations</t>
        </is>
      </c>
      <c r="J1" s="149" t="inlineStr">
        <is>
          <t>Our price (best child)</t>
        </is>
      </c>
      <c r="K1" s="149" t="inlineStr">
        <is>
          <t>Units, last 28 days</t>
        </is>
      </c>
      <c r="L1" s="149" t="inlineStr">
        <is>
          <t>BFCM 2025 sales lift</t>
        </is>
      </c>
      <c r="M1" s="149" t="inlineStr">
        <is>
          <t>BFCM 2026 plan</t>
        </is>
      </c>
      <c r="N1" s="149" t="inlineStr">
        <is>
          <t>Assumed deal Nov 19-26</t>
        </is>
      </c>
      <c r="O1" s="149" t="inlineStr">
        <is>
          <t>Assumed deal Nov 27-30</t>
        </is>
      </c>
      <c r="P1" s="149" t="inlineStr">
        <is>
          <t>Stock at Amazon</t>
        </is>
      </c>
      <c r="Q1" s="149" t="inlineStr">
        <is>
          <t>Inbound</t>
        </is>
      </c>
      <c r="R1" s="149" t="inlineStr">
        <is>
          <t>Units needed to Nov 30</t>
        </is>
      </c>
      <c r="S1" s="149" t="inlineStr">
        <is>
          <t>Short even with inbound</t>
        </is>
      </c>
      <c r="T1" s="149" t="inlineStr">
        <is>
          <t>Variations covered</t>
        </is>
      </c>
      <c r="U1" s="149" t="inlineStr">
        <is>
          <t>Variations needing inbound</t>
        </is>
      </c>
      <c r="V1" s="149" t="inlineStr">
        <is>
          <t>Variations short</t>
        </is>
      </c>
      <c r="W1" s="149" t="inlineStr">
        <is>
          <t>Variations out of stock</t>
        </is>
      </c>
      <c r="X1" s="149" t="inlineStr">
        <is>
          <t>Contribution per unit</t>
        </is>
      </c>
      <c r="Y1" s="149" t="inlineStr">
        <is>
          <t>Break-even ACoS</t>
        </is>
      </c>
    </row>
    <row r="2">
      <c r="A2" t="inlineStr">
        <is>
          <t>US|DC B4</t>
        </is>
      </c>
      <c r="B2" t="inlineStr">
        <is>
          <t>DC B4</t>
        </is>
      </c>
      <c r="C2" t="inlineStr">
        <is>
          <t>US DC B4</t>
        </is>
      </c>
      <c r="D2" t="inlineStr">
        <is>
          <t>DECOLURE 100% Viscose from Bamboo Sheets King Size | 4 Pc Cooling Bed Set</t>
        </is>
      </c>
      <c r="E2" t="inlineStr">
        <is>
          <t>https://m.media-amazon.com/images/I/81E9bvs4TYL._AC_SL1500_.jpg</t>
        </is>
      </c>
      <c r="F2" t="inlineStr">
        <is>
          <t>Decolure</t>
        </is>
      </c>
      <c r="G2" t="inlineStr">
        <is>
          <t>B0HJCSXJQ6</t>
        </is>
      </c>
      <c r="H2" t="inlineStr">
        <is>
          <t>B08KQHRDDG</t>
        </is>
      </c>
      <c r="I2" t="n">
        <v>81</v>
      </c>
      <c r="J2" t="n">
        <v>94.98999999999999</v>
      </c>
      <c r="K2" t="n">
        <v>1813</v>
      </c>
      <c r="L2" t="n">
        <v>4.254998421726247</v>
      </c>
      <c r="M2" t="inlineStr">
        <is>
          <t>Best Deal 11/19-11/30</t>
        </is>
      </c>
      <c r="N2" t="n">
        <v>80.73999999999999</v>
      </c>
      <c r="O2" t="n">
        <v>75.98999999999999</v>
      </c>
      <c r="P2" t="n">
        <v>9323</v>
      </c>
      <c r="Q2" t="n">
        <v>8578</v>
      </c>
      <c r="R2" t="n">
        <v>7972.672024820814</v>
      </c>
      <c r="S2" t="n">
        <v>182.2192202661851</v>
      </c>
      <c r="T2" t="n">
        <v>37</v>
      </c>
      <c r="U2" t="n">
        <v>30</v>
      </c>
      <c r="V2" t="n">
        <v>7</v>
      </c>
      <c r="W2" t="n">
        <v>6</v>
      </c>
      <c r="X2" t="n">
        <v>34.44584362139917</v>
      </c>
      <c r="Y2" t="n">
        <v>0.4268684059469479</v>
      </c>
    </row>
    <row r="3">
      <c r="A3" t="inlineStr">
        <is>
          <t>CA|DC B4</t>
        </is>
      </c>
      <c r="B3" t="inlineStr">
        <is>
          <t>DC B4</t>
        </is>
      </c>
      <c r="C3" t="inlineStr">
        <is>
          <t>CA DC B4</t>
        </is>
      </c>
      <c r="D3" t="inlineStr">
        <is>
          <t>DECOLURE 100% Organic Bamboo Viscose Sheets Queen Size 4 pcs - Ultra Soft &amp; Luxuriously Cooling, 16" Deep Pocket, Double Stitching, Perfect for Hot Sleepers - Luxury Queen Bed Sheets Set (White)</t>
        </is>
      </c>
      <c r="E3" t="inlineStr">
        <is>
          <t>https://m.media-amazon.com/images/I/81E9bvs4TYL._AC_SL1500_.jpg</t>
        </is>
      </c>
      <c r="F3" t="inlineStr">
        <is>
          <t>Decolure</t>
        </is>
      </c>
      <c r="G3" t="inlineStr">
        <is>
          <t>B08LW37SB9</t>
        </is>
      </c>
      <c r="H3" t="inlineStr">
        <is>
          <t>B08KQJGM74</t>
        </is>
      </c>
      <c r="I3" t="n">
        <v>80</v>
      </c>
      <c r="J3" t="n">
        <v>99.98999999999999</v>
      </c>
      <c r="K3" t="n">
        <v>479</v>
      </c>
      <c r="L3" t="n">
        <v>3.078191309030253</v>
      </c>
      <c r="M3" t="inlineStr">
        <is>
          <t>Best Deal 11/19-11/30</t>
        </is>
      </c>
      <c r="N3" t="n">
        <v>84.98999999999999</v>
      </c>
      <c r="O3" t="n">
        <v>79.98999999999999</v>
      </c>
      <c r="P3" t="n">
        <v>1615</v>
      </c>
      <c r="Q3" t="n">
        <v>2658</v>
      </c>
      <c r="R3" t="n">
        <v>1927.900196508426</v>
      </c>
      <c r="S3" t="n">
        <v>582.5373378612796</v>
      </c>
      <c r="T3" t="n">
        <v>32</v>
      </c>
      <c r="U3" t="n">
        <v>13</v>
      </c>
      <c r="V3" t="n">
        <v>5</v>
      </c>
      <c r="W3" t="n">
        <v>21</v>
      </c>
      <c r="X3" t="n">
        <v>45.79857442348008</v>
      </c>
      <c r="Y3" t="n">
        <v>0.466672605303459</v>
      </c>
    </row>
    <row r="4">
      <c r="A4" t="inlineStr">
        <is>
          <t>US|DC B6</t>
        </is>
      </c>
      <c r="B4" t="inlineStr">
        <is>
          <t>DC B6</t>
        </is>
      </c>
      <c r="C4" t="inlineStr">
        <is>
          <t>US DC B6</t>
        </is>
      </c>
      <c r="D4" t="inlineStr">
        <is>
          <t>DECOLURE 100% Viscose from Bamboo Sheets King Size | 6 Pc Cooling Bed Set</t>
        </is>
      </c>
      <c r="E4" t="inlineStr">
        <is>
          <t>https://m.media-amazon.com/images/I/81fJLSDJpFL._AC_SL1500_.jpg</t>
        </is>
      </c>
      <c r="F4" t="inlineStr">
        <is>
          <t>Decolure</t>
        </is>
      </c>
      <c r="G4" t="inlineStr">
        <is>
          <t>B0H6335KNV</t>
        </is>
      </c>
      <c r="H4" t="inlineStr">
        <is>
          <t>B0CQ2XQF9N</t>
        </is>
      </c>
      <c r="I4" t="n">
        <v>86</v>
      </c>
      <c r="J4" t="n">
        <v>99.98999999999999</v>
      </c>
      <c r="K4" t="n">
        <v>1905</v>
      </c>
      <c r="L4" t="n">
        <v>2.488302390613161</v>
      </c>
      <c r="M4" t="inlineStr">
        <is>
          <t>Best Deal 11/19-11/30</t>
        </is>
      </c>
      <c r="N4" t="n">
        <v>84.98999999999999</v>
      </c>
      <c r="O4" t="n">
        <v>79.98999999999999</v>
      </c>
      <c r="P4" t="n">
        <v>7216</v>
      </c>
      <c r="Q4" t="n">
        <v>5817</v>
      </c>
      <c r="R4" t="n">
        <v>7299.155558965012</v>
      </c>
      <c r="S4" t="n">
        <v>1812.34650461462</v>
      </c>
      <c r="T4" t="n">
        <v>50</v>
      </c>
      <c r="U4" t="n">
        <v>16</v>
      </c>
      <c r="V4" t="n">
        <v>10</v>
      </c>
      <c r="W4" t="n">
        <v>3</v>
      </c>
      <c r="X4" t="n">
        <v>36.93030451332244</v>
      </c>
      <c r="Y4" t="n">
        <v>0.4124934912840447</v>
      </c>
    </row>
    <row r="5">
      <c r="A5" t="inlineStr">
        <is>
          <t>CA|DC B6</t>
        </is>
      </c>
      <c r="B5" t="inlineStr">
        <is>
          <t>DC B6</t>
        </is>
      </c>
      <c r="C5" t="inlineStr">
        <is>
          <t>CA DC B6</t>
        </is>
      </c>
      <c r="D5" t="inlineStr">
        <is>
          <t>DECOLURE 100% Organic Viscose Derived from Bamboo Sheets King Size 6pcs - Ultra Soft &amp; Luxuriously Cooling, 17" Deep Pocket, Double Stitching, Perfect for Hot Sleepers - King Bed Sheets (Taupe)</t>
        </is>
      </c>
      <c r="E5" t="inlineStr">
        <is>
          <t>https://m.media-amazon.com/images/I/81JHZOIZl1L._AC_SL1500_.jpg</t>
        </is>
      </c>
      <c r="F5" t="inlineStr">
        <is>
          <t>Decolure</t>
        </is>
      </c>
      <c r="G5" t="inlineStr">
        <is>
          <t>B0D71YJYNL</t>
        </is>
      </c>
      <c r="H5" t="inlineStr">
        <is>
          <t>B0CQ3178D7</t>
        </is>
      </c>
      <c r="I5" t="n">
        <v>81</v>
      </c>
      <c r="J5" t="n">
        <v>99.98999999999999</v>
      </c>
      <c r="K5" t="n">
        <v>714</v>
      </c>
      <c r="L5" t="n">
        <v>3.068801601841503</v>
      </c>
      <c r="M5" t="inlineStr">
        <is>
          <t>Best Deal 11/19-11/30</t>
        </is>
      </c>
      <c r="N5" t="n">
        <v>84.98999999999999</v>
      </c>
      <c r="O5" t="n">
        <v>79.98999999999999</v>
      </c>
      <c r="P5" t="n">
        <v>2744</v>
      </c>
      <c r="Q5" t="n">
        <v>2642</v>
      </c>
      <c r="R5" t="n">
        <v>2666.483384255959</v>
      </c>
      <c r="S5" t="n">
        <v>1048.414907759322</v>
      </c>
      <c r="T5" t="n">
        <v>33</v>
      </c>
      <c r="U5" t="n">
        <v>7</v>
      </c>
      <c r="V5" t="n">
        <v>8</v>
      </c>
      <c r="W5" t="n">
        <v>16</v>
      </c>
      <c r="X5" t="n">
        <v>35.15672937771346</v>
      </c>
      <c r="Y5" t="n">
        <v>0.379577415383625</v>
      </c>
    </row>
    <row r="6">
      <c r="A6" t="inlineStr">
        <is>
          <t>US|SL B6</t>
        </is>
      </c>
      <c r="B6" t="inlineStr">
        <is>
          <t>SL B6</t>
        </is>
      </c>
      <c r="C6" t="inlineStr">
        <is>
          <t>US SL B6</t>
        </is>
      </c>
      <c r="D6" t="inlineStr">
        <is>
          <t>SLEEP SANCTUARY 100% Viscose Derived from Bamboo Sheets King Size, 6 Pc Set | Cooling BamBliss Comfort for Hot Sleepers | Cloud Soft | Deep 17" Pocket w Corner Straps | Luxury Bed Set | Taupe</t>
        </is>
      </c>
      <c r="E6" t="inlineStr">
        <is>
          <t>https://m.media-amazon.com/images/I/81rHI1QN6jL._AC_SL1500_.jpg</t>
        </is>
      </c>
      <c r="F6" t="inlineStr">
        <is>
          <t>Sleephoria</t>
        </is>
      </c>
      <c r="G6" t="inlineStr">
        <is>
          <t>B0HBWXDWJ5</t>
        </is>
      </c>
      <c r="H6" t="inlineStr">
        <is>
          <t>B0DDTYDHVB</t>
        </is>
      </c>
      <c r="I6" t="n">
        <v>82</v>
      </c>
      <c r="J6" t="n">
        <v>69.98999999999999</v>
      </c>
      <c r="K6" t="n">
        <v>91</v>
      </c>
      <c r="L6" t="n">
        <v>1.201290037023195</v>
      </c>
      <c r="M6" t="inlineStr">
        <is>
          <t>Best Deal 11/19-11/30</t>
        </is>
      </c>
      <c r="N6" t="n">
        <v>59.49</v>
      </c>
      <c r="O6" t="n">
        <v>55.99</v>
      </c>
      <c r="P6" t="n">
        <v>912</v>
      </c>
      <c r="Q6" t="n">
        <v>0</v>
      </c>
      <c r="R6" t="n">
        <v>165.0967883149891</v>
      </c>
      <c r="S6" t="n">
        <v>26.09857653313401</v>
      </c>
      <c r="T6" t="n">
        <v>33</v>
      </c>
      <c r="U6" t="n">
        <v>0</v>
      </c>
      <c r="V6" t="n">
        <v>7</v>
      </c>
      <c r="W6" t="n">
        <v>4</v>
      </c>
      <c r="X6" t="n">
        <v>15.99298701298701</v>
      </c>
      <c r="Y6" t="n">
        <v>0.2384595573783507</v>
      </c>
    </row>
    <row r="7">
      <c r="A7" t="inlineStr">
        <is>
          <t>US|SL B4</t>
        </is>
      </c>
      <c r="B7" t="inlineStr">
        <is>
          <t>SL B4</t>
        </is>
      </c>
      <c r="C7" t="inlineStr">
        <is>
          <t>US SL B4</t>
        </is>
      </c>
      <c r="D7" t="inlineStr">
        <is>
          <t>SLEEP SANCTUARY 100% Viscose Derived from Bamboo Sheets Twin Size, 4 Pc Set</t>
        </is>
      </c>
      <c r="E7" t="inlineStr">
        <is>
          <t>https://m.media-amazon.com/images/I/81ukKa0CsPL._AC_SL1500_.jpg</t>
        </is>
      </c>
      <c r="F7" t="inlineStr">
        <is>
          <t>Sleephoria</t>
        </is>
      </c>
      <c r="G7" t="inlineStr">
        <is>
          <t>B0F54RNQPT</t>
        </is>
      </c>
      <c r="H7" t="inlineStr">
        <is>
          <t>B0DDTY5RQX</t>
        </is>
      </c>
      <c r="I7" t="n">
        <v>84</v>
      </c>
      <c r="J7" t="n">
        <v>61.99</v>
      </c>
      <c r="K7" t="n">
        <v>2</v>
      </c>
      <c r="M7" t="inlineStr">
        <is>
          <t>Not in a deal</t>
        </is>
      </c>
      <c r="P7" t="n">
        <v>43</v>
      </c>
      <c r="Q7" t="n">
        <v>0</v>
      </c>
      <c r="R7" t="n">
        <v>8.024984970873129</v>
      </c>
      <c r="S7" t="n">
        <v>2.687487475727608</v>
      </c>
      <c r="T7" t="n">
        <v>3</v>
      </c>
      <c r="U7" t="n">
        <v>0</v>
      </c>
      <c r="V7" t="n">
        <v>1</v>
      </c>
      <c r="W7" t="n">
        <v>0</v>
      </c>
      <c r="X7" t="n">
        <v>15.91</v>
      </c>
      <c r="Y7" t="n">
        <v>0.2893253318785234</v>
      </c>
    </row>
    <row r="8">
      <c r="A8" t="inlineStr">
        <is>
          <t>US|DC Bamboo Fitted</t>
        </is>
      </c>
      <c r="B8" t="inlineStr">
        <is>
          <t>DC Bamboo Fitted</t>
        </is>
      </c>
      <c r="C8" t="inlineStr">
        <is>
          <t>US DC Bamboo Fitted</t>
        </is>
      </c>
      <c r="D8" t="inlineStr">
        <is>
          <t>DECOLURE 100% Viscose Derived from Bamboo Fitted Sheet | King Size Fitted Sheet Only | Ultra Soft Cooling Sheets for Hot Sleepers, 17" Deep Pocket w/Corner Straps, Breathable, Oeko-Tex (Burgundy)</t>
        </is>
      </c>
      <c r="E8" t="inlineStr">
        <is>
          <t>https://m.media-amazon.com/images/I/81pO8+MuzxL._AC_SL1500_.jpg</t>
        </is>
      </c>
      <c r="F8" t="inlineStr">
        <is>
          <t>Decolure</t>
        </is>
      </c>
      <c r="G8" t="inlineStr">
        <is>
          <t>B0H8596KK1</t>
        </is>
      </c>
      <c r="H8" t="inlineStr">
        <is>
          <t>B0FX2RGLBW</t>
        </is>
      </c>
      <c r="I8" t="n">
        <v>22</v>
      </c>
      <c r="J8" t="n">
        <v>39.95</v>
      </c>
      <c r="K8" t="n">
        <v>102</v>
      </c>
      <c r="M8" t="inlineStr">
        <is>
          <t>Not in a deal</t>
        </is>
      </c>
      <c r="P8" t="n">
        <v>1443</v>
      </c>
      <c r="Q8" t="n">
        <v>0</v>
      </c>
      <c r="R8" t="n">
        <v>279.536976485414</v>
      </c>
      <c r="S8" t="n">
        <v>19.46866859222945</v>
      </c>
      <c r="T8" t="n">
        <v>18</v>
      </c>
      <c r="U8" t="n">
        <v>0</v>
      </c>
      <c r="V8" t="n">
        <v>2</v>
      </c>
      <c r="W8" t="n">
        <v>2</v>
      </c>
    </row>
    <row r="9">
      <c r="A9" t="inlineStr">
        <is>
          <t>US|SL Bamboo Pillowcase</t>
        </is>
      </c>
      <c r="B9" t="inlineStr">
        <is>
          <t>SL Bamboo Pillowcase</t>
        </is>
      </c>
      <c r="C9" t="inlineStr">
        <is>
          <t>US SL Bamboo Pillowcase</t>
        </is>
      </c>
      <c r="D9" t="inlineStr">
        <is>
          <t>SLEEPHORIA 100% Viscose Dervied from Bamboo Pillowcase King Size 2-Pieces (Black)</t>
        </is>
      </c>
      <c r="F9" t="inlineStr">
        <is>
          <t>Sleephoria</t>
        </is>
      </c>
      <c r="G9" t="inlineStr">
        <is>
          <t>B0FX2RDXXR</t>
        </is>
      </c>
      <c r="I9" t="n">
        <v>54</v>
      </c>
      <c r="K9" t="n">
        <v>0</v>
      </c>
      <c r="M9" t="inlineStr">
        <is>
          <t>Not in a deal</t>
        </is>
      </c>
      <c r="T9" t="n">
        <v>0</v>
      </c>
      <c r="U9" t="n">
        <v>0</v>
      </c>
      <c r="V9" t="n">
        <v>0</v>
      </c>
      <c r="W9" t="n">
        <v>0</v>
      </c>
    </row>
    <row r="10">
      <c r="A10" t="inlineStr">
        <is>
          <t>US|DC S4</t>
        </is>
      </c>
      <c r="B10" t="inlineStr">
        <is>
          <t>DC S4</t>
        </is>
      </c>
      <c r="C10" t="inlineStr">
        <is>
          <t>US DC S4</t>
        </is>
      </c>
      <c r="D10" t="inlineStr">
        <is>
          <t>DECOLURE Satin Sheets Queen Size | Softer Than Silk | Luxury 4 Pc Bed Set</t>
        </is>
      </c>
      <c r="E10" t="inlineStr">
        <is>
          <t>https://m.media-amazon.com/images/I/81s3ROxMWEL._AC_SL1500_.jpg</t>
        </is>
      </c>
      <c r="F10" t="inlineStr">
        <is>
          <t>Decolure</t>
        </is>
      </c>
      <c r="G10" t="inlineStr">
        <is>
          <t>B0H631FLT8</t>
        </is>
      </c>
      <c r="H10" t="inlineStr">
        <is>
          <t>B0839MKJMV</t>
        </is>
      </c>
      <c r="I10" t="n">
        <v>118</v>
      </c>
      <c r="J10" t="n">
        <v>29.95</v>
      </c>
      <c r="K10" t="n">
        <v>2620</v>
      </c>
      <c r="L10" t="n">
        <v>2.637148735359062</v>
      </c>
      <c r="M10" t="inlineStr">
        <is>
          <t>Best Deal 11/19-11/30</t>
        </is>
      </c>
      <c r="N10" t="n">
        <v>25.46</v>
      </c>
      <c r="O10" t="n">
        <v>23.96</v>
      </c>
      <c r="P10" t="n">
        <v>15135</v>
      </c>
      <c r="Q10" t="n">
        <v>832</v>
      </c>
      <c r="R10" t="n">
        <v>7679.243908747637</v>
      </c>
      <c r="S10" t="n">
        <v>729.1696765968601</v>
      </c>
      <c r="T10" t="n">
        <v>72</v>
      </c>
      <c r="U10" t="n">
        <v>4</v>
      </c>
      <c r="V10" t="n">
        <v>25</v>
      </c>
      <c r="W10" t="n">
        <v>8</v>
      </c>
      <c r="X10" t="n">
        <v>10.82312834224599</v>
      </c>
      <c r="Y10" t="n">
        <v>0.3378295080497398</v>
      </c>
    </row>
    <row r="11">
      <c r="A11" t="inlineStr">
        <is>
          <t>CA|DC S4</t>
        </is>
      </c>
      <c r="B11" t="inlineStr">
        <is>
          <t>DC S4</t>
        </is>
      </c>
      <c r="C11" t="inlineStr">
        <is>
          <t>CA DC S4</t>
        </is>
      </c>
      <c r="D11" t="inlineStr">
        <is>
          <t>DECOLURE Satin Bed Sheets - 4 Piece Luxury Silky Queen Size Bedding Set - Softer Than Silk, Wrinkle-Free with 15” Deep Pocket Fitted Sheet, Perfect for Hair &amp; Skin, Gifts for Women (Black)</t>
        </is>
      </c>
      <c r="E11" t="inlineStr">
        <is>
          <t>https://m.media-amazon.com/images/I/81s3ROxMWEL._AC_SL1500_.jpg</t>
        </is>
      </c>
      <c r="F11" t="inlineStr">
        <is>
          <t>Decolure</t>
        </is>
      </c>
      <c r="G11" t="inlineStr">
        <is>
          <t>B0CT3HF44M</t>
        </is>
      </c>
      <c r="H11" t="inlineStr">
        <is>
          <t>B0839MKJMV</t>
        </is>
      </c>
      <c r="I11" t="n">
        <v>127</v>
      </c>
      <c r="J11" t="n">
        <v>47.99</v>
      </c>
      <c r="K11" t="n">
        <v>455</v>
      </c>
      <c r="L11" t="n">
        <v>3.269015911297535</v>
      </c>
      <c r="M11" t="inlineStr">
        <is>
          <t>Best Deal 11/19-11/30</t>
        </is>
      </c>
      <c r="N11" t="n">
        <v>40.79</v>
      </c>
      <c r="O11" t="n">
        <v>38.39</v>
      </c>
      <c r="P11" t="n">
        <v>2705</v>
      </c>
      <c r="Q11" t="n">
        <v>940</v>
      </c>
      <c r="R11" t="n">
        <v>1861.77444868621</v>
      </c>
      <c r="S11" t="n">
        <v>768.3669609886667</v>
      </c>
      <c r="T11" t="n">
        <v>56</v>
      </c>
      <c r="U11" t="n">
        <v>1</v>
      </c>
      <c r="V11" t="n">
        <v>16</v>
      </c>
      <c r="W11" t="n">
        <v>26</v>
      </c>
      <c r="X11" t="n">
        <v>19.80014285714287</v>
      </c>
      <c r="Y11" t="n">
        <v>0.42929909014648</v>
      </c>
    </row>
    <row r="12">
      <c r="A12" t="inlineStr">
        <is>
          <t>US|DC S6</t>
        </is>
      </c>
      <c r="B12" t="inlineStr">
        <is>
          <t>DC S6</t>
        </is>
      </c>
      <c r="C12" t="inlineStr">
        <is>
          <t>US DC S6</t>
        </is>
      </c>
      <c r="D12" t="inlineStr">
        <is>
          <t>DECOLURE Satin Sheets King Size | Softer Than Silk | Luxury 6 Pc Bed Set</t>
        </is>
      </c>
      <c r="E12" t="inlineStr">
        <is>
          <t>https://m.media-amazon.com/images/I/81C4Dr0ylML._AC_SL1500_.jpg</t>
        </is>
      </c>
      <c r="F12" t="inlineStr">
        <is>
          <t>Decolure</t>
        </is>
      </c>
      <c r="G12" t="inlineStr">
        <is>
          <t>B0HDTF4MN2</t>
        </is>
      </c>
      <c r="H12" t="inlineStr">
        <is>
          <t>B0C7FXXS6R</t>
        </is>
      </c>
      <c r="I12" t="n">
        <v>119</v>
      </c>
      <c r="J12" t="n">
        <v>33.95</v>
      </c>
      <c r="K12" t="n">
        <v>486</v>
      </c>
      <c r="L12" t="n">
        <v>3.076042012896364</v>
      </c>
      <c r="M12" t="inlineStr">
        <is>
          <t>Lightning Deal 11/23 (Best Deal requested: Lightning Deal Nov 23 was cancelled in Seller Central; a Best Deal is requested and, if it is not granted, the deal is rescheduled)</t>
        </is>
      </c>
      <c r="N12" t="n">
        <v>28.86</v>
      </c>
      <c r="O12" t="n">
        <v>27.16</v>
      </c>
      <c r="P12" t="n">
        <v>5874</v>
      </c>
      <c r="Q12" t="n">
        <v>322</v>
      </c>
      <c r="R12" t="n">
        <v>2164.249626803164</v>
      </c>
      <c r="S12" t="n">
        <v>173.8325174499767</v>
      </c>
      <c r="T12" t="n">
        <v>90</v>
      </c>
      <c r="U12" t="n">
        <v>2</v>
      </c>
      <c r="V12" t="n">
        <v>11</v>
      </c>
      <c r="W12" t="n">
        <v>5</v>
      </c>
      <c r="X12" t="n">
        <v>9.001503131524009</v>
      </c>
      <c r="Y12" t="n">
        <v>0.2735659852663223</v>
      </c>
    </row>
    <row r="13">
      <c r="A13" t="inlineStr">
        <is>
          <t>CA|DC S6</t>
        </is>
      </c>
      <c r="B13" t="inlineStr">
        <is>
          <t>DC S6</t>
        </is>
      </c>
      <c r="C13" t="inlineStr">
        <is>
          <t>CA DC S6</t>
        </is>
      </c>
      <c r="D13" t="inlineStr">
        <is>
          <t>DECOLURE Satin Bed Sheets - 6 Piece Luxury Silky Queen Size Bedding Set - Softer Than Silk, Wrinkle-Free with 15” Deep Pocket Fitted Sheet, Perfect for Hair &amp; Skin, Gifts for Women (Black)</t>
        </is>
      </c>
      <c r="E13" t="inlineStr">
        <is>
          <t>https://m.media-amazon.com/images/I/81C4Dr0ylML._AC_SL1500_.jpg</t>
        </is>
      </c>
      <c r="F13" t="inlineStr">
        <is>
          <t>Decolure</t>
        </is>
      </c>
      <c r="G13" t="inlineStr">
        <is>
          <t>B0CJSDXDJW</t>
        </is>
      </c>
      <c r="H13" t="inlineStr">
        <is>
          <t>B0C7FX1GFS</t>
        </is>
      </c>
      <c r="I13" t="n">
        <v>118</v>
      </c>
      <c r="J13" t="n">
        <v>47.99</v>
      </c>
      <c r="K13" t="n">
        <v>326</v>
      </c>
      <c r="L13" t="n">
        <v>2.976101755543345</v>
      </c>
      <c r="M13" t="inlineStr">
        <is>
          <t>Best Deal 11/19-11/30</t>
        </is>
      </c>
      <c r="N13" t="n">
        <v>40.79</v>
      </c>
      <c r="O13" t="n">
        <v>38.39</v>
      </c>
      <c r="P13" t="n">
        <v>1094</v>
      </c>
      <c r="Q13" t="n">
        <v>1348</v>
      </c>
      <c r="R13" t="n">
        <v>1484.891608716879</v>
      </c>
      <c r="S13" t="n">
        <v>771.5227488193522</v>
      </c>
      <c r="T13" t="n">
        <v>43</v>
      </c>
      <c r="U13" t="n">
        <v>6</v>
      </c>
      <c r="V13" t="n">
        <v>21</v>
      </c>
      <c r="W13" t="n">
        <v>27</v>
      </c>
      <c r="X13" t="n">
        <v>19.0589263803681</v>
      </c>
      <c r="Y13" t="n">
        <v>0.3876070983414497</v>
      </c>
    </row>
    <row r="14">
      <c r="A14" t="inlineStr">
        <is>
          <t>US|SSS4</t>
        </is>
      </c>
      <c r="B14" t="inlineStr">
        <is>
          <t>SSS4</t>
        </is>
      </c>
      <c r="C14" t="inlineStr">
        <is>
          <t>US SSS4</t>
        </is>
      </c>
      <c r="D14" t="inlineStr">
        <is>
          <t>SLEEP SANCTUARY Satin Sheets Queen Size – 4 Piece Luxury Silky Bed Set, Softer Than Silk, 15" Deep Pocket, Cooling &amp; Wrinkle-Free, Moisture-Wicking &amp; Breathable for Hair &amp; Skin (Navy Blue)</t>
        </is>
      </c>
      <c r="E14" t="inlineStr">
        <is>
          <t>https://m.media-amazon.com/images/I/81GoZ+gTjbL._AC_SL1500_.jpg</t>
        </is>
      </c>
      <c r="F14" t="inlineStr">
        <is>
          <t>Sleephoria</t>
        </is>
      </c>
      <c r="G14" t="inlineStr">
        <is>
          <t>B0HFWXSCFP</t>
        </is>
      </c>
      <c r="H14" t="inlineStr">
        <is>
          <t>B0DDRH9RD7</t>
        </is>
      </c>
      <c r="I14" t="n">
        <v>117</v>
      </c>
      <c r="J14" t="n">
        <v>33.95</v>
      </c>
      <c r="K14" t="n">
        <v>700</v>
      </c>
      <c r="L14" t="n">
        <v>2.589722433600953</v>
      </c>
      <c r="M14" t="inlineStr">
        <is>
          <t>Best Deal 11/19-11/30</t>
        </is>
      </c>
      <c r="N14" t="n">
        <v>28.86</v>
      </c>
      <c r="O14" t="n">
        <v>27.16</v>
      </c>
      <c r="P14" t="n">
        <v>6303</v>
      </c>
      <c r="Q14" t="n">
        <v>336</v>
      </c>
      <c r="R14" t="n">
        <v>2842.270010785405</v>
      </c>
      <c r="S14" t="n">
        <v>507.0142378090116</v>
      </c>
      <c r="T14" t="n">
        <v>64</v>
      </c>
      <c r="U14" t="n">
        <v>1</v>
      </c>
      <c r="V14" t="n">
        <v>16</v>
      </c>
      <c r="W14" t="n">
        <v>11</v>
      </c>
      <c r="X14" t="n">
        <v>13.85208571428572</v>
      </c>
      <c r="Y14" t="n">
        <v>0.3738178033077607</v>
      </c>
    </row>
    <row r="15">
      <c r="A15" t="inlineStr">
        <is>
          <t>CA|SSS4</t>
        </is>
      </c>
      <c r="B15" t="inlineStr">
        <is>
          <t>SSS4</t>
        </is>
      </c>
      <c r="C15" t="inlineStr">
        <is>
          <t>CA SSS4</t>
        </is>
      </c>
      <c r="D15" t="inlineStr">
        <is>
          <t>Sleep Sanctuary Satin Sheets King Size – 4 Piece Luxury Silky Bed Set, Softer Than Silk, 15" Deep Pocket, Cooling &amp; Wrinkle-Free, Moisture-Wicking &amp; Breathable for Hair &amp; Skin (Stone Grey)</t>
        </is>
      </c>
      <c r="E15" t="inlineStr">
        <is>
          <t>https://m.media-amazon.com/images/I/816QTAjFcGL._AC_SL1500_.jpg</t>
        </is>
      </c>
      <c r="F15" t="inlineStr">
        <is>
          <t>Sleephoria</t>
        </is>
      </c>
      <c r="G15" t="inlineStr">
        <is>
          <t>B0F2Z7C4ST</t>
        </is>
      </c>
      <c r="H15" t="inlineStr">
        <is>
          <t>B0DDR1ZPRZ</t>
        </is>
      </c>
      <c r="I15" t="n">
        <v>116</v>
      </c>
      <c r="J15" t="n">
        <v>49.95</v>
      </c>
      <c r="K15" t="n">
        <v>31</v>
      </c>
      <c r="L15" t="n">
        <v>1.515000903668896</v>
      </c>
      <c r="M15" t="inlineStr">
        <is>
          <t>Best Deal 11/19-11/30</t>
        </is>
      </c>
      <c r="N15" t="n">
        <v>42.46</v>
      </c>
      <c r="O15" t="n">
        <v>39.96</v>
      </c>
      <c r="P15" t="n">
        <v>1209</v>
      </c>
      <c r="Q15" t="n">
        <v>114</v>
      </c>
      <c r="R15" t="n">
        <v>90.79321886860654</v>
      </c>
      <c r="S15" t="n">
        <v>46.35441171154889</v>
      </c>
      <c r="T15" t="n">
        <v>35</v>
      </c>
      <c r="U15" t="n">
        <v>0</v>
      </c>
      <c r="V15" t="n">
        <v>3</v>
      </c>
      <c r="W15" t="n">
        <v>2</v>
      </c>
      <c r="X15" t="n">
        <v>20.75290322580646</v>
      </c>
      <c r="Y15" t="n">
        <v>0.4195403797996661</v>
      </c>
    </row>
    <row r="16">
      <c r="A16" t="inlineStr">
        <is>
          <t>US|SL Satin 6pc</t>
        </is>
      </c>
      <c r="B16" t="inlineStr">
        <is>
          <t>SL Satin 6pc</t>
        </is>
      </c>
      <c r="C16" t="inlineStr">
        <is>
          <t>US SL Satin 6pc</t>
        </is>
      </c>
      <c r="D16" t="inlineStr">
        <is>
          <t>SLEEPHORIA Satin Bed Sheets - 6 Piece Luxury Silky Full Size Bedding Set - Softer Than Silk, Wrinkle-Free with 15” Deep Pocket Fitted Sheet, Perfect for Hair &amp; Skin, Gifts for Women (Baby Blue)</t>
        </is>
      </c>
      <c r="F16" t="inlineStr">
        <is>
          <t>Sleephoria</t>
        </is>
      </c>
      <c r="G16" t="inlineStr">
        <is>
          <t>B0H41WN38B</t>
        </is>
      </c>
      <c r="I16" t="n">
        <v>116</v>
      </c>
      <c r="K16" t="n">
        <v>0</v>
      </c>
      <c r="M16" t="inlineStr">
        <is>
          <t>Not in a deal</t>
        </is>
      </c>
      <c r="T16" t="n">
        <v>0</v>
      </c>
      <c r="U16" t="n">
        <v>0</v>
      </c>
      <c r="V16" t="n">
        <v>0</v>
      </c>
      <c r="W16" t="n">
        <v>0</v>
      </c>
    </row>
    <row r="17">
      <c r="A17" t="inlineStr">
        <is>
          <t>US|DC Satin Fitted</t>
        </is>
      </c>
      <c r="B17" t="inlineStr">
        <is>
          <t>DC Satin Fitted</t>
        </is>
      </c>
      <c r="C17" t="inlineStr">
        <is>
          <t>US DC Satin Fitted</t>
        </is>
      </c>
      <c r="D17" t="inlineStr">
        <is>
          <t>DECOLURE Satin Fitted Sheet Queen Size | Softer Than Silk | Luxury 1 Pc Set</t>
        </is>
      </c>
      <c r="E17" t="inlineStr">
        <is>
          <t>https://m.media-amazon.com/images/I/71APUp+JE3L._AC_SL1500_.jpg</t>
        </is>
      </c>
      <c r="F17" t="inlineStr">
        <is>
          <t>Decolure</t>
        </is>
      </c>
      <c r="G17" t="inlineStr">
        <is>
          <t>B0DZ17NCJ4</t>
        </is>
      </c>
      <c r="H17" t="inlineStr">
        <is>
          <t>B0DBW1PNJ8</t>
        </is>
      </c>
      <c r="I17" t="n">
        <v>68</v>
      </c>
      <c r="J17" t="n">
        <v>21.95</v>
      </c>
      <c r="K17" t="n">
        <v>759</v>
      </c>
      <c r="L17" t="n">
        <v>2.469333719911087</v>
      </c>
      <c r="M17" t="inlineStr">
        <is>
          <t>Best Deal 11/19-11/30</t>
        </is>
      </c>
      <c r="N17" t="n">
        <v>18.66</v>
      </c>
      <c r="O17" t="n">
        <v>17.56</v>
      </c>
      <c r="P17" t="n">
        <v>4656</v>
      </c>
      <c r="Q17" t="n">
        <v>459</v>
      </c>
      <c r="R17" t="n">
        <v>2485.466101196725</v>
      </c>
      <c r="S17" t="n">
        <v>401.0349395639003</v>
      </c>
      <c r="T17" t="n">
        <v>40</v>
      </c>
      <c r="U17" t="n">
        <v>0</v>
      </c>
      <c r="V17" t="n">
        <v>13</v>
      </c>
      <c r="W17" t="n">
        <v>9</v>
      </c>
      <c r="X17" t="n">
        <v>5.910421607378129</v>
      </c>
      <c r="Y17" t="n">
        <v>0.3055390579664738</v>
      </c>
    </row>
    <row r="18">
      <c r="A18" t="inlineStr">
        <is>
          <t>CA|DC Satin Fitted</t>
        </is>
      </c>
      <c r="B18" t="inlineStr">
        <is>
          <t>DC Satin Fitted</t>
        </is>
      </c>
      <c r="C18" t="inlineStr">
        <is>
          <t>CA DC Satin Fitted</t>
        </is>
      </c>
      <c r="D18" t="inlineStr">
        <is>
          <t>DECOLURE Satin Fitted Sheet Queen Size (1 PC) – Luxuriously Smooth &amp; Softer Than Silk Bed Sheets w/ 15 Inch Deep Pocket Hypoallergenic Wrinkle Free, Secure Snug Fit, Elastic Corner Straps (Black)</t>
        </is>
      </c>
      <c r="E18" t="inlineStr">
        <is>
          <t>https://m.media-amazon.com/images/I/71APUp+JE3L._AC_SL1500_.jpg</t>
        </is>
      </c>
      <c r="F18" t="inlineStr">
        <is>
          <t>Decolure</t>
        </is>
      </c>
      <c r="G18" t="inlineStr">
        <is>
          <t>B0FQC9C5QT</t>
        </is>
      </c>
      <c r="H18" t="inlineStr">
        <is>
          <t>B0DBW1PNJ8</t>
        </is>
      </c>
      <c r="I18" t="n">
        <v>68</v>
      </c>
      <c r="J18" t="n">
        <v>22.95</v>
      </c>
      <c r="K18" t="n">
        <v>204</v>
      </c>
      <c r="L18" t="n">
        <v>0.7378515542397971</v>
      </c>
      <c r="M18" t="inlineStr">
        <is>
          <t>Best Deal 11/19-11/30</t>
        </is>
      </c>
      <c r="N18" t="n">
        <v>19.51</v>
      </c>
      <c r="O18" t="n">
        <v>18.36</v>
      </c>
      <c r="P18" t="n">
        <v>1748</v>
      </c>
      <c r="Q18" t="n">
        <v>360</v>
      </c>
      <c r="R18" t="n">
        <v>695.9897977893155</v>
      </c>
      <c r="S18" t="n">
        <v>383.0383723474141</v>
      </c>
      <c r="T18" t="n">
        <v>38</v>
      </c>
      <c r="U18" t="n">
        <v>0</v>
      </c>
      <c r="V18" t="n">
        <v>4</v>
      </c>
      <c r="W18" t="n">
        <v>18</v>
      </c>
      <c r="X18" t="n">
        <v>7.261078431372549</v>
      </c>
      <c r="Y18" t="n">
        <v>0.2781923115206993</v>
      </c>
    </row>
    <row r="19">
      <c r="A19" t="inlineStr">
        <is>
          <t>US|DC Silk Pillowcase</t>
        </is>
      </c>
      <c r="B19" t="inlineStr">
        <is>
          <t>DC Silk Pillowcase</t>
        </is>
      </c>
      <c r="C19" t="inlineStr">
        <is>
          <t>US DC Silk Pillowcase</t>
        </is>
      </c>
      <c r="D19" t="inlineStr">
        <is>
          <t>DECOLURE 100% Pure Mulberry Silk Pillow Case Standard Size – Highest Grade 30 Momme 6A+, Luxuriously Soft &amp; Cooling Silk Pillowcase for Hair &amp; Skin, Hypoallergenic, Breathable, Hidden Zipper (White)</t>
        </is>
      </c>
      <c r="E19" t="inlineStr">
        <is>
          <t>https://images-na.ssl-images-amazon.com/images/I/81Rbj21EicL.jpg</t>
        </is>
      </c>
      <c r="F19" t="inlineStr">
        <is>
          <t>Decolure</t>
        </is>
      </c>
      <c r="G19" t="inlineStr">
        <is>
          <t>B0DQQQWYPT</t>
        </is>
      </c>
      <c r="H19" t="inlineStr">
        <is>
          <t>B0DBR5SY67</t>
        </is>
      </c>
      <c r="I19" t="n">
        <v>18</v>
      </c>
      <c r="J19" t="n">
        <v>44.95</v>
      </c>
      <c r="K19" t="n">
        <v>125</v>
      </c>
      <c r="L19" t="n">
        <v>1.352847893136792</v>
      </c>
      <c r="M19" t="inlineStr">
        <is>
          <t>Lightning Deal 11/23 (Best Deal requested: Lightning Deal Nov 23 cancelled in Seller Central while a Best Deal is pursued; if not granted it is rescheduled as a Lightning Deal)</t>
        </is>
      </c>
      <c r="N19" t="n">
        <v>38.21</v>
      </c>
      <c r="O19" t="n">
        <v>35.96</v>
      </c>
      <c r="P19" t="n">
        <v>2945</v>
      </c>
      <c r="Q19" t="n">
        <v>0</v>
      </c>
      <c r="R19" t="n">
        <v>376.7563103823113</v>
      </c>
      <c r="S19" t="n">
        <v>11.11708735882075</v>
      </c>
      <c r="T19" t="n">
        <v>16</v>
      </c>
      <c r="U19" t="n">
        <v>0</v>
      </c>
      <c r="V19" t="n">
        <v>1</v>
      </c>
      <c r="W19" t="n">
        <v>0</v>
      </c>
      <c r="X19" t="n">
        <v>18.4601724137931</v>
      </c>
      <c r="Y19" t="n">
        <v>0.3677072601140188</v>
      </c>
    </row>
    <row r="20">
      <c r="A20" t="inlineStr">
        <is>
          <t>US|SL Mask Contoured</t>
        </is>
      </c>
      <c r="B20" t="inlineStr">
        <is>
          <t>SL Mask Contoured</t>
        </is>
      </c>
      <c r="C20" t="inlineStr">
        <is>
          <t>US SL Mask Contoured</t>
        </is>
      </c>
      <c r="D20" t="inlineStr">
        <is>
          <t>SLEEP SANCTUARY 100% Pure Mulberry Silk Sleep Mask - 22 Momme Light Blocking 3D Contour Silk Eye Mask for Sleeping - Secure Fit for Side Sleepers, Women &amp; Men - Cloud Soft (Peacock Blue)</t>
        </is>
      </c>
      <c r="E20" t="inlineStr">
        <is>
          <t>https://images-na.ssl-images-amazon.com/images/I/71JEybynRcL.jpg</t>
        </is>
      </c>
      <c r="F20" t="inlineStr">
        <is>
          <t>Sleephoria</t>
        </is>
      </c>
      <c r="G20" t="inlineStr">
        <is>
          <t>B0GDML4FK7</t>
        </is>
      </c>
      <c r="H20" t="inlineStr">
        <is>
          <t>B0F4XRFWGR</t>
        </is>
      </c>
      <c r="I20" t="n">
        <v>4</v>
      </c>
      <c r="K20" t="n">
        <v>4</v>
      </c>
      <c r="L20" t="n">
        <v>3.666666666666667</v>
      </c>
      <c r="M20" t="inlineStr">
        <is>
          <t>Not in a deal</t>
        </is>
      </c>
      <c r="P20" t="n">
        <v>32</v>
      </c>
      <c r="Q20" t="n">
        <v>0</v>
      </c>
      <c r="R20" t="n">
        <v>20.28</v>
      </c>
      <c r="S20" t="n">
        <v>18.28</v>
      </c>
      <c r="T20" t="n">
        <v>2</v>
      </c>
      <c r="U20" t="n">
        <v>0</v>
      </c>
      <c r="V20" t="n">
        <v>2</v>
      </c>
      <c r="W20" t="n">
        <v>0</v>
      </c>
      <c r="X20" t="n">
        <v>8.34</v>
      </c>
      <c r="Y20" t="n">
        <v>0.3213872832369942</v>
      </c>
    </row>
    <row r="21">
      <c r="A21" t="inlineStr">
        <is>
          <t>US|SL Mask Velcro</t>
        </is>
      </c>
      <c r="B21" t="inlineStr">
        <is>
          <t>SL Mask Velcro</t>
        </is>
      </c>
      <c r="C21" t="inlineStr">
        <is>
          <t>US SL Mask Velcro</t>
        </is>
      </c>
      <c r="D21" t="inlineStr">
        <is>
          <t>SLEEP SANCTUARY 100% Pure Mulberry Silk Sleep Mask - 22 Momme Light Blocking Hook &amp; Loop Silk Eye Mask for Sleeping - Secure Fit for Side Sleepers, Women &amp; Men - Cloud Soft (Black)</t>
        </is>
      </c>
      <c r="E21" t="inlineStr">
        <is>
          <t>https://images-na.ssl-images-amazon.com/images/I/61Z2DkWXasL.jpg</t>
        </is>
      </c>
      <c r="F21" t="inlineStr">
        <is>
          <t>Sleephoria</t>
        </is>
      </c>
      <c r="G21" t="inlineStr">
        <is>
          <t>B0GDMSK15Z</t>
        </is>
      </c>
      <c r="H21" t="inlineStr">
        <is>
          <t>B0F4XQ7L8Q</t>
        </is>
      </c>
      <c r="I21" t="n">
        <v>4</v>
      </c>
      <c r="J21" t="n">
        <v>17.99</v>
      </c>
      <c r="K21" t="n">
        <v>13</v>
      </c>
      <c r="L21" t="n">
        <v>1</v>
      </c>
      <c r="M21" t="inlineStr">
        <is>
          <t>Not in a deal</t>
        </is>
      </c>
      <c r="P21" t="n">
        <v>638</v>
      </c>
      <c r="Q21" t="n">
        <v>0</v>
      </c>
      <c r="R21" t="n">
        <v>12.88</v>
      </c>
      <c r="S21" t="n">
        <v>0</v>
      </c>
      <c r="T21" t="n">
        <v>4</v>
      </c>
      <c r="U21" t="n">
        <v>0</v>
      </c>
      <c r="V21" t="n">
        <v>0</v>
      </c>
      <c r="W21" t="n">
        <v>0</v>
      </c>
      <c r="X21" t="n">
        <v>5.832307692307692</v>
      </c>
      <c r="Y21" t="n">
        <v>0.285735820614283</v>
      </c>
    </row>
    <row r="22">
      <c r="A22" t="inlineStr">
        <is>
          <t>US|DC Cooling 4pc</t>
        </is>
      </c>
      <c r="B22" t="inlineStr">
        <is>
          <t>DC Cooling 4pc</t>
        </is>
      </c>
      <c r="C22" t="inlineStr">
        <is>
          <t>US DC Cooling 4pc</t>
        </is>
      </c>
      <c r="D22" t="inlineStr">
        <is>
          <t>DECOLURE Cooling Sheets Queen Set 4pcs - Luxurious &amp; Ultra-Soft Cooling Bed Sheets Queen Size for Hot Sleepers - Comfortable Bamboo Viscose Microfiber Queen Bed Sheets Set Cooling (Navy)</t>
        </is>
      </c>
      <c r="E22" t="inlineStr">
        <is>
          <t>https://m.media-amazon.com/images/I/81+QctNV9NL._AC_SL1500_.jpg</t>
        </is>
      </c>
      <c r="F22" t="inlineStr">
        <is>
          <t>Decolure</t>
        </is>
      </c>
      <c r="G22" t="inlineStr">
        <is>
          <t>B0HLLHYGLQ</t>
        </is>
      </c>
      <c r="H22" t="inlineStr">
        <is>
          <t>B0C9LS5H2T</t>
        </is>
      </c>
      <c r="I22" t="n">
        <v>66</v>
      </c>
      <c r="J22" t="n">
        <v>37.95</v>
      </c>
      <c r="K22" t="n">
        <v>89</v>
      </c>
      <c r="L22" t="n">
        <v>1.628391436777328</v>
      </c>
      <c r="M22" t="inlineStr">
        <is>
          <t>Not in a deal</t>
        </is>
      </c>
      <c r="P22" t="n">
        <v>1835</v>
      </c>
      <c r="Q22" t="n">
        <v>15</v>
      </c>
      <c r="R22" t="n">
        <v>511.3136586546818</v>
      </c>
      <c r="S22" t="n">
        <v>55.93116182057459</v>
      </c>
      <c r="T22" t="n">
        <v>37</v>
      </c>
      <c r="U22" t="n">
        <v>0</v>
      </c>
      <c r="V22" t="n">
        <v>4</v>
      </c>
      <c r="W22" t="n">
        <v>2</v>
      </c>
      <c r="X22" t="n">
        <v>11.542</v>
      </c>
      <c r="Y22" t="n">
        <v>0.2862139887681424</v>
      </c>
    </row>
    <row r="23">
      <c r="A23" t="inlineStr">
        <is>
          <t>US|SL Cooling 4pc</t>
        </is>
      </c>
      <c r="B23" t="inlineStr">
        <is>
          <t>SL Cooling 4pc</t>
        </is>
      </c>
      <c r="C23" t="inlineStr">
        <is>
          <t>US SL Cooling 4pc</t>
        </is>
      </c>
      <c r="D23" t="inlineStr">
        <is>
          <t>SLEEPHORIA Cooling Sheets - BreezeWeave 4 PC King Size Cooling Bed Sheets for Hot Sleepers &amp; Deep, Cool Rest - Cloud Soft, Silky Smooth, 16 in Deep Pocket, Ultra Durable (Light Grey)</t>
        </is>
      </c>
      <c r="E23" t="inlineStr">
        <is>
          <t>https://m.media-amazon.com/images/I/71IsX4lcKOL._AC_SL1500_.jpg</t>
        </is>
      </c>
      <c r="F23" t="inlineStr">
        <is>
          <t>Sleephoria</t>
        </is>
      </c>
      <c r="G23" t="inlineStr">
        <is>
          <t>B0H8PNVWP1</t>
        </is>
      </c>
      <c r="H23" t="inlineStr">
        <is>
          <t>B0F7LZQNHM</t>
        </is>
      </c>
      <c r="I23" t="n">
        <v>61</v>
      </c>
      <c r="J23" t="n">
        <v>84.98999999999999</v>
      </c>
      <c r="K23" t="n">
        <v>332</v>
      </c>
      <c r="L23" t="n">
        <v>1.158552710930541</v>
      </c>
      <c r="M23" t="inlineStr">
        <is>
          <t>Best Deal 11/19-11/30</t>
        </is>
      </c>
      <c r="N23" t="n">
        <v>72.23999999999999</v>
      </c>
      <c r="O23" t="n">
        <v>67.98999999999999</v>
      </c>
      <c r="P23" t="n">
        <v>3570</v>
      </c>
      <c r="Q23" t="n">
        <v>2742</v>
      </c>
      <c r="R23" t="n">
        <v>1134.334338338022</v>
      </c>
      <c r="S23" t="n">
        <v>61.9419762075912</v>
      </c>
      <c r="T23" t="n">
        <v>41</v>
      </c>
      <c r="U23" t="n">
        <v>8</v>
      </c>
      <c r="V23" t="n">
        <v>3</v>
      </c>
      <c r="W23" t="n">
        <v>7</v>
      </c>
      <c r="X23" t="n">
        <v>20.4528313253012</v>
      </c>
      <c r="Y23" t="n">
        <v>0.3081660364479992</v>
      </c>
    </row>
    <row r="24">
      <c r="A24" t="inlineStr">
        <is>
          <t>US|SL Cooling 6pc</t>
        </is>
      </c>
      <c r="B24" t="inlineStr">
        <is>
          <t>SL Cooling 6pc</t>
        </is>
      </c>
      <c r="C24" t="inlineStr">
        <is>
          <t>US SL Cooling 6pc</t>
        </is>
      </c>
      <c r="D24" t="inlineStr">
        <is>
          <t>SLEEPHORIA Cooling Sheets - BreezeWeave 6 PC California King Size Cooling Bed Sheets for Hot Sleepers &amp; Deep, Cool Rest - Cloud Soft, Silky Smooth, 16 in Deep Pocket, Ultra Durable (Beige)</t>
        </is>
      </c>
      <c r="F24" t="inlineStr">
        <is>
          <t>Sleephoria</t>
        </is>
      </c>
      <c r="G24" t="inlineStr">
        <is>
          <t>B0H7JVGTZW</t>
        </is>
      </c>
      <c r="I24" t="n">
        <v>60</v>
      </c>
      <c r="K24" t="n">
        <v>0</v>
      </c>
      <c r="M24" t="inlineStr">
        <is>
          <t>Not in a deal</t>
        </is>
      </c>
      <c r="T24" t="n">
        <v>0</v>
      </c>
      <c r="U24" t="n">
        <v>0</v>
      </c>
      <c r="V24" t="n">
        <v>0</v>
      </c>
      <c r="W24" t="n">
        <v>0</v>
      </c>
    </row>
    <row r="25">
      <c r="A25" t="inlineStr">
        <is>
          <t>US|CL Cooling Sheets</t>
        </is>
      </c>
      <c r="B25" t="inlineStr">
        <is>
          <t>CL Cooling Sheets</t>
        </is>
      </c>
      <c r="C25" t="inlineStr">
        <is>
          <t>US CL Cooling Sheets</t>
        </is>
      </c>
      <c r="D25" t="inlineStr">
        <is>
          <t>COOLINENS Cooling Sheets Queen Size | 4 Piece Set for Hot Sleepers</t>
        </is>
      </c>
      <c r="E25" t="inlineStr">
        <is>
          <t>https://m.media-amazon.com/images/I/81GLNCr7elL.jpg</t>
        </is>
      </c>
      <c r="F25" t="inlineStr">
        <is>
          <t>CooLinens</t>
        </is>
      </c>
      <c r="G25" t="inlineStr">
        <is>
          <t>B0H6K5RPX6</t>
        </is>
      </c>
      <c r="I25" t="n">
        <v>60</v>
      </c>
      <c r="J25" t="n">
        <v>87.98999999999999</v>
      </c>
      <c r="K25" t="n">
        <v>42</v>
      </c>
      <c r="M25" t="inlineStr">
        <is>
          <t>Not in a deal</t>
        </is>
      </c>
      <c r="P25" t="n">
        <v>4261</v>
      </c>
      <c r="Q25" t="n">
        <v>20</v>
      </c>
      <c r="R25" t="n">
        <v>582.4801591358747</v>
      </c>
      <c r="S25" t="n">
        <v>5.099939883492517</v>
      </c>
      <c r="T25" t="n">
        <v>59</v>
      </c>
      <c r="U25" t="n">
        <v>0</v>
      </c>
      <c r="V25" t="n">
        <v>1</v>
      </c>
      <c r="W25" t="n">
        <v>0</v>
      </c>
    </row>
    <row r="26">
      <c r="A26" t="inlineStr">
        <is>
          <t>US|CL Pillowcases</t>
        </is>
      </c>
      <c r="B26" t="inlineStr">
        <is>
          <t>CL Pillowcases</t>
        </is>
      </c>
      <c r="C26" t="inlineStr">
        <is>
          <t>US CL Pillowcases</t>
        </is>
      </c>
      <c r="D26" t="inlineStr">
        <is>
          <t>COOLINENS Cooling Pillow Cases Queen Size | Set of 2 for Hot Sleepers</t>
        </is>
      </c>
      <c r="E26" t="inlineStr">
        <is>
          <t>https://m.media-amazon.com/images/I/71xw+HPSbYL._AC_SL1500_.jpg</t>
        </is>
      </c>
      <c r="F26" t="inlineStr">
        <is>
          <t>CooLinens</t>
        </is>
      </c>
      <c r="G26" t="inlineStr">
        <is>
          <t>B0HLSNQNCK</t>
        </is>
      </c>
      <c r="H26" t="inlineStr">
        <is>
          <t>B0H5WWMPNN</t>
        </is>
      </c>
      <c r="I26" t="n">
        <v>12</v>
      </c>
      <c r="J26" t="n">
        <v>19.99</v>
      </c>
      <c r="K26" t="n">
        <v>310</v>
      </c>
      <c r="M26" t="inlineStr">
        <is>
          <t>Not in a deal</t>
        </is>
      </c>
      <c r="P26" t="n">
        <v>2737</v>
      </c>
      <c r="Q26" t="n">
        <v>0</v>
      </c>
      <c r="R26" t="n">
        <v>3307.631305494875</v>
      </c>
      <c r="S26" t="n">
        <v>1052.789265058056</v>
      </c>
      <c r="T26" t="n">
        <v>5</v>
      </c>
      <c r="U26" t="n">
        <v>0</v>
      </c>
      <c r="V26" t="n">
        <v>7</v>
      </c>
      <c r="W26" t="n">
        <v>0</v>
      </c>
    </row>
    <row r="27">
      <c r="A27" t="inlineStr">
        <is>
          <t>US|SL Cooling Pillowcase</t>
        </is>
      </c>
      <c r="B27" t="inlineStr">
        <is>
          <t>SL Cooling Pillowcase</t>
        </is>
      </c>
      <c r="C27" t="inlineStr">
        <is>
          <t>US SL Cooling Pillowcase</t>
        </is>
      </c>
      <c r="D27" t="inlineStr">
        <is>
          <t>SLEEPHORIA Cooling Pillow Cases - BreezeWeave Queen Size Set of 2 Pillowcases for Hot Sleepers &amp; Cool, Deep Rest - Cloud Soft, Silky Smooth, Ultra Durable, Easy Care, Hidden Zipper (Blue)</t>
        </is>
      </c>
      <c r="E27" t="inlineStr">
        <is>
          <t>https://images-na.ssl-images-amazon.com/images/I/71Y1j274VYL.jpg</t>
        </is>
      </c>
      <c r="F27" t="inlineStr">
        <is>
          <t>Sleephoria</t>
        </is>
      </c>
      <c r="G27" t="inlineStr">
        <is>
          <t>B0FTSVDG77</t>
        </is>
      </c>
      <c r="H27" t="inlineStr">
        <is>
          <t>B0F7LJS3N2</t>
        </is>
      </c>
      <c r="I27" t="n">
        <v>12</v>
      </c>
      <c r="K27" t="n">
        <v>54</v>
      </c>
      <c r="L27" t="n">
        <v>0.7673585255948454</v>
      </c>
      <c r="M27" t="inlineStr">
        <is>
          <t>Best Deal 11/19-11/30</t>
        </is>
      </c>
      <c r="N27" t="n">
        <v>20.39</v>
      </c>
      <c r="O27" t="n">
        <v>19.19</v>
      </c>
      <c r="P27" t="n">
        <v>260</v>
      </c>
      <c r="Q27" t="n">
        <v>1160</v>
      </c>
      <c r="R27" t="n">
        <v>155.5318515783507</v>
      </c>
      <c r="S27" t="n">
        <v>0</v>
      </c>
      <c r="T27" t="n">
        <v>7</v>
      </c>
      <c r="U27" t="n">
        <v>0</v>
      </c>
      <c r="V27" t="n">
        <v>0</v>
      </c>
      <c r="W27" t="n">
        <v>4</v>
      </c>
      <c r="X27" t="n">
        <v>6.87611111111111</v>
      </c>
      <c r="Y27" t="n">
        <v>0.3293448759113728</v>
      </c>
    </row>
    <row r="28">
      <c r="A28" t="inlineStr">
        <is>
          <t>US|SL Cooling Comforter</t>
        </is>
      </c>
      <c r="B28" t="inlineStr">
        <is>
          <t>SL Cooling Comforter</t>
        </is>
      </c>
      <c r="C28" t="inlineStr">
        <is>
          <t>US SL Cooling Comforter</t>
        </is>
      </c>
      <c r="D28" t="inlineStr">
        <is>
          <t>SLEEPHORIA Cooling Comforter - BreezeWeave Cooling Blanket King Size for Hot Sleepers &amp; Deep Rest - Cloud Soft, Breathable, Ultra Durable, Easy Care, Reversible - 108 x 90 in (Light Grey &amp; Dark Grey)</t>
        </is>
      </c>
      <c r="E28" t="inlineStr">
        <is>
          <t>https://images-na.ssl-images-amazon.com/images/I/81srgWQ0iXL.jpg</t>
        </is>
      </c>
      <c r="F28" t="inlineStr">
        <is>
          <t>Sleephoria</t>
        </is>
      </c>
      <c r="G28" t="inlineStr">
        <is>
          <t>B0FTG1NNKG</t>
        </is>
      </c>
      <c r="H28" t="inlineStr">
        <is>
          <t>B0F7M4Q2HQ</t>
        </is>
      </c>
      <c r="I28" t="n">
        <v>20</v>
      </c>
      <c r="K28" t="n">
        <v>78</v>
      </c>
      <c r="L28" t="n">
        <v>3.393762896244322</v>
      </c>
      <c r="M28" t="inlineStr">
        <is>
          <t>Best Deal 11/19-11/30</t>
        </is>
      </c>
      <c r="N28" t="n">
        <v>59.49</v>
      </c>
      <c r="O28" t="n">
        <v>55.99</v>
      </c>
      <c r="P28" t="n">
        <v>883</v>
      </c>
      <c r="Q28" t="n">
        <v>1151</v>
      </c>
      <c r="R28" t="n">
        <v>283.2083365211918</v>
      </c>
      <c r="S28" t="n">
        <v>148.8128868873297</v>
      </c>
      <c r="T28" t="n">
        <v>12</v>
      </c>
      <c r="U28" t="n">
        <v>1</v>
      </c>
      <c r="V28" t="n">
        <v>4</v>
      </c>
      <c r="W28" t="n">
        <v>2</v>
      </c>
      <c r="X28" t="n">
        <v>15.05984615384615</v>
      </c>
      <c r="Y28" t="n">
        <v>0.2225078704808666</v>
      </c>
    </row>
    <row r="29">
      <c r="A29" t="inlineStr">
        <is>
          <t>US|SL Cooling Fitted</t>
        </is>
      </c>
      <c r="B29" t="inlineStr">
        <is>
          <t>SL Cooling Fitted</t>
        </is>
      </c>
      <c r="C29" t="inlineStr">
        <is>
          <t>US SL Cooling Fitted</t>
        </is>
      </c>
      <c r="D29" t="inlineStr">
        <is>
          <t>SLEEPHORIA Cooling Fitted Sheet King Size - 1 PC BreezeWeave Cooling Sheets for Hot Sleepers &amp; Cool Rest w/ 16 in Deep Pocket - Corner Straps, Cloud Soft, Ultra Durable - 73 x 77 in (White)</t>
        </is>
      </c>
      <c r="E29" t="inlineStr">
        <is>
          <t>https://m.media-amazon.com/images/I/81G7yE5OfqL._AC_SL1500_.jpg</t>
        </is>
      </c>
      <c r="F29" t="inlineStr">
        <is>
          <t>Sleephoria</t>
        </is>
      </c>
      <c r="G29" t="inlineStr">
        <is>
          <t>B0GR6GBJYC</t>
        </is>
      </c>
      <c r="H29" t="inlineStr">
        <is>
          <t>B0F7M3YQ5R</t>
        </is>
      </c>
      <c r="I29" t="n">
        <v>65</v>
      </c>
      <c r="J29" t="n">
        <v>39.99</v>
      </c>
      <c r="K29" t="n">
        <v>513</v>
      </c>
      <c r="L29" t="n">
        <v>0.9827610124981451</v>
      </c>
      <c r="M29" t="inlineStr">
        <is>
          <t>Lightning Deal 11/25 (Best Deal requested: Lightning Deal Nov 25 cancelled in Seller Central while a Best Deal is pursued; if not granted it is rescheduled as a Lightning Deal)</t>
        </is>
      </c>
      <c r="N29" t="n">
        <v>33.99</v>
      </c>
      <c r="O29" t="n">
        <v>31.99</v>
      </c>
      <c r="P29" t="n">
        <v>2604</v>
      </c>
      <c r="Q29" t="n">
        <v>1461</v>
      </c>
      <c r="R29" t="n">
        <v>1197.948337043418</v>
      </c>
      <c r="S29" t="n">
        <v>77.41664098643078</v>
      </c>
      <c r="T29" t="n">
        <v>42</v>
      </c>
      <c r="U29" t="n">
        <v>0</v>
      </c>
      <c r="V29" t="n">
        <v>6</v>
      </c>
      <c r="W29" t="n">
        <v>3</v>
      </c>
      <c r="X29" t="n">
        <v>8.372222222222222</v>
      </c>
      <c r="Y29" t="n">
        <v>0.251979041201253</v>
      </c>
    </row>
    <row r="30">
      <c r="A30" t="inlineStr">
        <is>
          <t>US|SL Quilt Set</t>
        </is>
      </c>
      <c r="B30" t="inlineStr">
        <is>
          <t>SL Quilt Set</t>
        </is>
      </c>
      <c r="C30" t="inlineStr">
        <is>
          <t>US SL Quilt Set</t>
        </is>
      </c>
      <c r="D30" t="inlineStr">
        <is>
          <t>SLEEPHORIA Queen Quilt Bedding Set | Lightweight Summer Bedspread 3 Pc</t>
        </is>
      </c>
      <c r="E30" t="inlineStr">
        <is>
          <t>https://images-na.ssl-images-amazon.com/images/I/81RVSwrWFUL.jpg</t>
        </is>
      </c>
      <c r="F30" t="inlineStr">
        <is>
          <t>Sleephoria</t>
        </is>
      </c>
      <c r="G30" t="inlineStr">
        <is>
          <t>B0GZW9QWJM</t>
        </is>
      </c>
      <c r="H30" t="inlineStr">
        <is>
          <t>B0FGZDR11L</t>
        </is>
      </c>
      <c r="I30" t="n">
        <v>21</v>
      </c>
      <c r="J30" t="n">
        <v>41.99</v>
      </c>
      <c r="K30" t="n">
        <v>32</v>
      </c>
      <c r="M30" t="inlineStr">
        <is>
          <t>Best Deal 11/19-11/30</t>
        </is>
      </c>
      <c r="N30" t="n">
        <v>35.69</v>
      </c>
      <c r="O30" t="n">
        <v>33.59</v>
      </c>
      <c r="P30" t="n">
        <v>45</v>
      </c>
      <c r="Q30" t="n">
        <v>0</v>
      </c>
      <c r="R30" t="n">
        <v>70.88736724271264</v>
      </c>
      <c r="S30" t="n">
        <v>48.51239229125743</v>
      </c>
      <c r="T30" t="n">
        <v>6</v>
      </c>
      <c r="U30" t="n">
        <v>0</v>
      </c>
      <c r="V30" t="n">
        <v>6</v>
      </c>
      <c r="W30" t="n">
        <v>6</v>
      </c>
      <c r="X30" t="n">
        <v>1.491562499999999</v>
      </c>
      <c r="Y30" t="n">
        <v>0.05139552913813151</v>
      </c>
    </row>
    <row r="31">
      <c r="A31" t="inlineStr">
        <is>
          <t>US|DC Linen Curtains</t>
        </is>
      </c>
      <c r="B31" t="inlineStr">
        <is>
          <t>DC Linen Curtains</t>
        </is>
      </c>
      <c r="C31" t="inlineStr">
        <is>
          <t>US DC Linen Curtains</t>
        </is>
      </c>
      <c r="D31" t="inlineStr">
        <is>
          <t>DECOLURE 100% Blackout Linen Curtains 108 Inches Long | Ivory</t>
        </is>
      </c>
      <c r="E31" t="inlineStr">
        <is>
          <t>https://images-na.ssl-images-amazon.com/images/I/81sMgyPyWQL.jpg</t>
        </is>
      </c>
      <c r="F31" t="inlineStr">
        <is>
          <t>Decolure</t>
        </is>
      </c>
      <c r="G31" t="inlineStr">
        <is>
          <t>B0H2Z62MJZ</t>
        </is>
      </c>
      <c r="H31" t="inlineStr">
        <is>
          <t>B0F63C8HL2</t>
        </is>
      </c>
      <c r="I31" t="n">
        <v>42</v>
      </c>
      <c r="J31" t="n">
        <v>34.99</v>
      </c>
      <c r="K31" t="n">
        <v>12</v>
      </c>
      <c r="M31" t="inlineStr">
        <is>
          <t>Best Deal 11/19-11/30</t>
        </is>
      </c>
      <c r="N31" t="n">
        <v>29.74</v>
      </c>
      <c r="O31" t="n">
        <v>27.99</v>
      </c>
      <c r="P31" t="n">
        <v>621</v>
      </c>
      <c r="Q31" t="n">
        <v>0</v>
      </c>
      <c r="R31" t="n">
        <v>127.0622620388245</v>
      </c>
      <c r="S31" t="n">
        <v>18.58734720387681</v>
      </c>
      <c r="T31" t="n">
        <v>33</v>
      </c>
      <c r="U31" t="n">
        <v>0</v>
      </c>
      <c r="V31" t="n">
        <v>4</v>
      </c>
      <c r="W31" t="n">
        <v>1</v>
      </c>
      <c r="X31" t="n">
        <v>-0.2300000000000019</v>
      </c>
      <c r="Y31" t="n">
        <v>-0.771208226221086</v>
      </c>
    </row>
    <row r="32">
      <c r="A32" t="inlineStr">
        <is>
          <t>US|DC Beach Towel</t>
        </is>
      </c>
      <c r="B32" t="inlineStr">
        <is>
          <t>DC Beach Towel</t>
        </is>
      </c>
      <c r="C32" t="inlineStr">
        <is>
          <t>US DC Beach Towel</t>
        </is>
      </c>
      <c r="D32" t="inlineStr">
        <is>
          <t>DECOLURE Turkish Beach Towel Oversized 39x73 Inch - 100% Turkish Cotton, Quick Dry and Sand Free Beach Towels for Travel - Lightweight, Absorbent &amp; Soft Peshtemal Towel - (Gray Wave)</t>
        </is>
      </c>
      <c r="E32" t="inlineStr">
        <is>
          <t>https://images-na.ssl-images-amazon.com/images/I/81ZamyVE0yL.jpg</t>
        </is>
      </c>
      <c r="F32" t="inlineStr">
        <is>
          <t>Decolure</t>
        </is>
      </c>
      <c r="G32" t="inlineStr">
        <is>
          <t>B0GZVXL6DZ</t>
        </is>
      </c>
      <c r="H32" t="inlineStr">
        <is>
          <t>B0DQ92K585</t>
        </is>
      </c>
      <c r="I32" t="n">
        <v>14</v>
      </c>
      <c r="K32" t="n">
        <v>2</v>
      </c>
      <c r="M32" t="inlineStr">
        <is>
          <t>Not in a deal</t>
        </is>
      </c>
      <c r="P32" t="n">
        <v>134</v>
      </c>
      <c r="Q32" t="n">
        <v>0</v>
      </c>
      <c r="R32" t="n">
        <v>15.3812211941735</v>
      </c>
      <c r="S32" t="n">
        <v>0</v>
      </c>
      <c r="T32" t="n">
        <v>4</v>
      </c>
      <c r="U32" t="n">
        <v>0</v>
      </c>
      <c r="V32" t="n">
        <v>0</v>
      </c>
      <c r="W32" t="n">
        <v>0</v>
      </c>
      <c r="X32" t="n">
        <v>5.475</v>
      </c>
      <c r="Y32" t="n">
        <v>0.2552447552447553</v>
      </c>
    </row>
    <row r="33">
      <c r="A33" t="inlineStr">
        <is>
          <t>US|DC Welcome Sign</t>
        </is>
      </c>
      <c r="B33" t="inlineStr">
        <is>
          <t>DC Welcome Sign</t>
        </is>
      </c>
      <c r="C33" t="inlineStr">
        <is>
          <t>US DC Welcome Sign</t>
        </is>
      </c>
      <c r="D33" t="inlineStr">
        <is>
          <t>DECOLURE Welcome Sign for Front Porch - Tall Solid Wood Porch Door Sign with 10 Magnetic Seasonal &amp; Holiday Pieces, Rustic Farmhouse Outdoor Decor for Year Round Welcoming Entryway (Porch Brown)</t>
        </is>
      </c>
      <c r="E33" t="inlineStr">
        <is>
          <t>https://images-na.ssl-images-amazon.com/images/I/71PaUaKaW9L.jpg</t>
        </is>
      </c>
      <c r="F33" t="inlineStr">
        <is>
          <t>Decolure</t>
        </is>
      </c>
      <c r="G33" t="inlineStr">
        <is>
          <t>B0H1N61MK6</t>
        </is>
      </c>
      <c r="H33" t="inlineStr">
        <is>
          <t>B0DQ84FD76</t>
        </is>
      </c>
      <c r="I33" t="n">
        <v>7</v>
      </c>
      <c r="K33" t="n">
        <v>2</v>
      </c>
      <c r="M33" t="inlineStr">
        <is>
          <t>Not in a deal</t>
        </is>
      </c>
      <c r="P33" t="n">
        <v>22</v>
      </c>
      <c r="Q33" t="n">
        <v>0</v>
      </c>
      <c r="R33" t="n">
        <v>1.337497495145521</v>
      </c>
      <c r="S33" t="n">
        <v>0.6687487475727607</v>
      </c>
      <c r="T33" t="n">
        <v>3</v>
      </c>
      <c r="U33" t="n">
        <v>0</v>
      </c>
      <c r="V33" t="n">
        <v>0</v>
      </c>
      <c r="W33" t="n">
        <v>1</v>
      </c>
      <c r="X33" t="n">
        <v>1.310000000000004</v>
      </c>
      <c r="Y33" t="n">
        <v>0.03451910408432158</v>
      </c>
    </row>
    <row r="34">
      <c r="A34" t="inlineStr">
        <is>
          <t>US|DC Chair Cover</t>
        </is>
      </c>
      <c r="B34" t="inlineStr">
        <is>
          <t>DC Chair Cover</t>
        </is>
      </c>
      <c r="C34" t="inlineStr">
        <is>
          <t>US DC Chair Cover</t>
        </is>
      </c>
      <c r="D34" t="inlineStr">
        <is>
          <t>Waterproof Dining Chair Covers Set of 6 - 3 Layers Thick Fabric Parsons Chair Slip Covers - Jacquard Kitchen Chair Covers &amp; Stretch Protectors Dining Room, Restaurant - Removable Washable (Chocolate)</t>
        </is>
      </c>
      <c r="E34" t="inlineStr">
        <is>
          <t>https://images-na.ssl-images-amazon.com/images/I/814u78HU6WL.jpg</t>
        </is>
      </c>
      <c r="F34" t="inlineStr">
        <is>
          <t>Decolure</t>
        </is>
      </c>
      <c r="G34" t="inlineStr">
        <is>
          <t>B0FB6DM5X9</t>
        </is>
      </c>
      <c r="H34" t="inlineStr">
        <is>
          <t>B0CY63VCW1</t>
        </is>
      </c>
      <c r="I34" t="n">
        <v>12</v>
      </c>
      <c r="J34" t="n">
        <v>39.99</v>
      </c>
      <c r="K34" t="n">
        <v>30</v>
      </c>
      <c r="L34" t="n">
        <v>0.6578754953716566</v>
      </c>
      <c r="M34" t="inlineStr">
        <is>
          <t>Best Deal 11/19-11/30</t>
        </is>
      </c>
      <c r="N34" t="n">
        <v>33.99</v>
      </c>
      <c r="O34" t="n">
        <v>31.99</v>
      </c>
      <c r="P34" t="n">
        <v>130</v>
      </c>
      <c r="Q34" t="n">
        <v>0</v>
      </c>
      <c r="R34" t="n">
        <v>95.63107090290478</v>
      </c>
      <c r="S34" t="n">
        <v>24.91859845630405</v>
      </c>
      <c r="T34" t="n">
        <v>2</v>
      </c>
      <c r="U34" t="n">
        <v>0</v>
      </c>
      <c r="V34" t="n">
        <v>4</v>
      </c>
      <c r="W34" t="n">
        <v>2</v>
      </c>
      <c r="X34" t="n">
        <v>3.201333333333332</v>
      </c>
      <c r="Y34" t="n">
        <v>0.1268357105124141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2026-10-15T15:03:11Z</dcterms:created>
  <dcterms:modified xmlns:dcterms="http://purl.org/dc/terms/" xmlns:xsi="http://www.w3.org/2001/XMLSchema-instance" xsi:type="dcterms:W3CDTF">2026-10-15T15:03:22Z</dcterms:modified>
</cp:coreProperties>
</file>